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chartsheets/sheet1.xml" ContentType="application/vnd.openxmlformats-officedocument.spreadsheetml.chart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drawings/drawing10.xml" ContentType="application/vnd.openxmlformats-officedocument.drawing+xml"/>
  <Override PartName="/xl/charts/chart1.xml" ContentType="application/vnd.openxmlformats-officedocument.drawingml.chart+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comments12.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embeddings/oleObject1.bin" ContentType="application/vnd.openxmlformats-officedocument.oleObject"/>
  <Override PartName="/xl/drawings/drawing27.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AndresFelipe\Desktop\Pliegos Aqualia\Sector 5 - Cereté\"/>
    </mc:Choice>
  </mc:AlternateContent>
  <bookViews>
    <workbookView xWindow="-120" yWindow="-120" windowWidth="20736" windowHeight="11160" tabRatio="745" firstSheet="10" activeTab="10"/>
  </bookViews>
  <sheets>
    <sheet name="FORMULARIO AIU" sheetId="40" state="hidden" r:id="rId1"/>
    <sheet name="AIU" sheetId="128" state="hidden" r:id="rId2"/>
    <sheet name="FACTOR MULTIPLICADOR" sheetId="151" state="hidden" r:id="rId3"/>
    <sheet name="INTERVENTORIA" sheetId="147" state="hidden" r:id="rId4"/>
    <sheet name="PRESTA" sheetId="9" state="hidden" r:id="rId5"/>
    <sheet name="IMPACTO  COMUN" sheetId="108" state="hidden" r:id="rId6"/>
    <sheet name="BASE" sheetId="1" state="hidden" r:id="rId7"/>
    <sheet name="BASE CTOS" sheetId="6" state="hidden" r:id="rId8"/>
    <sheet name="CANTIDADES" sheetId="152" state="hidden" r:id="rId9"/>
    <sheet name="CONSOLIDADO" sheetId="140" state="hidden" r:id="rId10"/>
    <sheet name="PRESUPUESTO OFICIAL." sheetId="158" r:id="rId11"/>
    <sheet name="FORMATO PRESUPUESTO OFICIAL." sheetId="159" r:id="rId12"/>
    <sheet name="Formulario No. 1" sheetId="154" state="hidden" r:id="rId13"/>
    <sheet name="BASE CTOS2" sheetId="122" state="hidden" r:id="rId14"/>
    <sheet name="MATERIALES" sheetId="114" state="hidden" r:id="rId15"/>
    <sheet name="Gráfico2" sheetId="131" state="hidden" r:id="rId16"/>
    <sheet name="BASE 2" sheetId="121" state="hidden" r:id="rId17"/>
    <sheet name="CAPTACION RIO SINÚ" sheetId="118" state="hidden" r:id="rId18"/>
    <sheet name="APU PTAP ELECTRICO" sheetId="139" state="hidden" r:id="rId19"/>
    <sheet name="APU CAPTACION" sheetId="137" state="hidden" r:id="rId20"/>
    <sheet name="LINEAS IMPULSIÓN-CONDUCCIÓN" sheetId="86" state="hidden" r:id="rId21"/>
    <sheet name="APU LINEAS IMPULSIÓN" sheetId="81" state="hidden" r:id="rId22"/>
    <sheet name="APUBOMBEO" sheetId="115" state="hidden" r:id="rId23"/>
    <sheet name="1. BOMBEO RIO SINU PTAP ALT 2" sheetId="119" state="hidden" r:id="rId24"/>
    <sheet name="APULINEA" sheetId="116" state="hidden" r:id="rId25"/>
    <sheet name="TOTAL OC E INST + SUM" sheetId="113" state="hidden" r:id="rId26"/>
    <sheet name="APU PTAP" sheetId="130" state="hidden" r:id="rId27"/>
    <sheet name="APU PTAP TIJERETAS" sheetId="123" state="hidden" r:id="rId28"/>
    <sheet name="PTAP TIJERETAS" sheetId="125" state="hidden" r:id="rId29"/>
    <sheet name=" TANQUE PATAGONIA" sheetId="126" state="hidden" r:id="rId30"/>
    <sheet name="APU TANQUE PATAGONIA" sheetId="124" state="hidden" r:id="rId31"/>
    <sheet name="RESUMEN 2" sheetId="129" state="hidden" r:id="rId32"/>
    <sheet name="CRONOGRAMA" sheetId="142" state="hidden" r:id="rId33"/>
    <sheet name="PLAN FINANCIERO" sheetId="145" state="hidden" r:id="rId34"/>
    <sheet name="FORMATO RESUMEN " sheetId="146" state="hidden" r:id="rId35"/>
    <sheet name="PRESUPUESTO-INTERV" sheetId="144" state="hidden" r:id="rId36"/>
    <sheet name="RECURSOS ADC" sheetId="133" state="hidden" r:id="rId37"/>
    <sheet name="RECURSOS MPIO" sheetId="132" state="hidden" r:id="rId38"/>
    <sheet name="APU CAP" sheetId="136" state="hidden"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s>
  <definedNames>
    <definedName name="\0" localSheetId="11">#REF!</definedName>
    <definedName name="\0">#REF!</definedName>
    <definedName name="\00" localSheetId="11">#REF!</definedName>
    <definedName name="\00">#REF!</definedName>
    <definedName name="\a" localSheetId="11">#REF!</definedName>
    <definedName name="\a" localSheetId="12">#REF!</definedName>
    <definedName name="\a">#REF!</definedName>
    <definedName name="\AA" localSheetId="11">[1]LIQUIDACION!#REF!</definedName>
    <definedName name="\AA">[1]LIQUIDACION!#REF!</definedName>
    <definedName name="\b" localSheetId="11">[2]STRSUMM0!#REF!</definedName>
    <definedName name="\b">[2]STRSUMM0!#REF!</definedName>
    <definedName name="\bb" localSheetId="11">[2]STRSUMM0!#REF!</definedName>
    <definedName name="\bb">[2]STRSUMM0!#REF!</definedName>
    <definedName name="\E" localSheetId="11">#REF!</definedName>
    <definedName name="\E">#REF!</definedName>
    <definedName name="\EE" localSheetId="11">#REF!</definedName>
    <definedName name="\EE">#REF!</definedName>
    <definedName name="\G" localSheetId="11">#REF!</definedName>
    <definedName name="\G">#REF!</definedName>
    <definedName name="\k" localSheetId="11">'[3]7422CW00'!#REF!</definedName>
    <definedName name="\k">'[3]7422CW00'!#REF!</definedName>
    <definedName name="\l" localSheetId="11">[4]STRSUMM0!#REF!</definedName>
    <definedName name="\l">[4]STRSUMM0!#REF!</definedName>
    <definedName name="\M" localSheetId="11">#REF!</definedName>
    <definedName name="\M">#REF!</definedName>
    <definedName name="\ñ" localSheetId="11">'[5]7422CW00'!#REF!</definedName>
    <definedName name="\ñ">'[5]7422CW00'!#REF!</definedName>
    <definedName name="\P" localSheetId="11">#REF!</definedName>
    <definedName name="\P">#REF!</definedName>
    <definedName name="\R" localSheetId="11">#REF!</definedName>
    <definedName name="\R">#REF!</definedName>
    <definedName name="\s" localSheetId="11">#REF!</definedName>
    <definedName name="\s" localSheetId="12">#REF!</definedName>
    <definedName name="\s">#REF!</definedName>
    <definedName name="\V" localSheetId="11">#REF!</definedName>
    <definedName name="\V">#REF!</definedName>
    <definedName name="\X" localSheetId="12">'Formulario No. 1'!ERR</definedName>
    <definedName name="\X">[0]!ERR</definedName>
    <definedName name="\Z" localSheetId="12">'Formulario No. 1'!ERR</definedName>
    <definedName name="\Z">[0]!ERR</definedName>
    <definedName name="_________AFC1">[6]INV!$A$25:$D$28</definedName>
    <definedName name="_________AFC3">[6]INV!$F$25:$I$28</definedName>
    <definedName name="_________AFC5">[6]INV!$K$25:$N$28</definedName>
    <definedName name="_________BGC1">[6]INV!$A$5:$D$8</definedName>
    <definedName name="_________BGC3">[6]INV!$F$5:$I$8</definedName>
    <definedName name="_________BGC5">[6]INV!$K$5:$N$8</definedName>
    <definedName name="_________CAC1">[6]INV!$A$19:$D$22</definedName>
    <definedName name="_________CAC3">[6]INV!$F$19:$I$22</definedName>
    <definedName name="_________CAC5">[6]INV!$K$19:$N$22</definedName>
    <definedName name="_________key2" localSheetId="11" hidden="1">[7]INST!#REF!</definedName>
    <definedName name="_________key2" hidden="1">[7]INST!#REF!</definedName>
    <definedName name="_________PJ50" localSheetId="11">#REF!</definedName>
    <definedName name="_________PJ50" localSheetId="12">#REF!</definedName>
    <definedName name="_________PJ50">#REF!</definedName>
    <definedName name="_________SBC1">[6]INV!$A$12:$D$15</definedName>
    <definedName name="_________SBC3">[6]INV!$F$12:$I$15</definedName>
    <definedName name="_________SBC5">[6]INV!$K$12:$N$15</definedName>
    <definedName name="________AFC1">[6]INV!$A$25:$D$28</definedName>
    <definedName name="________AFC3">[6]INV!$F$25:$I$28</definedName>
    <definedName name="________AFC5">[6]INV!$K$25:$N$28</definedName>
    <definedName name="________BGC1">[6]INV!$A$5:$D$8</definedName>
    <definedName name="________BGC3">[6]INV!$F$5:$I$8</definedName>
    <definedName name="________BGC5">[6]INV!$K$5:$N$8</definedName>
    <definedName name="________CAC1">[6]INV!$A$19:$D$22</definedName>
    <definedName name="________CAC3">[6]INV!$F$19:$I$22</definedName>
    <definedName name="________CAC5">[6]INV!$K$19:$N$22</definedName>
    <definedName name="________key2" localSheetId="11" hidden="1">[8]INST!#REF!</definedName>
    <definedName name="________key2" hidden="1">[8]INST!#REF!</definedName>
    <definedName name="________key3" localSheetId="11" hidden="1">#REF!</definedName>
    <definedName name="________key3" hidden="1">#REF!</definedName>
    <definedName name="________MA2" localSheetId="11">#REF!</definedName>
    <definedName name="________MA2" localSheetId="12">#REF!</definedName>
    <definedName name="________MA2">#REF!</definedName>
    <definedName name="________PJ50" localSheetId="11">#REF!</definedName>
    <definedName name="________PJ50" localSheetId="12">#REF!</definedName>
    <definedName name="________PJ50">#REF!</definedName>
    <definedName name="________SBC1">[6]INV!$A$12:$D$15</definedName>
    <definedName name="________SBC3">[6]INV!$F$12:$I$15</definedName>
    <definedName name="________SBC5">[6]INV!$K$12:$N$15</definedName>
    <definedName name="_______AFC1">[6]INV!$A$25:$D$28</definedName>
    <definedName name="_______AFC3">[6]INV!$F$25:$I$28</definedName>
    <definedName name="_______AFC5">[6]INV!$K$25:$N$28</definedName>
    <definedName name="_______BGC1">[6]INV!$A$5:$D$8</definedName>
    <definedName name="_______BGC3">[6]INV!$F$5:$I$8</definedName>
    <definedName name="_______BGC5">[6]INV!$K$5:$N$8</definedName>
    <definedName name="_______CAC1">[6]INV!$A$19:$D$22</definedName>
    <definedName name="_______CAC3">[6]INV!$F$19:$I$22</definedName>
    <definedName name="_______CAC5">[6]INV!$K$19:$N$22</definedName>
    <definedName name="_______MA2" localSheetId="11">#REF!</definedName>
    <definedName name="_______MA2" localSheetId="12">#REF!</definedName>
    <definedName name="_______MA2">#REF!</definedName>
    <definedName name="_______PJ50" localSheetId="11">#REF!</definedName>
    <definedName name="_______PJ50" localSheetId="12">#REF!</definedName>
    <definedName name="_______PJ50">#REF!</definedName>
    <definedName name="_______SBC1">[6]INV!$A$12:$D$15</definedName>
    <definedName name="_______SBC3">[6]INV!$F$12:$I$15</definedName>
    <definedName name="_______SBC5">[6]INV!$K$12:$N$15</definedName>
    <definedName name="______AFC1">[6]INV!$A$25:$D$28</definedName>
    <definedName name="______AFC3">[6]INV!$F$25:$I$28</definedName>
    <definedName name="______AFC5">[6]INV!$K$25:$N$28</definedName>
    <definedName name="______BGC1">[6]INV!$A$5:$D$8</definedName>
    <definedName name="______BGC3">[6]INV!$F$5:$I$8</definedName>
    <definedName name="______BGC5">[6]INV!$K$5:$N$8</definedName>
    <definedName name="______CAC1">[6]INV!$A$19:$D$22</definedName>
    <definedName name="______CAC3">[6]INV!$F$19:$I$22</definedName>
    <definedName name="______CAC5">[6]INV!$K$19:$N$22</definedName>
    <definedName name="______MA2" localSheetId="11">#REF!</definedName>
    <definedName name="______MA2" localSheetId="12">#REF!</definedName>
    <definedName name="______MA2">#REF!</definedName>
    <definedName name="______PJ50" localSheetId="11">#REF!</definedName>
    <definedName name="______PJ50" localSheetId="12">#REF!</definedName>
    <definedName name="______PJ50">#REF!</definedName>
    <definedName name="______pr01" localSheetId="11">#REF!</definedName>
    <definedName name="______pr01">#REF!</definedName>
    <definedName name="______pr02" localSheetId="11">#REF!</definedName>
    <definedName name="______pr02">#REF!</definedName>
    <definedName name="______pr03" localSheetId="11">#REF!</definedName>
    <definedName name="______pr03">#REF!</definedName>
    <definedName name="______pr04" localSheetId="11">#REF!</definedName>
    <definedName name="______pr04">#REF!</definedName>
    <definedName name="______pr05" localSheetId="11">#REF!</definedName>
    <definedName name="______pr05">#REF!</definedName>
    <definedName name="______pr06" localSheetId="11">#REF!</definedName>
    <definedName name="______pr06">#REF!</definedName>
    <definedName name="______pr07" localSheetId="11">#REF!</definedName>
    <definedName name="______pr07">#REF!</definedName>
    <definedName name="______pr08" localSheetId="11">#REF!</definedName>
    <definedName name="______pr08">#REF!</definedName>
    <definedName name="______pr09" localSheetId="11">#REF!</definedName>
    <definedName name="______pr09">#REF!</definedName>
    <definedName name="______pr10" localSheetId="11">#REF!</definedName>
    <definedName name="______pr10">#REF!</definedName>
    <definedName name="______pr11" localSheetId="11">#REF!</definedName>
    <definedName name="______pr11">#REF!</definedName>
    <definedName name="______pr12" localSheetId="11">#REF!</definedName>
    <definedName name="______pr12">#REF!</definedName>
    <definedName name="______pr13" localSheetId="11">#REF!</definedName>
    <definedName name="______pr13">#REF!</definedName>
    <definedName name="______pr14" localSheetId="11">#REF!</definedName>
    <definedName name="______pr14">#REF!</definedName>
    <definedName name="______pr15" localSheetId="11">#REF!</definedName>
    <definedName name="______pr15">#REF!</definedName>
    <definedName name="______pr16" localSheetId="11">#REF!</definedName>
    <definedName name="______pr16">#REF!</definedName>
    <definedName name="______pr17" localSheetId="11">#REF!</definedName>
    <definedName name="______pr17">#REF!</definedName>
    <definedName name="______pr18" localSheetId="11">#REF!</definedName>
    <definedName name="______pr18">#REF!</definedName>
    <definedName name="______pr19" localSheetId="11">#REF!</definedName>
    <definedName name="______pr19">#REF!</definedName>
    <definedName name="______pr20" localSheetId="11">#REF!</definedName>
    <definedName name="______pr20">#REF!</definedName>
    <definedName name="______pr21" localSheetId="11">#REF!</definedName>
    <definedName name="______pr21">#REF!</definedName>
    <definedName name="______pr22" localSheetId="11">#REF!</definedName>
    <definedName name="______pr22">#REF!</definedName>
    <definedName name="______pr23" localSheetId="11">#REF!</definedName>
    <definedName name="______pr23">#REF!</definedName>
    <definedName name="______pr24" localSheetId="11">#REF!</definedName>
    <definedName name="______pr24">#REF!</definedName>
    <definedName name="______pr25" localSheetId="11">#REF!</definedName>
    <definedName name="______pr25">#REF!</definedName>
    <definedName name="______pr26" localSheetId="11">#REF!</definedName>
    <definedName name="______pr26">#REF!</definedName>
    <definedName name="______pr27" localSheetId="11">#REF!</definedName>
    <definedName name="______pr27">#REF!</definedName>
    <definedName name="______pr28" localSheetId="11">#REF!</definedName>
    <definedName name="______pr28">#REF!</definedName>
    <definedName name="______pr29" localSheetId="11">#REF!</definedName>
    <definedName name="______pr29">#REF!</definedName>
    <definedName name="______pr30" localSheetId="11">#REF!</definedName>
    <definedName name="______pr30">#REF!</definedName>
    <definedName name="______pr31" localSheetId="11">#REF!</definedName>
    <definedName name="______pr31">#REF!</definedName>
    <definedName name="______pr32" localSheetId="11">#REF!</definedName>
    <definedName name="______pr32">#REF!</definedName>
    <definedName name="______pr33" localSheetId="11">#REF!</definedName>
    <definedName name="______pr33">#REF!</definedName>
    <definedName name="______pr34" localSheetId="11">#REF!</definedName>
    <definedName name="______pr34">#REF!</definedName>
    <definedName name="______pr35" localSheetId="11">#REF!</definedName>
    <definedName name="______pr35">#REF!</definedName>
    <definedName name="______pr36" localSheetId="11">#REF!</definedName>
    <definedName name="______pr36">#REF!</definedName>
    <definedName name="______pr37" localSheetId="11">#REF!</definedName>
    <definedName name="______pr37">#REF!</definedName>
    <definedName name="______pr38" localSheetId="11">#REF!</definedName>
    <definedName name="______pr38">#REF!</definedName>
    <definedName name="______pr39" localSheetId="11">#REF!</definedName>
    <definedName name="______pr39">#REF!</definedName>
    <definedName name="______pr40" localSheetId="11">#REF!</definedName>
    <definedName name="______pr40">#REF!</definedName>
    <definedName name="______pr41" localSheetId="11">#REF!</definedName>
    <definedName name="______pr41">#REF!</definedName>
    <definedName name="______pr42" localSheetId="11">#REF!</definedName>
    <definedName name="______pr42">#REF!</definedName>
    <definedName name="______pr43" localSheetId="11">#REF!</definedName>
    <definedName name="______pr43">#REF!</definedName>
    <definedName name="______pr44" localSheetId="11">#REF!</definedName>
    <definedName name="______pr44">#REF!</definedName>
    <definedName name="______pr45" localSheetId="11">#REF!</definedName>
    <definedName name="______pr45">#REF!</definedName>
    <definedName name="______pr46" localSheetId="11">#REF!</definedName>
    <definedName name="______pr46">#REF!</definedName>
    <definedName name="______pr47" localSheetId="11">#REF!</definedName>
    <definedName name="______pr47">#REF!</definedName>
    <definedName name="______pr48" localSheetId="11">#REF!</definedName>
    <definedName name="______pr48">#REF!</definedName>
    <definedName name="______pr49" localSheetId="11">#REF!</definedName>
    <definedName name="______pr49">#REF!</definedName>
    <definedName name="______pr50" localSheetId="11">#REF!</definedName>
    <definedName name="______pr50">#REF!</definedName>
    <definedName name="______pr51" localSheetId="11">#REF!</definedName>
    <definedName name="______pr51">#REF!</definedName>
    <definedName name="______pr52" localSheetId="11">#REF!</definedName>
    <definedName name="______pr52">#REF!</definedName>
    <definedName name="______pr53" localSheetId="11">#REF!</definedName>
    <definedName name="______pr53">#REF!</definedName>
    <definedName name="______pr54" localSheetId="11">#REF!</definedName>
    <definedName name="______pr54">#REF!</definedName>
    <definedName name="______pr55" localSheetId="11">#REF!</definedName>
    <definedName name="______pr55">#REF!</definedName>
    <definedName name="______pr56" localSheetId="11">#REF!</definedName>
    <definedName name="______pr56">#REF!</definedName>
    <definedName name="______pr57" localSheetId="11">#REF!</definedName>
    <definedName name="______pr57">#REF!</definedName>
    <definedName name="______pr58" localSheetId="11">#REF!</definedName>
    <definedName name="______pr58">#REF!</definedName>
    <definedName name="______pr59" localSheetId="11">#REF!</definedName>
    <definedName name="______pr59">#REF!</definedName>
    <definedName name="______pr60" localSheetId="11">#REF!</definedName>
    <definedName name="______pr60">#REF!</definedName>
    <definedName name="______pr61" localSheetId="11">#REF!</definedName>
    <definedName name="______pr61">#REF!</definedName>
    <definedName name="______pr62" localSheetId="11">#REF!</definedName>
    <definedName name="______pr62">#REF!</definedName>
    <definedName name="______pr63" localSheetId="11">#REF!</definedName>
    <definedName name="______pr63">#REF!</definedName>
    <definedName name="______pr64" localSheetId="11">#REF!</definedName>
    <definedName name="______pr64">#REF!</definedName>
    <definedName name="______pr65" localSheetId="11">#REF!</definedName>
    <definedName name="______pr65">#REF!</definedName>
    <definedName name="______pr66" localSheetId="11">#REF!</definedName>
    <definedName name="______pr66">#REF!</definedName>
    <definedName name="______pr67" localSheetId="11">#REF!</definedName>
    <definedName name="______pr67">#REF!</definedName>
    <definedName name="______pr68" localSheetId="11">#REF!</definedName>
    <definedName name="______pr68">#REF!</definedName>
    <definedName name="______pr69" localSheetId="11">#REF!</definedName>
    <definedName name="______pr69">#REF!</definedName>
    <definedName name="______pr70" localSheetId="11">#REF!</definedName>
    <definedName name="______pr70">#REF!</definedName>
    <definedName name="______pr71" localSheetId="11">#REF!</definedName>
    <definedName name="______pr71">#REF!</definedName>
    <definedName name="______pr72" localSheetId="11">#REF!</definedName>
    <definedName name="______pr72">#REF!</definedName>
    <definedName name="______SBC1">[6]INV!$A$12:$D$15</definedName>
    <definedName name="______SBC3">[6]INV!$F$12:$I$15</definedName>
    <definedName name="______SBC5">[6]INV!$K$12:$N$15</definedName>
    <definedName name="_____AFC1">[6]INV!$A$25:$D$28</definedName>
    <definedName name="_____AFC3">[6]INV!$F$25:$I$28</definedName>
    <definedName name="_____AFC5">[6]INV!$K$25:$N$28</definedName>
    <definedName name="_____ane7" localSheetId="11">[9]!_xlbgnm.ane7</definedName>
    <definedName name="_____ane7">[9]!_xlbgnm.ane7</definedName>
    <definedName name="_____ane8" localSheetId="11">[9]!_xlbgnm.ane8</definedName>
    <definedName name="_____ane8">[9]!_xlbgnm.ane8</definedName>
    <definedName name="_____Atp2">[10]EMPRESA!$F$22</definedName>
    <definedName name="_____BGC1">[6]INV!$A$5:$D$8</definedName>
    <definedName name="_____BGC3">[6]INV!$F$5:$I$8</definedName>
    <definedName name="_____BGC5">[6]INV!$K$5:$N$8</definedName>
    <definedName name="_____CAC1">[6]INV!$A$19:$D$22</definedName>
    <definedName name="_____CAC3">[6]INV!$F$19:$I$22</definedName>
    <definedName name="_____CAC5">[6]INV!$K$19:$N$22</definedName>
    <definedName name="_____DCI1" localSheetId="11">[11]Tablas!#REF!</definedName>
    <definedName name="_____DCI1">[11]Tablas!#REF!</definedName>
    <definedName name="_____DDS1" localSheetId="11">[11]Tablas!#REF!</definedName>
    <definedName name="_____DDS1">[11]Tablas!#REF!</definedName>
    <definedName name="_____DGO1" localSheetId="11">[11]Tablas!#REF!</definedName>
    <definedName name="_____DGO1">[11]Tablas!#REF!</definedName>
    <definedName name="_____DGP1" localSheetId="11">[11]Tablas!#REF!</definedName>
    <definedName name="_____DGP1">[11]Tablas!#REF!</definedName>
    <definedName name="_____DIJ1" localSheetId="11">[11]Tablas!#REF!</definedName>
    <definedName name="_____DIJ1">[11]Tablas!#REF!</definedName>
    <definedName name="_____DPI1" localSheetId="11">[11]Tablas!#REF!</definedName>
    <definedName name="_____DPI1">[11]Tablas!#REF!</definedName>
    <definedName name="_____DPY1" localSheetId="11">[11]Tablas!#REF!</definedName>
    <definedName name="_____DPY1">[11]Tablas!#REF!</definedName>
    <definedName name="_____DRI1" localSheetId="11">[11]Tablas!#REF!</definedName>
    <definedName name="_____DRI1">[11]Tablas!#REF!</definedName>
    <definedName name="_____DRL1" localSheetId="11">[11]Tablas!#REF!</definedName>
    <definedName name="_____DRL1">[11]Tablas!#REF!</definedName>
    <definedName name="_____DSP1" localSheetId="11">[11]Tablas!#REF!</definedName>
    <definedName name="_____DSP1">[11]Tablas!#REF!</definedName>
    <definedName name="_____ECP1" localSheetId="11">[11]Tablas!#REF!</definedName>
    <definedName name="_____ECP1">[11]Tablas!#REF!</definedName>
    <definedName name="_____ICP1" localSheetId="11">[11]Tablas!#REF!</definedName>
    <definedName name="_____ICP1">[11]Tablas!#REF!</definedName>
    <definedName name="_____MA2" localSheetId="11">#REF!</definedName>
    <definedName name="_____MA2" localSheetId="12">#REF!</definedName>
    <definedName name="_____MA2">#REF!</definedName>
    <definedName name="_____OCD1" localSheetId="11">[11]Tablas!#REF!</definedName>
    <definedName name="_____OCD1">[11]Tablas!#REF!</definedName>
    <definedName name="_____OCI1" localSheetId="11">[11]Tablas!#REF!</definedName>
    <definedName name="_____OCI1">[11]Tablas!#REF!</definedName>
    <definedName name="_____PJ50" localSheetId="11">#REF!</definedName>
    <definedName name="_____PJ50" localSheetId="12">#REF!</definedName>
    <definedName name="_____PJ50">#REF!</definedName>
    <definedName name="_____pr01" localSheetId="11">#REF!</definedName>
    <definedName name="_____pr01">#REF!</definedName>
    <definedName name="_____pr02" localSheetId="11">#REF!</definedName>
    <definedName name="_____pr02">#REF!</definedName>
    <definedName name="_____pr03" localSheetId="11">#REF!</definedName>
    <definedName name="_____pr03">#REF!</definedName>
    <definedName name="_____pr04" localSheetId="11">#REF!</definedName>
    <definedName name="_____pr04">#REF!</definedName>
    <definedName name="_____pr05" localSheetId="11">#REF!</definedName>
    <definedName name="_____pr05">#REF!</definedName>
    <definedName name="_____pr06" localSheetId="11">#REF!</definedName>
    <definedName name="_____pr06">#REF!</definedName>
    <definedName name="_____pr07" localSheetId="11">#REF!</definedName>
    <definedName name="_____pr07">#REF!</definedName>
    <definedName name="_____pr08" localSheetId="11">#REF!</definedName>
    <definedName name="_____pr08">#REF!</definedName>
    <definedName name="_____pr09" localSheetId="11">#REF!</definedName>
    <definedName name="_____pr09">#REF!</definedName>
    <definedName name="_____pr10" localSheetId="11">#REF!</definedName>
    <definedName name="_____pr10">#REF!</definedName>
    <definedName name="_____pr11" localSheetId="11">#REF!</definedName>
    <definedName name="_____pr11">#REF!</definedName>
    <definedName name="_____pr12" localSheetId="11">#REF!</definedName>
    <definedName name="_____pr12">#REF!</definedName>
    <definedName name="_____pr13" localSheetId="11">#REF!</definedName>
    <definedName name="_____pr13">#REF!</definedName>
    <definedName name="_____pr14" localSheetId="11">#REF!</definedName>
    <definedName name="_____pr14">#REF!</definedName>
    <definedName name="_____pr15" localSheetId="11">#REF!</definedName>
    <definedName name="_____pr15">#REF!</definedName>
    <definedName name="_____pr16" localSheetId="11">#REF!</definedName>
    <definedName name="_____pr16">#REF!</definedName>
    <definedName name="_____pr17" localSheetId="11">#REF!</definedName>
    <definedName name="_____pr17">#REF!</definedName>
    <definedName name="_____pr18" localSheetId="11">#REF!</definedName>
    <definedName name="_____pr18">#REF!</definedName>
    <definedName name="_____pr19" localSheetId="11">#REF!</definedName>
    <definedName name="_____pr19">#REF!</definedName>
    <definedName name="_____pr20" localSheetId="11">#REF!</definedName>
    <definedName name="_____pr20">#REF!</definedName>
    <definedName name="_____pr21" localSheetId="11">#REF!</definedName>
    <definedName name="_____pr21">#REF!</definedName>
    <definedName name="_____pr22" localSheetId="11">#REF!</definedName>
    <definedName name="_____pr22">#REF!</definedName>
    <definedName name="_____pr23" localSheetId="11">#REF!</definedName>
    <definedName name="_____pr23">#REF!</definedName>
    <definedName name="_____pr24" localSheetId="11">#REF!</definedName>
    <definedName name="_____pr24">#REF!</definedName>
    <definedName name="_____pr25" localSheetId="11">#REF!</definedName>
    <definedName name="_____pr25">#REF!</definedName>
    <definedName name="_____pr26" localSheetId="11">#REF!</definedName>
    <definedName name="_____pr26">#REF!</definedName>
    <definedName name="_____pr27" localSheetId="11">#REF!</definedName>
    <definedName name="_____pr27">#REF!</definedName>
    <definedName name="_____pr28" localSheetId="11">#REF!</definedName>
    <definedName name="_____pr28">#REF!</definedName>
    <definedName name="_____pr29" localSheetId="11">#REF!</definedName>
    <definedName name="_____pr29">#REF!</definedName>
    <definedName name="_____pr30" localSheetId="11">#REF!</definedName>
    <definedName name="_____pr30">#REF!</definedName>
    <definedName name="_____pr31" localSheetId="11">#REF!</definedName>
    <definedName name="_____pr31">#REF!</definedName>
    <definedName name="_____pr32" localSheetId="11">#REF!</definedName>
    <definedName name="_____pr32">#REF!</definedName>
    <definedName name="_____pr33" localSheetId="11">#REF!</definedName>
    <definedName name="_____pr33">#REF!</definedName>
    <definedName name="_____pr34" localSheetId="11">#REF!</definedName>
    <definedName name="_____pr34">#REF!</definedName>
    <definedName name="_____pr35" localSheetId="11">#REF!</definedName>
    <definedName name="_____pr35">#REF!</definedName>
    <definedName name="_____pr36" localSheetId="11">#REF!</definedName>
    <definedName name="_____pr36">#REF!</definedName>
    <definedName name="_____pr37" localSheetId="11">#REF!</definedName>
    <definedName name="_____pr37">#REF!</definedName>
    <definedName name="_____pr38" localSheetId="11">#REF!</definedName>
    <definedName name="_____pr38">#REF!</definedName>
    <definedName name="_____pr39" localSheetId="11">#REF!</definedName>
    <definedName name="_____pr39">#REF!</definedName>
    <definedName name="_____pr40" localSheetId="11">#REF!</definedName>
    <definedName name="_____pr40">#REF!</definedName>
    <definedName name="_____pr41" localSheetId="11">#REF!</definedName>
    <definedName name="_____pr41">#REF!</definedName>
    <definedName name="_____pr42" localSheetId="11">#REF!</definedName>
    <definedName name="_____pr42">#REF!</definedName>
    <definedName name="_____pr43" localSheetId="11">#REF!</definedName>
    <definedName name="_____pr43">#REF!</definedName>
    <definedName name="_____pr44" localSheetId="11">#REF!</definedName>
    <definedName name="_____pr44">#REF!</definedName>
    <definedName name="_____pr45" localSheetId="11">#REF!</definedName>
    <definedName name="_____pr45">#REF!</definedName>
    <definedName name="_____pr46" localSheetId="11">#REF!</definedName>
    <definedName name="_____pr46">#REF!</definedName>
    <definedName name="_____pr47" localSheetId="11">#REF!</definedName>
    <definedName name="_____pr47">#REF!</definedName>
    <definedName name="_____pr48" localSheetId="11">#REF!</definedName>
    <definedName name="_____pr48">#REF!</definedName>
    <definedName name="_____pr49" localSheetId="11">#REF!</definedName>
    <definedName name="_____pr49">#REF!</definedName>
    <definedName name="_____pr50" localSheetId="11">#REF!</definedName>
    <definedName name="_____pr50">#REF!</definedName>
    <definedName name="_____pr51" localSheetId="11">#REF!</definedName>
    <definedName name="_____pr51">#REF!</definedName>
    <definedName name="_____pr52" localSheetId="11">#REF!</definedName>
    <definedName name="_____pr52">#REF!</definedName>
    <definedName name="_____pr53" localSheetId="11">#REF!</definedName>
    <definedName name="_____pr53">#REF!</definedName>
    <definedName name="_____pr54" localSheetId="11">#REF!</definedName>
    <definedName name="_____pr54">#REF!</definedName>
    <definedName name="_____pr55" localSheetId="11">#REF!</definedName>
    <definedName name="_____pr55">#REF!</definedName>
    <definedName name="_____pr56" localSheetId="11">#REF!</definedName>
    <definedName name="_____pr56">#REF!</definedName>
    <definedName name="_____pr57" localSheetId="11">#REF!</definedName>
    <definedName name="_____pr57">#REF!</definedName>
    <definedName name="_____pr58" localSheetId="11">#REF!</definedName>
    <definedName name="_____pr58">#REF!</definedName>
    <definedName name="_____pr59" localSheetId="11">#REF!</definedName>
    <definedName name="_____pr59">#REF!</definedName>
    <definedName name="_____pr60" localSheetId="11">#REF!</definedName>
    <definedName name="_____pr60">#REF!</definedName>
    <definedName name="_____pr61" localSheetId="11">#REF!</definedName>
    <definedName name="_____pr61">#REF!</definedName>
    <definedName name="_____pr62" localSheetId="11">#REF!</definedName>
    <definedName name="_____pr62">#REF!</definedName>
    <definedName name="_____pr63" localSheetId="11">#REF!</definedName>
    <definedName name="_____pr63">#REF!</definedName>
    <definedName name="_____pr64" localSheetId="11">#REF!</definedName>
    <definedName name="_____pr64">#REF!</definedName>
    <definedName name="_____pr65" localSheetId="11">#REF!</definedName>
    <definedName name="_____pr65">#REF!</definedName>
    <definedName name="_____pr66" localSheetId="11">#REF!</definedName>
    <definedName name="_____pr66">#REF!</definedName>
    <definedName name="_____pr67" localSheetId="11">#REF!</definedName>
    <definedName name="_____pr67">#REF!</definedName>
    <definedName name="_____pr68" localSheetId="11">#REF!</definedName>
    <definedName name="_____pr68">#REF!</definedName>
    <definedName name="_____pr69" localSheetId="11">#REF!</definedName>
    <definedName name="_____pr69">#REF!</definedName>
    <definedName name="_____pr70" localSheetId="11">#REF!</definedName>
    <definedName name="_____pr70">#REF!</definedName>
    <definedName name="_____pr71" localSheetId="11">#REF!</definedName>
    <definedName name="_____pr71">#REF!</definedName>
    <definedName name="_____pr72" localSheetId="11">#REF!</definedName>
    <definedName name="_____pr72">#REF!</definedName>
    <definedName name="_____SBC1">[6]INV!$A$12:$D$15</definedName>
    <definedName name="_____SBC3">[6]INV!$F$12:$I$15</definedName>
    <definedName name="_____SBC5">[6]INV!$K$12:$N$15</definedName>
    <definedName name="_____VEX1" localSheetId="11">[11]Tablas!#REF!</definedName>
    <definedName name="_____VEX1">[11]Tablas!#REF!</definedName>
    <definedName name="_____VFA1" localSheetId="11">[11]Tablas!#REF!</definedName>
    <definedName name="_____VFA1">[11]Tablas!#REF!</definedName>
    <definedName name="_____VIT1" localSheetId="11">[11]Tablas!#REF!</definedName>
    <definedName name="_____VIT1">[11]Tablas!#REF!</definedName>
    <definedName name="_____VPR1" localSheetId="11">[11]Tablas!#REF!</definedName>
    <definedName name="_____VPR1">[11]Tablas!#REF!</definedName>
    <definedName name="_____VPR2" localSheetId="11">[12]Tablas!#REF!</definedName>
    <definedName name="_____VPR2">[12]Tablas!#REF!</definedName>
    <definedName name="_____VRP1" localSheetId="11">[11]Tablas!#REF!</definedName>
    <definedName name="_____VRP1">[11]Tablas!#REF!</definedName>
    <definedName name="_____VSM1" localSheetId="11">[11]Tablas!#REF!</definedName>
    <definedName name="_____VSM1">[11]Tablas!#REF!</definedName>
    <definedName name="____AFC1">[6]INV!$A$25:$D$28</definedName>
    <definedName name="____AFC3">[6]INV!$F$25:$I$28</definedName>
    <definedName name="____AFC5">[6]INV!$K$25:$N$28</definedName>
    <definedName name="____ane7" localSheetId="11">[13]!_xlbgnm.ane7</definedName>
    <definedName name="____ane7">[13]!_xlbgnm.ane7</definedName>
    <definedName name="____ane8" localSheetId="11">[13]!_xlbgnm.ane8</definedName>
    <definedName name="____ane8">[13]!_xlbgnm.ane8</definedName>
    <definedName name="____Atp2">[14]EMPRESA!$F$22</definedName>
    <definedName name="____BGC1">[6]INV!$A$5:$D$8</definedName>
    <definedName name="____BGC3">[6]INV!$F$5:$I$8</definedName>
    <definedName name="____BGC5">[6]INV!$K$5:$N$8</definedName>
    <definedName name="____CAC1">[6]INV!$A$19:$D$22</definedName>
    <definedName name="____CAC3">[6]INV!$F$19:$I$22</definedName>
    <definedName name="____CAC5">[6]INV!$K$19:$N$22</definedName>
    <definedName name="____COM1" localSheetId="11">#REF!</definedName>
    <definedName name="____COM1">#REF!</definedName>
    <definedName name="____COM10" localSheetId="11">#REF!</definedName>
    <definedName name="____COM10">#REF!</definedName>
    <definedName name="____COM11" localSheetId="11">#REF!</definedName>
    <definedName name="____COM11">#REF!</definedName>
    <definedName name="____COM12" localSheetId="11">#REF!</definedName>
    <definedName name="____COM12">#REF!</definedName>
    <definedName name="____COM13" localSheetId="11">#REF!</definedName>
    <definedName name="____COM13">#REF!</definedName>
    <definedName name="____COM14" localSheetId="11">#REF!</definedName>
    <definedName name="____COM14">#REF!</definedName>
    <definedName name="____COM15" localSheetId="11">#REF!</definedName>
    <definedName name="____COM15">#REF!</definedName>
    <definedName name="____COM16" localSheetId="11">#REF!</definedName>
    <definedName name="____COM16">#REF!</definedName>
    <definedName name="____COM17" localSheetId="11">#REF!</definedName>
    <definedName name="____COM17">#REF!</definedName>
    <definedName name="____COM18" localSheetId="11">#REF!</definedName>
    <definedName name="____COM18">#REF!</definedName>
    <definedName name="____COM19" localSheetId="11">#REF!</definedName>
    <definedName name="____COM19">#REF!</definedName>
    <definedName name="____COM2" localSheetId="11">#REF!</definedName>
    <definedName name="____COM2">#REF!</definedName>
    <definedName name="____COM20" localSheetId="11">#REF!</definedName>
    <definedName name="____COM20">#REF!</definedName>
    <definedName name="____COM21" localSheetId="11">#REF!</definedName>
    <definedName name="____COM21">#REF!</definedName>
    <definedName name="____COM3" localSheetId="11">#REF!</definedName>
    <definedName name="____COM3">#REF!</definedName>
    <definedName name="____COM4" localSheetId="11">#REF!</definedName>
    <definedName name="____COM4">#REF!</definedName>
    <definedName name="____COM5" localSheetId="11">#REF!</definedName>
    <definedName name="____COM5">#REF!</definedName>
    <definedName name="____COM6" localSheetId="11">#REF!</definedName>
    <definedName name="____COM6">#REF!</definedName>
    <definedName name="____COM7" localSheetId="11">#REF!</definedName>
    <definedName name="____COM7">#REF!</definedName>
    <definedName name="____COM8" localSheetId="11">#REF!</definedName>
    <definedName name="____COM8">#REF!</definedName>
    <definedName name="____COM9" localSheetId="11">#REF!</definedName>
    <definedName name="____COM9">#REF!</definedName>
    <definedName name="____DCI1" localSheetId="11">[11]Tablas!#REF!</definedName>
    <definedName name="____DCI1">[11]Tablas!#REF!</definedName>
    <definedName name="____DDS1" localSheetId="11">[11]Tablas!#REF!</definedName>
    <definedName name="____DDS1">[11]Tablas!#REF!</definedName>
    <definedName name="____DGO1" localSheetId="11">[11]Tablas!#REF!</definedName>
    <definedName name="____DGO1">[11]Tablas!#REF!</definedName>
    <definedName name="____DGP1" localSheetId="11">[11]Tablas!#REF!</definedName>
    <definedName name="____DGP1">[11]Tablas!#REF!</definedName>
    <definedName name="____DIJ1" localSheetId="11">[11]Tablas!#REF!</definedName>
    <definedName name="____DIJ1">[11]Tablas!#REF!</definedName>
    <definedName name="____DPI1" localSheetId="11">[11]Tablas!#REF!</definedName>
    <definedName name="____DPI1">[11]Tablas!#REF!</definedName>
    <definedName name="____DPY1" localSheetId="11">[11]Tablas!#REF!</definedName>
    <definedName name="____DPY1">[11]Tablas!#REF!</definedName>
    <definedName name="____DRI1" localSheetId="11">[11]Tablas!#REF!</definedName>
    <definedName name="____DRI1">[11]Tablas!#REF!</definedName>
    <definedName name="____DRL1" localSheetId="11">[11]Tablas!#REF!</definedName>
    <definedName name="____DRL1">[11]Tablas!#REF!</definedName>
    <definedName name="____DSP1" localSheetId="11">[11]Tablas!#REF!</definedName>
    <definedName name="____DSP1">[11]Tablas!#REF!</definedName>
    <definedName name="____ECP1" localSheetId="11">[11]Tablas!#REF!</definedName>
    <definedName name="____ECP1">[11]Tablas!#REF!</definedName>
    <definedName name="____ICP1" localSheetId="11">[11]Tablas!#REF!</definedName>
    <definedName name="____ICP1">[11]Tablas!#REF!</definedName>
    <definedName name="____LEY80" localSheetId="11">#REF!</definedName>
    <definedName name="____LEY80">#REF!</definedName>
    <definedName name="____MA2" localSheetId="11">#REF!</definedName>
    <definedName name="____MA2" localSheetId="12">#REF!</definedName>
    <definedName name="____MA2">#REF!</definedName>
    <definedName name="____OCD1" localSheetId="11">[11]Tablas!#REF!</definedName>
    <definedName name="____OCD1">[11]Tablas!#REF!</definedName>
    <definedName name="____OCI1" localSheetId="11">[11]Tablas!#REF!</definedName>
    <definedName name="____OCI1">[11]Tablas!#REF!</definedName>
    <definedName name="____PJ50" localSheetId="11">#REF!</definedName>
    <definedName name="____PJ50" localSheetId="12">#REF!</definedName>
    <definedName name="____PJ50">#REF!</definedName>
    <definedName name="____pj51" localSheetId="11">#REF!</definedName>
    <definedName name="____pj51" localSheetId="12">#REF!</definedName>
    <definedName name="____pj51">#REF!</definedName>
    <definedName name="____pr01" localSheetId="11">#REF!</definedName>
    <definedName name="____pr01">#REF!</definedName>
    <definedName name="____pr02" localSheetId="11">#REF!</definedName>
    <definedName name="____pr02">#REF!</definedName>
    <definedName name="____pr03" localSheetId="11">#REF!</definedName>
    <definedName name="____pr03">#REF!</definedName>
    <definedName name="____pr04" localSheetId="11">#REF!</definedName>
    <definedName name="____pr04">#REF!</definedName>
    <definedName name="____pr05" localSheetId="11">#REF!</definedName>
    <definedName name="____pr05">#REF!</definedName>
    <definedName name="____pr06" localSheetId="11">#REF!</definedName>
    <definedName name="____pr06">#REF!</definedName>
    <definedName name="____pr07" localSheetId="11">#REF!</definedName>
    <definedName name="____pr07">#REF!</definedName>
    <definedName name="____pr08" localSheetId="11">#REF!</definedName>
    <definedName name="____pr08">#REF!</definedName>
    <definedName name="____pr09" localSheetId="11">#REF!</definedName>
    <definedName name="____pr09">#REF!</definedName>
    <definedName name="____pr10" localSheetId="11">#REF!</definedName>
    <definedName name="____pr10">#REF!</definedName>
    <definedName name="____pr11" localSheetId="11">#REF!</definedName>
    <definedName name="____pr11">#REF!</definedName>
    <definedName name="____pr12" localSheetId="11">#REF!</definedName>
    <definedName name="____pr12">#REF!</definedName>
    <definedName name="____pr13" localSheetId="11">#REF!</definedName>
    <definedName name="____pr13">#REF!</definedName>
    <definedName name="____pr14" localSheetId="11">#REF!</definedName>
    <definedName name="____pr14">#REF!</definedName>
    <definedName name="____pr15" localSheetId="11">#REF!</definedName>
    <definedName name="____pr15">#REF!</definedName>
    <definedName name="____pr16" localSheetId="11">#REF!</definedName>
    <definedName name="____pr16">#REF!</definedName>
    <definedName name="____pr17" localSheetId="11">#REF!</definedName>
    <definedName name="____pr17">#REF!</definedName>
    <definedName name="____pr18" localSheetId="11">#REF!</definedName>
    <definedName name="____pr18">#REF!</definedName>
    <definedName name="____pr19" localSheetId="11">#REF!</definedName>
    <definedName name="____pr19">#REF!</definedName>
    <definedName name="____pr20" localSheetId="11">#REF!</definedName>
    <definedName name="____pr20">#REF!</definedName>
    <definedName name="____pr21" localSheetId="11">#REF!</definedName>
    <definedName name="____pr21">#REF!</definedName>
    <definedName name="____pr22" localSheetId="11">#REF!</definedName>
    <definedName name="____pr22">#REF!</definedName>
    <definedName name="____pr23" localSheetId="11">#REF!</definedName>
    <definedName name="____pr23">#REF!</definedName>
    <definedName name="____pr24" localSheetId="11">#REF!</definedName>
    <definedName name="____pr24">#REF!</definedName>
    <definedName name="____pr25" localSheetId="11">#REF!</definedName>
    <definedName name="____pr25">#REF!</definedName>
    <definedName name="____pr26" localSheetId="11">#REF!</definedName>
    <definedName name="____pr26">#REF!</definedName>
    <definedName name="____pr27" localSheetId="11">#REF!</definedName>
    <definedName name="____pr27">#REF!</definedName>
    <definedName name="____pr28" localSheetId="11">#REF!</definedName>
    <definedName name="____pr28">#REF!</definedName>
    <definedName name="____pr29" localSheetId="11">#REF!</definedName>
    <definedName name="____pr29">#REF!</definedName>
    <definedName name="____pr30" localSheetId="11">#REF!</definedName>
    <definedName name="____pr30">#REF!</definedName>
    <definedName name="____pr31" localSheetId="11">#REF!</definedName>
    <definedName name="____pr31">#REF!</definedName>
    <definedName name="____pr32" localSheetId="11">#REF!</definedName>
    <definedName name="____pr32">#REF!</definedName>
    <definedName name="____pr33" localSheetId="11">#REF!</definedName>
    <definedName name="____pr33">#REF!</definedName>
    <definedName name="____pr34" localSheetId="11">#REF!</definedName>
    <definedName name="____pr34">#REF!</definedName>
    <definedName name="____pr35" localSheetId="11">#REF!</definedName>
    <definedName name="____pr35">#REF!</definedName>
    <definedName name="____pr36" localSheetId="11">#REF!</definedName>
    <definedName name="____pr36">#REF!</definedName>
    <definedName name="____pr37" localSheetId="11">#REF!</definedName>
    <definedName name="____pr37">#REF!</definedName>
    <definedName name="____pr38" localSheetId="11">#REF!</definedName>
    <definedName name="____pr38">#REF!</definedName>
    <definedName name="____pr39" localSheetId="11">#REF!</definedName>
    <definedName name="____pr39">#REF!</definedName>
    <definedName name="____pr40" localSheetId="11">#REF!</definedName>
    <definedName name="____pr40">#REF!</definedName>
    <definedName name="____pr41" localSheetId="11">#REF!</definedName>
    <definedName name="____pr41">#REF!</definedName>
    <definedName name="____pr42" localSheetId="11">#REF!</definedName>
    <definedName name="____pr42">#REF!</definedName>
    <definedName name="____pr43" localSheetId="11">#REF!</definedName>
    <definedName name="____pr43">#REF!</definedName>
    <definedName name="____pr44" localSheetId="11">#REF!</definedName>
    <definedName name="____pr44">#REF!</definedName>
    <definedName name="____pr45" localSheetId="11">#REF!</definedName>
    <definedName name="____pr45">#REF!</definedName>
    <definedName name="____pr46" localSheetId="11">#REF!</definedName>
    <definedName name="____pr46">#REF!</definedName>
    <definedName name="____pr47" localSheetId="11">#REF!</definedName>
    <definedName name="____pr47">#REF!</definedName>
    <definedName name="____pr48" localSheetId="11">#REF!</definedName>
    <definedName name="____pr48">#REF!</definedName>
    <definedName name="____pr49" localSheetId="11">#REF!</definedName>
    <definedName name="____pr49">#REF!</definedName>
    <definedName name="____pr50" localSheetId="11">#REF!</definedName>
    <definedName name="____pr50">#REF!</definedName>
    <definedName name="____pr51" localSheetId="11">#REF!</definedName>
    <definedName name="____pr51">#REF!</definedName>
    <definedName name="____pr52" localSheetId="11">#REF!</definedName>
    <definedName name="____pr52">#REF!</definedName>
    <definedName name="____pr53" localSheetId="11">#REF!</definedName>
    <definedName name="____pr53">#REF!</definedName>
    <definedName name="____pr54" localSheetId="11">#REF!</definedName>
    <definedName name="____pr54">#REF!</definedName>
    <definedName name="____pr55" localSheetId="11">#REF!</definedName>
    <definedName name="____pr55">#REF!</definedName>
    <definedName name="____pr56" localSheetId="11">#REF!</definedName>
    <definedName name="____pr56">#REF!</definedName>
    <definedName name="____pr57" localSheetId="11">#REF!</definedName>
    <definedName name="____pr57">#REF!</definedName>
    <definedName name="____pr58" localSheetId="11">#REF!</definedName>
    <definedName name="____pr58">#REF!</definedName>
    <definedName name="____pr59" localSheetId="11">#REF!</definedName>
    <definedName name="____pr59">#REF!</definedName>
    <definedName name="____pr60" localSheetId="11">#REF!</definedName>
    <definedName name="____pr60">#REF!</definedName>
    <definedName name="____pr61" localSheetId="11">#REF!</definedName>
    <definedName name="____pr61">#REF!</definedName>
    <definedName name="____pr62" localSheetId="11">#REF!</definedName>
    <definedName name="____pr62">#REF!</definedName>
    <definedName name="____pr63" localSheetId="11">#REF!</definedName>
    <definedName name="____pr63">#REF!</definedName>
    <definedName name="____pr64" localSheetId="11">#REF!</definedName>
    <definedName name="____pr64">#REF!</definedName>
    <definedName name="____pr65" localSheetId="11">#REF!</definedName>
    <definedName name="____pr65">#REF!</definedName>
    <definedName name="____pr66" localSheetId="11">#REF!</definedName>
    <definedName name="____pr66">#REF!</definedName>
    <definedName name="____pr67" localSheetId="11">#REF!</definedName>
    <definedName name="____pr67">#REF!</definedName>
    <definedName name="____pr68" localSheetId="11">#REF!</definedName>
    <definedName name="____pr68">#REF!</definedName>
    <definedName name="____pr69" localSheetId="11">#REF!</definedName>
    <definedName name="____pr69">#REF!</definedName>
    <definedName name="____pr70" localSheetId="11">#REF!</definedName>
    <definedName name="____pr70">#REF!</definedName>
    <definedName name="____pr71" localSheetId="11">#REF!</definedName>
    <definedName name="____pr71">#REF!</definedName>
    <definedName name="____pr72" localSheetId="11">#REF!</definedName>
    <definedName name="____pr72">#REF!</definedName>
    <definedName name="____R32JH" localSheetId="8">[15]BASE!$C$41</definedName>
    <definedName name="____R32JH" localSheetId="9">[15]BASE!$C$41</definedName>
    <definedName name="____R32JH">BASE!$C$41</definedName>
    <definedName name="____SBC1">[6]INV!$A$12:$D$15</definedName>
    <definedName name="____SBC3">[6]INV!$F$12:$I$15</definedName>
    <definedName name="____SBC5">[6]INV!$K$12:$N$15</definedName>
    <definedName name="____TOP1" localSheetId="11">#REF!</definedName>
    <definedName name="____TOP1">#REF!</definedName>
    <definedName name="____TOP10" localSheetId="11">#REF!</definedName>
    <definedName name="____TOP10">#REF!</definedName>
    <definedName name="____TOP2" localSheetId="11">#REF!</definedName>
    <definedName name="____TOP2">#REF!</definedName>
    <definedName name="____TOP3" localSheetId="11">#REF!</definedName>
    <definedName name="____TOP3">#REF!</definedName>
    <definedName name="____TOP4" localSheetId="11">#REF!</definedName>
    <definedName name="____TOP4">#REF!</definedName>
    <definedName name="____TOP5" localSheetId="11">#REF!</definedName>
    <definedName name="____TOP5">#REF!</definedName>
    <definedName name="____TOP6" localSheetId="11">#REF!</definedName>
    <definedName name="____TOP6">#REF!</definedName>
    <definedName name="____TOP7" localSheetId="11">#REF!</definedName>
    <definedName name="____TOP7">#REF!</definedName>
    <definedName name="____TOP8" localSheetId="11">#REF!</definedName>
    <definedName name="____TOP8">#REF!</definedName>
    <definedName name="____TOP9" localSheetId="11">#REF!</definedName>
    <definedName name="____TOP9">#REF!</definedName>
    <definedName name="____TZ263">[16]BASE!$D$95</definedName>
    <definedName name="____VEX1" localSheetId="11">[11]Tablas!#REF!</definedName>
    <definedName name="____VEX1">[11]Tablas!#REF!</definedName>
    <definedName name="____VFA1" localSheetId="11">[11]Tablas!#REF!</definedName>
    <definedName name="____VFA1">[11]Tablas!#REF!</definedName>
    <definedName name="____VIT1" localSheetId="11">[11]Tablas!#REF!</definedName>
    <definedName name="____VIT1">[11]Tablas!#REF!</definedName>
    <definedName name="____VPR1" localSheetId="11">[11]Tablas!#REF!</definedName>
    <definedName name="____VPR1">[11]Tablas!#REF!</definedName>
    <definedName name="____VPR2" localSheetId="11">#REF!</definedName>
    <definedName name="____VPR2">#REF!</definedName>
    <definedName name="____VRP1" localSheetId="11">[11]Tablas!#REF!</definedName>
    <definedName name="____VRP1">[11]Tablas!#REF!</definedName>
    <definedName name="____VSM1" localSheetId="11">[11]Tablas!#REF!</definedName>
    <definedName name="____VSM1">[11]Tablas!#REF!</definedName>
    <definedName name="___AFC1">[6]INV!$A$25:$D$28</definedName>
    <definedName name="___AFC3">[6]INV!$F$25:$I$28</definedName>
    <definedName name="___AFC5">[6]INV!$K$25:$N$28</definedName>
    <definedName name="___ane7" localSheetId="11">[17]!_xlbgnm.ane7</definedName>
    <definedName name="___ane7">[17]!_xlbgnm.ane7</definedName>
    <definedName name="___ane8" localSheetId="11">[17]!_xlbgnm.ane8</definedName>
    <definedName name="___ane8">[17]!_xlbgnm.ane8</definedName>
    <definedName name="___Atp2">[18]EMPRESA!$F$22</definedName>
    <definedName name="___BGC1">[6]INV!$A$5:$D$8</definedName>
    <definedName name="___BGC3">[6]INV!$F$5:$I$8</definedName>
    <definedName name="___BGC5">[6]INV!$K$5:$N$8</definedName>
    <definedName name="___CAC1">[6]INV!$A$19:$D$22</definedName>
    <definedName name="___CAC3">[6]INV!$F$19:$I$22</definedName>
    <definedName name="___CAC5">[6]INV!$K$19:$N$22</definedName>
    <definedName name="___COM1" localSheetId="11">#REF!</definedName>
    <definedName name="___COM1">#REF!</definedName>
    <definedName name="___COM10" localSheetId="11">#REF!</definedName>
    <definedName name="___COM10">#REF!</definedName>
    <definedName name="___COM11" localSheetId="11">#REF!</definedName>
    <definedName name="___COM11">#REF!</definedName>
    <definedName name="___COM12" localSheetId="11">#REF!</definedName>
    <definedName name="___COM12">#REF!</definedName>
    <definedName name="___COM13" localSheetId="11">#REF!</definedName>
    <definedName name="___COM13">#REF!</definedName>
    <definedName name="___COM14" localSheetId="11">#REF!</definedName>
    <definedName name="___COM14">#REF!</definedName>
    <definedName name="___COM15" localSheetId="11">#REF!</definedName>
    <definedName name="___COM15">#REF!</definedName>
    <definedName name="___COM16" localSheetId="11">#REF!</definedName>
    <definedName name="___COM16">#REF!</definedName>
    <definedName name="___COM17" localSheetId="11">#REF!</definedName>
    <definedName name="___COM17">#REF!</definedName>
    <definedName name="___COM18" localSheetId="11">#REF!</definedName>
    <definedName name="___COM18">#REF!</definedName>
    <definedName name="___COM19" localSheetId="11">#REF!</definedName>
    <definedName name="___COM19">#REF!</definedName>
    <definedName name="___COM2" localSheetId="11">#REF!</definedName>
    <definedName name="___COM2">#REF!</definedName>
    <definedName name="___COM20" localSheetId="11">#REF!</definedName>
    <definedName name="___COM20">#REF!</definedName>
    <definedName name="___COM21" localSheetId="11">#REF!</definedName>
    <definedName name="___COM21">#REF!</definedName>
    <definedName name="___COM3" localSheetId="11">#REF!</definedName>
    <definedName name="___COM3">#REF!</definedName>
    <definedName name="___COM4" localSheetId="11">#REF!</definedName>
    <definedName name="___COM4">#REF!</definedName>
    <definedName name="___COM5" localSheetId="11">#REF!</definedName>
    <definedName name="___COM5">#REF!</definedName>
    <definedName name="___COM6" localSheetId="11">#REF!</definedName>
    <definedName name="___COM6">#REF!</definedName>
    <definedName name="___COM7" localSheetId="11">#REF!</definedName>
    <definedName name="___COM7">#REF!</definedName>
    <definedName name="___COM8" localSheetId="11">#REF!</definedName>
    <definedName name="___COM8">#REF!</definedName>
    <definedName name="___COM9" localSheetId="11">#REF!</definedName>
    <definedName name="___COM9">#REF!</definedName>
    <definedName name="___DCI1" localSheetId="11">[11]Tablas!#REF!</definedName>
    <definedName name="___DCI1">[11]Tablas!#REF!</definedName>
    <definedName name="___DDS1" localSheetId="11">[11]Tablas!#REF!</definedName>
    <definedName name="___DDS1">[11]Tablas!#REF!</definedName>
    <definedName name="___DGO1" localSheetId="11">[11]Tablas!#REF!</definedName>
    <definedName name="___DGO1">[11]Tablas!#REF!</definedName>
    <definedName name="___DGP1" localSheetId="11">[11]Tablas!#REF!</definedName>
    <definedName name="___DGP1">[11]Tablas!#REF!</definedName>
    <definedName name="___DIJ1" localSheetId="11">[11]Tablas!#REF!</definedName>
    <definedName name="___DIJ1">[11]Tablas!#REF!</definedName>
    <definedName name="___DPI1" localSheetId="11">[11]Tablas!#REF!</definedName>
    <definedName name="___DPI1">[11]Tablas!#REF!</definedName>
    <definedName name="___DPY1" localSheetId="11">[11]Tablas!#REF!</definedName>
    <definedName name="___DPY1">[11]Tablas!#REF!</definedName>
    <definedName name="___DRI1" localSheetId="11">[11]Tablas!#REF!</definedName>
    <definedName name="___DRI1">[11]Tablas!#REF!</definedName>
    <definedName name="___DRL1" localSheetId="11">[11]Tablas!#REF!</definedName>
    <definedName name="___DRL1">[11]Tablas!#REF!</definedName>
    <definedName name="___DSP1" localSheetId="11">[11]Tablas!#REF!</definedName>
    <definedName name="___DSP1">[11]Tablas!#REF!</definedName>
    <definedName name="___ECP1" localSheetId="11">[11]Tablas!#REF!</definedName>
    <definedName name="___ECP1">[11]Tablas!#REF!</definedName>
    <definedName name="___ICP1" localSheetId="11">[11]Tablas!#REF!</definedName>
    <definedName name="___ICP1">[11]Tablas!#REF!</definedName>
    <definedName name="___key2" localSheetId="11" hidden="1">[8]INST!#REF!</definedName>
    <definedName name="___key2" hidden="1">[8]INST!#REF!</definedName>
    <definedName name="___key3" localSheetId="11" hidden="1">#REF!</definedName>
    <definedName name="___key3" hidden="1">#REF!</definedName>
    <definedName name="___key31" localSheetId="11" hidden="1">#REF!</definedName>
    <definedName name="___key31" hidden="1">#REF!</definedName>
    <definedName name="___LEY80" localSheetId="11">#REF!</definedName>
    <definedName name="___LEY80">#REF!</definedName>
    <definedName name="___MA2" localSheetId="11">#REF!</definedName>
    <definedName name="___MA2" localSheetId="12">#REF!</definedName>
    <definedName name="___MA2">#REF!</definedName>
    <definedName name="___OCD1" localSheetId="11">[11]Tablas!#REF!</definedName>
    <definedName name="___OCD1">[11]Tablas!#REF!</definedName>
    <definedName name="___OCI1" localSheetId="11">[11]Tablas!#REF!</definedName>
    <definedName name="___OCI1">[11]Tablas!#REF!</definedName>
    <definedName name="___PJ50" localSheetId="11">#REF!</definedName>
    <definedName name="___PJ50" localSheetId="12">#REF!</definedName>
    <definedName name="___PJ50">#REF!</definedName>
    <definedName name="___pj51" localSheetId="11">#REF!</definedName>
    <definedName name="___pj51" localSheetId="12">#REF!</definedName>
    <definedName name="___pj51">#REF!</definedName>
    <definedName name="___pr01" localSheetId="11">#REF!</definedName>
    <definedName name="___pr01">#REF!</definedName>
    <definedName name="___pr02" localSheetId="11">#REF!</definedName>
    <definedName name="___pr02">#REF!</definedName>
    <definedName name="___pr03" localSheetId="11">#REF!</definedName>
    <definedName name="___pr03">#REF!</definedName>
    <definedName name="___pr04" localSheetId="11">#REF!</definedName>
    <definedName name="___pr04">#REF!</definedName>
    <definedName name="___pr05" localSheetId="11">#REF!</definedName>
    <definedName name="___pr05">#REF!</definedName>
    <definedName name="___pr06" localSheetId="11">#REF!</definedName>
    <definedName name="___pr06">#REF!</definedName>
    <definedName name="___pr07" localSheetId="11">#REF!</definedName>
    <definedName name="___pr07">#REF!</definedName>
    <definedName name="___pr08" localSheetId="11">#REF!</definedName>
    <definedName name="___pr08">#REF!</definedName>
    <definedName name="___pr09" localSheetId="11">#REF!</definedName>
    <definedName name="___pr09">#REF!</definedName>
    <definedName name="___pr10" localSheetId="11">#REF!</definedName>
    <definedName name="___pr10">#REF!</definedName>
    <definedName name="___pr11" localSheetId="11">#REF!</definedName>
    <definedName name="___pr11">#REF!</definedName>
    <definedName name="___pr12" localSheetId="11">#REF!</definedName>
    <definedName name="___pr12">#REF!</definedName>
    <definedName name="___pr13" localSheetId="11">#REF!</definedName>
    <definedName name="___pr13">#REF!</definedName>
    <definedName name="___pr14" localSheetId="11">#REF!</definedName>
    <definedName name="___pr14">#REF!</definedName>
    <definedName name="___pr15" localSheetId="11">#REF!</definedName>
    <definedName name="___pr15">#REF!</definedName>
    <definedName name="___pr16" localSheetId="11">#REF!</definedName>
    <definedName name="___pr16">#REF!</definedName>
    <definedName name="___pr17" localSheetId="11">#REF!</definedName>
    <definedName name="___pr17">#REF!</definedName>
    <definedName name="___pr18" localSheetId="11">#REF!</definedName>
    <definedName name="___pr18">#REF!</definedName>
    <definedName name="___pr19" localSheetId="11">#REF!</definedName>
    <definedName name="___pr19">#REF!</definedName>
    <definedName name="___pr20" localSheetId="11">#REF!</definedName>
    <definedName name="___pr20">#REF!</definedName>
    <definedName name="___pr21" localSheetId="11">#REF!</definedName>
    <definedName name="___pr21">#REF!</definedName>
    <definedName name="___pr22" localSheetId="11">#REF!</definedName>
    <definedName name="___pr22">#REF!</definedName>
    <definedName name="___pr23" localSheetId="11">#REF!</definedName>
    <definedName name="___pr23">#REF!</definedName>
    <definedName name="___pr24" localSheetId="11">#REF!</definedName>
    <definedName name="___pr24">#REF!</definedName>
    <definedName name="___pr25" localSheetId="11">#REF!</definedName>
    <definedName name="___pr25">#REF!</definedName>
    <definedName name="___pr26" localSheetId="11">#REF!</definedName>
    <definedName name="___pr26">#REF!</definedName>
    <definedName name="___pr27" localSheetId="11">#REF!</definedName>
    <definedName name="___pr27">#REF!</definedName>
    <definedName name="___pr28" localSheetId="11">#REF!</definedName>
    <definedName name="___pr28">#REF!</definedName>
    <definedName name="___pr29" localSheetId="11">#REF!</definedName>
    <definedName name="___pr29">#REF!</definedName>
    <definedName name="___pr30" localSheetId="11">#REF!</definedName>
    <definedName name="___pr30">#REF!</definedName>
    <definedName name="___pr31" localSheetId="11">#REF!</definedName>
    <definedName name="___pr31">#REF!</definedName>
    <definedName name="___pr32" localSheetId="11">#REF!</definedName>
    <definedName name="___pr32">#REF!</definedName>
    <definedName name="___pr33" localSheetId="11">#REF!</definedName>
    <definedName name="___pr33">#REF!</definedName>
    <definedName name="___pr34" localSheetId="11">#REF!</definedName>
    <definedName name="___pr34">#REF!</definedName>
    <definedName name="___pr35" localSheetId="11">#REF!</definedName>
    <definedName name="___pr35">#REF!</definedName>
    <definedName name="___pr36" localSheetId="11">#REF!</definedName>
    <definedName name="___pr36">#REF!</definedName>
    <definedName name="___pr37" localSheetId="11">#REF!</definedName>
    <definedName name="___pr37">#REF!</definedName>
    <definedName name="___pr38" localSheetId="11">#REF!</definedName>
    <definedName name="___pr38">#REF!</definedName>
    <definedName name="___pr39" localSheetId="11">#REF!</definedName>
    <definedName name="___pr39">#REF!</definedName>
    <definedName name="___pr40" localSheetId="11">#REF!</definedName>
    <definedName name="___pr40">#REF!</definedName>
    <definedName name="___pr41" localSheetId="11">#REF!</definedName>
    <definedName name="___pr41">#REF!</definedName>
    <definedName name="___pr42" localSheetId="11">#REF!</definedName>
    <definedName name="___pr42">#REF!</definedName>
    <definedName name="___pr43" localSheetId="11">#REF!</definedName>
    <definedName name="___pr43">#REF!</definedName>
    <definedName name="___pr44" localSheetId="11">#REF!</definedName>
    <definedName name="___pr44">#REF!</definedName>
    <definedName name="___pr45" localSheetId="11">#REF!</definedName>
    <definedName name="___pr45">#REF!</definedName>
    <definedName name="___pr46" localSheetId="11">#REF!</definedName>
    <definedName name="___pr46">#REF!</definedName>
    <definedName name="___pr47" localSheetId="11">#REF!</definedName>
    <definedName name="___pr47">#REF!</definedName>
    <definedName name="___pr48" localSheetId="11">#REF!</definedName>
    <definedName name="___pr48">#REF!</definedName>
    <definedName name="___pr49" localSheetId="11">#REF!</definedName>
    <definedName name="___pr49">#REF!</definedName>
    <definedName name="___pr50" localSheetId="11">#REF!</definedName>
    <definedName name="___pr50">#REF!</definedName>
    <definedName name="___pr51" localSheetId="11">#REF!</definedName>
    <definedName name="___pr51">#REF!</definedName>
    <definedName name="___pr52" localSheetId="11">#REF!</definedName>
    <definedName name="___pr52">#REF!</definedName>
    <definedName name="___pr53" localSheetId="11">#REF!</definedName>
    <definedName name="___pr53">#REF!</definedName>
    <definedName name="___pr54" localSheetId="11">#REF!</definedName>
    <definedName name="___pr54">#REF!</definedName>
    <definedName name="___pr55" localSheetId="11">#REF!</definedName>
    <definedName name="___pr55">#REF!</definedName>
    <definedName name="___pr56" localSheetId="11">#REF!</definedName>
    <definedName name="___pr56">#REF!</definedName>
    <definedName name="___pr57" localSheetId="11">#REF!</definedName>
    <definedName name="___pr57">#REF!</definedName>
    <definedName name="___pr58" localSheetId="11">#REF!</definedName>
    <definedName name="___pr58">#REF!</definedName>
    <definedName name="___pr59" localSheetId="11">#REF!</definedName>
    <definedName name="___pr59">#REF!</definedName>
    <definedName name="___pr60" localSheetId="11">#REF!</definedName>
    <definedName name="___pr60">#REF!</definedName>
    <definedName name="___pr61" localSheetId="11">#REF!</definedName>
    <definedName name="___pr61">#REF!</definedName>
    <definedName name="___pr62" localSheetId="11">#REF!</definedName>
    <definedName name="___pr62">#REF!</definedName>
    <definedName name="___pr63" localSheetId="11">#REF!</definedName>
    <definedName name="___pr63">#REF!</definedName>
    <definedName name="___pr64" localSheetId="11">#REF!</definedName>
    <definedName name="___pr64">#REF!</definedName>
    <definedName name="___pr65" localSheetId="11">#REF!</definedName>
    <definedName name="___pr65">#REF!</definedName>
    <definedName name="___pr66" localSheetId="11">#REF!</definedName>
    <definedName name="___pr66">#REF!</definedName>
    <definedName name="___pr67" localSheetId="11">#REF!</definedName>
    <definedName name="___pr67">#REF!</definedName>
    <definedName name="___pr68" localSheetId="11">#REF!</definedName>
    <definedName name="___pr68">#REF!</definedName>
    <definedName name="___pr69" localSheetId="11">#REF!</definedName>
    <definedName name="___pr69">#REF!</definedName>
    <definedName name="___pr70" localSheetId="11">#REF!</definedName>
    <definedName name="___pr70">#REF!</definedName>
    <definedName name="___pr71" localSheetId="11">#REF!</definedName>
    <definedName name="___pr71">#REF!</definedName>
    <definedName name="___pr72" localSheetId="11">#REF!</definedName>
    <definedName name="___pr72">#REF!</definedName>
    <definedName name="___SBC1">[6]INV!$A$12:$D$15</definedName>
    <definedName name="___SBC3">[6]INV!$F$12:$I$15</definedName>
    <definedName name="___SBC5">[6]INV!$K$12:$N$15</definedName>
    <definedName name="___TOP1" localSheetId="11">#REF!</definedName>
    <definedName name="___TOP1">#REF!</definedName>
    <definedName name="___TOP10" localSheetId="11">#REF!</definedName>
    <definedName name="___TOP10">#REF!</definedName>
    <definedName name="___TOP2" localSheetId="11">#REF!</definedName>
    <definedName name="___TOP2">#REF!</definedName>
    <definedName name="___TOP3" localSheetId="11">#REF!</definedName>
    <definedName name="___TOP3">#REF!</definedName>
    <definedName name="___TOP4" localSheetId="11">#REF!</definedName>
    <definedName name="___TOP4">#REF!</definedName>
    <definedName name="___TOP5" localSheetId="11">#REF!</definedName>
    <definedName name="___TOP5">#REF!</definedName>
    <definedName name="___TOP6" localSheetId="11">#REF!</definedName>
    <definedName name="___TOP6">#REF!</definedName>
    <definedName name="___TOP7" localSheetId="11">#REF!</definedName>
    <definedName name="___TOP7">#REF!</definedName>
    <definedName name="___TOP8" localSheetId="11">#REF!</definedName>
    <definedName name="___TOP8">#REF!</definedName>
    <definedName name="___TOP9" localSheetId="11">#REF!</definedName>
    <definedName name="___TOP9">#REF!</definedName>
    <definedName name="___VEX1" localSheetId="11">[11]Tablas!#REF!</definedName>
    <definedName name="___VEX1">[11]Tablas!#REF!</definedName>
    <definedName name="___VFA1" localSheetId="11">[11]Tablas!#REF!</definedName>
    <definedName name="___VFA1">[11]Tablas!#REF!</definedName>
    <definedName name="___VIT1" localSheetId="11">[11]Tablas!#REF!</definedName>
    <definedName name="___VIT1">[11]Tablas!#REF!</definedName>
    <definedName name="___VPR1" localSheetId="11">[11]Tablas!#REF!</definedName>
    <definedName name="___VPR1">[11]Tablas!#REF!</definedName>
    <definedName name="___VPR2" localSheetId="11">#REF!</definedName>
    <definedName name="___VPR2">#REF!</definedName>
    <definedName name="___VRP1" localSheetId="11">[11]Tablas!#REF!</definedName>
    <definedName name="___VRP1">[11]Tablas!#REF!</definedName>
    <definedName name="___VSM1" localSheetId="11">[11]Tablas!#REF!</definedName>
    <definedName name="___VSM1">[11]Tablas!#REF!</definedName>
    <definedName name="__123Graph_A" localSheetId="11" hidden="1">#REF!</definedName>
    <definedName name="__123Graph_A" hidden="1">#REF!</definedName>
    <definedName name="__123Graph_B" localSheetId="11" hidden="1">#REF!</definedName>
    <definedName name="__123Graph_B" hidden="1">#REF!</definedName>
    <definedName name="__ADM4">[16]BASE!$D$133</definedName>
    <definedName name="__AFC1">[6]INV!$A$25:$D$28</definedName>
    <definedName name="__AFC3">[6]INV!$F$25:$I$28</definedName>
    <definedName name="__AFC5">[6]INV!$K$25:$N$28</definedName>
    <definedName name="__ane7" localSheetId="11">[13]!_xlbgnm.ane7</definedName>
    <definedName name="__ane7">[13]!_xlbgnm.ane7</definedName>
    <definedName name="__ane8" localSheetId="11">[13]!_xlbgnm.ane8</definedName>
    <definedName name="__ane8">[13]!_xlbgnm.ane8</definedName>
    <definedName name="__Atp2">[19]EMPRESA!$F$22</definedName>
    <definedName name="__BGC1">[6]INV!$A$5:$D$8</definedName>
    <definedName name="__BGC3">[6]INV!$F$5:$I$8</definedName>
    <definedName name="__BGC5">[6]INV!$K$5:$N$8</definedName>
    <definedName name="__CAC1">[6]INV!$A$19:$D$22</definedName>
    <definedName name="__CAC3">[6]INV!$F$19:$I$22</definedName>
    <definedName name="__CAC5">[6]INV!$K$19:$N$22</definedName>
    <definedName name="__Cod1" localSheetId="11">#REF!</definedName>
    <definedName name="__Cod1">#REF!</definedName>
    <definedName name="__COM1" localSheetId="11">#REF!</definedName>
    <definedName name="__COM1">#REF!</definedName>
    <definedName name="__COM10" localSheetId="11">#REF!</definedName>
    <definedName name="__COM10">#REF!</definedName>
    <definedName name="__COM11" localSheetId="11">#REF!</definedName>
    <definedName name="__COM11">#REF!</definedName>
    <definedName name="__COM12" localSheetId="11">#REF!</definedName>
    <definedName name="__COM12">#REF!</definedName>
    <definedName name="__COM13" localSheetId="11">#REF!</definedName>
    <definedName name="__COM13">#REF!</definedName>
    <definedName name="__COM14" localSheetId="11">#REF!</definedName>
    <definedName name="__COM14">#REF!</definedName>
    <definedName name="__COM15" localSheetId="11">#REF!</definedName>
    <definedName name="__COM15">#REF!</definedName>
    <definedName name="__COM16" localSheetId="11">#REF!</definedName>
    <definedName name="__COM16">#REF!</definedName>
    <definedName name="__COM17" localSheetId="11">#REF!</definedName>
    <definedName name="__COM17">#REF!</definedName>
    <definedName name="__COM18" localSheetId="11">#REF!</definedName>
    <definedName name="__COM18">#REF!</definedName>
    <definedName name="__COM19" localSheetId="11">#REF!</definedName>
    <definedName name="__COM19">#REF!</definedName>
    <definedName name="__COM2" localSheetId="11">#REF!</definedName>
    <definedName name="__COM2">#REF!</definedName>
    <definedName name="__COM20" localSheetId="11">#REF!</definedName>
    <definedName name="__COM20">#REF!</definedName>
    <definedName name="__COM21" localSheetId="11">#REF!</definedName>
    <definedName name="__COM21">#REF!</definedName>
    <definedName name="__COM3" localSheetId="11">#REF!</definedName>
    <definedName name="__COM3">#REF!</definedName>
    <definedName name="__COM4" localSheetId="11">#REF!</definedName>
    <definedName name="__COM4">#REF!</definedName>
    <definedName name="__COM5" localSheetId="11">#REF!</definedName>
    <definedName name="__COM5">#REF!</definedName>
    <definedName name="__COM6" localSheetId="11">#REF!</definedName>
    <definedName name="__COM6">#REF!</definedName>
    <definedName name="__COM7" localSheetId="11">#REF!</definedName>
    <definedName name="__COM7">#REF!</definedName>
    <definedName name="__COM8" localSheetId="11">#REF!</definedName>
    <definedName name="__COM8">#REF!</definedName>
    <definedName name="__COM9" localSheetId="11">#REF!</definedName>
    <definedName name="__COM9">#REF!</definedName>
    <definedName name="__DCI1" localSheetId="11">[11]Tablas!#REF!</definedName>
    <definedName name="__DCI1">[11]Tablas!#REF!</definedName>
    <definedName name="__DDS1" localSheetId="11">[11]Tablas!#REF!</definedName>
    <definedName name="__DDS1">[11]Tablas!#REF!</definedName>
    <definedName name="__DGO1" localSheetId="11">[11]Tablas!#REF!</definedName>
    <definedName name="__DGO1">[11]Tablas!#REF!</definedName>
    <definedName name="__DGP1" localSheetId="11">[11]Tablas!#REF!</definedName>
    <definedName name="__DGP1">[11]Tablas!#REF!</definedName>
    <definedName name="__DIJ1" localSheetId="11">[11]Tablas!#REF!</definedName>
    <definedName name="__DIJ1">[11]Tablas!#REF!</definedName>
    <definedName name="__DPI1" localSheetId="11">[11]Tablas!#REF!</definedName>
    <definedName name="__DPI1">[11]Tablas!#REF!</definedName>
    <definedName name="__DPY1" localSheetId="11">[11]Tablas!#REF!</definedName>
    <definedName name="__DPY1">[11]Tablas!#REF!</definedName>
    <definedName name="__DRI1" localSheetId="11">[11]Tablas!#REF!</definedName>
    <definedName name="__DRI1">[11]Tablas!#REF!</definedName>
    <definedName name="__DRL1" localSheetId="11">[11]Tablas!#REF!</definedName>
    <definedName name="__DRL1">[11]Tablas!#REF!</definedName>
    <definedName name="__DSP1" localSheetId="11">[11]Tablas!#REF!</definedName>
    <definedName name="__DSP1">[11]Tablas!#REF!</definedName>
    <definedName name="__ECP1" localSheetId="11">[11]Tablas!#REF!</definedName>
    <definedName name="__ECP1">[11]Tablas!#REF!</definedName>
    <definedName name="__F" localSheetId="12">'Formulario No. 1'!ERR</definedName>
    <definedName name="__F">[0]!ERR</definedName>
    <definedName name="__FS01" localSheetId="12">'Formulario No. 1'!ERR</definedName>
    <definedName name="__FS01">[0]!ERR</definedName>
    <definedName name="__ICP1" localSheetId="11">[11]Tablas!#REF!</definedName>
    <definedName name="__ICP1">[11]Tablas!#REF!</definedName>
    <definedName name="__key2" localSheetId="11" hidden="1">[20]INST!#REF!</definedName>
    <definedName name="__key2" hidden="1">[20]INST!#REF!</definedName>
    <definedName name="__key21" localSheetId="11" hidden="1">[8]INST!#REF!</definedName>
    <definedName name="__key21" hidden="1">[8]INST!#REF!</definedName>
    <definedName name="__key3" localSheetId="11" hidden="1">#REF!</definedName>
    <definedName name="__key3" hidden="1">#REF!</definedName>
    <definedName name="__key31" localSheetId="11" hidden="1">#REF!</definedName>
    <definedName name="__key31" hidden="1">#REF!</definedName>
    <definedName name="__LEY80" localSheetId="11">#REF!</definedName>
    <definedName name="__LEY80">#REF!</definedName>
    <definedName name="__MA2" localSheetId="11">#REF!</definedName>
    <definedName name="__MA2" localSheetId="12">#REF!</definedName>
    <definedName name="__MA2">#REF!</definedName>
    <definedName name="__mun2" localSheetId="11">[21]PESOS!#REF!</definedName>
    <definedName name="__mun2" localSheetId="12">[21]PESOS!#REF!</definedName>
    <definedName name="__mun2">[21]PESOS!#REF!</definedName>
    <definedName name="__num10" localSheetId="11">#REF!</definedName>
    <definedName name="__num10" localSheetId="12">#REF!</definedName>
    <definedName name="__num10">#REF!</definedName>
    <definedName name="__num2" localSheetId="11">#REF!</definedName>
    <definedName name="__num2" localSheetId="12">#REF!</definedName>
    <definedName name="__num2">#REF!</definedName>
    <definedName name="__num3" localSheetId="11">#REF!</definedName>
    <definedName name="__num3" localSheetId="12">#REF!</definedName>
    <definedName name="__num3">#REF!</definedName>
    <definedName name="__num4" localSheetId="11">#REF!</definedName>
    <definedName name="__num4" localSheetId="12">#REF!</definedName>
    <definedName name="__num4">#REF!</definedName>
    <definedName name="__num5" localSheetId="11">#REF!</definedName>
    <definedName name="__num5" localSheetId="12">#REF!</definedName>
    <definedName name="__num5">#REF!</definedName>
    <definedName name="__num6" localSheetId="11">#REF!</definedName>
    <definedName name="__num6" localSheetId="12">#REF!</definedName>
    <definedName name="__num6">#REF!</definedName>
    <definedName name="__num7" localSheetId="11">#REF!</definedName>
    <definedName name="__num7" localSheetId="12">#REF!</definedName>
    <definedName name="__num7">#REF!</definedName>
    <definedName name="__num8" localSheetId="11">#REF!</definedName>
    <definedName name="__num8" localSheetId="12">#REF!</definedName>
    <definedName name="__num8">#REF!</definedName>
    <definedName name="__num9" localSheetId="11">#REF!</definedName>
    <definedName name="__num9" localSheetId="12">#REF!</definedName>
    <definedName name="__num9">#REF!</definedName>
    <definedName name="__OCD1" localSheetId="11">[11]Tablas!#REF!</definedName>
    <definedName name="__OCD1">[11]Tablas!#REF!</definedName>
    <definedName name="__OCI1" localSheetId="11">[11]Tablas!#REF!</definedName>
    <definedName name="__OCI1">[11]Tablas!#REF!</definedName>
    <definedName name="__Pa1">'[22]Paral. 1'!$E$1:$E$65536</definedName>
    <definedName name="__Pa2">'[22]Paral. 2'!$E$1:$E$65536</definedName>
    <definedName name="__Pa3">'[22]Paral. 3'!$E$1:$E$65536</definedName>
    <definedName name="__Pa4">[22]Paral.4!$E$1:$E$65536</definedName>
    <definedName name="__PJ50" localSheetId="11">#REF!</definedName>
    <definedName name="__PJ50" localSheetId="12">#REF!</definedName>
    <definedName name="__PJ50">#REF!</definedName>
    <definedName name="__pj51" localSheetId="11">#REF!</definedName>
    <definedName name="__pj51" localSheetId="12">#REF!</definedName>
    <definedName name="__pj51">#REF!</definedName>
    <definedName name="__pr01" localSheetId="11">#REF!</definedName>
    <definedName name="__pr01">#REF!</definedName>
    <definedName name="__pr02" localSheetId="11">#REF!</definedName>
    <definedName name="__pr02">#REF!</definedName>
    <definedName name="__pr03" localSheetId="11">#REF!</definedName>
    <definedName name="__pr03">#REF!</definedName>
    <definedName name="__pr04" localSheetId="11">#REF!</definedName>
    <definedName name="__pr04">#REF!</definedName>
    <definedName name="__pr05" localSheetId="11">#REF!</definedName>
    <definedName name="__pr05">#REF!</definedName>
    <definedName name="__pr06" localSheetId="11">#REF!</definedName>
    <definedName name="__pr06">#REF!</definedName>
    <definedName name="__pr07" localSheetId="11">#REF!</definedName>
    <definedName name="__pr07">#REF!</definedName>
    <definedName name="__pr08" localSheetId="11">#REF!</definedName>
    <definedName name="__pr08">#REF!</definedName>
    <definedName name="__pr09" localSheetId="11">#REF!</definedName>
    <definedName name="__pr09">#REF!</definedName>
    <definedName name="__pr10" localSheetId="11">#REF!</definedName>
    <definedName name="__pr10">#REF!</definedName>
    <definedName name="__pr11" localSheetId="11">#REF!</definedName>
    <definedName name="__pr11">#REF!</definedName>
    <definedName name="__pr12" localSheetId="11">#REF!</definedName>
    <definedName name="__pr12">#REF!</definedName>
    <definedName name="__pr13" localSheetId="11">#REF!</definedName>
    <definedName name="__pr13">#REF!</definedName>
    <definedName name="__pr14" localSheetId="11">#REF!</definedName>
    <definedName name="__pr14">#REF!</definedName>
    <definedName name="__pr15" localSheetId="11">#REF!</definedName>
    <definedName name="__pr15">#REF!</definedName>
    <definedName name="__pr16" localSheetId="11">#REF!</definedName>
    <definedName name="__pr16">#REF!</definedName>
    <definedName name="__pr17" localSheetId="11">#REF!</definedName>
    <definedName name="__pr17">#REF!</definedName>
    <definedName name="__pr18" localSheetId="11">#REF!</definedName>
    <definedName name="__pr18">#REF!</definedName>
    <definedName name="__pr19" localSheetId="11">#REF!</definedName>
    <definedName name="__pr19">#REF!</definedName>
    <definedName name="__pr20" localSheetId="11">#REF!</definedName>
    <definedName name="__pr20">#REF!</definedName>
    <definedName name="__pr21" localSheetId="11">#REF!</definedName>
    <definedName name="__pr21">#REF!</definedName>
    <definedName name="__pr22" localSheetId="11">#REF!</definedName>
    <definedName name="__pr22">#REF!</definedName>
    <definedName name="__pr23" localSheetId="11">#REF!</definedName>
    <definedName name="__pr23">#REF!</definedName>
    <definedName name="__pr24" localSheetId="11">#REF!</definedName>
    <definedName name="__pr24">#REF!</definedName>
    <definedName name="__pr25" localSheetId="11">#REF!</definedName>
    <definedName name="__pr25">#REF!</definedName>
    <definedName name="__pr26" localSheetId="11">#REF!</definedName>
    <definedName name="__pr26">#REF!</definedName>
    <definedName name="__pr27" localSheetId="11">#REF!</definedName>
    <definedName name="__pr27">#REF!</definedName>
    <definedName name="__pr28" localSheetId="11">#REF!</definedName>
    <definedName name="__pr28">#REF!</definedName>
    <definedName name="__pr29" localSheetId="11">#REF!</definedName>
    <definedName name="__pr29">#REF!</definedName>
    <definedName name="__pr30" localSheetId="11">#REF!</definedName>
    <definedName name="__pr30">#REF!</definedName>
    <definedName name="__pr31" localSheetId="11">#REF!</definedName>
    <definedName name="__pr31">#REF!</definedName>
    <definedName name="__pr32" localSheetId="11">#REF!</definedName>
    <definedName name="__pr32">#REF!</definedName>
    <definedName name="__pr33" localSheetId="11">#REF!</definedName>
    <definedName name="__pr33">#REF!</definedName>
    <definedName name="__pr34" localSheetId="11">#REF!</definedName>
    <definedName name="__pr34">#REF!</definedName>
    <definedName name="__pr35" localSheetId="11">#REF!</definedName>
    <definedName name="__pr35">#REF!</definedName>
    <definedName name="__pr36" localSheetId="11">#REF!</definedName>
    <definedName name="__pr36">#REF!</definedName>
    <definedName name="__pr37" localSheetId="11">#REF!</definedName>
    <definedName name="__pr37">#REF!</definedName>
    <definedName name="__pr38" localSheetId="11">#REF!</definedName>
    <definedName name="__pr38">#REF!</definedName>
    <definedName name="__pr39" localSheetId="11">#REF!</definedName>
    <definedName name="__pr39">#REF!</definedName>
    <definedName name="__pr40" localSheetId="11">#REF!</definedName>
    <definedName name="__pr40">#REF!</definedName>
    <definedName name="__pr41" localSheetId="11">#REF!</definedName>
    <definedName name="__pr41">#REF!</definedName>
    <definedName name="__pr42" localSheetId="11">#REF!</definedName>
    <definedName name="__pr42">#REF!</definedName>
    <definedName name="__pr43" localSheetId="11">#REF!</definedName>
    <definedName name="__pr43">#REF!</definedName>
    <definedName name="__pr44" localSheetId="11">#REF!</definedName>
    <definedName name="__pr44">#REF!</definedName>
    <definedName name="__pr45" localSheetId="11">#REF!</definedName>
    <definedName name="__pr45">#REF!</definedName>
    <definedName name="__pr46" localSheetId="11">#REF!</definedName>
    <definedName name="__pr46">#REF!</definedName>
    <definedName name="__pr47" localSheetId="11">#REF!</definedName>
    <definedName name="__pr47">#REF!</definedName>
    <definedName name="__pr48" localSheetId="11">#REF!</definedName>
    <definedName name="__pr48">#REF!</definedName>
    <definedName name="__pr49" localSheetId="11">#REF!</definedName>
    <definedName name="__pr49">#REF!</definedName>
    <definedName name="__pr50" localSheetId="11">#REF!</definedName>
    <definedName name="__pr50">#REF!</definedName>
    <definedName name="__pr51" localSheetId="11">#REF!</definedName>
    <definedName name="__pr51">#REF!</definedName>
    <definedName name="__pr52" localSheetId="11">#REF!</definedName>
    <definedName name="__pr52">#REF!</definedName>
    <definedName name="__pr53" localSheetId="11">#REF!</definedName>
    <definedName name="__pr53">#REF!</definedName>
    <definedName name="__pr54" localSheetId="11">#REF!</definedName>
    <definedName name="__pr54">#REF!</definedName>
    <definedName name="__pr55" localSheetId="11">#REF!</definedName>
    <definedName name="__pr55">#REF!</definedName>
    <definedName name="__pr56" localSheetId="11">#REF!</definedName>
    <definedName name="__pr56">#REF!</definedName>
    <definedName name="__pr57" localSheetId="11">#REF!</definedName>
    <definedName name="__pr57">#REF!</definedName>
    <definedName name="__pr58" localSheetId="11">#REF!</definedName>
    <definedName name="__pr58">#REF!</definedName>
    <definedName name="__pr59" localSheetId="11">#REF!</definedName>
    <definedName name="__pr59">#REF!</definedName>
    <definedName name="__pr60" localSheetId="11">#REF!</definedName>
    <definedName name="__pr60">#REF!</definedName>
    <definedName name="__pr61" localSheetId="11">#REF!</definedName>
    <definedName name="__pr61">#REF!</definedName>
    <definedName name="__pr62" localSheetId="11">#REF!</definedName>
    <definedName name="__pr62">#REF!</definedName>
    <definedName name="__pr63" localSheetId="11">#REF!</definedName>
    <definedName name="__pr63">#REF!</definedName>
    <definedName name="__pr64" localSheetId="11">#REF!</definedName>
    <definedName name="__pr64">#REF!</definedName>
    <definedName name="__pr65" localSheetId="11">#REF!</definedName>
    <definedName name="__pr65">#REF!</definedName>
    <definedName name="__pr66" localSheetId="11">#REF!</definedName>
    <definedName name="__pr66">#REF!</definedName>
    <definedName name="__pr67" localSheetId="11">#REF!</definedName>
    <definedName name="__pr67">#REF!</definedName>
    <definedName name="__pr68" localSheetId="11">#REF!</definedName>
    <definedName name="__pr68">#REF!</definedName>
    <definedName name="__pr69" localSheetId="11">#REF!</definedName>
    <definedName name="__pr69">#REF!</definedName>
    <definedName name="__pr70" localSheetId="11">#REF!</definedName>
    <definedName name="__pr70">#REF!</definedName>
    <definedName name="__pr71" localSheetId="11">#REF!</definedName>
    <definedName name="__pr71">#REF!</definedName>
    <definedName name="__pr72" localSheetId="11">#REF!</definedName>
    <definedName name="__pr72">#REF!</definedName>
    <definedName name="__ref4" localSheetId="11">#REF!</definedName>
    <definedName name="__ref4" localSheetId="12">#REF!</definedName>
    <definedName name="__ref4">#REF!</definedName>
    <definedName name="__SBC1">[6]INV!$A$12:$D$15</definedName>
    <definedName name="__SBC3">[6]INV!$F$12:$I$15</definedName>
    <definedName name="__SBC5">[6]INV!$K$12:$N$15</definedName>
    <definedName name="__TEP44">[16]BASE!$D$116</definedName>
    <definedName name="__TOP1" localSheetId="11">#REF!</definedName>
    <definedName name="__TOP1">#REF!</definedName>
    <definedName name="__TOP10" localSheetId="11">#REF!</definedName>
    <definedName name="__TOP10">#REF!</definedName>
    <definedName name="__TOP2" localSheetId="11">#REF!</definedName>
    <definedName name="__TOP2">#REF!</definedName>
    <definedName name="__TOP3" localSheetId="11">#REF!</definedName>
    <definedName name="__TOP3">#REF!</definedName>
    <definedName name="__TOP4" localSheetId="11">#REF!</definedName>
    <definedName name="__TOP4">#REF!</definedName>
    <definedName name="__TOP5" localSheetId="11">#REF!</definedName>
    <definedName name="__TOP5">#REF!</definedName>
    <definedName name="__TOP6" localSheetId="11">#REF!</definedName>
    <definedName name="__TOP6">#REF!</definedName>
    <definedName name="__TOP7" localSheetId="11">#REF!</definedName>
    <definedName name="__TOP7">#REF!</definedName>
    <definedName name="__TOP8" localSheetId="11">#REF!</definedName>
    <definedName name="__TOP8">#REF!</definedName>
    <definedName name="__TOP9" localSheetId="11">#REF!</definedName>
    <definedName name="__TOP9">#REF!</definedName>
    <definedName name="__TOT1" localSheetId="11">#REF!</definedName>
    <definedName name="__TOT1">#REF!</definedName>
    <definedName name="__TZ214">[16]BASE!$D$86</definedName>
    <definedName name="__VEX1" localSheetId="11">[11]Tablas!#REF!</definedName>
    <definedName name="__VEX1">[11]Tablas!#REF!</definedName>
    <definedName name="__VFA1" localSheetId="11">[11]Tablas!#REF!</definedName>
    <definedName name="__VFA1">[11]Tablas!#REF!</definedName>
    <definedName name="__VIT1" localSheetId="11">[11]Tablas!#REF!</definedName>
    <definedName name="__VIT1">[11]Tablas!#REF!</definedName>
    <definedName name="__VPR1" localSheetId="11">[11]Tablas!#REF!</definedName>
    <definedName name="__VPR1">[11]Tablas!#REF!</definedName>
    <definedName name="__VPR2" localSheetId="11">[12]Tablas!#REF!</definedName>
    <definedName name="__VPR2">[12]Tablas!#REF!</definedName>
    <definedName name="__VRP1" localSheetId="11">[11]Tablas!#REF!</definedName>
    <definedName name="__VRP1">[11]Tablas!#REF!</definedName>
    <definedName name="__VSM1" localSheetId="11">[11]Tablas!#REF!</definedName>
    <definedName name="__VSM1">[11]Tablas!#REF!</definedName>
    <definedName name="_1" localSheetId="11">#REF!</definedName>
    <definedName name="_1">#REF!</definedName>
    <definedName name="_1_25" localSheetId="11">[12]Tablas!#REF!</definedName>
    <definedName name="_1_25">[12]Tablas!#REF!</definedName>
    <definedName name="_116B" localSheetId="11">#REF!</definedName>
    <definedName name="_116B">#REF!</definedName>
    <definedName name="_117A" localSheetId="11">#REF!</definedName>
    <definedName name="_117A">#REF!</definedName>
    <definedName name="_117B" localSheetId="11">#REF!</definedName>
    <definedName name="_117B">#REF!</definedName>
    <definedName name="_120A" localSheetId="11">#REF!</definedName>
    <definedName name="_120A">#REF!</definedName>
    <definedName name="_120B" localSheetId="11">#REF!</definedName>
    <definedName name="_120B">#REF!</definedName>
    <definedName name="_121A" localSheetId="11">#REF!</definedName>
    <definedName name="_121A">#REF!</definedName>
    <definedName name="_121B" localSheetId="11">#REF!</definedName>
    <definedName name="_121B">#REF!</definedName>
    <definedName name="_122A" localSheetId="11">#REF!</definedName>
    <definedName name="_122A">#REF!</definedName>
    <definedName name="_122B" localSheetId="11">#REF!</definedName>
    <definedName name="_122B">#REF!</definedName>
    <definedName name="_123A" localSheetId="11">#REF!</definedName>
    <definedName name="_123A">#REF!</definedName>
    <definedName name="_123B" localSheetId="11">#REF!</definedName>
    <definedName name="_123B">#REF!</definedName>
    <definedName name="_124A" localSheetId="11">#REF!</definedName>
    <definedName name="_124A">#REF!</definedName>
    <definedName name="_124B" localSheetId="11">#REF!</definedName>
    <definedName name="_124B">#REF!</definedName>
    <definedName name="_125A" localSheetId="11">#REF!</definedName>
    <definedName name="_125A">#REF!</definedName>
    <definedName name="_125B" localSheetId="11">#REF!</definedName>
    <definedName name="_125B">#REF!</definedName>
    <definedName name="_126A" localSheetId="11">#REF!</definedName>
    <definedName name="_126A">#REF!</definedName>
    <definedName name="_126B" localSheetId="11">#REF!</definedName>
    <definedName name="_126B">#REF!</definedName>
    <definedName name="_130A" localSheetId="11">#REF!</definedName>
    <definedName name="_130A">#REF!</definedName>
    <definedName name="_130B" localSheetId="11">#REF!</definedName>
    <definedName name="_130B">#REF!</definedName>
    <definedName name="_131A" localSheetId="11">#REF!</definedName>
    <definedName name="_131A">#REF!</definedName>
    <definedName name="_131B" localSheetId="11">#REF!</definedName>
    <definedName name="_131B">#REF!</definedName>
    <definedName name="_132A" localSheetId="11">#REF!</definedName>
    <definedName name="_132A">#REF!</definedName>
    <definedName name="_132B" localSheetId="11">#REF!</definedName>
    <definedName name="_132B">#REF!</definedName>
    <definedName name="_133A" localSheetId="11">#REF!</definedName>
    <definedName name="_133A">#REF!</definedName>
    <definedName name="_133B" localSheetId="11">#REF!</definedName>
    <definedName name="_133B">#REF!</definedName>
    <definedName name="_134A" localSheetId="11">#REF!</definedName>
    <definedName name="_134A">#REF!</definedName>
    <definedName name="_134B" localSheetId="11">#REF!</definedName>
    <definedName name="_134B">#REF!</definedName>
    <definedName name="_150A" localSheetId="11">#REF!</definedName>
    <definedName name="_150A">#REF!</definedName>
    <definedName name="_150B" localSheetId="11">#REF!</definedName>
    <definedName name="_150B">#REF!</definedName>
    <definedName name="_151A" localSheetId="11">#REF!</definedName>
    <definedName name="_151A">#REF!</definedName>
    <definedName name="_151B" localSheetId="11">#REF!</definedName>
    <definedName name="_151B">#REF!</definedName>
    <definedName name="_152A" localSheetId="11">#REF!</definedName>
    <definedName name="_152A">#REF!</definedName>
    <definedName name="_152B" localSheetId="11">#REF!</definedName>
    <definedName name="_152B">#REF!</definedName>
    <definedName name="_153A" localSheetId="11">#REF!</definedName>
    <definedName name="_153A">#REF!</definedName>
    <definedName name="_153B" localSheetId="11">#REF!</definedName>
    <definedName name="_153B">#REF!</definedName>
    <definedName name="_154A" localSheetId="11">#REF!</definedName>
    <definedName name="_154A">#REF!</definedName>
    <definedName name="_154B" localSheetId="11">#REF!</definedName>
    <definedName name="_154B">#REF!</definedName>
    <definedName name="_160A" localSheetId="11">#REF!</definedName>
    <definedName name="_160A">#REF!</definedName>
    <definedName name="_160B" localSheetId="11">#REF!</definedName>
    <definedName name="_160B">#REF!</definedName>
    <definedName name="_161A" localSheetId="11">#REF!</definedName>
    <definedName name="_161A">#REF!</definedName>
    <definedName name="_161B" localSheetId="11">#REF!</definedName>
    <definedName name="_161B">#REF!</definedName>
    <definedName name="_162A" localSheetId="11">#REF!</definedName>
    <definedName name="_162A">#REF!</definedName>
    <definedName name="_162B" localSheetId="11">#REF!</definedName>
    <definedName name="_162B">#REF!</definedName>
    <definedName name="_163A" localSheetId="11">#REF!</definedName>
    <definedName name="_163A">#REF!</definedName>
    <definedName name="_163B" localSheetId="11">#REF!</definedName>
    <definedName name="_163B">#REF!</definedName>
    <definedName name="_164A" localSheetId="11">#REF!</definedName>
    <definedName name="_164A">#REF!</definedName>
    <definedName name="_164B" localSheetId="11">#REF!</definedName>
    <definedName name="_164B">#REF!</definedName>
    <definedName name="_165A" localSheetId="11">#REF!</definedName>
    <definedName name="_165A">#REF!</definedName>
    <definedName name="_165B" localSheetId="11">#REF!</definedName>
    <definedName name="_165B">#REF!</definedName>
    <definedName name="_166A" localSheetId="11">#REF!</definedName>
    <definedName name="_166A">#REF!</definedName>
    <definedName name="_166B" localSheetId="11">#REF!</definedName>
    <definedName name="_166B">#REF!</definedName>
    <definedName name="_167A" localSheetId="11">#REF!</definedName>
    <definedName name="_167A">#REF!</definedName>
    <definedName name="_167B" localSheetId="11">#REF!</definedName>
    <definedName name="_167B">#REF!</definedName>
    <definedName name="_170A" localSheetId="11">#REF!</definedName>
    <definedName name="_170A">#REF!</definedName>
    <definedName name="_170B" localSheetId="11">#REF!</definedName>
    <definedName name="_170B">#REF!</definedName>
    <definedName name="_171A" localSheetId="11">#REF!</definedName>
    <definedName name="_171A">#REF!</definedName>
    <definedName name="_171B" localSheetId="11">#REF!</definedName>
    <definedName name="_171B">#REF!</definedName>
    <definedName name="_172A" localSheetId="11">#REF!</definedName>
    <definedName name="_172A">#REF!</definedName>
    <definedName name="_172B" localSheetId="11">#REF!</definedName>
    <definedName name="_172B">#REF!</definedName>
    <definedName name="_173A" localSheetId="11">#REF!</definedName>
    <definedName name="_173A">#REF!</definedName>
    <definedName name="_173B" localSheetId="11">#REF!</definedName>
    <definedName name="_173B">#REF!</definedName>
    <definedName name="_174A" localSheetId="11">#REF!</definedName>
    <definedName name="_174A">#REF!</definedName>
    <definedName name="_174B" localSheetId="11">#REF!</definedName>
    <definedName name="_174B">#REF!</definedName>
    <definedName name="_175A" localSheetId="11">#REF!</definedName>
    <definedName name="_175A">#REF!</definedName>
    <definedName name="_175B" localSheetId="11">#REF!</definedName>
    <definedName name="_175B">#REF!</definedName>
    <definedName name="_18_Dic" localSheetId="11">#REF!</definedName>
    <definedName name="_18_Dic">#REF!</definedName>
    <definedName name="_180A" localSheetId="11">#REF!</definedName>
    <definedName name="_180A">#REF!</definedName>
    <definedName name="_180B" localSheetId="11">#REF!</definedName>
    <definedName name="_180B">#REF!</definedName>
    <definedName name="_181A" localSheetId="11">#REF!</definedName>
    <definedName name="_181A">#REF!</definedName>
    <definedName name="_181B" localSheetId="11">#REF!</definedName>
    <definedName name="_181B">#REF!</definedName>
    <definedName name="_182A" localSheetId="11">#REF!</definedName>
    <definedName name="_182A">#REF!</definedName>
    <definedName name="_182B" localSheetId="11">#REF!</definedName>
    <definedName name="_182B">#REF!</definedName>
    <definedName name="_183A" localSheetId="11">#REF!</definedName>
    <definedName name="_183A">#REF!</definedName>
    <definedName name="_183B" localSheetId="11">#REF!</definedName>
    <definedName name="_183B">#REF!</definedName>
    <definedName name="_184A" localSheetId="11">#REF!</definedName>
    <definedName name="_184A">#REF!</definedName>
    <definedName name="_184B" localSheetId="11">#REF!</definedName>
    <definedName name="_184B">#REF!</definedName>
    <definedName name="_185A" localSheetId="11">#REF!</definedName>
    <definedName name="_185A">#REF!</definedName>
    <definedName name="_185B" localSheetId="11">#REF!</definedName>
    <definedName name="_185B">#REF!</definedName>
    <definedName name="_190A" localSheetId="11">#REF!</definedName>
    <definedName name="_190A">#REF!</definedName>
    <definedName name="_190B" localSheetId="11">#REF!</definedName>
    <definedName name="_190B">#REF!</definedName>
    <definedName name="_191A" localSheetId="11">#REF!</definedName>
    <definedName name="_191A">#REF!</definedName>
    <definedName name="_191B" localSheetId="11">#REF!</definedName>
    <definedName name="_191B">#REF!</definedName>
    <definedName name="_192A" localSheetId="11">#REF!</definedName>
    <definedName name="_192A">#REF!</definedName>
    <definedName name="_192B" localSheetId="11">#REF!</definedName>
    <definedName name="_192B">#REF!</definedName>
    <definedName name="_193A" localSheetId="11">#REF!</definedName>
    <definedName name="_193A">#REF!</definedName>
    <definedName name="_193B" localSheetId="11">#REF!</definedName>
    <definedName name="_193B">#REF!</definedName>
    <definedName name="_194A" localSheetId="11">#REF!</definedName>
    <definedName name="_194A">#REF!</definedName>
    <definedName name="_194B" localSheetId="11">#REF!</definedName>
    <definedName name="_194B">#REF!</definedName>
    <definedName name="_195A" localSheetId="11">#REF!</definedName>
    <definedName name="_195A">#REF!</definedName>
    <definedName name="_195B" localSheetId="11">#REF!</definedName>
    <definedName name="_195B">#REF!</definedName>
    <definedName name="_196A" localSheetId="11">#REF!</definedName>
    <definedName name="_196A">#REF!</definedName>
    <definedName name="_196B" localSheetId="11">#REF!</definedName>
    <definedName name="_196B">#REF!</definedName>
    <definedName name="_197A" localSheetId="11">#REF!</definedName>
    <definedName name="_197A">#REF!</definedName>
    <definedName name="_197B" localSheetId="11">#REF!</definedName>
    <definedName name="_197B">#REF!</definedName>
    <definedName name="_1ane_o10" localSheetId="11">#REF!</definedName>
    <definedName name="_1ane_o10">#REF!</definedName>
    <definedName name="_2_5__TOTAL_DE_MATERIALES_A_EXPORTAR" localSheetId="11">#REF!</definedName>
    <definedName name="_2_5__TOTAL_DE_MATERIALES_A_EXPORTAR">#REF!</definedName>
    <definedName name="_200A" localSheetId="11">#REF!</definedName>
    <definedName name="_200A">#REF!</definedName>
    <definedName name="_200B" localSheetId="11">#REF!</definedName>
    <definedName name="_200B">#REF!</definedName>
    <definedName name="_201A" localSheetId="11">#REF!</definedName>
    <definedName name="_201A">#REF!</definedName>
    <definedName name="_201B" localSheetId="11">#REF!</definedName>
    <definedName name="_201B">#REF!</definedName>
    <definedName name="_202A" localSheetId="11">#REF!</definedName>
    <definedName name="_202A">#REF!</definedName>
    <definedName name="_202B" localSheetId="11">#REF!</definedName>
    <definedName name="_202B">#REF!</definedName>
    <definedName name="_203A" localSheetId="11">#REF!</definedName>
    <definedName name="_203A">#REF!</definedName>
    <definedName name="_203B" localSheetId="11">#REF!</definedName>
    <definedName name="_203B">#REF!</definedName>
    <definedName name="_204A" localSheetId="11">#REF!</definedName>
    <definedName name="_204A">#REF!</definedName>
    <definedName name="_204B" localSheetId="11">#REF!</definedName>
    <definedName name="_204B">#REF!</definedName>
    <definedName name="_205A" localSheetId="11">#REF!</definedName>
    <definedName name="_205A">#REF!</definedName>
    <definedName name="_205B" localSheetId="11">#REF!</definedName>
    <definedName name="_205B">#REF!</definedName>
    <definedName name="_210A" localSheetId="11">#REF!</definedName>
    <definedName name="_210A">#REF!</definedName>
    <definedName name="_210B" localSheetId="11">#REF!</definedName>
    <definedName name="_210B">#REF!</definedName>
    <definedName name="_211A" localSheetId="11">#REF!</definedName>
    <definedName name="_211A">#REF!</definedName>
    <definedName name="_211B" localSheetId="11">#REF!</definedName>
    <definedName name="_211B">#REF!</definedName>
    <definedName name="_212A" localSheetId="11">#REF!</definedName>
    <definedName name="_212A">#REF!</definedName>
    <definedName name="_212B" localSheetId="11">#REF!</definedName>
    <definedName name="_212B">#REF!</definedName>
    <definedName name="_213A" localSheetId="11">#REF!</definedName>
    <definedName name="_213A">#REF!</definedName>
    <definedName name="_213B" localSheetId="11">#REF!</definedName>
    <definedName name="_213B">#REF!</definedName>
    <definedName name="_214A" localSheetId="11">#REF!</definedName>
    <definedName name="_214A">#REF!</definedName>
    <definedName name="_214B" localSheetId="11">#REF!</definedName>
    <definedName name="_214B">#REF!</definedName>
    <definedName name="_215A" localSheetId="11">#REF!</definedName>
    <definedName name="_215A">#REF!</definedName>
    <definedName name="_215B" localSheetId="11">#REF!</definedName>
    <definedName name="_215B">#REF!</definedName>
    <definedName name="_216A" localSheetId="11">#REF!</definedName>
    <definedName name="_216A">#REF!</definedName>
    <definedName name="_216B" localSheetId="11">#REF!</definedName>
    <definedName name="_216B">#REF!</definedName>
    <definedName name="_217A" localSheetId="11">#REF!</definedName>
    <definedName name="_217A">#REF!</definedName>
    <definedName name="_217B" localSheetId="11">#REF!</definedName>
    <definedName name="_217B">#REF!</definedName>
    <definedName name="_220A" localSheetId="11">#REF!</definedName>
    <definedName name="_220A">#REF!</definedName>
    <definedName name="_220B" localSheetId="11">#REF!</definedName>
    <definedName name="_220B">#REF!</definedName>
    <definedName name="_221A" localSheetId="11">#REF!</definedName>
    <definedName name="_221A">#REF!</definedName>
    <definedName name="_221B" localSheetId="11">#REF!</definedName>
    <definedName name="_221B">#REF!</definedName>
    <definedName name="_222A" localSheetId="11">#REF!</definedName>
    <definedName name="_222A">#REF!</definedName>
    <definedName name="_222B" localSheetId="11">#REF!</definedName>
    <definedName name="_222B">#REF!</definedName>
    <definedName name="_223A" localSheetId="11">#REF!</definedName>
    <definedName name="_223A">#REF!</definedName>
    <definedName name="_223B" localSheetId="11">#REF!</definedName>
    <definedName name="_223B">#REF!</definedName>
    <definedName name="_224A" localSheetId="11">#REF!</definedName>
    <definedName name="_224A">#REF!</definedName>
    <definedName name="_224B" localSheetId="11">#REF!</definedName>
    <definedName name="_224B">#REF!</definedName>
    <definedName name="_240A" localSheetId="11">#REF!</definedName>
    <definedName name="_240A">#REF!</definedName>
    <definedName name="_240B" localSheetId="11">#REF!</definedName>
    <definedName name="_240B">#REF!</definedName>
    <definedName name="_241A" localSheetId="11">#REF!</definedName>
    <definedName name="_241A">#REF!</definedName>
    <definedName name="_241B" localSheetId="11">#REF!</definedName>
    <definedName name="_241B">#REF!</definedName>
    <definedName name="_242A" localSheetId="11">#REF!</definedName>
    <definedName name="_242A">#REF!</definedName>
    <definedName name="_242B" localSheetId="11">#REF!</definedName>
    <definedName name="_242B">#REF!</definedName>
    <definedName name="_243A" localSheetId="11">#REF!</definedName>
    <definedName name="_243A">#REF!</definedName>
    <definedName name="_243B" localSheetId="11">#REF!</definedName>
    <definedName name="_243B">#REF!</definedName>
    <definedName name="_244A" localSheetId="11">#REF!</definedName>
    <definedName name="_244A">#REF!</definedName>
    <definedName name="_244B" localSheetId="11">#REF!</definedName>
    <definedName name="_244B">#REF!</definedName>
    <definedName name="_250A" localSheetId="11">#REF!</definedName>
    <definedName name="_250A">#REF!</definedName>
    <definedName name="_250B" localSheetId="11">#REF!</definedName>
    <definedName name="_250B">#REF!</definedName>
    <definedName name="_251A" localSheetId="11">#REF!</definedName>
    <definedName name="_251A">#REF!</definedName>
    <definedName name="_251B" localSheetId="11">#REF!</definedName>
    <definedName name="_251B">#REF!</definedName>
    <definedName name="_252A" localSheetId="11">#REF!</definedName>
    <definedName name="_252A">#REF!</definedName>
    <definedName name="_252B" localSheetId="11">#REF!</definedName>
    <definedName name="_252B">#REF!</definedName>
    <definedName name="_253A" localSheetId="11">#REF!</definedName>
    <definedName name="_253A">#REF!</definedName>
    <definedName name="_253B" localSheetId="11">#REF!</definedName>
    <definedName name="_253B">#REF!</definedName>
    <definedName name="_254A" localSheetId="11">#REF!</definedName>
    <definedName name="_254A">#REF!</definedName>
    <definedName name="_254B" localSheetId="11">#REF!</definedName>
    <definedName name="_254B">#REF!</definedName>
    <definedName name="_255A" localSheetId="11">#REF!</definedName>
    <definedName name="_255A">#REF!</definedName>
    <definedName name="_255B" localSheetId="11">#REF!</definedName>
    <definedName name="_255B">#REF!</definedName>
    <definedName name="_260A" localSheetId="11">#REF!</definedName>
    <definedName name="_260A">#REF!</definedName>
    <definedName name="_260B" localSheetId="11">#REF!</definedName>
    <definedName name="_260B">#REF!</definedName>
    <definedName name="_261A" localSheetId="11">#REF!</definedName>
    <definedName name="_261A">#REF!</definedName>
    <definedName name="_261B" localSheetId="11">#REF!</definedName>
    <definedName name="_261B">#REF!</definedName>
    <definedName name="_262A" localSheetId="11">#REF!</definedName>
    <definedName name="_262A">#REF!</definedName>
    <definedName name="_262B" localSheetId="11">#REF!</definedName>
    <definedName name="_262B">#REF!</definedName>
    <definedName name="_263A" localSheetId="11">#REF!</definedName>
    <definedName name="_263A">#REF!</definedName>
    <definedName name="_263B" localSheetId="11">#REF!</definedName>
    <definedName name="_263B">#REF!</definedName>
    <definedName name="_264A" localSheetId="11">#REF!</definedName>
    <definedName name="_264A">#REF!</definedName>
    <definedName name="_264B" localSheetId="11">#REF!</definedName>
    <definedName name="_264B">#REF!</definedName>
    <definedName name="_265A" localSheetId="11">#REF!</definedName>
    <definedName name="_265A">#REF!</definedName>
    <definedName name="_265B" localSheetId="11">#REF!</definedName>
    <definedName name="_265B">#REF!</definedName>
    <definedName name="_266A" localSheetId="11">#REF!</definedName>
    <definedName name="_266A">#REF!</definedName>
    <definedName name="_266B" localSheetId="11">#REF!</definedName>
    <definedName name="_266B">#REF!</definedName>
    <definedName name="_270A" localSheetId="11">#REF!</definedName>
    <definedName name="_270A">#REF!</definedName>
    <definedName name="_270B" localSheetId="11">#REF!</definedName>
    <definedName name="_270B">#REF!</definedName>
    <definedName name="_271A" localSheetId="11">#REF!</definedName>
    <definedName name="_271A">#REF!</definedName>
    <definedName name="_271B" localSheetId="11">#REF!</definedName>
    <definedName name="_271B">#REF!</definedName>
    <definedName name="_272A" localSheetId="11">#REF!</definedName>
    <definedName name="_272A">#REF!</definedName>
    <definedName name="_272B" localSheetId="11">#REF!</definedName>
    <definedName name="_272B">#REF!</definedName>
    <definedName name="_273A" localSheetId="11">#REF!</definedName>
    <definedName name="_273A">#REF!</definedName>
    <definedName name="_273B" localSheetId="11">#REF!</definedName>
    <definedName name="_273B">#REF!</definedName>
    <definedName name="_274A" localSheetId="11">#REF!</definedName>
    <definedName name="_274A">#REF!</definedName>
    <definedName name="_274B" localSheetId="11">#REF!</definedName>
    <definedName name="_274B">#REF!</definedName>
    <definedName name="_275A" localSheetId="11">#REF!</definedName>
    <definedName name="_275A">#REF!</definedName>
    <definedName name="_275B" localSheetId="11">#REF!</definedName>
    <definedName name="_275B">#REF!</definedName>
    <definedName name="_280A" localSheetId="11">#REF!</definedName>
    <definedName name="_280A">#REF!</definedName>
    <definedName name="_280B" localSheetId="11">#REF!</definedName>
    <definedName name="_280B">#REF!</definedName>
    <definedName name="_281A" localSheetId="11">#REF!</definedName>
    <definedName name="_281A">#REF!</definedName>
    <definedName name="_281B" localSheetId="11">#REF!</definedName>
    <definedName name="_281B">#REF!</definedName>
    <definedName name="_282A" localSheetId="11">#REF!</definedName>
    <definedName name="_282A">#REF!</definedName>
    <definedName name="_282B" localSheetId="11">#REF!</definedName>
    <definedName name="_282B">#REF!</definedName>
    <definedName name="_283A" localSheetId="11">#REF!</definedName>
    <definedName name="_283A">#REF!</definedName>
    <definedName name="_283B" localSheetId="11">#REF!</definedName>
    <definedName name="_283B">#REF!</definedName>
    <definedName name="_284A" localSheetId="11">#REF!</definedName>
    <definedName name="_284A">#REF!</definedName>
    <definedName name="_284B" localSheetId="11">#REF!</definedName>
    <definedName name="_284B">#REF!</definedName>
    <definedName name="_285A" localSheetId="11">#REF!</definedName>
    <definedName name="_285A">#REF!</definedName>
    <definedName name="_285B" localSheetId="11">#REF!</definedName>
    <definedName name="_285B">#REF!</definedName>
    <definedName name="_290A" localSheetId="11">#REF!</definedName>
    <definedName name="_290A">#REF!</definedName>
    <definedName name="_290B" localSheetId="11">#REF!</definedName>
    <definedName name="_290B">#REF!</definedName>
    <definedName name="_291A" localSheetId="11">#REF!</definedName>
    <definedName name="_291A">#REF!</definedName>
    <definedName name="_291B" localSheetId="11">#REF!</definedName>
    <definedName name="_291B">#REF!</definedName>
    <definedName name="_292A" localSheetId="11">#REF!</definedName>
    <definedName name="_292A">#REF!</definedName>
    <definedName name="_292B" localSheetId="11">#REF!</definedName>
    <definedName name="_292B">#REF!</definedName>
    <definedName name="_293A" localSheetId="11">#REF!</definedName>
    <definedName name="_293A">#REF!</definedName>
    <definedName name="_293B" localSheetId="11">#REF!</definedName>
    <definedName name="_293B">#REF!</definedName>
    <definedName name="_3ane_o10" localSheetId="11">#REF!</definedName>
    <definedName name="_3ane_o10">#REF!</definedName>
    <definedName name="_4201A" localSheetId="11">#REF!</definedName>
    <definedName name="_4201A">#REF!</definedName>
    <definedName name="_4201B" localSheetId="11">#REF!</definedName>
    <definedName name="_4201B">#REF!</definedName>
    <definedName name="_4202A" localSheetId="11">#REF!</definedName>
    <definedName name="_4202A">#REF!</definedName>
    <definedName name="_4202B" localSheetId="11">#REF!</definedName>
    <definedName name="_4202B">#REF!</definedName>
    <definedName name="_4203A" localSheetId="11">#REF!</definedName>
    <definedName name="_4203A">#REF!</definedName>
    <definedName name="_4203B" localSheetId="11">#REF!</definedName>
    <definedName name="_4203B">#REF!</definedName>
    <definedName name="_4204A" localSheetId="11">#REF!</definedName>
    <definedName name="_4204A">#REF!</definedName>
    <definedName name="_4204B" localSheetId="11">#REF!</definedName>
    <definedName name="_4204B">#REF!</definedName>
    <definedName name="_4206A" localSheetId="11">#REF!</definedName>
    <definedName name="_4206A">#REF!</definedName>
    <definedName name="_4206B" localSheetId="11">#REF!</definedName>
    <definedName name="_4206B">#REF!</definedName>
    <definedName name="_4207A" localSheetId="11">#REF!</definedName>
    <definedName name="_4207A">#REF!</definedName>
    <definedName name="_4207B" localSheetId="11">#REF!</definedName>
    <definedName name="_4207B">#REF!</definedName>
    <definedName name="_4208A" localSheetId="11">#REF!</definedName>
    <definedName name="_4208A">#REF!</definedName>
    <definedName name="_4208B" localSheetId="11">#REF!</definedName>
    <definedName name="_4208B">#REF!</definedName>
    <definedName name="_4209A" localSheetId="11">#REF!</definedName>
    <definedName name="_4209A">#REF!</definedName>
    <definedName name="_4209B" localSheetId="11">#REF!</definedName>
    <definedName name="_4209B">#REF!</definedName>
    <definedName name="_4210A" localSheetId="11">#REF!</definedName>
    <definedName name="_4210A">#REF!</definedName>
    <definedName name="_4210B" localSheetId="11">#REF!</definedName>
    <definedName name="_4210B">#REF!</definedName>
    <definedName name="_4211A" localSheetId="11">#REF!</definedName>
    <definedName name="_4211A">#REF!</definedName>
    <definedName name="_4211B" localSheetId="11">#REF!</definedName>
    <definedName name="_4211B">#REF!</definedName>
    <definedName name="_4212A" localSheetId="11">#REF!</definedName>
    <definedName name="_4212A">#REF!</definedName>
    <definedName name="_4212B" localSheetId="11">#REF!</definedName>
    <definedName name="_4212B">#REF!</definedName>
    <definedName name="_4221A" localSheetId="11">#REF!</definedName>
    <definedName name="_4221A">#REF!</definedName>
    <definedName name="_4221B" localSheetId="11">#REF!</definedName>
    <definedName name="_4221B">#REF!</definedName>
    <definedName name="_4222A" localSheetId="11">#REF!</definedName>
    <definedName name="_4222A">#REF!</definedName>
    <definedName name="_4222B" localSheetId="11">#REF!</definedName>
    <definedName name="_4222B">#REF!</definedName>
    <definedName name="_4231A" localSheetId="11">#REF!</definedName>
    <definedName name="_4231A">#REF!</definedName>
    <definedName name="_4231B" localSheetId="11">#REF!</definedName>
    <definedName name="_4231B">#REF!</definedName>
    <definedName name="_4232A" localSheetId="11">#REF!</definedName>
    <definedName name="_4232A">#REF!</definedName>
    <definedName name="_4232B" localSheetId="11">#REF!</definedName>
    <definedName name="_4232B">#REF!</definedName>
    <definedName name="_4234A" localSheetId="11">#REF!</definedName>
    <definedName name="_4234A">#REF!</definedName>
    <definedName name="_4234B" localSheetId="11">#REF!</definedName>
    <definedName name="_4234B">#REF!</definedName>
    <definedName name="_4235A" localSheetId="11">#REF!</definedName>
    <definedName name="_4235A">#REF!</definedName>
    <definedName name="_4235B" localSheetId="11">#REF!</definedName>
    <definedName name="_4235B">#REF!</definedName>
    <definedName name="_4236A" localSheetId="11">#REF!</definedName>
    <definedName name="_4236A">#REF!</definedName>
    <definedName name="_4236B" localSheetId="11">#REF!</definedName>
    <definedName name="_4236B">#REF!</definedName>
    <definedName name="_4240A" localSheetId="11">#REF!</definedName>
    <definedName name="_4240A">#REF!</definedName>
    <definedName name="_4240B" localSheetId="11">#REF!</definedName>
    <definedName name="_4240B">#REF!</definedName>
    <definedName name="_4243A" localSheetId="11">#REF!</definedName>
    <definedName name="_4243A">#REF!</definedName>
    <definedName name="_4245A" localSheetId="11">#REF!</definedName>
    <definedName name="_4245A">#REF!</definedName>
    <definedName name="_4245B" localSheetId="11">#REF!</definedName>
    <definedName name="_4245B">#REF!</definedName>
    <definedName name="_4246A" localSheetId="11">#REF!</definedName>
    <definedName name="_4246A">#REF!</definedName>
    <definedName name="_4246B" localSheetId="11">#REF!</definedName>
    <definedName name="_4246B">#REF!</definedName>
    <definedName name="_4251A" localSheetId="11">#REF!</definedName>
    <definedName name="_4251A">#REF!</definedName>
    <definedName name="_4251B" localSheetId="11">#REF!</definedName>
    <definedName name="_4251B">#REF!</definedName>
    <definedName name="_4251C" localSheetId="11">#REF!</definedName>
    <definedName name="_4251C">#REF!</definedName>
    <definedName name="_4252A" localSheetId="11">#REF!</definedName>
    <definedName name="_4252A">#REF!</definedName>
    <definedName name="_4252B" localSheetId="11">#REF!</definedName>
    <definedName name="_4252B">#REF!</definedName>
    <definedName name="_4255A" localSheetId="11">#REF!</definedName>
    <definedName name="_4255A">#REF!</definedName>
    <definedName name="_4255B" localSheetId="11">#REF!</definedName>
    <definedName name="_4255B">#REF!</definedName>
    <definedName name="_4257A" localSheetId="11">#REF!</definedName>
    <definedName name="_4257A">#REF!</definedName>
    <definedName name="_4257B" localSheetId="11">#REF!</definedName>
    <definedName name="_4257B">#REF!</definedName>
    <definedName name="_4262A" localSheetId="11">#REF!</definedName>
    <definedName name="_4262A">#REF!</definedName>
    <definedName name="_4262B" localSheetId="11">#REF!</definedName>
    <definedName name="_4262B">#REF!</definedName>
    <definedName name="_4265A" localSheetId="11">#REF!</definedName>
    <definedName name="_4265A">#REF!</definedName>
    <definedName name="_4265B" localSheetId="11">#REF!</definedName>
    <definedName name="_4265B">#REF!</definedName>
    <definedName name="_4270A" localSheetId="11">#REF!</definedName>
    <definedName name="_4270A">#REF!</definedName>
    <definedName name="_4270B" localSheetId="11">#REF!</definedName>
    <definedName name="_4270B">#REF!</definedName>
    <definedName name="_4283A" localSheetId="11">#REF!</definedName>
    <definedName name="_4283A">#REF!</definedName>
    <definedName name="_4283B" localSheetId="11">#REF!</definedName>
    <definedName name="_4283B">#REF!</definedName>
    <definedName name="_4290A" localSheetId="11">#REF!</definedName>
    <definedName name="_4290A">#REF!</definedName>
    <definedName name="_4290B" localSheetId="11">#REF!</definedName>
    <definedName name="_4290B">#REF!</definedName>
    <definedName name="_4294A" localSheetId="11">#REF!</definedName>
    <definedName name="_4294A">#REF!</definedName>
    <definedName name="_4294B" localSheetId="11">#REF!</definedName>
    <definedName name="_4294B">#REF!</definedName>
    <definedName name="_4298A" localSheetId="11">#REF!</definedName>
    <definedName name="_4298A">#REF!</definedName>
    <definedName name="_4298B" localSheetId="11">#REF!</definedName>
    <definedName name="_4298B">#REF!</definedName>
    <definedName name="_911A" localSheetId="11">#REF!</definedName>
    <definedName name="_911A">#REF!</definedName>
    <definedName name="_912A" localSheetId="11">#REF!</definedName>
    <definedName name="_912A">#REF!</definedName>
    <definedName name="_921A" localSheetId="11">#REF!</definedName>
    <definedName name="_921A">#REF!</definedName>
    <definedName name="_922A" localSheetId="11">#REF!</definedName>
    <definedName name="_922A">#REF!</definedName>
    <definedName name="_a1" localSheetId="12" hidden="1">{"TAB1",#N/A,TRUE,"GENERAL";"TAB2",#N/A,TRUE,"GENERAL";"TAB3",#N/A,TRUE,"GENERAL";"TAB4",#N/A,TRUE,"GENERAL";"TAB5",#N/A,TRUE,"GENERAL"}</definedName>
    <definedName name="_a1" hidden="1">{"TAB1",#N/A,TRUE,"GENERAL";"TAB2",#N/A,TRUE,"GENERAL";"TAB3",#N/A,TRUE,"GENERAL";"TAB4",#N/A,TRUE,"GENERAL";"TAB5",#N/A,TRUE,"GENERAL"}</definedName>
    <definedName name="_a3" localSheetId="12" hidden="1">{"TAB1",#N/A,TRUE,"GENERAL";"TAB2",#N/A,TRUE,"GENERAL";"TAB3",#N/A,TRUE,"GENERAL";"TAB4",#N/A,TRUE,"GENERAL";"TAB5",#N/A,TRUE,"GENERAL"}</definedName>
    <definedName name="_a3" hidden="1">{"TAB1",#N/A,TRUE,"GENERAL";"TAB2",#N/A,TRUE,"GENERAL";"TAB3",#N/A,TRUE,"GENERAL";"TAB4",#N/A,TRUE,"GENERAL";"TAB5",#N/A,TRUE,"GENERAL"}</definedName>
    <definedName name="_a4" localSheetId="12" hidden="1">{"via1",#N/A,TRUE,"general";"via2",#N/A,TRUE,"general";"via3",#N/A,TRUE,"general"}</definedName>
    <definedName name="_a4" hidden="1">{"via1",#N/A,TRUE,"general";"via2",#N/A,TRUE,"general";"via3",#N/A,TRUE,"general"}</definedName>
    <definedName name="_a5" localSheetId="12" hidden="1">{"TAB1",#N/A,TRUE,"GENERAL";"TAB2",#N/A,TRUE,"GENERAL";"TAB3",#N/A,TRUE,"GENERAL";"TAB4",#N/A,TRUE,"GENERAL";"TAB5",#N/A,TRUE,"GENERAL"}</definedName>
    <definedName name="_a5" hidden="1">{"TAB1",#N/A,TRUE,"GENERAL";"TAB2",#N/A,TRUE,"GENERAL";"TAB3",#N/A,TRUE,"GENERAL";"TAB4",#N/A,TRUE,"GENERAL";"TAB5",#N/A,TRUE,"GENERAL"}</definedName>
    <definedName name="_a6" localSheetId="12" hidden="1">{"TAB1",#N/A,TRUE,"GENERAL";"TAB2",#N/A,TRUE,"GENERAL";"TAB3",#N/A,TRUE,"GENERAL";"TAB4",#N/A,TRUE,"GENERAL";"TAB5",#N/A,TRUE,"GENERAL"}</definedName>
    <definedName name="_a6" hidden="1">{"TAB1",#N/A,TRUE,"GENERAL";"TAB2",#N/A,TRUE,"GENERAL";"TAB3",#N/A,TRUE,"GENERAL";"TAB4",#N/A,TRUE,"GENERAL";"TAB5",#N/A,TRUE,"GENERAL"}</definedName>
    <definedName name="_AAS1" hidden="1">{#N/A,#N/A,TRUE,"INGENIERIA";#N/A,#N/A,TRUE,"COMPRAS";#N/A,#N/A,TRUE,"DIRECCION";#N/A,#N/A,TRUE,"RESUMEN"}</definedName>
    <definedName name="_ABC1" hidden="1">{#N/A,#N/A,TRUE,"1842CWN0"}</definedName>
    <definedName name="_abc2" hidden="1">{#N/A,#N/A,TRUE,"1842CWN0"}</definedName>
    <definedName name="_ADH12" localSheetId="5">[23]BASE!$D$341</definedName>
    <definedName name="_ADH12">[24]BASE!$D$340</definedName>
    <definedName name="_ADM12" localSheetId="5">[23]BASE!$D$342</definedName>
    <definedName name="_ADM12">[24]BASE!$D$341</definedName>
    <definedName name="_ADM2" localSheetId="5">[23]BASE!$D$131</definedName>
    <definedName name="_ADM2">[24]BASE!$D$131</definedName>
    <definedName name="_ADM3">BASE!$D$135</definedName>
    <definedName name="_ADM4" localSheetId="5">[23]BASE!$D$133</definedName>
    <definedName name="_ADM4" localSheetId="20">[25]BASE!$D$114</definedName>
    <definedName name="_ADM4">[24]BASE!$D$133</definedName>
    <definedName name="_ADP1">BASE!$D$205</definedName>
    <definedName name="_AFC1">[6]INV!$A$25:$D$28</definedName>
    <definedName name="_AFC3">[6]INV!$F$25:$I$28</definedName>
    <definedName name="_AFC5">[6]INV!$K$25:$N$28</definedName>
    <definedName name="_ALM1" localSheetId="11">#REF!</definedName>
    <definedName name="_ALM1">#REF!</definedName>
    <definedName name="_AND1" localSheetId="11">#REF!</definedName>
    <definedName name="_AND1">#REF!</definedName>
    <definedName name="_ane7" localSheetId="11">[13]!_xlbgnm.ane7</definedName>
    <definedName name="_ane7">[13]!_xlbgnm.ane7</definedName>
    <definedName name="_ane8" localSheetId="11">[13]!_xlbgnm.ane8</definedName>
    <definedName name="_ane8">[13]!_xlbgnm.ane8</definedName>
    <definedName name="_APU221" localSheetId="11">#REF!</definedName>
    <definedName name="_APU221" localSheetId="12">#REF!</definedName>
    <definedName name="_APU221">#REF!</definedName>
    <definedName name="_APU465" localSheetId="11">[26]!absc</definedName>
    <definedName name="_APU465">[26]!absc</definedName>
    <definedName name="_Atp2">[19]EMPRESA!$F$22</definedName>
    <definedName name="_b2" localSheetId="12" hidden="1">{"TAB1",#N/A,TRUE,"GENERAL";"TAB2",#N/A,TRUE,"GENERAL";"TAB3",#N/A,TRUE,"GENERAL";"TAB4",#N/A,TRUE,"GENERAL";"TAB5",#N/A,TRUE,"GENERAL"}</definedName>
    <definedName name="_b2" hidden="1">{"TAB1",#N/A,TRUE,"GENERAL";"TAB2",#N/A,TRUE,"GENERAL";"TAB3",#N/A,TRUE,"GENERAL";"TAB4",#N/A,TRUE,"GENERAL";"TAB5",#N/A,TRUE,"GENERAL"}</definedName>
    <definedName name="_b3" localSheetId="12" hidden="1">{"TAB1",#N/A,TRUE,"GENERAL";"TAB2",#N/A,TRUE,"GENERAL";"TAB3",#N/A,TRUE,"GENERAL";"TAB4",#N/A,TRUE,"GENERAL";"TAB5",#N/A,TRUE,"GENERAL"}</definedName>
    <definedName name="_b3" hidden="1">{"TAB1",#N/A,TRUE,"GENERAL";"TAB2",#N/A,TRUE,"GENERAL";"TAB3",#N/A,TRUE,"GENERAL";"TAB4",#N/A,TRUE,"GENERAL";"TAB5",#N/A,TRUE,"GENERAL"}</definedName>
    <definedName name="_b4" localSheetId="12" hidden="1">{"TAB1",#N/A,TRUE,"GENERAL";"TAB2",#N/A,TRUE,"GENERAL";"TAB3",#N/A,TRUE,"GENERAL";"TAB4",#N/A,TRUE,"GENERAL";"TAB5",#N/A,TRUE,"GENERAL"}</definedName>
    <definedName name="_b4" hidden="1">{"TAB1",#N/A,TRUE,"GENERAL";"TAB2",#N/A,TRUE,"GENERAL";"TAB3",#N/A,TRUE,"GENERAL";"TAB4",#N/A,TRUE,"GENERAL";"TAB5",#N/A,TRUE,"GENERAL"}</definedName>
    <definedName name="_b5" localSheetId="12" hidden="1">{"TAB1",#N/A,TRUE,"GENERAL";"TAB2",#N/A,TRUE,"GENERAL";"TAB3",#N/A,TRUE,"GENERAL";"TAB4",#N/A,TRUE,"GENERAL";"TAB5",#N/A,TRUE,"GENERAL"}</definedName>
    <definedName name="_b5" hidden="1">{"TAB1",#N/A,TRUE,"GENERAL";"TAB2",#N/A,TRUE,"GENERAL";"TAB3",#N/A,TRUE,"GENERAL";"TAB4",#N/A,TRUE,"GENERAL";"TAB5",#N/A,TRUE,"GENERAL"}</definedName>
    <definedName name="_b6" localSheetId="12" hidden="1">{"TAB1",#N/A,TRUE,"GENERAL";"TAB2",#N/A,TRUE,"GENERAL";"TAB3",#N/A,TRUE,"GENERAL";"TAB4",#N/A,TRUE,"GENERAL";"TAB5",#N/A,TRUE,"GENERAL"}</definedName>
    <definedName name="_b6" hidden="1">{"TAB1",#N/A,TRUE,"GENERAL";"TAB2",#N/A,TRUE,"GENERAL";"TAB3",#N/A,TRUE,"GENERAL";"TAB4",#N/A,TRUE,"GENERAL";"TAB5",#N/A,TRUE,"GENERAL"}</definedName>
    <definedName name="_b7" localSheetId="12" hidden="1">{"via1",#N/A,TRUE,"general";"via2",#N/A,TRUE,"general";"via3",#N/A,TRUE,"general"}</definedName>
    <definedName name="_b7" hidden="1">{"via1",#N/A,TRUE,"general";"via2",#N/A,TRUE,"general";"via3",#N/A,TRUE,"general"}</definedName>
    <definedName name="_b8" localSheetId="12" hidden="1">{"via1",#N/A,TRUE,"general";"via2",#N/A,TRUE,"general";"via3",#N/A,TRUE,"general"}</definedName>
    <definedName name="_b8" hidden="1">{"via1",#N/A,TRUE,"general";"via2",#N/A,TRUE,"general";"via3",#N/A,TRUE,"general"}</definedName>
    <definedName name="_BAZ10">BASE!$D$420</definedName>
    <definedName name="_bb9" localSheetId="12" hidden="1">{"TAB1",#N/A,TRUE,"GENERAL";"TAB2",#N/A,TRUE,"GENERAL";"TAB3",#N/A,TRUE,"GENERAL";"TAB4",#N/A,TRUE,"GENERAL";"TAB5",#N/A,TRUE,"GENERAL"}</definedName>
    <definedName name="_bb9" hidden="1">{"TAB1",#N/A,TRUE,"GENERAL";"TAB2",#N/A,TRUE,"GENERAL";"TAB3",#N/A,TRUE,"GENERAL";"TAB4",#N/A,TRUE,"GENERAL";"TAB5",#N/A,TRUE,"GENERAL"}</definedName>
    <definedName name="_bgb5" localSheetId="12" hidden="1">{"TAB1",#N/A,TRUE,"GENERAL";"TAB2",#N/A,TRUE,"GENERAL";"TAB3",#N/A,TRUE,"GENERAL";"TAB4",#N/A,TRUE,"GENERAL";"TAB5",#N/A,TRUE,"GENERAL"}</definedName>
    <definedName name="_bgb5" hidden="1">{"TAB1",#N/A,TRUE,"GENERAL";"TAB2",#N/A,TRUE,"GENERAL";"TAB3",#N/A,TRUE,"GENERAL";"TAB4",#N/A,TRUE,"GENERAL";"TAB5",#N/A,TRUE,"GENERAL"}</definedName>
    <definedName name="_BGC1">[6]INV!$A$5:$D$8</definedName>
    <definedName name="_BGC3">[6]INV!$F$5:$I$8</definedName>
    <definedName name="_BGC5">[6]INV!$K$5:$N$8</definedName>
    <definedName name="_BLO20" localSheetId="5">[27]BASE!$D$62</definedName>
    <definedName name="_BLO20">BASE!$D$65</definedName>
    <definedName name="_C2254JH">'BASE 2'!$D$392</definedName>
    <definedName name="_C2256JH" localSheetId="8">[15]BASE2!$D$338</definedName>
    <definedName name="_C2256JH" localSheetId="9">[15]BASE2!$D$338</definedName>
    <definedName name="_C2256JH">'BASE 2'!$D$393</definedName>
    <definedName name="_C452JH">'BASE 2'!$D$388</definedName>
    <definedName name="_C903L">'BASE 2'!$D$473</definedName>
    <definedName name="_C908J">'BASE 2'!$D$378</definedName>
    <definedName name="_CAC1">[6]INV!$A$19:$D$22</definedName>
    <definedName name="_CAC3">[6]INV!$F$19:$I$22</definedName>
    <definedName name="_CAC5">[6]INV!$K$19:$N$22</definedName>
    <definedName name="_CAN28" localSheetId="8">[15]BASE!$D$485</definedName>
    <definedName name="_CAN28" localSheetId="9">[15]BASE!$D$485</definedName>
    <definedName name="_CAN28" localSheetId="5">[23]BASE!$D$451</definedName>
    <definedName name="_CAN28">BASE!$D$485</definedName>
    <definedName name="_Cod1" localSheetId="11">#REF!</definedName>
    <definedName name="_Cod1" localSheetId="12">#REF!</definedName>
    <definedName name="_Cod1" localSheetId="5">#REF!</definedName>
    <definedName name="_Cod1" localSheetId="37">#REF!</definedName>
    <definedName name="_Cod1">#REF!</definedName>
    <definedName name="_COM1" localSheetId="11">#REF!</definedName>
    <definedName name="_COM1">#REF!</definedName>
    <definedName name="_COM10" localSheetId="11">#REF!</definedName>
    <definedName name="_COM10">#REF!</definedName>
    <definedName name="_COM11" localSheetId="11">#REF!</definedName>
    <definedName name="_COM11">#REF!</definedName>
    <definedName name="_COM12" localSheetId="11">#REF!</definedName>
    <definedName name="_COM12">#REF!</definedName>
    <definedName name="_COM13" localSheetId="11">#REF!</definedName>
    <definedName name="_COM13">#REF!</definedName>
    <definedName name="_COM14" localSheetId="11">#REF!</definedName>
    <definedName name="_COM14">#REF!</definedName>
    <definedName name="_COM15" localSheetId="11">#REF!</definedName>
    <definedName name="_COM15">#REF!</definedName>
    <definedName name="_COM16" localSheetId="11">#REF!</definedName>
    <definedName name="_COM16">#REF!</definedName>
    <definedName name="_COM17" localSheetId="11">#REF!</definedName>
    <definedName name="_COM17">#REF!</definedName>
    <definedName name="_COM18" localSheetId="11">#REF!</definedName>
    <definedName name="_COM18">#REF!</definedName>
    <definedName name="_COM19" localSheetId="11">#REF!</definedName>
    <definedName name="_COM19">#REF!</definedName>
    <definedName name="_COM2" localSheetId="11">#REF!</definedName>
    <definedName name="_COM2">#REF!</definedName>
    <definedName name="_COM20" localSheetId="11">#REF!</definedName>
    <definedName name="_COM20">#REF!</definedName>
    <definedName name="_COM21" localSheetId="11">#REF!</definedName>
    <definedName name="_COM21">#REF!</definedName>
    <definedName name="_COM3" localSheetId="11">#REF!</definedName>
    <definedName name="_COM3">#REF!</definedName>
    <definedName name="_COM4" localSheetId="11">#REF!</definedName>
    <definedName name="_COM4">#REF!</definedName>
    <definedName name="_COM5" localSheetId="11">#REF!</definedName>
    <definedName name="_COM5">#REF!</definedName>
    <definedName name="_COM6" localSheetId="11">#REF!</definedName>
    <definedName name="_COM6">#REF!</definedName>
    <definedName name="_COM7" localSheetId="11">#REF!</definedName>
    <definedName name="_COM7">#REF!</definedName>
    <definedName name="_COM8" localSheetId="11">#REF!</definedName>
    <definedName name="_COM8">#REF!</definedName>
    <definedName name="_COM9" localSheetId="11">#REF!</definedName>
    <definedName name="_COM9">#REF!</definedName>
    <definedName name="_CUA44" localSheetId="8">[15]BASE!$D$403</definedName>
    <definedName name="_CUA44" localSheetId="9">[15]BASE!$D$403</definedName>
    <definedName name="_CUA44">BASE!$D$403</definedName>
    <definedName name="_DCI1" localSheetId="11">[11]Tablas!#REF!</definedName>
    <definedName name="_DCI1">[11]Tablas!#REF!</definedName>
    <definedName name="_DDS1" localSheetId="11">[11]Tablas!#REF!</definedName>
    <definedName name="_DDS1">[11]Tablas!#REF!</definedName>
    <definedName name="_DGO1" localSheetId="11">[11]Tablas!#REF!</definedName>
    <definedName name="_DGO1">[11]Tablas!#REF!</definedName>
    <definedName name="_DGP1" localSheetId="11">[11]Tablas!#REF!</definedName>
    <definedName name="_DGP1">[11]Tablas!#REF!</definedName>
    <definedName name="_DIJ1" localSheetId="11">[11]Tablas!#REF!</definedName>
    <definedName name="_DIJ1">[11]Tablas!#REF!</definedName>
    <definedName name="_DPI1" localSheetId="11">[11]Tablas!#REF!</definedName>
    <definedName name="_DPI1">[11]Tablas!#REF!</definedName>
    <definedName name="_DPY1" localSheetId="11">[11]Tablas!#REF!</definedName>
    <definedName name="_DPY1">[11]Tablas!#REF!</definedName>
    <definedName name="_DRI1" localSheetId="11">[11]Tablas!#REF!</definedName>
    <definedName name="_DRI1">[11]Tablas!#REF!</definedName>
    <definedName name="_DRL1" localSheetId="11">[11]Tablas!#REF!</definedName>
    <definedName name="_DRL1">[11]Tablas!#REF!</definedName>
    <definedName name="_DSP1" localSheetId="11">[11]Tablas!#REF!</definedName>
    <definedName name="_DSP1">[11]Tablas!#REF!</definedName>
    <definedName name="_ECP1" localSheetId="11">[11]Tablas!#REF!</definedName>
    <definedName name="_ECP1">[11]Tablas!#REF!</definedName>
    <definedName name="_EEF110">BASE!$D$497</definedName>
    <definedName name="_EST1" localSheetId="11">#REF!</definedName>
    <definedName name="_EST1" localSheetId="12">#REF!</definedName>
    <definedName name="_EST1">#REF!</definedName>
    <definedName name="_EST10" localSheetId="11">#REF!</definedName>
    <definedName name="_EST10" localSheetId="12">#REF!</definedName>
    <definedName name="_EST10">#REF!</definedName>
    <definedName name="_EST11" localSheetId="11">#REF!</definedName>
    <definedName name="_EST11" localSheetId="12">#REF!</definedName>
    <definedName name="_EST11">#REF!</definedName>
    <definedName name="_EST12" localSheetId="11">#REF!</definedName>
    <definedName name="_EST12" localSheetId="12">#REF!</definedName>
    <definedName name="_EST12">#REF!</definedName>
    <definedName name="_EST13" localSheetId="11">#REF!</definedName>
    <definedName name="_EST13" localSheetId="12">#REF!</definedName>
    <definedName name="_EST13">#REF!</definedName>
    <definedName name="_EST14" localSheetId="11">#REF!</definedName>
    <definedName name="_EST14" localSheetId="12">#REF!</definedName>
    <definedName name="_EST14">#REF!</definedName>
    <definedName name="_EST15" localSheetId="11">#REF!</definedName>
    <definedName name="_EST15" localSheetId="12">#REF!</definedName>
    <definedName name="_EST15">#REF!</definedName>
    <definedName name="_EST16" localSheetId="11">#REF!</definedName>
    <definedName name="_EST16" localSheetId="12">#REF!</definedName>
    <definedName name="_EST16">#REF!</definedName>
    <definedName name="_EST17" localSheetId="11">#REF!</definedName>
    <definedName name="_EST17" localSheetId="12">#REF!</definedName>
    <definedName name="_EST17">#REF!</definedName>
    <definedName name="_EST18" localSheetId="11">#REF!</definedName>
    <definedName name="_EST18" localSheetId="12">#REF!</definedName>
    <definedName name="_EST18">#REF!</definedName>
    <definedName name="_EST19" localSheetId="11">#REF!</definedName>
    <definedName name="_EST19" localSheetId="12">#REF!</definedName>
    <definedName name="_EST19">#REF!</definedName>
    <definedName name="_EST2" localSheetId="11">#REF!</definedName>
    <definedName name="_EST2" localSheetId="12">#REF!</definedName>
    <definedName name="_EST2">#REF!</definedName>
    <definedName name="_EST3" localSheetId="11">#REF!</definedName>
    <definedName name="_EST3" localSheetId="12">#REF!</definedName>
    <definedName name="_EST3">#REF!</definedName>
    <definedName name="_EST4" localSheetId="11">#REF!</definedName>
    <definedName name="_EST4" localSheetId="12">#REF!</definedName>
    <definedName name="_EST4">#REF!</definedName>
    <definedName name="_EST5" localSheetId="11">#REF!</definedName>
    <definedName name="_EST5" localSheetId="12">#REF!</definedName>
    <definedName name="_EST5">#REF!</definedName>
    <definedName name="_EST6" localSheetId="11">#REF!</definedName>
    <definedName name="_EST6" localSheetId="12">#REF!</definedName>
    <definedName name="_EST6">#REF!</definedName>
    <definedName name="_EST7" localSheetId="11">#REF!</definedName>
    <definedName name="_EST7" localSheetId="12">#REF!</definedName>
    <definedName name="_EST7">#REF!</definedName>
    <definedName name="_EST8" localSheetId="11">#REF!</definedName>
    <definedName name="_EST8" localSheetId="12">#REF!</definedName>
    <definedName name="_EST8">#REF!</definedName>
    <definedName name="_EST9" localSheetId="11">#REF!</definedName>
    <definedName name="_EST9" localSheetId="12">#REF!</definedName>
    <definedName name="_EST9">#REF!</definedName>
    <definedName name="_ETF315" localSheetId="8">[15]BASE!$D$496</definedName>
    <definedName name="_ETF315" localSheetId="9">[15]BASE!$D$496</definedName>
    <definedName name="_ETF315">BASE!$D$496</definedName>
    <definedName name="_EXC1" localSheetId="11">#REF!</definedName>
    <definedName name="_EXC1" localSheetId="12">#REF!</definedName>
    <definedName name="_EXC1">#REF!</definedName>
    <definedName name="_EXC10" localSheetId="11">#REF!</definedName>
    <definedName name="_EXC10" localSheetId="12">#REF!</definedName>
    <definedName name="_EXC10">#REF!</definedName>
    <definedName name="_EXC11" localSheetId="11">#REF!</definedName>
    <definedName name="_EXC11" localSheetId="12">#REF!</definedName>
    <definedName name="_EXC11">#REF!</definedName>
    <definedName name="_EXC12" localSheetId="11">#REF!</definedName>
    <definedName name="_EXC12" localSheetId="12">#REF!</definedName>
    <definedName name="_EXC12">#REF!</definedName>
    <definedName name="_EXC2" localSheetId="11">#REF!</definedName>
    <definedName name="_EXC2" localSheetId="12">#REF!</definedName>
    <definedName name="_EXC2">#REF!</definedName>
    <definedName name="_EXC3" localSheetId="11">#REF!</definedName>
    <definedName name="_EXC3" localSheetId="12">#REF!</definedName>
    <definedName name="_EXC3">#REF!</definedName>
    <definedName name="_EXC4" localSheetId="11">#REF!</definedName>
    <definedName name="_EXC4" localSheetId="12">#REF!</definedName>
    <definedName name="_EXC4">#REF!</definedName>
    <definedName name="_EXC5" localSheetId="11">#REF!</definedName>
    <definedName name="_EXC5" localSheetId="12">#REF!</definedName>
    <definedName name="_EXC5">#REF!</definedName>
    <definedName name="_EXC6" localSheetId="11">#REF!</definedName>
    <definedName name="_EXC6" localSheetId="12">#REF!</definedName>
    <definedName name="_EXC6">#REF!</definedName>
    <definedName name="_EXC7" localSheetId="11">#REF!</definedName>
    <definedName name="_EXC7" localSheetId="12">#REF!</definedName>
    <definedName name="_EXC7">#REF!</definedName>
    <definedName name="_EXC8" localSheetId="11">#REF!</definedName>
    <definedName name="_EXC8" localSheetId="12">#REF!</definedName>
    <definedName name="_EXC8">#REF!</definedName>
    <definedName name="_EXC9" localSheetId="11">#REF!</definedName>
    <definedName name="_EXC9" localSheetId="12">#REF!</definedName>
    <definedName name="_EXC9">#REF!</definedName>
    <definedName name="_F" localSheetId="12">'Formulario No. 1'!ERR</definedName>
    <definedName name="_F">[0]!ERR</definedName>
    <definedName name="_F10" localSheetId="11">#REF!</definedName>
    <definedName name="_F10">#REF!</definedName>
    <definedName name="_FC" localSheetId="11">#REF!</definedName>
    <definedName name="_FC">#REF!</definedName>
    <definedName name="_Fill" localSheetId="11" hidden="1">#REF!</definedName>
    <definedName name="_Fill" localSheetId="12" hidden="1">#REF!</definedName>
    <definedName name="_Fill" hidden="1">#REF!</definedName>
    <definedName name="_xlnm._FilterDatabase" localSheetId="29" hidden="1">' TANQUE PATAGONIA'!$A$7:$G$134</definedName>
    <definedName name="_xlnm._FilterDatabase" localSheetId="21" hidden="1">'APU LINEAS IMPULSIÓN'!$B$6:$B$239</definedName>
    <definedName name="_xlnm._FilterDatabase" localSheetId="7" hidden="1">'BASE CTOS'!$A$10:$I$177</definedName>
    <definedName name="_xlnm._FilterDatabase" localSheetId="8" hidden="1">CANTIDADES!$A$4:$F$955</definedName>
    <definedName name="_xlnm._FilterDatabase" localSheetId="17" hidden="1">'CAPTACION RIO SINÚ'!$A$5:$F$217</definedName>
    <definedName name="_xlnm._FilterDatabase" localSheetId="9" hidden="1">CONSOLIDADO!$A$4:$F$955</definedName>
    <definedName name="_xlnm._FilterDatabase" localSheetId="20" hidden="1">'LINEAS IMPULSIÓN-CONDUCCIÓN'!$A$9:$F$336</definedName>
    <definedName name="_xlnm._FilterDatabase" localSheetId="28" hidden="1">'PTAP TIJERETAS'!$A$7:$F$499</definedName>
    <definedName name="_FS01" localSheetId="12">'Formulario No. 1'!ERR</definedName>
    <definedName name="_FS01">[0]!ERR</definedName>
    <definedName name="_FYB03">BASE!$D$387</definedName>
    <definedName name="_FYB04">BASE!$D$388</definedName>
    <definedName name="_FYB08">BASE!$D$389</definedName>
    <definedName name="_FYB10">BASE!$D$390</definedName>
    <definedName name="_g2" localSheetId="12" hidden="1">{"TAB1",#N/A,TRUE,"GENERAL";"TAB2",#N/A,TRUE,"GENERAL";"TAB3",#N/A,TRUE,"GENERAL";"TAB4",#N/A,TRUE,"GENERAL";"TAB5",#N/A,TRUE,"GENERAL"}</definedName>
    <definedName name="_g2" hidden="1">{"TAB1",#N/A,TRUE,"GENERAL";"TAB2",#N/A,TRUE,"GENERAL";"TAB3",#N/A,TRUE,"GENERAL";"TAB4",#N/A,TRUE,"GENERAL";"TAB5",#N/A,TRUE,"GENERAL"}</definedName>
    <definedName name="_g3" localSheetId="12" hidden="1">{"via1",#N/A,TRUE,"general";"via2",#N/A,TRUE,"general";"via3",#N/A,TRUE,"general"}</definedName>
    <definedName name="_g3" hidden="1">{"via1",#N/A,TRUE,"general";"via2",#N/A,TRUE,"general";"via3",#N/A,TRUE,"general"}</definedName>
    <definedName name="_g4" localSheetId="12" hidden="1">{"via1",#N/A,TRUE,"general";"via2",#N/A,TRUE,"general";"via3",#N/A,TRUE,"general"}</definedName>
    <definedName name="_g4" hidden="1">{"via1",#N/A,TRUE,"general";"via2",#N/A,TRUE,"general";"via3",#N/A,TRUE,"general"}</definedName>
    <definedName name="_g5" localSheetId="12" hidden="1">{"via1",#N/A,TRUE,"general";"via2",#N/A,TRUE,"general";"via3",#N/A,TRUE,"general"}</definedName>
    <definedName name="_g5" hidden="1">{"via1",#N/A,TRUE,"general";"via2",#N/A,TRUE,"general";"via3",#N/A,TRUE,"general"}</definedName>
    <definedName name="_g6" localSheetId="12" hidden="1">{"via1",#N/A,TRUE,"general";"via2",#N/A,TRUE,"general";"via3",#N/A,TRUE,"general"}</definedName>
    <definedName name="_g6" hidden="1">{"via1",#N/A,TRUE,"general";"via2",#N/A,TRUE,"general";"via3",#N/A,TRUE,"general"}</definedName>
    <definedName name="_g7" localSheetId="12" hidden="1">{"TAB1",#N/A,TRUE,"GENERAL";"TAB2",#N/A,TRUE,"GENERAL";"TAB3",#N/A,TRUE,"GENERAL";"TAB4",#N/A,TRUE,"GENERAL";"TAB5",#N/A,TRUE,"GENERAL"}</definedName>
    <definedName name="_g7" hidden="1">{"TAB1",#N/A,TRUE,"GENERAL";"TAB2",#N/A,TRUE,"GENERAL";"TAB3",#N/A,TRUE,"GENERAL";"TAB4",#N/A,TRUE,"GENERAL";"TAB5",#N/A,TRUE,"GENERAL"}</definedName>
    <definedName name="_GoBack">'Formulario No. 1'!$F$4</definedName>
    <definedName name="_GR1" localSheetId="12" hidden="1">{"TAB1",#N/A,TRUE,"GENERAL";"TAB2",#N/A,TRUE,"GENERAL";"TAB3",#N/A,TRUE,"GENERAL";"TAB4",#N/A,TRUE,"GENERAL";"TAB5",#N/A,TRUE,"GENERAL"}</definedName>
    <definedName name="_GR1" hidden="1">{"TAB1",#N/A,TRUE,"GENERAL";"TAB2",#N/A,TRUE,"GENERAL";"TAB3",#N/A,TRUE,"GENERAL";"TAB4",#N/A,TRUE,"GENERAL";"TAB5",#N/A,TRUE,"GENERAL"}</definedName>
    <definedName name="_gtr4" localSheetId="12" hidden="1">{"via1",#N/A,TRUE,"general";"via2",#N/A,TRUE,"general";"via3",#N/A,TRUE,"general"}</definedName>
    <definedName name="_gtr4" hidden="1">{"via1",#N/A,TRUE,"general";"via2",#N/A,TRUE,"general";"via3",#N/A,TRUE,"general"}</definedName>
    <definedName name="_h2" localSheetId="12" hidden="1">{"via1",#N/A,TRUE,"general";"via2",#N/A,TRUE,"general";"via3",#N/A,TRUE,"general"}</definedName>
    <definedName name="_h2" hidden="1">{"via1",#N/A,TRUE,"general";"via2",#N/A,TRUE,"general";"via3",#N/A,TRUE,"general"}</definedName>
    <definedName name="_h3" localSheetId="12" hidden="1">{"via1",#N/A,TRUE,"general";"via2",#N/A,TRUE,"general";"via3",#N/A,TRUE,"general"}</definedName>
    <definedName name="_h3" hidden="1">{"via1",#N/A,TRUE,"general";"via2",#N/A,TRUE,"general";"via3",#N/A,TRUE,"general"}</definedName>
    <definedName name="_h4" localSheetId="12" hidden="1">{"TAB1",#N/A,TRUE,"GENERAL";"TAB2",#N/A,TRUE,"GENERAL";"TAB3",#N/A,TRUE,"GENERAL";"TAB4",#N/A,TRUE,"GENERAL";"TAB5",#N/A,TRUE,"GENERAL"}</definedName>
    <definedName name="_h4" hidden="1">{"TAB1",#N/A,TRUE,"GENERAL";"TAB2",#N/A,TRUE,"GENERAL";"TAB3",#N/A,TRUE,"GENERAL";"TAB4",#N/A,TRUE,"GENERAL";"TAB5",#N/A,TRUE,"GENERAL"}</definedName>
    <definedName name="_h5" localSheetId="12" hidden="1">{"TAB1",#N/A,TRUE,"GENERAL";"TAB2",#N/A,TRUE,"GENERAL";"TAB3",#N/A,TRUE,"GENERAL";"TAB4",#N/A,TRUE,"GENERAL";"TAB5",#N/A,TRUE,"GENERAL"}</definedName>
    <definedName name="_h5" hidden="1">{"TAB1",#N/A,TRUE,"GENERAL";"TAB2",#N/A,TRUE,"GENERAL";"TAB3",#N/A,TRUE,"GENERAL";"TAB4",#N/A,TRUE,"GENERAL";"TAB5",#N/A,TRUE,"GENERAL"}</definedName>
    <definedName name="_h6" localSheetId="12" hidden="1">{"via1",#N/A,TRUE,"general";"via2",#N/A,TRUE,"general";"via3",#N/A,TRUE,"general"}</definedName>
    <definedName name="_h6" hidden="1">{"via1",#N/A,TRUE,"general";"via2",#N/A,TRUE,"general";"via3",#N/A,TRUE,"general"}</definedName>
    <definedName name="_h7" localSheetId="12" hidden="1">{"TAB1",#N/A,TRUE,"GENERAL";"TAB2",#N/A,TRUE,"GENERAL";"TAB3",#N/A,TRUE,"GENERAL";"TAB4",#N/A,TRUE,"GENERAL";"TAB5",#N/A,TRUE,"GENERAL"}</definedName>
    <definedName name="_h7" hidden="1">{"TAB1",#N/A,TRUE,"GENERAL";"TAB2",#N/A,TRUE,"GENERAL";"TAB3",#N/A,TRUE,"GENERAL";"TAB4",#N/A,TRUE,"GENERAL";"TAB5",#N/A,TRUE,"GENERAL"}</definedName>
    <definedName name="_h8" localSheetId="12" hidden="1">{"via1",#N/A,TRUE,"general";"via2",#N/A,TRUE,"general";"via3",#N/A,TRUE,"general"}</definedName>
    <definedName name="_h8" hidden="1">{"via1",#N/A,TRUE,"general";"via2",#N/A,TRUE,"general";"via3",#N/A,TRUE,"general"}</definedName>
    <definedName name="_hfh7" localSheetId="12" hidden="1">{"via1",#N/A,TRUE,"general";"via2",#N/A,TRUE,"general";"via3",#N/A,TRUE,"general"}</definedName>
    <definedName name="_hfh7" hidden="1">{"via1",#N/A,TRUE,"general";"via2",#N/A,TRUE,"general";"via3",#N/A,TRUE,"general"}</definedName>
    <definedName name="_hhg1" hidden="1">{#N/A,#N/A,TRUE,"1842CWN0"}</definedName>
    <definedName name="_i4" localSheetId="12" hidden="1">{"via1",#N/A,TRUE,"general";"via2",#N/A,TRUE,"general";"via3",#N/A,TRUE,"general"}</definedName>
    <definedName name="_i4" hidden="1">{"via1",#N/A,TRUE,"general";"via2",#N/A,TRUE,"general";"via3",#N/A,TRUE,"general"}</definedName>
    <definedName name="_i5" localSheetId="12" hidden="1">{"TAB1",#N/A,TRUE,"GENERAL";"TAB2",#N/A,TRUE,"GENERAL";"TAB3",#N/A,TRUE,"GENERAL";"TAB4",#N/A,TRUE,"GENERAL";"TAB5",#N/A,TRUE,"GENERAL"}</definedName>
    <definedName name="_i5" hidden="1">{"TAB1",#N/A,TRUE,"GENERAL";"TAB2",#N/A,TRUE,"GENERAL";"TAB3",#N/A,TRUE,"GENERAL";"TAB4",#N/A,TRUE,"GENERAL";"TAB5",#N/A,TRUE,"GENERAL"}</definedName>
    <definedName name="_i6" localSheetId="12" hidden="1">{"TAB1",#N/A,TRUE,"GENERAL";"TAB2",#N/A,TRUE,"GENERAL";"TAB3",#N/A,TRUE,"GENERAL";"TAB4",#N/A,TRUE,"GENERAL";"TAB5",#N/A,TRUE,"GENERAL"}</definedName>
    <definedName name="_i6" hidden="1">{"TAB1",#N/A,TRUE,"GENERAL";"TAB2",#N/A,TRUE,"GENERAL";"TAB3",#N/A,TRUE,"GENERAL";"TAB4",#N/A,TRUE,"GENERAL";"TAB5",#N/A,TRUE,"GENERAL"}</definedName>
    <definedName name="_i7" localSheetId="12" hidden="1">{"via1",#N/A,TRUE,"general";"via2",#N/A,TRUE,"general";"via3",#N/A,TRUE,"general"}</definedName>
    <definedName name="_i7" hidden="1">{"via1",#N/A,TRUE,"general";"via2",#N/A,TRUE,"general";"via3",#N/A,TRUE,"general"}</definedName>
    <definedName name="_i77" localSheetId="12" hidden="1">{"TAB1",#N/A,TRUE,"GENERAL";"TAB2",#N/A,TRUE,"GENERAL";"TAB3",#N/A,TRUE,"GENERAL";"TAB4",#N/A,TRUE,"GENERAL";"TAB5",#N/A,TRUE,"GENERAL"}</definedName>
    <definedName name="_i77" hidden="1">{"TAB1",#N/A,TRUE,"GENERAL";"TAB2",#N/A,TRUE,"GENERAL";"TAB3",#N/A,TRUE,"GENERAL";"TAB4",#N/A,TRUE,"GENERAL";"TAB5",#N/A,TRUE,"GENERAL"}</definedName>
    <definedName name="_i8" localSheetId="12" hidden="1">{"via1",#N/A,TRUE,"general";"via2",#N/A,TRUE,"general";"via3",#N/A,TRUE,"general"}</definedName>
    <definedName name="_i8" hidden="1">{"via1",#N/A,TRUE,"general";"via2",#N/A,TRUE,"general";"via3",#N/A,TRUE,"general"}</definedName>
    <definedName name="_i9" localSheetId="12" hidden="1">{"TAB1",#N/A,TRUE,"GENERAL";"TAB2",#N/A,TRUE,"GENERAL";"TAB3",#N/A,TRUE,"GENERAL";"TAB4",#N/A,TRUE,"GENERAL";"TAB5",#N/A,TRUE,"GENERAL"}</definedName>
    <definedName name="_i9" hidden="1">{"TAB1",#N/A,TRUE,"GENERAL";"TAB2",#N/A,TRUE,"GENERAL";"TAB3",#N/A,TRUE,"GENERAL";"TAB4",#N/A,TRUE,"GENERAL";"TAB5",#N/A,TRUE,"GENERAL"}</definedName>
    <definedName name="_ICP1" localSheetId="11">[11]Tablas!#REF!</definedName>
    <definedName name="_ICP1">[11]Tablas!#REF!</definedName>
    <definedName name="_IMP1" localSheetId="11">#REF!</definedName>
    <definedName name="_IMP1">#REF!</definedName>
    <definedName name="_IPC2002" localSheetId="11">#REF!</definedName>
    <definedName name="_IPC2002" localSheetId="12">#REF!</definedName>
    <definedName name="_IPC2002">#REF!</definedName>
    <definedName name="_IVA1" localSheetId="11">#REF!</definedName>
    <definedName name="_IVA1">#REF!</definedName>
    <definedName name="_k3" localSheetId="12" hidden="1">{"TAB1",#N/A,TRUE,"GENERAL";"TAB2",#N/A,TRUE,"GENERAL";"TAB3",#N/A,TRUE,"GENERAL";"TAB4",#N/A,TRUE,"GENERAL";"TAB5",#N/A,TRUE,"GENERAL"}</definedName>
    <definedName name="_k3" hidden="1">{"TAB1",#N/A,TRUE,"GENERAL";"TAB2",#N/A,TRUE,"GENERAL";"TAB3",#N/A,TRUE,"GENERAL";"TAB4",#N/A,TRUE,"GENERAL";"TAB5",#N/A,TRUE,"GENERAL"}</definedName>
    <definedName name="_k4" localSheetId="12" hidden="1">{"via1",#N/A,TRUE,"general";"via2",#N/A,TRUE,"general";"via3",#N/A,TRUE,"general"}</definedName>
    <definedName name="_k4" hidden="1">{"via1",#N/A,TRUE,"general";"via2",#N/A,TRUE,"general";"via3",#N/A,TRUE,"general"}</definedName>
    <definedName name="_k5" localSheetId="12" hidden="1">{"via1",#N/A,TRUE,"general";"via2",#N/A,TRUE,"general";"via3",#N/A,TRUE,"general"}</definedName>
    <definedName name="_k5" hidden="1">{"via1",#N/A,TRUE,"general";"via2",#N/A,TRUE,"general";"via3",#N/A,TRUE,"general"}</definedName>
    <definedName name="_k6" localSheetId="12" hidden="1">{"TAB1",#N/A,TRUE,"GENERAL";"TAB2",#N/A,TRUE,"GENERAL";"TAB3",#N/A,TRUE,"GENERAL";"TAB4",#N/A,TRUE,"GENERAL";"TAB5",#N/A,TRUE,"GENERAL"}</definedName>
    <definedName name="_k6" hidden="1">{"TAB1",#N/A,TRUE,"GENERAL";"TAB2",#N/A,TRUE,"GENERAL";"TAB3",#N/A,TRUE,"GENERAL";"TAB4",#N/A,TRUE,"GENERAL";"TAB5",#N/A,TRUE,"GENERAL"}</definedName>
    <definedName name="_k7" localSheetId="12" hidden="1">{"via1",#N/A,TRUE,"general";"via2",#N/A,TRUE,"general";"via3",#N/A,TRUE,"general"}</definedName>
    <definedName name="_k7" hidden="1">{"via1",#N/A,TRUE,"general";"via2",#N/A,TRUE,"general";"via3",#N/A,TRUE,"general"}</definedName>
    <definedName name="_k8" localSheetId="12" hidden="1">{"via1",#N/A,TRUE,"general";"via2",#N/A,TRUE,"general";"via3",#N/A,TRUE,"general"}</definedName>
    <definedName name="_k8" hidden="1">{"via1",#N/A,TRUE,"general";"via2",#N/A,TRUE,"general";"via3",#N/A,TRUE,"general"}</definedName>
    <definedName name="_k9" localSheetId="12" hidden="1">{"TAB1",#N/A,TRUE,"GENERAL";"TAB2",#N/A,TRUE,"GENERAL";"TAB3",#N/A,TRUE,"GENERAL";"TAB4",#N/A,TRUE,"GENERAL";"TAB5",#N/A,TRUE,"GENERAL"}</definedName>
    <definedName name="_k9" hidden="1">{"TAB1",#N/A,TRUE,"GENERAL";"TAB2",#N/A,TRUE,"GENERAL";"TAB3",#N/A,TRUE,"GENERAL";"TAB4",#N/A,TRUE,"GENERAL";"TAB5",#N/A,TRUE,"GENERAL"}</definedName>
    <definedName name="_Key1" localSheetId="11" hidden="1">#REF!</definedName>
    <definedName name="_Key1" localSheetId="12" hidden="1">#REF!</definedName>
    <definedName name="_Key1" hidden="1">#REF!</definedName>
    <definedName name="_Key11" localSheetId="11" hidden="1">[28]INST!#REF!</definedName>
    <definedName name="_Key11" hidden="1">[28]INST!#REF!</definedName>
    <definedName name="_Key2" localSheetId="11" hidden="1">#REF!</definedName>
    <definedName name="_Key2" hidden="1">#REF!</definedName>
    <definedName name="_Key21" localSheetId="11" hidden="1">#REF!</definedName>
    <definedName name="_Key21" hidden="1">#REF!</definedName>
    <definedName name="_key3" localSheetId="11" hidden="1">#REF!</definedName>
    <definedName name="_key3" hidden="1">#REF!</definedName>
    <definedName name="_key31" localSheetId="11" hidden="1">#REF!</definedName>
    <definedName name="_key31" hidden="1">#REF!</definedName>
    <definedName name="_kjk6" localSheetId="12" hidden="1">{"TAB1",#N/A,TRUE,"GENERAL";"TAB2",#N/A,TRUE,"GENERAL";"TAB3",#N/A,TRUE,"GENERAL";"TAB4",#N/A,TRUE,"GENERAL";"TAB5",#N/A,TRUE,"GENERAL"}</definedName>
    <definedName name="_kjk6" hidden="1">{"TAB1",#N/A,TRUE,"GENERAL";"TAB2",#N/A,TRUE,"GENERAL";"TAB3",#N/A,TRUE,"GENERAL";"TAB4",#N/A,TRUE,"GENERAL";"TAB5",#N/A,TRUE,"GENERAL"}</definedName>
    <definedName name="_LA124" localSheetId="5">[23]BASE!$D$70</definedName>
    <definedName name="_LA124">[24]BASE!$D$70</definedName>
    <definedName name="_LAC18">BASE!$D$412</definedName>
    <definedName name="_lar03" localSheetId="11">#REF!</definedName>
    <definedName name="_lar03" localSheetId="12">#REF!</definedName>
    <definedName name="_lar03">#REF!</definedName>
    <definedName name="_LEY80" localSheetId="11">#REF!</definedName>
    <definedName name="_LEY80">#REF!</definedName>
    <definedName name="_m3" localSheetId="12" hidden="1">{"via1",#N/A,TRUE,"general";"via2",#N/A,TRUE,"general";"via3",#N/A,TRUE,"general"}</definedName>
    <definedName name="_m3" hidden="1">{"via1",#N/A,TRUE,"general";"via2",#N/A,TRUE,"general";"via3",#N/A,TRUE,"general"}</definedName>
    <definedName name="_m4" localSheetId="12" hidden="1">{"TAB1",#N/A,TRUE,"GENERAL";"TAB2",#N/A,TRUE,"GENERAL";"TAB3",#N/A,TRUE,"GENERAL";"TAB4",#N/A,TRUE,"GENERAL";"TAB5",#N/A,TRUE,"GENERAL"}</definedName>
    <definedName name="_m4" hidden="1">{"TAB1",#N/A,TRUE,"GENERAL";"TAB2",#N/A,TRUE,"GENERAL";"TAB3",#N/A,TRUE,"GENERAL";"TAB4",#N/A,TRUE,"GENERAL";"TAB5",#N/A,TRUE,"GENERAL"}</definedName>
    <definedName name="_m5" localSheetId="12" hidden="1">{"via1",#N/A,TRUE,"general";"via2",#N/A,TRUE,"general";"via3",#N/A,TRUE,"general"}</definedName>
    <definedName name="_m5" hidden="1">{"via1",#N/A,TRUE,"general";"via2",#N/A,TRUE,"general";"via3",#N/A,TRUE,"general"}</definedName>
    <definedName name="_m6" localSheetId="12" hidden="1">{"TAB1",#N/A,TRUE,"GENERAL";"TAB2",#N/A,TRUE,"GENERAL";"TAB3",#N/A,TRUE,"GENERAL";"TAB4",#N/A,TRUE,"GENERAL";"TAB5",#N/A,TRUE,"GENERAL"}</definedName>
    <definedName name="_m6" hidden="1">{"TAB1",#N/A,TRUE,"GENERAL";"TAB2",#N/A,TRUE,"GENERAL";"TAB3",#N/A,TRUE,"GENERAL";"TAB4",#N/A,TRUE,"GENERAL";"TAB5",#N/A,TRUE,"GENERAL"}</definedName>
    <definedName name="_m7" localSheetId="12" hidden="1">{"TAB1",#N/A,TRUE,"GENERAL";"TAB2",#N/A,TRUE,"GENERAL";"TAB3",#N/A,TRUE,"GENERAL";"TAB4",#N/A,TRUE,"GENERAL";"TAB5",#N/A,TRUE,"GENERAL"}</definedName>
    <definedName name="_m7" hidden="1">{"TAB1",#N/A,TRUE,"GENERAL";"TAB2",#N/A,TRUE,"GENERAL";"TAB3",#N/A,TRUE,"GENERAL";"TAB4",#N/A,TRUE,"GENERAL";"TAB5",#N/A,TRUE,"GENERAL"}</definedName>
    <definedName name="_m8" localSheetId="12" hidden="1">{"via1",#N/A,TRUE,"general";"via2",#N/A,TRUE,"general";"via3",#N/A,TRUE,"general"}</definedName>
    <definedName name="_m8" hidden="1">{"via1",#N/A,TRUE,"general";"via2",#N/A,TRUE,"general";"via3",#N/A,TRUE,"general"}</definedName>
    <definedName name="_m9" localSheetId="12" hidden="1">{"via1",#N/A,TRUE,"general";"via2",#N/A,TRUE,"general";"via3",#N/A,TRUE,"general"}</definedName>
    <definedName name="_m9" hidden="1">{"via1",#N/A,TRUE,"general";"via2",#N/A,TRUE,"general";"via3",#N/A,TRUE,"general"}</definedName>
    <definedName name="_MA2" localSheetId="11">#REF!</definedName>
    <definedName name="_MA2" localSheetId="12">#REF!</definedName>
    <definedName name="_MA2">#REF!</definedName>
    <definedName name="_MAT1" localSheetId="11">#REF!</definedName>
    <definedName name="_MAT1">#REF!</definedName>
    <definedName name="_MOD1" localSheetId="11">#REF!</definedName>
    <definedName name="_MOD1">#REF!</definedName>
    <definedName name="_mun2" localSheetId="11">[21]PESOS!#REF!</definedName>
    <definedName name="_mun2" localSheetId="12">[21]PESOS!#REF!</definedName>
    <definedName name="_mun2">[21]PESOS!#REF!</definedName>
    <definedName name="_n3" localSheetId="12" hidden="1">{"TAB1",#N/A,TRUE,"GENERAL";"TAB2",#N/A,TRUE,"GENERAL";"TAB3",#N/A,TRUE,"GENERAL";"TAB4",#N/A,TRUE,"GENERAL";"TAB5",#N/A,TRUE,"GENERAL"}</definedName>
    <definedName name="_n3" hidden="1">{"TAB1",#N/A,TRUE,"GENERAL";"TAB2",#N/A,TRUE,"GENERAL";"TAB3",#N/A,TRUE,"GENERAL";"TAB4",#N/A,TRUE,"GENERAL";"TAB5",#N/A,TRUE,"GENERAL"}</definedName>
    <definedName name="_n4" localSheetId="12" hidden="1">{"via1",#N/A,TRUE,"general";"via2",#N/A,TRUE,"general";"via3",#N/A,TRUE,"general"}</definedName>
    <definedName name="_n4" hidden="1">{"via1",#N/A,TRUE,"general";"via2",#N/A,TRUE,"general";"via3",#N/A,TRUE,"general"}</definedName>
    <definedName name="_n5" localSheetId="12" hidden="1">{"TAB1",#N/A,TRUE,"GENERAL";"TAB2",#N/A,TRUE,"GENERAL";"TAB3",#N/A,TRUE,"GENERAL";"TAB4",#N/A,TRUE,"GENERAL";"TAB5",#N/A,TRUE,"GENERAL"}</definedName>
    <definedName name="_n5" hidden="1">{"TAB1",#N/A,TRUE,"GENERAL";"TAB2",#N/A,TRUE,"GENERAL";"TAB3",#N/A,TRUE,"GENERAL";"TAB4",#N/A,TRUE,"GENERAL";"TAB5",#N/A,TRUE,"GENERAL"}</definedName>
    <definedName name="_nrf10" localSheetId="11">#REF!</definedName>
    <definedName name="_nrf10">#REF!</definedName>
    <definedName name="_num10" localSheetId="11">#REF!</definedName>
    <definedName name="_num10" localSheetId="12">#REF!</definedName>
    <definedName name="_num10">#REF!</definedName>
    <definedName name="_num2" localSheetId="11">#REF!</definedName>
    <definedName name="_num2" localSheetId="12">#REF!</definedName>
    <definedName name="_num2">#REF!</definedName>
    <definedName name="_num3" localSheetId="11">#REF!</definedName>
    <definedName name="_num3" localSheetId="12">#REF!</definedName>
    <definedName name="_num3">#REF!</definedName>
    <definedName name="_num4" localSheetId="11">#REF!</definedName>
    <definedName name="_num4" localSheetId="12">#REF!</definedName>
    <definedName name="_num4">#REF!</definedName>
    <definedName name="_num5" localSheetId="11">#REF!</definedName>
    <definedName name="_num5" localSheetId="12">#REF!</definedName>
    <definedName name="_num5">#REF!</definedName>
    <definedName name="_num6" localSheetId="11">#REF!</definedName>
    <definedName name="_num6" localSheetId="12">#REF!</definedName>
    <definedName name="_num6">#REF!</definedName>
    <definedName name="_num7" localSheetId="11">#REF!</definedName>
    <definedName name="_num7" localSheetId="12">#REF!</definedName>
    <definedName name="_num7">#REF!</definedName>
    <definedName name="_num8" localSheetId="11">#REF!</definedName>
    <definedName name="_num8" localSheetId="12">#REF!</definedName>
    <definedName name="_num8">#REF!</definedName>
    <definedName name="_num9" localSheetId="11">#REF!</definedName>
    <definedName name="_num9" localSheetId="12">#REF!</definedName>
    <definedName name="_num9">#REF!</definedName>
    <definedName name="_nyn7" localSheetId="12" hidden="1">{"via1",#N/A,TRUE,"general";"via2",#N/A,TRUE,"general";"via3",#N/A,TRUE,"general"}</definedName>
    <definedName name="_nyn7" hidden="1">{"via1",#N/A,TRUE,"general";"via2",#N/A,TRUE,"general";"via3",#N/A,TRUE,"general"}</definedName>
    <definedName name="_o4" localSheetId="12" hidden="1">{"via1",#N/A,TRUE,"general";"via2",#N/A,TRUE,"general";"via3",#N/A,TRUE,"general"}</definedName>
    <definedName name="_o4" hidden="1">{"via1",#N/A,TRUE,"general";"via2",#N/A,TRUE,"general";"via3",#N/A,TRUE,"general"}</definedName>
    <definedName name="_o5" localSheetId="12" hidden="1">{"TAB1",#N/A,TRUE,"GENERAL";"TAB2",#N/A,TRUE,"GENERAL";"TAB3",#N/A,TRUE,"GENERAL";"TAB4",#N/A,TRUE,"GENERAL";"TAB5",#N/A,TRUE,"GENERAL"}</definedName>
    <definedName name="_o5" hidden="1">{"TAB1",#N/A,TRUE,"GENERAL";"TAB2",#N/A,TRUE,"GENERAL";"TAB3",#N/A,TRUE,"GENERAL";"TAB4",#N/A,TRUE,"GENERAL";"TAB5",#N/A,TRUE,"GENERAL"}</definedName>
    <definedName name="_o6" localSheetId="12" hidden="1">{"TAB1",#N/A,TRUE,"GENERAL";"TAB2",#N/A,TRUE,"GENERAL";"TAB3",#N/A,TRUE,"GENERAL";"TAB4",#N/A,TRUE,"GENERAL";"TAB5",#N/A,TRUE,"GENERAL"}</definedName>
    <definedName name="_o6" hidden="1">{"TAB1",#N/A,TRUE,"GENERAL";"TAB2",#N/A,TRUE,"GENERAL";"TAB3",#N/A,TRUE,"GENERAL";"TAB4",#N/A,TRUE,"GENERAL";"TAB5",#N/A,TRUE,"GENERAL"}</definedName>
    <definedName name="_o7" localSheetId="12" hidden="1">{"TAB1",#N/A,TRUE,"GENERAL";"TAB2",#N/A,TRUE,"GENERAL";"TAB3",#N/A,TRUE,"GENERAL";"TAB4",#N/A,TRUE,"GENERAL";"TAB5",#N/A,TRUE,"GENERAL"}</definedName>
    <definedName name="_o7" hidden="1">{"TAB1",#N/A,TRUE,"GENERAL";"TAB2",#N/A,TRUE,"GENERAL";"TAB3",#N/A,TRUE,"GENERAL";"TAB4",#N/A,TRUE,"GENERAL";"TAB5",#N/A,TRUE,"GENERAL"}</definedName>
    <definedName name="_o8" localSheetId="12" hidden="1">{"via1",#N/A,TRUE,"general";"via2",#N/A,TRUE,"general";"via3",#N/A,TRUE,"general"}</definedName>
    <definedName name="_o8" hidden="1">{"via1",#N/A,TRUE,"general";"via2",#N/A,TRUE,"general";"via3",#N/A,TRUE,"general"}</definedName>
    <definedName name="_o9" localSheetId="12" hidden="1">{"TAB1",#N/A,TRUE,"GENERAL";"TAB2",#N/A,TRUE,"GENERAL";"TAB3",#N/A,TRUE,"GENERAL";"TAB4",#N/A,TRUE,"GENERAL";"TAB5",#N/A,TRUE,"GENERAL"}</definedName>
    <definedName name="_o9" hidden="1">{"TAB1",#N/A,TRUE,"GENERAL";"TAB2",#N/A,TRUE,"GENERAL";"TAB3",#N/A,TRUE,"GENERAL";"TAB4",#N/A,TRUE,"GENERAL";"TAB5",#N/A,TRUE,"GENERAL"}</definedName>
    <definedName name="_OCD1" localSheetId="11">[11]Tablas!#REF!</definedName>
    <definedName name="_OCD1">[11]Tablas!#REF!</definedName>
    <definedName name="_OCI1" localSheetId="11">[11]Tablas!#REF!</definedName>
    <definedName name="_OCI1">[11]Tablas!#REF!</definedName>
    <definedName name="_Order1" hidden="1">0</definedName>
    <definedName name="_Order2" hidden="1">255</definedName>
    <definedName name="_p6" localSheetId="12" hidden="1">{"via1",#N/A,TRUE,"general";"via2",#N/A,TRUE,"general";"via3",#N/A,TRUE,"general"}</definedName>
    <definedName name="_p6" hidden="1">{"via1",#N/A,TRUE,"general";"via2",#N/A,TRUE,"general";"via3",#N/A,TRUE,"general"}</definedName>
    <definedName name="_p7" localSheetId="12" hidden="1">{"via1",#N/A,TRUE,"general";"via2",#N/A,TRUE,"general";"via3",#N/A,TRUE,"general"}</definedName>
    <definedName name="_p7" hidden="1">{"via1",#N/A,TRUE,"general";"via2",#N/A,TRUE,"general";"via3",#N/A,TRUE,"general"}</definedName>
    <definedName name="_p8" localSheetId="12" hidden="1">{"TAB1",#N/A,TRUE,"GENERAL";"TAB2",#N/A,TRUE,"GENERAL";"TAB3",#N/A,TRUE,"GENERAL";"TAB4",#N/A,TRUE,"GENERAL";"TAB5",#N/A,TRUE,"GENERAL"}</definedName>
    <definedName name="_p8" hidden="1">{"TAB1",#N/A,TRUE,"GENERAL";"TAB2",#N/A,TRUE,"GENERAL";"TAB3",#N/A,TRUE,"GENERAL";"TAB4",#N/A,TRUE,"GENERAL";"TAB5",#N/A,TRUE,"GENERAL"}</definedName>
    <definedName name="_Pa1" localSheetId="0">'[29]Paral. 1'!$E$1:$E$65536</definedName>
    <definedName name="_Pa1" localSheetId="12">'[22]Paral. 1'!$E$1:$E$65536</definedName>
    <definedName name="_Pa1">'[30]Paral. 1'!$E$1:$E$65536</definedName>
    <definedName name="_Pa2" localSheetId="0">'[29]Paral. 2'!$E$1:$E$65536</definedName>
    <definedName name="_Pa2" localSheetId="12">'[22]Paral. 2'!$E$1:$E$65536</definedName>
    <definedName name="_Pa2">'[30]Paral. 2'!$E$1:$E$65536</definedName>
    <definedName name="_Pa3" localSheetId="0">'[29]Paral. 3'!$E$1:$E$65536</definedName>
    <definedName name="_Pa3" localSheetId="12">'[22]Paral. 3'!$E$1:$E$65536</definedName>
    <definedName name="_Pa3">'[30]Paral. 3'!$E$1:$E$65536</definedName>
    <definedName name="_Pa4" localSheetId="0">[29]Paral.4!$E$1:$E$65536</definedName>
    <definedName name="_Pa4" localSheetId="12">[22]Paral.4!$E$1:$E$65536</definedName>
    <definedName name="_Pa4">[30]Paral.4!$E$1:$E$65536</definedName>
    <definedName name="_Parse_Out" localSheetId="11" hidden="1">'[3]7422CW00'!#REF!</definedName>
    <definedName name="_Parse_Out" hidden="1">'[3]7422CW00'!#REF!</definedName>
    <definedName name="_PJ50" localSheetId="11">#REF!</definedName>
    <definedName name="_PJ50" localSheetId="12">#REF!</definedName>
    <definedName name="_PJ50">#REF!</definedName>
    <definedName name="_pj51" localSheetId="11">#REF!</definedName>
    <definedName name="_pj51" localSheetId="12">#REF!</definedName>
    <definedName name="_pj51">#REF!</definedName>
    <definedName name="_Po2" localSheetId="11">[31]REAJUSTESACTA1PROVI!#REF!</definedName>
    <definedName name="_Po2" localSheetId="0">[31]REAJUSTESACTA1PROVI!#REF!</definedName>
    <definedName name="_Po2" localSheetId="20">[31]REAJUSTESACTA1PROVI!#REF!</definedName>
    <definedName name="_Po2" localSheetId="37">[31]REAJUSTESACTA1PROVI!#REF!</definedName>
    <definedName name="_Po2">[31]REAJUSTESACTA1PROVI!#REF!</definedName>
    <definedName name="_pr01" localSheetId="11">#REF!</definedName>
    <definedName name="_pr01">#REF!</definedName>
    <definedName name="_pr02" localSheetId="11">#REF!</definedName>
    <definedName name="_pr02">#REF!</definedName>
    <definedName name="_pr03" localSheetId="11">#REF!</definedName>
    <definedName name="_pr03">#REF!</definedName>
    <definedName name="_pr04" localSheetId="11">#REF!</definedName>
    <definedName name="_pr04">#REF!</definedName>
    <definedName name="_pr05" localSheetId="11">#REF!</definedName>
    <definedName name="_pr05">#REF!</definedName>
    <definedName name="_pr06" localSheetId="11">#REF!</definedName>
    <definedName name="_pr06">#REF!</definedName>
    <definedName name="_pr07" localSheetId="11">#REF!</definedName>
    <definedName name="_pr07">#REF!</definedName>
    <definedName name="_pr08" localSheetId="11">#REF!</definedName>
    <definedName name="_pr08">#REF!</definedName>
    <definedName name="_pr09" localSheetId="11">#REF!</definedName>
    <definedName name="_pr09">#REF!</definedName>
    <definedName name="_pr10" localSheetId="11">#REF!</definedName>
    <definedName name="_pr10">#REF!</definedName>
    <definedName name="_pr11" localSheetId="11">#REF!</definedName>
    <definedName name="_pr11">#REF!</definedName>
    <definedName name="_pr12" localSheetId="11">#REF!</definedName>
    <definedName name="_pr12">#REF!</definedName>
    <definedName name="_pr13" localSheetId="11">#REF!</definedName>
    <definedName name="_pr13">#REF!</definedName>
    <definedName name="_pr14" localSheetId="11">#REF!</definedName>
    <definedName name="_pr14">#REF!</definedName>
    <definedName name="_pr15" localSheetId="11">#REF!</definedName>
    <definedName name="_pr15">#REF!</definedName>
    <definedName name="_pr16" localSheetId="11">#REF!</definedName>
    <definedName name="_pr16">#REF!</definedName>
    <definedName name="_pr17" localSheetId="11">#REF!</definedName>
    <definedName name="_pr17">#REF!</definedName>
    <definedName name="_pr18" localSheetId="11">#REF!</definedName>
    <definedName name="_pr18">#REF!</definedName>
    <definedName name="_pr19" localSheetId="11">#REF!</definedName>
    <definedName name="_pr19">#REF!</definedName>
    <definedName name="_pr20" localSheetId="11">#REF!</definedName>
    <definedName name="_pr20">#REF!</definedName>
    <definedName name="_pr21" localSheetId="11">#REF!</definedName>
    <definedName name="_pr21">#REF!</definedName>
    <definedName name="_pr22" localSheetId="11">#REF!</definedName>
    <definedName name="_pr22">#REF!</definedName>
    <definedName name="_pr23" localSheetId="11">#REF!</definedName>
    <definedName name="_pr23">#REF!</definedName>
    <definedName name="_pr24" localSheetId="11">#REF!</definedName>
    <definedName name="_pr24">#REF!</definedName>
    <definedName name="_pr25" localSheetId="11">#REF!</definedName>
    <definedName name="_pr25">#REF!</definedName>
    <definedName name="_pr26" localSheetId="11">#REF!</definedName>
    <definedName name="_pr26">#REF!</definedName>
    <definedName name="_pr27" localSheetId="11">#REF!</definedName>
    <definedName name="_pr27">#REF!</definedName>
    <definedName name="_pr28" localSheetId="11">#REF!</definedName>
    <definedName name="_pr28">#REF!</definedName>
    <definedName name="_pr29" localSheetId="11">#REF!</definedName>
    <definedName name="_pr29">#REF!</definedName>
    <definedName name="_pr30" localSheetId="11">#REF!</definedName>
    <definedName name="_pr30">#REF!</definedName>
    <definedName name="_pr31" localSheetId="11">#REF!</definedName>
    <definedName name="_pr31">#REF!</definedName>
    <definedName name="_pr32" localSheetId="11">#REF!</definedName>
    <definedName name="_pr32">#REF!</definedName>
    <definedName name="_pr33" localSheetId="11">#REF!</definedName>
    <definedName name="_pr33">#REF!</definedName>
    <definedName name="_pr34" localSheetId="11">#REF!</definedName>
    <definedName name="_pr34">#REF!</definedName>
    <definedName name="_pr35" localSheetId="11">#REF!</definedName>
    <definedName name="_pr35">#REF!</definedName>
    <definedName name="_pr36" localSheetId="11">#REF!</definedName>
    <definedName name="_pr36">#REF!</definedName>
    <definedName name="_pr37" localSheetId="11">#REF!</definedName>
    <definedName name="_pr37">#REF!</definedName>
    <definedName name="_pr38" localSheetId="11">#REF!</definedName>
    <definedName name="_pr38">#REF!</definedName>
    <definedName name="_pr39" localSheetId="11">#REF!</definedName>
    <definedName name="_pr39">#REF!</definedName>
    <definedName name="_pr40" localSheetId="11">#REF!</definedName>
    <definedName name="_pr40">#REF!</definedName>
    <definedName name="_pr41" localSheetId="11">#REF!</definedName>
    <definedName name="_pr41">#REF!</definedName>
    <definedName name="_pr42" localSheetId="11">#REF!</definedName>
    <definedName name="_pr42">#REF!</definedName>
    <definedName name="_pr43" localSheetId="11">#REF!</definedName>
    <definedName name="_pr43">#REF!</definedName>
    <definedName name="_pr44" localSheetId="11">#REF!</definedName>
    <definedName name="_pr44">#REF!</definedName>
    <definedName name="_pr45" localSheetId="11">#REF!</definedName>
    <definedName name="_pr45">#REF!</definedName>
    <definedName name="_pr46" localSheetId="11">#REF!</definedName>
    <definedName name="_pr46">#REF!</definedName>
    <definedName name="_pr47" localSheetId="11">#REF!</definedName>
    <definedName name="_pr47">#REF!</definedName>
    <definedName name="_pr48" localSheetId="11">#REF!</definedName>
    <definedName name="_pr48">#REF!</definedName>
    <definedName name="_pr49" localSheetId="11">#REF!</definedName>
    <definedName name="_pr49">#REF!</definedName>
    <definedName name="_pr50" localSheetId="11">#REF!</definedName>
    <definedName name="_pr50">#REF!</definedName>
    <definedName name="_pr51" localSheetId="11">#REF!</definedName>
    <definedName name="_pr51">#REF!</definedName>
    <definedName name="_pr52" localSheetId="11">#REF!</definedName>
    <definedName name="_pr52">#REF!</definedName>
    <definedName name="_pr53" localSheetId="11">#REF!</definedName>
    <definedName name="_pr53">#REF!</definedName>
    <definedName name="_pr54" localSheetId="11">#REF!</definedName>
    <definedName name="_pr54">#REF!</definedName>
    <definedName name="_pr55" localSheetId="11">#REF!</definedName>
    <definedName name="_pr55">#REF!</definedName>
    <definedName name="_pr56" localSheetId="11">#REF!</definedName>
    <definedName name="_pr56">#REF!</definedName>
    <definedName name="_pr57" localSheetId="11">#REF!</definedName>
    <definedName name="_pr57">#REF!</definedName>
    <definedName name="_pr58" localSheetId="11">#REF!</definedName>
    <definedName name="_pr58">#REF!</definedName>
    <definedName name="_pr59" localSheetId="11">#REF!</definedName>
    <definedName name="_pr59">#REF!</definedName>
    <definedName name="_pr60" localSheetId="11">#REF!</definedName>
    <definedName name="_pr60">#REF!</definedName>
    <definedName name="_pr61" localSheetId="11">#REF!</definedName>
    <definedName name="_pr61">#REF!</definedName>
    <definedName name="_pr62" localSheetId="11">#REF!</definedName>
    <definedName name="_pr62">#REF!</definedName>
    <definedName name="_pr63" localSheetId="11">#REF!</definedName>
    <definedName name="_pr63">#REF!</definedName>
    <definedName name="_pr64" localSheetId="11">#REF!</definedName>
    <definedName name="_pr64">#REF!</definedName>
    <definedName name="_pr65" localSheetId="11">#REF!</definedName>
    <definedName name="_pr65">#REF!</definedName>
    <definedName name="_pr66" localSheetId="11">#REF!</definedName>
    <definedName name="_pr66">#REF!</definedName>
    <definedName name="_pr67" localSheetId="11">#REF!</definedName>
    <definedName name="_pr67">#REF!</definedName>
    <definedName name="_pr68" localSheetId="11">#REF!</definedName>
    <definedName name="_pr68">#REF!</definedName>
    <definedName name="_pr69" localSheetId="11">#REF!</definedName>
    <definedName name="_pr69">#REF!</definedName>
    <definedName name="_pr70" localSheetId="11">#REF!</definedName>
    <definedName name="_pr70">#REF!</definedName>
    <definedName name="_pr71" localSheetId="11">#REF!</definedName>
    <definedName name="_pr71">#REF!</definedName>
    <definedName name="_pr72" localSheetId="11">#REF!</definedName>
    <definedName name="_pr72">#REF!</definedName>
    <definedName name="_PRE1" localSheetId="11">#REF!</definedName>
    <definedName name="_PRE1" localSheetId="12">#REF!</definedName>
    <definedName name="_PRE1">#REF!</definedName>
    <definedName name="_PTO97" localSheetId="11">#REF!</definedName>
    <definedName name="_PTO97">#REF!</definedName>
    <definedName name="_PW2" localSheetId="11">#REF!</definedName>
    <definedName name="_PW2">#REF!</definedName>
    <definedName name="_QTY1" localSheetId="11">#REF!</definedName>
    <definedName name="_QTY1">#REF!</definedName>
    <definedName name="_r" localSheetId="12" hidden="1">{"TAB1",#N/A,TRUE,"GENERAL";"TAB2",#N/A,TRUE,"GENERAL";"TAB3",#N/A,TRUE,"GENERAL";"TAB4",#N/A,TRUE,"GENERAL";"TAB5",#N/A,TRUE,"GENERAL"}</definedName>
    <definedName name="_r" hidden="1">{"TAB1",#N/A,TRUE,"GENERAL";"TAB2",#N/A,TRUE,"GENERAL";"TAB3",#N/A,TRUE,"GENERAL";"TAB4",#N/A,TRUE,"GENERAL";"TAB5",#N/A,TRUE,"GENERAL"}</definedName>
    <definedName name="_R108BB" localSheetId="8">[15]BASE!$D$326</definedName>
    <definedName name="_R108BB" localSheetId="9">[15]BASE!$D$326</definedName>
    <definedName name="_R108BB">BASE!$D$326</definedName>
    <definedName name="_R1210HJ">'BASE 2'!$D$362</definedName>
    <definedName name="_R1210JH">BASE!$D$315</definedName>
    <definedName name="_R126EXBB">BASE!$D$327</definedName>
    <definedName name="_R32EL" localSheetId="16">'BASE 2'!$D$371</definedName>
    <definedName name="_R32EL">BASE!$D$324</definedName>
    <definedName name="_R32JH" localSheetId="16">'BASE 2'!$D$370</definedName>
    <definedName name="_R32JH">BASE!$D$323</definedName>
    <definedName name="_R42JH" localSheetId="16">'BASE 2'!$D$369</definedName>
    <definedName name="_R42JH">BASE!$D$322</definedName>
    <definedName name="_R43JH" localSheetId="16">'BASE 2'!$D$368</definedName>
    <definedName name="_R43JH">BASE!$D$321</definedName>
    <definedName name="_r4r" localSheetId="12" hidden="1">{"via1",#N/A,TRUE,"general";"via2",#N/A,TRUE,"general";"via3",#N/A,TRUE,"general"}</definedName>
    <definedName name="_r4r" hidden="1">{"via1",#N/A,TRUE,"general";"via2",#N/A,TRUE,"general";"via3",#N/A,TRUE,"general"}</definedName>
    <definedName name="_R63BB" localSheetId="16">'BASE 2'!$D$373</definedName>
    <definedName name="_R63BB">BASE!$D$328</definedName>
    <definedName name="_R63JH" localSheetId="16">'BASE 2'!$D$367</definedName>
    <definedName name="_R63JH">BASE!$D$320</definedName>
    <definedName name="_R64BB" localSheetId="16">'BASE 2'!$D$372</definedName>
    <definedName name="_R64BB">BASE!$D$325</definedName>
    <definedName name="_R64JH" localSheetId="16">'BASE 2'!$D$366</definedName>
    <definedName name="_R64JH" localSheetId="5">[23]BASE!$D$295</definedName>
    <definedName name="_R64JH">BASE!$D$319</definedName>
    <definedName name="_R83JH" localSheetId="16">'BASE 2'!$D$365</definedName>
    <definedName name="_R83JH">BASE!$D$318</definedName>
    <definedName name="_R84JH" localSheetId="16">'BASE 2'!$D$364</definedName>
    <definedName name="_R84JH">BASE!$D$317</definedName>
    <definedName name="_R86JH" localSheetId="16">'BASE 2'!$D$363</definedName>
    <definedName name="_R86JH">BASE!$D$316</definedName>
    <definedName name="_REC1">"Rectángulo 31"</definedName>
    <definedName name="_RED104">BASE!$D$194</definedName>
    <definedName name="_RED106">BASE!$D$195</definedName>
    <definedName name="_RED1210">BASE!$D$196</definedName>
    <definedName name="_RED32">BASE!$D$191</definedName>
    <definedName name="_red42">BASE!$D$193</definedName>
    <definedName name="_RED43">BASE!$D$192</definedName>
    <definedName name="_ref4" localSheetId="11">#REF!</definedName>
    <definedName name="_ref4" localSheetId="12">#REF!</definedName>
    <definedName name="_ref4">#REF!</definedName>
    <definedName name="_REP21">BASE!$D$137</definedName>
    <definedName name="_REP42">BASE!$D$138</definedName>
    <definedName name="_REP43">[32]BASE!$D$136</definedName>
    <definedName name="_RES64">BASE!$D$231</definedName>
    <definedName name="_RET1" localSheetId="11">'[3]7422CW00'!#REF!</definedName>
    <definedName name="_RET1">'[3]7422CW00'!#REF!</definedName>
    <definedName name="_RET2" localSheetId="11">'[3]7422CW00'!#REF!</definedName>
    <definedName name="_RET2">'[3]7422CW00'!#REF!</definedName>
    <definedName name="_RET3" localSheetId="11">'[3]7422CW00'!#REF!</definedName>
    <definedName name="_RET3">'[3]7422CW00'!#REF!</definedName>
    <definedName name="_RET4" localSheetId="11">'[3]7422CW00'!#REF!</definedName>
    <definedName name="_RET4">'[3]7422CW00'!#REF!</definedName>
    <definedName name="_RET5" localSheetId="11">'[3]7422CW00'!#REF!</definedName>
    <definedName name="_RET5">'[3]7422CW00'!#REF!</definedName>
    <definedName name="_RET6" localSheetId="11">'[3]7422CW00'!#REF!</definedName>
    <definedName name="_RET6">'[3]7422CW00'!#REF!</definedName>
    <definedName name="_rtu6" localSheetId="12" hidden="1">{"via1",#N/A,TRUE,"general";"via2",#N/A,TRUE,"general";"via3",#N/A,TRUE,"general"}</definedName>
    <definedName name="_rtu6" hidden="1">{"via1",#N/A,TRUE,"general";"via2",#N/A,TRUE,"general";"via3",#N/A,TRUE,"general"}</definedName>
    <definedName name="_s1" localSheetId="12" hidden="1">{"via1",#N/A,TRUE,"general";"via2",#N/A,TRUE,"general";"via3",#N/A,TRUE,"general"}</definedName>
    <definedName name="_s1" hidden="1">{"via1",#N/A,TRUE,"general";"via2",#N/A,TRUE,"general";"via3",#N/A,TRUE,"general"}</definedName>
    <definedName name="_s2" localSheetId="12" hidden="1">{"TAB1",#N/A,TRUE,"GENERAL";"TAB2",#N/A,TRUE,"GENERAL";"TAB3",#N/A,TRUE,"GENERAL";"TAB4",#N/A,TRUE,"GENERAL";"TAB5",#N/A,TRUE,"GENERAL"}</definedName>
    <definedName name="_s2" hidden="1">{"TAB1",#N/A,TRUE,"GENERAL";"TAB2",#N/A,TRUE,"GENERAL";"TAB3",#N/A,TRUE,"GENERAL";"TAB4",#N/A,TRUE,"GENERAL";"TAB5",#N/A,TRUE,"GENERAL"}</definedName>
    <definedName name="_s3" localSheetId="12" hidden="1">{"TAB1",#N/A,TRUE,"GENERAL";"TAB2",#N/A,TRUE,"GENERAL";"TAB3",#N/A,TRUE,"GENERAL";"TAB4",#N/A,TRUE,"GENERAL";"TAB5",#N/A,TRUE,"GENERAL"}</definedName>
    <definedName name="_s3" hidden="1">{"TAB1",#N/A,TRUE,"GENERAL";"TAB2",#N/A,TRUE,"GENERAL";"TAB3",#N/A,TRUE,"GENERAL";"TAB4",#N/A,TRUE,"GENERAL";"TAB5",#N/A,TRUE,"GENERAL"}</definedName>
    <definedName name="_s4" localSheetId="12" hidden="1">{"via1",#N/A,TRUE,"general";"via2",#N/A,TRUE,"general";"via3",#N/A,TRUE,"general"}</definedName>
    <definedName name="_s4" hidden="1">{"via1",#N/A,TRUE,"general";"via2",#N/A,TRUE,"general";"via3",#N/A,TRUE,"general"}</definedName>
    <definedName name="_s5" localSheetId="12" hidden="1">{"via1",#N/A,TRUE,"general";"via2",#N/A,TRUE,"general";"via3",#N/A,TRUE,"general"}</definedName>
    <definedName name="_s5" hidden="1">{"via1",#N/A,TRUE,"general";"via2",#N/A,TRUE,"general";"via3",#N/A,TRUE,"general"}</definedName>
    <definedName name="_s6" localSheetId="12" hidden="1">{"TAB1",#N/A,TRUE,"GENERAL";"TAB2",#N/A,TRUE,"GENERAL";"TAB3",#N/A,TRUE,"GENERAL";"TAB4",#N/A,TRUE,"GENERAL";"TAB5",#N/A,TRUE,"GENERAL"}</definedName>
    <definedName name="_s6" hidden="1">{"TAB1",#N/A,TRUE,"GENERAL";"TAB2",#N/A,TRUE,"GENERAL";"TAB3",#N/A,TRUE,"GENERAL";"TAB4",#N/A,TRUE,"GENERAL";"TAB5",#N/A,TRUE,"GENERAL"}</definedName>
    <definedName name="_s7" localSheetId="12" hidden="1">{"via1",#N/A,TRUE,"general";"via2",#N/A,TRUE,"general";"via3",#N/A,TRUE,"general"}</definedName>
    <definedName name="_s7" hidden="1">{"via1",#N/A,TRUE,"general";"via2",#N/A,TRUE,"general";"via3",#N/A,TRUE,"general"}</definedName>
    <definedName name="_SBC1">[6]INV!$A$12:$D$15</definedName>
    <definedName name="_SBC3">[6]INV!$F$12:$I$15</definedName>
    <definedName name="_SBC5">[6]INV!$K$12:$N$15</definedName>
    <definedName name="_Sort" localSheetId="11" hidden="1">#REF!</definedName>
    <definedName name="_Sort" localSheetId="12" hidden="1">#REF!</definedName>
    <definedName name="_Sort" hidden="1">#REF!</definedName>
    <definedName name="_srn001" localSheetId="11">#REF!</definedName>
    <definedName name="_srn001" localSheetId="12">#REF!</definedName>
    <definedName name="_srn001">#REF!</definedName>
    <definedName name="_ST106" localSheetId="5">[23]BASE!$D$246</definedName>
    <definedName name="_ST126" localSheetId="5">[23]BASE!$D$247</definedName>
    <definedName name="_ST146">BASE!$D$288</definedName>
    <definedName name="_ST166" localSheetId="5">[23]BASE!$D$248</definedName>
    <definedName name="_ST186" localSheetId="5">[23]BASE!$D$249</definedName>
    <definedName name="_ST206" localSheetId="5">[23]BASE!$D$250</definedName>
    <definedName name="_ST86" localSheetId="5">[23]BASE!$D$245</definedName>
    <definedName name="_SUM1" localSheetId="11">#REF!</definedName>
    <definedName name="_SUM1">#REF!</definedName>
    <definedName name="_SUM2" localSheetId="11">#REF!</definedName>
    <definedName name="_SUM2">#REF!</definedName>
    <definedName name="_SY104">BASE!$D$278</definedName>
    <definedName name="_SY106">BASE!$D$279</definedName>
    <definedName name="_SY124">BASE!$D$280</definedName>
    <definedName name="_SY126">BASE!$D$281</definedName>
    <definedName name="_SY164">BASE!$D$282</definedName>
    <definedName name="_SY166">BASE!$D$283</definedName>
    <definedName name="_SY186">BASE!$D$284</definedName>
    <definedName name="_SY206">BASE!$D$285</definedName>
    <definedName name="_SY64" localSheetId="5">[23]BASE!$D$253</definedName>
    <definedName name="_SY84">BASE!$D$276</definedName>
    <definedName name="_SY86">BASE!$D$277</definedName>
    <definedName name="_t3" localSheetId="12" hidden="1">{"TAB1",#N/A,TRUE,"GENERAL";"TAB2",#N/A,TRUE,"GENERAL";"TAB3",#N/A,TRUE,"GENERAL";"TAB4",#N/A,TRUE,"GENERAL";"TAB5",#N/A,TRUE,"GENERAL"}</definedName>
    <definedName name="_t3" hidden="1">{"TAB1",#N/A,TRUE,"GENERAL";"TAB2",#N/A,TRUE,"GENERAL";"TAB3",#N/A,TRUE,"GENERAL";"TAB4",#N/A,TRUE,"GENERAL";"TAB5",#N/A,TRUE,"GENERAL"}</definedName>
    <definedName name="_t4" localSheetId="12" hidden="1">{"via1",#N/A,TRUE,"general";"via2",#N/A,TRUE,"general";"via3",#N/A,TRUE,"general"}</definedName>
    <definedName name="_t4" hidden="1">{"via1",#N/A,TRUE,"general";"via2",#N/A,TRUE,"general";"via3",#N/A,TRUE,"general"}</definedName>
    <definedName name="_t5" localSheetId="12" hidden="1">{"TAB1",#N/A,TRUE,"GENERAL";"TAB2",#N/A,TRUE,"GENERAL";"TAB3",#N/A,TRUE,"GENERAL";"TAB4",#N/A,TRUE,"GENERAL";"TAB5",#N/A,TRUE,"GENERAL"}</definedName>
    <definedName name="_t5" hidden="1">{"TAB1",#N/A,TRUE,"GENERAL";"TAB2",#N/A,TRUE,"GENERAL";"TAB3",#N/A,TRUE,"GENERAL";"TAB4",#N/A,TRUE,"GENERAL";"TAB5",#N/A,TRUE,"GENERAL"}</definedName>
    <definedName name="_t6" localSheetId="12" hidden="1">{"via1",#N/A,TRUE,"general";"via2",#N/A,TRUE,"general";"via3",#N/A,TRUE,"general"}</definedName>
    <definedName name="_t6" hidden="1">{"via1",#N/A,TRUE,"general";"via2",#N/A,TRUE,"general";"via3",#N/A,TRUE,"general"}</definedName>
    <definedName name="_t66" localSheetId="12" hidden="1">{"TAB1",#N/A,TRUE,"GENERAL";"TAB2",#N/A,TRUE,"GENERAL";"TAB3",#N/A,TRUE,"GENERAL";"TAB4",#N/A,TRUE,"GENERAL";"TAB5",#N/A,TRUE,"GENERAL"}</definedName>
    <definedName name="_t66" hidden="1">{"TAB1",#N/A,TRUE,"GENERAL";"TAB2",#N/A,TRUE,"GENERAL";"TAB3",#N/A,TRUE,"GENERAL";"TAB4",#N/A,TRUE,"GENERAL";"TAB5",#N/A,TRUE,"GENERAL"}</definedName>
    <definedName name="_t7" localSheetId="12" hidden="1">{"via1",#N/A,TRUE,"general";"via2",#N/A,TRUE,"general";"via3",#N/A,TRUE,"general"}</definedName>
    <definedName name="_t7" hidden="1">{"via1",#N/A,TRUE,"general";"via2",#N/A,TRUE,"general";"via3",#N/A,TRUE,"general"}</definedName>
    <definedName name="_t77" localSheetId="12" hidden="1">{"TAB1",#N/A,TRUE,"GENERAL";"TAB2",#N/A,TRUE,"GENERAL";"TAB3",#N/A,TRUE,"GENERAL";"TAB4",#N/A,TRUE,"GENERAL";"TAB5",#N/A,TRUE,"GENERAL"}</definedName>
    <definedName name="_t77" hidden="1">{"TAB1",#N/A,TRUE,"GENERAL";"TAB2",#N/A,TRUE,"GENERAL";"TAB3",#N/A,TRUE,"GENERAL";"TAB4",#N/A,TRUE,"GENERAL";"TAB5",#N/A,TRUE,"GENERAL"}</definedName>
    <definedName name="_t8" localSheetId="12" hidden="1">{"TAB1",#N/A,TRUE,"GENERAL";"TAB2",#N/A,TRUE,"GENERAL";"TAB3",#N/A,TRUE,"GENERAL";"TAB4",#N/A,TRUE,"GENERAL";"TAB5",#N/A,TRUE,"GENERAL"}</definedName>
    <definedName name="_t8" hidden="1">{"TAB1",#N/A,TRUE,"GENERAL";"TAB2",#N/A,TRUE,"GENERAL";"TAB3",#N/A,TRUE,"GENERAL";"TAB4",#N/A,TRUE,"GENERAL";"TAB5",#N/A,TRUE,"GENERAL"}</definedName>
    <definedName name="_t88" localSheetId="12" hidden="1">{"via1",#N/A,TRUE,"general";"via2",#N/A,TRUE,"general";"via3",#N/A,TRUE,"general"}</definedName>
    <definedName name="_t88" hidden="1">{"via1",#N/A,TRUE,"general";"via2",#N/A,TRUE,"general";"via3",#N/A,TRUE,"general"}</definedName>
    <definedName name="_t9" localSheetId="12" hidden="1">{"TAB1",#N/A,TRUE,"GENERAL";"TAB2",#N/A,TRUE,"GENERAL";"TAB3",#N/A,TRUE,"GENERAL";"TAB4",#N/A,TRUE,"GENERAL";"TAB5",#N/A,TRUE,"GENERAL"}</definedName>
    <definedName name="_t9" hidden="1">{"TAB1",#N/A,TRUE,"GENERAL";"TAB2",#N/A,TRUE,"GENERAL";"TAB3",#N/A,TRUE,"GENERAL";"TAB4",#N/A,TRUE,"GENERAL";"TAB5",#N/A,TRUE,"GENERAL"}</definedName>
    <definedName name="_t99" localSheetId="12" hidden="1">{"via1",#N/A,TRUE,"general";"via2",#N/A,TRUE,"general";"via3",#N/A,TRUE,"general"}</definedName>
    <definedName name="_t99" hidden="1">{"via1",#N/A,TRUE,"general";"via2",#N/A,TRUE,"general";"via3",#N/A,TRUE,"general"}</definedName>
    <definedName name="_TACOM">[33]BASE!$D$110</definedName>
    <definedName name="_TACOR">[34]BASE!$D$108</definedName>
    <definedName name="_TAP2">BASE!$D$203</definedName>
    <definedName name="_tax1" localSheetId="11">#REF!</definedName>
    <definedName name="_tax1">#REF!</definedName>
    <definedName name="_tax2" localSheetId="11">#REF!</definedName>
    <definedName name="_tax2">#REF!</definedName>
    <definedName name="_tax3" localSheetId="11">#REF!</definedName>
    <definedName name="_tax3">#REF!</definedName>
    <definedName name="_tax4" localSheetId="11">#REF!</definedName>
    <definedName name="_tax4">#REF!</definedName>
    <definedName name="_tc1" localSheetId="11">#REF!</definedName>
    <definedName name="_tc1">#REF!</definedName>
    <definedName name="_tc2" localSheetId="11">#REF!</definedName>
    <definedName name="_tc2">#REF!</definedName>
    <definedName name="_tc3" localSheetId="11">#REF!</definedName>
    <definedName name="_tc3">#REF!</definedName>
    <definedName name="_TEE1">BASE!$D$186</definedName>
    <definedName name="_TEE1010">BASE!$D$190</definedName>
    <definedName name="_TEE2">BASE!$D$187</definedName>
    <definedName name="_TEE32">BASE!$D$188</definedName>
    <definedName name="_TEE33">BASE!$D$189</definedName>
    <definedName name="_TELEP">[33]BASE!$D$107</definedName>
    <definedName name="_TEP44" localSheetId="5">[23]BASE!$D$116</definedName>
    <definedName name="_TEP44">[24]BASE!$D$116</definedName>
    <definedName name="_TES44">BASE!$D$227</definedName>
    <definedName name="_TES64">BASE!$D$229</definedName>
    <definedName name="_TES66">BASE!$D$228</definedName>
    <definedName name="_THF12">BASE!$D$302</definedName>
    <definedName name="_TNL24" localSheetId="5">[23]BASE!$D$219</definedName>
    <definedName name="_TNL27" localSheetId="5">[23]BASE!$D$220</definedName>
    <definedName name="_TNL30">BASE!$D$243</definedName>
    <definedName name="_TNL33">BASE!$D$244</definedName>
    <definedName name="_TNL36">BASE!$D$245</definedName>
    <definedName name="_TNL39">BASE!$D$246</definedName>
    <definedName name="_TNL42">BASE!$D$247</definedName>
    <definedName name="_TNL45">BASE!$D$248</definedName>
    <definedName name="_TNL48">BASE!$D$249</definedName>
    <definedName name="_TNL51">BASE!$D$250</definedName>
    <definedName name="_TNL54">BASE!$D$251</definedName>
    <definedName name="_TNL60">BASE!$D$252</definedName>
    <definedName name="_TOP1" localSheetId="11">#REF!</definedName>
    <definedName name="_TOP1">#REF!</definedName>
    <definedName name="_TOP10" localSheetId="11">#REF!</definedName>
    <definedName name="_TOP10">#REF!</definedName>
    <definedName name="_TOP2" localSheetId="11">#REF!</definedName>
    <definedName name="_TOP2">#REF!</definedName>
    <definedName name="_TOP3" localSheetId="11">#REF!</definedName>
    <definedName name="_TOP3">#REF!</definedName>
    <definedName name="_TOP4" localSheetId="11">#REF!</definedName>
    <definedName name="_TOP4">#REF!</definedName>
    <definedName name="_TOP5" localSheetId="11">#REF!</definedName>
    <definedName name="_TOP5">#REF!</definedName>
    <definedName name="_TOP6" localSheetId="11">#REF!</definedName>
    <definedName name="_TOP6">#REF!</definedName>
    <definedName name="_TOP7" localSheetId="11">#REF!</definedName>
    <definedName name="_TOP7">#REF!</definedName>
    <definedName name="_TOP8" localSheetId="11">#REF!</definedName>
    <definedName name="_TOP8">#REF!</definedName>
    <definedName name="_TOP9" localSheetId="11">#REF!</definedName>
    <definedName name="_TOP9">#REF!</definedName>
    <definedName name="_TOT1" localSheetId="11">#REF!</definedName>
    <definedName name="_TOT1">#REF!</definedName>
    <definedName name="_TPE1132" localSheetId="11">[24]BASE!#REF!</definedName>
    <definedName name="_TPE1132" localSheetId="0">[35]BASE!#REF!</definedName>
    <definedName name="_TPE1132" localSheetId="5">[23]BASE!#REF!</definedName>
    <definedName name="_TPE1132" localSheetId="20">[36]BASE!#REF!</definedName>
    <definedName name="_TPE1132" localSheetId="37">[24]BASE!#REF!</definedName>
    <definedName name="_TPE1132">[24]BASE!#REF!</definedName>
    <definedName name="_TPE12" localSheetId="11">#REF!</definedName>
    <definedName name="_TPE12" localSheetId="5">#REF!</definedName>
    <definedName name="_TPE12" localSheetId="37">#REF!</definedName>
    <definedName name="_TPE12">#REF!</definedName>
    <definedName name="_TPE1331" localSheetId="11">[24]BASE!#REF!</definedName>
    <definedName name="_TPE1331" localSheetId="0">[35]BASE!#REF!</definedName>
    <definedName name="_TPE1331" localSheetId="5">[23]BASE!#REF!</definedName>
    <definedName name="_TPE1331" localSheetId="20">[36]BASE!#REF!</definedName>
    <definedName name="_TPE1331" localSheetId="37">[24]BASE!#REF!</definedName>
    <definedName name="_TPE1331">[24]BASE!#REF!</definedName>
    <definedName name="_TPE1701">BASE!$D$147</definedName>
    <definedName name="_TPE1702" localSheetId="11">[24]BASE!#REF!</definedName>
    <definedName name="_TPE1702" localSheetId="0">[35]BASE!#REF!</definedName>
    <definedName name="_TPE1702" localSheetId="5">[23]BASE!#REF!</definedName>
    <definedName name="_TPE1702" localSheetId="20">[36]BASE!#REF!</definedName>
    <definedName name="_TPE1702" localSheetId="37">[24]BASE!#REF!</definedName>
    <definedName name="_TPE1702">[24]BASE!#REF!</definedName>
    <definedName name="_TPE1703" localSheetId="11">[24]BASE!#REF!</definedName>
    <definedName name="_TPE1703" localSheetId="0">[35]BASE!#REF!</definedName>
    <definedName name="_TPE1703" localSheetId="5">[23]BASE!#REF!</definedName>
    <definedName name="_TPE1703" localSheetId="20">[36]BASE!#REF!</definedName>
    <definedName name="_TPE1703" localSheetId="37">[24]BASE!#REF!</definedName>
    <definedName name="_TPE1703">[24]BASE!#REF!</definedName>
    <definedName name="_TPE1704" localSheetId="11">[24]BASE!#REF!</definedName>
    <definedName name="_TPE1704" localSheetId="0">[35]BASE!#REF!</definedName>
    <definedName name="_TPE1704" localSheetId="5">[23]BASE!#REF!</definedName>
    <definedName name="_TPE1704" localSheetId="20">[36]BASE!#REF!</definedName>
    <definedName name="_TPE1704" localSheetId="37">[24]BASE!#REF!</definedName>
    <definedName name="_TPE1704">[24]BASE!#REF!</definedName>
    <definedName name="_TPE1706" localSheetId="11">[24]BASE!#REF!</definedName>
    <definedName name="_TPE1706" localSheetId="0">[35]BASE!#REF!</definedName>
    <definedName name="_TPE1706" localSheetId="5">[23]BASE!#REF!</definedName>
    <definedName name="_TPE1706" localSheetId="20">[36]BASE!#REF!</definedName>
    <definedName name="_TPE1706" localSheetId="37">[24]BASE!#REF!</definedName>
    <definedName name="_TPE1706">[24]BASE!#REF!</definedName>
    <definedName name="_TPE1708" localSheetId="11">[24]BASE!#REF!</definedName>
    <definedName name="_TPE1708" localSheetId="0">[35]BASE!#REF!</definedName>
    <definedName name="_TPE1708" localSheetId="5">[23]BASE!#REF!</definedName>
    <definedName name="_TPE1708" localSheetId="20">[36]BASE!#REF!</definedName>
    <definedName name="_TPE1708" localSheetId="37">[24]BASE!#REF!</definedName>
    <definedName name="_TPE1708">[24]BASE!#REF!</definedName>
    <definedName name="_TPE1710" localSheetId="11">[24]BASE!#REF!</definedName>
    <definedName name="_TPE1710" localSheetId="0">[35]BASE!#REF!</definedName>
    <definedName name="_TPE1710" localSheetId="5">[23]BASE!#REF!</definedName>
    <definedName name="_TPE1710" localSheetId="20">[36]BASE!#REF!</definedName>
    <definedName name="_TPE1710" localSheetId="37">[24]BASE!#REF!</definedName>
    <definedName name="_TPE1710">[24]BASE!#REF!</definedName>
    <definedName name="_TPE1735" localSheetId="11">[24]BASE!#REF!</definedName>
    <definedName name="_TPE1735" localSheetId="0">[35]BASE!#REF!</definedName>
    <definedName name="_TPE1735" localSheetId="5">[23]BASE!#REF!</definedName>
    <definedName name="_TPE1735" localSheetId="20">[36]BASE!#REF!</definedName>
    <definedName name="_TPE1735" localSheetId="37">[24]BASE!#REF!</definedName>
    <definedName name="_TPE1735">[24]BASE!#REF!</definedName>
    <definedName name="_TPE1763" localSheetId="11">[24]BASE!#REF!</definedName>
    <definedName name="_TPE1763" localSheetId="0">[35]BASE!#REF!</definedName>
    <definedName name="_TPE1763" localSheetId="5">[23]BASE!#REF!</definedName>
    <definedName name="_TPE1763" localSheetId="20">[36]BASE!#REF!</definedName>
    <definedName name="_TPE1763" localSheetId="37">[24]BASE!#REF!</definedName>
    <definedName name="_TPE1763">[24]BASE!#REF!</definedName>
    <definedName name="_TPE1790" localSheetId="11">[24]BASE!#REF!</definedName>
    <definedName name="_TPE1790" localSheetId="0">[35]BASE!#REF!</definedName>
    <definedName name="_TPE1790" localSheetId="5">[23]BASE!#REF!</definedName>
    <definedName name="_TPE1790" localSheetId="20">[36]BASE!#REF!</definedName>
    <definedName name="_TPE1790" localSheetId="37">[24]BASE!#REF!</definedName>
    <definedName name="_TPE1790">[24]BASE!#REF!</definedName>
    <definedName name="_TPE8016">BASE!$D$149</definedName>
    <definedName name="_TPE8020">BASE!$D$150</definedName>
    <definedName name="_TPE8025">BASE!$D$151</definedName>
    <definedName name="_TPF12" localSheetId="5">[23]BASE!$D$340</definedName>
    <definedName name="_TPF12">BASE!$D$366</definedName>
    <definedName name="_TPN1002">BASE!$D$153</definedName>
    <definedName name="_TPN1003">BASE!$D$155</definedName>
    <definedName name="_TPN1004">BASE!$D$156</definedName>
    <definedName name="_TPN1006">BASE!$D$158</definedName>
    <definedName name="_TPN10075">BASE!$D$154</definedName>
    <definedName name="_TPN1008">BASE!$D$159</definedName>
    <definedName name="_TPN1010">BASE!$D$161</definedName>
    <definedName name="_TPN1012">BASE!$D$162</definedName>
    <definedName name="_TPN1202">BASE!$D$168</definedName>
    <definedName name="_TPN1203">BASE!$D$169</definedName>
    <definedName name="_TPN1204">BASE!$D$170</definedName>
    <definedName name="_TPN1206">BASE!$D$171</definedName>
    <definedName name="_TPN1208">BASE!$D$172</definedName>
    <definedName name="_TPN1210">BASE!$D$173</definedName>
    <definedName name="_TPN1212">BASE!$D$174</definedName>
    <definedName name="_TPN1225">BASE!$D$165</definedName>
    <definedName name="_TPN1232">BASE!$D$166</definedName>
    <definedName name="_TPN16012">BASE!$D$176</definedName>
    <definedName name="_TPN1602">BASE!$D$177</definedName>
    <definedName name="_TPN1603">BASE!$D$178</definedName>
    <definedName name="_TPN1604">BASE!$D$179</definedName>
    <definedName name="_TPN1606">BASE!$D$180</definedName>
    <definedName name="_TPN1608">BASE!$D$181</definedName>
    <definedName name="_TPN1610">BASE!$D$182</definedName>
    <definedName name="_TR114">BASE!$D$287</definedName>
    <definedName name="_TRANAG">[34]BASE!$D$135</definedName>
    <definedName name="_TRANS">[34]BASE!$D$130</definedName>
    <definedName name="_TUZ22" localSheetId="11">[24]BASE!#REF!</definedName>
    <definedName name="_TUZ22" localSheetId="0">[35]BASE!#REF!</definedName>
    <definedName name="_TUZ22" localSheetId="5">[23]BASE!#REF!</definedName>
    <definedName name="_TUZ22" localSheetId="20">[37]BASE!#REF!</definedName>
    <definedName name="_TUZ22" localSheetId="37">[24]BASE!#REF!</definedName>
    <definedName name="_TUZ22">[24]BASE!#REF!</definedName>
    <definedName name="_TUZ36" localSheetId="11">[24]BASE!#REF!</definedName>
    <definedName name="_TUZ36" localSheetId="0">[35]BASE!#REF!</definedName>
    <definedName name="_TUZ36" localSheetId="5">[23]BASE!#REF!</definedName>
    <definedName name="_TUZ36" localSheetId="20">[37]BASE!#REF!</definedName>
    <definedName name="_TUZ36" localSheetId="37">[24]BASE!#REF!</definedName>
    <definedName name="_TUZ36">[24]BASE!#REF!</definedName>
    <definedName name="_TZ2110">BASE!$D$92</definedName>
    <definedName name="_TZ2112">BASE!$D$93</definedName>
    <definedName name="_TZ2114">BASE!$D$94</definedName>
    <definedName name="_TZ2116">BASE!$D$95</definedName>
    <definedName name="_TZ212" localSheetId="5">[23]BASE!$D$83</definedName>
    <definedName name="_TZ212">BASE!$D$86</definedName>
    <definedName name="_TZ213">BASE!$D$88</definedName>
    <definedName name="_TZ214" localSheetId="5">[23]BASE!$D$86</definedName>
    <definedName name="_TZ214">BASE!$D$89</definedName>
    <definedName name="_TZ216" localSheetId="5">[23]BASE!$D$87</definedName>
    <definedName name="_TZ216">BASE!$D$90</definedName>
    <definedName name="_TZ218">BASE!$D$91</definedName>
    <definedName name="_TZ225">BASE!$D$87</definedName>
    <definedName name="_TZ2610">BASE!$D$102</definedName>
    <definedName name="_TZ2612">BASE!$D$103</definedName>
    <definedName name="_TZ262">BASE!$D$97</definedName>
    <definedName name="_TZ263">BASE!$D$98</definedName>
    <definedName name="_TZ264">BASE!$D$99</definedName>
    <definedName name="_TZ266">BASE!$D$100</definedName>
    <definedName name="_TZ268">BASE!$D$101</definedName>
    <definedName name="_TZ323" localSheetId="11">[24]BASE!#REF!</definedName>
    <definedName name="_TZ323" localSheetId="0">[35]BASE!#REF!</definedName>
    <definedName name="_TZ323" localSheetId="5">[23]BASE!#REF!</definedName>
    <definedName name="_TZ323" localSheetId="20">[37]BASE!#REF!</definedName>
    <definedName name="_TZ323" localSheetId="37">[24]BASE!#REF!</definedName>
    <definedName name="_TZ323">[24]BASE!#REF!</definedName>
    <definedName name="_TZ324" localSheetId="11">[24]BASE!#REF!</definedName>
    <definedName name="_TZ324" localSheetId="0">[35]BASE!#REF!</definedName>
    <definedName name="_TZ324" localSheetId="5">[23]BASE!#REF!</definedName>
    <definedName name="_TZ324" localSheetId="20">[37]BASE!#REF!</definedName>
    <definedName name="_TZ324" localSheetId="37">[24]BASE!#REF!</definedName>
    <definedName name="_TZ324">[24]BASE!#REF!</definedName>
    <definedName name="_TZ32510">BASE!$D$109</definedName>
    <definedName name="_TZ32512">BASE!$D$110</definedName>
    <definedName name="_TZ3253">BASE!$D$105</definedName>
    <definedName name="_TZ3254">BASE!$D$106</definedName>
    <definedName name="_TZ3256">BASE!$D$107</definedName>
    <definedName name="_TZ3258">BASE!$D$108</definedName>
    <definedName name="_TZ4110">BASE!$D$115</definedName>
    <definedName name="_TZ4112">BASE!$D$116</definedName>
    <definedName name="_TZ414">BASE!$D$112</definedName>
    <definedName name="_TZ416" localSheetId="5">[23]BASE!$D$110</definedName>
    <definedName name="_TZ418">BASE!$D$114</definedName>
    <definedName name="_u4" localSheetId="12" hidden="1">{"TAB1",#N/A,TRUE,"GENERAL";"TAB2",#N/A,TRUE,"GENERAL";"TAB3",#N/A,TRUE,"GENERAL";"TAB4",#N/A,TRUE,"GENERAL";"TAB5",#N/A,TRUE,"GENERAL"}</definedName>
    <definedName name="_u4" hidden="1">{"TAB1",#N/A,TRUE,"GENERAL";"TAB2",#N/A,TRUE,"GENERAL";"TAB3",#N/A,TRUE,"GENERAL";"TAB4",#N/A,TRUE,"GENERAL";"TAB5",#N/A,TRUE,"GENERAL"}</definedName>
    <definedName name="_u5" localSheetId="12" hidden="1">{"TAB1",#N/A,TRUE,"GENERAL";"TAB2",#N/A,TRUE,"GENERAL";"TAB3",#N/A,TRUE,"GENERAL";"TAB4",#N/A,TRUE,"GENERAL";"TAB5",#N/A,TRUE,"GENERAL"}</definedName>
    <definedName name="_u5" hidden="1">{"TAB1",#N/A,TRUE,"GENERAL";"TAB2",#N/A,TRUE,"GENERAL";"TAB3",#N/A,TRUE,"GENERAL";"TAB4",#N/A,TRUE,"GENERAL";"TAB5",#N/A,TRUE,"GENERAL"}</definedName>
    <definedName name="_u6" localSheetId="12" hidden="1">{"TAB1",#N/A,TRUE,"GENERAL";"TAB2",#N/A,TRUE,"GENERAL";"TAB3",#N/A,TRUE,"GENERAL";"TAB4",#N/A,TRUE,"GENERAL";"TAB5",#N/A,TRUE,"GENERAL"}</definedName>
    <definedName name="_u6" hidden="1">{"TAB1",#N/A,TRUE,"GENERAL";"TAB2",#N/A,TRUE,"GENERAL";"TAB3",#N/A,TRUE,"GENERAL";"TAB4",#N/A,TRUE,"GENERAL";"TAB5",#N/A,TRUE,"GENERAL"}</definedName>
    <definedName name="_u7" localSheetId="12" hidden="1">{"via1",#N/A,TRUE,"general";"via2",#N/A,TRUE,"general";"via3",#N/A,TRUE,"general"}</definedName>
    <definedName name="_u7" hidden="1">{"via1",#N/A,TRUE,"general";"via2",#N/A,TRUE,"general";"via3",#N/A,TRUE,"general"}</definedName>
    <definedName name="_u8" localSheetId="12" hidden="1">{"TAB1",#N/A,TRUE,"GENERAL";"TAB2",#N/A,TRUE,"GENERAL";"TAB3",#N/A,TRUE,"GENERAL";"TAB4",#N/A,TRUE,"GENERAL";"TAB5",#N/A,TRUE,"GENERAL"}</definedName>
    <definedName name="_u8" hidden="1">{"TAB1",#N/A,TRUE,"GENERAL";"TAB2",#N/A,TRUE,"GENERAL";"TAB3",#N/A,TRUE,"GENERAL";"TAB4",#N/A,TRUE,"GENERAL";"TAB5",#N/A,TRUE,"GENERAL"}</definedName>
    <definedName name="_u9" localSheetId="12" hidden="1">{"TAB1",#N/A,TRUE,"GENERAL";"TAB2",#N/A,TRUE,"GENERAL";"TAB3",#N/A,TRUE,"GENERAL";"TAB4",#N/A,TRUE,"GENERAL";"TAB5",#N/A,TRUE,"GENERAL"}</definedName>
    <definedName name="_u9" hidden="1">{"TAB1",#N/A,TRUE,"GENERAL";"TAB2",#N/A,TRUE,"GENERAL";"TAB3",#N/A,TRUE,"GENERAL";"TAB4",#N/A,TRUE,"GENERAL";"TAB5",#N/A,TRUE,"GENERAL"}</definedName>
    <definedName name="_UDD06">BASE!$D$416</definedName>
    <definedName name="_UDD08">BASE!$D$417</definedName>
    <definedName name="_UNI32">BASE!$D$206</definedName>
    <definedName name="_unj1" localSheetId="11" hidden="1">[8]INST!#REF!</definedName>
    <definedName name="_unj1" hidden="1">[8]INST!#REF!</definedName>
    <definedName name="_UNL24" localSheetId="5">[23]BASE!$D$232</definedName>
    <definedName name="_UNL27" localSheetId="5">[23]BASE!$D$233</definedName>
    <definedName name="_UNL30">BASE!$D$256</definedName>
    <definedName name="_UNL33">BASE!$D$257</definedName>
    <definedName name="_UNL36">BASE!$D$258</definedName>
    <definedName name="_UNL39">BASE!$D$259</definedName>
    <definedName name="_UNL42">BASE!$D$260</definedName>
    <definedName name="_UNL45">BASE!$D$261</definedName>
    <definedName name="_UNL48">BASE!$D$262</definedName>
    <definedName name="_UNL51">BASE!$D$263</definedName>
    <definedName name="_UNL54">BASE!$D$264</definedName>
    <definedName name="_UNL60">BASE!$D$265</definedName>
    <definedName name="_ur7" localSheetId="12" hidden="1">{"TAB1",#N/A,TRUE,"GENERAL";"TAB2",#N/A,TRUE,"GENERAL";"TAB3",#N/A,TRUE,"GENERAL";"TAB4",#N/A,TRUE,"GENERAL";"TAB5",#N/A,TRUE,"GENERAL"}</definedName>
    <definedName name="_ur7" hidden="1">{"TAB1",#N/A,TRUE,"GENERAL";"TAB2",#N/A,TRUE,"GENERAL";"TAB3",#N/A,TRUE,"GENERAL";"TAB4",#N/A,TRUE,"GENERAL";"TAB5",#N/A,TRUE,"GENERAL"}</definedName>
    <definedName name="_v2" localSheetId="12" hidden="1">{"via1",#N/A,TRUE,"general";"via2",#N/A,TRUE,"general";"via3",#N/A,TRUE,"general"}</definedName>
    <definedName name="_v2" hidden="1">{"via1",#N/A,TRUE,"general";"via2",#N/A,TRUE,"general";"via3",#N/A,TRUE,"general"}</definedName>
    <definedName name="_v3" localSheetId="12" hidden="1">{"TAB1",#N/A,TRUE,"GENERAL";"TAB2",#N/A,TRUE,"GENERAL";"TAB3",#N/A,TRUE,"GENERAL";"TAB4",#N/A,TRUE,"GENERAL";"TAB5",#N/A,TRUE,"GENERAL"}</definedName>
    <definedName name="_v3" hidden="1">{"TAB1",#N/A,TRUE,"GENERAL";"TAB2",#N/A,TRUE,"GENERAL";"TAB3",#N/A,TRUE,"GENERAL";"TAB4",#N/A,TRUE,"GENERAL";"TAB5",#N/A,TRUE,"GENERAL"}</definedName>
    <definedName name="_v4" localSheetId="12" hidden="1">{"TAB1",#N/A,TRUE,"GENERAL";"TAB2",#N/A,TRUE,"GENERAL";"TAB3",#N/A,TRUE,"GENERAL";"TAB4",#N/A,TRUE,"GENERAL";"TAB5",#N/A,TRUE,"GENERAL"}</definedName>
    <definedName name="_v4" hidden="1">{"TAB1",#N/A,TRUE,"GENERAL";"TAB2",#N/A,TRUE,"GENERAL";"TAB3",#N/A,TRUE,"GENERAL";"TAB4",#N/A,TRUE,"GENERAL";"TAB5",#N/A,TRUE,"GENERAL"}</definedName>
    <definedName name="_v5" localSheetId="12" hidden="1">{"TAB1",#N/A,TRUE,"GENERAL";"TAB2",#N/A,TRUE,"GENERAL";"TAB3",#N/A,TRUE,"GENERAL";"TAB4",#N/A,TRUE,"GENERAL";"TAB5",#N/A,TRUE,"GENERAL"}</definedName>
    <definedName name="_v5" hidden="1">{"TAB1",#N/A,TRUE,"GENERAL";"TAB2",#N/A,TRUE,"GENERAL";"TAB3",#N/A,TRUE,"GENERAL";"TAB4",#N/A,TRUE,"GENERAL";"TAB5",#N/A,TRUE,"GENERAL"}</definedName>
    <definedName name="_v6" localSheetId="12" hidden="1">{"TAB1",#N/A,TRUE,"GENERAL";"TAB2",#N/A,TRUE,"GENERAL";"TAB3",#N/A,TRUE,"GENERAL";"TAB4",#N/A,TRUE,"GENERAL";"TAB5",#N/A,TRUE,"GENERAL"}</definedName>
    <definedName name="_v6" hidden="1">{"TAB1",#N/A,TRUE,"GENERAL";"TAB2",#N/A,TRUE,"GENERAL";"TAB3",#N/A,TRUE,"GENERAL";"TAB4",#N/A,TRUE,"GENERAL";"TAB5",#N/A,TRUE,"GENERAL"}</definedName>
    <definedName name="_v7" localSheetId="12" hidden="1">{"via1",#N/A,TRUE,"general";"via2",#N/A,TRUE,"general";"via3",#N/A,TRUE,"general"}</definedName>
    <definedName name="_v7" hidden="1">{"via1",#N/A,TRUE,"general";"via2",#N/A,TRUE,"general";"via3",#N/A,TRUE,"general"}</definedName>
    <definedName name="_v8" localSheetId="12" hidden="1">{"TAB1",#N/A,TRUE,"GENERAL";"TAB2",#N/A,TRUE,"GENERAL";"TAB3",#N/A,TRUE,"GENERAL";"TAB4",#N/A,TRUE,"GENERAL";"TAB5",#N/A,TRUE,"GENERAL"}</definedName>
    <definedName name="_v8" hidden="1">{"TAB1",#N/A,TRUE,"GENERAL";"TAB2",#N/A,TRUE,"GENERAL";"TAB3",#N/A,TRUE,"GENERAL";"TAB4",#N/A,TRUE,"GENERAL";"TAB5",#N/A,TRUE,"GENERAL"}</definedName>
    <definedName name="_v9" localSheetId="12" hidden="1">{"TAB1",#N/A,TRUE,"GENERAL";"TAB2",#N/A,TRUE,"GENERAL";"TAB3",#N/A,TRUE,"GENERAL";"TAB4",#N/A,TRUE,"GENERAL";"TAB5",#N/A,TRUE,"GENERAL"}</definedName>
    <definedName name="_v9" hidden="1">{"TAB1",#N/A,TRUE,"GENERAL";"TAB2",#N/A,TRUE,"GENERAL";"TAB3",#N/A,TRUE,"GENERAL";"TAB4",#N/A,TRUE,"GENERAL";"TAB5",#N/A,TRUE,"GENERAL"}</definedName>
    <definedName name="_VEN04">BASE!$D$452</definedName>
    <definedName name="_VEX1" localSheetId="11">[11]Tablas!#REF!</definedName>
    <definedName name="_VEX1">[11]Tablas!#REF!</definedName>
    <definedName name="_VFA1" localSheetId="11">[11]Tablas!#REF!</definedName>
    <definedName name="_VFA1">[11]Tablas!#REF!</definedName>
    <definedName name="_vfv4" localSheetId="12" hidden="1">{"via1",#N/A,TRUE,"general";"via2",#N/A,TRUE,"general";"via3",#N/A,TRUE,"general"}</definedName>
    <definedName name="_vfv4" hidden="1">{"via1",#N/A,TRUE,"general";"via2",#N/A,TRUE,"general";"via3",#N/A,TRUE,"general"}</definedName>
    <definedName name="_VIAJE">[34]BASE!$D$131</definedName>
    <definedName name="_VIBGA">[34]BASE!$D$99</definedName>
    <definedName name="_VIBRE">[33]BASE!$D$100</definedName>
    <definedName name="_VIT1" localSheetId="11">[11]Tablas!#REF!</definedName>
    <definedName name="_VIT1">[11]Tablas!#REF!</definedName>
    <definedName name="_VPR1" localSheetId="11">[11]Tablas!#REF!</definedName>
    <definedName name="_VPR1">[11]Tablas!#REF!</definedName>
    <definedName name="_VPR2" localSheetId="11">[12]Tablas!#REF!</definedName>
    <definedName name="_VPR2">[12]Tablas!#REF!</definedName>
    <definedName name="_VRP1" localSheetId="11">[11]Tablas!#REF!</definedName>
    <definedName name="_VRP1">[11]Tablas!#REF!</definedName>
    <definedName name="_VSM1" localSheetId="11">[11]Tablas!#REF!</definedName>
    <definedName name="_VSM1">[11]Tablas!#REF!</definedName>
    <definedName name="_x1" localSheetId="12" hidden="1">{"TAB1",#N/A,TRUE,"GENERAL";"TAB2",#N/A,TRUE,"GENERAL";"TAB3",#N/A,TRUE,"GENERAL";"TAB4",#N/A,TRUE,"GENERAL";"TAB5",#N/A,TRUE,"GENERAL"}</definedName>
    <definedName name="_x1" hidden="1">{"TAB1",#N/A,TRUE,"GENERAL";"TAB2",#N/A,TRUE,"GENERAL";"TAB3",#N/A,TRUE,"GENERAL";"TAB4",#N/A,TRUE,"GENERAL";"TAB5",#N/A,TRUE,"GENERAL"}</definedName>
    <definedName name="_x2" localSheetId="12" hidden="1">{"via1",#N/A,TRUE,"general";"via2",#N/A,TRUE,"general";"via3",#N/A,TRUE,"general"}</definedName>
    <definedName name="_x2" hidden="1">{"via1",#N/A,TRUE,"general";"via2",#N/A,TRUE,"general";"via3",#N/A,TRUE,"general"}</definedName>
    <definedName name="_x3" localSheetId="12" hidden="1">{"via1",#N/A,TRUE,"general";"via2",#N/A,TRUE,"general";"via3",#N/A,TRUE,"general"}</definedName>
    <definedName name="_x3" hidden="1">{"via1",#N/A,TRUE,"general";"via2",#N/A,TRUE,"general";"via3",#N/A,TRUE,"general"}</definedName>
    <definedName name="_x4" localSheetId="12" hidden="1">{"via1",#N/A,TRUE,"general";"via2",#N/A,TRUE,"general";"via3",#N/A,TRUE,"general"}</definedName>
    <definedName name="_x4" hidden="1">{"via1",#N/A,TRUE,"general";"via2",#N/A,TRUE,"general";"via3",#N/A,TRUE,"general"}</definedName>
    <definedName name="_x5" localSheetId="12" hidden="1">{"TAB1",#N/A,TRUE,"GENERAL";"TAB2",#N/A,TRUE,"GENERAL";"TAB3",#N/A,TRUE,"GENERAL";"TAB4",#N/A,TRUE,"GENERAL";"TAB5",#N/A,TRUE,"GENERAL"}</definedName>
    <definedName name="_x5" hidden="1">{"TAB1",#N/A,TRUE,"GENERAL";"TAB2",#N/A,TRUE,"GENERAL";"TAB3",#N/A,TRUE,"GENERAL";"TAB4",#N/A,TRUE,"GENERAL";"TAB5",#N/A,TRUE,"GENERAL"}</definedName>
    <definedName name="_x6" localSheetId="12" hidden="1">{"TAB1",#N/A,TRUE,"GENERAL";"TAB2",#N/A,TRUE,"GENERAL";"TAB3",#N/A,TRUE,"GENERAL";"TAB4",#N/A,TRUE,"GENERAL";"TAB5",#N/A,TRUE,"GENERAL"}</definedName>
    <definedName name="_x6" hidden="1">{"TAB1",#N/A,TRUE,"GENERAL";"TAB2",#N/A,TRUE,"GENERAL";"TAB3",#N/A,TRUE,"GENERAL";"TAB4",#N/A,TRUE,"GENERAL";"TAB5",#N/A,TRUE,"GENERAL"}</definedName>
    <definedName name="_x7" localSheetId="12" hidden="1">{"TAB1",#N/A,TRUE,"GENERAL";"TAB2",#N/A,TRUE,"GENERAL";"TAB3",#N/A,TRUE,"GENERAL";"TAB4",#N/A,TRUE,"GENERAL";"TAB5",#N/A,TRUE,"GENERAL"}</definedName>
    <definedName name="_x7" hidden="1">{"TAB1",#N/A,TRUE,"GENERAL";"TAB2",#N/A,TRUE,"GENERAL";"TAB3",#N/A,TRUE,"GENERAL";"TAB4",#N/A,TRUE,"GENERAL";"TAB5",#N/A,TRUE,"GENERAL"}</definedName>
    <definedName name="_x8" localSheetId="12" hidden="1">{"via1",#N/A,TRUE,"general";"via2",#N/A,TRUE,"general";"via3",#N/A,TRUE,"general"}</definedName>
    <definedName name="_x8" hidden="1">{"via1",#N/A,TRUE,"general";"via2",#N/A,TRUE,"general";"via3",#N/A,TRUE,"general"}</definedName>
    <definedName name="_x9" localSheetId="12" hidden="1">{"TAB1",#N/A,TRUE,"GENERAL";"TAB2",#N/A,TRUE,"GENERAL";"TAB3",#N/A,TRUE,"GENERAL";"TAB4",#N/A,TRUE,"GENERAL";"TAB5",#N/A,TRUE,"GENERAL"}</definedName>
    <definedName name="_x9" hidden="1">{"TAB1",#N/A,TRUE,"GENERAL";"TAB2",#N/A,TRUE,"GENERAL";"TAB3",#N/A,TRUE,"GENERAL";"TAB4",#N/A,TRUE,"GENERAL";"TAB5",#N/A,TRUE,"GENERAL"}</definedName>
    <definedName name="_y2" localSheetId="12" hidden="1">{"TAB1",#N/A,TRUE,"GENERAL";"TAB2",#N/A,TRUE,"GENERAL";"TAB3",#N/A,TRUE,"GENERAL";"TAB4",#N/A,TRUE,"GENERAL";"TAB5",#N/A,TRUE,"GENERAL"}</definedName>
    <definedName name="_y2" hidden="1">{"TAB1",#N/A,TRUE,"GENERAL";"TAB2",#N/A,TRUE,"GENERAL";"TAB3",#N/A,TRUE,"GENERAL";"TAB4",#N/A,TRUE,"GENERAL";"TAB5",#N/A,TRUE,"GENERAL"}</definedName>
    <definedName name="_y3" localSheetId="12" hidden="1">{"via1",#N/A,TRUE,"general";"via2",#N/A,TRUE,"general";"via3",#N/A,TRUE,"general"}</definedName>
    <definedName name="_y3" hidden="1">{"via1",#N/A,TRUE,"general";"via2",#N/A,TRUE,"general";"via3",#N/A,TRUE,"general"}</definedName>
    <definedName name="_y4" localSheetId="12" hidden="1">{"via1",#N/A,TRUE,"general";"via2",#N/A,TRUE,"general";"via3",#N/A,TRUE,"general"}</definedName>
    <definedName name="_y4" hidden="1">{"via1",#N/A,TRUE,"general";"via2",#N/A,TRUE,"general";"via3",#N/A,TRUE,"general"}</definedName>
    <definedName name="_y5" localSheetId="12" hidden="1">{"TAB1",#N/A,TRUE,"GENERAL";"TAB2",#N/A,TRUE,"GENERAL";"TAB3",#N/A,TRUE,"GENERAL";"TAB4",#N/A,TRUE,"GENERAL";"TAB5",#N/A,TRUE,"GENERAL"}</definedName>
    <definedName name="_y5" hidden="1">{"TAB1",#N/A,TRUE,"GENERAL";"TAB2",#N/A,TRUE,"GENERAL";"TAB3",#N/A,TRUE,"GENERAL";"TAB4",#N/A,TRUE,"GENERAL";"TAB5",#N/A,TRUE,"GENERAL"}</definedName>
    <definedName name="_y6" localSheetId="12" hidden="1">{"via1",#N/A,TRUE,"general";"via2",#N/A,TRUE,"general";"via3",#N/A,TRUE,"general"}</definedName>
    <definedName name="_y6" hidden="1">{"via1",#N/A,TRUE,"general";"via2",#N/A,TRUE,"general";"via3",#N/A,TRUE,"general"}</definedName>
    <definedName name="_y7" localSheetId="12" hidden="1">{"via1",#N/A,TRUE,"general";"via2",#N/A,TRUE,"general";"via3",#N/A,TRUE,"general"}</definedName>
    <definedName name="_y7" hidden="1">{"via1",#N/A,TRUE,"general";"via2",#N/A,TRUE,"general";"via3",#N/A,TRUE,"general"}</definedName>
    <definedName name="_y8" localSheetId="12" hidden="1">{"via1",#N/A,TRUE,"general";"via2",#N/A,TRUE,"general";"via3",#N/A,TRUE,"general"}</definedName>
    <definedName name="_y8" hidden="1">{"via1",#N/A,TRUE,"general";"via2",#N/A,TRUE,"general";"via3",#N/A,TRUE,"general"}</definedName>
    <definedName name="_y9" localSheetId="12" hidden="1">{"TAB1",#N/A,TRUE,"GENERAL";"TAB2",#N/A,TRUE,"GENERAL";"TAB3",#N/A,TRUE,"GENERAL";"TAB4",#N/A,TRUE,"GENERAL";"TAB5",#N/A,TRUE,"GENERAL"}</definedName>
    <definedName name="_y9" hidden="1">{"TAB1",#N/A,TRUE,"GENERAL";"TAB2",#N/A,TRUE,"GENERAL";"TAB3",#N/A,TRUE,"GENERAL";"TAB4",#N/A,TRUE,"GENERAL";"TAB5",#N/A,TRUE,"GENERAL"}</definedName>
    <definedName name="_z1" localSheetId="12" hidden="1">{"TAB1",#N/A,TRUE,"GENERAL";"TAB2",#N/A,TRUE,"GENERAL";"TAB3",#N/A,TRUE,"GENERAL";"TAB4",#N/A,TRUE,"GENERAL";"TAB5",#N/A,TRUE,"GENERAL"}</definedName>
    <definedName name="_z1" hidden="1">{"TAB1",#N/A,TRUE,"GENERAL";"TAB2",#N/A,TRUE,"GENERAL";"TAB3",#N/A,TRUE,"GENERAL";"TAB4",#N/A,TRUE,"GENERAL";"TAB5",#N/A,TRUE,"GENERAL"}</definedName>
    <definedName name="_z2" localSheetId="12" hidden="1">{"via1",#N/A,TRUE,"general";"via2",#N/A,TRUE,"general";"via3",#N/A,TRUE,"general"}</definedName>
    <definedName name="_z2" hidden="1">{"via1",#N/A,TRUE,"general";"via2",#N/A,TRUE,"general";"via3",#N/A,TRUE,"general"}</definedName>
    <definedName name="_z3" localSheetId="12" hidden="1">{"via1",#N/A,TRUE,"general";"via2",#N/A,TRUE,"general";"via3",#N/A,TRUE,"general"}</definedName>
    <definedName name="_z3" hidden="1">{"via1",#N/A,TRUE,"general";"via2",#N/A,TRUE,"general";"via3",#N/A,TRUE,"general"}</definedName>
    <definedName name="_z4" localSheetId="12" hidden="1">{"TAB1",#N/A,TRUE,"GENERAL";"TAB2",#N/A,TRUE,"GENERAL";"TAB3",#N/A,TRUE,"GENERAL";"TAB4",#N/A,TRUE,"GENERAL";"TAB5",#N/A,TRUE,"GENERAL"}</definedName>
    <definedName name="_z4" hidden="1">{"TAB1",#N/A,TRUE,"GENERAL";"TAB2",#N/A,TRUE,"GENERAL";"TAB3",#N/A,TRUE,"GENERAL";"TAB4",#N/A,TRUE,"GENERAL";"TAB5",#N/A,TRUE,"GENERAL"}</definedName>
    <definedName name="_z5" localSheetId="12" hidden="1">{"via1",#N/A,TRUE,"general";"via2",#N/A,TRUE,"general";"via3",#N/A,TRUE,"general"}</definedName>
    <definedName name="_z5" hidden="1">{"via1",#N/A,TRUE,"general";"via2",#N/A,TRUE,"general";"via3",#N/A,TRUE,"general"}</definedName>
    <definedName name="_z6" localSheetId="12" hidden="1">{"TAB1",#N/A,TRUE,"GENERAL";"TAB2",#N/A,TRUE,"GENERAL";"TAB3",#N/A,TRUE,"GENERAL";"TAB4",#N/A,TRUE,"GENERAL";"TAB5",#N/A,TRUE,"GENERAL"}</definedName>
    <definedName name="_z6" hidden="1">{"TAB1",#N/A,TRUE,"GENERAL";"TAB2",#N/A,TRUE,"GENERAL";"TAB3",#N/A,TRUE,"GENERAL";"TAB4",#N/A,TRUE,"GENERAL";"TAB5",#N/A,TRUE,"GENERAL"}</definedName>
    <definedName name="a" localSheetId="11">'[38]DUB-823'!#REF!</definedName>
    <definedName name="a" localSheetId="12">'[38]DUB-823'!#REF!</definedName>
    <definedName name="a">'[38]DUB-823'!#REF!</definedName>
    <definedName name="A_1" localSheetId="11">#REF!</definedName>
    <definedName name="A_1">#REF!</definedName>
    <definedName name="A_impresión_IM" localSheetId="11">#REF!</definedName>
    <definedName name="A_impresión_IM" localSheetId="12">#REF!</definedName>
    <definedName name="A_impresión_IM">#REF!</definedName>
    <definedName name="A18A200" localSheetId="11">[39]ESPEC!#REF!</definedName>
    <definedName name="A18A200">[39]ESPEC!#REF!</definedName>
    <definedName name="a2a" localSheetId="12" hidden="1">{"TAB1",#N/A,TRUE,"GENERAL";"TAB2",#N/A,TRUE,"GENERAL";"TAB3",#N/A,TRUE,"GENERAL";"TAB4",#N/A,TRUE,"GENERAL";"TAB5",#N/A,TRUE,"GENERAL"}</definedName>
    <definedName name="a2a" hidden="1">{"TAB1",#N/A,TRUE,"GENERAL";"TAB2",#N/A,TRUE,"GENERAL";"TAB3",#N/A,TRUE,"GENERAL";"TAB4",#N/A,TRUE,"GENERAL";"TAB5",#N/A,TRUE,"GENERAL"}</definedName>
    <definedName name="A40FI">'BASE 2'!$D$31</definedName>
    <definedName name="A40LI" localSheetId="8">[15]BASE2!$D$32</definedName>
    <definedName name="A40LI" localSheetId="9">[15]BASE2!$D$32</definedName>
    <definedName name="A40LI">'BASE 2'!$D$32</definedName>
    <definedName name="A60FI" localSheetId="8">[15]BASE2!$D$29</definedName>
    <definedName name="A60FI" localSheetId="9">[15]BASE2!$D$29</definedName>
    <definedName name="A60FI">'BASE 2'!$D$29</definedName>
    <definedName name="A60FI1">'BASE 2'!$D$30</definedName>
    <definedName name="aa" localSheetId="12">'Formulario No. 1'!ERR</definedName>
    <definedName name="aa">[0]!ERR</definedName>
    <definedName name="AAA" localSheetId="12">'Formulario No. 1'!ERR</definedName>
    <definedName name="AAA">[0]!ERR</definedName>
    <definedName name="aaaaaa">[40]otros!$C$5</definedName>
    <definedName name="aaaaas" localSheetId="12" hidden="1">{"TAB1",#N/A,TRUE,"GENERAL";"TAB2",#N/A,TRUE,"GENERAL";"TAB3",#N/A,TRUE,"GENERAL";"TAB4",#N/A,TRUE,"GENERAL";"TAB5",#N/A,TRUE,"GENERAL"}</definedName>
    <definedName name="aaaaas" hidden="1">{"TAB1",#N/A,TRUE,"GENERAL";"TAB2",#N/A,TRUE,"GENERAL";"TAB3",#N/A,TRUE,"GENERAL";"TAB4",#N/A,TRUE,"GENERAL";"TAB5",#N/A,TRUE,"GENERAL"}</definedName>
    <definedName name="AAC">[6]AASHTO!$A$14:$F$17</definedName>
    <definedName name="aas" localSheetId="12" hidden="1">{"TAB1",#N/A,TRUE,"GENERAL";"TAB2",#N/A,TRUE,"GENERAL";"TAB3",#N/A,TRUE,"GENERAL";"TAB4",#N/A,TRUE,"GENERAL";"TAB5",#N/A,TRUE,"GENERAL"}</definedName>
    <definedName name="aas" hidden="1">{"TAB1",#N/A,TRUE,"GENERAL";"TAB2",#N/A,TRUE,"GENERAL";"TAB3",#N/A,TRUE,"GENERAL";"TAB4",#N/A,TRUE,"GENERAL";"TAB5",#N/A,TRUE,"GENERAL"}</definedName>
    <definedName name="AB" localSheetId="11">#REF!</definedName>
    <definedName name="AB">#REF!</definedName>
    <definedName name="aba_1" localSheetId="11">#REF!</definedName>
    <definedName name="aba_1">#REF!</definedName>
    <definedName name="aba_2" localSheetId="11">#REF!</definedName>
    <definedName name="aba_2">#REF!</definedName>
    <definedName name="abc" localSheetId="11">#REF!</definedName>
    <definedName name="abc" localSheetId="12">#REF!</definedName>
    <definedName name="abc">#REF!</definedName>
    <definedName name="ABCD" localSheetId="11" hidden="1">#REF!</definedName>
    <definedName name="ABCD" hidden="1">#REF!</definedName>
    <definedName name="ABCDE" localSheetId="11" hidden="1">#REF!</definedName>
    <definedName name="ABCDE" hidden="1">#REF!</definedName>
    <definedName name="ABG">[6]AASHTO!$A$2:$F$5</definedName>
    <definedName name="absc1" localSheetId="11">[41]!absc</definedName>
    <definedName name="absc1">[41]!absc</definedName>
    <definedName name="ac" localSheetId="11">#REF!</definedName>
    <definedName name="ac">#REF!</definedName>
    <definedName name="AccessDatabase" hidden="1">"C:\C-314\VOLUMENES\volfin4.mdb"</definedName>
    <definedName name="ACOND">'BASE 2'!$D$410</definedName>
    <definedName name="acpm" localSheetId="12">5000</definedName>
    <definedName name="ACPM">'BASE 2'!$D$759</definedName>
    <definedName name="ACT" localSheetId="11">#REF!</definedName>
    <definedName name="ACT">#REF!</definedName>
    <definedName name="ACT_COMP" localSheetId="11">#REF!</definedName>
    <definedName name="ACT_COMP">#REF!</definedName>
    <definedName name="ACT_COMP2" localSheetId="11">#REF!</definedName>
    <definedName name="ACT_COMP2">#REF!</definedName>
    <definedName name="ACT_CONT" localSheetId="11">#REF!</definedName>
    <definedName name="ACT_CONT">#REF!</definedName>
    <definedName name="ACT_CONT2" localSheetId="11">#REF!</definedName>
    <definedName name="ACT_CONT2">#REF!</definedName>
    <definedName name="Actividades" localSheetId="11">#REF!</definedName>
    <definedName name="Actividades">#REF!</definedName>
    <definedName name="ACTV" localSheetId="11">#REF!</definedName>
    <definedName name="ACTV">#REF!</definedName>
    <definedName name="acumulado">'[42]Reservas de Petróleo'!$A$2,'[42]Reservas de Petróleo'!$A$1,'[42]Reservas de Petróleo'!$D$4,'[42]Reservas de Petróleo'!$E$1:$E$65536</definedName>
    <definedName name="ad" localSheetId="11">#REF!</definedName>
    <definedName name="ad" localSheetId="12">#REF!</definedName>
    <definedName name="ad">#REF!</definedName>
    <definedName name="adasd" localSheetId="11">#REF!</definedName>
    <definedName name="adasd">#REF!</definedName>
    <definedName name="ADFGSDB" localSheetId="12" hidden="1">{"via1",#N/A,TRUE,"general";"via2",#N/A,TRUE,"general";"via3",#N/A,TRUE,"general"}</definedName>
    <definedName name="ADFGSDB" hidden="1">{"via1",#N/A,TRUE,"general";"via2",#N/A,TRUE,"general";"via3",#N/A,TRUE,"general"}</definedName>
    <definedName name="ADH12_">'BASE 2'!$D$412</definedName>
    <definedName name="ADM">[40]otros!$C$2</definedName>
    <definedName name="ADM12_">'BASE 2'!$D$413</definedName>
    <definedName name="ADM2_">'BASE 2'!$D$142</definedName>
    <definedName name="ADM3_">'BASE 2'!$D$143</definedName>
    <definedName name="ADM4_">'BASE 2'!$D$144</definedName>
    <definedName name="ADMINISTRA">AIU!$H$48</definedName>
    <definedName name="administrador">[43]Informacion!$B$15</definedName>
    <definedName name="ADMM">'BASE 2'!$D$141</definedName>
    <definedName name="ADMON" localSheetId="11">#REF!</definedName>
    <definedName name="ADMON">#REF!</definedName>
    <definedName name="ADMON1" localSheetId="11">#REF!</definedName>
    <definedName name="ADMON1">#REF!</definedName>
    <definedName name="adoc1" localSheetId="11">[41]!absc</definedName>
    <definedName name="adoc1">[41]!absc</definedName>
    <definedName name="ADOC125" localSheetId="11">[44]!absc</definedName>
    <definedName name="ADOC125">[44]!absc</definedName>
    <definedName name="adoq" localSheetId="11">[45]!absc</definedName>
    <definedName name="adoq">[45]!absc</definedName>
    <definedName name="ADP1_">'BASE 2'!$D$230</definedName>
    <definedName name="ADSAD" localSheetId="12" hidden="1">{"TAB1",#N/A,TRUE,"GENERAL";"TAB2",#N/A,TRUE,"GENERAL";"TAB3",#N/A,TRUE,"GENERAL";"TAB4",#N/A,TRUE,"GENERAL";"TAB5",#N/A,TRUE,"GENERAL"}</definedName>
    <definedName name="ADSAD" hidden="1">{"TAB1",#N/A,TRUE,"GENERAL";"TAB2",#N/A,TRUE,"GENERAL";"TAB3",#N/A,TRUE,"GENERAL";"TAB4",#N/A,TRUE,"GENERAL";"TAB5",#N/A,TRUE,"GENERAL"}</definedName>
    <definedName name="aefa" localSheetId="12" hidden="1">{"via1",#N/A,TRUE,"general";"via2",#N/A,TRUE,"general";"via3",#N/A,TRUE,"general"}</definedName>
    <definedName name="aefa" hidden="1">{"via1",#N/A,TRUE,"general";"via2",#N/A,TRUE,"general";"via3",#N/A,TRUE,"general"}</definedName>
    <definedName name="afdsw" localSheetId="12" hidden="1">{"TAB1",#N/A,TRUE,"GENERAL";"TAB2",#N/A,TRUE,"GENERAL";"TAB3",#N/A,TRUE,"GENERAL";"TAB4",#N/A,TRUE,"GENERAL";"TAB5",#N/A,TRUE,"GENERAL"}</definedName>
    <definedName name="afdsw" hidden="1">{"TAB1",#N/A,TRUE,"GENERAL";"TAB2",#N/A,TRUE,"GENERAL";"TAB3",#N/A,TRUE,"GENERAL";"TAB4",#N/A,TRUE,"GENERAL";"TAB5",#N/A,TRUE,"GENERAL"}</definedName>
    <definedName name="agdsgg" localSheetId="12" hidden="1">{"via1",#N/A,TRUE,"general";"via2",#N/A,TRUE,"general";"via3",#N/A,TRUE,"general"}</definedName>
    <definedName name="agdsgg" hidden="1">{"via1",#N/A,TRUE,"general";"via2",#N/A,TRUE,"general";"via3",#N/A,TRUE,"general"}</definedName>
    <definedName name="AGUA" localSheetId="8">[15]BASE2!$D$513</definedName>
    <definedName name="AGUA" localSheetId="9">[15]BASE2!$D$513</definedName>
    <definedName name="AGUA">'BASE 2'!$D$762</definedName>
    <definedName name="aida" localSheetId="11">#REF!</definedName>
    <definedName name="aida">#REF!</definedName>
    <definedName name="aida1" localSheetId="11">#REF!</definedName>
    <definedName name="aida1">#REF!</definedName>
    <definedName name="AIU" localSheetId="12">#REF!</definedName>
    <definedName name="AIU">AIU!$H$58</definedName>
    <definedName name="AIU_01" localSheetId="11">#REF!</definedName>
    <definedName name="AIU_01">#REF!</definedName>
    <definedName name="AIU_1" localSheetId="11">#REF!</definedName>
    <definedName name="AIU_1">#REF!</definedName>
    <definedName name="AIU_2" localSheetId="11">#REF!</definedName>
    <definedName name="AIU_2">#REF!</definedName>
    <definedName name="AjustDelAIU" localSheetId="11">#REF!</definedName>
    <definedName name="AjustDelAIU" localSheetId="12">#REF!</definedName>
    <definedName name="AjustDelAIU">#REF!</definedName>
    <definedName name="alam" localSheetId="11">#REF!</definedName>
    <definedName name="alam">#REF!</definedName>
    <definedName name="ALANR" localSheetId="8">[15]BASE2!$D$28</definedName>
    <definedName name="ALANR" localSheetId="9">[15]BASE2!$D$28</definedName>
    <definedName name="ALANR">'BASE 2'!$D$28</definedName>
    <definedName name="alc" localSheetId="11">[46]!absc</definedName>
    <definedName name="alc">[46]!absc</definedName>
    <definedName name="AlcanceProyecto" localSheetId="11">#REF!</definedName>
    <definedName name="AlcanceProyecto">#REF!</definedName>
    <definedName name="ALM" localSheetId="11">#REF!</definedName>
    <definedName name="ALM">#REF!</definedName>
    <definedName name="ALPUA">'BASE 2'!$D$438</definedName>
    <definedName name="ALTO">[47]Tabla!$A$1:$A$5</definedName>
    <definedName name="Amount" localSheetId="11">#REF!</definedName>
    <definedName name="Amount">#REF!</definedName>
    <definedName name="ANCLAJE" localSheetId="11">'[48]MC SF GAVIONES'!#REF!</definedName>
    <definedName name="ANCLAJE" localSheetId="12">'[48]MC SF GAVIONES'!#REF!</definedName>
    <definedName name="ANCLAJE">'[48]MC SF GAVIONES'!#REF!</definedName>
    <definedName name="AND" localSheetId="11">#REF!</definedName>
    <definedName name="AND">#REF!</definedName>
    <definedName name="ANDAM">'BASE 2'!$D$727</definedName>
    <definedName name="anex7" localSheetId="11">#REF!</definedName>
    <definedName name="anex7">#REF!</definedName>
    <definedName name="anex8" localSheetId="11">#REF!</definedName>
    <definedName name="anex8">#REF!</definedName>
    <definedName name="anexo1" localSheetId="11">#REF!</definedName>
    <definedName name="anexo1">#REF!</definedName>
    <definedName name="anexo10" localSheetId="11">#REF!</definedName>
    <definedName name="anexo10">#REF!</definedName>
    <definedName name="anexo11" localSheetId="11">#REF!</definedName>
    <definedName name="anexo11">#REF!</definedName>
    <definedName name="anexo12" localSheetId="11">#REF!</definedName>
    <definedName name="anexo12">#REF!</definedName>
    <definedName name="anexo13" localSheetId="11">#REF!</definedName>
    <definedName name="anexo13">#REF!</definedName>
    <definedName name="anexo14" localSheetId="11">#REF!</definedName>
    <definedName name="anexo14">#REF!</definedName>
    <definedName name="anexo15" localSheetId="11">#REF!</definedName>
    <definedName name="anexo15">#REF!</definedName>
    <definedName name="anexo2" localSheetId="11">#REF!</definedName>
    <definedName name="anexo2">#REF!</definedName>
    <definedName name="anexo3" localSheetId="11">#REF!</definedName>
    <definedName name="anexo3">#REF!</definedName>
    <definedName name="anexo4" localSheetId="11">#REF!</definedName>
    <definedName name="anexo4">#REF!</definedName>
    <definedName name="anexo5" localSheetId="11">#REF!</definedName>
    <definedName name="anexo5">#REF!</definedName>
    <definedName name="anexo6" localSheetId="11">#REF!</definedName>
    <definedName name="anexo6">#REF!</definedName>
    <definedName name="anexo7" localSheetId="11">[49]COMPARATIVO!#REF!</definedName>
    <definedName name="anexo7">[49]COMPARATIVO!#REF!</definedName>
    <definedName name="anexo8" localSheetId="11">#REF!</definedName>
    <definedName name="anexo8">#REF!</definedName>
    <definedName name="anexo9" localSheetId="11">#REF!</definedName>
    <definedName name="anexo9">#REF!</definedName>
    <definedName name="anexů7" localSheetId="11">#REF!</definedName>
    <definedName name="anexů7">#REF!</definedName>
    <definedName name="ANTIC" localSheetId="8">[15]BASE2!$D$414</definedName>
    <definedName name="ANTIC" localSheetId="9">[15]BASE2!$D$414</definedName>
    <definedName name="Antic" localSheetId="12">[50]BASES!$B$33</definedName>
    <definedName name="ANTIC">'BASE 2'!$D$469</definedName>
    <definedName name="ANTICIPO">[51]BASES!$B$33</definedName>
    <definedName name="ANTRA">'BASE 2'!$D$64</definedName>
    <definedName name="AÑO">[40]PRESUPUESTO!$D$13</definedName>
    <definedName name="AÑOWUIE">'[52]Res-Accide-10'!$R$2:$R$7</definedName>
    <definedName name="apaiy" localSheetId="11">#REF!</definedName>
    <definedName name="apaiy">#REF!</definedName>
    <definedName name="APELLIDOS" localSheetId="11">#REF!</definedName>
    <definedName name="APELLIDOS">#REF!</definedName>
    <definedName name="API" localSheetId="11">#REF!</definedName>
    <definedName name="API">#REF!</definedName>
    <definedName name="APU" localSheetId="11">[53]!absc</definedName>
    <definedName name="APU">[53]!absc</definedName>
    <definedName name="APU_directos" localSheetId="11">#REF!</definedName>
    <definedName name="APU_directos" localSheetId="12">#REF!</definedName>
    <definedName name="APU_directos">#REF!</definedName>
    <definedName name="APU221.1" localSheetId="11">#REF!</definedName>
    <definedName name="APU221.1" localSheetId="12">#REF!</definedName>
    <definedName name="APU221.1">#REF!</definedName>
    <definedName name="APU221.2" localSheetId="11">#REF!</definedName>
    <definedName name="APU221.2" localSheetId="12">#REF!</definedName>
    <definedName name="APU221.2">#REF!</definedName>
    <definedName name="aq" localSheetId="12">'Formulario No. 1'!ERR</definedName>
    <definedName name="aq">[0]!ERR</definedName>
    <definedName name="aqaq" localSheetId="12" hidden="1">{"TAB1",#N/A,TRUE,"GENERAL";"TAB2",#N/A,TRUE,"GENERAL";"TAB3",#N/A,TRUE,"GENERAL";"TAB4",#N/A,TRUE,"GENERAL";"TAB5",#N/A,TRUE,"GENERAL"}</definedName>
    <definedName name="aqaq" hidden="1">{"TAB1",#N/A,TRUE,"GENERAL";"TAB2",#N/A,TRUE,"GENERAL";"TAB3",#N/A,TRUE,"GENERAL";"TAB4",#N/A,TRUE,"GENERAL";"TAB5",#N/A,TRUE,"GENERAL"}</definedName>
    <definedName name="AQW" localSheetId="11">#REF!</definedName>
    <definedName name="AQW">#REF!</definedName>
    <definedName name="ARANA">'BASE 2'!$D$731</definedName>
    <definedName name="ARANCEL" localSheetId="11">#REF!</definedName>
    <definedName name="ARANCEL">#REF!</definedName>
    <definedName name="AREA" localSheetId="11">#REF!</definedName>
    <definedName name="AREA">#REF!</definedName>
    <definedName name="_xlnm.Extract" localSheetId="11">#REF!</definedName>
    <definedName name="_xlnm.Extract">#REF!</definedName>
    <definedName name="_xlnm.Print_Area" localSheetId="29">' TANQUE PATAGONIA'!$A:$G</definedName>
    <definedName name="_xlnm.Print_Area" localSheetId="1">AIU!$A$1:$J$77</definedName>
    <definedName name="_xlnm.Print_Area" localSheetId="19">'APU CAPTACION'!$A:$I</definedName>
    <definedName name="_xlnm.Print_Area" localSheetId="21">'APU LINEAS IMPULSIÓN'!$A$1:$I$1100</definedName>
    <definedName name="_xlnm.Print_Area" localSheetId="26">'APU PTAP'!$A:$I</definedName>
    <definedName name="_xlnm.Print_Area" localSheetId="18">'APU PTAP ELECTRICO'!$A$1:$I$1047</definedName>
    <definedName name="_xlnm.Print_Area" localSheetId="27">'APU PTAP TIJERETAS'!$A:$I</definedName>
    <definedName name="_xlnm.Print_Area" localSheetId="30">'APU TANQUE PATAGONIA'!$A:$I</definedName>
    <definedName name="_xlnm.Print_Area" localSheetId="22">APUBOMBEO!$A:$I</definedName>
    <definedName name="_xlnm.Print_Area" localSheetId="24">APULINEA!$A:$I</definedName>
    <definedName name="_xlnm.Print_Area" localSheetId="7">'BASE CTOS'!$A$2:$I$196</definedName>
    <definedName name="_xlnm.Print_Area" localSheetId="13">'BASE CTOS2'!$A:$I</definedName>
    <definedName name="_xlnm.Print_Area" localSheetId="17">'CAPTACION RIO SINÚ'!$A$1:$F$238</definedName>
    <definedName name="_xlnm.Print_Area" localSheetId="32">CRONOGRAMA!$A:$N</definedName>
    <definedName name="_xlnm.Print_Area" localSheetId="2">'FACTOR MULTIPLICADOR'!$A$1:$C$70</definedName>
    <definedName name="_xlnm.Print_Area" localSheetId="11">#REF!</definedName>
    <definedName name="_xlnm.Print_Area" localSheetId="34">'FORMATO RESUMEN '!$A$1:$I$387</definedName>
    <definedName name="_xlnm.Print_Area" localSheetId="12">'Formulario No. 1'!$A$1:$Q$94</definedName>
    <definedName name="_xlnm.Print_Area" localSheetId="3">INTERVENTORIA!$A$1:$X$56</definedName>
    <definedName name="_xlnm.Print_Area" localSheetId="20">'LINEAS IMPULSIÓN-CONDUCCIÓN'!$A$2:$F$240</definedName>
    <definedName name="_xlnm.Print_Area" localSheetId="33">'PLAN FINANCIERO'!$A$1:$K$34</definedName>
    <definedName name="_xlnm.Print_Area" localSheetId="4">PRESTA!$A$1:$E$47</definedName>
    <definedName name="_xlnm.Print_Area" localSheetId="35">'PRESUPUESTO-INTERV'!$B$2:$J$52</definedName>
    <definedName name="_xlnm.Print_Area" localSheetId="28">'PTAP TIJERETAS'!$A:$F</definedName>
    <definedName name="_xlnm.Print_Area" localSheetId="31">'RESUMEN 2'!$A$2:$M$30</definedName>
    <definedName name="_xlnm.Print_Area" localSheetId="25">'TOTAL OC E INST + SUM'!$A:$F</definedName>
    <definedName name="_xlnm.Print_Area">#REF!</definedName>
    <definedName name="AreaLimpiar">'[54]Info-Portaf'!$N$4,'[54]Info-Portaf'!$C$10:$AE$24,'[54]Info-Portaf'!$C$26:$AE$28,'[54]Info-Portaf'!$C$31:$AE$40,'[54]Info-Portaf'!$C$41:$H$41,'[54]Info-Portaf'!$C$42:$AE$51,'[54]Info-Portaf'!$C$53:$AE$54,'[54]Info-Portaf'!$C$57:$AE$57,'[54]Info-Portaf'!$C$59:$AE$59,'[54]Info-Portaf'!$B$10:$B$61</definedName>
    <definedName name="Areatotal" localSheetId="11">#REF!</definedName>
    <definedName name="Areatotal">#REF!</definedName>
    <definedName name="Aref" localSheetId="11">#REF!</definedName>
    <definedName name="Aref">#REF!</definedName>
    <definedName name="ARELC" localSheetId="8">[15]BASE2!$D$74</definedName>
    <definedName name="ARELC" localSheetId="9">[15]BASE2!$D$74</definedName>
    <definedName name="ARELC">'BASE 2'!$D$67</definedName>
    <definedName name="ARELF">'BASE 2'!$D$66</definedName>
    <definedName name="ARENC" localSheetId="8">[15]BASE2!$D$65</definedName>
    <definedName name="ARENC" localSheetId="9">[15]BASE2!$D$65</definedName>
    <definedName name="ARENC">'BASE 2'!$D$57</definedName>
    <definedName name="ARENI" localSheetId="11">'BASE 2'!#REF!</definedName>
    <definedName name="ARENI">'BASE 2'!#REF!</definedName>
    <definedName name="ARENP" localSheetId="8">[15]BASE2!$D$63</definedName>
    <definedName name="ARENP" localSheetId="9">[15]BASE2!$D$63</definedName>
    <definedName name="ARENP">'BASE 2'!$D$56</definedName>
    <definedName name="ARERIO">[55]BASE!$D$530</definedName>
    <definedName name="armuve" localSheetId="12">'Formulario No. 1'!ERR</definedName>
    <definedName name="armuve">[0]!ERR</definedName>
    <definedName name="ARP" localSheetId="11">#REF!</definedName>
    <definedName name="ARP">#REF!</definedName>
    <definedName name="ARS" localSheetId="11">#REF!</definedName>
    <definedName name="ARS">#REF!</definedName>
    <definedName name="as" localSheetId="12">'Formulario No. 1'!ERR</definedName>
    <definedName name="as">[0]!ERR</definedName>
    <definedName name="ASB">[6]AASHTO!$A$8:$F$11</definedName>
    <definedName name="ASD" localSheetId="12" hidden="1">{"via1",#N/A,TRUE,"general";"via2",#N/A,TRUE,"general";"via3",#N/A,TRUE,"general"}</definedName>
    <definedName name="ASD" hidden="1">{"via1",#N/A,TRUE,"general";"via2",#N/A,TRUE,"general";"via3",#N/A,TRUE,"general"}</definedName>
    <definedName name="ASDA" localSheetId="12" hidden="1">{"via1",#N/A,TRUE,"general";"via2",#N/A,TRUE,"general";"via3",#N/A,TRUE,"general"}</definedName>
    <definedName name="ASDA" hidden="1">{"via1",#N/A,TRUE,"general";"via2",#N/A,TRUE,"general";"via3",#N/A,TRUE,"general"}</definedName>
    <definedName name="asdasd" localSheetId="12" hidden="1">{"TAB1",#N/A,TRUE,"GENERAL";"TAB2",#N/A,TRUE,"GENERAL";"TAB3",#N/A,TRUE,"GENERAL";"TAB4",#N/A,TRUE,"GENERAL";"TAB5",#N/A,TRUE,"GENERAL"}</definedName>
    <definedName name="asdasd" hidden="1">{"TAB1",#N/A,TRUE,"GENERAL";"TAB2",#N/A,TRUE,"GENERAL";"TAB3",#N/A,TRUE,"GENERAL";"TAB4",#N/A,TRUE,"GENERAL";"TAB5",#N/A,TRUE,"GENERAL"}</definedName>
    <definedName name="asdf" localSheetId="12" hidden="1">{"via1",#N/A,TRUE,"general";"via2",#N/A,TRUE,"general";"via3",#N/A,TRUE,"general"}</definedName>
    <definedName name="asdf" hidden="1">{"via1",#N/A,TRUE,"general";"via2",#N/A,TRUE,"general";"via3",#N/A,TRUE,"general"}</definedName>
    <definedName name="asdfa" localSheetId="12" hidden="1">{"via1",#N/A,TRUE,"general";"via2",#N/A,TRUE,"general";"via3",#N/A,TRUE,"general"}</definedName>
    <definedName name="asdfa" hidden="1">{"via1",#N/A,TRUE,"general";"via2",#N/A,TRUE,"general";"via3",#N/A,TRUE,"general"}</definedName>
    <definedName name="ASDFGHJKLÑ" localSheetId="12">'Formulario No. 1'!ERR</definedName>
    <definedName name="ASDFGHJKLÑ">[0]!ERR</definedName>
    <definedName name="asfasd" localSheetId="12" hidden="1">{"via1",#N/A,TRUE,"general";"via2",#N/A,TRUE,"general";"via3",#N/A,TRUE,"general"}</definedName>
    <definedName name="asfasd" hidden="1">{"via1",#N/A,TRUE,"general";"via2",#N/A,TRUE,"general";"via3",#N/A,TRUE,"general"}</definedName>
    <definedName name="asfasdl" localSheetId="12" hidden="1">{"via1",#N/A,TRUE,"general";"via2",#N/A,TRUE,"general";"via3",#N/A,TRUE,"general"}</definedName>
    <definedName name="asfasdl" hidden="1">{"via1",#N/A,TRUE,"general";"via2",#N/A,TRUE,"general";"via3",#N/A,TRUE,"general"}</definedName>
    <definedName name="asfdfe" hidden="1">{#N/A,#N/A,TRUE,"INGENIERIA";#N/A,#N/A,TRUE,"COMPRAS";#N/A,#N/A,TRUE,"DIRECCION";#N/A,#N/A,TRUE,"RESUMEN"}</definedName>
    <definedName name="asff" localSheetId="12" hidden="1">{"TAB1",#N/A,TRUE,"GENERAL";"TAB2",#N/A,TRUE,"GENERAL";"TAB3",#N/A,TRUE,"GENERAL";"TAB4",#N/A,TRUE,"GENERAL";"TAB5",#N/A,TRUE,"GENERAL"}</definedName>
    <definedName name="asff" hidden="1">{"TAB1",#N/A,TRUE,"GENERAL";"TAB2",#N/A,TRUE,"GENERAL";"TAB3",#N/A,TRUE,"GENERAL";"TAB4",#N/A,TRUE,"GENERAL";"TAB5",#N/A,TRUE,"GENERAL"}</definedName>
    <definedName name="asfghjoi" localSheetId="12" hidden="1">{"via1",#N/A,TRUE,"general";"via2",#N/A,TRUE,"general";"via3",#N/A,TRUE,"general"}</definedName>
    <definedName name="asfghjoi" hidden="1">{"via1",#N/A,TRUE,"general";"via2",#N/A,TRUE,"general";"via3",#N/A,TRUE,"general"}</definedName>
    <definedName name="asojkdr" localSheetId="12" hidden="1">{"TAB1",#N/A,TRUE,"GENERAL";"TAB2",#N/A,TRUE,"GENERAL";"TAB3",#N/A,TRUE,"GENERAL";"TAB4",#N/A,TRUE,"GENERAL";"TAB5",#N/A,TRUE,"GENERAL"}</definedName>
    <definedName name="asojkdr" hidden="1">{"TAB1",#N/A,TRUE,"GENERAL";"TAB2",#N/A,TRUE,"GENERAL";"TAB3",#N/A,TRUE,"GENERAL";"TAB4",#N/A,TRUE,"GENERAL";"TAB5",#N/A,TRUE,"GENERAL"}</definedName>
    <definedName name="Atp">[10]EMPRESA!$F$20</definedName>
    <definedName name="_xlnm.Auto_Open" localSheetId="11">MODULO10.auto_abrir</definedName>
    <definedName name="_xlnm.Auto_Open">MODULO10.auto_abrir</definedName>
    <definedName name="auto1" localSheetId="11">#REF!</definedName>
    <definedName name="auto1" localSheetId="12">#REF!</definedName>
    <definedName name="auto1">#REF!</definedName>
    <definedName name="auto123" localSheetId="11">#REF!</definedName>
    <definedName name="auto123" localSheetId="12">#REF!</definedName>
    <definedName name="auto123">#REF!</definedName>
    <definedName name="auto2" localSheetId="11">#REF!</definedName>
    <definedName name="auto2" localSheetId="12">#REF!</definedName>
    <definedName name="auto2">#REF!</definedName>
    <definedName name="AUTOMOTOR" localSheetId="11">#REF!</definedName>
    <definedName name="AUTOMOTOR">#REF!</definedName>
    <definedName name="AUTOMOTOR1" localSheetId="11">#REF!</definedName>
    <definedName name="AUTOMOTOR1">#REF!</definedName>
    <definedName name="AuxAlim">'[10]DATOS CONTRATO'!$E$18</definedName>
    <definedName name="auxalimentacion">[56]CONTRATO!$E$18</definedName>
    <definedName name="AuxCom">'[10]DATOS CONTRATO'!$I$16</definedName>
    <definedName name="auxcomisariato">[56]CONTRATO!$I$16</definedName>
    <definedName name="AuxDot">'[10]DATOS CONTRATO'!$I$17</definedName>
    <definedName name="auxdotacion">[56]CONTRATO!$I$17</definedName>
    <definedName name="AuxHab">'[10]DATOS CONTRATO'!$E$17</definedName>
    <definedName name="auxhabi">[57]CONTRATO!$E$17</definedName>
    <definedName name="auxhabitacion">[56]CONTRATO!$E$17</definedName>
    <definedName name="auxtransporte">[56]CONTRATO!$E$16</definedName>
    <definedName name="Avance_por_item" localSheetId="11">#REF!,#REF!,#REF!,#REF!,#REF!,#REF!,#REF!,#REF!,#REF!,#REF!,#REF!,#REF!,#REF!,#REF!,#REF!,#REF!,#REF!,#REF!</definedName>
    <definedName name="Avance_por_item">#REF!,#REF!,#REF!,#REF!,#REF!,#REF!,#REF!,#REF!,#REF!,#REF!,#REF!,#REF!,#REF!,#REF!,#REF!,#REF!,#REF!,#REF!</definedName>
    <definedName name="Avances_Totales" localSheetId="11">#REF!,#REF!,#REF!,#REF!,#REF!,#REF!,#REF!,#REF!,#REF!,#REF!,#REF!,#REF!,#REF!,#REF!,#REF!,#REF!,#REF!,#REF!</definedName>
    <definedName name="Avances_Totales">#REF!,#REF!,#REF!,#REF!,#REF!,#REF!,#REF!,#REF!,#REF!,#REF!,#REF!,#REF!,#REF!,#REF!,#REF!,#REF!,#REF!,#REF!</definedName>
    <definedName name="AW" localSheetId="11">#REF!</definedName>
    <definedName name="AW" localSheetId="12">#REF!</definedName>
    <definedName name="AW">#REF!</definedName>
    <definedName name="AYUDA" localSheetId="8">[15]BASE2!$D$12</definedName>
    <definedName name="AYUDA" localSheetId="9">[15]BASE2!$D$12</definedName>
    <definedName name="AYUDA">'BASE 2'!$D$12</definedName>
    <definedName name="AYUDR" localSheetId="8">[15]BASE2!$D$13</definedName>
    <definedName name="AYUDR" localSheetId="9">[15]BASE2!$D$13</definedName>
    <definedName name="AYUDR">'BASE 2'!$D$13</definedName>
    <definedName name="azaz" localSheetId="12" hidden="1">{"TAB1",#N/A,TRUE,"GENERAL";"TAB2",#N/A,TRUE,"GENERAL";"TAB3",#N/A,TRUE,"GENERAL";"TAB4",#N/A,TRUE,"GENERAL";"TAB5",#N/A,TRUE,"GENERAL"}</definedName>
    <definedName name="azaz" hidden="1">{"TAB1",#N/A,TRUE,"GENERAL";"TAB2",#N/A,TRUE,"GENERAL";"TAB3",#N/A,TRUE,"GENERAL";"TAB4",#N/A,TRUE,"GENERAL";"TAB5",#N/A,TRUE,"GENERAL"}</definedName>
    <definedName name="B" localSheetId="12" hidden="1">{"via1",#N/A,TRUE,"general";"via2",#N/A,TRUE,"general";"via3",#N/A,TRUE,"general"}</definedName>
    <definedName name="B" hidden="1">{"via1",#N/A,TRUE,"general";"via2",#N/A,TRUE,"general";"via3",#N/A,TRUE,"general"}</definedName>
    <definedName name="Bajo_L">[47]Tabla!$A$1:$A$5</definedName>
    <definedName name="Base" localSheetId="11">#REF!</definedName>
    <definedName name="bASE" localSheetId="12">#REF!</definedName>
    <definedName name="Base">#REF!</definedName>
    <definedName name="Base_datos_IM" localSheetId="11">#REF!</definedName>
    <definedName name="Base_datos_IM">#REF!</definedName>
    <definedName name="base1" localSheetId="11">#REF!</definedName>
    <definedName name="base1">#REF!</definedName>
    <definedName name="base2" localSheetId="11">#REF!</definedName>
    <definedName name="base2">#REF!</definedName>
    <definedName name="basedatos">[58]Hoja1!$A$4:$BZ$55</definedName>
    <definedName name="_xlnm.Database" localSheetId="11">#REF!</definedName>
    <definedName name="_xlnm.Database" localSheetId="12">#REF!</definedName>
    <definedName name="_xlnm.Database">#REF!</definedName>
    <definedName name="BaseDeDatos1" localSheetId="11">#REF!</definedName>
    <definedName name="BaseDeDatos1">#REF!</definedName>
    <definedName name="BASEG" localSheetId="8">[15]BASE2!$D$59</definedName>
    <definedName name="BASEG" localSheetId="9">[15]BASE2!$D$59</definedName>
    <definedName name="BASEG">'BASE 2'!$D$52</definedName>
    <definedName name="basep">[59]PRESUPUESTAL!$A$4:$P$190</definedName>
    <definedName name="Basica_Centro_costo_2001" localSheetId="11">#REF!</definedName>
    <definedName name="Basica_Centro_costo_2001">#REF!</definedName>
    <definedName name="Basica_Facturacion_2001" localSheetId="11">#REF!</definedName>
    <definedName name="Basica_Facturacion_2001">#REF!</definedName>
    <definedName name="Basica_Reserva_2001" localSheetId="11">#REF!</definedName>
    <definedName name="Basica_Reserva_2001">#REF!</definedName>
    <definedName name="Básico" localSheetId="11">#REF!</definedName>
    <definedName name="Básico">#REF!</definedName>
    <definedName name="BAZ10_">'BASE 2'!$D$465</definedName>
    <definedName name="BB" localSheetId="12">'Formulario No. 1'!ERR</definedName>
    <definedName name="BB">[0]!ERR</definedName>
    <definedName name="bbbbbb" localSheetId="12" hidden="1">{"via1",#N/A,TRUE,"general";"via2",#N/A,TRUE,"general";"via3",#N/A,TRUE,"general"}</definedName>
    <definedName name="bbbbbb" hidden="1">{"via1",#N/A,TRUE,"general";"via2",#N/A,TRUE,"general";"via3",#N/A,TRUE,"general"}</definedName>
    <definedName name="bbbbbh" localSheetId="12" hidden="1">{"TAB1",#N/A,TRUE,"GENERAL";"TAB2",#N/A,TRUE,"GENERAL";"TAB3",#N/A,TRUE,"GENERAL";"TAB4",#N/A,TRUE,"GENERAL";"TAB5",#N/A,TRUE,"GENERAL"}</definedName>
    <definedName name="bbbbbh" hidden="1">{"TAB1",#N/A,TRUE,"GENERAL";"TAB2",#N/A,TRUE,"GENERAL";"TAB3",#N/A,TRUE,"GENERAL";"TAB4",#N/A,TRUE,"GENERAL";"TAB5",#N/A,TRUE,"GENERAL"}</definedName>
    <definedName name="bbd" localSheetId="12" hidden="1">{"TAB1",#N/A,TRUE,"GENERAL";"TAB2",#N/A,TRUE,"GENERAL";"TAB3",#N/A,TRUE,"GENERAL";"TAB4",#N/A,TRUE,"GENERAL";"TAB5",#N/A,TRUE,"GENERAL"}</definedName>
    <definedName name="bbd" hidden="1">{"TAB1",#N/A,TRUE,"GENERAL";"TAB2",#N/A,TRUE,"GENERAL";"TAB3",#N/A,TRUE,"GENERAL";"TAB4",#N/A,TRUE,"GENERAL";"TAB5",#N/A,TRUE,"GENERAL"}</definedName>
    <definedName name="BC" localSheetId="11">#REF!</definedName>
    <definedName name="BC">#REF!</definedName>
    <definedName name="BCXBDFG" localSheetId="12" hidden="1">{"TAB1",#N/A,TRUE,"GENERAL";"TAB2",#N/A,TRUE,"GENERAL";"TAB3",#N/A,TRUE,"GENERAL";"TAB4",#N/A,TRUE,"GENERAL";"TAB5",#N/A,TRUE,"GENERAL"}</definedName>
    <definedName name="BCXBDFG" hidden="1">{"TAB1",#N/A,TRUE,"GENERAL";"TAB2",#N/A,TRUE,"GENERAL";"TAB3",#N/A,TRUE,"GENERAL";"TAB4",#N/A,TRUE,"GENERAL";"TAB5",#N/A,TRUE,"GENERAL"}</definedName>
    <definedName name="BDD" localSheetId="11">#REF!</definedName>
    <definedName name="BDD">#REF!</definedName>
    <definedName name="BDFB" localSheetId="12" hidden="1">{"via1",#N/A,TRUE,"general";"via2",#N/A,TRUE,"general";"via3",#N/A,TRUE,"general"}</definedName>
    <definedName name="BDFB" hidden="1">{"via1",#N/A,TRUE,"general";"via2",#N/A,TRUE,"general";"via3",#N/A,TRUE,"general"}</definedName>
    <definedName name="BDFGDG" localSheetId="12" hidden="1">{"TAB1",#N/A,TRUE,"GENERAL";"TAB2",#N/A,TRUE,"GENERAL";"TAB3",#N/A,TRUE,"GENERAL";"TAB4",#N/A,TRUE,"GENERAL";"TAB5",#N/A,TRUE,"GENERAL"}</definedName>
    <definedName name="BDFGDG" hidden="1">{"TAB1",#N/A,TRUE,"GENERAL";"TAB2",#N/A,TRUE,"GENERAL";"TAB3",#N/A,TRUE,"GENERAL";"TAB4",#N/A,TRUE,"GENERAL";"TAB5",#N/A,TRUE,"GENERAL"}</definedName>
    <definedName name="be" localSheetId="12" hidden="1">{"TAB1",#N/A,TRUE,"GENERAL";"TAB2",#N/A,TRUE,"GENERAL";"TAB3",#N/A,TRUE,"GENERAL";"TAB4",#N/A,TRUE,"GENERAL";"TAB5",#N/A,TRUE,"GENERAL"}</definedName>
    <definedName name="be" hidden="1">{"TAB1",#N/A,TRUE,"GENERAL";"TAB2",#N/A,TRUE,"GENERAL";"TAB3",#N/A,TRUE,"GENERAL";"TAB4",#N/A,TRUE,"GENERAL";"TAB5",#N/A,TRUE,"GENERAL"}</definedName>
    <definedName name="Beg_Bal" localSheetId="11">#REF!</definedName>
    <definedName name="Beg_Bal">#REF!</definedName>
    <definedName name="BENEF.UNIT." localSheetId="11">#REF!</definedName>
    <definedName name="BENEF.UNIT.">#REF!</definedName>
    <definedName name="bfnfv" localSheetId="12" hidden="1">{"TAB1",#N/A,TRUE,"GENERAL";"TAB2",#N/A,TRUE,"GENERAL";"TAB3",#N/A,TRUE,"GENERAL";"TAB4",#N/A,TRUE,"GENERAL";"TAB5",#N/A,TRUE,"GENERAL"}</definedName>
    <definedName name="bfnfv" hidden="1">{"TAB1",#N/A,TRUE,"GENERAL";"TAB2",#N/A,TRUE,"GENERAL";"TAB3",#N/A,TRUE,"GENERAL";"TAB4",#N/A,TRUE,"GENERAL";"TAB5",#N/A,TRUE,"GENERAL"}</definedName>
    <definedName name="bgb" localSheetId="12" hidden="1">{"TAB1",#N/A,TRUE,"GENERAL";"TAB2",#N/A,TRUE,"GENERAL";"TAB3",#N/A,TRUE,"GENERAL";"TAB4",#N/A,TRUE,"GENERAL";"TAB5",#N/A,TRUE,"GENERAL"}</definedName>
    <definedName name="bgb" hidden="1">{"TAB1",#N/A,TRUE,"GENERAL";"TAB2",#N/A,TRUE,"GENERAL";"TAB3",#N/A,TRUE,"GENERAL";"TAB4",#N/A,TRUE,"GENERAL";"TAB5",#N/A,TRUE,"GENERAL"}</definedName>
    <definedName name="BGDGFRT" localSheetId="12" hidden="1">{"via1",#N/A,TRUE,"general";"via2",#N/A,TRUE,"general";"via3",#N/A,TRUE,"general"}</definedName>
    <definedName name="BGDGFRT" hidden="1">{"via1",#N/A,TRUE,"general";"via2",#N/A,TRUE,"general";"via3",#N/A,TRUE,"general"}</definedName>
    <definedName name="BGFBFH" localSheetId="12" hidden="1">{"via1",#N/A,TRUE,"general";"via2",#N/A,TRUE,"general";"via3",#N/A,TRUE,"general"}</definedName>
    <definedName name="BGFBFH" hidden="1">{"via1",#N/A,TRUE,"general";"via2",#N/A,TRUE,"general";"via3",#N/A,TRUE,"general"}</definedName>
    <definedName name="BGT" localSheetId="11">#REF!</definedName>
    <definedName name="BGT">#REF!</definedName>
    <definedName name="bgvfcdx" localSheetId="12" hidden="1">{"via1",#N/A,TRUE,"general";"via2",#N/A,TRUE,"general";"via3",#N/A,TRUE,"general"}</definedName>
    <definedName name="bgvfcdx" hidden="1">{"via1",#N/A,TRUE,"general";"via2",#N/A,TRUE,"general";"via3",#N/A,TRUE,"general"}</definedName>
    <definedName name="BHT_F" localSheetId="11">#REF!</definedName>
    <definedName name="BHT_F">#REF!</definedName>
    <definedName name="bi" localSheetId="11">#REF!</definedName>
    <definedName name="bi">#REF!</definedName>
    <definedName name="BISCO">'BASE 2'!$D$458</definedName>
    <definedName name="blActividadesDiarias" localSheetId="11">#REF!</definedName>
    <definedName name="blActividadesDiarias">#REF!</definedName>
    <definedName name="blCantidades" localSheetId="11">#REF!</definedName>
    <definedName name="blCantidades">#REF!</definedName>
    <definedName name="blCantidades1" localSheetId="11">#REF!</definedName>
    <definedName name="blCantidades1">#REF!</definedName>
    <definedName name="blCantidades2" localSheetId="11">#REF!</definedName>
    <definedName name="blCantidades2">#REF!</definedName>
    <definedName name="blComentarioInf1" localSheetId="11">#REF!</definedName>
    <definedName name="blComentarioInf1">#REF!</definedName>
    <definedName name="blComentarioInf2" localSheetId="11">#REF!</definedName>
    <definedName name="blComentarioInf2">#REF!</definedName>
    <definedName name="blEjecutado" localSheetId="11">'[60]Ejecutado%'!#REF!</definedName>
    <definedName name="blEjecutado">'[60]Ejecutado%'!#REF!</definedName>
    <definedName name="blEjecutadoPorcen">'[60]Ejecutado$'!$D$1:$CE$45</definedName>
    <definedName name="blEqCantiInf1" localSheetId="11">#REF!</definedName>
    <definedName name="blEqCantiInf1">#REF!</definedName>
    <definedName name="blEqCantiInf2" localSheetId="11">#REF!</definedName>
    <definedName name="blEqCantiInf2">#REF!</definedName>
    <definedName name="blEqClaseInf1" localSheetId="11">#REF!</definedName>
    <definedName name="blEqClaseInf1">#REF!</definedName>
    <definedName name="blEqClaseInf2" localSheetId="11">#REF!</definedName>
    <definedName name="blEqClaseInf2">#REF!</definedName>
    <definedName name="blEqTiemiInf1" localSheetId="11">#REF!</definedName>
    <definedName name="blEqTiemiInf1">#REF!</definedName>
    <definedName name="blEqTiemiInf2" localSheetId="11">#REF!</definedName>
    <definedName name="blEqTiemiInf2">#REF!</definedName>
    <definedName name="blFechaInforme" localSheetId="11">#REF!</definedName>
    <definedName name="blFechaInforme">#REF!</definedName>
    <definedName name="blFechaInicio" localSheetId="11">#REF!</definedName>
    <definedName name="blFechaInicio">#REF!</definedName>
    <definedName name="blFisico" localSheetId="11">#REF!</definedName>
    <definedName name="blFisico">#REF!</definedName>
    <definedName name="blHoraEqInf1" localSheetId="11">#REF!</definedName>
    <definedName name="blHoraEqInf1">#REF!</definedName>
    <definedName name="blHoraEqInf2" localSheetId="11">#REF!</definedName>
    <definedName name="blHoraEqInf2">#REF!</definedName>
    <definedName name="blHoraPerIntInf" localSheetId="11">#REF!</definedName>
    <definedName name="blHoraPerIntInf">#REF!</definedName>
    <definedName name="blHoraPerObraInf" localSheetId="11">#REF!</definedName>
    <definedName name="blHoraPerObraInf">#REF!</definedName>
    <definedName name="blHorasLluviaInf" localSheetId="11">#REF!</definedName>
    <definedName name="blHorasLluviaInf">#REF!</definedName>
    <definedName name="blImagen1" localSheetId="11">#REF!</definedName>
    <definedName name="blImagen1">#REF!</definedName>
    <definedName name="blImagen2" localSheetId="11">#REF!</definedName>
    <definedName name="blImagen2">#REF!</definedName>
    <definedName name="blNombreArchivo" localSheetId="11">#REF!</definedName>
    <definedName name="blNombreArchivo">#REF!</definedName>
    <definedName name="blObservacionesInf" localSheetId="11">#REF!</definedName>
    <definedName name="blObservacionesInf">#REF!</definedName>
    <definedName name="blPDT" localSheetId="11">#REF!</definedName>
    <definedName name="blPDT">#REF!</definedName>
    <definedName name="blPerAdmiCantInf" localSheetId="11">#REF!</definedName>
    <definedName name="blPerAdmiCantInf">#REF!</definedName>
    <definedName name="blPerAdmiTiemInf" localSheetId="11">#REF!</definedName>
    <definedName name="blPerAdmiTiemInf">#REF!</definedName>
    <definedName name="blPerObraCantInf" localSheetId="11">#REF!</definedName>
    <definedName name="blPerObraCantInf">#REF!</definedName>
    <definedName name="blPerObraTiemInf" localSheetId="11">#REF!</definedName>
    <definedName name="blPerObraTiemInf">#REF!</definedName>
    <definedName name="blPersonalAdminInf" localSheetId="11">#REF!</definedName>
    <definedName name="blPersonalAdminInf">#REF!</definedName>
    <definedName name="blPersonalObraInf" localSheetId="11">#REF!</definedName>
    <definedName name="blPersonalObraInf">#REF!</definedName>
    <definedName name="BLPH1" localSheetId="11" hidden="1">#REF!</definedName>
    <definedName name="BLPH1" hidden="1">#REF!</definedName>
    <definedName name="blProgramadoPesos">'[60]Programado$'!$I$1:$CK$45</definedName>
    <definedName name="blReferenciaInforme" localSheetId="11">#REF!</definedName>
    <definedName name="blReferenciaInforme">#REF!</definedName>
    <definedName name="bn" localSheetId="11">#REF!</definedName>
    <definedName name="bn" localSheetId="12">#REF!</definedName>
    <definedName name="bn">#REF!</definedName>
    <definedName name="BOMBA" localSheetId="8">[15]BASE2!$D$484</definedName>
    <definedName name="BOMBA" localSheetId="9">[15]BASE2!$D$484</definedName>
    <definedName name="BOMBA">'BASE 2'!$D$730</definedName>
    <definedName name="Bombas" localSheetId="11">#REF!</definedName>
    <definedName name="Bombas">#REF!</definedName>
    <definedName name="BONO" localSheetId="11">#REF!</definedName>
    <definedName name="BONO">#REF!</definedName>
    <definedName name="BORDER1" localSheetId="11">[61]steel!#REF!</definedName>
    <definedName name="BORDER1">[61]steel!#REF!</definedName>
    <definedName name="BORDET" localSheetId="11">#REF!</definedName>
    <definedName name="BORDET">#REF!</definedName>
    <definedName name="BORSHE" localSheetId="11">'[3]7422CW00'!#REF!</definedName>
    <definedName name="BORSHE">'[3]7422CW00'!#REF!</definedName>
    <definedName name="BORSUM" localSheetId="11">'[3]7422CW00'!#REF!</definedName>
    <definedName name="BORSUM">'[3]7422CW00'!#REF!</definedName>
    <definedName name="BOTAD" localSheetId="8">[15]BASE2!$D$496</definedName>
    <definedName name="BOTAD" localSheetId="9">[15]BASE2!$D$496</definedName>
    <definedName name="BOTAD">'BASE 2'!$D$745</definedName>
    <definedName name="BOTES" localSheetId="8">[15]BASE2!$D$505</definedName>
    <definedName name="BOTES" localSheetId="9">[15]BASE2!$D$505</definedName>
    <definedName name="BOTES">'BASE 2'!$D$754</definedName>
    <definedName name="boxes" localSheetId="11">#REF!</definedName>
    <definedName name="boxes">#REF!</definedName>
    <definedName name="BQ" localSheetId="11">#REF!</definedName>
    <definedName name="BQ">#REF!</definedName>
    <definedName name="br" localSheetId="12" hidden="1">{"TAB1",#N/A,TRUE,"GENERAL";"TAB2",#N/A,TRUE,"GENERAL";"TAB3",#N/A,TRUE,"GENERAL";"TAB4",#N/A,TRUE,"GENERAL";"TAB5",#N/A,TRUE,"GENERAL"}</definedName>
    <definedName name="br" hidden="1">{"TAB1",#N/A,TRUE,"GENERAL";"TAB2",#N/A,TRUE,"GENERAL";"TAB3",#N/A,TRUE,"GENERAL";"TAB4",#N/A,TRUE,"GENERAL";"TAB5",#N/A,TRUE,"GENERAL"}</definedName>
    <definedName name="BREAKER" localSheetId="11">#REF!</definedName>
    <definedName name="BREAKER">#REF!</definedName>
    <definedName name="BREAKERS" localSheetId="11">#REF!</definedName>
    <definedName name="BREAKERS">#REF!</definedName>
    <definedName name="Breakers_Switches" localSheetId="11">#REF!</definedName>
    <definedName name="Breakers_Switches">#REF!</definedName>
    <definedName name="Breakers_y_Switches" localSheetId="11">#REF!</definedName>
    <definedName name="Breakers_y_Switches">#REF!</definedName>
    <definedName name="BROCH">'BASE 2'!$D$447</definedName>
    <definedName name="bsb" localSheetId="12" hidden="1">{"via1",#N/A,TRUE,"general";"via2",#N/A,TRUE,"general";"via3",#N/A,TRUE,"general"}</definedName>
    <definedName name="bsb" hidden="1">{"via1",#N/A,TRUE,"general";"via2",#N/A,TRUE,"general";"via3",#N/A,TRUE,"general"}</definedName>
    <definedName name="bspoi" localSheetId="12" hidden="1">{"TAB1",#N/A,TRUE,"GENERAL";"TAB2",#N/A,TRUE,"GENERAL";"TAB3",#N/A,TRUE,"GENERAL";"TAB4",#N/A,TRUE,"GENERAL";"TAB5",#N/A,TRUE,"GENERAL"}</definedName>
    <definedName name="bspoi" hidden="1">{"TAB1",#N/A,TRUE,"GENERAL";"TAB2",#N/A,TRUE,"GENERAL";"TAB3",#N/A,TRUE,"GENERAL";"TAB4",#N/A,TRUE,"GENERAL";"TAB5",#N/A,TRUE,"GENERAL"}</definedName>
    <definedName name="BSW">[62]medelo!$D$37</definedName>
    <definedName name="bt" localSheetId="12" hidden="1">{"via1",#N/A,TRUE,"general";"via2",#N/A,TRUE,"general";"via3",#N/A,TRUE,"general"}</definedName>
    <definedName name="bt" hidden="1">{"via1",#N/A,TRUE,"general";"via2",#N/A,TRUE,"general";"via3",#N/A,TRUE,"general"}</definedName>
    <definedName name="BTYJHTR" localSheetId="12" hidden="1">{"TAB1",#N/A,TRUE,"GENERAL";"TAB2",#N/A,TRUE,"GENERAL";"TAB3",#N/A,TRUE,"GENERAL";"TAB4",#N/A,TRUE,"GENERAL";"TAB5",#N/A,TRUE,"GENERAL"}</definedName>
    <definedName name="BTYJHTR" hidden="1">{"TAB1",#N/A,TRUE,"GENERAL";"TAB2",#N/A,TRUE,"GENERAL";"TAB3",#N/A,TRUE,"GENERAL";"TAB4",#N/A,TRUE,"GENERAL";"TAB5",#N/A,TRUE,"GENERAL"}</definedName>
    <definedName name="BuiltIn_Print_Area" localSheetId="11">'[63]Form5 _Pág_ 1'!#REF!</definedName>
    <definedName name="BuiltIn_Print_Area">'[63]Form5 _Pág_ 1'!#REF!</definedName>
    <definedName name="BuiltIn_Print_Area___0" localSheetId="11">'[63]Form5 _Pág_ 2'!#REF!</definedName>
    <definedName name="BuiltIn_Print_Area___0">'[63]Form5 _Pág_ 2'!#REF!</definedName>
    <definedName name="BULLDOZ">'BASE 2'!$D$717</definedName>
    <definedName name="bvbc" localSheetId="12" hidden="1">{"TAB1",#N/A,TRUE,"GENERAL";"TAB2",#N/A,TRUE,"GENERAL";"TAB3",#N/A,TRUE,"GENERAL";"TAB4",#N/A,TRUE,"GENERAL";"TAB5",#N/A,TRUE,"GENERAL"}</definedName>
    <definedName name="bvbc" hidden="1">{"TAB1",#N/A,TRUE,"GENERAL";"TAB2",#N/A,TRUE,"GENERAL";"TAB3",#N/A,TRUE,"GENERAL";"TAB4",#N/A,TRUE,"GENERAL";"TAB5",#N/A,TRUE,"GENERAL"}</definedName>
    <definedName name="bvcb" localSheetId="12" hidden="1">{"via1",#N/A,TRUE,"general";"via2",#N/A,TRUE,"general";"via3",#N/A,TRUE,"general"}</definedName>
    <definedName name="bvcb" hidden="1">{"via1",#N/A,TRUE,"general";"via2",#N/A,TRUE,"general";"via3",#N/A,TRUE,"general"}</definedName>
    <definedName name="bvn" localSheetId="12" hidden="1">{"via1",#N/A,TRUE,"general";"via2",#N/A,TRUE,"general";"via3",#N/A,TRUE,"general"}</definedName>
    <definedName name="bvn" hidden="1">{"via1",#N/A,TRUE,"general";"via2",#N/A,TRUE,"general";"via3",#N/A,TRUE,"general"}</definedName>
    <definedName name="by" localSheetId="12" hidden="1">{"via1",#N/A,TRUE,"general";"via2",#N/A,TRUE,"general";"via3",#N/A,TRUE,"general"}</definedName>
    <definedName name="by" hidden="1">{"via1",#N/A,TRUE,"general";"via2",#N/A,TRUE,"general";"via3",#N/A,TRUE,"general"}</definedName>
    <definedName name="C._C." localSheetId="11">#REF!</definedName>
    <definedName name="C._C.">#REF!</definedName>
    <definedName name="C_" localSheetId="11">#REF!</definedName>
    <definedName name="C_" localSheetId="12">#REF!</definedName>
    <definedName name="C_">#REF!</definedName>
    <definedName name="CA" localSheetId="11">#REF!</definedName>
    <definedName name="CA">#REF!</definedName>
    <definedName name="CABAL" localSheetId="8">[15]BASE2!$D$398</definedName>
    <definedName name="CABAL" localSheetId="9">[15]BASE2!$D$398</definedName>
    <definedName name="CABAL">'BASE 2'!$D$453</definedName>
    <definedName name="Cableado" localSheetId="11">#REF!</definedName>
    <definedName name="Cableado">#REF!</definedName>
    <definedName name="CAJAC">'BASE 2'!$D$456</definedName>
    <definedName name="CAJAV">'BASE 2'!$D$535</definedName>
    <definedName name="CajDol1" localSheetId="11">#REF!</definedName>
    <definedName name="CajDol1">#REF!</definedName>
    <definedName name="CajDol10" localSheetId="11">#REF!</definedName>
    <definedName name="CajDol10">#REF!</definedName>
    <definedName name="CajDol11" localSheetId="11">#REF!</definedName>
    <definedName name="CajDol11">#REF!</definedName>
    <definedName name="CajDol12" localSheetId="11">#REF!</definedName>
    <definedName name="CajDol12">#REF!</definedName>
    <definedName name="CajDol2" localSheetId="11">#REF!</definedName>
    <definedName name="CajDol2">#REF!</definedName>
    <definedName name="CajDol3" localSheetId="11">#REF!</definedName>
    <definedName name="CajDol3">#REF!</definedName>
    <definedName name="CajDol4" localSheetId="11">#REF!</definedName>
    <definedName name="CajDol4">#REF!</definedName>
    <definedName name="CajDol5" localSheetId="11">#REF!</definedName>
    <definedName name="CajDol5">#REF!</definedName>
    <definedName name="CajDol6" localSheetId="11">#REF!</definedName>
    <definedName name="CajDol6">#REF!</definedName>
    <definedName name="CajDol7" localSheetId="11">#REF!</definedName>
    <definedName name="CajDol7">#REF!</definedName>
    <definedName name="CajDol8" localSheetId="11">#REF!</definedName>
    <definedName name="CajDol8">#REF!</definedName>
    <definedName name="CajDol9" localSheetId="11">#REF!</definedName>
    <definedName name="CajDol9">#REF!</definedName>
    <definedName name="CAJMI">'BASE 2'!$D$421</definedName>
    <definedName name="CAMPO" localSheetId="11">#REF!</definedName>
    <definedName name="CAMPO">#REF!</definedName>
    <definedName name="CAN28_">'BASE 2'!$D$722</definedName>
    <definedName name="CANAL">'BASE 2'!$D$459</definedName>
    <definedName name="CANGU" localSheetId="8">[15]BASE2!$D$463</definedName>
    <definedName name="CANGU" localSheetId="9">[15]BASE2!$D$463</definedName>
    <definedName name="CANGU">'BASE 2'!$D$710</definedName>
    <definedName name="CANT" localSheetId="11">#REF!</definedName>
    <definedName name="CANT" localSheetId="12">#REF!</definedName>
    <definedName name="CANT">#REF!</definedName>
    <definedName name="cantidad" localSheetId="11">'[64]TRAMO 03'!$F:$F,'[64]TRAMO 03'!$I:$I,'[64]TRAMO 03'!$K:$K,'[64]TRAMO 03'!#REF!,'[64]TRAMO 03'!#REF!,'[64]TRAMO 03'!#REF!,'[64]TRAMO 03'!#REF!,'[64]TRAMO 03'!#REF!,'[64]TRAMO 03'!#REF!,'[64]TRAMO 03'!#REF!,'[64]TRAMO 03'!#REF!,'[64]TRAMO 03'!#REF!,'[64]TRAMO 03'!#REF!,'[64]TRAMO 03'!#REF!,'[64]TRAMO 03'!#REF!,'[64]TRAMO 03'!#REF!</definedName>
    <definedName name="cantidad">'[64]TRAMO 03'!$F:$F,'[64]TRAMO 03'!$I:$I,'[64]TRAMO 03'!$K:$K,'[64]TRAMO 03'!#REF!,'[64]TRAMO 03'!#REF!,'[64]TRAMO 03'!#REF!,'[64]TRAMO 03'!#REF!,'[64]TRAMO 03'!#REF!,'[64]TRAMO 03'!#REF!,'[64]TRAMO 03'!#REF!,'[64]TRAMO 03'!#REF!,'[64]TRAMO 03'!#REF!,'[64]TRAMO 03'!#REF!,'[64]TRAMO 03'!#REF!,'[64]TRAMO 03'!#REF!,'[64]TRAMO 03'!#REF!</definedName>
    <definedName name="CAP" localSheetId="11">#REF!</definedName>
    <definedName name="cap" localSheetId="12">#REF!</definedName>
    <definedName name="CAP">#REF!</definedName>
    <definedName name="CAPAC._HSE" localSheetId="11">#REF!</definedName>
    <definedName name="CAPAC._HSE">#REF!</definedName>
    <definedName name="CARGA" localSheetId="11">#REF!</definedName>
    <definedName name="CARGA">#REF!</definedName>
    <definedName name="CARGAD">'BASE 2'!$D$714</definedName>
    <definedName name="CARGOS" localSheetId="11">#REF!</definedName>
    <definedName name="CARGOS">#REF!</definedName>
    <definedName name="carlos" localSheetId="11">MODULO10.auto_abrir</definedName>
    <definedName name="carlos">MODULO10.auto_abrir</definedName>
    <definedName name="CARRTA">'BASE 2'!$D$719</definedName>
    <definedName name="CBLES" localSheetId="11">#REF!</definedName>
    <definedName name="CBLES">#REF!</definedName>
    <definedName name="CBLES1" localSheetId="11">#REF!</definedName>
    <definedName name="CBLES1">#REF!</definedName>
    <definedName name="CBRDISEÑO">[65]SECTORIZACIÓN!$A$12:$G$20</definedName>
    <definedName name="CBWorkbookPriority" hidden="1">-1602700874</definedName>
    <definedName name="CC">[66]Personalizar!$G$22:$G$25</definedName>
    <definedName name="ccccc" localSheetId="12" hidden="1">{"TAB1",#N/A,TRUE,"GENERAL";"TAB2",#N/A,TRUE,"GENERAL";"TAB3",#N/A,TRUE,"GENERAL";"TAB4",#N/A,TRUE,"GENERAL";"TAB5",#N/A,TRUE,"GENERAL"}</definedName>
    <definedName name="ccccc" hidden="1">{"TAB1",#N/A,TRUE,"GENERAL";"TAB2",#N/A,TRUE,"GENERAL";"TAB3",#N/A,TRUE,"GENERAL";"TAB4",#N/A,TRUE,"GENERAL";"TAB5",#N/A,TRUE,"GENERAL"}</definedName>
    <definedName name="CCCCCC" localSheetId="11">'[67]A. P. U.'!#REF!</definedName>
    <definedName name="CCCCCC" localSheetId="12">'[67]A. P. U.'!#REF!</definedName>
    <definedName name="CCCCCC">'[67]A. P. U.'!#REF!</definedName>
    <definedName name="CCT" localSheetId="11">#REF!</definedName>
    <definedName name="CCT">#REF!</definedName>
    <definedName name="ccto210" localSheetId="11">#REF!</definedName>
    <definedName name="ccto210" localSheetId="12">#REF!</definedName>
    <definedName name="ccto210">#REF!</definedName>
    <definedName name="cd">[68]Hoja1!$C$81</definedName>
    <definedName name="CD454JH">'BASE 2'!$D$387</definedName>
    <definedName name="cdcdc" localSheetId="12" hidden="1">{"via1",#N/A,TRUE,"general";"via2",#N/A,TRUE,"general";"via3",#N/A,TRUE,"general"}</definedName>
    <definedName name="cdcdc" hidden="1">{"via1",#N/A,TRUE,"general";"via2",#N/A,TRUE,"general";"via3",#N/A,TRUE,"general"}</definedName>
    <definedName name="CDctrl">[50]CDItem!$G$8</definedName>
    <definedName name="CDE" localSheetId="11">#REF!</definedName>
    <definedName name="CDE">#REF!</definedName>
    <definedName name="cdfgrtfd" localSheetId="11" hidden="1">#REF!</definedName>
    <definedName name="cdfgrtfd" hidden="1">#REF!</definedName>
    <definedName name="ceerf" localSheetId="12" hidden="1">{"TAB1",#N/A,TRUE,"GENERAL";"TAB2",#N/A,TRUE,"GENERAL";"TAB3",#N/A,TRUE,"GENERAL";"TAB4",#N/A,TRUE,"GENERAL";"TAB5",#N/A,TRUE,"GENERAL"}</definedName>
    <definedName name="ceerf" hidden="1">{"TAB1",#N/A,TRUE,"GENERAL";"TAB2",#N/A,TRUE,"GENERAL";"TAB3",#N/A,TRUE,"GENERAL";"TAB4",#N/A,TRUE,"GENERAL";"TAB5",#N/A,TRUE,"GENERAL"}</definedName>
    <definedName name="CEMEG" localSheetId="8">[15]BASE2!$D$67</definedName>
    <definedName name="CEMEG" localSheetId="9">[15]BASE2!$D$67</definedName>
    <definedName name="CEMEG">'BASE 2'!$D$60</definedName>
    <definedName name="CEMENTO" localSheetId="12">[69]Insum!$A$3:$H$63</definedName>
    <definedName name="CEMENTO">[70]Insum!$A$3:$H$63</definedName>
    <definedName name="CGDI01" localSheetId="11">[11]Tablas!#REF!</definedName>
    <definedName name="CGDI01">[11]Tablas!#REF!</definedName>
    <definedName name="CGDI02" localSheetId="11">[11]Tablas!#REF!</definedName>
    <definedName name="CGDI02">[11]Tablas!#REF!</definedName>
    <definedName name="CGDI03" localSheetId="11">[11]Tablas!#REF!</definedName>
    <definedName name="CGDI03">[11]Tablas!#REF!</definedName>
    <definedName name="CGDI04" localSheetId="11">[11]Tablas!#REF!</definedName>
    <definedName name="CGDI04">[11]Tablas!#REF!</definedName>
    <definedName name="CGDI05" localSheetId="11">[11]Tablas!#REF!</definedName>
    <definedName name="CGDI05">[11]Tablas!#REF!</definedName>
    <definedName name="CGDI06" localSheetId="11">[11]Tablas!#REF!</definedName>
    <definedName name="CGDI06">[11]Tablas!#REF!</definedName>
    <definedName name="CGDI07" localSheetId="11">[11]Tablas!#REF!</definedName>
    <definedName name="CGDI07">[11]Tablas!#REF!</definedName>
    <definedName name="CGDI08" localSheetId="11">[11]Tablas!#REF!</definedName>
    <definedName name="CGDI08">[11]Tablas!#REF!</definedName>
    <definedName name="CGEX01" localSheetId="11">[11]Tablas!#REF!</definedName>
    <definedName name="CGEX01">[11]Tablas!#REF!</definedName>
    <definedName name="CGEX02" localSheetId="11">[11]Tablas!#REF!</definedName>
    <definedName name="CGEX02">[11]Tablas!#REF!</definedName>
    <definedName name="CGEX031" localSheetId="11">[11]Tablas!#REF!</definedName>
    <definedName name="CGEX031">[11]Tablas!#REF!</definedName>
    <definedName name="CGEX04" localSheetId="11">[11]Tablas!#REF!</definedName>
    <definedName name="CGEX04">[11]Tablas!#REF!</definedName>
    <definedName name="CGFI011" localSheetId="11">[11]Tablas!#REF!</definedName>
    <definedName name="CGFI011">[11]Tablas!#REF!</definedName>
    <definedName name="CGFI012" localSheetId="11">[11]Tablas!#REF!</definedName>
    <definedName name="CGFI012">[11]Tablas!#REF!</definedName>
    <definedName name="CGFI021" localSheetId="11">[11]Tablas!#REF!</definedName>
    <definedName name="CGFI021">[11]Tablas!#REF!</definedName>
    <definedName name="CGFI022" localSheetId="11">[11]Tablas!#REF!</definedName>
    <definedName name="CGFI022">[11]Tablas!#REF!</definedName>
    <definedName name="CGFI023" localSheetId="11">[11]Tablas!#REF!</definedName>
    <definedName name="CGFI023">[11]Tablas!#REF!</definedName>
    <definedName name="CGFI024" localSheetId="11">[11]Tablas!#REF!</definedName>
    <definedName name="CGFI024">[11]Tablas!#REF!</definedName>
    <definedName name="CGFI031" localSheetId="11">[11]Tablas!#REF!</definedName>
    <definedName name="CGFI031">[11]Tablas!#REF!</definedName>
    <definedName name="CGFI032" localSheetId="11">[11]Tablas!#REF!</definedName>
    <definedName name="CGFI032">[11]Tablas!#REF!</definedName>
    <definedName name="CGFI0331" localSheetId="11">[11]Tablas!#REF!</definedName>
    <definedName name="CGFI0331">[11]Tablas!#REF!</definedName>
    <definedName name="CGFI0332" localSheetId="11">[11]Tablas!#REF!</definedName>
    <definedName name="CGFI0332">[11]Tablas!#REF!</definedName>
    <definedName name="CGFI0333" localSheetId="11">[11]Tablas!#REF!</definedName>
    <definedName name="CGFI0333">[11]Tablas!#REF!</definedName>
    <definedName name="CGFI0334" localSheetId="11">[11]Tablas!#REF!</definedName>
    <definedName name="CGFI0334">[11]Tablas!#REF!</definedName>
    <definedName name="CGFI0335" localSheetId="11">[11]Tablas!#REF!</definedName>
    <definedName name="CGFI0335">[11]Tablas!#REF!</definedName>
    <definedName name="CGFI0341" localSheetId="11">[11]Tablas!#REF!</definedName>
    <definedName name="CGFI0341">[11]Tablas!#REF!</definedName>
    <definedName name="CGFI0343" localSheetId="11">[11]Tablas!#REF!</definedName>
    <definedName name="CGFI0343">[11]Tablas!#REF!</definedName>
    <definedName name="CGFI0344" localSheetId="11">[11]Tablas!#REF!</definedName>
    <definedName name="CGFI0344">[11]Tablas!#REF!</definedName>
    <definedName name="CGPR01" localSheetId="11">[11]Tablas!#REF!</definedName>
    <definedName name="CGPR01">[11]Tablas!#REF!</definedName>
    <definedName name="CGPR021" localSheetId="11">[11]Tablas!#REF!</definedName>
    <definedName name="CGPR021">[11]Tablas!#REF!</definedName>
    <definedName name="CGPR022" localSheetId="11">[11]Tablas!#REF!</definedName>
    <definedName name="CGPR022">[11]Tablas!#REF!</definedName>
    <definedName name="CGPR023" localSheetId="11">[11]Tablas!#REF!</definedName>
    <definedName name="CGPR023">[11]Tablas!#REF!</definedName>
    <definedName name="CGPR024" localSheetId="11">[11]Tablas!#REF!</definedName>
    <definedName name="CGPR024">[11]Tablas!#REF!</definedName>
    <definedName name="CGPR031" localSheetId="11">[11]Tablas!#REF!</definedName>
    <definedName name="CGPR031">[11]Tablas!#REF!</definedName>
    <definedName name="CGPR032" localSheetId="11">[11]Tablas!#REF!</definedName>
    <definedName name="CGPR032">[11]Tablas!#REF!</definedName>
    <definedName name="CGPR0331" localSheetId="11">[11]Tablas!#REF!</definedName>
    <definedName name="CGPR0331">[11]Tablas!#REF!</definedName>
    <definedName name="CGPR0332" localSheetId="11">[11]Tablas!#REF!</definedName>
    <definedName name="CGPR0332">[11]Tablas!#REF!</definedName>
    <definedName name="CGPR0333" localSheetId="11">[11]Tablas!#REF!</definedName>
    <definedName name="CGPR0333">[11]Tablas!#REF!</definedName>
    <definedName name="CGPR041" localSheetId="11">[11]Tablas!#REF!</definedName>
    <definedName name="CGPR041">[11]Tablas!#REF!</definedName>
    <definedName name="CGPR042" localSheetId="11">[11]Tablas!#REF!</definedName>
    <definedName name="CGPR042">[11]Tablas!#REF!</definedName>
    <definedName name="CGPR043" localSheetId="11">[11]Tablas!#REF!</definedName>
    <definedName name="CGPR043">[11]Tablas!#REF!</definedName>
    <definedName name="CGPR051" localSheetId="11">[11]Tablas!#REF!</definedName>
    <definedName name="CGPR051">[11]Tablas!#REF!</definedName>
    <definedName name="CGPR052" localSheetId="11">[11]Tablas!#REF!</definedName>
    <definedName name="CGPR052">[11]Tablas!#REF!</definedName>
    <definedName name="CGPR0531" localSheetId="11">[11]Tablas!#REF!</definedName>
    <definedName name="CGPR0531">[11]Tablas!#REF!</definedName>
    <definedName name="CGPR0532" localSheetId="11">[11]Tablas!#REF!</definedName>
    <definedName name="CGPR0532">[11]Tablas!#REF!</definedName>
    <definedName name="CGPR0533" localSheetId="11">[11]Tablas!#REF!</definedName>
    <definedName name="CGPR0533">[11]Tablas!#REF!</definedName>
    <definedName name="CGPR0534" localSheetId="11">[11]Tablas!#REF!</definedName>
    <definedName name="CGPR0534">[11]Tablas!#REF!</definedName>
    <definedName name="CGPR0541" localSheetId="11">[11]Tablas!#REF!</definedName>
    <definedName name="CGPR0541">[11]Tablas!#REF!</definedName>
    <definedName name="CGPR0542" localSheetId="11">[11]Tablas!#REF!</definedName>
    <definedName name="CGPR0542">[11]Tablas!#REF!</definedName>
    <definedName name="CGPR0543" localSheetId="11">[11]Tablas!#REF!</definedName>
    <definedName name="CGPR0543">[11]Tablas!#REF!</definedName>
    <definedName name="CGPR061" localSheetId="11">[11]Tablas!#REF!</definedName>
    <definedName name="CGPR061">[11]Tablas!#REF!</definedName>
    <definedName name="CGPR062" localSheetId="11">[11]Tablas!#REF!</definedName>
    <definedName name="CGPR062">[11]Tablas!#REF!</definedName>
    <definedName name="CGPR0621" localSheetId="11">[11]Tablas!#REF!</definedName>
    <definedName name="CGPR0621">[11]Tablas!#REF!</definedName>
    <definedName name="CGPR0622" localSheetId="11">[11]Tablas!#REF!</definedName>
    <definedName name="CGPR0622">[11]Tablas!#REF!</definedName>
    <definedName name="CGPR0631" localSheetId="11">[11]Tablas!#REF!</definedName>
    <definedName name="CGPR0631">[11]Tablas!#REF!</definedName>
    <definedName name="CGPR0632" localSheetId="11">[11]Tablas!#REF!</definedName>
    <definedName name="CGPR0632">[11]Tablas!#REF!</definedName>
    <definedName name="CGPR0633" localSheetId="11">[11]Tablas!#REF!</definedName>
    <definedName name="CGPR0633">[11]Tablas!#REF!</definedName>
    <definedName name="CGPR0641" localSheetId="11">[11]Tablas!#REF!</definedName>
    <definedName name="CGPR0641">[11]Tablas!#REF!</definedName>
    <definedName name="CGPR0642" localSheetId="11">[11]Tablas!#REF!</definedName>
    <definedName name="CGPR0642">[11]Tablas!#REF!</definedName>
    <definedName name="CGPR0643" localSheetId="11">[11]Tablas!#REF!</definedName>
    <definedName name="CGPR0643">[11]Tablas!#REF!</definedName>
    <definedName name="CGRF01" localSheetId="11">[11]Tablas!#REF!</definedName>
    <definedName name="CGRF01">[11]Tablas!#REF!</definedName>
    <definedName name="CGRF02" localSheetId="11">[11]Tablas!#REF!</definedName>
    <definedName name="CGRF02">[11]Tablas!#REF!</definedName>
    <definedName name="CGRF031" localSheetId="11">[11]Tablas!#REF!</definedName>
    <definedName name="CGRF031">[11]Tablas!#REF!</definedName>
    <definedName name="CGRF032" localSheetId="11">[11]Tablas!#REF!</definedName>
    <definedName name="CGRF032">[11]Tablas!#REF!</definedName>
    <definedName name="CGRF0331" localSheetId="11">[11]Tablas!#REF!</definedName>
    <definedName name="CGRF0331">[11]Tablas!#REF!</definedName>
    <definedName name="CGRF0332" localSheetId="11">[11]Tablas!#REF!</definedName>
    <definedName name="CGRF0332">[11]Tablas!#REF!</definedName>
    <definedName name="CGRF0333" localSheetId="11">[11]Tablas!#REF!</definedName>
    <definedName name="CGRF0333">[11]Tablas!#REF!</definedName>
    <definedName name="CGRF0334" localSheetId="11">[11]Tablas!#REF!</definedName>
    <definedName name="CGRF0334">[11]Tablas!#REF!</definedName>
    <definedName name="CGRF0335" localSheetId="11">[11]Tablas!#REF!</definedName>
    <definedName name="CGRF0335">[11]Tablas!#REF!</definedName>
    <definedName name="CGRF0336" localSheetId="11">[11]Tablas!#REF!</definedName>
    <definedName name="CGRF0336">[11]Tablas!#REF!</definedName>
    <definedName name="CGRF0337" localSheetId="11">[11]Tablas!#REF!</definedName>
    <definedName name="CGRF0337">[11]Tablas!#REF!</definedName>
    <definedName name="CGRF0338" localSheetId="11">[11]Tablas!#REF!</definedName>
    <definedName name="CGRF0338">[11]Tablas!#REF!</definedName>
    <definedName name="CGRF0341" localSheetId="11">[11]Tablas!#REF!</definedName>
    <definedName name="CGRF0341">[11]Tablas!#REF!</definedName>
    <definedName name="CGRF0342" localSheetId="11">[11]Tablas!#REF!</definedName>
    <definedName name="CGRF0342">[11]Tablas!#REF!</definedName>
    <definedName name="CGRF0343" localSheetId="11">[11]Tablas!#REF!</definedName>
    <definedName name="CGRF0343">[11]Tablas!#REF!</definedName>
    <definedName name="CGRF041" localSheetId="11">[11]Tablas!#REF!</definedName>
    <definedName name="CGRF041">[11]Tablas!#REF!</definedName>
    <definedName name="CGRF042" localSheetId="11">[11]Tablas!#REF!</definedName>
    <definedName name="CGRF042">[11]Tablas!#REF!</definedName>
    <definedName name="CGRF0431" localSheetId="11">[11]Tablas!#REF!</definedName>
    <definedName name="CGRF0431">[11]Tablas!#REF!</definedName>
    <definedName name="CGRF0432" localSheetId="11">[11]Tablas!#REF!</definedName>
    <definedName name="CGRF0432">[11]Tablas!#REF!</definedName>
    <definedName name="CGRF0433" localSheetId="11">[11]Tablas!#REF!</definedName>
    <definedName name="CGRF0433">[11]Tablas!#REF!</definedName>
    <definedName name="CGRF0441" localSheetId="11">[11]Tablas!#REF!</definedName>
    <definedName name="CGRF0441">[11]Tablas!#REF!</definedName>
    <definedName name="CGRF0442" localSheetId="11">[11]Tablas!#REF!</definedName>
    <definedName name="CGRF0442">[11]Tablas!#REF!</definedName>
    <definedName name="CGRF0443" localSheetId="11">[11]Tablas!#REF!</definedName>
    <definedName name="CGRF0443">[11]Tablas!#REF!</definedName>
    <definedName name="CGSM01" localSheetId="11">[11]Tablas!#REF!</definedName>
    <definedName name="CGSM01">[11]Tablas!#REF!</definedName>
    <definedName name="CGSM02" localSheetId="11">[11]Tablas!#REF!</definedName>
    <definedName name="CGSM02">[11]Tablas!#REF!</definedName>
    <definedName name="CGSM03" localSheetId="11">[11]Tablas!#REF!</definedName>
    <definedName name="CGSM03">[11]Tablas!#REF!</definedName>
    <definedName name="CGSM04" localSheetId="11">[11]Tablas!#REF!</definedName>
    <definedName name="CGSM04">[11]Tablas!#REF!</definedName>
    <definedName name="CGSM05" localSheetId="11">[11]Tablas!#REF!</definedName>
    <definedName name="CGSM05">[11]Tablas!#REF!</definedName>
    <definedName name="CGSO011" localSheetId="11">[11]Tablas!#REF!</definedName>
    <definedName name="CGSO011">[11]Tablas!#REF!</definedName>
    <definedName name="CGSO012" localSheetId="11">[11]Tablas!#REF!</definedName>
    <definedName name="CGSO012">[11]Tablas!#REF!</definedName>
    <definedName name="CGSO013" localSheetId="11">[11]Tablas!#REF!</definedName>
    <definedName name="CGSO013">[11]Tablas!#REF!</definedName>
    <definedName name="CGSO014" localSheetId="11">[11]Tablas!#REF!</definedName>
    <definedName name="CGSO014">[11]Tablas!#REF!</definedName>
    <definedName name="CGSO02" localSheetId="11">[11]Tablas!#REF!</definedName>
    <definedName name="CGSO02">[11]Tablas!#REF!</definedName>
    <definedName name="CGSO031" localSheetId="11">[11]Tablas!#REF!</definedName>
    <definedName name="CGSO031">[11]Tablas!#REF!</definedName>
    <definedName name="CGSO032" localSheetId="11">[11]Tablas!#REF!</definedName>
    <definedName name="CGSO032">[11]Tablas!#REF!</definedName>
    <definedName name="CGSO033" localSheetId="11">[11]Tablas!#REF!</definedName>
    <definedName name="CGSO033">[11]Tablas!#REF!</definedName>
    <definedName name="CGSO034" localSheetId="11">[11]Tablas!#REF!</definedName>
    <definedName name="CGSO034">[11]Tablas!#REF!</definedName>
    <definedName name="CGSO041" localSheetId="11">[11]Tablas!#REF!</definedName>
    <definedName name="CGSO041">[11]Tablas!#REF!</definedName>
    <definedName name="CGSO042" localSheetId="11">[11]Tablas!#REF!</definedName>
    <definedName name="CGSO042">[11]Tablas!#REF!</definedName>
    <definedName name="CGSO043" localSheetId="11">[11]Tablas!#REF!</definedName>
    <definedName name="CGSO043">[11]Tablas!#REF!</definedName>
    <definedName name="CGSO044" localSheetId="11">[11]Tablas!#REF!</definedName>
    <definedName name="CGSO044">[11]Tablas!#REF!</definedName>
    <definedName name="CGSO051" localSheetId="11">[11]Tablas!#REF!</definedName>
    <definedName name="CGSO051">[11]Tablas!#REF!</definedName>
    <definedName name="CGSO052" localSheetId="11">[11]Tablas!#REF!</definedName>
    <definedName name="CGSO052">[11]Tablas!#REF!</definedName>
    <definedName name="CGSO053" localSheetId="11">[11]Tablas!#REF!</definedName>
    <definedName name="CGSO053">[11]Tablas!#REF!</definedName>
    <definedName name="CGSO054" localSheetId="11">[11]Tablas!#REF!</definedName>
    <definedName name="CGSO054">[11]Tablas!#REF!</definedName>
    <definedName name="CGSO055" localSheetId="11">[11]Tablas!#REF!</definedName>
    <definedName name="CGSO055">[11]Tablas!#REF!</definedName>
    <definedName name="CGSO061" localSheetId="11">[11]Tablas!#REF!</definedName>
    <definedName name="CGSO061">[11]Tablas!#REF!</definedName>
    <definedName name="CGSO062" localSheetId="11">[11]Tablas!#REF!</definedName>
    <definedName name="CGSO062">[11]Tablas!#REF!</definedName>
    <definedName name="CGSO063" localSheetId="11">[11]Tablas!#REF!</definedName>
    <definedName name="CGSO063">[11]Tablas!#REF!</definedName>
    <definedName name="CGSO064" localSheetId="11">[11]Tablas!#REF!</definedName>
    <definedName name="CGSO064">[11]Tablas!#REF!</definedName>
    <definedName name="CGTR011" localSheetId="11">[11]Tablas!#REF!</definedName>
    <definedName name="CGTR011">[11]Tablas!#REF!</definedName>
    <definedName name="CGTR012" localSheetId="11">[11]Tablas!#REF!</definedName>
    <definedName name="CGTR012">[11]Tablas!#REF!</definedName>
    <definedName name="CGTR021" localSheetId="11">[11]Tablas!#REF!</definedName>
    <definedName name="CGTR021">[11]Tablas!#REF!</definedName>
    <definedName name="CGTR022" localSheetId="11">[11]Tablas!#REF!</definedName>
    <definedName name="CGTR022">[11]Tablas!#REF!</definedName>
    <definedName name="CGTR023" localSheetId="11">[11]Tablas!#REF!</definedName>
    <definedName name="CGTR023">[11]Tablas!#REF!</definedName>
    <definedName name="CGTR031" localSheetId="11">[11]Tablas!#REF!</definedName>
    <definedName name="CGTR031">[11]Tablas!#REF!</definedName>
    <definedName name="CGTR032" localSheetId="11">[11]Tablas!#REF!</definedName>
    <definedName name="CGTR032">[11]Tablas!#REF!</definedName>
    <definedName name="CGTR033" localSheetId="11">[11]Tablas!#REF!</definedName>
    <definedName name="CGTR033">[11]Tablas!#REF!</definedName>
    <definedName name="CGTR034" localSheetId="11">[11]Tablas!#REF!</definedName>
    <definedName name="CGTR034">[11]Tablas!#REF!</definedName>
    <definedName name="CGTR035" localSheetId="11">[11]Tablas!#REF!</definedName>
    <definedName name="CGTR035">[11]Tablas!#REF!</definedName>
    <definedName name="CGTR036" localSheetId="11">[11]Tablas!#REF!</definedName>
    <definedName name="CGTR036">[11]Tablas!#REF!</definedName>
    <definedName name="CGTR037" localSheetId="11">[11]Tablas!#REF!</definedName>
    <definedName name="CGTR037">[11]Tablas!#REF!</definedName>
    <definedName name="CGTR038" localSheetId="11">[11]Tablas!#REF!</definedName>
    <definedName name="CGTR038">[11]Tablas!#REF!</definedName>
    <definedName name="CGTR039" localSheetId="11">[11]Tablas!#REF!</definedName>
    <definedName name="CGTR039">[11]Tablas!#REF!</definedName>
    <definedName name="CGTR041" localSheetId="11">[11]Tablas!#REF!</definedName>
    <definedName name="CGTR041">[11]Tablas!#REF!</definedName>
    <definedName name="CGTR042" localSheetId="11">[11]Tablas!#REF!</definedName>
    <definedName name="CGTR042">[11]Tablas!#REF!</definedName>
    <definedName name="CGTR043" localSheetId="11">[11]Tablas!#REF!</definedName>
    <definedName name="CGTR043">[11]Tablas!#REF!</definedName>
    <definedName name="CGTR044" localSheetId="11">[11]Tablas!#REF!</definedName>
    <definedName name="CGTR044">[11]Tablas!#REF!</definedName>
    <definedName name="CGTR051" localSheetId="11">[11]Tablas!#REF!</definedName>
    <definedName name="CGTR051">[11]Tablas!#REF!</definedName>
    <definedName name="Ch" localSheetId="11">#REF!</definedName>
    <definedName name="Ch">#REF!</definedName>
    <definedName name="CHAPA">'BASE 2'!$D$443</definedName>
    <definedName name="CHK_PU" localSheetId="11">'[3]7422CW00'!#REF!</definedName>
    <definedName name="CHK_PU">'[3]7422CW00'!#REF!</definedName>
    <definedName name="CHP" localSheetId="11">#REF!</definedName>
    <definedName name="CHP">#REF!</definedName>
    <definedName name="CINT" localSheetId="8">[15]BASE2!$D$493</definedName>
    <definedName name="CINT" localSheetId="9">[15]BASE2!$D$493</definedName>
    <definedName name="CINT">'BASE 2'!$D$742</definedName>
    <definedName name="CISNEROS" localSheetId="11">#REF!</definedName>
    <definedName name="CISNEROS">#REF!</definedName>
    <definedName name="cjsa" localSheetId="11" hidden="1">#REF!</definedName>
    <definedName name="cjsa" hidden="1">#REF!</definedName>
    <definedName name="CL" localSheetId="11">#REF!</definedName>
    <definedName name="CL">#REF!</definedName>
    <definedName name="CLAVO" localSheetId="8">[15]BASE2!$D$82</definedName>
    <definedName name="CLAVO" localSheetId="9">[15]BASE2!$D$82</definedName>
    <definedName name="CLAVO">'BASE 2'!$D$75</definedName>
    <definedName name="cmf">[71]Hoja1!$C$27</definedName>
    <definedName name="CMIBLE" localSheetId="11">#REF!</definedName>
    <definedName name="CMIBLE">#REF!</definedName>
    <definedName name="CMIBLE1" localSheetId="11">#REF!</definedName>
    <definedName name="CMIBLE1">#REF!</definedName>
    <definedName name="CMMO" localSheetId="8">[15]BASE2!$D$461</definedName>
    <definedName name="CMMO" localSheetId="9">[15]BASE2!$D$461</definedName>
    <definedName name="CMMO">'BASE 2'!$D$708</definedName>
    <definedName name="CO22JH">'BASE 2'!$D$390</definedName>
    <definedName name="CO23JH">'BASE 2'!$D$391</definedName>
    <definedName name="CO456JH" localSheetId="8">[15]BASE2!$D$334</definedName>
    <definedName name="CO456JH" localSheetId="9">[15]BASE2!$D$334</definedName>
    <definedName name="CO456JH">'BASE 2'!$D$389</definedName>
    <definedName name="CO458JH">'BASE 2'!$D$384</definedName>
    <definedName name="CO45S2">'BASE 2'!$D$247</definedName>
    <definedName name="CO45S3">'BASE 2'!$D$248</definedName>
    <definedName name="CO45S4">'BASE 2'!$D$249</definedName>
    <definedName name="CO45S6">'BASE 2'!$D$250</definedName>
    <definedName name="CO902JH">'BASE 2'!$D$379</definedName>
    <definedName name="CO903JH">'BASE 2'!$D$380</definedName>
    <definedName name="CO904JH">'BASE 2'!$D$381</definedName>
    <definedName name="CO906JH" localSheetId="8">[15]BASE2!$D$327</definedName>
    <definedName name="CO906JH" localSheetId="9">[15]BASE2!$D$327</definedName>
    <definedName name="CO906JH">'BASE 2'!$D$382</definedName>
    <definedName name="CO908JH">'BASE 2'!$D$383</definedName>
    <definedName name="CO90P4">'BASE 2'!$D$245</definedName>
    <definedName name="CO90S2">'BASE 2'!$D$240</definedName>
    <definedName name="CO90S3">'BASE 2'!$D$241</definedName>
    <definedName name="CO90S4">'BASE 2'!$D$242</definedName>
    <definedName name="CO90S6">'BASE 2'!$D$243</definedName>
    <definedName name="CO910JH">'BASE 2'!$D$385</definedName>
    <definedName name="Cod" localSheetId="12">#REF!</definedName>
    <definedName name="COD">'BASE 2'!$D$757</definedName>
    <definedName name="CodActEco">[10]EMPRESA!$F$10</definedName>
    <definedName name="codigo" localSheetId="11">#REF!,#REF!</definedName>
    <definedName name="codigo">#REF!,#REF!</definedName>
    <definedName name="CodigoInversion" localSheetId="11">#REF!</definedName>
    <definedName name="CodigoInversion">#REF!</definedName>
    <definedName name="CodigoProyecto" localSheetId="11">#REF!</definedName>
    <definedName name="CodigoProyecto">#REF!</definedName>
    <definedName name="Codigos" localSheetId="11">#REF!</definedName>
    <definedName name="Codigos">#REF!</definedName>
    <definedName name="CODOS" localSheetId="11">#REF!</definedName>
    <definedName name="CODOS">#REF!</definedName>
    <definedName name="cogvsiruj" localSheetId="11">[49]COMPARATIVO!#REF!</definedName>
    <definedName name="cogvsiruj">[49]COMPARATIVO!#REF!</definedName>
    <definedName name="COLON" localSheetId="11">#REF!</definedName>
    <definedName name="COLON">#REF!</definedName>
    <definedName name="ColTap">'[22]Coloc. e Interc. Tapones'!$E$1:$E$65536</definedName>
    <definedName name="Com">'[56]LIQUIDA-NOMINA'!$AL$4</definedName>
    <definedName name="COMIDA" localSheetId="11">#REF!</definedName>
    <definedName name="COMIDA">#REF!</definedName>
    <definedName name="COMPR" localSheetId="8">[15]BASE2!$D$460</definedName>
    <definedName name="COMPR" localSheetId="9">[15]BASE2!$D$460</definedName>
    <definedName name="COMPR">'BASE 2'!$D$703</definedName>
    <definedName name="Compresores" localSheetId="11">#REF!</definedName>
    <definedName name="Compresores">#REF!</definedName>
    <definedName name="CONM1" localSheetId="8">[15]BASE2!$D$464</definedName>
    <definedName name="CONM1" localSheetId="9">[15]BASE2!$D$464</definedName>
    <definedName name="CONM1">'BASE 2'!$D$711</definedName>
    <definedName name="CONM2" localSheetId="11">'BASE 2'!#REF!</definedName>
    <definedName name="CONM2">'BASE 2'!#REF!</definedName>
    <definedName name="CONMX" localSheetId="8">[15]BASE2!$D$514</definedName>
    <definedName name="CONMX" localSheetId="9">[15]BASE2!$D$514</definedName>
    <definedName name="CONMX">'BASE 2'!$D$763</definedName>
    <definedName name="ConseqCat">0</definedName>
    <definedName name="ConseqForMitRisk">3</definedName>
    <definedName name="CONT">'[72]DATOS CONTRATO'!$G$13</definedName>
    <definedName name="Contratante">'[10]DATOS CONTRATO'!$E$6</definedName>
    <definedName name="CONTRATO">[56]CONTRATO!$E$8</definedName>
    <definedName name="COPIA" localSheetId="12">'Formulario No. 1'!ERR</definedName>
    <definedName name="COPIA">[0]!ERR</definedName>
    <definedName name="COPIA1" localSheetId="11">#REF!</definedName>
    <definedName name="COPIA1">#REF!</definedName>
    <definedName name="COPIA2" localSheetId="11">#REF!</definedName>
    <definedName name="COPIA2">#REF!</definedName>
    <definedName name="copiao4" localSheetId="12">'Formulario No. 1'!ERR</definedName>
    <definedName name="copiao4">[0]!ERR</definedName>
    <definedName name="corri" localSheetId="12">'Formulario No. 1'!ERR</definedName>
    <definedName name="corri">[0]!ERR</definedName>
    <definedName name="CORTA">'BASE 2'!$D$726</definedName>
    <definedName name="CORTACT" localSheetId="8">[15]BASE2!$D$523</definedName>
    <definedName name="CORTACT" localSheetId="9">[15]BASE2!$D$523</definedName>
    <definedName name="CORTACT">'BASE 2'!$D$772</definedName>
    <definedName name="COSTO_FRENTE">[73]BITACORA!$E$1:$E$65536</definedName>
    <definedName name="costo2" localSheetId="11" hidden="1">#REF!</definedName>
    <definedName name="costo2" hidden="1">#REF!</definedName>
    <definedName name="COSTODIRECTO" localSheetId="11">#REF!</definedName>
    <definedName name="COSTODIRECTO" localSheetId="12">#REF!</definedName>
    <definedName name="COSTODIRECTO">#REF!</definedName>
    <definedName name="COSTOS">[74]TARIFAS!$A$1:$F$52</definedName>
    <definedName name="CP452L">'BASE 2'!$D$477</definedName>
    <definedName name="CP453L">'BASE 2'!$D$476</definedName>
    <definedName name="CP902L">'BASE 2'!$D$478</definedName>
    <definedName name="CP903L">'BASE 2'!$D$479</definedName>
    <definedName name="CP904L" localSheetId="8">[15]BASE2!$D$425</definedName>
    <definedName name="CP904L" localSheetId="9">[15]BASE2!$D$425</definedName>
    <definedName name="CP904L">'BASE 2'!$D$480</definedName>
    <definedName name="CR22JH">'BASE 2'!$D$342</definedName>
    <definedName name="CR32JH">'BASE 2'!$D$344</definedName>
    <definedName name="CR33JH">'BASE 2'!$D$343</definedName>
    <definedName name="CR42JH">'BASE 2'!$D$341</definedName>
    <definedName name="CR44JH">'BASE 2'!$D$340</definedName>
    <definedName name="CR62JH">'BASE 2'!$D$345</definedName>
    <definedName name="CRAS">'BASE 2'!$D$72</definedName>
    <definedName name="CRIT" localSheetId="11">#REF!</definedName>
    <definedName name="CRIT">#REF!</definedName>
    <definedName name="CRIT_APIAY" localSheetId="11">#REF!</definedName>
    <definedName name="CRIT_APIAY">#REF!</definedName>
    <definedName name="CRIT_CHICHI" localSheetId="11">#REF!</definedName>
    <definedName name="CRIT_CHICHI">#REF!</definedName>
    <definedName name="CRIT_CHICHI1" localSheetId="11">#REF!</definedName>
    <definedName name="CRIT_CHICHI1">#REF!</definedName>
    <definedName name="CRIT_DOL" localSheetId="11">#REF!</definedName>
    <definedName name="CRIT_DOL">#REF!</definedName>
    <definedName name="CRIT_DOL1" localSheetId="11">#REF!</definedName>
    <definedName name="CRIT_DOL1">#REF!</definedName>
    <definedName name="CRIT1" localSheetId="11">#REF!</definedName>
    <definedName name="CRIT1">#REF!</definedName>
    <definedName name="Criteria_MI">[75]civ_roma!$C$803:$G$804</definedName>
    <definedName name="Criterios_IM" localSheetId="11">'[3]7422CW00'!#REF!</definedName>
    <definedName name="Criterios_IM">'[3]7422CW00'!#REF!</definedName>
    <definedName name="Criticidad">[76]Tabla!$A$1:$A$5</definedName>
    <definedName name="cs" localSheetId="11">#REF!</definedName>
    <definedName name="cs">#REF!</definedName>
    <definedName name="CS_AVG_SIZE" localSheetId="11">#REF!</definedName>
    <definedName name="CS_AVG_SIZE">#REF!</definedName>
    <definedName name="CS_WELDING" localSheetId="11">#REF!</definedName>
    <definedName name="CS_WELDING">#REF!</definedName>
    <definedName name="CSIKA" localSheetId="8">[15]BASE2!$D$370</definedName>
    <definedName name="CSIKA" localSheetId="9">[15]BASE2!$D$370</definedName>
    <definedName name="CSIKA">'BASE 2'!$D$425</definedName>
    <definedName name="CT070KG">'BASE 2'!$D$45</definedName>
    <definedName name="CT080KG" localSheetId="8">[15]BASE2!$D$46</definedName>
    <definedName name="CT080KG" localSheetId="9">[15]BASE2!$D$46</definedName>
    <definedName name="CT080KG">'BASE 2'!$D$44</definedName>
    <definedName name="CT110KG">'BASE 2'!$D$43</definedName>
    <definedName name="CT140KG" localSheetId="8">[15]BASE2!$D$44</definedName>
    <definedName name="CT140KG" localSheetId="9">[15]BASE2!$D$44</definedName>
    <definedName name="CT140KG">'BASE 2'!$D$42</definedName>
    <definedName name="CT170KG" localSheetId="8">[15]BASE2!$D$43</definedName>
    <definedName name="CT170KG" localSheetId="9">[15]BASE2!$D$43</definedName>
    <definedName name="CT170KG">'BASE 2'!$D$41</definedName>
    <definedName name="CT180KG" localSheetId="8">[15]BASE2!$D$42</definedName>
    <definedName name="CT180KG" localSheetId="9">[15]BASE2!$D$42</definedName>
    <definedName name="CT180KG">'BASE 2'!$D$40</definedName>
    <definedName name="CT210K">'[77]BASE CTOS'!$B$117</definedName>
    <definedName name="CT210KG" localSheetId="8">[15]BASE2!$D$41</definedName>
    <definedName name="CT210KG" localSheetId="9">[15]BASE2!$D$41</definedName>
    <definedName name="CT210KG">'BASE 2'!$D$39</definedName>
    <definedName name="CT245KG" localSheetId="8">[15]BASE2!$D$40</definedName>
    <definedName name="CT245KG" localSheetId="9">[15]BASE2!$D$40</definedName>
    <definedName name="CT245KG">'BASE 2'!$D$38</definedName>
    <definedName name="CT280_" localSheetId="8">[15]BASE2!$D$522</definedName>
    <definedName name="CT280_" localSheetId="9">[15]BASE2!$D$522</definedName>
    <definedName name="CT280_">'BASE 2'!$D$771</definedName>
    <definedName name="CT280KG" localSheetId="8">[15]BASE2!$D$39</definedName>
    <definedName name="CT280KG" localSheetId="9">[15]BASE2!$D$39</definedName>
    <definedName name="CT280KG">'BASE 2'!$D$37</definedName>
    <definedName name="CTA" localSheetId="11">#REF!</definedName>
    <definedName name="CTA" localSheetId="12">#REF!</definedName>
    <definedName name="CTA">#REF!</definedName>
    <definedName name="CTE" localSheetId="11">#REF!</definedName>
    <definedName name="CTE">#REF!</definedName>
    <definedName name="CTR" localSheetId="11">'[3]7422CW00'!#REF!</definedName>
    <definedName name="CTR">'[3]7422CW00'!#REF!</definedName>
    <definedName name="CTRPAG" localSheetId="11">'[3]7422CW00'!#REF!</definedName>
    <definedName name="CTRPAG">'[3]7422CW00'!#REF!</definedName>
    <definedName name="CUA44_">'BASE 2'!$D$448</definedName>
    <definedName name="CUAL" localSheetId="12">'Formulario No. 1'!ERR</definedName>
    <definedName name="CUAL">[0]!ERR</definedName>
    <definedName name="CUBS" localSheetId="11">#REF!</definedName>
    <definedName name="CUBS" localSheetId="12">#REF!</definedName>
    <definedName name="CUBS">#REF!</definedName>
    <definedName name="CUNET" localSheetId="12" hidden="1">{"via1",#N/A,TRUE,"general";"via2",#N/A,TRUE,"general";"via3",#N/A,TRUE,"general"}</definedName>
    <definedName name="CUNET" hidden="1">{"via1",#N/A,TRUE,"general";"via2",#N/A,TRUE,"general";"via3",#N/A,TRUE,"general"}</definedName>
    <definedName name="Customize" localSheetId="11">[66]!Customize</definedName>
    <definedName name="Customize">[66]!Customize</definedName>
    <definedName name="cv" localSheetId="11">#REF!</definedName>
    <definedName name="cv" localSheetId="12">#REF!</definedName>
    <definedName name="cv">#REF!</definedName>
    <definedName name="CVa">'[22]Cambio de Valv.'!$E$1:$E$65536</definedName>
    <definedName name="cvbcvbf" hidden="1">{#N/A,#N/A,TRUE,"INGENIERIA";#N/A,#N/A,TRUE,"COMPRAS";#N/A,#N/A,TRUE,"DIRECCION";#N/A,#N/A,TRUE,"RESUMEN"}</definedName>
    <definedName name="cvfvd" localSheetId="12" hidden="1">{"via1",#N/A,TRUE,"general";"via2",#N/A,TRUE,"general";"via3",#N/A,TRUE,"general"}</definedName>
    <definedName name="cvfvd" hidden="1">{"via1",#N/A,TRUE,"general";"via2",#N/A,TRUE,"general";"via3",#N/A,TRUE,"general"}</definedName>
    <definedName name="cvn" localSheetId="12" hidden="1">{"TAB1",#N/A,TRUE,"GENERAL";"TAB2",#N/A,TRUE,"GENERAL";"TAB3",#N/A,TRUE,"GENERAL";"TAB4",#N/A,TRUE,"GENERAL";"TAB5",#N/A,TRUE,"GENERAL"}</definedName>
    <definedName name="cvn" hidden="1">{"TAB1",#N/A,TRUE,"GENERAL";"TAB2",#N/A,TRUE,"GENERAL";"TAB3",#N/A,TRUE,"GENERAL";"TAB4",#N/A,TRUE,"GENERAL";"TAB5",#N/A,TRUE,"GENERAL"}</definedName>
    <definedName name="CVXC" localSheetId="12" hidden="1">{"via1",#N/A,TRUE,"general";"via2",#N/A,TRUE,"general";"via3",#N/A,TRUE,"general"}</definedName>
    <definedName name="CVXC" hidden="1">{"via1",#N/A,TRUE,"general";"via2",#N/A,TRUE,"general";"via3",#N/A,TRUE,"general"}</definedName>
    <definedName name="CYLL2">'BASE 2'!$D$414</definedName>
    <definedName name="CYLL3">'BASE 2'!$D$415</definedName>
    <definedName name="CYLL4">'BASE 2'!$D$416</definedName>
    <definedName name="CYLL6">'BASE 2'!$D$417</definedName>
    <definedName name="d" localSheetId="12" hidden="1">{"TAB1",#N/A,TRUE,"GENERAL";"TAB2",#N/A,TRUE,"GENERAL";"TAB3",#N/A,TRUE,"GENERAL";"TAB4",#N/A,TRUE,"GENERAL";"TAB5",#N/A,TRUE,"GENERAL"}</definedName>
    <definedName name="d" hidden="1">{"TAB1",#N/A,TRUE,"GENERAL";"TAB2",#N/A,TRUE,"GENERAL";"TAB3",#N/A,TRUE,"GENERAL";"TAB4",#N/A,TRUE,"GENERAL";"TAB5",#N/A,TRUE,"GENERAL"}</definedName>
    <definedName name="D_1" localSheetId="11">#REF!</definedName>
    <definedName name="D_1">#REF!</definedName>
    <definedName name="DAFT" localSheetId="11">#REF!</definedName>
    <definedName name="DAFT">#REF!</definedName>
    <definedName name="DANODO" localSheetId="11">#REF!</definedName>
    <definedName name="DANODO">#REF!</definedName>
    <definedName name="DANODOF" localSheetId="11">#REF!</definedName>
    <definedName name="DANODOF">#REF!</definedName>
    <definedName name="DANODOFT" localSheetId="11">#REF!</definedName>
    <definedName name="DANODOFT">#REF!</definedName>
    <definedName name="dario" localSheetId="11">'[38]GPI 526'!#REF!</definedName>
    <definedName name="dario" localSheetId="12">'[38]GPI 526'!#REF!</definedName>
    <definedName name="dario">'[38]GPI 526'!#REF!</definedName>
    <definedName name="DASD" localSheetId="12" hidden="1">{"TAB1",#N/A,TRUE,"GENERAL";"TAB2",#N/A,TRUE,"GENERAL";"TAB3",#N/A,TRUE,"GENERAL";"TAB4",#N/A,TRUE,"GENERAL";"TAB5",#N/A,TRUE,"GENERAL"}</definedName>
    <definedName name="DASD" hidden="1">{"TAB1",#N/A,TRUE,"GENERAL";"TAB2",#N/A,TRUE,"GENERAL";"TAB3",#N/A,TRUE,"GENERAL";"TAB4",#N/A,TRUE,"GENERAL";"TAB5",#N/A,TRUE,"GENERAL"}</definedName>
    <definedName name="Data" localSheetId="11">#REF!</definedName>
    <definedName name="Data">#REF!</definedName>
    <definedName name="data1" localSheetId="11">#REF!</definedName>
    <definedName name="data1">#REF!</definedName>
    <definedName name="data10" localSheetId="11">#REF!</definedName>
    <definedName name="data10">#REF!</definedName>
    <definedName name="data11" localSheetId="11">#REF!</definedName>
    <definedName name="data11">#REF!</definedName>
    <definedName name="data12" localSheetId="11">#REF!</definedName>
    <definedName name="data12">#REF!</definedName>
    <definedName name="data13" localSheetId="11">#REF!</definedName>
    <definedName name="data13">#REF!</definedName>
    <definedName name="data14" localSheetId="11">#REF!</definedName>
    <definedName name="data14">#REF!</definedName>
    <definedName name="data15" localSheetId="11">#REF!</definedName>
    <definedName name="data15">#REF!</definedName>
    <definedName name="data16" localSheetId="11">#REF!</definedName>
    <definedName name="data16">#REF!</definedName>
    <definedName name="data17" localSheetId="11">#REF!</definedName>
    <definedName name="data17">#REF!</definedName>
    <definedName name="data18" localSheetId="11">#REF!</definedName>
    <definedName name="data18">#REF!</definedName>
    <definedName name="data19" localSheetId="11">#REF!</definedName>
    <definedName name="data19">#REF!</definedName>
    <definedName name="data2" localSheetId="11">#REF!</definedName>
    <definedName name="data2">#REF!</definedName>
    <definedName name="data20" localSheetId="11">#REF!</definedName>
    <definedName name="data20">#REF!</definedName>
    <definedName name="data21" localSheetId="11">#REF!</definedName>
    <definedName name="data21">#REF!</definedName>
    <definedName name="data22" localSheetId="11">#REF!</definedName>
    <definedName name="data22">#REF!</definedName>
    <definedName name="data23" localSheetId="11">#REF!</definedName>
    <definedName name="data23">#REF!</definedName>
    <definedName name="data24" localSheetId="11">#REF!</definedName>
    <definedName name="data24">#REF!</definedName>
    <definedName name="data25" localSheetId="11">#REF!</definedName>
    <definedName name="data25">#REF!</definedName>
    <definedName name="data26" localSheetId="11">#REF!</definedName>
    <definedName name="data26">#REF!</definedName>
    <definedName name="data27" localSheetId="11">#REF!</definedName>
    <definedName name="data27">#REF!</definedName>
    <definedName name="data28" localSheetId="11">#REF!</definedName>
    <definedName name="data28">#REF!</definedName>
    <definedName name="data29" localSheetId="11">#REF!</definedName>
    <definedName name="data29">#REF!</definedName>
    <definedName name="data3" localSheetId="11">#REF!</definedName>
    <definedName name="data3">#REF!</definedName>
    <definedName name="data30" localSheetId="11">#REF!</definedName>
    <definedName name="data30">#REF!</definedName>
    <definedName name="data31" localSheetId="11">#REF!</definedName>
    <definedName name="data31">#REF!</definedName>
    <definedName name="data32" localSheetId="11">#REF!</definedName>
    <definedName name="data32">#REF!</definedName>
    <definedName name="data33" localSheetId="11">#REF!</definedName>
    <definedName name="data33">#REF!</definedName>
    <definedName name="data34" localSheetId="11">#REF!</definedName>
    <definedName name="data34">#REF!</definedName>
    <definedName name="data35" localSheetId="11">#REF!</definedName>
    <definedName name="data35">#REF!</definedName>
    <definedName name="data36" localSheetId="11">#REF!</definedName>
    <definedName name="data36">#REF!</definedName>
    <definedName name="data37" localSheetId="11">#REF!</definedName>
    <definedName name="data37">#REF!</definedName>
    <definedName name="data38" localSheetId="11">#REF!</definedName>
    <definedName name="data38">#REF!</definedName>
    <definedName name="data39" localSheetId="11">#REF!</definedName>
    <definedName name="data39">#REF!</definedName>
    <definedName name="data4" localSheetId="11">#REF!</definedName>
    <definedName name="data4">#REF!</definedName>
    <definedName name="data40" localSheetId="11">#REF!</definedName>
    <definedName name="data40">#REF!</definedName>
    <definedName name="data41" localSheetId="11">#REF!</definedName>
    <definedName name="data41">#REF!</definedName>
    <definedName name="data42" localSheetId="11">#REF!</definedName>
    <definedName name="data42">#REF!</definedName>
    <definedName name="data43" localSheetId="11">#REF!</definedName>
    <definedName name="data43">#REF!</definedName>
    <definedName name="data44" localSheetId="11">#REF!</definedName>
    <definedName name="data44">#REF!</definedName>
    <definedName name="data45" localSheetId="11">#REF!</definedName>
    <definedName name="data45">#REF!</definedName>
    <definedName name="data46" localSheetId="11">#REF!</definedName>
    <definedName name="data46">#REF!</definedName>
    <definedName name="data47" localSheetId="11">#REF!</definedName>
    <definedName name="data47">#REF!</definedName>
    <definedName name="data48" localSheetId="11">#REF!</definedName>
    <definedName name="data48">#REF!</definedName>
    <definedName name="data49" localSheetId="11">#REF!</definedName>
    <definedName name="data49">#REF!</definedName>
    <definedName name="data5" localSheetId="11">#REF!</definedName>
    <definedName name="data5">#REF!</definedName>
    <definedName name="data50" localSheetId="11">#REF!</definedName>
    <definedName name="data50">#REF!</definedName>
    <definedName name="data51" localSheetId="11">#REF!</definedName>
    <definedName name="data51">#REF!</definedName>
    <definedName name="data52" localSheetId="11">#REF!</definedName>
    <definedName name="data52">#REF!</definedName>
    <definedName name="data53" localSheetId="11">#REF!</definedName>
    <definedName name="data53">#REF!</definedName>
    <definedName name="data54" localSheetId="11">#REF!</definedName>
    <definedName name="data54">#REF!</definedName>
    <definedName name="data55" localSheetId="11">#REF!</definedName>
    <definedName name="data55">#REF!</definedName>
    <definedName name="data56" localSheetId="11">#REF!</definedName>
    <definedName name="data56">#REF!</definedName>
    <definedName name="data57" localSheetId="11">#REF!</definedName>
    <definedName name="data57">#REF!</definedName>
    <definedName name="data58" localSheetId="11">#REF!</definedName>
    <definedName name="data58">#REF!</definedName>
    <definedName name="data59" localSheetId="11">#REF!</definedName>
    <definedName name="data59">#REF!</definedName>
    <definedName name="data6" localSheetId="11">#REF!</definedName>
    <definedName name="data6">#REF!</definedName>
    <definedName name="data60" localSheetId="11">#REF!</definedName>
    <definedName name="data60">#REF!</definedName>
    <definedName name="data61" localSheetId="11">#REF!</definedName>
    <definedName name="data61">#REF!</definedName>
    <definedName name="data62" localSheetId="11">#REF!</definedName>
    <definedName name="data62">#REF!</definedName>
    <definedName name="data63" localSheetId="11">#REF!</definedName>
    <definedName name="data63">#REF!</definedName>
    <definedName name="data64" localSheetId="11">#REF!</definedName>
    <definedName name="data64">#REF!</definedName>
    <definedName name="data65" localSheetId="11">#REF!</definedName>
    <definedName name="data65">#REF!</definedName>
    <definedName name="data66" localSheetId="11">#REF!</definedName>
    <definedName name="data66">#REF!</definedName>
    <definedName name="data67" localSheetId="11">#REF!</definedName>
    <definedName name="data67">#REF!</definedName>
    <definedName name="data68" localSheetId="11">#REF!</definedName>
    <definedName name="data68">#REF!</definedName>
    <definedName name="data69" localSheetId="11">#REF!</definedName>
    <definedName name="data69">#REF!</definedName>
    <definedName name="data7" localSheetId="11">#REF!</definedName>
    <definedName name="data7">#REF!</definedName>
    <definedName name="data70" localSheetId="11">#REF!</definedName>
    <definedName name="data70">#REF!</definedName>
    <definedName name="data8" localSheetId="11">#REF!</definedName>
    <definedName name="data8">#REF!</definedName>
    <definedName name="data9" localSheetId="11">#REF!</definedName>
    <definedName name="data9">#REF!</definedName>
    <definedName name="Database" localSheetId="11">#REF!</definedName>
    <definedName name="Database">#REF!</definedName>
    <definedName name="Database_MI">[75]civ_roma!$C$9:$G$799</definedName>
    <definedName name="DATO1">'[78]46'!$D$3:$CK$429</definedName>
    <definedName name="datos" localSheetId="11">#REF!</definedName>
    <definedName name="DATOS" localSheetId="12">#REF!</definedName>
    <definedName name="datos">#REF!</definedName>
    <definedName name="DBASE1" localSheetId="11">#REF!</definedName>
    <definedName name="DBASE1">#REF!</definedName>
    <definedName name="DBASE2" localSheetId="11">#REF!</definedName>
    <definedName name="DBASE2">#REF!</definedName>
    <definedName name="DBASE3" localSheetId="11">#REF!</definedName>
    <definedName name="DBASE3">#REF!</definedName>
    <definedName name="dbfdfbi" localSheetId="12" hidden="1">{"TAB1",#N/A,TRUE,"GENERAL";"TAB2",#N/A,TRUE,"GENERAL";"TAB3",#N/A,TRUE,"GENERAL";"TAB4",#N/A,TRUE,"GENERAL";"TAB5",#N/A,TRUE,"GENERAL"}</definedName>
    <definedName name="dbfdfbi" hidden="1">{"TAB1",#N/A,TRUE,"GENERAL";"TAB2",#N/A,TRUE,"GENERAL";"TAB3",#N/A,TRUE,"GENERAL";"TAB4",#N/A,TRUE,"GENERAL";"TAB5",#N/A,TRUE,"GENERAL"}</definedName>
    <definedName name="Dbgcm" localSheetId="11">#REF!</definedName>
    <definedName name="Dbgcm" localSheetId="12">#REF!</definedName>
    <definedName name="Dbgcm">#REF!</definedName>
    <definedName name="dc" localSheetId="11">#REF!</definedName>
    <definedName name="dc">#REF!</definedName>
    <definedName name="Dcacm" localSheetId="11">#REF!</definedName>
    <definedName name="Dcacm" localSheetId="12">#REF!</definedName>
    <definedName name="Dcacm">#REF!</definedName>
    <definedName name="DCI" localSheetId="11">[12]Tablas!#REF!</definedName>
    <definedName name="DCI">[12]Tablas!#REF!</definedName>
    <definedName name="DCI1_1" localSheetId="11">[12]Tablas!#REF!</definedName>
    <definedName name="DCI1_1">[12]Tablas!#REF!</definedName>
    <definedName name="DCI1_1_1" localSheetId="11">[12]Tablas!#REF!</definedName>
    <definedName name="DCI1_1_1">[12]Tablas!#REF!</definedName>
    <definedName name="DCI1_1_2" localSheetId="11">[12]Tablas!#REF!</definedName>
    <definedName name="DCI1_1_2">[12]Tablas!#REF!</definedName>
    <definedName name="DCI1_1_3" localSheetId="11">[12]Tablas!#REF!</definedName>
    <definedName name="DCI1_1_3">[12]Tablas!#REF!</definedName>
    <definedName name="DCI1_1_4" localSheetId="11">[12]Tablas!#REF!</definedName>
    <definedName name="DCI1_1_4">[12]Tablas!#REF!</definedName>
    <definedName name="DCI1_2" localSheetId="11">[12]Tablas!#REF!</definedName>
    <definedName name="DCI1_2">[12]Tablas!#REF!</definedName>
    <definedName name="DCI1_3" localSheetId="11">[12]Tablas!#REF!</definedName>
    <definedName name="DCI1_3">[12]Tablas!#REF!</definedName>
    <definedName name="DCI1_4" localSheetId="11">[12]Tablas!#REF!</definedName>
    <definedName name="DCI1_4">[12]Tablas!#REF!</definedName>
    <definedName name="DCorriente" localSheetId="11">#REF!</definedName>
    <definedName name="DCorriente">#REF!</definedName>
    <definedName name="Dcorriente1" localSheetId="11">'[79]Pta a tierra'!#REF!</definedName>
    <definedName name="Dcorriente1">'[79]Pta a tierra'!#REF!</definedName>
    <definedName name="DCSDCTV" localSheetId="12" hidden="1">{"via1",#N/A,TRUE,"general";"via2",#N/A,TRUE,"general";"via3",#N/A,TRUE,"general"}</definedName>
    <definedName name="DCSDCTV" hidden="1">{"via1",#N/A,TRUE,"general";"via2",#N/A,TRUE,"general";"via3",#N/A,TRUE,"general"}</definedName>
    <definedName name="dd" localSheetId="11">#REF!</definedName>
    <definedName name="dd" localSheetId="12">#REF!</definedName>
    <definedName name="dd">#REF!</definedName>
    <definedName name="ddd" localSheetId="12" hidden="1">{"via1",#N/A,TRUE,"general";"via2",#N/A,TRUE,"general";"via3",#N/A,TRUE,"general"}</definedName>
    <definedName name="ddd" hidden="1">{"via1",#N/A,TRUE,"general";"via2",#N/A,TRUE,"general";"via3",#N/A,TRUE,"general"}</definedName>
    <definedName name="DDDD" hidden="1">{#N/A,#N/A,FALSE,"Estatico";#N/A,#N/A,FALSE,"Tuberia";#N/A,#N/A,FALSE,"Instrumentación";#N/A,#N/A,FALSE,"Mecanica";#N/A,#N/A,FALSE,"Electrico";#N/A,#N/A,FALSE,"Ofic.Civiles"}</definedName>
    <definedName name="DDDDDDD" hidden="1">{#N/A,#N/A,FALSE,"orthoflow";#N/A,#N/A,FALSE,"Miscelaneos";#N/A,#N/A,FALSE,"Instrumentacio";#N/A,#N/A,FALSE,"Electrico";#N/A,#N/A,FALSE,"Valv. Seguridad"}</definedName>
    <definedName name="ddddt" localSheetId="12" hidden="1">{"via1",#N/A,TRUE,"general";"via2",#N/A,TRUE,"general";"via3",#N/A,TRUE,"general"}</definedName>
    <definedName name="ddddt" hidden="1">{"via1",#N/A,TRUE,"general";"via2",#N/A,TRUE,"general";"via3",#N/A,TRUE,"general"}</definedName>
    <definedName name="ddewdw" localSheetId="12" hidden="1">{"TAB1",#N/A,TRUE,"GENERAL";"TAB2",#N/A,TRUE,"GENERAL";"TAB3",#N/A,TRUE,"GENERAL";"TAB4",#N/A,TRUE,"GENERAL";"TAB5",#N/A,TRUE,"GENERAL"}</definedName>
    <definedName name="ddewdw" hidden="1">{"TAB1",#N/A,TRUE,"GENERAL";"TAB2",#N/A,TRUE,"GENERAL";"TAB3",#N/A,TRUE,"GENERAL";"TAB4",#N/A,TRUE,"GENERAL";"TAB5",#N/A,TRUE,"GENERAL"}</definedName>
    <definedName name="ddfdh" localSheetId="12" hidden="1">{"TAB1",#N/A,TRUE,"GENERAL";"TAB2",#N/A,TRUE,"GENERAL";"TAB3",#N/A,TRUE,"GENERAL";"TAB4",#N/A,TRUE,"GENERAL";"TAB5",#N/A,TRUE,"GENERAL"}</definedName>
    <definedName name="ddfdh" hidden="1">{"TAB1",#N/A,TRUE,"GENERAL";"TAB2",#N/A,TRUE,"GENERAL";"TAB3",#N/A,TRUE,"GENERAL";"TAB4",#N/A,TRUE,"GENERAL";"TAB5",#N/A,TRUE,"GENERAL"}</definedName>
    <definedName name="DDGSDP" localSheetId="12" hidden="1">{"TAB1",#N/A,TRUE,"GENERAL";"TAB2",#N/A,TRUE,"GENERAL";"TAB3",#N/A,TRUE,"GENERAL";"TAB4",#N/A,TRUE,"GENERAL";"TAB5",#N/A,TRUE,"GENERAL"}</definedName>
    <definedName name="DDGSDP" hidden="1">{"TAB1",#N/A,TRUE,"GENERAL";"TAB2",#N/A,TRUE,"GENERAL";"TAB3",#N/A,TRUE,"GENERAL";"TAB4",#N/A,TRUE,"GENERAL";"TAB5",#N/A,TRUE,"GENERAL"}</definedName>
    <definedName name="DDS" localSheetId="11">[12]Tablas!#REF!</definedName>
    <definedName name="DDS">[12]Tablas!#REF!</definedName>
    <definedName name="DDS1_1" localSheetId="11">[12]Tablas!#REF!</definedName>
    <definedName name="DDS1_1">[12]Tablas!#REF!</definedName>
    <definedName name="DDS1_1_1" localSheetId="11">[12]Tablas!#REF!</definedName>
    <definedName name="DDS1_1_1">[12]Tablas!#REF!</definedName>
    <definedName name="deded" localSheetId="12" hidden="1">{"TAB1",#N/A,TRUE,"GENERAL";"TAB2",#N/A,TRUE,"GENERAL";"TAB3",#N/A,TRUE,"GENERAL";"TAB4",#N/A,TRUE,"GENERAL";"TAB5",#N/A,TRUE,"GENERAL"}</definedName>
    <definedName name="deded" hidden="1">{"TAB1",#N/A,TRUE,"GENERAL";"TAB2",#N/A,TRUE,"GENERAL";"TAB3",#N/A,TRUE,"GENERAL";"TAB4",#N/A,TRUE,"GENERAL";"TAB5",#N/A,TRUE,"GENERAL"}</definedName>
    <definedName name="defd" localSheetId="12" hidden="1">{"via1",#N/A,TRUE,"general";"via2",#N/A,TRUE,"general";"via3",#N/A,TRUE,"general"}</definedName>
    <definedName name="defd" hidden="1">{"via1",#N/A,TRUE,"general";"via2",#N/A,TRUE,"general";"via3",#N/A,TRUE,"general"}</definedName>
    <definedName name="demanto" localSheetId="11">#REF!</definedName>
    <definedName name="demanto" localSheetId="12">#REF!</definedName>
    <definedName name="demanto">#REF!</definedName>
    <definedName name="DEMOLICIÓN">'[80]BASE-LISTAS'!$B$24:$B$29</definedName>
    <definedName name="DEP_VPR_GRM" localSheetId="11">#REF!</definedName>
    <definedName name="DEP_VPR_GRM">#REF!</definedName>
    <definedName name="DEP_VPR_GRN" localSheetId="11">#REF!</definedName>
    <definedName name="DEP_VPR_GRN">#REF!</definedName>
    <definedName name="DEP_VPR_GRS" localSheetId="11">#REF!</definedName>
    <definedName name="DEP_VPR_GRS">#REF!</definedName>
    <definedName name="DEP_VPR_GTP" localSheetId="11">#REF!</definedName>
    <definedName name="DEP_VPR_GTP">#REF!</definedName>
    <definedName name="DEP_VPR_NA" localSheetId="11">#REF!</definedName>
    <definedName name="DEP_VPR_NA">#REF!</definedName>
    <definedName name="DEPEND">[76]Tabla!$B$1:$B$397</definedName>
    <definedName name="DEPENDENCIA">[76]Tabla!$B$1:$B$397</definedName>
    <definedName name="DEPENDENCIAS">[76]Tabla!$B$1:$B$397</definedName>
    <definedName name="DERFE" localSheetId="11">#REF!</definedName>
    <definedName name="DERFE">#REF!</definedName>
    <definedName name="desarrolladas">'[42]Reservas de Petróleo'!$A$2,'[42]Reservas de Petróleo'!$A$1,'[42]Reservas de Petróleo'!$D$4,'[42]Reservas de Petróleo'!$F$1:$F$65536</definedName>
    <definedName name="DESCUNMI" localSheetId="11">#REF!</definedName>
    <definedName name="DESCUNMI">#REF!</definedName>
    <definedName name="DEST_ART" localSheetId="11">[61]steel!#REF!</definedName>
    <definedName name="DEST_ART">[61]steel!#REF!</definedName>
    <definedName name="DESTCOD" localSheetId="11">'[3]7422CW00'!#REF!</definedName>
    <definedName name="DESTCOD">'[3]7422CW00'!#REF!</definedName>
    <definedName name="DESTFG" localSheetId="11">'[3]7422CW00'!#REF!</definedName>
    <definedName name="DESTFG">'[3]7422CW00'!#REF!</definedName>
    <definedName name="DESTQTY" localSheetId="11">'[3]7422CW00'!#REF!</definedName>
    <definedName name="DESTQTY">'[3]7422CW00'!#REF!</definedName>
    <definedName name="DETAIL" localSheetId="11">#REF!</definedName>
    <definedName name="DETAIL">#REF!</definedName>
    <definedName name="Detalle_Reserva" localSheetId="11">#REF!</definedName>
    <definedName name="Detalle_Reserva">#REF!</definedName>
    <definedName name="DEX" localSheetId="11">#REF!</definedName>
    <definedName name="DEX" localSheetId="12">#REF!</definedName>
    <definedName name="DEX">#REF!</definedName>
    <definedName name="DF" localSheetId="11">[81]Cronograma!#REF!</definedName>
    <definedName name="DF">[81]Cronograma!#REF!</definedName>
    <definedName name="dfa" localSheetId="12" hidden="1">{"TAB1",#N/A,TRUE,"GENERAL";"TAB2",#N/A,TRUE,"GENERAL";"TAB3",#N/A,TRUE,"GENERAL";"TAB4",#N/A,TRUE,"GENERAL";"TAB5",#N/A,TRUE,"GENERAL"}</definedName>
    <definedName name="dfa" hidden="1">{"TAB1",#N/A,TRUE,"GENERAL";"TAB2",#N/A,TRUE,"GENERAL";"TAB3",#N/A,TRUE,"GENERAL";"TAB4",#N/A,TRUE,"GENERAL";"TAB5",#N/A,TRUE,"GENERAL"}</definedName>
    <definedName name="dfasd" localSheetId="12" hidden="1">{"TAB1",#N/A,TRUE,"GENERAL";"TAB2",#N/A,TRUE,"GENERAL";"TAB3",#N/A,TRUE,"GENERAL";"TAB4",#N/A,TRUE,"GENERAL";"TAB5",#N/A,TRUE,"GENERAL"}</definedName>
    <definedName name="dfasd" hidden="1">{"TAB1",#N/A,TRUE,"GENERAL";"TAB2",#N/A,TRUE,"GENERAL";"TAB3",#N/A,TRUE,"GENERAL";"TAB4",#N/A,TRUE,"GENERAL";"TAB5",#N/A,TRUE,"GENERAL"}</definedName>
    <definedName name="DFBNJ" localSheetId="12" hidden="1">{"via1",#N/A,TRUE,"general";"via2",#N/A,TRUE,"general";"via3",#N/A,TRUE,"general"}</definedName>
    <definedName name="DFBNJ" hidden="1">{"via1",#N/A,TRUE,"general";"via2",#N/A,TRUE,"general";"via3",#N/A,TRUE,"general"}</definedName>
    <definedName name="dfds" localSheetId="12" hidden="1">{"TAB1",#N/A,TRUE,"GENERAL";"TAB2",#N/A,TRUE,"GENERAL";"TAB3",#N/A,TRUE,"GENERAL";"TAB4",#N/A,TRUE,"GENERAL";"TAB5",#N/A,TRUE,"GENERAL"}</definedName>
    <definedName name="dfds" hidden="1">{"TAB1",#N/A,TRUE,"GENERAL";"TAB2",#N/A,TRUE,"GENERAL";"TAB3",#N/A,TRUE,"GENERAL";"TAB4",#N/A,TRUE,"GENERAL";"TAB5",#N/A,TRUE,"GENERAL"}</definedName>
    <definedName name="dfdsfi" localSheetId="12" hidden="1">{"via1",#N/A,TRUE,"general";"via2",#N/A,TRUE,"general";"via3",#N/A,TRUE,"general"}</definedName>
    <definedName name="dfdsfi" hidden="1">{"via1",#N/A,TRUE,"general";"via2",#N/A,TRUE,"general";"via3",#N/A,TRUE,"general"}</definedName>
    <definedName name="dffffe" localSheetId="12" hidden="1">{"TAB1",#N/A,TRUE,"GENERAL";"TAB2",#N/A,TRUE,"GENERAL";"TAB3",#N/A,TRUE,"GENERAL";"TAB4",#N/A,TRUE,"GENERAL";"TAB5",#N/A,TRUE,"GENERAL"}</definedName>
    <definedName name="dffffe" hidden="1">{"TAB1",#N/A,TRUE,"GENERAL";"TAB2",#N/A,TRUE,"GENERAL";"TAB3",#N/A,TRUE,"GENERAL";"TAB4",#N/A,TRUE,"GENERAL";"TAB5",#N/A,TRUE,"GENERAL"}</definedName>
    <definedName name="DFG" localSheetId="12" hidden="1">{"via1",#N/A,TRUE,"general";"via2",#N/A,TRUE,"general";"via3",#N/A,TRUE,"general"}</definedName>
    <definedName name="DFG" hidden="1">{"via1",#N/A,TRUE,"general";"via2",#N/A,TRUE,"general";"via3",#N/A,TRUE,"general"}</definedName>
    <definedName name="DFGBHJ" localSheetId="12" hidden="1">{"via1",#N/A,TRUE,"general";"via2",#N/A,TRUE,"general";"via3",#N/A,TRUE,"general"}</definedName>
    <definedName name="DFGBHJ" hidden="1">{"via1",#N/A,TRUE,"general";"via2",#N/A,TRUE,"general";"via3",#N/A,TRUE,"general"}</definedName>
    <definedName name="DFGDFG" localSheetId="12" hidden="1">{"via1",#N/A,TRUE,"general";"via2",#N/A,TRUE,"general";"via3",#N/A,TRUE,"general"}</definedName>
    <definedName name="DFGDFG" hidden="1">{"via1",#N/A,TRUE,"general";"via2",#N/A,TRUE,"general";"via3",#N/A,TRUE,"general"}</definedName>
    <definedName name="DFGDYYB" localSheetId="12" hidden="1">{"TAB1",#N/A,TRUE,"GENERAL";"TAB2",#N/A,TRUE,"GENERAL";"TAB3",#N/A,TRUE,"GENERAL";"TAB4",#N/A,TRUE,"GENERAL";"TAB5",#N/A,TRUE,"GENERAL"}</definedName>
    <definedName name="DFGDYYB" hidden="1">{"TAB1",#N/A,TRUE,"GENERAL";"TAB2",#N/A,TRUE,"GENERAL";"TAB3",#N/A,TRUE,"GENERAL";"TAB4",#N/A,TRUE,"GENERAL";"TAB5",#N/A,TRUE,"GENERAL"}</definedName>
    <definedName name="dfgf" localSheetId="12" hidden="1">{"via1",#N/A,TRUE,"general";"via2",#N/A,TRUE,"general";"via3",#N/A,TRUE,"general"}</definedName>
    <definedName name="dfgf" hidden="1">{"via1",#N/A,TRUE,"general";"via2",#N/A,TRUE,"general";"via3",#N/A,TRUE,"general"}</definedName>
    <definedName name="DFGFBOP" localSheetId="12" hidden="1">{"TAB1",#N/A,TRUE,"GENERAL";"TAB2",#N/A,TRUE,"GENERAL";"TAB3",#N/A,TRUE,"GENERAL";"TAB4",#N/A,TRUE,"GENERAL";"TAB5",#N/A,TRUE,"GENERAL"}</definedName>
    <definedName name="DFGFBOP" hidden="1">{"TAB1",#N/A,TRUE,"GENERAL";"TAB2",#N/A,TRUE,"GENERAL";"TAB3",#N/A,TRUE,"GENERAL";"TAB4",#N/A,TRUE,"GENERAL";"TAB5",#N/A,TRUE,"GENERAL"}</definedName>
    <definedName name="DFGFDG" localSheetId="12" hidden="1">{"TAB1",#N/A,TRUE,"GENERAL";"TAB2",#N/A,TRUE,"GENERAL";"TAB3",#N/A,TRUE,"GENERAL";"TAB4",#N/A,TRUE,"GENERAL";"TAB5",#N/A,TRUE,"GENERAL"}</definedName>
    <definedName name="DFGFDG" hidden="1">{"TAB1",#N/A,TRUE,"GENERAL";"TAB2",#N/A,TRUE,"GENERAL";"TAB3",#N/A,TRUE,"GENERAL";"TAB4",#N/A,TRUE,"GENERAL";"TAB5",#N/A,TRUE,"GENERAL"}</definedName>
    <definedName name="DFGV" localSheetId="12" hidden="1">{"TAB1",#N/A,TRUE,"GENERAL";"TAB2",#N/A,TRUE,"GENERAL";"TAB3",#N/A,TRUE,"GENERAL";"TAB4",#N/A,TRUE,"GENERAL";"TAB5",#N/A,TRUE,"GENERAL"}</definedName>
    <definedName name="DFGV" hidden="1">{"TAB1",#N/A,TRUE,"GENERAL";"TAB2",#N/A,TRUE,"GENERAL";"TAB3",#N/A,TRUE,"GENERAL";"TAB4",#N/A,TRUE,"GENERAL";"TAB5",#N/A,TRUE,"GENERAL"}</definedName>
    <definedName name="dfgypuj" localSheetId="12" hidden="1">{"TAB1",#N/A,TRUE,"GENERAL";"TAB2",#N/A,TRUE,"GENERAL";"TAB3",#N/A,TRUE,"GENERAL";"TAB4",#N/A,TRUE,"GENERAL";"TAB5",#N/A,TRUE,"GENERAL"}</definedName>
    <definedName name="dfgypuj" hidden="1">{"TAB1",#N/A,TRUE,"GENERAL";"TAB2",#N/A,TRUE,"GENERAL";"TAB3",#N/A,TRUE,"GENERAL";"TAB4",#N/A,TRUE,"GENERAL";"TAB5",#N/A,TRUE,"GENERAL"}</definedName>
    <definedName name="dfh" localSheetId="12" hidden="1">{"TAB1",#N/A,TRUE,"GENERAL";"TAB2",#N/A,TRUE,"GENERAL";"TAB3",#N/A,TRUE,"GENERAL";"TAB4",#N/A,TRUE,"GENERAL";"TAB5",#N/A,TRUE,"GENERAL"}</definedName>
    <definedName name="dfh" hidden="1">{"TAB1",#N/A,TRUE,"GENERAL";"TAB2",#N/A,TRUE,"GENERAL";"TAB3",#N/A,TRUE,"GENERAL";"TAB4",#N/A,TRUE,"GENERAL";"TAB5",#N/A,TRUE,"GENERAL"}</definedName>
    <definedName name="dfhdr" localSheetId="12" hidden="1">{"via1",#N/A,TRUE,"general";"via2",#N/A,TRUE,"general";"via3",#N/A,TRUE,"general"}</definedName>
    <definedName name="dfhdr" hidden="1">{"via1",#N/A,TRUE,"general";"via2",#N/A,TRUE,"general";"via3",#N/A,TRUE,"general"}</definedName>
    <definedName name="dfhgh" localSheetId="12" hidden="1">{"via1",#N/A,TRUE,"general";"via2",#N/A,TRUE,"general";"via3",#N/A,TRUE,"general"}</definedName>
    <definedName name="dfhgh" hidden="1">{"via1",#N/A,TRUE,"general";"via2",#N/A,TRUE,"general";"via3",#N/A,TRUE,"general"}</definedName>
    <definedName name="dfj" localSheetId="12" hidden="1">{"via1",#N/A,TRUE,"general";"via2",#N/A,TRUE,"general";"via3",#N/A,TRUE,"general"}</definedName>
    <definedName name="dfj" hidden="1">{"via1",#N/A,TRUE,"general";"via2",#N/A,TRUE,"general";"via3",#N/A,TRUE,"general"}</definedName>
    <definedName name="dflt1">[66]Personalizar!$E$22</definedName>
    <definedName name="dflt2">[66]Personalizar!$E$23</definedName>
    <definedName name="dflt3">[66]Personalizar!$D$24</definedName>
    <definedName name="dflt4">[66]Personalizar!$E$26</definedName>
    <definedName name="dflt5">[66]Personalizar!$E$27</definedName>
    <definedName name="dflt6">[66]Personalizar!$D$28</definedName>
    <definedName name="dflt7">[66]Personalizar!$G$27</definedName>
    <definedName name="DFRFRF" localSheetId="12" hidden="1">{"via1",#N/A,TRUE,"general";"via2",#N/A,TRUE,"general";"via3",#N/A,TRUE,"general"}</definedName>
    <definedName name="DFRFRF" hidden="1">{"via1",#N/A,TRUE,"general";"via2",#N/A,TRUE,"general";"via3",#N/A,TRUE,"general"}</definedName>
    <definedName name="DFVUI" localSheetId="12" hidden="1">{"via1",#N/A,TRUE,"general";"via2",#N/A,TRUE,"general";"via3",#N/A,TRUE,"general"}</definedName>
    <definedName name="DFVUI" hidden="1">{"via1",#N/A,TRUE,"general";"via2",#N/A,TRUE,"general";"via3",#N/A,TRUE,"general"}</definedName>
    <definedName name="dg" localSheetId="12" hidden="1">{"via1",#N/A,TRUE,"general";"via2",#N/A,TRUE,"general";"via3",#N/A,TRUE,"general"}</definedName>
    <definedName name="dg" hidden="1">{"via1",#N/A,TRUE,"general";"via2",#N/A,TRUE,"general";"via3",#N/A,TRUE,"general"}</definedName>
    <definedName name="dgdgr" localSheetId="12" hidden="1">{"via1",#N/A,TRUE,"general";"via2",#N/A,TRUE,"general";"via3",#N/A,TRUE,"general"}</definedName>
    <definedName name="dgdgr" hidden="1">{"via1",#N/A,TRUE,"general";"via2",#N/A,TRUE,"general";"via3",#N/A,TRUE,"general"}</definedName>
    <definedName name="dgfd" localSheetId="12" hidden="1">{"TAB1",#N/A,TRUE,"GENERAL";"TAB2",#N/A,TRUE,"GENERAL";"TAB3",#N/A,TRUE,"GENERAL";"TAB4",#N/A,TRUE,"GENERAL";"TAB5",#N/A,TRUE,"GENERAL"}</definedName>
    <definedName name="dgfd" hidden="1">{"TAB1",#N/A,TRUE,"GENERAL";"TAB2",#N/A,TRUE,"GENERAL";"TAB3",#N/A,TRUE,"GENERAL";"TAB4",#N/A,TRUE,"GENERAL";"TAB5",#N/A,TRUE,"GENERAL"}</definedName>
    <definedName name="DGFDFVSDF" localSheetId="12" hidden="1">{"via1",#N/A,TRUE,"general";"via2",#N/A,TRUE,"general";"via3",#N/A,TRUE,"general"}</definedName>
    <definedName name="DGFDFVSDF" hidden="1">{"via1",#N/A,TRUE,"general";"via2",#N/A,TRUE,"general";"via3",#N/A,TRUE,"general"}</definedName>
    <definedName name="dgfdg" localSheetId="12" hidden="1">{"via1",#N/A,TRUE,"general";"via2",#N/A,TRUE,"general";"via3",#N/A,TRUE,"general"}</definedName>
    <definedName name="dgfdg" hidden="1">{"via1",#N/A,TRUE,"general";"via2",#N/A,TRUE,"general";"via3",#N/A,TRUE,"general"}</definedName>
    <definedName name="DGFG" localSheetId="12" hidden="1">{"via1",#N/A,TRUE,"general";"via2",#N/A,TRUE,"general";"via3",#N/A,TRUE,"general"}</definedName>
    <definedName name="DGFG" hidden="1">{"via1",#N/A,TRUE,"general";"via2",#N/A,TRUE,"general";"via3",#N/A,TRUE,"general"}</definedName>
    <definedName name="dgfsado" localSheetId="12" hidden="1">{"TAB1",#N/A,TRUE,"GENERAL";"TAB2",#N/A,TRUE,"GENERAL";"TAB3",#N/A,TRUE,"GENERAL";"TAB4",#N/A,TRUE,"GENERAL";"TAB5",#N/A,TRUE,"GENERAL"}</definedName>
    <definedName name="dgfsado" hidden="1">{"TAB1",#N/A,TRUE,"GENERAL";"TAB2",#N/A,TRUE,"GENERAL";"TAB3",#N/A,TRUE,"GENERAL";"TAB4",#N/A,TRUE,"GENERAL";"TAB5",#N/A,TRUE,"GENERAL"}</definedName>
    <definedName name="DGO" localSheetId="11">[12]Tablas!#REF!</definedName>
    <definedName name="DGO">[12]Tablas!#REF!</definedName>
    <definedName name="DGO1_1" localSheetId="11">[12]Tablas!#REF!</definedName>
    <definedName name="DGO1_1">[12]Tablas!#REF!</definedName>
    <definedName name="DGO1_1_1" localSheetId="11">[12]Tablas!#REF!</definedName>
    <definedName name="DGO1_1_1">[12]Tablas!#REF!</definedName>
    <definedName name="DGP" localSheetId="11">[12]Tablas!#REF!</definedName>
    <definedName name="DGP">[12]Tablas!#REF!</definedName>
    <definedName name="DGP1_1" localSheetId="11">[12]Tablas!#REF!</definedName>
    <definedName name="DGP1_1">[12]Tablas!#REF!</definedName>
    <definedName name="DGP1_1_1" localSheetId="11">[12]Tablas!#REF!</definedName>
    <definedName name="DGP1_1_1">[12]Tablas!#REF!</definedName>
    <definedName name="dgrdeb" localSheetId="12" hidden="1">{"TAB1",#N/A,TRUE,"GENERAL";"TAB2",#N/A,TRUE,"GENERAL";"TAB3",#N/A,TRUE,"GENERAL";"TAB4",#N/A,TRUE,"GENERAL";"TAB5",#N/A,TRUE,"GENERAL"}</definedName>
    <definedName name="dgrdeb" hidden="1">{"TAB1",#N/A,TRUE,"GENERAL";"TAB2",#N/A,TRUE,"GENERAL";"TAB3",#N/A,TRUE,"GENERAL";"TAB4",#N/A,TRUE,"GENERAL";"TAB5",#N/A,TRUE,"GENERAL"}</definedName>
    <definedName name="dgreg" localSheetId="12" hidden="1">{"via1",#N/A,TRUE,"general";"via2",#N/A,TRUE,"general";"via3",#N/A,TRUE,"general"}</definedName>
    <definedName name="dgreg" hidden="1">{"via1",#N/A,TRUE,"general";"via2",#N/A,TRUE,"general";"via3",#N/A,TRUE,"general"}</definedName>
    <definedName name="DH" localSheetId="12" hidden="1">{"via1",#N/A,TRUE,"general";"via2",#N/A,TRUE,"general";"via3",#N/A,TRUE,"general"}</definedName>
    <definedName name="DH" hidden="1">{"via1",#N/A,TRUE,"general";"via2",#N/A,TRUE,"general";"via3",#N/A,TRUE,"general"}</definedName>
    <definedName name="dhdth" localSheetId="12" hidden="1">{"TAB1",#N/A,TRUE,"GENERAL";"TAB2",#N/A,TRUE,"GENERAL";"TAB3",#N/A,TRUE,"GENERAL";"TAB4",#N/A,TRUE,"GENERAL";"TAB5",#N/A,TRUE,"GENERAL"}</definedName>
    <definedName name="dhdth" hidden="1">{"TAB1",#N/A,TRUE,"GENERAL";"TAB2",#N/A,TRUE,"GENERAL";"TAB3",#N/A,TRUE,"GENERAL";"TAB4",#N/A,TRUE,"GENERAL";"TAB5",#N/A,TRUE,"GENERAL"}</definedName>
    <definedName name="dhgh" localSheetId="12" hidden="1">{"via1",#N/A,TRUE,"general";"via2",#N/A,TRUE,"general";"via3",#N/A,TRUE,"general"}</definedName>
    <definedName name="dhgh" hidden="1">{"via1",#N/A,TRUE,"general";"via2",#N/A,TRUE,"general";"via3",#N/A,TRUE,"general"}</definedName>
    <definedName name="DIA">[40]PRESUPUESTO!$B$13</definedName>
    <definedName name="Diámetro" localSheetId="11">#REF!</definedName>
    <definedName name="Diámetro">#REF!</definedName>
    <definedName name="diámetroft" localSheetId="11">#REF!</definedName>
    <definedName name="diámetroft">#REF!</definedName>
    <definedName name="diametros" localSheetId="11">#REF!</definedName>
    <definedName name="diametros">#REF!</definedName>
    <definedName name="diferencia" localSheetId="11">'[82]MEDIA GEOMETRICA'!$J$8,'[82]MEDIA GEOMETRICA'!$N$8,'[82]MEDIA GEOMETRICA'!$R$8,'[82]MEDIA GEOMETRICA'!$V$8,'[82]MEDIA GEOMETRICA'!$Z$8,'[82]MEDIA GEOMETRICA'!$AD$8,'[82]MEDIA GEOMETRICA'!$AH$8,'[82]MEDIA GEOMETRICA'!$AL$8,'[82]MEDIA GEOMETRICA'!#REF!,'[82]MEDIA GEOMETRICA'!#REF!</definedName>
    <definedName name="diferencia">'[82]MEDIA GEOMETRICA'!$J$8,'[82]MEDIA GEOMETRICA'!$N$8,'[82]MEDIA GEOMETRICA'!$R$8,'[82]MEDIA GEOMETRICA'!$V$8,'[82]MEDIA GEOMETRICA'!$Z$8,'[82]MEDIA GEOMETRICA'!$AD$8,'[82]MEDIA GEOMETRICA'!$AH$8,'[82]MEDIA GEOMETRICA'!$AL$8,'[82]MEDIA GEOMETRICA'!#REF!,'[82]MEDIA GEOMETRICA'!#REF!</definedName>
    <definedName name="DIJ" localSheetId="11">[12]Tablas!#REF!</definedName>
    <definedName name="DIJ">[12]Tablas!#REF!</definedName>
    <definedName name="DIJ1_1" localSheetId="11">[12]Tablas!#REF!</definedName>
    <definedName name="DIJ1_1">[12]Tablas!#REF!</definedName>
    <definedName name="DIJ1_1_1" localSheetId="11">[12]Tablas!#REF!</definedName>
    <definedName name="DIJ1_1_1">[12]Tablas!#REF!</definedName>
    <definedName name="DIJ1_1_2" localSheetId="11">[12]Tablas!#REF!</definedName>
    <definedName name="DIJ1_1_2">[12]Tablas!#REF!</definedName>
    <definedName name="DIJ1_1_3" localSheetId="11">[12]Tablas!#REF!</definedName>
    <definedName name="DIJ1_1_3">[12]Tablas!#REF!</definedName>
    <definedName name="DIJ1_1_4" localSheetId="11">[12]Tablas!#REF!</definedName>
    <definedName name="DIJ1_1_4">[12]Tablas!#REF!</definedName>
    <definedName name="DIJ1_1_5" localSheetId="11">[12]Tablas!#REF!</definedName>
    <definedName name="DIJ1_1_5">[12]Tablas!#REF!</definedName>
    <definedName name="DIJ1_2" localSheetId="11">[12]Tablas!#REF!</definedName>
    <definedName name="DIJ1_2">[12]Tablas!#REF!</definedName>
    <definedName name="DIJ1_3" localSheetId="11">[12]Tablas!#REF!</definedName>
    <definedName name="DIJ1_3">[12]Tablas!#REF!</definedName>
    <definedName name="DIJ1_4" localSheetId="11">[12]Tablas!#REF!</definedName>
    <definedName name="DIJ1_4">[12]Tablas!#REF!</definedName>
    <definedName name="DIJ1_5" localSheetId="11">[12]Tablas!#REF!</definedName>
    <definedName name="DIJ1_5">[12]Tablas!#REF!</definedName>
    <definedName name="Direccion">[56]EMPRESA!$F$14</definedName>
    <definedName name="display_area_2" localSheetId="11">#REF!</definedName>
    <definedName name="display_area_2">#REF!</definedName>
    <definedName name="djdytj" localSheetId="12" hidden="1">{"TAB1",#N/A,TRUE,"GENERAL";"TAB2",#N/A,TRUE,"GENERAL";"TAB3",#N/A,TRUE,"GENERAL";"TAB4",#N/A,TRUE,"GENERAL";"TAB5",#N/A,TRUE,"GENERAL"}</definedName>
    <definedName name="djdytj" hidden="1">{"TAB1",#N/A,TRUE,"GENERAL";"TAB2",#N/A,TRUE,"GENERAL";"TAB3",#N/A,TRUE,"GENERAL";"TAB4",#N/A,TRUE,"GENERAL";"TAB5",#N/A,TRUE,"GENERAL"}</definedName>
    <definedName name="DMxUS" localSheetId="11">#REF!</definedName>
    <definedName name="DMxUS">#REF!</definedName>
    <definedName name="do" localSheetId="11">#REF!</definedName>
    <definedName name="do">#REF!</definedName>
    <definedName name="dolar" localSheetId="11">#REF!</definedName>
    <definedName name="dolar">#REF!</definedName>
    <definedName name="DOLLAR">[83]CÁLCULOS!$H$34</definedName>
    <definedName name="DOTACIÓN" localSheetId="11">#REF!</definedName>
    <definedName name="DOTACIÓN">#REF!</definedName>
    <definedName name="DPI" localSheetId="11">[12]Tablas!#REF!</definedName>
    <definedName name="DPI">[12]Tablas!#REF!</definedName>
    <definedName name="DPI1_1" localSheetId="11">[12]Tablas!#REF!</definedName>
    <definedName name="DPI1_1">[12]Tablas!#REF!</definedName>
    <definedName name="DPI1_1_1" localSheetId="11">[12]Tablas!#REF!</definedName>
    <definedName name="DPI1_1_1">[12]Tablas!#REF!</definedName>
    <definedName name="DPY" localSheetId="11">[12]Tablas!#REF!</definedName>
    <definedName name="DPY">[12]Tablas!#REF!</definedName>
    <definedName name="DPY1_1" localSheetId="11">[12]Tablas!#REF!</definedName>
    <definedName name="DPY1_1">[12]Tablas!#REF!</definedName>
    <definedName name="DPY1_1_1" localSheetId="11">[12]Tablas!#REF!</definedName>
    <definedName name="DPY1_1_1">[12]Tablas!#REF!</definedName>
    <definedName name="DRI" localSheetId="11">[12]Tablas!#REF!</definedName>
    <definedName name="DRI">[12]Tablas!#REF!</definedName>
    <definedName name="DRI1_1" localSheetId="11">[12]Tablas!#REF!</definedName>
    <definedName name="DRI1_1">[12]Tablas!#REF!</definedName>
    <definedName name="DRI1_1_1" localSheetId="11">[12]Tablas!#REF!</definedName>
    <definedName name="DRI1_1_1">[12]Tablas!#REF!</definedName>
    <definedName name="DRI1_1_2" localSheetId="11">[12]Tablas!#REF!</definedName>
    <definedName name="DRI1_1_2">[12]Tablas!#REF!</definedName>
    <definedName name="DRI1_1_3" localSheetId="11">[12]Tablas!#REF!</definedName>
    <definedName name="DRI1_1_3">[12]Tablas!#REF!</definedName>
    <definedName name="DRI1_1_4" localSheetId="11">[12]Tablas!#REF!</definedName>
    <definedName name="DRI1_1_4">[12]Tablas!#REF!</definedName>
    <definedName name="DRI1_2" localSheetId="11">[12]Tablas!#REF!</definedName>
    <definedName name="DRI1_2">[12]Tablas!#REF!</definedName>
    <definedName name="DRI1_3" localSheetId="11">[12]Tablas!#REF!</definedName>
    <definedName name="DRI1_3">[12]Tablas!#REF!</definedName>
    <definedName name="DRI1_4" localSheetId="11">[12]Tablas!#REF!</definedName>
    <definedName name="DRI1_4">[12]Tablas!#REF!</definedName>
    <definedName name="DRL" localSheetId="11">[12]Tablas!#REF!</definedName>
    <definedName name="DRL">[12]Tablas!#REF!</definedName>
    <definedName name="DRL1_1" localSheetId="11">[12]Tablas!#REF!</definedName>
    <definedName name="DRL1_1">[12]Tablas!#REF!</definedName>
    <definedName name="DRL1_1_1" localSheetId="11">[12]Tablas!#REF!</definedName>
    <definedName name="DRL1_1_1">[12]Tablas!#REF!</definedName>
    <definedName name="DRL1_1_2" localSheetId="11">[12]Tablas!#REF!</definedName>
    <definedName name="DRL1_1_2">[12]Tablas!#REF!</definedName>
    <definedName name="DRL1_1_3" localSheetId="11">[12]Tablas!#REF!</definedName>
    <definedName name="DRL1_1_3">[12]Tablas!#REF!</definedName>
    <definedName name="DRL1_1_4" localSheetId="11">[12]Tablas!#REF!</definedName>
    <definedName name="DRL1_1_4">[12]Tablas!#REF!</definedName>
    <definedName name="DRL1_2" localSheetId="11">[12]Tablas!#REF!</definedName>
    <definedName name="DRL1_2">[12]Tablas!#REF!</definedName>
    <definedName name="DRL1_3" localSheetId="11">[12]Tablas!#REF!</definedName>
    <definedName name="DRL1_3">[12]Tablas!#REF!</definedName>
    <definedName name="DRL1_4" localSheetId="11">[12]Tablas!#REF!</definedName>
    <definedName name="DRL1_4">[12]Tablas!#REF!</definedName>
    <definedName name="dry" localSheetId="12" hidden="1">{"via1",#N/A,TRUE,"general";"via2",#N/A,TRUE,"general";"via3",#N/A,TRUE,"general"}</definedName>
    <definedName name="dry" hidden="1">{"via1",#N/A,TRUE,"general";"via2",#N/A,TRUE,"general";"via3",#N/A,TRUE,"general"}</definedName>
    <definedName name="DS" localSheetId="11">[81]Cronograma!#REF!</definedName>
    <definedName name="DS">[81]Cronograma!#REF!</definedName>
    <definedName name="DSAD" localSheetId="12" hidden="1">{"via1",#N/A,TRUE,"general";"via2",#N/A,TRUE,"general";"via3",#N/A,TRUE,"general"}</definedName>
    <definedName name="DSAD" hidden="1">{"via1",#N/A,TRUE,"general";"via2",#N/A,TRUE,"general";"via3",#N/A,TRUE,"general"}</definedName>
    <definedName name="dsadfp" localSheetId="12" hidden="1">{"TAB1",#N/A,TRUE,"GENERAL";"TAB2",#N/A,TRUE,"GENERAL";"TAB3",#N/A,TRUE,"GENERAL";"TAB4",#N/A,TRUE,"GENERAL";"TAB5",#N/A,TRUE,"GENERAL"}</definedName>
    <definedName name="dsadfp" hidden="1">{"TAB1",#N/A,TRUE,"GENERAL";"TAB2",#N/A,TRUE,"GENERAL";"TAB3",#N/A,TRUE,"GENERAL";"TAB4",#N/A,TRUE,"GENERAL";"TAB5",#N/A,TRUE,"GENERAL"}</definedName>
    <definedName name="Dsbcm" localSheetId="11">#REF!</definedName>
    <definedName name="Dsbcm" localSheetId="12">#REF!</definedName>
    <definedName name="Dsbcm">#REF!</definedName>
    <definedName name="DsctoFondo">[84]EMPRESA!$I$25</definedName>
    <definedName name="DsctoPension">[84]EMPRESA!$I$23</definedName>
    <definedName name="DsctoSalud">[84]EMPRESA!$I$24</definedName>
    <definedName name="DSD" localSheetId="12" hidden="1">{"via1",#N/A,TRUE,"general";"via2",#N/A,TRUE,"general";"via3",#N/A,TRUE,"general"}</definedName>
    <definedName name="DSD" hidden="1">{"via1",#N/A,TRUE,"general";"via2",#N/A,TRUE,"general";"via3",#N/A,TRUE,"general"}</definedName>
    <definedName name="dsdads4" localSheetId="12" hidden="1">{"TAB1",#N/A,TRUE,"GENERAL";"TAB2",#N/A,TRUE,"GENERAL";"TAB3",#N/A,TRUE,"GENERAL";"TAB4",#N/A,TRUE,"GENERAL";"TAB5",#N/A,TRUE,"GENERAL"}</definedName>
    <definedName name="dsdads4" hidden="1">{"TAB1",#N/A,TRUE,"GENERAL";"TAB2",#N/A,TRUE,"GENERAL";"TAB3",#N/A,TRUE,"GENERAL";"TAB4",#N/A,TRUE,"GENERAL";"TAB5",#N/A,TRUE,"GENERAL"}</definedName>
    <definedName name="DSF" localSheetId="12" hidden="1">{"via1",#N/A,TRUE,"general";"via2",#N/A,TRUE,"general";"via3",#N/A,TRUE,"general"}</definedName>
    <definedName name="DSF" hidden="1">{"via1",#N/A,TRUE,"general";"via2",#N/A,TRUE,"general";"via3",#N/A,TRUE,"general"}</definedName>
    <definedName name="DSFCVTY" localSheetId="12" hidden="1">{"TAB1",#N/A,TRUE,"GENERAL";"TAB2",#N/A,TRUE,"GENERAL";"TAB3",#N/A,TRUE,"GENERAL";"TAB4",#N/A,TRUE,"GENERAL";"TAB5",#N/A,TRUE,"GENERAL"}</definedName>
    <definedName name="DSFCVTY" hidden="1">{"TAB1",#N/A,TRUE,"GENERAL";"TAB2",#N/A,TRUE,"GENERAL";"TAB3",#N/A,TRUE,"GENERAL";"TAB4",#N/A,TRUE,"GENERAL";"TAB5",#N/A,TRUE,"GENERAL"}</definedName>
    <definedName name="dsfg" localSheetId="12" hidden="1">{"via1",#N/A,TRUE,"general";"via2",#N/A,TRUE,"general";"via3",#N/A,TRUE,"general"}</definedName>
    <definedName name="dsfg" hidden="1">{"via1",#N/A,TRUE,"general";"via2",#N/A,TRUE,"general";"via3",#N/A,TRUE,"general"}</definedName>
    <definedName name="dsfhgfdh" localSheetId="12" hidden="1">{"TAB1",#N/A,TRUE,"GENERAL";"TAB2",#N/A,TRUE,"GENERAL";"TAB3",#N/A,TRUE,"GENERAL";"TAB4",#N/A,TRUE,"GENERAL";"TAB5",#N/A,TRUE,"GENERAL"}</definedName>
    <definedName name="dsfhgfdh" hidden="1">{"TAB1",#N/A,TRUE,"GENERAL";"TAB2",#N/A,TRUE,"GENERAL";"TAB3",#N/A,TRUE,"GENERAL";"TAB4",#N/A,TRUE,"GENERAL";"TAB5",#N/A,TRUE,"GENERAL"}</definedName>
    <definedName name="dsfsdf" localSheetId="12" hidden="1">{"via1",#N/A,TRUE,"general";"via2",#N/A,TRUE,"general";"via3",#N/A,TRUE,"general"}</definedName>
    <definedName name="dsfsdf" hidden="1">{"via1",#N/A,TRUE,"general";"via2",#N/A,TRUE,"general";"via3",#N/A,TRUE,"general"}</definedName>
    <definedName name="DSFSDFCXV" localSheetId="12" hidden="1">{"TAB1",#N/A,TRUE,"GENERAL";"TAB2",#N/A,TRUE,"GENERAL";"TAB3",#N/A,TRUE,"GENERAL";"TAB4",#N/A,TRUE,"GENERAL";"TAB5",#N/A,TRUE,"GENERAL"}</definedName>
    <definedName name="DSFSDFCXV" hidden="1">{"TAB1",#N/A,TRUE,"GENERAL";"TAB2",#N/A,TRUE,"GENERAL";"TAB3",#N/A,TRUE,"GENERAL";"TAB4",#N/A,TRUE,"GENERAL";"TAB5",#N/A,TRUE,"GENERAL"}</definedName>
    <definedName name="dsfsvm" localSheetId="12" hidden="1">{"TAB1",#N/A,TRUE,"GENERAL";"TAB2",#N/A,TRUE,"GENERAL";"TAB3",#N/A,TRUE,"GENERAL";"TAB4",#N/A,TRUE,"GENERAL";"TAB5",#N/A,TRUE,"GENERAL"}</definedName>
    <definedName name="dsfsvm" hidden="1">{"TAB1",#N/A,TRUE,"GENERAL";"TAB2",#N/A,TRUE,"GENERAL";"TAB3",#N/A,TRUE,"GENERAL";"TAB4",#N/A,TRUE,"GENERAL";"TAB5",#N/A,TRUE,"GENERAL"}</definedName>
    <definedName name="dsftbv" localSheetId="12" hidden="1">{"via1",#N/A,TRUE,"general";"via2",#N/A,TRUE,"general";"via3",#N/A,TRUE,"general"}</definedName>
    <definedName name="dsftbv" hidden="1">{"via1",#N/A,TRUE,"general";"via2",#N/A,TRUE,"general";"via3",#N/A,TRUE,"general"}</definedName>
    <definedName name="DSP" localSheetId="11">[12]Tablas!#REF!</definedName>
    <definedName name="DSP">[12]Tablas!#REF!</definedName>
    <definedName name="DSP1_1" localSheetId="11">[12]Tablas!#REF!</definedName>
    <definedName name="DSP1_1">[12]Tablas!#REF!</definedName>
    <definedName name="DSP1_1_1" localSheetId="11">[12]Tablas!#REF!</definedName>
    <definedName name="DSP1_1_1">[12]Tablas!#REF!</definedName>
    <definedName name="dt" localSheetId="11">#REF!</definedName>
    <definedName name="dt">#REF!</definedName>
    <definedName name="dtrhj" localSheetId="12" hidden="1">{"via1",#N/A,TRUE,"general";"via2",#N/A,TRUE,"general";"via3",#N/A,TRUE,"general"}</definedName>
    <definedName name="dtrhj" hidden="1">{"via1",#N/A,TRUE,"general";"via2",#N/A,TRUE,"general";"via3",#N/A,TRUE,"general"}</definedName>
    <definedName name="dxfgg" localSheetId="12" hidden="1">{"via1",#N/A,TRUE,"general";"via2",#N/A,TRUE,"general";"via3",#N/A,TRUE,"general"}</definedName>
    <definedName name="dxfgg" hidden="1">{"via1",#N/A,TRUE,"general";"via2",#N/A,TRUE,"general";"via3",#N/A,TRUE,"general"}</definedName>
    <definedName name="E" localSheetId="11">#REF!</definedName>
    <definedName name="E">#REF!</definedName>
    <definedName name="e3e33" localSheetId="12" hidden="1">{"via1",#N/A,TRUE,"general";"via2",#N/A,TRUE,"general";"via3",#N/A,TRUE,"general"}</definedName>
    <definedName name="e3e33" hidden="1">{"via1",#N/A,TRUE,"general";"via2",#N/A,TRUE,"general";"via3",#N/A,TRUE,"general"}</definedName>
    <definedName name="ECP" localSheetId="11">[12]Tablas!#REF!</definedName>
    <definedName name="ECP">[12]Tablas!#REF!</definedName>
    <definedName name="ECP1_1" localSheetId="11">[12]Tablas!#REF!</definedName>
    <definedName name="ECP1_1">[12]Tablas!#REF!</definedName>
    <definedName name="ECP1_1_1" localSheetId="11">[12]Tablas!#REF!</definedName>
    <definedName name="ECP1_1_1">[12]Tablas!#REF!</definedName>
    <definedName name="EDC" localSheetId="11">#REF!</definedName>
    <definedName name="EDC">#REF!</definedName>
    <definedName name="EDEDWSWQA" localSheetId="12" hidden="1">{"TAB1",#N/A,TRUE,"GENERAL";"TAB2",#N/A,TRUE,"GENERAL";"TAB3",#N/A,TRUE,"GENERAL";"TAB4",#N/A,TRUE,"GENERAL";"TAB5",#N/A,TRUE,"GENERAL"}</definedName>
    <definedName name="EDEDWSWQA" hidden="1">{"TAB1",#N/A,TRUE,"GENERAL";"TAB2",#N/A,TRUE,"GENERAL";"TAB3",#N/A,TRUE,"GENERAL";"TAB4",#N/A,TRUE,"GENERAL";"TAB5",#N/A,TRUE,"GENERAL"}</definedName>
    <definedName name="edgfhmn" localSheetId="12" hidden="1">{"via1",#N/A,TRUE,"general";"via2",#N/A,TRUE,"general";"via3",#N/A,TRUE,"general"}</definedName>
    <definedName name="edgfhmn" hidden="1">{"via1",#N/A,TRUE,"general";"via2",#N/A,TRUE,"general";"via3",#N/A,TRUE,"general"}</definedName>
    <definedName name="EE" localSheetId="12">'Formulario No. 1'!ERR</definedName>
    <definedName name="EE">[0]!ERR</definedName>
    <definedName name="eeedfr" localSheetId="12" hidden="1">{"TAB1",#N/A,TRUE,"GENERAL";"TAB2",#N/A,TRUE,"GENERAL";"TAB3",#N/A,TRUE,"GENERAL";"TAB4",#N/A,TRUE,"GENERAL";"TAB5",#N/A,TRUE,"GENERAL"}</definedName>
    <definedName name="eeedfr" hidden="1">{"TAB1",#N/A,TRUE,"GENERAL";"TAB2",#N/A,TRUE,"GENERAL";"TAB3",#N/A,TRUE,"GENERAL";"TAB4",#N/A,TRUE,"GENERAL";"TAB5",#N/A,TRUE,"GENERAL"}</definedName>
    <definedName name="eeeeer" localSheetId="12" hidden="1">{"TAB1",#N/A,TRUE,"GENERAL";"TAB2",#N/A,TRUE,"GENERAL";"TAB3",#N/A,TRUE,"GENERAL";"TAB4",#N/A,TRUE,"GENERAL";"TAB5",#N/A,TRUE,"GENERAL"}</definedName>
    <definedName name="eeeeer" hidden="1">{"TAB1",#N/A,TRUE,"GENERAL";"TAB2",#N/A,TRUE,"GENERAL";"TAB3",#N/A,TRUE,"GENERAL";"TAB4",#N/A,TRUE,"GENERAL";"TAB5",#N/A,TRUE,"GENERAL"}</definedName>
    <definedName name="eeerfd" localSheetId="12" hidden="1">{"via1",#N/A,TRUE,"general";"via2",#N/A,TRUE,"general";"via3",#N/A,TRUE,"general"}</definedName>
    <definedName name="eeerfd" hidden="1">{"via1",#N/A,TRUE,"general";"via2",#N/A,TRUE,"general";"via3",#N/A,TRUE,"general"}</definedName>
    <definedName name="EEF110_">'BASE 2'!$D$735</definedName>
    <definedName name="EF" localSheetId="11">#REF!</definedName>
    <definedName name="EF">#REF!</definedName>
    <definedName name="EFA" localSheetId="11">#REF!</definedName>
    <definedName name="EFA">#REF!</definedName>
    <definedName name="efef" localSheetId="12" hidden="1">{"TAB1",#N/A,TRUE,"GENERAL";"TAB2",#N/A,TRUE,"GENERAL";"TAB3",#N/A,TRUE,"GENERAL";"TAB4",#N/A,TRUE,"GENERAL";"TAB5",#N/A,TRUE,"GENERAL"}</definedName>
    <definedName name="efef" hidden="1">{"TAB1",#N/A,TRUE,"GENERAL";"TAB2",#N/A,TRUE,"GENERAL";"TAB3",#N/A,TRUE,"GENERAL";"TAB4",#N/A,TRUE,"GENERAL";"TAB5",#N/A,TRUE,"GENERAL"}</definedName>
    <definedName name="efer" localSheetId="12" hidden="1">{"via1",#N/A,TRUE,"general";"via2",#N/A,TRUE,"general";"via3",#N/A,TRUE,"general"}</definedName>
    <definedName name="efer" hidden="1">{"via1",#N/A,TRUE,"general";"via2",#N/A,TRUE,"general";"via3",#N/A,TRUE,"general"}</definedName>
    <definedName name="egeg" localSheetId="12" hidden="1">{"TAB1",#N/A,TRUE,"GENERAL";"TAB2",#N/A,TRUE,"GENERAL";"TAB3",#N/A,TRUE,"GENERAL";"TAB4",#N/A,TRUE,"GENERAL";"TAB5",#N/A,TRUE,"GENERAL"}</definedName>
    <definedName name="egeg" hidden="1">{"TAB1",#N/A,TRUE,"GENERAL";"TAB2",#N/A,TRUE,"GENERAL";"TAB3",#N/A,TRUE,"GENERAL";"TAB4",#N/A,TRUE,"GENERAL";"TAB5",#N/A,TRUE,"GENERAL"}</definedName>
    <definedName name="egtrgthrt" localSheetId="12" hidden="1">{"TAB1",#N/A,TRUE,"GENERAL";"TAB2",#N/A,TRUE,"GENERAL";"TAB3",#N/A,TRUE,"GENERAL";"TAB4",#N/A,TRUE,"GENERAL";"TAB5",#N/A,TRUE,"GENERAL"}</definedName>
    <definedName name="egtrgthrt" hidden="1">{"TAB1",#N/A,TRUE,"GENERAL";"TAB2",#N/A,TRUE,"GENERAL";"TAB3",#N/A,TRUE,"GENERAL";"TAB4",#N/A,TRUE,"GENERAL";"TAB5",#N/A,TRUE,"GENERAL"}</definedName>
    <definedName name="EJEC">[40]PRESUPUESTO!$E$7</definedName>
    <definedName name="Ejecutivo">'[85]Info Ejec'!$A$1:$AV$153</definedName>
    <definedName name="ELIMINACIONPROYC" localSheetId="11">#REF!</definedName>
    <definedName name="ELIMINACIONPROYC">#REF!</definedName>
    <definedName name="emanto" localSheetId="11">#REF!</definedName>
    <definedName name="emanto" localSheetId="12">#REF!</definedName>
    <definedName name="emanto">#REF!</definedName>
    <definedName name="eme" localSheetId="12">'Formulario No. 1'!ERR</definedName>
    <definedName name="eme">[0]!ERR</definedName>
    <definedName name="EMPLEADO" localSheetId="11">#REF!</definedName>
    <definedName name="EMPLEADO">#REF!</definedName>
    <definedName name="Empresa">[56]EMPRESA!$F$6</definedName>
    <definedName name="EMULSION" localSheetId="11">#REF!</definedName>
    <definedName name="EMULSION">#REF!</definedName>
    <definedName name="End_Bal" localSheetId="11">#REF!</definedName>
    <definedName name="End_Bal">#REF!</definedName>
    <definedName name="ene" localSheetId="11">#REF!</definedName>
    <definedName name="ene">#REF!</definedName>
    <definedName name="Ensayos" localSheetId="11">#REF!</definedName>
    <definedName name="Ensayos">#REF!</definedName>
    <definedName name="ENTRADASP" localSheetId="11">#REF!</definedName>
    <definedName name="ENTRADASP" localSheetId="12">#REF!</definedName>
    <definedName name="ENTRADASP">#REF!</definedName>
    <definedName name="EPECIALIDAD_SIDOE" localSheetId="11">[12]Tablas!#REF!</definedName>
    <definedName name="EPECIALIDAD_SIDOE">[12]Tablas!#REF!</definedName>
    <definedName name="equipo">[86]Equipo!$A$7:$A$65536</definedName>
    <definedName name="EQUIPO1" localSheetId="11">#REF!</definedName>
    <definedName name="EQUIPO1">#REF!</definedName>
    <definedName name="Equipos" localSheetId="11">#REF!</definedName>
    <definedName name="EQUIPOS" localSheetId="12">'[87]TABLA EQUIPOS'!$A$3:$D$70</definedName>
    <definedName name="Equipos">#REF!</definedName>
    <definedName name="EQUIPOS1" localSheetId="11">#REF!</definedName>
    <definedName name="EQUIPOS1">#REF!</definedName>
    <definedName name="eqw" localSheetId="12" hidden="1">{"via1",#N/A,TRUE,"general";"via2",#N/A,TRUE,"general";"via3",#N/A,TRUE,"general"}</definedName>
    <definedName name="eqw" hidden="1">{"via1",#N/A,TRUE,"general";"via2",#N/A,TRUE,"general";"via3",#N/A,TRUE,"general"}</definedName>
    <definedName name="ERE_ART">[61]steel!$B$8:$B$47</definedName>
    <definedName name="erfg" hidden="1">{#N/A,#N/A,FALSE,"Hoja1";#N/A,#N/A,FALSE,"Hoja2"}</definedName>
    <definedName name="erg" localSheetId="12" hidden="1">{"TAB1",#N/A,TRUE,"GENERAL";"TAB2",#N/A,TRUE,"GENERAL";"TAB3",#N/A,TRUE,"GENERAL";"TAB4",#N/A,TRUE,"GENERAL";"TAB5",#N/A,TRUE,"GENERAL"}</definedName>
    <definedName name="erg" hidden="1">{"TAB1",#N/A,TRUE,"GENERAL";"TAB2",#N/A,TRUE,"GENERAL";"TAB3",#N/A,TRUE,"GENERAL";"TAB4",#N/A,TRUE,"GENERAL";"TAB5",#N/A,TRUE,"GENERAL"}</definedName>
    <definedName name="erger" localSheetId="12" hidden="1">{"via1",#N/A,TRUE,"general";"via2",#N/A,TRUE,"general";"via3",#N/A,TRUE,"general"}</definedName>
    <definedName name="erger" hidden="1">{"via1",#N/A,TRUE,"general";"via2",#N/A,TRUE,"general";"via3",#N/A,TRUE,"general"}</definedName>
    <definedName name="ergerg" localSheetId="12" hidden="1">{"via1",#N/A,TRUE,"general";"via2",#N/A,TRUE,"general";"via3",#N/A,TRUE,"general"}</definedName>
    <definedName name="ergerg" hidden="1">{"via1",#N/A,TRUE,"general";"via2",#N/A,TRUE,"general";"via3",#N/A,TRUE,"general"}</definedName>
    <definedName name="ergfegr" localSheetId="12" hidden="1">{"via1",#N/A,TRUE,"general";"via2",#N/A,TRUE,"general";"via3",#N/A,TRUE,"general"}</definedName>
    <definedName name="ergfegr" hidden="1">{"via1",#N/A,TRUE,"general";"via2",#N/A,TRUE,"general";"via3",#N/A,TRUE,"general"}</definedName>
    <definedName name="ergge" localSheetId="12" hidden="1">{"TAB1",#N/A,TRUE,"GENERAL";"TAB2",#N/A,TRUE,"GENERAL";"TAB3",#N/A,TRUE,"GENERAL";"TAB4",#N/A,TRUE,"GENERAL";"TAB5",#N/A,TRUE,"GENERAL"}</definedName>
    <definedName name="ergge" hidden="1">{"TAB1",#N/A,TRUE,"GENERAL";"TAB2",#N/A,TRUE,"GENERAL";"TAB3",#N/A,TRUE,"GENERAL";"TAB4",#N/A,TRUE,"GENERAL";"TAB5",#N/A,TRUE,"GENERAL"}</definedName>
    <definedName name="erggewg" localSheetId="12" hidden="1">{"via1",#N/A,TRUE,"general";"via2",#N/A,TRUE,"general";"via3",#N/A,TRUE,"general"}</definedName>
    <definedName name="erggewg" hidden="1">{"via1",#N/A,TRUE,"general";"via2",#N/A,TRUE,"general";"via3",#N/A,TRUE,"general"}</definedName>
    <definedName name="ergreg" localSheetId="12" hidden="1">{"TAB1",#N/A,TRUE,"GENERAL";"TAB2",#N/A,TRUE,"GENERAL";"TAB3",#N/A,TRUE,"GENERAL";"TAB4",#N/A,TRUE,"GENERAL";"TAB5",#N/A,TRUE,"GENERAL"}</definedName>
    <definedName name="ergreg" hidden="1">{"TAB1",#N/A,TRUE,"GENERAL";"TAB2",#N/A,TRUE,"GENERAL";"TAB3",#N/A,TRUE,"GENERAL";"TAB4",#N/A,TRUE,"GENERAL";"TAB5",#N/A,TRUE,"GENERAL"}</definedName>
    <definedName name="ergregerg" localSheetId="12" hidden="1">{"via1",#N/A,TRUE,"general";"via2",#N/A,TRUE,"general";"via3",#N/A,TRUE,"general"}</definedName>
    <definedName name="ergregerg" hidden="1">{"via1",#N/A,TRUE,"general";"via2",#N/A,TRUE,"general";"via3",#N/A,TRUE,"general"}</definedName>
    <definedName name="ergrg" localSheetId="12" hidden="1">{"TAB1",#N/A,TRUE,"GENERAL";"TAB2",#N/A,TRUE,"GENERAL";"TAB3",#N/A,TRUE,"GENERAL";"TAB4",#N/A,TRUE,"GENERAL";"TAB5",#N/A,TRUE,"GENERAL"}</definedName>
    <definedName name="ergrg" hidden="1">{"TAB1",#N/A,TRUE,"GENERAL";"TAB2",#N/A,TRUE,"GENERAL";"TAB3",#N/A,TRUE,"GENERAL";"TAB4",#N/A,TRUE,"GENERAL";"TAB5",#N/A,TRUE,"GENERAL"}</definedName>
    <definedName name="ergweg" localSheetId="12" hidden="1">{"TAB1",#N/A,TRUE,"GENERAL";"TAB2",#N/A,TRUE,"GENERAL";"TAB3",#N/A,TRUE,"GENERAL";"TAB4",#N/A,TRUE,"GENERAL";"TAB5",#N/A,TRUE,"GENERAL"}</definedName>
    <definedName name="ergweg" hidden="1">{"TAB1",#N/A,TRUE,"GENERAL";"TAB2",#N/A,TRUE,"GENERAL";"TAB3",#N/A,TRUE,"GENERAL";"TAB4",#N/A,TRUE,"GENERAL";"TAB5",#N/A,TRUE,"GENERAL"}</definedName>
    <definedName name="ergwreg" localSheetId="12" hidden="1">{"via1",#N/A,TRUE,"general";"via2",#N/A,TRUE,"general";"via3",#N/A,TRUE,"general"}</definedName>
    <definedName name="ergwreg" hidden="1">{"via1",#N/A,TRUE,"general";"via2",#N/A,TRUE,"general";"via3",#N/A,TRUE,"general"}</definedName>
    <definedName name="erheyh" localSheetId="12" hidden="1">{"TAB1",#N/A,TRUE,"GENERAL";"TAB2",#N/A,TRUE,"GENERAL";"TAB3",#N/A,TRUE,"GENERAL";"TAB4",#N/A,TRUE,"GENERAL";"TAB5",#N/A,TRUE,"GENERAL"}</definedName>
    <definedName name="erheyh" hidden="1">{"TAB1",#N/A,TRUE,"GENERAL";"TAB2",#N/A,TRUE,"GENERAL";"TAB3",#N/A,TRUE,"GENERAL";"TAB4",#N/A,TRUE,"GENERAL";"TAB5",#N/A,TRUE,"GENERAL"}</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12">{"TAB1",#N/A,TRUE,"GENERAL";"TAB2",#N/A,TRUE,"GENERAL";"TAB3",#N/A,TRUE,"GENERAL";"TAB4",#N/A,TRUE,"GENERAL";"TAB5",#N/A,TRUE,"GENERAL"}</definedName>
    <definedName name="ERR">{"TAB1",#N/A,TRUE,"GENERAL";"TAB2",#N/A,TRUE,"GENERAL";"TAB3",#N/A,TRUE,"GENERAL";"TAB4",#N/A,TRUE,"GENERAL";"TAB5",#N/A,TRUE,"GENERAL"}</definedName>
    <definedName name="ERRORE" localSheetId="11">#REF!</definedName>
    <definedName name="ERRORE">#REF!</definedName>
    <definedName name="ert" localSheetId="12" hidden="1">{"via1",#N/A,TRUE,"general";"via2",#N/A,TRUE,"general";"via3",#N/A,TRUE,"general"}</definedName>
    <definedName name="ert" hidden="1">{"via1",#N/A,TRUE,"general";"via2",#N/A,TRUE,"general";"via3",#N/A,TRUE,"general"}</definedName>
    <definedName name="erte" localSheetId="12" hidden="1">{"via1",#N/A,TRUE,"general";"via2",#N/A,TRUE,"general";"via3",#N/A,TRUE,"general"}</definedName>
    <definedName name="erte" hidden="1">{"via1",#N/A,TRUE,"general";"via2",#N/A,TRUE,"general";"via3",#N/A,TRUE,"general"}</definedName>
    <definedName name="erter" localSheetId="12" hidden="1">{"TAB1",#N/A,TRUE,"GENERAL";"TAB2",#N/A,TRUE,"GENERAL";"TAB3",#N/A,TRUE,"GENERAL";"TAB4",#N/A,TRUE,"GENERAL";"TAB5",#N/A,TRUE,"GENERAL"}</definedName>
    <definedName name="erter" hidden="1">{"TAB1",#N/A,TRUE,"GENERAL";"TAB2",#N/A,TRUE,"GENERAL";"TAB3",#N/A,TRUE,"GENERAL";"TAB4",#N/A,TRUE,"GENERAL";"TAB5",#N/A,TRUE,"GENERAL"}</definedName>
    <definedName name="ertert" localSheetId="12" hidden="1">{"via1",#N/A,TRUE,"general";"via2",#N/A,TRUE,"general";"via3",#N/A,TRUE,"general"}</definedName>
    <definedName name="ertert" hidden="1">{"via1",#N/A,TRUE,"general";"via2",#N/A,TRUE,"general";"via3",#N/A,TRUE,"general"}</definedName>
    <definedName name="ertgyhik" localSheetId="12" hidden="1">{"TAB1",#N/A,TRUE,"GENERAL";"TAB2",#N/A,TRUE,"GENERAL";"TAB3",#N/A,TRUE,"GENERAL";"TAB4",#N/A,TRUE,"GENERAL";"TAB5",#N/A,TRUE,"GENERAL"}</definedName>
    <definedName name="ertgyhik" hidden="1">{"TAB1",#N/A,TRUE,"GENERAL";"TAB2",#N/A,TRUE,"GENERAL";"TAB3",#N/A,TRUE,"GENERAL";"TAB4",#N/A,TRUE,"GENERAL";"TAB5",#N/A,TRUE,"GENERAL"}</definedName>
    <definedName name="ertreb" localSheetId="12" hidden="1">{"via1",#N/A,TRUE,"general";"via2",#N/A,TRUE,"general";"via3",#N/A,TRUE,"general"}</definedName>
    <definedName name="ertreb" hidden="1">{"via1",#N/A,TRUE,"general";"via2",#N/A,TRUE,"general";"via3",#N/A,TRUE,"general"}</definedName>
    <definedName name="ertret" localSheetId="12" hidden="1">{"TAB1",#N/A,TRUE,"GENERAL";"TAB2",#N/A,TRUE,"GENERAL";"TAB3",#N/A,TRUE,"GENERAL";"TAB4",#N/A,TRUE,"GENERAL";"TAB5",#N/A,TRUE,"GENERAL"}</definedName>
    <definedName name="ertret" hidden="1">{"TAB1",#N/A,TRUE,"GENERAL";"TAB2",#N/A,TRUE,"GENERAL";"TAB3",#N/A,TRUE,"GENERAL";"TAB4",#N/A,TRUE,"GENERAL";"TAB5",#N/A,TRUE,"GENERAL"}</definedName>
    <definedName name="erttret" localSheetId="12" hidden="1">{"via1",#N/A,TRUE,"general";"via2",#N/A,TRUE,"general";"via3",#N/A,TRUE,"general"}</definedName>
    <definedName name="erttret" hidden="1">{"via1",#N/A,TRUE,"general";"via2",#N/A,TRUE,"general";"via3",#N/A,TRUE,"general"}</definedName>
    <definedName name="ertuiy" localSheetId="12" hidden="1">{"via1",#N/A,TRUE,"general";"via2",#N/A,TRUE,"general";"via3",#N/A,TRUE,"general"}</definedName>
    <definedName name="ertuiy" hidden="1">{"via1",#N/A,TRUE,"general";"via2",#N/A,TRUE,"general";"via3",#N/A,TRUE,"general"}</definedName>
    <definedName name="ertwert" localSheetId="12" hidden="1">{"TAB1",#N/A,TRUE,"GENERAL";"TAB2",#N/A,TRUE,"GENERAL";"TAB3",#N/A,TRUE,"GENERAL";"TAB4",#N/A,TRUE,"GENERAL";"TAB5",#N/A,TRUE,"GENERAL"}</definedName>
    <definedName name="ertwert" hidden="1">{"TAB1",#N/A,TRUE,"GENERAL";"TAB2",#N/A,TRUE,"GENERAL";"TAB3",#N/A,TRUE,"GENERAL";"TAB4",#N/A,TRUE,"GENERAL";"TAB5",#N/A,TRUE,"GENERAL"}</definedName>
    <definedName name="eru" localSheetId="12" hidden="1">{"TAB1",#N/A,TRUE,"GENERAL";"TAB2",#N/A,TRUE,"GENERAL";"TAB3",#N/A,TRUE,"GENERAL";"TAB4",#N/A,TRUE,"GENERAL";"TAB5",#N/A,TRUE,"GENERAL"}</definedName>
    <definedName name="eru" hidden="1">{"TAB1",#N/A,TRUE,"GENERAL";"TAB2",#N/A,TRUE,"GENERAL";"TAB3",#N/A,TRUE,"GENERAL";"TAB4",#N/A,TRUE,"GENERAL";"TAB5",#N/A,TRUE,"GENERAL"}</definedName>
    <definedName name="ERV" localSheetId="12" hidden="1">{"via1",#N/A,TRUE,"general";"via2",#N/A,TRUE,"general";"via3",#N/A,TRUE,"general"}</definedName>
    <definedName name="ERV" hidden="1">{"via1",#N/A,TRUE,"general";"via2",#N/A,TRUE,"general";"via3",#N/A,TRUE,"general"}</definedName>
    <definedName name="erware" localSheetId="12" hidden="1">{"via1",#N/A,TRUE,"general";"via2",#N/A,TRUE,"general";"via3",#N/A,TRUE,"general"}</definedName>
    <definedName name="erware" hidden="1">{"via1",#N/A,TRUE,"general";"via2",#N/A,TRUE,"general";"via3",#N/A,TRUE,"general"}</definedName>
    <definedName name="ERWER" localSheetId="12" hidden="1">{"via1",#N/A,TRUE,"general";"via2",#N/A,TRUE,"general";"via3",#N/A,TRUE,"general"}</definedName>
    <definedName name="ERWER" hidden="1">{"via1",#N/A,TRUE,"general";"via2",#N/A,TRUE,"general";"via3",#N/A,TRUE,"general"}</definedName>
    <definedName name="erwertd" localSheetId="12" hidden="1">{"TAB1",#N/A,TRUE,"GENERAL";"TAB2",#N/A,TRUE,"GENERAL";"TAB3",#N/A,TRUE,"GENERAL";"TAB4",#N/A,TRUE,"GENERAL";"TAB5",#N/A,TRUE,"GENERAL"}</definedName>
    <definedName name="erwertd" hidden="1">{"TAB1",#N/A,TRUE,"GENERAL";"TAB2",#N/A,TRUE,"GENERAL";"TAB3",#N/A,TRUE,"GENERAL";"TAB4",#N/A,TRUE,"GENERAL";"TAB5",#N/A,TRUE,"GENERAL"}</definedName>
    <definedName name="erwr" localSheetId="12" hidden="1">{"TAB1",#N/A,TRUE,"GENERAL";"TAB2",#N/A,TRUE,"GENERAL";"TAB3",#N/A,TRUE,"GENERAL";"TAB4",#N/A,TRUE,"GENERAL";"TAB5",#N/A,TRUE,"GENERAL"}</definedName>
    <definedName name="erwr" hidden="1">{"TAB1",#N/A,TRUE,"GENERAL";"TAB2",#N/A,TRUE,"GENERAL";"TAB3",#N/A,TRUE,"GENERAL";"TAB4",#N/A,TRUE,"GENERAL";"TAB5",#N/A,TRUE,"GENERAL"}</definedName>
    <definedName name="ERWRL" localSheetId="12" hidden="1">{"via1",#N/A,TRUE,"general";"via2",#N/A,TRUE,"general";"via3",#N/A,TRUE,"general"}</definedName>
    <definedName name="ERWRL" hidden="1">{"via1",#N/A,TRUE,"general";"via2",#N/A,TRUE,"general";"via3",#N/A,TRUE,"general"}</definedName>
    <definedName name="ery" localSheetId="12" hidden="1">{"via1",#N/A,TRUE,"general";"via2",#N/A,TRUE,"general";"via3",#N/A,TRUE,"general"}</definedName>
    <definedName name="ery" hidden="1">{"via1",#N/A,TRUE,"general";"via2",#N/A,TRUE,"general";"via3",#N/A,TRUE,"general"}</definedName>
    <definedName name="eryhd" localSheetId="12" hidden="1">{"via1",#N/A,TRUE,"general";"via2",#N/A,TRUE,"general";"via3",#N/A,TRUE,"general"}</definedName>
    <definedName name="eryhd" hidden="1">{"via1",#N/A,TRUE,"general";"via2",#N/A,TRUE,"general";"via3",#N/A,TRUE,"general"}</definedName>
    <definedName name="eryhdf" localSheetId="12" hidden="1">{"TAB1",#N/A,TRUE,"GENERAL";"TAB2",#N/A,TRUE,"GENERAL";"TAB3",#N/A,TRUE,"GENERAL";"TAB4",#N/A,TRUE,"GENERAL";"TAB5",#N/A,TRUE,"GENERAL"}</definedName>
    <definedName name="eryhdf" hidden="1">{"TAB1",#N/A,TRUE,"GENERAL";"TAB2",#N/A,TRUE,"GENERAL";"TAB3",#N/A,TRUE,"GENERAL";"TAB4",#N/A,TRUE,"GENERAL";"TAB5",#N/A,TRUE,"GENERAL"}</definedName>
    <definedName name="eryhk" localSheetId="12" hidden="1">{"TAB1",#N/A,TRUE,"GENERAL";"TAB2",#N/A,TRUE,"GENERAL";"TAB3",#N/A,TRUE,"GENERAL";"TAB4",#N/A,TRUE,"GENERAL";"TAB5",#N/A,TRUE,"GENERAL"}</definedName>
    <definedName name="eryhk" hidden="1">{"TAB1",#N/A,TRUE,"GENERAL";"TAB2",#N/A,TRUE,"GENERAL";"TAB3",#N/A,TRUE,"GENERAL";"TAB4",#N/A,TRUE,"GENERAL";"TAB5",#N/A,TRUE,"GENERAL"}</definedName>
    <definedName name="eryhrf" localSheetId="12" hidden="1">{"TAB1",#N/A,TRUE,"GENERAL";"TAB2",#N/A,TRUE,"GENERAL";"TAB3",#N/A,TRUE,"GENERAL";"TAB4",#N/A,TRUE,"GENERAL";"TAB5",#N/A,TRUE,"GENERAL"}</definedName>
    <definedName name="eryhrf" hidden="1">{"TAB1",#N/A,TRUE,"GENERAL";"TAB2",#N/A,TRUE,"GENERAL";"TAB3",#N/A,TRUE,"GENERAL";"TAB4",#N/A,TRUE,"GENERAL";"TAB5",#N/A,TRUE,"GENERAL"}</definedName>
    <definedName name="eryre" localSheetId="12" hidden="1">{"TAB1",#N/A,TRUE,"GENERAL";"TAB2",#N/A,TRUE,"GENERAL";"TAB3",#N/A,TRUE,"GENERAL";"TAB4",#N/A,TRUE,"GENERAL";"TAB5",#N/A,TRUE,"GENERAL"}</definedName>
    <definedName name="eryre" hidden="1">{"TAB1",#N/A,TRUE,"GENERAL";"TAB2",#N/A,TRUE,"GENERAL";"TAB3",#N/A,TRUE,"GENERAL";"TAB4",#N/A,TRUE,"GENERAL";"TAB5",#N/A,TRUE,"GENERAL"}</definedName>
    <definedName name="erytd" localSheetId="12" hidden="1">{"via1",#N/A,TRUE,"general";"via2",#N/A,TRUE,"general";"via3",#N/A,TRUE,"general"}</definedName>
    <definedName name="erytd" hidden="1">{"via1",#N/A,TRUE,"general";"via2",#N/A,TRUE,"general";"via3",#N/A,TRUE,"general"}</definedName>
    <definedName name="eryty" localSheetId="12" hidden="1">{"via1",#N/A,TRUE,"general";"via2",#N/A,TRUE,"general";"via3",#N/A,TRUE,"general"}</definedName>
    <definedName name="eryty" hidden="1">{"via1",#N/A,TRUE,"general";"via2",#N/A,TRUE,"general";"via3",#N/A,TRUE,"general"}</definedName>
    <definedName name="eryy" localSheetId="12" hidden="1">{"via1",#N/A,TRUE,"general";"via2",#N/A,TRUE,"general";"via3",#N/A,TRUE,"general"}</definedName>
    <definedName name="eryy" hidden="1">{"via1",#N/A,TRUE,"general";"via2",#N/A,TRUE,"general";"via3",#N/A,TRUE,"general"}</definedName>
    <definedName name="ES" localSheetId="12">'Formulario No. 1'!ERR</definedName>
    <definedName name="ES">[0]!ERR</definedName>
    <definedName name="ESA" localSheetId="11">#REF!</definedName>
    <definedName name="ESA">#REF!</definedName>
    <definedName name="ESCAL" localSheetId="8">[15]BASE2!$D$494</definedName>
    <definedName name="ESCAL" localSheetId="9">[15]BASE2!$D$494</definedName>
    <definedName name="ESCAL">'BASE 2'!$D$743</definedName>
    <definedName name="ESE" localSheetId="11">#REF!</definedName>
    <definedName name="ESE">#REF!</definedName>
    <definedName name="ESPE" localSheetId="11">#REF!</definedName>
    <definedName name="ESPE">#REF!</definedName>
    <definedName name="ESPECIFICACION" localSheetId="11">#REF!</definedName>
    <definedName name="ESPECIFICACION" localSheetId="12">#REF!</definedName>
    <definedName name="ESPECIFICACION">#REF!</definedName>
    <definedName name="Especificación" localSheetId="11">#REF!</definedName>
    <definedName name="Especificación" localSheetId="12">#REF!</definedName>
    <definedName name="Especificación">#REF!</definedName>
    <definedName name="ESTA" localSheetId="11">#REF!</definedName>
    <definedName name="ESTA">#REF!</definedName>
    <definedName name="ESTAC">'BASE 2'!$D$436</definedName>
    <definedName name="Estados" localSheetId="11">#REF!</definedName>
    <definedName name="Estados">#REF!</definedName>
    <definedName name="Estimate_Factor">1</definedName>
    <definedName name="ESTOP" localSheetId="8">[15]BASE2!$D$413</definedName>
    <definedName name="ESTOP" localSheetId="9">[15]BASE2!$D$413</definedName>
    <definedName name="ESTOP">'BASE 2'!$D$468</definedName>
    <definedName name="ESTRAE" localSheetId="11">'[3]7422CW00'!#REF!</definedName>
    <definedName name="ESTRAE">'[3]7422CW00'!#REF!</definedName>
    <definedName name="ESTRU">[88]Estructura!$C$7:$E$2570</definedName>
    <definedName name="ESTRUCTURA" hidden="1">{#N/A,#N/A,TRUE,"INGENIERIA";#N/A,#N/A,TRUE,"COMPRAS";#N/A,#N/A,TRUE,"DIRECCION";#N/A,#N/A,TRUE,"RESUMEN"}</definedName>
    <definedName name="ESTRUCTURAS">[89]Hoja3!$B$7:$B$15</definedName>
    <definedName name="ETAP" localSheetId="11">#REF!</definedName>
    <definedName name="ETAP">#REF!</definedName>
    <definedName name="ETAPA_PACC" localSheetId="11">#REF!</definedName>
    <definedName name="ETAPA_PACC">#REF!</definedName>
    <definedName name="etertgg" localSheetId="12" hidden="1">{"via1",#N/A,TRUE,"general";"via2",#N/A,TRUE,"general";"via3",#N/A,TRUE,"general"}</definedName>
    <definedName name="etertgg" hidden="1">{"via1",#N/A,TRUE,"general";"via2",#N/A,TRUE,"general";"via3",#N/A,TRUE,"general"}</definedName>
    <definedName name="etertt" hidden="1">{#N/A,#N/A,TRUE,"1842CWN0"}</definedName>
    <definedName name="etewt" localSheetId="12" hidden="1">{"TAB1",#N/A,TRUE,"GENERAL";"TAB2",#N/A,TRUE,"GENERAL";"TAB3",#N/A,TRUE,"GENERAL";"TAB4",#N/A,TRUE,"GENERAL";"TAB5",#N/A,TRUE,"GENERAL"}</definedName>
    <definedName name="etewt" hidden="1">{"TAB1",#N/A,TRUE,"GENERAL";"TAB2",#N/A,TRUE,"GENERAL";"TAB3",#N/A,TRUE,"GENERAL";"TAB4",#N/A,TRUE,"GENERAL";"TAB5",#N/A,TRUE,"GENERAL"}</definedName>
    <definedName name="ETF315_">'BASE 2'!$D$733</definedName>
    <definedName name="etu" localSheetId="12" hidden="1">{"via1",#N/A,TRUE,"general";"via2",#N/A,TRUE,"general";"via3",#N/A,TRUE,"general"}</definedName>
    <definedName name="etu" hidden="1">{"via1",#N/A,TRUE,"general";"via2",#N/A,TRUE,"general";"via3",#N/A,TRUE,"general"}</definedName>
    <definedName name="etueh" localSheetId="12" hidden="1">{"via1",#N/A,TRUE,"general";"via2",#N/A,TRUE,"general";"via3",#N/A,TRUE,"general"}</definedName>
    <definedName name="etueh" hidden="1">{"via1",#N/A,TRUE,"general";"via2",#N/A,TRUE,"general";"via3",#N/A,TRUE,"general"}</definedName>
    <definedName name="etyty" localSheetId="12" hidden="1">{"via1",#N/A,TRUE,"general";"via2",#N/A,TRUE,"general";"via3",#N/A,TRUE,"general"}</definedName>
    <definedName name="etyty" hidden="1">{"via1",#N/A,TRUE,"general";"via2",#N/A,TRUE,"general";"via3",#N/A,TRUE,"general"}</definedName>
    <definedName name="etyu" localSheetId="12" hidden="1">{"TAB1",#N/A,TRUE,"GENERAL";"TAB2",#N/A,TRUE,"GENERAL";"TAB3",#N/A,TRUE,"GENERAL";"TAB4",#N/A,TRUE,"GENERAL";"TAB5",#N/A,TRUE,"GENERAL"}</definedName>
    <definedName name="etyu" hidden="1">{"TAB1",#N/A,TRUE,"GENERAL";"TAB2",#N/A,TRUE,"GENERAL";"TAB3",#N/A,TRUE,"GENERAL";"TAB4",#N/A,TRUE,"GENERAL";"TAB5",#N/A,TRUE,"GENERAL"}</definedName>
    <definedName name="eu" localSheetId="12" hidden="1">{"via1",#N/A,TRUE,"general";"via2",#N/A,TRUE,"general";"via3",#N/A,TRUE,"general"}</definedName>
    <definedName name="eu" hidden="1">{"via1",#N/A,TRUE,"general";"via2",#N/A,TRUE,"general";"via3",#N/A,TRUE,"general"}</definedName>
    <definedName name="eut" localSheetId="12" hidden="1">{"via1",#N/A,TRUE,"general";"via2",#N/A,TRUE,"general";"via3",#N/A,TRUE,"general"}</definedName>
    <definedName name="eut" hidden="1">{"via1",#N/A,TRUE,"general";"via2",#N/A,TRUE,"general";"via3",#N/A,TRUE,"general"}</definedName>
    <definedName name="euyt" localSheetId="12" hidden="1">{"TAB1",#N/A,TRUE,"GENERAL";"TAB2",#N/A,TRUE,"GENERAL";"TAB3",#N/A,TRUE,"GENERAL";"TAB4",#N/A,TRUE,"GENERAL";"TAB5",#N/A,TRUE,"GENERAL"}</definedName>
    <definedName name="euyt" hidden="1">{"TAB1",#N/A,TRUE,"GENERAL";"TAB2",#N/A,TRUE,"GENERAL";"TAB3",#N/A,TRUE,"GENERAL";"TAB4",#N/A,TRUE,"GENERAL";"TAB5",#N/A,TRUE,"GENERAL"}</definedName>
    <definedName name="EW" localSheetId="11">#REF!</definedName>
    <definedName name="EW">#REF!</definedName>
    <definedName name="ewegt" localSheetId="12" hidden="1">{"TAB1",#N/A,TRUE,"GENERAL";"TAB2",#N/A,TRUE,"GENERAL";"TAB3",#N/A,TRUE,"GENERAL";"TAB4",#N/A,TRUE,"GENERAL";"TAB5",#N/A,TRUE,"GENERAL"}</definedName>
    <definedName name="ewegt" hidden="1">{"TAB1",#N/A,TRUE,"GENERAL";"TAB2",#N/A,TRUE,"GENERAL";"TAB3",#N/A,TRUE,"GENERAL";"TAB4",#N/A,TRUE,"GENERAL";"TAB5",#N/A,TRUE,"GENERAL"}</definedName>
    <definedName name="ewfewfg" localSheetId="12" hidden="1">{"TAB1",#N/A,TRUE,"GENERAL";"TAB2",#N/A,TRUE,"GENERAL";"TAB3",#N/A,TRUE,"GENERAL";"TAB4",#N/A,TRUE,"GENERAL";"TAB5",#N/A,TRUE,"GENERAL"}</definedName>
    <definedName name="ewfewfg" hidden="1">{"TAB1",#N/A,TRUE,"GENERAL";"TAB2",#N/A,TRUE,"GENERAL";"TAB3",#N/A,TRUE,"GENERAL";"TAB4",#N/A,TRUE,"GENERAL";"TAB5",#N/A,TRUE,"GENERAL"}</definedName>
    <definedName name="ewre" localSheetId="12" hidden="1">{"TAB1",#N/A,TRUE,"GENERAL";"TAB2",#N/A,TRUE,"GENERAL";"TAB3",#N/A,TRUE,"GENERAL";"TAB4",#N/A,TRUE,"GENERAL";"TAB5",#N/A,TRUE,"GENERAL"}</definedName>
    <definedName name="ewre" hidden="1">{"TAB1",#N/A,TRUE,"GENERAL";"TAB2",#N/A,TRUE,"GENERAL";"TAB3",#N/A,TRUE,"GENERAL";"TAB4",#N/A,TRUE,"GENERAL";"TAB5",#N/A,TRUE,"GENERAL"}</definedName>
    <definedName name="ewrewf" localSheetId="12" hidden="1">{"TAB1",#N/A,TRUE,"GENERAL";"TAB2",#N/A,TRUE,"GENERAL";"TAB3",#N/A,TRUE,"GENERAL";"TAB4",#N/A,TRUE,"GENERAL";"TAB5",#N/A,TRUE,"GENERAL"}</definedName>
    <definedName name="ewrewf" hidden="1">{"TAB1",#N/A,TRUE,"GENERAL";"TAB2",#N/A,TRUE,"GENERAL";"TAB3",#N/A,TRUE,"GENERAL";"TAB4",#N/A,TRUE,"GENERAL";"TAB5",#N/A,TRUE,"GENERAL"}</definedName>
    <definedName name="ewrr" localSheetId="12" hidden="1">{"TAB1",#N/A,TRUE,"GENERAL";"TAB2",#N/A,TRUE,"GENERAL";"TAB3",#N/A,TRUE,"GENERAL";"TAB4",#N/A,TRUE,"GENERAL";"TAB5",#N/A,TRUE,"GENERAL"}</definedName>
    <definedName name="ewrr" hidden="1">{"TAB1",#N/A,TRUE,"GENERAL";"TAB2",#N/A,TRUE,"GENERAL";"TAB3",#N/A,TRUE,"GENERAL";"TAB4",#N/A,TRUE,"GENERAL";"TAB5",#N/A,TRUE,"GENERAL"}</definedName>
    <definedName name="ewrt" localSheetId="12" hidden="1">{"TAB1",#N/A,TRUE,"GENERAL";"TAB2",#N/A,TRUE,"GENERAL";"TAB3",#N/A,TRUE,"GENERAL";"TAB4",#N/A,TRUE,"GENERAL";"TAB5",#N/A,TRUE,"GENERAL"}</definedName>
    <definedName name="ewrt" hidden="1">{"TAB1",#N/A,TRUE,"GENERAL";"TAB2",#N/A,TRUE,"GENERAL";"TAB3",#N/A,TRUE,"GENERAL";"TAB4",#N/A,TRUE,"GENERAL";"TAB5",#N/A,TRUE,"GENERAL"}</definedName>
    <definedName name="ewrwer" localSheetId="12" hidden="1">{"TAB1",#N/A,TRUE,"GENERAL";"TAB2",#N/A,TRUE,"GENERAL";"TAB3",#N/A,TRUE,"GENERAL";"TAB4",#N/A,TRUE,"GENERAL";"TAB5",#N/A,TRUE,"GENERAL"}</definedName>
    <definedName name="ewrwer" hidden="1">{"TAB1",#N/A,TRUE,"GENERAL";"TAB2",#N/A,TRUE,"GENERAL";"TAB3",#N/A,TRUE,"GENERAL";"TAB4",#N/A,TRUE,"GENERAL";"TAB5",#N/A,TRUE,"GENERAL"}</definedName>
    <definedName name="EX" localSheetId="11" hidden="1">#REF!</definedName>
    <definedName name="EX" hidden="1">#REF!</definedName>
    <definedName name="EX_1" localSheetId="11" hidden="1">#REF!</definedName>
    <definedName name="EX_1" hidden="1">#REF!</definedName>
    <definedName name="EXC" localSheetId="11">#REF!</definedName>
    <definedName name="EXC" localSheetId="12">#REF!</definedName>
    <definedName name="EXC">#REF!</definedName>
    <definedName name="EXCAV_1" localSheetId="11">#REF!</definedName>
    <definedName name="EXCAV_1">#REF!</definedName>
    <definedName name="EXCAV_2" localSheetId="11">#REF!</definedName>
    <definedName name="EXCAV_2">#REF!</definedName>
    <definedName name="exCEL" localSheetId="11">#REF!</definedName>
    <definedName name="exCEL" localSheetId="12">#REF!</definedName>
    <definedName name="exCEL">#REF!</definedName>
    <definedName name="Excel_BuiltIn_Print_Area_3" localSheetId="11">#REF!</definedName>
    <definedName name="Excel_BuiltIn_Print_Area_3" localSheetId="12">#REF!</definedName>
    <definedName name="Excel_BuiltIn_Print_Area_3">#REF!</definedName>
    <definedName name="Excel_BuiltIn_Print_Area_3_X" localSheetId="11">#REF!</definedName>
    <definedName name="Excel_BuiltIn_Print_Area_3_X" localSheetId="12">#REF!</definedName>
    <definedName name="Excel_BuiltIn_Print_Area_3_X">#REF!</definedName>
    <definedName name="Excel_BuiltIn_Print_Titles_10" localSheetId="11">[38]SKJ452!#REF!</definedName>
    <definedName name="Excel_BuiltIn_Print_Titles_10" localSheetId="12">[38]SKJ452!#REF!</definedName>
    <definedName name="Excel_BuiltIn_Print_Titles_10">[38]SKJ452!#REF!</definedName>
    <definedName name="Excel_BuiltIn_Print_Titles_11" localSheetId="11">[38]ITA878!#REF!</definedName>
    <definedName name="Excel_BuiltIn_Print_Titles_11" localSheetId="12">[38]ITA878!#REF!</definedName>
    <definedName name="Excel_BuiltIn_Print_Titles_11">[38]ITA878!#REF!</definedName>
    <definedName name="Excel_BuiltIn_Print_Titles_12" localSheetId="11">'[38]AEA-944'!#REF!</definedName>
    <definedName name="Excel_BuiltIn_Print_Titles_12" localSheetId="12">'[38]AEA-944'!#REF!</definedName>
    <definedName name="Excel_BuiltIn_Print_Titles_12">'[38]AEA-944'!#REF!</definedName>
    <definedName name="Excel_BuiltIn_Print_Titles_13" localSheetId="11">'[38]DUB-823'!#REF!</definedName>
    <definedName name="Excel_BuiltIn_Print_Titles_13" localSheetId="12">'[38]DUB-823'!#REF!</definedName>
    <definedName name="Excel_BuiltIn_Print_Titles_13">'[38]DUB-823'!#REF!</definedName>
    <definedName name="Excel_BuiltIn_Print_Titles_14" localSheetId="11">'[38]GPI 526'!#REF!</definedName>
    <definedName name="Excel_BuiltIn_Print_Titles_14" localSheetId="12">'[38]GPI 526'!#REF!</definedName>
    <definedName name="Excel_BuiltIn_Print_Titles_14">'[38]GPI 526'!#REF!</definedName>
    <definedName name="Excel_BuiltIn_Print_Titles_15" localSheetId="11">#REF!</definedName>
    <definedName name="Excel_BuiltIn_Print_Titles_15" localSheetId="12">#REF!</definedName>
    <definedName name="Excel_BuiltIn_Print_Titles_15">#REF!</definedName>
    <definedName name="Excel_BuiltIn_Print_Titles_16" localSheetId="11">#REF!</definedName>
    <definedName name="Excel_BuiltIn_Print_Titles_16" localSheetId="12">#REF!</definedName>
    <definedName name="Excel_BuiltIn_Print_Titles_16">#REF!</definedName>
    <definedName name="Excel_BuiltIn_Print_Titles_17" localSheetId="11">#REF!</definedName>
    <definedName name="Excel_BuiltIn_Print_Titles_17" localSheetId="12">#REF!</definedName>
    <definedName name="Excel_BuiltIn_Print_Titles_17">#REF!</definedName>
    <definedName name="Excel_BuiltIn_Print_Titles_18" localSheetId="11">#REF!</definedName>
    <definedName name="Excel_BuiltIn_Print_Titles_18" localSheetId="12">#REF!</definedName>
    <definedName name="Excel_BuiltIn_Print_Titles_18">#REF!</definedName>
    <definedName name="Excel_BuiltIn_Print_Titles_19" localSheetId="11">[38]XXJ617!#REF!</definedName>
    <definedName name="Excel_BuiltIn_Print_Titles_19" localSheetId="12">[38]XXJ617!#REF!</definedName>
    <definedName name="Excel_BuiltIn_Print_Titles_19">[38]XXJ617!#REF!</definedName>
    <definedName name="Excel_BuiltIn_Print_Titles_20" localSheetId="11">#REF!</definedName>
    <definedName name="Excel_BuiltIn_Print_Titles_20" localSheetId="12">#REF!</definedName>
    <definedName name="Excel_BuiltIn_Print_Titles_20">#REF!</definedName>
    <definedName name="Excel_BuiltIn_Print_Titles_21" localSheetId="11">[38]SNG_855!#REF!</definedName>
    <definedName name="Excel_BuiltIn_Print_Titles_21" localSheetId="12">[38]SNG_855!#REF!</definedName>
    <definedName name="Excel_BuiltIn_Print_Titles_21">[38]SNG_855!#REF!</definedName>
    <definedName name="Excel_BuiltIn_Print_Titles_23" localSheetId="11">#REF!</definedName>
    <definedName name="Excel_BuiltIn_Print_Titles_23" localSheetId="12">#REF!</definedName>
    <definedName name="Excel_BuiltIn_Print_Titles_23">#REF!</definedName>
    <definedName name="Excel_BuiltIn_Print_Titles_3" localSheetId="11">#REF!</definedName>
    <definedName name="Excel_BuiltIn_Print_Titles_3" localSheetId="12">#REF!</definedName>
    <definedName name="Excel_BuiltIn_Print_Titles_3">#REF!</definedName>
    <definedName name="Excel_BuiltIn_Print_Titles_5" localSheetId="11">'[38]VEA 374'!#REF!</definedName>
    <definedName name="Excel_BuiltIn_Print_Titles_5" localSheetId="12">'[38]VEA 374'!#REF!</definedName>
    <definedName name="Excel_BuiltIn_Print_Titles_5">'[38]VEA 374'!#REF!</definedName>
    <definedName name="Excel_BuiltIn_Print_Titles_5_XX" localSheetId="11">'[38]VEA 374'!#REF!</definedName>
    <definedName name="Excel_BuiltIn_Print_Titles_5_XX" localSheetId="12">'[38]VEA 374'!#REF!</definedName>
    <definedName name="Excel_BuiltIn_Print_Titles_5_XX">'[38]VEA 374'!#REF!</definedName>
    <definedName name="Excel_BuiltIn_Print_Titles_6" localSheetId="11">#REF!</definedName>
    <definedName name="Excel_BuiltIn_Print_Titles_6" localSheetId="12">#REF!</definedName>
    <definedName name="Excel_BuiltIn_Print_Titles_6">#REF!</definedName>
    <definedName name="Excel_BuiltIn_Print_Titles_7" localSheetId="11">[38]HFB024!#REF!</definedName>
    <definedName name="Excel_BuiltIn_Print_Titles_7" localSheetId="12">[38]HFB024!#REF!</definedName>
    <definedName name="Excel_BuiltIn_Print_Titles_7">[38]HFB024!#REF!</definedName>
    <definedName name="Excel_BuiltIn_Print_Titles_8" localSheetId="11">#REF!</definedName>
    <definedName name="Excel_BuiltIn_Print_Titles_8" localSheetId="12">#REF!</definedName>
    <definedName name="Excel_BuiltIn_Print_Titles_8">#REF!</definedName>
    <definedName name="Excel_BuiltIn_Print_Titles_9" localSheetId="11">[38]PAJ825!#REF!</definedName>
    <definedName name="Excel_BuiltIn_Print_Titles_9" localSheetId="12">[38]PAJ825!#REF!</definedName>
    <definedName name="Excel_BuiltIn_Print_Titles_9">[38]PAJ825!#REF!</definedName>
    <definedName name="EXCROC">'[90]Análisis de precios'!$H$52</definedName>
    <definedName name="ExtensionCoordinador" localSheetId="11">#REF!</definedName>
    <definedName name="ExtensionCoordinador">#REF!</definedName>
    <definedName name="Extra_Pay" localSheetId="11">#REF!</definedName>
    <definedName name="Extra_Pay">#REF!</definedName>
    <definedName name="Extracción_IM" localSheetId="11">#REF!</definedName>
    <definedName name="Extracción_IM">#REF!</definedName>
    <definedName name="Extras">'[56]LIQUIDA-NOMINA'!$AH$4</definedName>
    <definedName name="F._INGRESO" localSheetId="11">#REF!</definedName>
    <definedName name="F._INGRESO">#REF!</definedName>
    <definedName name="F._RETIRO" localSheetId="11">#REF!</definedName>
    <definedName name="F._RETIRO">#REF!</definedName>
    <definedName name="F.L" localSheetId="11">#REF!</definedName>
    <definedName name="F.L">#REF!</definedName>
    <definedName name="Facilidades" localSheetId="11">#REF!</definedName>
    <definedName name="Facilidades">#REF!</definedName>
    <definedName name="factor" localSheetId="11">#REF!</definedName>
    <definedName name="factor">#REF!</definedName>
    <definedName name="FACTURADO" localSheetId="11">'[91]Itemes Renovación'!#REF!</definedName>
    <definedName name="FACTURADO">'[91]Itemes Renovación'!#REF!</definedName>
    <definedName name="FareWellStmnt" localSheetId="11">[66]!FareWellStmnt</definedName>
    <definedName name="FareWellStmnt">[66]!FareWellStmnt</definedName>
    <definedName name="FaseProyecto" localSheetId="11">#REF!</definedName>
    <definedName name="FaseProyecto">#REF!</definedName>
    <definedName name="FD" localSheetId="12">'Formulario No. 1'!ERR</definedName>
    <definedName name="FD">[0]!ERR</definedName>
    <definedName name="fda" localSheetId="12" hidden="1">{"TAB1",#N/A,TRUE,"GENERAL";"TAB2",#N/A,TRUE,"GENERAL";"TAB3",#N/A,TRUE,"GENERAL";"TAB4",#N/A,TRUE,"GENERAL";"TAB5",#N/A,TRUE,"GENERAL"}</definedName>
    <definedName name="fda" hidden="1">{"TAB1",#N/A,TRUE,"GENERAL";"TAB2",#N/A,TRUE,"GENERAL";"TAB3",#N/A,TRUE,"GENERAL";"TAB4",#N/A,TRUE,"GENERAL";"TAB5",#N/A,TRUE,"GENERAL"}</definedName>
    <definedName name="fdbjp" localSheetId="12" hidden="1">{"TAB1",#N/A,TRUE,"GENERAL";"TAB2",#N/A,TRUE,"GENERAL";"TAB3",#N/A,TRUE,"GENERAL";"TAB4",#N/A,TRUE,"GENERAL";"TAB5",#N/A,TRUE,"GENERAL"}</definedName>
    <definedName name="fdbjp" hidden="1">{"TAB1",#N/A,TRUE,"GENERAL";"TAB2",#N/A,TRUE,"GENERAL";"TAB3",#N/A,TRUE,"GENERAL";"TAB4",#N/A,TRUE,"GENERAL";"TAB5",#N/A,TRUE,"GENERAL"}</definedName>
    <definedName name="fdf" localSheetId="12" hidden="1">{"TAB1",#N/A,TRUE,"GENERAL";"TAB2",#N/A,TRUE,"GENERAL";"TAB3",#N/A,TRUE,"GENERAL";"TAB4",#N/A,TRUE,"GENERAL";"TAB5",#N/A,TRUE,"GENERAL"}</definedName>
    <definedName name="fdf" hidden="1">{"TAB1",#N/A,TRUE,"GENERAL";"TAB2",#N/A,TRUE,"GENERAL";"TAB3",#N/A,TRUE,"GENERAL";"TAB4",#N/A,TRUE,"GENERAL";"TAB5",#N/A,TRUE,"GENERAL"}</definedName>
    <definedName name="fdg" localSheetId="12" hidden="1">{"via1",#N/A,TRUE,"general";"via2",#N/A,TRUE,"general";"via3",#N/A,TRUE,"general"}</definedName>
    <definedName name="fdg" hidden="1">{"via1",#N/A,TRUE,"general";"via2",#N/A,TRUE,"general";"via3",#N/A,TRUE,"general"}</definedName>
    <definedName name="FDGD" localSheetId="12" hidden="1">{"TAB1",#N/A,TRUE,"GENERAL";"TAB2",#N/A,TRUE,"GENERAL";"TAB3",#N/A,TRUE,"GENERAL";"TAB4",#N/A,TRUE,"GENERAL";"TAB5",#N/A,TRUE,"GENERAL"}</definedName>
    <definedName name="FDGD" hidden="1">{"TAB1",#N/A,TRUE,"GENERAL";"TAB2",#N/A,TRUE,"GENERAL";"TAB3",#N/A,TRUE,"GENERAL";"TAB4",#N/A,TRUE,"GENERAL";"TAB5",#N/A,TRUE,"GENERAL"}</definedName>
    <definedName name="FDGFDBBP" localSheetId="12" hidden="1">{"TAB1",#N/A,TRUE,"GENERAL";"TAB2",#N/A,TRUE,"GENERAL";"TAB3",#N/A,TRUE,"GENERAL";"TAB4",#N/A,TRUE,"GENERAL";"TAB5",#N/A,TRUE,"GENERAL"}</definedName>
    <definedName name="FDGFDBBP" hidden="1">{"TAB1",#N/A,TRUE,"GENERAL";"TAB2",#N/A,TRUE,"GENERAL";"TAB3",#N/A,TRUE,"GENERAL";"TAB4",#N/A,TRUE,"GENERAL";"TAB5",#N/A,TRUE,"GENERAL"}</definedName>
    <definedName name="fdh" localSheetId="12" hidden="1">{"TAB1",#N/A,TRUE,"GENERAL";"TAB2",#N/A,TRUE,"GENERAL";"TAB3",#N/A,TRUE,"GENERAL";"TAB4",#N/A,TRUE,"GENERAL";"TAB5",#N/A,TRUE,"GENERAL"}</definedName>
    <definedName name="fdh" hidden="1">{"TAB1",#N/A,TRUE,"GENERAL";"TAB2",#N/A,TRUE,"GENERAL";"TAB3",#N/A,TRUE,"GENERAL";"TAB4",#N/A,TRUE,"GENERAL";"TAB5",#N/A,TRUE,"GENERAL"}</definedName>
    <definedName name="fdsf" localSheetId="12" hidden="1">{"TAB1",#N/A,TRUE,"GENERAL";"TAB2",#N/A,TRUE,"GENERAL";"TAB3",#N/A,TRUE,"GENERAL";"TAB4",#N/A,TRUE,"GENERAL";"TAB5",#N/A,TRUE,"GENERAL"}</definedName>
    <definedName name="fdsf" hidden="1">{"TAB1",#N/A,TRUE,"GENERAL";"TAB2",#N/A,TRUE,"GENERAL";"TAB3",#N/A,TRUE,"GENERAL";"TAB4",#N/A,TRUE,"GENERAL";"TAB5",#N/A,TRUE,"GENERAL"}</definedName>
    <definedName name="fdsfds" localSheetId="12" hidden="1">{"TAB1",#N/A,TRUE,"GENERAL";"TAB2",#N/A,TRUE,"GENERAL";"TAB3",#N/A,TRUE,"GENERAL";"TAB4",#N/A,TRUE,"GENERAL";"TAB5",#N/A,TRUE,"GENERAL"}</definedName>
    <definedName name="fdsfds" hidden="1">{"TAB1",#N/A,TRUE,"GENERAL";"TAB2",#N/A,TRUE,"GENERAL";"TAB3",#N/A,TRUE,"GENERAL";"TAB4",#N/A,TRUE,"GENERAL";"TAB5",#N/A,TRUE,"GENERAL"}</definedName>
    <definedName name="fdsfdsf" localSheetId="12" hidden="1">{"via1",#N/A,TRUE,"general";"via2",#N/A,TRUE,"general";"via3",#N/A,TRUE,"general"}</definedName>
    <definedName name="fdsfdsf" hidden="1">{"via1",#N/A,TRUE,"general";"via2",#N/A,TRUE,"general";"via3",#N/A,TRUE,"general"}</definedName>
    <definedName name="fdsgfds" localSheetId="12" hidden="1">{"via1",#N/A,TRUE,"general";"via2",#N/A,TRUE,"general";"via3",#N/A,TRUE,"general"}</definedName>
    <definedName name="fdsgfds" hidden="1">{"via1",#N/A,TRUE,"general";"via2",#N/A,TRUE,"general";"via3",#N/A,TRUE,"general"}</definedName>
    <definedName name="fdsgsdfu" localSheetId="12" hidden="1">{"TAB1",#N/A,TRUE,"GENERAL";"TAB2",#N/A,TRUE,"GENERAL";"TAB3",#N/A,TRUE,"GENERAL";"TAB4",#N/A,TRUE,"GENERAL";"TAB5",#N/A,TRUE,"GENERAL"}</definedName>
    <definedName name="fdsgsdfu" hidden="1">{"TAB1",#N/A,TRUE,"GENERAL";"TAB2",#N/A,TRUE,"GENERAL";"TAB3",#N/A,TRUE,"GENERAL";"TAB4",#N/A,TRUE,"GENERAL";"TAB5",#N/A,TRUE,"GENERAL"}</definedName>
    <definedName name="FDSIO" localSheetId="12" hidden="1">{"TAB1",#N/A,TRUE,"GENERAL";"TAB2",#N/A,TRUE,"GENERAL";"TAB3",#N/A,TRUE,"GENERAL";"TAB4",#N/A,TRUE,"GENERAL";"TAB5",#N/A,TRUE,"GENERAL"}</definedName>
    <definedName name="FDSIO" hidden="1">{"TAB1",#N/A,TRUE,"GENERAL";"TAB2",#N/A,TRUE,"GENERAL";"TAB3",#N/A,TRUE,"GENERAL";"TAB4",#N/A,TRUE,"GENERAL";"TAB5",#N/A,TRUE,"GENERAL"}</definedName>
    <definedName name="fdwssf" localSheetId="11">#REF!</definedName>
    <definedName name="fdwssf">#REF!</definedName>
    <definedName name="FE">1.32</definedName>
    <definedName name="Fecha">[92]Tablas!$B$1:$B$65536</definedName>
    <definedName name="FechaInicio">[56]CONTRATO!$E$10</definedName>
    <definedName name="FechaTermina">[56]CONTRATO!$E$11</definedName>
    <definedName name="FechaTerminacion" localSheetId="11">#REF!</definedName>
    <definedName name="FechaTerminacion">#REF!</definedName>
    <definedName name="fer" localSheetId="11">'[52]Res-Accide-10'!#REF!</definedName>
    <definedName name="fer" localSheetId="12">'[52]Res-Accide-10'!#REF!</definedName>
    <definedName name="fer">'[52]Res-Accide-10'!#REF!</definedName>
    <definedName name="ferfer" localSheetId="12" hidden="1">{"via1",#N/A,TRUE,"general";"via2",#N/A,TRUE,"general";"via3",#N/A,TRUE,"general"}</definedName>
    <definedName name="ferfer" hidden="1">{"via1",#N/A,TRUE,"general";"via2",#N/A,TRUE,"general";"via3",#N/A,TRUE,"general"}</definedName>
    <definedName name="ff" localSheetId="12">'Formulario No. 1'!ERR</definedName>
    <definedName name="ff">[0]!ERR</definedName>
    <definedName name="fff" localSheetId="12" hidden="1">{"via1",#N/A,TRUE,"general";"via2",#N/A,TRUE,"general";"via3",#N/A,TRUE,"general"}</definedName>
    <definedName name="fff" hidden="1">{"via1",#N/A,TRUE,"general";"via2",#N/A,TRUE,"general";"via3",#N/A,TRUE,"general"}</definedName>
    <definedName name="ffffd" localSheetId="12" hidden="1">{"via1",#N/A,TRUE,"general";"via2",#N/A,TRUE,"general";"via3",#N/A,TRUE,"general"}</definedName>
    <definedName name="ffffd" hidden="1">{"via1",#N/A,TRUE,"general";"via2",#N/A,TRUE,"general";"via3",#N/A,TRUE,"general"}</definedName>
    <definedName name="fffffft" localSheetId="12" hidden="1">{"TAB1",#N/A,TRUE,"GENERAL";"TAB2",#N/A,TRUE,"GENERAL";"TAB3",#N/A,TRUE,"GENERAL";"TAB4",#N/A,TRUE,"GENERAL";"TAB5",#N/A,TRUE,"GENERAL"}</definedName>
    <definedName name="fffffft" hidden="1">{"TAB1",#N/A,TRUE,"GENERAL";"TAB2",#N/A,TRUE,"GENERAL";"TAB3",#N/A,TRUE,"GENERAL";"TAB4",#N/A,TRUE,"GENERAL";"TAB5",#N/A,TRUE,"GENERAL"}</definedName>
    <definedName name="fffffik" localSheetId="12" hidden="1">{"TAB1",#N/A,TRUE,"GENERAL";"TAB2",#N/A,TRUE,"GENERAL";"TAB3",#N/A,TRUE,"GENERAL";"TAB4",#N/A,TRUE,"GENERAL";"TAB5",#N/A,TRUE,"GENERAL"}</definedName>
    <definedName name="fffffik" hidden="1">{"TAB1",#N/A,TRUE,"GENERAL";"TAB2",#N/A,TRUE,"GENERAL";"TAB3",#N/A,TRUE,"GENERAL";"TAB4",#N/A,TRUE,"GENERAL";"TAB5",#N/A,TRUE,"GENERAL"}</definedName>
    <definedName name="fffffj" localSheetId="12" hidden="1">{"TAB1",#N/A,TRUE,"GENERAL";"TAB2",#N/A,TRUE,"GENERAL";"TAB3",#N/A,TRUE,"GENERAL";"TAB4",#N/A,TRUE,"GENERAL";"TAB5",#N/A,TRUE,"GENERAL"}</definedName>
    <definedName name="fffffj" hidden="1">{"TAB1",#N/A,TRUE,"GENERAL";"TAB2",#N/A,TRUE,"GENERAL";"TAB3",#N/A,TRUE,"GENERAL";"TAB4",#N/A,TRUE,"GENERAL";"TAB5",#N/A,TRUE,"GENERAL"}</definedName>
    <definedName name="ffffrd" localSheetId="12" hidden="1">{"via1",#N/A,TRUE,"general";"via2",#N/A,TRUE,"general";"via3",#N/A,TRUE,"general"}</definedName>
    <definedName name="ffffrd" hidden="1">{"via1",#N/A,TRUE,"general";"via2",#N/A,TRUE,"general";"via3",#N/A,TRUE,"general"}</definedName>
    <definedName name="ffffy" localSheetId="12" hidden="1">{"TAB1",#N/A,TRUE,"GENERAL";"TAB2",#N/A,TRUE,"GENERAL";"TAB3",#N/A,TRUE,"GENERAL";"TAB4",#N/A,TRUE,"GENERAL";"TAB5",#N/A,TRUE,"GENERAL"}</definedName>
    <definedName name="ffffy" hidden="1">{"TAB1",#N/A,TRUE,"GENERAL";"TAB2",#N/A,TRUE,"GENERAL";"TAB3",#N/A,TRUE,"GENERAL";"TAB4",#N/A,TRUE,"GENERAL";"TAB5",#N/A,TRUE,"GENERAL"}</definedName>
    <definedName name="fffrfr" localSheetId="12" hidden="1">{"TAB1",#N/A,TRUE,"GENERAL";"TAB2",#N/A,TRUE,"GENERAL";"TAB3",#N/A,TRUE,"GENERAL";"TAB4",#N/A,TRUE,"GENERAL";"TAB5",#N/A,TRUE,"GENERAL"}</definedName>
    <definedName name="fffrfr" hidden="1">{"TAB1",#N/A,TRUE,"GENERAL";"TAB2",#N/A,TRUE,"GENERAL";"TAB3",#N/A,TRUE,"GENERAL";"TAB4",#N/A,TRUE,"GENERAL";"TAB5",#N/A,TRUE,"GENERAL"}</definedName>
    <definedName name="fffs" localSheetId="12" hidden="1">{"TAB1",#N/A,TRUE,"GENERAL";"TAB2",#N/A,TRUE,"GENERAL";"TAB3",#N/A,TRUE,"GENERAL";"TAB4",#N/A,TRUE,"GENERAL";"TAB5",#N/A,TRUE,"GENERAL"}</definedName>
    <definedName name="fffs" hidden="1">{"TAB1",#N/A,TRUE,"GENERAL";"TAB2",#N/A,TRUE,"GENERAL";"TAB3",#N/A,TRUE,"GENERAL";"TAB4",#N/A,TRUE,"GENERAL";"TAB5",#N/A,TRUE,"GENERAL"}</definedName>
    <definedName name="fg" localSheetId="12">'Formulario No. 1'!ERR</definedName>
    <definedName name="fg">[0]!ERR</definedName>
    <definedName name="fgdfg" localSheetId="12" hidden="1">{"TAB1",#N/A,TRUE,"GENERAL";"TAB2",#N/A,TRUE,"GENERAL";"TAB3",#N/A,TRUE,"GENERAL";"TAB4",#N/A,TRUE,"GENERAL";"TAB5",#N/A,TRUE,"GENERAL"}</definedName>
    <definedName name="fgdfg" hidden="1">{"TAB1",#N/A,TRUE,"GENERAL";"TAB2",#N/A,TRUE,"GENERAL";"TAB3",#N/A,TRUE,"GENERAL";"TAB4",#N/A,TRUE,"GENERAL";"TAB5",#N/A,TRUE,"GENERAL"}</definedName>
    <definedName name="fgdfsgr" localSheetId="12" hidden="1">{"via1",#N/A,TRUE,"general";"via2",#N/A,TRUE,"general";"via3",#N/A,TRUE,"general"}</definedName>
    <definedName name="fgdfsgr" hidden="1">{"via1",#N/A,TRUE,"general";"via2",#N/A,TRUE,"general";"via3",#N/A,TRUE,"general"}</definedName>
    <definedName name="fgdsfg" localSheetId="12" hidden="1">{"TAB1",#N/A,TRUE,"GENERAL";"TAB2",#N/A,TRUE,"GENERAL";"TAB3",#N/A,TRUE,"GENERAL";"TAB4",#N/A,TRUE,"GENERAL";"TAB5",#N/A,TRUE,"GENERAL"}</definedName>
    <definedName name="fgdsfg" hidden="1">{"TAB1",#N/A,TRUE,"GENERAL";"TAB2",#N/A,TRUE,"GENERAL";"TAB3",#N/A,TRUE,"GENERAL";"TAB4",#N/A,TRUE,"GENERAL";"TAB5",#N/A,TRUE,"GENERAL"}</definedName>
    <definedName name="FGFDH" localSheetId="12" hidden="1">{"via1",#N/A,TRUE,"general";"via2",#N/A,TRUE,"general";"via3",#N/A,TRUE,"general"}</definedName>
    <definedName name="FGFDH" hidden="1">{"via1",#N/A,TRUE,"general";"via2",#N/A,TRUE,"general";"via3",#N/A,TRUE,"general"}</definedName>
    <definedName name="fgghhj" localSheetId="12" hidden="1">{"via1",#N/A,TRUE,"general";"via2",#N/A,TRUE,"general";"via3",#N/A,TRUE,"general"}</definedName>
    <definedName name="fgghhj" hidden="1">{"via1",#N/A,TRUE,"general";"via2",#N/A,TRUE,"general";"via3",#N/A,TRUE,"general"}</definedName>
    <definedName name="fgh" localSheetId="11">'[93]7422CW00'!#REF!</definedName>
    <definedName name="fgh">'[93]7422CW00'!#REF!</definedName>
    <definedName name="FGHFBC" localSheetId="12" hidden="1">{"via1",#N/A,TRUE,"general";"via2",#N/A,TRUE,"general";"via3",#N/A,TRUE,"general"}</definedName>
    <definedName name="FGHFBC" hidden="1">{"via1",#N/A,TRUE,"general";"via2",#N/A,TRUE,"general";"via3",#N/A,TRUE,"general"}</definedName>
    <definedName name="fghfg" localSheetId="12" hidden="1">{"TAB1",#N/A,TRUE,"GENERAL";"TAB2",#N/A,TRUE,"GENERAL";"TAB3",#N/A,TRUE,"GENERAL";"TAB4",#N/A,TRUE,"GENERAL";"TAB5",#N/A,TRUE,"GENERAL"}</definedName>
    <definedName name="fghfg" hidden="1">{"TAB1",#N/A,TRUE,"GENERAL";"TAB2",#N/A,TRUE,"GENERAL";"TAB3",#N/A,TRUE,"GENERAL";"TAB4",#N/A,TRUE,"GENERAL";"TAB5",#N/A,TRUE,"GENERAL"}</definedName>
    <definedName name="fghfgh" localSheetId="12" hidden="1">{"via1",#N/A,TRUE,"general";"via2",#N/A,TRUE,"general";"via3",#N/A,TRUE,"general"}</definedName>
    <definedName name="fghfgh" hidden="1">{"via1",#N/A,TRUE,"general";"via2",#N/A,TRUE,"general";"via3",#N/A,TRUE,"general"}</definedName>
    <definedName name="FGHFW" localSheetId="12" hidden="1">{"via1",#N/A,TRUE,"general";"via2",#N/A,TRUE,"general";"via3",#N/A,TRUE,"general"}</definedName>
    <definedName name="FGHFW" hidden="1">{"via1",#N/A,TRUE,"general";"via2",#N/A,TRUE,"general";"via3",#N/A,TRUE,"general"}</definedName>
    <definedName name="fghhh" localSheetId="12" hidden="1">{"TAB1",#N/A,TRUE,"GENERAL";"TAB2",#N/A,TRUE,"GENERAL";"TAB3",#N/A,TRUE,"GENERAL";"TAB4",#N/A,TRUE,"GENERAL";"TAB5",#N/A,TRUE,"GENERAL"}</definedName>
    <definedName name="fghhh" hidden="1">{"TAB1",#N/A,TRUE,"GENERAL";"TAB2",#N/A,TRUE,"GENERAL";"TAB3",#N/A,TRUE,"GENERAL";"TAB4",#N/A,TRUE,"GENERAL";"TAB5",#N/A,TRUE,"GENERAL"}</definedName>
    <definedName name="fghsfgh" localSheetId="12" hidden="1">{"via1",#N/A,TRUE,"general";"via2",#N/A,TRUE,"general";"via3",#N/A,TRUE,"general"}</definedName>
    <definedName name="fghsfgh" hidden="1">{"via1",#N/A,TRUE,"general";"via2",#N/A,TRUE,"general";"via3",#N/A,TRUE,"general"}</definedName>
    <definedName name="fght" localSheetId="12" hidden="1">{"TAB1",#N/A,TRUE,"GENERAL";"TAB2",#N/A,TRUE,"GENERAL";"TAB3",#N/A,TRUE,"GENERAL";"TAB4",#N/A,TRUE,"GENERAL";"TAB5",#N/A,TRUE,"GENERAL"}</definedName>
    <definedName name="fght" hidden="1">{"TAB1",#N/A,TRUE,"GENERAL";"TAB2",#N/A,TRUE,"GENERAL";"TAB3",#N/A,TRUE,"GENERAL";"TAB4",#N/A,TRUE,"GENERAL";"TAB5",#N/A,TRUE,"GENERAL"}</definedName>
    <definedName name="fgjgryi" localSheetId="12" hidden="1">{"TAB1",#N/A,TRUE,"GENERAL";"TAB2",#N/A,TRUE,"GENERAL";"TAB3",#N/A,TRUE,"GENERAL";"TAB4",#N/A,TRUE,"GENERAL";"TAB5",#N/A,TRUE,"GENERAL"}</definedName>
    <definedName name="fgjgryi" hidden="1">{"TAB1",#N/A,TRUE,"GENERAL";"TAB2",#N/A,TRUE,"GENERAL";"TAB3",#N/A,TRUE,"GENERAL";"TAB4",#N/A,TRUE,"GENERAL";"TAB5",#N/A,TRUE,"GENERAL"}</definedName>
    <definedName name="fhfg" localSheetId="12" hidden="1">{"TAB1",#N/A,TRUE,"GENERAL";"TAB2",#N/A,TRUE,"GENERAL";"TAB3",#N/A,TRUE,"GENERAL";"TAB4",#N/A,TRUE,"GENERAL";"TAB5",#N/A,TRUE,"GENERAL"}</definedName>
    <definedName name="fhfg" hidden="1">{"TAB1",#N/A,TRUE,"GENERAL";"TAB2",#N/A,TRUE,"GENERAL";"TAB3",#N/A,TRUE,"GENERAL";"TAB4",#N/A,TRUE,"GENERAL";"TAB5",#N/A,TRUE,"GENERAL"}</definedName>
    <definedName name="fhfgh" localSheetId="12" hidden="1">{"via1",#N/A,TRUE,"general";"via2",#N/A,TRUE,"general";"via3",#N/A,TRUE,"general"}</definedName>
    <definedName name="fhfgh" hidden="1">{"via1",#N/A,TRUE,"general";"via2",#N/A,TRUE,"general";"via3",#N/A,TRUE,"general"}</definedName>
    <definedName name="fhg" hidden="1">{#N/A,#N/A,TRUE,"1842CWN0"}</definedName>
    <definedName name="fhgh" localSheetId="12" hidden="1">{"via1",#N/A,TRUE,"general";"via2",#N/A,TRUE,"general";"via3",#N/A,TRUE,"general"}</definedName>
    <definedName name="fhgh" hidden="1">{"via1",#N/A,TRUE,"general";"via2",#N/A,TRUE,"general";"via3",#N/A,TRUE,"general"}</definedName>
    <definedName name="fhpltyunh" localSheetId="12" hidden="1">{"via1",#N/A,TRUE,"general";"via2",#N/A,TRUE,"general";"via3",#N/A,TRUE,"general"}</definedName>
    <definedName name="fhpltyunh" hidden="1">{"via1",#N/A,TRUE,"general";"via2",#N/A,TRUE,"general";"via3",#N/A,TRUE,"general"}</definedName>
    <definedName name="fi" localSheetId="11">#REF!</definedName>
    <definedName name="fi">#REF!</definedName>
    <definedName name="FIBER" localSheetId="11">#REF!</definedName>
    <definedName name="FIBER">#REF!</definedName>
    <definedName name="FIELT">'BASE 2'!$D$452</definedName>
    <definedName name="Fil_Fechas" localSheetId="11">#REF!</definedName>
    <definedName name="Fil_Fechas">#REF!</definedName>
    <definedName name="fill1" localSheetId="11" hidden="1">#REF!</definedName>
    <definedName name="fill1" hidden="1">#REF!</definedName>
    <definedName name="FILTROS" localSheetId="11">#REF!</definedName>
    <definedName name="FILTROS">#REF!</definedName>
    <definedName name="FINANCIACION" localSheetId="12">'Formulario No. 1'!ERR</definedName>
    <definedName name="FINANCIACION">[0]!ERR</definedName>
    <definedName name="FinePrint" localSheetId="11">[66]!FinePrint</definedName>
    <definedName name="FinePrint">[66]!FinePrint</definedName>
    <definedName name="FM">1.18</definedName>
    <definedName name="fnic">[71]Hoja1!$C$13</definedName>
    <definedName name="FO">1.32</definedName>
    <definedName name="FORDESCR" localSheetId="11">'[3]7422CW00'!#REF!</definedName>
    <definedName name="FORDESCR">'[3]7422CW00'!#REF!</definedName>
    <definedName name="FORM_C3">[94]Hoja1!$A$33:$N$51</definedName>
    <definedName name="FORM3" localSheetId="8">[15]BASE2!$D$483</definedName>
    <definedName name="FORM3" localSheetId="9">[15]BASE2!$D$483</definedName>
    <definedName name="FORM3">'BASE 2'!$D$729</definedName>
    <definedName name="FORMA" localSheetId="8">[15]BASE2!$D$479</definedName>
    <definedName name="FORMA" localSheetId="9">[15]BASE2!$D$479</definedName>
    <definedName name="FORMA">'BASE 2'!$D$725</definedName>
    <definedName name="FORMH" localSheetId="8">[15]BASE2!$D$482</definedName>
    <definedName name="FORMH" localSheetId="9">[15]BASE2!$D$482</definedName>
    <definedName name="FORMH">'BASE 2'!$D$728</definedName>
    <definedName name="FORMM" localSheetId="8">[15]BASE2!$D$478</definedName>
    <definedName name="FORMM" localSheetId="9">[15]BASE2!$D$478</definedName>
    <definedName name="FORMM">'BASE 2'!$D$724</definedName>
    <definedName name="FORMOLT" localSheetId="11">'[3]7422CW00'!#REF!</definedName>
    <definedName name="FORMOLT">'[3]7422CW00'!#REF!</definedName>
    <definedName name="formularioCantidades" localSheetId="11">#REF!</definedName>
    <definedName name="formularioCantidades">#REF!</definedName>
    <definedName name="FORSHE" localSheetId="11">'[3]7422CW00'!#REF!</definedName>
    <definedName name="FORSHE">'[3]7422CW00'!#REF!</definedName>
    <definedName name="FORUNMIS" localSheetId="11">'[3]7422CW00'!#REF!</definedName>
    <definedName name="FORUNMIS">'[3]7422CW00'!#REF!</definedName>
    <definedName name="FR">1.15</definedName>
    <definedName name="frbgsd" localSheetId="12" hidden="1">{"TAB1",#N/A,TRUE,"GENERAL";"TAB2",#N/A,TRUE,"GENERAL";"TAB3",#N/A,TRUE,"GENERAL";"TAB4",#N/A,TRUE,"GENERAL";"TAB5",#N/A,TRUE,"GENERAL"}</definedName>
    <definedName name="frbgsd" hidden="1">{"TAB1",#N/A,TRUE,"GENERAL";"TAB2",#N/A,TRUE,"GENERAL";"TAB3",#N/A,TRUE,"GENERAL";"TAB4",#N/A,TRUE,"GENERAL";"TAB5",#N/A,TRUE,"GENERAL"}</definedName>
    <definedName name="frefr" localSheetId="12" hidden="1">{"via1",#N/A,TRUE,"general";"via2",#N/A,TRUE,"general";"via3",#N/A,TRUE,"general"}</definedName>
    <definedName name="frefr" hidden="1">{"via1",#N/A,TRUE,"general";"via2",#N/A,TRUE,"general";"via3",#N/A,TRUE,"general"}</definedName>
    <definedName name="frfa" localSheetId="12" hidden="1">{"via1",#N/A,TRUE,"general";"via2",#N/A,TRUE,"general";"via3",#N/A,TRUE,"general"}</definedName>
    <definedName name="frfa" hidden="1">{"via1",#N/A,TRUE,"general";"via2",#N/A,TRUE,"general";"via3",#N/A,TRUE,"general"}</definedName>
    <definedName name="frfr" localSheetId="12"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12">'Formulario No. 1'!ERR</definedName>
    <definedName name="fu">[0]!ERR</definedName>
    <definedName name="Full_Print" localSheetId="11">#REF!</definedName>
    <definedName name="Full_Print">#REF!</definedName>
    <definedName name="fwff" localSheetId="12" hidden="1">{"via1",#N/A,TRUE,"general";"via2",#N/A,TRUE,"general";"via3",#N/A,TRUE,"general"}</definedName>
    <definedName name="fwff" hidden="1">{"via1",#N/A,TRUE,"general";"via2",#N/A,TRUE,"general";"via3",#N/A,TRUE,"general"}</definedName>
    <definedName name="fwwe" localSheetId="12" hidden="1">{"via1",#N/A,TRUE,"general";"via2",#N/A,TRUE,"general";"via3",#N/A,TRUE,"general"}</definedName>
    <definedName name="fwwe" hidden="1">{"via1",#N/A,TRUE,"general";"via2",#N/A,TRUE,"general";"via3",#N/A,TRUE,"general"}</definedName>
    <definedName name="FYB02_">'BASE 2'!$D$431</definedName>
    <definedName name="FYB03_">'BASE 2'!$D$432</definedName>
    <definedName name="FYB04_">'BASE 2'!$D$433</definedName>
    <definedName name="FYB08_">'BASE 2'!$D$434</definedName>
    <definedName name="FYB10_">'BASE 2'!$D$435</definedName>
    <definedName name="G" localSheetId="11">#REF!</definedName>
    <definedName name="G">#REF!</definedName>
    <definedName name="G.Eg" localSheetId="11">#REF!</definedName>
    <definedName name="G.Eg">#REF!</definedName>
    <definedName name="G.Em" localSheetId="11">#REF!</definedName>
    <definedName name="G.Em">#REF!</definedName>
    <definedName name="G.Eo" localSheetId="11">#REF!</definedName>
    <definedName name="G.Eo">#REF!</definedName>
    <definedName name="G.Ew" localSheetId="11">#REF!</definedName>
    <definedName name="G.Ew">#REF!</definedName>
    <definedName name="G_C1" localSheetId="11">[12]Tablas!#REF!</definedName>
    <definedName name="G_C1">[12]Tablas!#REF!</definedName>
    <definedName name="G_C10" localSheetId="11">[12]Tablas!#REF!</definedName>
    <definedName name="G_C10">[12]Tablas!#REF!</definedName>
    <definedName name="G_C11" localSheetId="11">[12]Tablas!#REF!</definedName>
    <definedName name="G_C11">[12]Tablas!#REF!</definedName>
    <definedName name="G_C12" localSheetId="11">[12]Tablas!#REF!</definedName>
    <definedName name="G_C12">[12]Tablas!#REF!</definedName>
    <definedName name="G_C13" localSheetId="11">[12]Tablas!#REF!</definedName>
    <definedName name="G_C13">[12]Tablas!#REF!</definedName>
    <definedName name="G_C14" localSheetId="11">[12]Tablas!#REF!</definedName>
    <definedName name="G_C14">[12]Tablas!#REF!</definedName>
    <definedName name="G_C15" localSheetId="11">[12]Tablas!#REF!</definedName>
    <definedName name="G_C15">[12]Tablas!#REF!</definedName>
    <definedName name="G_C16" localSheetId="11">[12]Tablas!#REF!</definedName>
    <definedName name="G_C16">[12]Tablas!#REF!</definedName>
    <definedName name="G_C17" localSheetId="11">[12]Tablas!#REF!</definedName>
    <definedName name="G_C17">[12]Tablas!#REF!</definedName>
    <definedName name="G_C18" localSheetId="11">[12]Tablas!#REF!</definedName>
    <definedName name="G_C18">[12]Tablas!#REF!</definedName>
    <definedName name="G_C19" localSheetId="11">[12]Tablas!#REF!</definedName>
    <definedName name="G_C19">[12]Tablas!#REF!</definedName>
    <definedName name="G_C2" localSheetId="11">[12]Tablas!#REF!</definedName>
    <definedName name="G_C2">[12]Tablas!#REF!</definedName>
    <definedName name="G_C20" localSheetId="11">[12]Tablas!#REF!</definedName>
    <definedName name="G_C20">[12]Tablas!#REF!</definedName>
    <definedName name="G_C21" localSheetId="11">[12]Tablas!#REF!</definedName>
    <definedName name="G_C21">[12]Tablas!#REF!</definedName>
    <definedName name="G_C22" localSheetId="11">[12]Tablas!#REF!</definedName>
    <definedName name="G_C22">[12]Tablas!#REF!</definedName>
    <definedName name="G_C3" localSheetId="11">[12]Tablas!#REF!</definedName>
    <definedName name="G_C3">[12]Tablas!#REF!</definedName>
    <definedName name="G_C4" localSheetId="11">[12]Tablas!#REF!</definedName>
    <definedName name="G_C4">[12]Tablas!#REF!</definedName>
    <definedName name="G_C5" localSheetId="11">[12]Tablas!#REF!</definedName>
    <definedName name="G_C5">[12]Tablas!#REF!</definedName>
    <definedName name="G_C6" localSheetId="11">[12]Tablas!#REF!</definedName>
    <definedName name="G_C6">[12]Tablas!#REF!</definedName>
    <definedName name="G_C7" localSheetId="11">[12]Tablas!#REF!</definedName>
    <definedName name="G_C7">[12]Tablas!#REF!</definedName>
    <definedName name="G_C8" localSheetId="11">[12]Tablas!#REF!</definedName>
    <definedName name="G_C8">[12]Tablas!#REF!</definedName>
    <definedName name="G_C9" localSheetId="11">[12]Tablas!#REF!</definedName>
    <definedName name="G_C9">[12]Tablas!#REF!</definedName>
    <definedName name="G1_" localSheetId="11">#REF!</definedName>
    <definedName name="G1_">#REF!</definedName>
    <definedName name="GAJ" localSheetId="11">#REF!</definedName>
    <definedName name="GAJ" localSheetId="12">#REF!</definedName>
    <definedName name="GAJ">#REF!</definedName>
    <definedName name="GAS" localSheetId="11">[12]Tablas!#REF!</definedName>
    <definedName name="GAS">[12]Tablas!#REF!</definedName>
    <definedName name="GASO" localSheetId="8">[15]BASE2!$D$509</definedName>
    <definedName name="GASO" localSheetId="9">[15]BASE2!$D$509</definedName>
    <definedName name="GASO">'BASE 2'!$D$758</definedName>
    <definedName name="gba" hidden="1">{#N/A,#N/A,FALSE,"orthoflow";#N/A,#N/A,FALSE,"Miscelaneos";#N/A,#N/A,FALSE,"Instrumentacio";#N/A,#N/A,FALSE,"Electrico";#N/A,#N/A,FALSE,"Valv. Seguridad"}</definedName>
    <definedName name="gbac" hidden="1">{#N/A,#N/A,FALSE,"Estatico";#N/A,#N/A,FALSE,"Tuberia";#N/A,#N/A,FALSE,"Instrumentación";#N/A,#N/A,FALSE,"Mecanica";#N/A,#N/A,FALSE,"Electrico";#N/A,#N/A,FALSE,"Ofic.Civiles"}</definedName>
    <definedName name="gbbfghghj" localSheetId="12" hidden="1">{"TAB1",#N/A,TRUE,"GENERAL";"TAB2",#N/A,TRUE,"GENERAL";"TAB3",#N/A,TRUE,"GENERAL";"TAB4",#N/A,TRUE,"GENERAL";"TAB5",#N/A,TRUE,"GENERAL"}</definedName>
    <definedName name="gbbfghghj" hidden="1">{"TAB1",#N/A,TRUE,"GENERAL";"TAB2",#N/A,TRUE,"GENERAL";"TAB3",#N/A,TRUE,"GENERAL";"TAB4",#N/A,TRUE,"GENERAL";"TAB5",#N/A,TRUE,"GENERAL"}</definedName>
    <definedName name="GCB" localSheetId="11">[11]Tablas!#REF!</definedName>
    <definedName name="GCB">[11]Tablas!#REF!</definedName>
    <definedName name="GCI" localSheetId="11">[12]Tablas!#REF!</definedName>
    <definedName name="GCI">[12]Tablas!#REF!</definedName>
    <definedName name="GCN" localSheetId="11">[12]Tablas!#REF!</definedName>
    <definedName name="GCN">[12]Tablas!#REF!</definedName>
    <definedName name="GCP" localSheetId="11">[12]Tablas!#REF!</definedName>
    <definedName name="GCP">[12]Tablas!#REF!</definedName>
    <definedName name="GDN" localSheetId="11">[12]Tablas!#REF!</definedName>
    <definedName name="GDN">[12]Tablas!#REF!</definedName>
    <definedName name="GDR" localSheetId="11">[12]Tablas!#REF!</definedName>
    <definedName name="GDR">[12]Tablas!#REF!</definedName>
    <definedName name="gdt" localSheetId="12" hidden="1">{"TAB1",#N/A,TRUE,"GENERAL";"TAB2",#N/A,TRUE,"GENERAL";"TAB3",#N/A,TRUE,"GENERAL";"TAB4",#N/A,TRUE,"GENERAL";"TAB5",#N/A,TRUE,"GENERAL"}</definedName>
    <definedName name="gdt" hidden="1">{"TAB1",#N/A,TRUE,"GENERAL";"TAB2",#N/A,TRUE,"GENERAL";"TAB3",#N/A,TRUE,"GENERAL";"TAB4",#N/A,TRUE,"GENERAL";"TAB5",#N/A,TRUE,"GENERAL"}</definedName>
    <definedName name="GEA" localSheetId="11">[12]Tablas!#REF!</definedName>
    <definedName name="GEA">[12]Tablas!#REF!</definedName>
    <definedName name="GEA1_1" localSheetId="11">[12]Tablas!#REF!</definedName>
    <definedName name="GEA1_1">[12]Tablas!#REF!</definedName>
    <definedName name="GEA1_1_1" localSheetId="11">[12]Tablas!#REF!</definedName>
    <definedName name="GEA1_1_1">[12]Tablas!#REF!</definedName>
    <definedName name="GEA1_1_10" localSheetId="11">[12]Tablas!#REF!</definedName>
    <definedName name="GEA1_1_10">[12]Tablas!#REF!</definedName>
    <definedName name="GEA1_1_2" localSheetId="11">[12]Tablas!#REF!</definedName>
    <definedName name="GEA1_1_2">[12]Tablas!#REF!</definedName>
    <definedName name="GEA1_1_3" localSheetId="11">[12]Tablas!#REF!</definedName>
    <definedName name="GEA1_1_3">[12]Tablas!#REF!</definedName>
    <definedName name="GEA1_1_4" localSheetId="11">[12]Tablas!#REF!</definedName>
    <definedName name="GEA1_1_4">[12]Tablas!#REF!</definedName>
    <definedName name="GEA1_1_5" localSheetId="11">[12]Tablas!#REF!</definedName>
    <definedName name="GEA1_1_5">[12]Tablas!#REF!</definedName>
    <definedName name="GEA1_1_6" localSheetId="11">[12]Tablas!#REF!</definedName>
    <definedName name="GEA1_1_6">[12]Tablas!#REF!</definedName>
    <definedName name="GEA1_1_7" localSheetId="11">[12]Tablas!#REF!</definedName>
    <definedName name="GEA1_1_7">[12]Tablas!#REF!</definedName>
    <definedName name="GEA1_1_8" localSheetId="11">[12]Tablas!#REF!</definedName>
    <definedName name="GEA1_1_8">[12]Tablas!#REF!</definedName>
    <definedName name="GEA1_1_9" localSheetId="11">[12]Tablas!#REF!</definedName>
    <definedName name="GEA1_1_9">[12]Tablas!#REF!</definedName>
    <definedName name="GEA1_2" localSheetId="11">[12]Tablas!#REF!</definedName>
    <definedName name="GEA1_2">[12]Tablas!#REF!</definedName>
    <definedName name="GEA1_3" localSheetId="11">[12]Tablas!#REF!</definedName>
    <definedName name="GEA1_3">[12]Tablas!#REF!</definedName>
    <definedName name="GEA1_4" localSheetId="11">[12]Tablas!#REF!</definedName>
    <definedName name="GEA1_4">[12]Tablas!#REF!</definedName>
    <definedName name="GEC" localSheetId="11">[12]Tablas!#REF!</definedName>
    <definedName name="GEC">[12]Tablas!#REF!</definedName>
    <definedName name="GEC_ON_DAPIAY" localSheetId="11">#REF!</definedName>
    <definedName name="GEC_ON_DAPIAY">#REF!</definedName>
    <definedName name="GEC_ON_GER" localSheetId="11">#REF!</definedName>
    <definedName name="GEC_ON_GER">#REF!</definedName>
    <definedName name="geg" localSheetId="12" hidden="1">{"via1",#N/A,TRUE,"general";"via2",#N/A,TRUE,"general";"via3",#N/A,TRUE,"general"}</definedName>
    <definedName name="geg" hidden="1">{"via1",#N/A,TRUE,"general";"via2",#N/A,TRUE,"general";"via3",#N/A,TRUE,"general"}</definedName>
    <definedName name="GENERAL" localSheetId="11">#REF!</definedName>
    <definedName name="GENERAL">#REF!</definedName>
    <definedName name="GENERAL1" localSheetId="11">#REF!</definedName>
    <definedName name="GENERAL1">#REF!</definedName>
    <definedName name="GEOT">'BASE 2'!$D$451</definedName>
    <definedName name="Geotex" localSheetId="11">#REF!</definedName>
    <definedName name="Geotex" localSheetId="12">#REF!</definedName>
    <definedName name="Geotex">#REF!</definedName>
    <definedName name="GERENCIA" localSheetId="11">#REF!</definedName>
    <definedName name="GERENCIA">#REF!</definedName>
    <definedName name="GERENCIA1" localSheetId="11">#REF!</definedName>
    <definedName name="GERENCIA1">#REF!</definedName>
    <definedName name="GERENCIA2" localSheetId="11">#REF!</definedName>
    <definedName name="GERENCIA2">#REF!</definedName>
    <definedName name="Gerente">[56]EMPRESA!$F$12</definedName>
    <definedName name="gerg" localSheetId="12" hidden="1">{"TAB1",#N/A,TRUE,"GENERAL";"TAB2",#N/A,TRUE,"GENERAL";"TAB3",#N/A,TRUE,"GENERAL";"TAB4",#N/A,TRUE,"GENERAL";"TAB5",#N/A,TRUE,"GENERAL"}</definedName>
    <definedName name="gerg" hidden="1">{"TAB1",#N/A,TRUE,"GENERAL";"TAB2",#N/A,TRUE,"GENERAL";"TAB3",#N/A,TRUE,"GENERAL";"TAB4",#N/A,TRUE,"GENERAL";"TAB5",#N/A,TRUE,"GENERAL"}</definedName>
    <definedName name="gerg54" localSheetId="12" hidden="1">{"via1",#N/A,TRUE,"general";"via2",#N/A,TRUE,"general";"via3",#N/A,TRUE,"general"}</definedName>
    <definedName name="gerg54" hidden="1">{"via1",#N/A,TRUE,"general";"via2",#N/A,TRUE,"general";"via3",#N/A,TRUE,"general"}</definedName>
    <definedName name="gergew" localSheetId="12" hidden="1">{"TAB1",#N/A,TRUE,"GENERAL";"TAB2",#N/A,TRUE,"GENERAL";"TAB3",#N/A,TRUE,"GENERAL";"TAB4",#N/A,TRUE,"GENERAL";"TAB5",#N/A,TRUE,"GENERAL"}</definedName>
    <definedName name="gergew" hidden="1">{"TAB1",#N/A,TRUE,"GENERAL";"TAB2",#N/A,TRUE,"GENERAL";"TAB3",#N/A,TRUE,"GENERAL";"TAB4",#N/A,TRUE,"GENERAL";"TAB5",#N/A,TRUE,"GENERAL"}</definedName>
    <definedName name="gergw" localSheetId="12" hidden="1">{"TAB1",#N/A,TRUE,"GENERAL";"TAB2",#N/A,TRUE,"GENERAL";"TAB3",#N/A,TRUE,"GENERAL";"TAB4",#N/A,TRUE,"GENERAL";"TAB5",#N/A,TRUE,"GENERAL"}</definedName>
    <definedName name="gergw" hidden="1">{"TAB1",#N/A,TRUE,"GENERAL";"TAB2",#N/A,TRUE,"GENERAL";"TAB3",#N/A,TRUE,"GENERAL";"TAB4",#N/A,TRUE,"GENERAL";"TAB5",#N/A,TRUE,"GENERAL"}</definedName>
    <definedName name="gfd" localSheetId="12" hidden="1">{"TAB1",#N/A,TRUE,"GENERAL";"TAB2",#N/A,TRUE,"GENERAL";"TAB3",#N/A,TRUE,"GENERAL";"TAB4",#N/A,TRUE,"GENERAL";"TAB5",#N/A,TRUE,"GENERAL"}</definedName>
    <definedName name="gfd" hidden="1">{"TAB1",#N/A,TRUE,"GENERAL";"TAB2",#N/A,TRUE,"GENERAL";"TAB3",#N/A,TRUE,"GENERAL";"TAB4",#N/A,TRUE,"GENERAL";"TAB5",#N/A,TRUE,"GENERAL"}</definedName>
    <definedName name="gfdg" localSheetId="12" hidden="1">{"via1",#N/A,TRUE,"general";"via2",#N/A,TRUE,"general";"via3",#N/A,TRUE,"general"}</definedName>
    <definedName name="gfdg" hidden="1">{"via1",#N/A,TRUE,"general";"via2",#N/A,TRUE,"general";"via3",#N/A,TRUE,"general"}</definedName>
    <definedName name="gffgfhhf" hidden="1">{#N/A,#N/A,TRUE,"INGENIERIA";#N/A,#N/A,TRUE,"COMPRAS";#N/A,#N/A,TRUE,"DIRECCION";#N/A,#N/A,TRUE,"RESUMEN"}</definedName>
    <definedName name="gfgfgr" localSheetId="12" hidden="1">{"via1",#N/A,TRUE,"general";"via2",#N/A,TRUE,"general";"via3",#N/A,TRUE,"general"}</definedName>
    <definedName name="gfgfgr" hidden="1">{"via1",#N/A,TRUE,"general";"via2",#N/A,TRUE,"general";"via3",#N/A,TRUE,"general"}</definedName>
    <definedName name="gfhf" localSheetId="12" hidden="1">{"via1",#N/A,TRUE,"general";"via2",#N/A,TRUE,"general";"via3",#N/A,TRUE,"general"}</definedName>
    <definedName name="gfhf" hidden="1">{"via1",#N/A,TRUE,"general";"via2",#N/A,TRUE,"general";"via3",#N/A,TRUE,"general"}</definedName>
    <definedName name="gfhfdh" localSheetId="12" hidden="1">{"TAB1",#N/A,TRUE,"GENERAL";"TAB2",#N/A,TRUE,"GENERAL";"TAB3",#N/A,TRUE,"GENERAL";"TAB4",#N/A,TRUE,"GENERAL";"TAB5",#N/A,TRUE,"GENERAL"}</definedName>
    <definedName name="gfhfdh" hidden="1">{"TAB1",#N/A,TRUE,"GENERAL";"TAB2",#N/A,TRUE,"GENERAL";"TAB3",#N/A,TRUE,"GENERAL";"TAB4",#N/A,TRUE,"GENERAL";"TAB5",#N/A,TRUE,"GENERAL"}</definedName>
    <definedName name="gfhgfh" localSheetId="12" hidden="1">{"TAB1",#N/A,TRUE,"GENERAL";"TAB2",#N/A,TRUE,"GENERAL";"TAB3",#N/A,TRUE,"GENERAL";"TAB4",#N/A,TRUE,"GENERAL";"TAB5",#N/A,TRUE,"GENERAL"}</definedName>
    <definedName name="gfhgfh" hidden="1">{"TAB1",#N/A,TRUE,"GENERAL";"TAB2",#N/A,TRUE,"GENERAL";"TAB3",#N/A,TRUE,"GENERAL";"TAB4",#N/A,TRUE,"GENERAL";"TAB5",#N/A,TRUE,"GENERAL"}</definedName>
    <definedName name="GFJHGJ" localSheetId="12" hidden="1">{"TAB1",#N/A,TRUE,"GENERAL";"TAB2",#N/A,TRUE,"GENERAL";"TAB3",#N/A,TRUE,"GENERAL";"TAB4",#N/A,TRUE,"GENERAL";"TAB5",#N/A,TRUE,"GENERAL"}</definedName>
    <definedName name="GFJHGJ" hidden="1">{"TAB1",#N/A,TRUE,"GENERAL";"TAB2",#N/A,TRUE,"GENERAL";"TAB3",#N/A,TRUE,"GENERAL";"TAB4",#N/A,TRUE,"GENERAL";"TAB5",#N/A,TRUE,"GENERAL"}</definedName>
    <definedName name="gfjjh" localSheetId="12" hidden="1">{"via1",#N/A,TRUE,"general";"via2",#N/A,TRUE,"general";"via3",#N/A,TRUE,"general"}</definedName>
    <definedName name="gfjjh" hidden="1">{"via1",#N/A,TRUE,"general";"via2",#N/A,TRUE,"general";"via3",#N/A,TRUE,"general"}</definedName>
    <definedName name="GFN" localSheetId="11">[12]Tablas!#REF!</definedName>
    <definedName name="GFN">[12]Tablas!#REF!</definedName>
    <definedName name="gfutyj6" localSheetId="12" hidden="1">{"via1",#N/A,TRUE,"general";"via2",#N/A,TRUE,"general";"via3",#N/A,TRUE,"general"}</definedName>
    <definedName name="gfutyj6" hidden="1">{"via1",#N/A,TRUE,"general";"via2",#N/A,TRUE,"general";"via3",#N/A,TRUE,"general"}</definedName>
    <definedName name="gg" localSheetId="12" hidden="1">{"TAB1",#N/A,TRUE,"GENERAL";"TAB2",#N/A,TRUE,"GENERAL";"TAB3",#N/A,TRUE,"GENERAL";"TAB4",#N/A,TRUE,"GENERAL";"TAB5",#N/A,TRUE,"GENERAL"}</definedName>
    <definedName name="gg" hidden="1">{"TAB1",#N/A,TRUE,"GENERAL";"TAB2",#N/A,TRUE,"GENERAL";"TAB3",#N/A,TRUE,"GENERAL";"TAB4",#N/A,TRUE,"GENERAL";"TAB5",#N/A,TRUE,"GENERAL"}</definedName>
    <definedName name="ggdr" localSheetId="12" hidden="1">{"via1",#N/A,TRUE,"general";"via2",#N/A,TRUE,"general";"via3",#N/A,TRUE,"general"}</definedName>
    <definedName name="ggdr" hidden="1">{"via1",#N/A,TRUE,"general";"via2",#N/A,TRUE,"general";"via3",#N/A,TRUE,"general"}</definedName>
    <definedName name="ggerg" localSheetId="12" hidden="1">{"TAB1",#N/A,TRUE,"GENERAL";"TAB2",#N/A,TRUE,"GENERAL";"TAB3",#N/A,TRUE,"GENERAL";"TAB4",#N/A,TRUE,"GENERAL";"TAB5",#N/A,TRUE,"GENERAL"}</definedName>
    <definedName name="ggerg" hidden="1">{"TAB1",#N/A,TRUE,"GENERAL";"TAB2",#N/A,TRUE,"GENERAL";"TAB3",#N/A,TRUE,"GENERAL";"TAB4",#N/A,TRUE,"GENERAL";"TAB5",#N/A,TRUE,"GENERAL"}</definedName>
    <definedName name="GGG" localSheetId="12">'Formulario No. 1'!ERR</definedName>
    <definedName name="GGG">[0]!ERR</definedName>
    <definedName name="gggb" localSheetId="12" hidden="1">{"TAB1",#N/A,TRUE,"GENERAL";"TAB2",#N/A,TRUE,"GENERAL";"TAB3",#N/A,TRUE,"GENERAL";"TAB4",#N/A,TRUE,"GENERAL";"TAB5",#N/A,TRUE,"GENERAL"}</definedName>
    <definedName name="gggb" hidden="1">{"TAB1",#N/A,TRUE,"GENERAL";"TAB2",#N/A,TRUE,"GENERAL";"TAB3",#N/A,TRUE,"GENERAL";"TAB4",#N/A,TRUE,"GENERAL";"TAB5",#N/A,TRUE,"GENERAL"}</definedName>
    <definedName name="gggg" localSheetId="12" hidden="1">{"via1",#N/A,TRUE,"general";"via2",#N/A,TRUE,"general";"via3",#N/A,TRUE,"general"}</definedName>
    <definedName name="gggg" hidden="1">{"via1",#N/A,TRUE,"general";"via2",#N/A,TRUE,"general";"via3",#N/A,TRUE,"general"}</definedName>
    <definedName name="ggggd" localSheetId="12" hidden="1">{"TAB1",#N/A,TRUE,"GENERAL";"TAB2",#N/A,TRUE,"GENERAL";"TAB3",#N/A,TRUE,"GENERAL";"TAB4",#N/A,TRUE,"GENERAL";"TAB5",#N/A,TRUE,"GENERAL"}</definedName>
    <definedName name="ggggd" hidden="1">{"TAB1",#N/A,TRUE,"GENERAL";"TAB2",#N/A,TRUE,"GENERAL";"TAB3",#N/A,TRUE,"GENERAL";"TAB4",#N/A,TRUE,"GENERAL";"TAB5",#N/A,TRUE,"GENERAL"}</definedName>
    <definedName name="gggggt" localSheetId="12" hidden="1">{"via1",#N/A,TRUE,"general";"via2",#N/A,TRUE,"general";"via3",#N/A,TRUE,"general"}</definedName>
    <definedName name="gggggt" hidden="1">{"via1",#N/A,TRUE,"general";"via2",#N/A,TRUE,"general";"via3",#N/A,TRUE,"general"}</definedName>
    <definedName name="gggghn" localSheetId="12" hidden="1">{"TAB1",#N/A,TRUE,"GENERAL";"TAB2",#N/A,TRUE,"GENERAL";"TAB3",#N/A,TRUE,"GENERAL";"TAB4",#N/A,TRUE,"GENERAL";"TAB5",#N/A,TRUE,"GENERAL"}</definedName>
    <definedName name="gggghn" hidden="1">{"TAB1",#N/A,TRUE,"GENERAL";"TAB2",#N/A,TRUE,"GENERAL";"TAB3",#N/A,TRUE,"GENERAL";"TAB4",#N/A,TRUE,"GENERAL";"TAB5",#N/A,TRUE,"GENERAL"}</definedName>
    <definedName name="ggggt" localSheetId="12" hidden="1">{"TAB1",#N/A,TRUE,"GENERAL";"TAB2",#N/A,TRUE,"GENERAL";"TAB3",#N/A,TRUE,"GENERAL";"TAB4",#N/A,TRUE,"GENERAL";"TAB5",#N/A,TRUE,"GENERAL"}</definedName>
    <definedName name="ggggt" hidden="1">{"TAB1",#N/A,TRUE,"GENERAL";"TAB2",#N/A,TRUE,"GENERAL";"TAB3",#N/A,TRUE,"GENERAL";"TAB4",#N/A,TRUE,"GENERAL";"TAB5",#N/A,TRUE,"GENERAL"}</definedName>
    <definedName name="ggggy" localSheetId="12" hidden="1">{"TAB1",#N/A,TRUE,"GENERAL";"TAB2",#N/A,TRUE,"GENERAL";"TAB3",#N/A,TRUE,"GENERAL";"TAB4",#N/A,TRUE,"GENERAL";"TAB5",#N/A,TRUE,"GENERAL"}</definedName>
    <definedName name="ggggy" hidden="1">{"TAB1",#N/A,TRUE,"GENERAL";"TAB2",#N/A,TRUE,"GENERAL";"TAB3",#N/A,TRUE,"GENERAL";"TAB4",#N/A,TRUE,"GENERAL";"TAB5",#N/A,TRUE,"GENERAL"}</definedName>
    <definedName name="gggtgd" localSheetId="12" hidden="1">{"via1",#N/A,TRUE,"general";"via2",#N/A,TRUE,"general";"via3",#N/A,TRUE,"general"}</definedName>
    <definedName name="gggtgd" hidden="1">{"via1",#N/A,TRUE,"general";"via2",#N/A,TRUE,"general";"via3",#N/A,TRUE,"general"}</definedName>
    <definedName name="ggjgjkg" hidden="1">{#N/A,#N/A,TRUE,"1842CWN0"}</definedName>
    <definedName name="ggtgt" localSheetId="12" hidden="1">{"via1",#N/A,TRUE,"general";"via2",#N/A,TRUE,"general";"via3",#N/A,TRUE,"general"}</definedName>
    <definedName name="ggtgt" hidden="1">{"via1",#N/A,TRUE,"general";"via2",#N/A,TRUE,"general";"via3",#N/A,TRUE,"general"}</definedName>
    <definedName name="ghdghuy" localSheetId="12" hidden="1">{"via1",#N/A,TRUE,"general";"via2",#N/A,TRUE,"general";"via3",#N/A,TRUE,"general"}</definedName>
    <definedName name="ghdghuy" hidden="1">{"via1",#N/A,TRUE,"general";"via2",#N/A,TRUE,"general";"via3",#N/A,TRUE,"general"}</definedName>
    <definedName name="GHDP" localSheetId="12" hidden="1">{"via1",#N/A,TRUE,"general";"via2",#N/A,TRUE,"general";"via3",#N/A,TRUE,"general"}</definedName>
    <definedName name="GHDP" hidden="1">{"via1",#N/A,TRUE,"general";"via2",#N/A,TRUE,"general";"via3",#N/A,TRUE,"general"}</definedName>
    <definedName name="ghf" localSheetId="11">'[93]7422CW00'!#REF!</definedName>
    <definedName name="ghf">'[93]7422CW00'!#REF!</definedName>
    <definedName name="ghfg" localSheetId="12" hidden="1">{"via1",#N/A,TRUE,"general";"via2",#N/A,TRUE,"general";"via3",#N/A,TRUE,"general"}</definedName>
    <definedName name="ghfg" hidden="1">{"via1",#N/A,TRUE,"general";"via2",#N/A,TRUE,"general";"via3",#N/A,TRUE,"general"}</definedName>
    <definedName name="ghghy" localSheetId="11">#REF!</definedName>
    <definedName name="ghghy">#REF!</definedName>
    <definedName name="ghjghj" localSheetId="12" hidden="1">{"TAB1",#N/A,TRUE,"GENERAL";"TAB2",#N/A,TRUE,"GENERAL";"TAB3",#N/A,TRUE,"GENERAL";"TAB4",#N/A,TRUE,"GENERAL";"TAB5",#N/A,TRUE,"GENERAL"}</definedName>
    <definedName name="ghjghj" hidden="1">{"TAB1",#N/A,TRUE,"GENERAL";"TAB2",#N/A,TRUE,"GENERAL";"TAB3",#N/A,TRUE,"GENERAL";"TAB4",#N/A,TRUE,"GENERAL";"TAB5",#N/A,TRUE,"GENERAL"}</definedName>
    <definedName name="GHKJHK" localSheetId="12" hidden="1">{"TAB1",#N/A,TRUE,"GENERAL";"TAB2",#N/A,TRUE,"GENERAL";"TAB3",#N/A,TRUE,"GENERAL";"TAB4",#N/A,TRUE,"GENERAL";"TAB5",#N/A,TRUE,"GENERAL"}</definedName>
    <definedName name="GHKJHK" hidden="1">{"TAB1",#N/A,TRUE,"GENERAL";"TAB2",#N/A,TRUE,"GENERAL";"TAB3",#N/A,TRUE,"GENERAL";"TAB4",#N/A,TRUE,"GENERAL";"TAB5",#N/A,TRUE,"GENERAL"}</definedName>
    <definedName name="ghnbbfr" hidden="1">{#N/A,#N/A,TRUE,"1842CWN0"}</definedName>
    <definedName name="GJHVCB" localSheetId="12" hidden="1">{"TAB1",#N/A,TRUE,"GENERAL";"TAB2",#N/A,TRUE,"GENERAL";"TAB3",#N/A,TRUE,"GENERAL";"TAB4",#N/A,TRUE,"GENERAL";"TAB5",#N/A,TRUE,"GENERAL"}</definedName>
    <definedName name="GJHVCB" hidden="1">{"TAB1",#N/A,TRUE,"GENERAL";"TAB2",#N/A,TRUE,"GENERAL";"TAB3",#N/A,TRUE,"GENERAL";"TAB4",#N/A,TRUE,"GENERAL";"TAB5",#N/A,TRUE,"GENERAL"}</definedName>
    <definedName name="gk" localSheetId="12" hidden="1">{"via1",#N/A,TRUE,"general";"via2",#N/A,TRUE,"general";"via3",#N/A,TRUE,"general"}</definedName>
    <definedName name="gk" hidden="1">{"via1",#N/A,TRUE,"general";"via2",#N/A,TRUE,"general";"via3",#N/A,TRUE,"general"}</definedName>
    <definedName name="GKJDGDIJZ">"Imagen 3"</definedName>
    <definedName name="GMM_ON_ASO" localSheetId="11">[12]Tablas!#REF!</definedName>
    <definedName name="GMM_ON_ASO">[12]Tablas!#REF!</definedName>
    <definedName name="GMM_ON_DMARES" localSheetId="11">#REF!</definedName>
    <definedName name="GMM_ON_DMARES">#REF!</definedName>
    <definedName name="GMM_ON_DRIO" localSheetId="11">#REF!</definedName>
    <definedName name="GMM_ON_DRIO">#REF!</definedName>
    <definedName name="GOR" localSheetId="11">#REF!</definedName>
    <definedName name="GOR">#REF!</definedName>
    <definedName name="GOT" localSheetId="11">[12]Tablas!#REF!</definedName>
    <definedName name="GOT">[12]Tablas!#REF!</definedName>
    <definedName name="GPO" localSheetId="11">[12]Tablas!#REF!</definedName>
    <definedName name="GPO">[12]Tablas!#REF!</definedName>
    <definedName name="GPR" localSheetId="11">[12]Tablas!#REF!</definedName>
    <definedName name="GPR">[12]Tablas!#REF!</definedName>
    <definedName name="GRAF1ANO" localSheetId="12" hidden="1">{"via1",#N/A,TRUE,"general";"via2",#N/A,TRUE,"general";"via3",#N/A,TRUE,"general"}</definedName>
    <definedName name="GRAF1ANO" hidden="1">{"via1",#N/A,TRUE,"general";"via2",#N/A,TRUE,"general";"via3",#N/A,TRUE,"general"}</definedName>
    <definedName name="GRAF1AÑO" localSheetId="12" hidden="1">{"TAB1",#N/A,TRUE,"GENERAL";"TAB2",#N/A,TRUE,"GENERAL";"TAB3",#N/A,TRUE,"GENERAL";"TAB4",#N/A,TRUE,"GENERAL";"TAB5",#N/A,TRUE,"GENERAL"}</definedName>
    <definedName name="GRAF1AÑO" hidden="1">{"TAB1",#N/A,TRUE,"GENERAL";"TAB2",#N/A,TRUE,"GENERAL";"TAB3",#N/A,TRUE,"GENERAL";"TAB4",#N/A,TRUE,"GENERAL";"TAB5",#N/A,TRUE,"GENERAL"}</definedName>
    <definedName name="GRAF2" localSheetId="11">#REF!</definedName>
    <definedName name="GRAF2" localSheetId="12">#REF!</definedName>
    <definedName name="GRAF2">#REF!</definedName>
    <definedName name="GRAF3" localSheetId="11">#REF!</definedName>
    <definedName name="GRAF3" localSheetId="12">#REF!</definedName>
    <definedName name="GRAF3">#REF!</definedName>
    <definedName name="GRAMA">'BASE 2'!$D$467</definedName>
    <definedName name="GRAP">'BASE 2'!$D$437</definedName>
    <definedName name="GRAV2">'BASE 2'!$D$62</definedName>
    <definedName name="GRAV3">'BASE 2'!$D$63</definedName>
    <definedName name="GRC" localSheetId="11">[12]Tablas!#REF!</definedName>
    <definedName name="GRC">[12]Tablas!#REF!</definedName>
    <definedName name="GRC_ON_ASO" localSheetId="11">[12]Tablas!#REF!</definedName>
    <definedName name="GRC_ON_ASO">[12]Tablas!#REF!</definedName>
    <definedName name="GRC_ON_DAPIAY" localSheetId="11">#REF!</definedName>
    <definedName name="GRC_ON_DAPIAY">#REF!</definedName>
    <definedName name="GRC_ON_GER" localSheetId="11">#REF!</definedName>
    <definedName name="GRC_ON_GER">#REF!</definedName>
    <definedName name="gregds" localSheetId="12" hidden="1">{"TAB1",#N/A,TRUE,"GENERAL";"TAB2",#N/A,TRUE,"GENERAL";"TAB3",#N/A,TRUE,"GENERAL";"TAB4",#N/A,TRUE,"GENERAL";"TAB5",#N/A,TRUE,"GENERAL"}</definedName>
    <definedName name="gregds" hidden="1">{"TAB1",#N/A,TRUE,"GENERAL";"TAB2",#N/A,TRUE,"GENERAL";"TAB3",#N/A,TRUE,"GENERAL";"TAB4",#N/A,TRUE,"GENERAL";"TAB5",#N/A,TRUE,"GENERAL"}</definedName>
    <definedName name="grehrtyh" localSheetId="12" hidden="1">{"TAB1",#N/A,TRUE,"GENERAL";"TAB2",#N/A,TRUE,"GENERAL";"TAB3",#N/A,TRUE,"GENERAL";"TAB4",#N/A,TRUE,"GENERAL";"TAB5",#N/A,TRUE,"GENERAL"}</definedName>
    <definedName name="grehrtyh" hidden="1">{"TAB1",#N/A,TRUE,"GENERAL";"TAB2",#N/A,TRUE,"GENERAL";"TAB3",#N/A,TRUE,"GENERAL";"TAB4",#N/A,TRUE,"GENERAL";"TAB5",#N/A,TRUE,"GENERAL"}</definedName>
    <definedName name="grggwero" localSheetId="12" hidden="1">{"via1",#N/A,TRUE,"general";"via2",#N/A,TRUE,"general";"via3",#N/A,TRUE,"general"}</definedName>
    <definedName name="grggwero" hidden="1">{"via1",#N/A,TRUE,"general";"via2",#N/A,TRUE,"general";"via3",#N/A,TRUE,"general"}</definedName>
    <definedName name="GRM" localSheetId="11">[12]Tablas!#REF!</definedName>
    <definedName name="GRM">[12]Tablas!#REF!</definedName>
    <definedName name="GRM_ON_DMARES" localSheetId="11">#REF!</definedName>
    <definedName name="GRM_ON_DMARES">#REF!</definedName>
    <definedName name="GRM_ON_DRIO" localSheetId="11">#REF!</definedName>
    <definedName name="GRM_ON_DRIO">#REF!</definedName>
    <definedName name="GRN" localSheetId="11">[12]Tablas!#REF!</definedName>
    <definedName name="GRN">[12]Tablas!#REF!</definedName>
    <definedName name="GRN_ON_ASO" localSheetId="11">[12]Tablas!#REF!</definedName>
    <definedName name="GRN_ON_ASO">[12]Tablas!#REF!</definedName>
    <definedName name="GRN_ON_DIREC" localSheetId="11">#REF!</definedName>
    <definedName name="GRN_ON_DIREC">#REF!</definedName>
    <definedName name="GRS" localSheetId="11">[12]Tablas!#REF!</definedName>
    <definedName name="GRS">[12]Tablas!#REF!</definedName>
    <definedName name="GRS_ON_ASO" localSheetId="11">[12]Tablas!#REF!</definedName>
    <definedName name="GRS_ON_ASO">[12]Tablas!#REF!</definedName>
    <definedName name="GRS_ON_DIREC" localSheetId="11">#REF!</definedName>
    <definedName name="GRS_ON_DIREC">#REF!</definedName>
    <definedName name="GRS_ON_HUIL" localSheetId="11">#REF!</definedName>
    <definedName name="GRS_ON_HUIL">#REF!</definedName>
    <definedName name="grtyerh" localSheetId="12" hidden="1">{"TAB1",#N/A,TRUE,"GENERAL";"TAB2",#N/A,TRUE,"GENERAL";"TAB3",#N/A,TRUE,"GENERAL";"TAB4",#N/A,TRUE,"GENERAL";"TAB5",#N/A,TRUE,"GENERAL"}</definedName>
    <definedName name="grtyerh" hidden="1">{"TAB1",#N/A,TRUE,"GENERAL";"TAB2",#N/A,TRUE,"GENERAL";"TAB3",#N/A,TRUE,"GENERAL";"TAB4",#N/A,TRUE,"GENERAL";"TAB5",#N/A,TRUE,"GENERAL"}</definedName>
    <definedName name="GRUA" localSheetId="8">[15]BASE2!$D$492</definedName>
    <definedName name="GRUA" localSheetId="9">[15]BASE2!$D$492</definedName>
    <definedName name="GRUA">'BASE 2'!$D$741</definedName>
    <definedName name="GRUPO1" localSheetId="11">#REF!</definedName>
    <definedName name="GRUPO1" localSheetId="12">#REF!</definedName>
    <definedName name="GRUPO1">#REF!</definedName>
    <definedName name="GRUPO123" localSheetId="11">#REF!</definedName>
    <definedName name="GRUPO123" localSheetId="12">#REF!</definedName>
    <definedName name="GRUPO123">#REF!</definedName>
    <definedName name="GRUPO13" localSheetId="11">#REF!</definedName>
    <definedName name="GRUPO13" localSheetId="12">#REF!</definedName>
    <definedName name="GRUPO13">#REF!</definedName>
    <definedName name="GRUPO2" localSheetId="11">#REF!</definedName>
    <definedName name="GRUPO2" localSheetId="12">#REF!</definedName>
    <definedName name="GRUPO2">#REF!</definedName>
    <definedName name="grupo3">[71]Hoja1!$F$6</definedName>
    <definedName name="grupo4">[71]Hoja1!$F$7</definedName>
    <definedName name="grupo5">[71]Hoja1!$F$10</definedName>
    <definedName name="grupo6">[71]Hoja1!$F$11</definedName>
    <definedName name="grupo7">[71]Hoja1!$F$12</definedName>
    <definedName name="grupo8">[71]Hoja1!$F$13</definedName>
    <definedName name="grupo9">[71]Hoja1!$F$14</definedName>
    <definedName name="GSDG" localSheetId="12" hidden="1">{"TAB1",#N/A,TRUE,"GENERAL";"TAB2",#N/A,TRUE,"GENERAL";"TAB3",#N/A,TRUE,"GENERAL";"TAB4",#N/A,TRUE,"GENERAL";"TAB5",#N/A,TRUE,"GENERAL"}</definedName>
    <definedName name="GSDG" hidden="1">{"TAB1",#N/A,TRUE,"GENERAL";"TAB2",#N/A,TRUE,"GENERAL";"TAB3",#N/A,TRUE,"GENERAL";"TAB4",#N/A,TRUE,"GENERAL";"TAB5",#N/A,TRUE,"GENERAL"}</definedName>
    <definedName name="gsfsf" localSheetId="12" hidden="1">{"via1",#N/A,TRUE,"general";"via2",#N/A,TRUE,"general";"via3",#N/A,TRUE,"general"}</definedName>
    <definedName name="gsfsf" hidden="1">{"via1",#N/A,TRUE,"general";"via2",#N/A,TRUE,"general";"via3",#N/A,TRUE,"general"}</definedName>
    <definedName name="GT">[95]BASE!$C$4:$H$255</definedName>
    <definedName name="GTC" localSheetId="11">[12]Tablas!#REF!</definedName>
    <definedName name="GTC">[12]Tablas!#REF!</definedName>
    <definedName name="GTE" localSheetId="11">[12]Tablas!#REF!</definedName>
    <definedName name="GTE">[12]Tablas!#REF!</definedName>
    <definedName name="gtgt" localSheetId="12" hidden="1">{"via1",#N/A,TRUE,"general";"via2",#N/A,TRUE,"general";"via3",#N/A,TRUE,"general"}</definedName>
    <definedName name="gtgt" hidden="1">{"via1",#N/A,TRUE,"general";"via2",#N/A,TRUE,"general";"via3",#N/A,TRUE,"general"}</definedName>
    <definedName name="gtgtg" localSheetId="12" hidden="1">{"via1",#N/A,TRUE,"general";"via2",#N/A,TRUE,"general";"via3",#N/A,TRUE,"general"}</definedName>
    <definedName name="gtgtg" hidden="1">{"via1",#N/A,TRUE,"general";"via2",#N/A,TRUE,"general";"via3",#N/A,TRUE,"general"}</definedName>
    <definedName name="gtgtgff" localSheetId="12" hidden="1">{"via1",#N/A,TRUE,"general";"via2",#N/A,TRUE,"general";"via3",#N/A,TRUE,"general"}</definedName>
    <definedName name="gtgtgff" hidden="1">{"via1",#N/A,TRUE,"general";"via2",#N/A,TRUE,"general";"via3",#N/A,TRUE,"general"}</definedName>
    <definedName name="gtgtgyh" localSheetId="12" hidden="1">{"TAB1",#N/A,TRUE,"GENERAL";"TAB2",#N/A,TRUE,"GENERAL";"TAB3",#N/A,TRUE,"GENERAL";"TAB4",#N/A,TRUE,"GENERAL";"TAB5",#N/A,TRUE,"GENERAL"}</definedName>
    <definedName name="gtgtgyh" hidden="1">{"TAB1",#N/A,TRUE,"GENERAL";"TAB2",#N/A,TRUE,"GENERAL";"TAB3",#N/A,TRUE,"GENERAL";"TAB4",#N/A,TRUE,"GENERAL";"TAB5",#N/A,TRUE,"GENERAL"}</definedName>
    <definedName name="gtgth" localSheetId="12" hidden="1">{"TAB1",#N/A,TRUE,"GENERAL";"TAB2",#N/A,TRUE,"GENERAL";"TAB3",#N/A,TRUE,"GENERAL";"TAB4",#N/A,TRUE,"GENERAL";"TAB5",#N/A,TRUE,"GENERAL"}</definedName>
    <definedName name="gtgth" hidden="1">{"TAB1",#N/A,TRUE,"GENERAL";"TAB2",#N/A,TRUE,"GENERAL";"TAB3",#N/A,TRUE,"GENERAL";"TAB4",#N/A,TRUE,"GENERAL";"TAB5",#N/A,TRUE,"GENERAL"}</definedName>
    <definedName name="GTO_ADMON" localSheetId="11">#REF!</definedName>
    <definedName name="GTO_ADMON">#REF!</definedName>
    <definedName name="GTO_INVEST" localSheetId="11">#REF!</definedName>
    <definedName name="GTO_INVEST">#REF!</definedName>
    <definedName name="GTO_OPERA" localSheetId="11">#REF!</definedName>
    <definedName name="GTO_OPERA">#REF!</definedName>
    <definedName name="GTP" localSheetId="11">[12]Tablas!#REF!</definedName>
    <definedName name="GTP">[12]Tablas!#REF!</definedName>
    <definedName name="GTRE" localSheetId="11">#REF!</definedName>
    <definedName name="GTRE" localSheetId="12">#REF!</definedName>
    <definedName name="GTRE">#REF!</definedName>
    <definedName name="h" localSheetId="11">#REF!</definedName>
    <definedName name="h">#REF!</definedName>
    <definedName name="H_pump" localSheetId="11">#REF!</definedName>
    <definedName name="H_pump">#REF!</definedName>
    <definedName name="h9h" localSheetId="12" hidden="1">{"via1",#N/A,TRUE,"general";"via2",#N/A,TRUE,"general";"via3",#N/A,TRUE,"general"}</definedName>
    <definedName name="h9h" hidden="1">{"via1",#N/A,TRUE,"general";"via2",#N/A,TRUE,"general";"via3",#N/A,TRUE,"general"}</definedName>
    <definedName name="Hazards" localSheetId="11">#REF!</definedName>
    <definedName name="Hazards">#REF!</definedName>
    <definedName name="hbfdhrw" localSheetId="12" hidden="1">{"TAB1",#N/A,TRUE,"GENERAL";"TAB2",#N/A,TRUE,"GENERAL";"TAB3",#N/A,TRUE,"GENERAL";"TAB4",#N/A,TRUE,"GENERAL";"TAB5",#N/A,TRUE,"GENERAL"}</definedName>
    <definedName name="hbfdhrw" hidden="1">{"TAB1",#N/A,TRUE,"GENERAL";"TAB2",#N/A,TRUE,"GENERAL";"TAB3",#N/A,TRUE,"GENERAL";"TAB4",#N/A,TRUE,"GENERAL";"TAB5",#N/A,TRUE,"GENERAL"}</definedName>
    <definedName name="HC78MH">'BASE 2'!$D$34</definedName>
    <definedName name="hdfh" localSheetId="12" hidden="1">{"via1",#N/A,TRUE,"general";"via2",#N/A,TRUE,"general";"via3",#N/A,TRUE,"general"}</definedName>
    <definedName name="hdfh" hidden="1">{"via1",#N/A,TRUE,"general";"via2",#N/A,TRUE,"general";"via3",#N/A,TRUE,"general"}</definedName>
    <definedName name="hdfh4" localSheetId="12" hidden="1">{"TAB1",#N/A,TRUE,"GENERAL";"TAB2",#N/A,TRUE,"GENERAL";"TAB3",#N/A,TRUE,"GENERAL";"TAB4",#N/A,TRUE,"GENERAL";"TAB5",#N/A,TRUE,"GENERAL"}</definedName>
    <definedName name="hdfh4" hidden="1">{"TAB1",#N/A,TRUE,"GENERAL";"TAB2",#N/A,TRUE,"GENERAL";"TAB3",#N/A,TRUE,"GENERAL";"TAB4",#N/A,TRUE,"GENERAL";"TAB5",#N/A,TRUE,"GENERAL"}</definedName>
    <definedName name="hdfhwq" localSheetId="12" hidden="1">{"TAB1",#N/A,TRUE,"GENERAL";"TAB2",#N/A,TRUE,"GENERAL";"TAB3",#N/A,TRUE,"GENERAL";"TAB4",#N/A,TRUE,"GENERAL";"TAB5",#N/A,TRUE,"GENERAL"}</definedName>
    <definedName name="hdfhwq" hidden="1">{"TAB1",#N/A,TRUE,"GENERAL";"TAB2",#N/A,TRUE,"GENERAL";"TAB3",#N/A,TRUE,"GENERAL";"TAB4",#N/A,TRUE,"GENERAL";"TAB5",#N/A,TRUE,"GENERAL"}</definedName>
    <definedName name="hdgh" localSheetId="12" hidden="1">{"via1",#N/A,TRUE,"general";"via2",#N/A,TRUE,"general";"via3",#N/A,TRUE,"general"}</definedName>
    <definedName name="hdgh" hidden="1">{"via1",#N/A,TRUE,"general";"via2",#N/A,TRUE,"general";"via3",#N/A,TRUE,"general"}</definedName>
    <definedName name="hdhf" localSheetId="12" hidden="1">{"TAB1",#N/A,TRUE,"GENERAL";"TAB2",#N/A,TRUE,"GENERAL";"TAB3",#N/A,TRUE,"GENERAL";"TAB4",#N/A,TRUE,"GENERAL";"TAB5",#N/A,TRUE,"GENERAL"}</definedName>
    <definedName name="hdhf" hidden="1">{"TAB1",#N/A,TRUE,"GENERAL";"TAB2",#N/A,TRUE,"GENERAL";"TAB3",#N/A,TRUE,"GENERAL";"TAB4",#N/A,TRUE,"GENERAL";"TAB5",#N/A,TRUE,"GENERAL"}</definedName>
    <definedName name="Header_Row" localSheetId="11">ROW(#REF!)</definedName>
    <definedName name="Header_Row">ROW(#REF!)</definedName>
    <definedName name="hed">[71]Datos!$D$8</definedName>
    <definedName name="hen">[71]Datos!$D$9</definedName>
    <definedName name="HERRERO" localSheetId="11">#REF!</definedName>
    <definedName name="HERRERO">#REF!</definedName>
    <definedName name="hfgh" localSheetId="12" hidden="1">{"via1",#N/A,TRUE,"general";"via2",#N/A,TRUE,"general";"via3",#N/A,TRUE,"general"}</definedName>
    <definedName name="hfgh" hidden="1">{"via1",#N/A,TRUE,"general";"via2",#N/A,TRUE,"general";"via3",#N/A,TRUE,"general"}</definedName>
    <definedName name="hfh" localSheetId="12" hidden="1">{"TAB1",#N/A,TRUE,"GENERAL";"TAB2",#N/A,TRUE,"GENERAL";"TAB3",#N/A,TRUE,"GENERAL";"TAB4",#N/A,TRUE,"GENERAL";"TAB5",#N/A,TRUE,"GENERAL"}</definedName>
    <definedName name="hfh" hidden="1">{"TAB1",#N/A,TRUE,"GENERAL";"TAB2",#N/A,TRUE,"GENERAL";"TAB3",#N/A,TRUE,"GENERAL";"TAB4",#N/A,TRUE,"GENERAL";"TAB5",#N/A,TRUE,"GENERAL"}</definedName>
    <definedName name="hfhg" localSheetId="12" hidden="1">{"TAB1",#N/A,TRUE,"GENERAL";"TAB2",#N/A,TRUE,"GENERAL";"TAB3",#N/A,TRUE,"GENERAL";"TAB4",#N/A,TRUE,"GENERAL";"TAB5",#N/A,TRUE,"GENERAL"}</definedName>
    <definedName name="hfhg" hidden="1">{"TAB1",#N/A,TRUE,"GENERAL";"TAB2",#N/A,TRUE,"GENERAL";"TAB3",#N/A,TRUE,"GENERAL";"TAB4",#N/A,TRUE,"GENERAL";"TAB5",#N/A,TRUE,"GENERAL"}</definedName>
    <definedName name="hfthr" localSheetId="12" hidden="1">{"via1",#N/A,TRUE,"general";"via2",#N/A,TRUE,"general";"via3",#N/A,TRUE,"general"}</definedName>
    <definedName name="hfthr" hidden="1">{"via1",#N/A,TRUE,"general";"via2",#N/A,TRUE,"general";"via3",#N/A,TRUE,"general"}</definedName>
    <definedName name="hg" localSheetId="12" hidden="1">{"via1",#N/A,TRUE,"general";"via2",#N/A,TRUE,"general";"via3",#N/A,TRUE,"general"}</definedName>
    <definedName name="hg" hidden="1">{"via1",#N/A,TRUE,"general";"via2",#N/A,TRUE,"general";"via3",#N/A,TRUE,"general"}</definedName>
    <definedName name="HGFH" localSheetId="12" hidden="1">{"via1",#N/A,TRUE,"general";"via2",#N/A,TRUE,"general";"via3",#N/A,TRUE,"general"}</definedName>
    <definedName name="HGFH" hidden="1">{"via1",#N/A,TRUE,"general";"via2",#N/A,TRUE,"general";"via3",#N/A,TRUE,"general"}</definedName>
    <definedName name="hgfhty" localSheetId="12" hidden="1">{"via1",#N/A,TRUE,"general";"via2",#N/A,TRUE,"general";"via3",#N/A,TRUE,"general"}</definedName>
    <definedName name="hgfhty" hidden="1">{"via1",#N/A,TRUE,"general";"via2",#N/A,TRUE,"general";"via3",#N/A,TRUE,"general"}</definedName>
    <definedName name="HGHFH7" localSheetId="12" hidden="1">{"TAB1",#N/A,TRUE,"GENERAL";"TAB2",#N/A,TRUE,"GENERAL";"TAB3",#N/A,TRUE,"GENERAL";"TAB4",#N/A,TRUE,"GENERAL";"TAB5",#N/A,TRUE,"GENERAL"}</definedName>
    <definedName name="HGHFH7" hidden="1">{"TAB1",#N/A,TRUE,"GENERAL";"TAB2",#N/A,TRUE,"GENERAL";"TAB3",#N/A,TRUE,"GENERAL";"TAB4",#N/A,TRUE,"GENERAL";"TAB5",#N/A,TRUE,"GENERAL"}</definedName>
    <definedName name="hghhj" localSheetId="12" hidden="1">{"TAB1",#N/A,TRUE,"GENERAL";"TAB2",#N/A,TRUE,"GENERAL";"TAB3",#N/A,TRUE,"GENERAL";"TAB4",#N/A,TRUE,"GENERAL";"TAB5",#N/A,TRUE,"GENERAL"}</definedName>
    <definedName name="hghhj" hidden="1">{"TAB1",#N/A,TRUE,"GENERAL";"TAB2",#N/A,TRUE,"GENERAL";"TAB3",#N/A,TRUE,"GENERAL";"TAB4",#N/A,TRUE,"GENERAL";"TAB5",#N/A,TRUE,"GENERAL"}</definedName>
    <definedName name="hghydj" localSheetId="12" hidden="1">{"via1",#N/A,TRUE,"general";"via2",#N/A,TRUE,"general";"via3",#N/A,TRUE,"general"}</definedName>
    <definedName name="hghydj" hidden="1">{"via1",#N/A,TRUE,"general";"via2",#N/A,TRUE,"general";"via3",#N/A,TRUE,"general"}</definedName>
    <definedName name="hgjfjw" localSheetId="12" hidden="1">{"via1",#N/A,TRUE,"general";"via2",#N/A,TRUE,"general";"via3",#N/A,TRUE,"general"}</definedName>
    <definedName name="hgjfjw" hidden="1">{"via1",#N/A,TRUE,"general";"via2",#N/A,TRUE,"general";"via3",#N/A,TRUE,"general"}</definedName>
    <definedName name="HGJG" localSheetId="12" hidden="1">{"TAB1",#N/A,TRUE,"GENERAL";"TAB2",#N/A,TRUE,"GENERAL";"TAB3",#N/A,TRUE,"GENERAL";"TAB4",#N/A,TRUE,"GENERAL";"TAB5",#N/A,TRUE,"GENERAL"}</definedName>
    <definedName name="HGJG" hidden="1">{"TAB1",#N/A,TRUE,"GENERAL";"TAB2",#N/A,TRUE,"GENERAL";"TAB3",#N/A,TRUE,"GENERAL";"TAB4",#N/A,TRUE,"GENERAL";"TAB5",#N/A,TRUE,"GENERAL"}</definedName>
    <definedName name="hh" localSheetId="12">'Formulario No. 1'!ERR</definedName>
    <definedName name="hh">[0]!ERR</definedName>
    <definedName name="hhg" hidden="1">{#N/A,#N/A,TRUE,"1842CWN0"}</definedName>
    <definedName name="hhh" localSheetId="12" hidden="1">{"TAB1",#N/A,TRUE,"GENERAL";"TAB2",#N/A,TRUE,"GENERAL";"TAB3",#N/A,TRUE,"GENERAL";"TAB4",#N/A,TRUE,"GENERAL";"TAB5",#N/A,TRUE,"GENERAL"}</definedName>
    <definedName name="hhh" hidden="1">{"TAB1",#N/A,TRUE,"GENERAL";"TAB2",#N/A,TRUE,"GENERAL";"TAB3",#N/A,TRUE,"GENERAL";"TAB4",#N/A,TRUE,"GENERAL";"TAB5",#N/A,TRUE,"GENERAL"}</definedName>
    <definedName name="hhhhhh" localSheetId="12" hidden="1">{"via1",#N/A,TRUE,"general";"via2",#N/A,TRUE,"general";"via3",#N/A,TRUE,"general"}</definedName>
    <definedName name="hhhhhh" hidden="1">{"via1",#N/A,TRUE,"general";"via2",#N/A,TRUE,"general";"via3",#N/A,TRUE,"general"}</definedName>
    <definedName name="hhhhhho" localSheetId="12" hidden="1">{"TAB1",#N/A,TRUE,"GENERAL";"TAB2",#N/A,TRUE,"GENERAL";"TAB3",#N/A,TRUE,"GENERAL";"TAB4",#N/A,TRUE,"GENERAL";"TAB5",#N/A,TRUE,"GENERAL"}</definedName>
    <definedName name="hhhhhho" hidden="1">{"TAB1",#N/A,TRUE,"GENERAL";"TAB2",#N/A,TRUE,"GENERAL";"TAB3",#N/A,TRUE,"GENERAL";"TAB4",#N/A,TRUE,"GENERAL";"TAB5",#N/A,TRUE,"GENERAL"}</definedName>
    <definedName name="hhhhhpy" localSheetId="12" hidden="1">{"TAB1",#N/A,TRUE,"GENERAL";"TAB2",#N/A,TRUE,"GENERAL";"TAB3",#N/A,TRUE,"GENERAL";"TAB4",#N/A,TRUE,"GENERAL";"TAB5",#N/A,TRUE,"GENERAL"}</definedName>
    <definedName name="hhhhhpy" hidden="1">{"TAB1",#N/A,TRUE,"GENERAL";"TAB2",#N/A,TRUE,"GENERAL";"TAB3",#N/A,TRUE,"GENERAL";"TAB4",#N/A,TRUE,"GENERAL";"TAB5",#N/A,TRUE,"GENERAL"}</definedName>
    <definedName name="hhhhth" localSheetId="12" hidden="1">{"via1",#N/A,TRUE,"general";"via2",#N/A,TRUE,"general";"via3",#N/A,TRUE,"general"}</definedName>
    <definedName name="hhhhth" hidden="1">{"via1",#N/A,TRUE,"general";"via2",#N/A,TRUE,"general";"via3",#N/A,TRUE,"general"}</definedName>
    <definedName name="hhhyhyh" localSheetId="12" hidden="1">{"TAB1",#N/A,TRUE,"GENERAL";"TAB2",#N/A,TRUE,"GENERAL";"TAB3",#N/A,TRUE,"GENERAL";"TAB4",#N/A,TRUE,"GENERAL";"TAB5",#N/A,TRUE,"GENERAL"}</definedName>
    <definedName name="hhhyhyh" hidden="1">{"TAB1",#N/A,TRUE,"GENERAL";"TAB2",#N/A,TRUE,"GENERAL";"TAB3",#N/A,TRUE,"GENERAL";"TAB4",#N/A,TRUE,"GENERAL";"TAB5",#N/A,TRUE,"GENERAL"}</definedName>
    <definedName name="hhtrhreh" localSheetId="12" hidden="1">{"via1",#N/A,TRUE,"general";"via2",#N/A,TRUE,"general";"via3",#N/A,TRUE,"general"}</definedName>
    <definedName name="hhtrhreh" hidden="1">{"via1",#N/A,TRUE,"general";"via2",#N/A,TRUE,"general";"via3",#N/A,TRUE,"general"}</definedName>
    <definedName name="Hid">'[22]Interc de Hidr.'!$E$1:$E$65536</definedName>
    <definedName name="HIDE1">[61]steel!$F$7:$J$7</definedName>
    <definedName name="hjfg" localSheetId="12" hidden="1">{"via1",#N/A,TRUE,"general";"via2",#N/A,TRUE,"general";"via3",#N/A,TRUE,"general"}</definedName>
    <definedName name="hjfg" hidden="1">{"via1",#N/A,TRUE,"general";"via2",#N/A,TRUE,"general";"via3",#N/A,TRUE,"general"}</definedName>
    <definedName name="hjgh" localSheetId="12" hidden="1">{"TAB1",#N/A,TRUE,"GENERAL";"TAB2",#N/A,TRUE,"GENERAL";"TAB3",#N/A,TRUE,"GENERAL";"TAB4",#N/A,TRUE,"GENERAL";"TAB5",#N/A,TRUE,"GENERAL"}</definedName>
    <definedName name="hjgh" hidden="1">{"TAB1",#N/A,TRUE,"GENERAL";"TAB2",#N/A,TRUE,"GENERAL";"TAB3",#N/A,TRUE,"GENERAL";"TAB4",#N/A,TRUE,"GENERAL";"TAB5",#N/A,TRUE,"GENERAL"}</definedName>
    <definedName name="hjghj" localSheetId="12" hidden="1">{"TAB1",#N/A,TRUE,"GENERAL";"TAB2",#N/A,TRUE,"GENERAL";"TAB3",#N/A,TRUE,"GENERAL";"TAB4",#N/A,TRUE,"GENERAL";"TAB5",#N/A,TRUE,"GENERAL"}</definedName>
    <definedName name="hjghj" hidden="1">{"TAB1",#N/A,TRUE,"GENERAL";"TAB2",#N/A,TRUE,"GENERAL";"TAB3",#N/A,TRUE,"GENERAL";"TAB4",#N/A,TRUE,"GENERAL";"TAB5",#N/A,TRUE,"GENERAL"}</definedName>
    <definedName name="hjhjhg" localSheetId="12" hidden="1">{"TAB1",#N/A,TRUE,"GENERAL";"TAB2",#N/A,TRUE,"GENERAL";"TAB3",#N/A,TRUE,"GENERAL";"TAB4",#N/A,TRUE,"GENERAL";"TAB5",#N/A,TRUE,"GENERAL"}</definedName>
    <definedName name="hjhjhg" hidden="1">{"TAB1",#N/A,TRUE,"GENERAL";"TAB2",#N/A,TRUE,"GENERAL";"TAB3",#N/A,TRUE,"GENERAL";"TAB4",#N/A,TRUE,"GENERAL";"TAB5",#N/A,TRUE,"GENERAL"}</definedName>
    <definedName name="HJKH" localSheetId="12" hidden="1">{"via1",#N/A,TRUE,"general";"via2",#N/A,TRUE,"general";"via3",#N/A,TRUE,"general"}</definedName>
    <definedName name="HJKH" hidden="1">{"via1",#N/A,TRUE,"general";"via2",#N/A,TRUE,"general";"via3",#N/A,TRUE,"general"}</definedName>
    <definedName name="hjkjk" localSheetId="12" hidden="1">{"via1",#N/A,TRUE,"general";"via2",#N/A,TRUE,"general";"via3",#N/A,TRUE,"general"}</definedName>
    <definedName name="hjkjk" hidden="1">{"via1",#N/A,TRUE,"general";"via2",#N/A,TRUE,"general";"via3",#N/A,TRUE,"general"}</definedName>
    <definedName name="HK" localSheetId="12">'Formulario No. 1'!ERR</definedName>
    <definedName name="HK">[0]!ERR</definedName>
    <definedName name="HM" localSheetId="11">#REF!</definedName>
    <definedName name="HM">#REF!</definedName>
    <definedName name="HM3EB">'BASE 2'!$D$697</definedName>
    <definedName name="HM3JH">'BASE 2'!$D$698</definedName>
    <definedName name="hn" localSheetId="12" hidden="1">{"TAB1",#N/A,TRUE,"GENERAL";"TAB2",#N/A,TRUE,"GENERAL";"TAB3",#N/A,TRUE,"GENERAL";"TAB4",#N/A,TRUE,"GENERAL";"TAB5",#N/A,TRUE,"GENERAL"}</definedName>
    <definedName name="hn" hidden="1">{"TAB1",#N/A,TRUE,"GENERAL";"TAB2",#N/A,TRUE,"GENERAL";"TAB3",#N/A,TRUE,"GENERAL";"TAB4",#N/A,TRUE,"GENERAL";"TAB5",#N/A,TRUE,"GENERAL"}</definedName>
    <definedName name="HOJA1" localSheetId="11">#REF!</definedName>
    <definedName name="HOJA1" localSheetId="12">#REF!</definedName>
    <definedName name="HOJA1">#REF!</definedName>
    <definedName name="horat" localSheetId="11">'[22]Itemes Renovación'!#REF!</definedName>
    <definedName name="horat">'[22]Itemes Renovación'!#REF!</definedName>
    <definedName name="Hornos" localSheetId="11">#REF!</definedName>
    <definedName name="Hornos">#REF!</definedName>
    <definedName name="HP_stg_Hz" localSheetId="11">#REF!</definedName>
    <definedName name="HP_stg_Hz">#REF!</definedName>
    <definedName name="hreer" localSheetId="12" hidden="1">{"TAB1",#N/A,TRUE,"GENERAL";"TAB2",#N/A,TRUE,"GENERAL";"TAB3",#N/A,TRUE,"GENERAL";"TAB4",#N/A,TRUE,"GENERAL";"TAB5",#N/A,TRUE,"GENERAL"}</definedName>
    <definedName name="hreer" hidden="1">{"TAB1",#N/A,TRUE,"GENERAL";"TAB2",#N/A,TRUE,"GENERAL";"TAB3",#N/A,TRUE,"GENERAL";"TAB4",#N/A,TRUE,"GENERAL";"TAB5",#N/A,TRUE,"GENERAL"}</definedName>
    <definedName name="hrhth" localSheetId="12" hidden="1">{"TAB1",#N/A,TRUE,"GENERAL";"TAB2",#N/A,TRUE,"GENERAL";"TAB3",#N/A,TRUE,"GENERAL";"TAB4",#N/A,TRUE,"GENERAL";"TAB5",#N/A,TRUE,"GENERAL"}</definedName>
    <definedName name="hrhth" hidden="1">{"TAB1",#N/A,TRUE,"GENERAL";"TAB2",#N/A,TRUE,"GENERAL";"TAB3",#N/A,TRUE,"GENERAL";"TAB4",#N/A,TRUE,"GENERAL";"TAB5",#N/A,TRUE,"GENERAL"}</definedName>
    <definedName name="hrn">[71]Datos!$D$7</definedName>
    <definedName name="hrthtrh" localSheetId="12" hidden="1">{"TAB1",#N/A,TRUE,"GENERAL";"TAB2",#N/A,TRUE,"GENERAL";"TAB3",#N/A,TRUE,"GENERAL";"TAB4",#N/A,TRUE,"GENERAL";"TAB5",#N/A,TRUE,"GENERAL"}</definedName>
    <definedName name="hrthtrh" hidden="1">{"TAB1",#N/A,TRUE,"GENERAL";"TAB2",#N/A,TRUE,"GENERAL";"TAB3",#N/A,TRUE,"GENERAL";"TAB4",#N/A,TRUE,"GENERAL";"TAB5",#N/A,TRUE,"GENERAL"}</definedName>
    <definedName name="hs" localSheetId="11">#REF!</definedName>
    <definedName name="hs">#REF!</definedName>
    <definedName name="hsfg" localSheetId="12" hidden="1">{"via1",#N/A,TRUE,"general";"via2",#N/A,TRUE,"general";"via3",#N/A,TRUE,"general"}</definedName>
    <definedName name="hsfg" hidden="1">{"via1",#N/A,TRUE,"general";"via2",#N/A,TRUE,"general";"via3",#N/A,TRUE,"general"}</definedName>
    <definedName name="HT75MH">'BASE 2'!$D$33</definedName>
    <definedName name="HTAS" localSheetId="11">#REF!</definedName>
    <definedName name="HTAS">#REF!</definedName>
    <definedName name="HTAS1" localSheetId="11">#REF!</definedName>
    <definedName name="HTAS1">#REF!</definedName>
    <definedName name="hthdrf" localSheetId="12" hidden="1">{"TAB1",#N/A,TRUE,"GENERAL";"TAB2",#N/A,TRUE,"GENERAL";"TAB3",#N/A,TRUE,"GENERAL";"TAB4",#N/A,TRUE,"GENERAL";"TAB5",#N/A,TRUE,"GENERAL"}</definedName>
    <definedName name="hthdrf" hidden="1">{"TAB1",#N/A,TRUE,"GENERAL";"TAB2",#N/A,TRUE,"GENERAL";"TAB3",#N/A,TRUE,"GENERAL";"TAB4",#N/A,TRUE,"GENERAL";"TAB5",#N/A,TRUE,"GENERAL"}</definedName>
    <definedName name="htryrt7" localSheetId="12" hidden="1">{"via1",#N/A,TRUE,"general";"via2",#N/A,TRUE,"general";"via3",#N/A,TRUE,"general"}</definedName>
    <definedName name="htryrt7" hidden="1">{"via1",#N/A,TRUE,"general";"via2",#N/A,TRUE,"general";"via3",#N/A,TRUE,"general"}</definedName>
    <definedName name="hut" localSheetId="11">#REF!</definedName>
    <definedName name="hut">#REF!</definedName>
    <definedName name="hxdfk" localSheetId="11">#REF!</definedName>
    <definedName name="hxdfk">#REF!</definedName>
    <definedName name="hyhjop" localSheetId="12" hidden="1">{"TAB1",#N/A,TRUE,"GENERAL";"TAB2",#N/A,TRUE,"GENERAL";"TAB3",#N/A,TRUE,"GENERAL";"TAB4",#N/A,TRUE,"GENERAL";"TAB5",#N/A,TRUE,"GENERAL"}</definedName>
    <definedName name="hyhjop" hidden="1">{"TAB1",#N/A,TRUE,"GENERAL";"TAB2",#N/A,TRUE,"GENERAL";"TAB3",#N/A,TRUE,"GENERAL";"TAB4",#N/A,TRUE,"GENERAL";"TAB5",#N/A,TRUE,"GENERAL"}</definedName>
    <definedName name="hyhyh" localSheetId="12" hidden="1">{"TAB1",#N/A,TRUE,"GENERAL";"TAB2",#N/A,TRUE,"GENERAL";"TAB3",#N/A,TRUE,"GENERAL";"TAB4",#N/A,TRUE,"GENERAL";"TAB5",#N/A,TRUE,"GENERAL"}</definedName>
    <definedName name="hyhyh" hidden="1">{"TAB1",#N/A,TRUE,"GENERAL";"TAB2",#N/A,TRUE,"GENERAL";"TAB3",#N/A,TRUE,"GENERAL";"TAB4",#N/A,TRUE,"GENERAL";"TAB5",#N/A,TRUE,"GENERAL"}</definedName>
    <definedName name="hytirs" localSheetId="12" hidden="1">{"via1",#N/A,TRUE,"general";"via2",#N/A,TRUE,"general";"via3",#N/A,TRUE,"general"}</definedName>
    <definedName name="hytirs" hidden="1">{"via1",#N/A,TRUE,"general";"via2",#N/A,TRUE,"general";"via3",#N/A,TRUE,"general"}</definedName>
    <definedName name="I" localSheetId="11">#REF!</definedName>
    <definedName name="I" localSheetId="12">#REF!</definedName>
    <definedName name="I">#REF!</definedName>
    <definedName name="i0" localSheetId="11">#REF!</definedName>
    <definedName name="i0">#REF!</definedName>
    <definedName name="i8i" localSheetId="12" hidden="1">{"TAB1",#N/A,TRUE,"GENERAL";"TAB2",#N/A,TRUE,"GENERAL";"TAB3",#N/A,TRUE,"GENERAL";"TAB4",#N/A,TRUE,"GENERAL";"TAB5",#N/A,TRUE,"GENERAL"}</definedName>
    <definedName name="i8i" hidden="1">{"TAB1",#N/A,TRUE,"GENERAL";"TAB2",#N/A,TRUE,"GENERAL";"TAB3",#N/A,TRUE,"GENERAL";"TAB4",#N/A,TRUE,"GENERAL";"TAB5",#N/A,TRUE,"GENERAL"}</definedName>
    <definedName name="ic">[71]Hoja1!$C$17</definedName>
    <definedName name="icbf">[71]Hoja1!$C$15</definedName>
    <definedName name="Icct" localSheetId="11">#REF!</definedName>
    <definedName name="Icct">#REF!</definedName>
    <definedName name="ICP" localSheetId="11">[12]Tablas!#REF!</definedName>
    <definedName name="ICP">[12]Tablas!#REF!</definedName>
    <definedName name="ICP1_1" localSheetId="11">[12]Tablas!#REF!</definedName>
    <definedName name="ICP1_1">[12]Tablas!#REF!</definedName>
    <definedName name="ICP1_1_1" localSheetId="11">[12]Tablas!#REF!</definedName>
    <definedName name="ICP1_1_1">[12]Tablas!#REF!</definedName>
    <definedName name="ICP1_1_2" localSheetId="11">[12]Tablas!#REF!</definedName>
    <definedName name="ICP1_1_2">[12]Tablas!#REF!</definedName>
    <definedName name="ICP1_1_3" localSheetId="11">[12]Tablas!#REF!</definedName>
    <definedName name="ICP1_1_3">[12]Tablas!#REF!</definedName>
    <definedName name="ICP1_1_4" localSheetId="11">[12]Tablas!#REF!</definedName>
    <definedName name="ICP1_1_4">[12]Tablas!#REF!</definedName>
    <definedName name="ICP1_2" localSheetId="11">[12]Tablas!#REF!</definedName>
    <definedName name="ICP1_2">[12]Tablas!#REF!</definedName>
    <definedName name="ICP1_3" localSheetId="11">[12]Tablas!#REF!</definedName>
    <definedName name="ICP1_3">[12]Tablas!#REF!</definedName>
    <definedName name="ICP1_4" localSheetId="11">[12]Tablas!#REF!</definedName>
    <definedName name="ICP1_4">[12]Tablas!#REF!</definedName>
    <definedName name="ID" localSheetId="12">'Formulario No. 1'!ERR</definedName>
    <definedName name="ID">[0]!ERR</definedName>
    <definedName name="IF" localSheetId="11">'[67]A. P. U.'!#REF!</definedName>
    <definedName name="IF" localSheetId="12">'[67]A. P. U.'!#REF!</definedName>
    <definedName name="IF">'[67]A. P. U.'!#REF!</definedName>
    <definedName name="Ig" localSheetId="11">#REF!</definedName>
    <definedName name="Ig">#REF!</definedName>
    <definedName name="ii" localSheetId="12" hidden="1">{"TAB1",#N/A,TRUE,"GENERAL";"TAB2",#N/A,TRUE,"GENERAL";"TAB3",#N/A,TRUE,"GENERAL";"TAB4",#N/A,TRUE,"GENERAL";"TAB5",#N/A,TRUE,"GENERAL"}</definedName>
    <definedName name="ii" hidden="1">{"TAB1",#N/A,TRUE,"GENERAL";"TAB2",#N/A,TRUE,"GENERAL";"TAB3",#N/A,TRUE,"GENERAL";"TAB4",#N/A,TRUE,"GENERAL";"TAB5",#N/A,TRUE,"GENERAL"}</definedName>
    <definedName name="iii" localSheetId="12" hidden="1">{"via1",#N/A,TRUE,"general";"via2",#N/A,TRUE,"general";"via3",#N/A,TRUE,"general"}</definedName>
    <definedName name="iii" hidden="1">{"via1",#N/A,TRUE,"general";"via2",#N/A,TRUE,"general";"via3",#N/A,TRUE,"general"}</definedName>
    <definedName name="iiii" localSheetId="12" hidden="1">{"via1",#N/A,TRUE,"general";"via2",#N/A,TRUE,"general";"via3",#N/A,TRUE,"general"}</definedName>
    <definedName name="iiii" hidden="1">{"via1",#N/A,TRUE,"general";"via2",#N/A,TRUE,"general";"via3",#N/A,TRUE,"general"}</definedName>
    <definedName name="iiiiiiik" localSheetId="12" hidden="1">{"via1",#N/A,TRUE,"general";"via2",#N/A,TRUE,"general";"via3",#N/A,TRUE,"general"}</definedName>
    <definedName name="iiiiiiik" hidden="1">{"via1",#N/A,TRUE,"general";"via2",#N/A,TRUE,"general";"via3",#N/A,TRUE,"general"}</definedName>
    <definedName name="iiiiuh" localSheetId="12" hidden="1">{"TAB1",#N/A,TRUE,"GENERAL";"TAB2",#N/A,TRUE,"GENERAL";"TAB3",#N/A,TRUE,"GENERAL";"TAB4",#N/A,TRUE,"GENERAL";"TAB5",#N/A,TRUE,"GENERAL"}</definedName>
    <definedName name="iiiiuh" hidden="1">{"TAB1",#N/A,TRUE,"GENERAL";"TAB2",#N/A,TRUE,"GENERAL";"TAB3",#N/A,TRUE,"GENERAL";"TAB4",#N/A,TRUE,"GENERAL";"TAB5",#N/A,TRUE,"GENERAL"}</definedName>
    <definedName name="iktgvfmu" localSheetId="12" hidden="1">{"TAB1",#N/A,TRUE,"GENERAL";"TAB2",#N/A,TRUE,"GENERAL";"TAB3",#N/A,TRUE,"GENERAL";"TAB4",#N/A,TRUE,"GENERAL";"TAB5",#N/A,TRUE,"GENERAL"}</definedName>
    <definedName name="iktgvfmu" hidden="1">{"TAB1",#N/A,TRUE,"GENERAL";"TAB2",#N/A,TRUE,"GENERAL";"TAB3",#N/A,TRUE,"GENERAL";"TAB4",#N/A,TRUE,"GENERAL";"TAB5",#N/A,TRUE,"GENERAL"}</definedName>
    <definedName name="IL" localSheetId="11">#REF!</definedName>
    <definedName name="IL">#REF!</definedName>
    <definedName name="im">'[96]1'!$N$41</definedName>
    <definedName name="IMP">[40]otros!$C$3</definedName>
    <definedName name="IMPRESSION" localSheetId="11">#REF!</definedName>
    <definedName name="IMPRESSION">#REF!</definedName>
    <definedName name="IMPRI" localSheetId="8">[15]BASE2!$D$515</definedName>
    <definedName name="IMPRI" localSheetId="9">[15]BASE2!$D$515</definedName>
    <definedName name="IMPRI">'BASE 2'!$D$764</definedName>
    <definedName name="imprimir" localSheetId="11">#REF!</definedName>
    <definedName name="imprimir">#REF!</definedName>
    <definedName name="IMPTOS" localSheetId="11">#REF!</definedName>
    <definedName name="IMPTOS">#REF!</definedName>
    <definedName name="IMPTOS1" localSheetId="11">#REF!</definedName>
    <definedName name="IMPTOS1">#REF!</definedName>
    <definedName name="INC" localSheetId="11">#REF!</definedName>
    <definedName name="INC">#REF!</definedName>
    <definedName name="INCR._PRODC." localSheetId="11">#REF!</definedName>
    <definedName name="INCR._PRODC.">#REF!</definedName>
    <definedName name="INDICE" localSheetId="11">#REF!</definedName>
    <definedName name="INDICE" localSheetId="12">#REF!</definedName>
    <definedName name="INDICE">#REF!</definedName>
    <definedName name="inf" localSheetId="11">#REF!</definedName>
    <definedName name="inf" localSheetId="12">#REF!</definedName>
    <definedName name="inf">#REF!</definedName>
    <definedName name="INFORME">[97]TABLAS!$A$1:$A$65536</definedName>
    <definedName name="Informe_semanal" localSheetId="11">#REF!</definedName>
    <definedName name="Informe_semanal">#REF!</definedName>
    <definedName name="INGENIERIA1" localSheetId="11" hidden="1">#REF!</definedName>
    <definedName name="INGENIERIA1" hidden="1">#REF!</definedName>
    <definedName name="INGENIERIA11" localSheetId="11" hidden="1">#REF!</definedName>
    <definedName name="INGENIERIA11" hidden="1">#REF!</definedName>
    <definedName name="iniciales">'[42]Reservas de Petróleo'!$A$2,'[42]Reservas de Petróleo'!$A$1,'[42]Reservas de Petróleo'!$D$4,'[42]Reservas de Petróleo'!$D$1:$D$65536</definedName>
    <definedName name="Inicio">[50]BASES!$E$26</definedName>
    <definedName name="INPU" localSheetId="11">#REF!</definedName>
    <definedName name="INPU">#REF!</definedName>
    <definedName name="INPUT" localSheetId="11">'[3]7422CW00'!#REF!</definedName>
    <definedName name="INPUT">'[3]7422CW00'!#REF!</definedName>
    <definedName name="INSU">[98]INSUMOS!$A$1:$E$65536</definedName>
    <definedName name="Insumos_auxiliares" localSheetId="11">[99]Insumos!#REF!</definedName>
    <definedName name="Insumos_auxiliares" localSheetId="12">[99]Insumos!#REF!</definedName>
    <definedName name="Insumos_auxiliares">[99]Insumos!#REF!</definedName>
    <definedName name="Insumos_basicos" localSheetId="11">#REF!</definedName>
    <definedName name="Insumos_basicos" localSheetId="12">#REF!</definedName>
    <definedName name="Insumos_basicos">#REF!</definedName>
    <definedName name="Int" localSheetId="11">#REF!</definedName>
    <definedName name="Int">#REF!</definedName>
    <definedName name="InTap">[22]Interc.tapones!$E$1:$E$65536</definedName>
    <definedName name="INTER">[89]Hoja3!$F$7:$F$9</definedName>
    <definedName name="Intercambiadores" localSheetId="11">#REF!</definedName>
    <definedName name="Intercambiadores">#REF!</definedName>
    <definedName name="Interest_Rate" localSheetId="11">#REF!</definedName>
    <definedName name="Interest_Rate">#REF!</definedName>
    <definedName name="INTERMEDIA_I" localSheetId="11">#REF!</definedName>
    <definedName name="INTERMEDIA_I">#REF!</definedName>
    <definedName name="Interventor">[56]CONTRATO!$E$12</definedName>
    <definedName name="IntVal">[22]Interc.válv.!$E$1:$E$65536</definedName>
    <definedName name="INV_11">'[100]PR 1'!$A$2:$N$655</definedName>
    <definedName name="INV_Payments" localSheetId="11">[66]!INV_Payments</definedName>
    <definedName name="INV_Payments">[66]!INV_Payments</definedName>
    <definedName name="InvDol1" localSheetId="11">#REF!</definedName>
    <definedName name="InvDol1">#REF!</definedName>
    <definedName name="InvDol2" localSheetId="11">#REF!</definedName>
    <definedName name="InvDol2">#REF!</definedName>
    <definedName name="InvDol3" localSheetId="11">#REF!</definedName>
    <definedName name="InvDol3">#REF!</definedName>
    <definedName name="InvDol4" localSheetId="11">#REF!</definedName>
    <definedName name="InvDol4">#REF!</definedName>
    <definedName name="InvDol5" localSheetId="11">#REF!</definedName>
    <definedName name="InvDol5">#REF!</definedName>
    <definedName name="InvDol6" localSheetId="11">#REF!</definedName>
    <definedName name="InvDol6">#REF!</definedName>
    <definedName name="InvDol7" localSheetId="11">#REF!</definedName>
    <definedName name="InvDol7">#REF!</definedName>
    <definedName name="InvDol8" localSheetId="11">#REF!</definedName>
    <definedName name="InvDol8">#REF!</definedName>
    <definedName name="IOU" localSheetId="11">#REF!</definedName>
    <definedName name="IOU">#REF!</definedName>
    <definedName name="IOUHH" localSheetId="12">'Formulario No. 1'!ERR</definedName>
    <definedName name="IOUHH">[0]!ERR</definedName>
    <definedName name="IP" localSheetId="11">#REF!</definedName>
    <definedName name="IP">#REF!</definedName>
    <definedName name="irng" localSheetId="11" hidden="1">#REF!</definedName>
    <definedName name="irng" hidden="1">#REF!</definedName>
    <definedName name="Iss">'[56]LIQUIDA-NOMINA'!$AT$4</definedName>
    <definedName name="issafp">[71]Hoja1!$C$19</definedName>
    <definedName name="isscs">[71]Hoja1!$C$21</definedName>
    <definedName name="isseps">[71]Hoja1!$C$20</definedName>
    <definedName name="ITEM">[95]BASE!$C$4:$H$255</definedName>
    <definedName name="ITEM1" localSheetId="11">#REF!</definedName>
    <definedName name="ITEM1" localSheetId="12">#REF!</definedName>
    <definedName name="ITEM1">#REF!</definedName>
    <definedName name="ITEM15" localSheetId="11">#REF!</definedName>
    <definedName name="ITEM15" localSheetId="12">#REF!</definedName>
    <definedName name="ITEM15">#REF!</definedName>
    <definedName name="ITEM2" localSheetId="11">#REF!</definedName>
    <definedName name="ITEM2" localSheetId="12">#REF!</definedName>
    <definedName name="ITEM2">#REF!</definedName>
    <definedName name="item210.3" localSheetId="11">#REF!</definedName>
    <definedName name="item210.3" localSheetId="12">#REF!</definedName>
    <definedName name="item210.3">#REF!</definedName>
    <definedName name="item230.1" localSheetId="11">#REF!</definedName>
    <definedName name="item230.1" localSheetId="12">#REF!</definedName>
    <definedName name="item230.1">#REF!</definedName>
    <definedName name="ITEM3" localSheetId="11">#REF!</definedName>
    <definedName name="ITEM3" localSheetId="12">#REF!</definedName>
    <definedName name="ITEM3">#REF!</definedName>
    <definedName name="item310" localSheetId="11">#REF!</definedName>
    <definedName name="item310" localSheetId="12">#REF!</definedName>
    <definedName name="item310">#REF!</definedName>
    <definedName name="item320.2" localSheetId="11">#REF!</definedName>
    <definedName name="item320.2" localSheetId="12">#REF!</definedName>
    <definedName name="item320.2">#REF!</definedName>
    <definedName name="item330.1" localSheetId="11">#REF!</definedName>
    <definedName name="item330.1" localSheetId="12">#REF!</definedName>
    <definedName name="item330.1">#REF!</definedName>
    <definedName name="item420" localSheetId="11">#REF!</definedName>
    <definedName name="item420" localSheetId="12">#REF!</definedName>
    <definedName name="item420">#REF!</definedName>
    <definedName name="item450.2P" localSheetId="11">#REF!</definedName>
    <definedName name="item450.2P" localSheetId="12">#REF!</definedName>
    <definedName name="item450.2P">#REF!</definedName>
    <definedName name="item600.1" localSheetId="11">#REF!</definedName>
    <definedName name="item600.1" localSheetId="12">#REF!</definedName>
    <definedName name="item600.1">#REF!</definedName>
    <definedName name="item610.1" localSheetId="11">#REF!</definedName>
    <definedName name="item610.1" localSheetId="12">#REF!</definedName>
    <definedName name="item610.1">#REF!</definedName>
    <definedName name="item610.2" localSheetId="11">#REF!</definedName>
    <definedName name="item610.2" localSheetId="12">#REF!</definedName>
    <definedName name="item610.2">#REF!</definedName>
    <definedName name="item630.4" localSheetId="11">#REF!</definedName>
    <definedName name="item630.4" localSheetId="12">#REF!</definedName>
    <definedName name="item630.4">#REF!</definedName>
    <definedName name="item630.6" localSheetId="11">#REF!</definedName>
    <definedName name="item630.6" localSheetId="12">#REF!</definedName>
    <definedName name="item630.6">#REF!</definedName>
    <definedName name="item630.7" localSheetId="11">#REF!</definedName>
    <definedName name="item630.7" localSheetId="12">#REF!</definedName>
    <definedName name="item630.7">#REF!</definedName>
    <definedName name="item640.3" localSheetId="11">#REF!</definedName>
    <definedName name="item640.3" localSheetId="12">#REF!</definedName>
    <definedName name="item640.3">#REF!</definedName>
    <definedName name="item661" localSheetId="11">#REF!</definedName>
    <definedName name="item661" localSheetId="12">#REF!</definedName>
    <definedName name="item661">#REF!</definedName>
    <definedName name="item671" localSheetId="11">#REF!</definedName>
    <definedName name="item671" localSheetId="12">#REF!</definedName>
    <definedName name="item671">#REF!</definedName>
    <definedName name="item673.1" localSheetId="11">#REF!</definedName>
    <definedName name="item673.1" localSheetId="12">#REF!</definedName>
    <definedName name="item673.1">#REF!</definedName>
    <definedName name="item673.3" localSheetId="11">#REF!</definedName>
    <definedName name="item673.3" localSheetId="12">#REF!</definedName>
    <definedName name="item673.3">#REF!</definedName>
    <definedName name="item681" localSheetId="11">#REF!</definedName>
    <definedName name="item681" localSheetId="12">#REF!</definedName>
    <definedName name="item681">#REF!</definedName>
    <definedName name="item700.1" localSheetId="11">#REF!</definedName>
    <definedName name="item700.1" localSheetId="12">#REF!</definedName>
    <definedName name="item700.1">#REF!</definedName>
    <definedName name="item710.1" localSheetId="11">#REF!</definedName>
    <definedName name="item710.1" localSheetId="12">#REF!</definedName>
    <definedName name="item710.1">#REF!</definedName>
    <definedName name="item710.2" localSheetId="11">#REF!</definedName>
    <definedName name="item710.2" localSheetId="12">#REF!</definedName>
    <definedName name="item710.2">#REF!</definedName>
    <definedName name="item730.1" localSheetId="11">#REF!</definedName>
    <definedName name="item730.1" localSheetId="12">#REF!</definedName>
    <definedName name="item730.1">#REF!</definedName>
    <definedName name="item730.2" localSheetId="11">#REF!</definedName>
    <definedName name="item730.2" localSheetId="12">#REF!</definedName>
    <definedName name="item730.2">#REF!</definedName>
    <definedName name="item730.2.4" localSheetId="11">#REF!</definedName>
    <definedName name="item730.2.4" localSheetId="12">#REF!</definedName>
    <definedName name="item730.2.4">#REF!</definedName>
    <definedName name="item900.2" localSheetId="11">#REF!</definedName>
    <definedName name="item900.2" localSheetId="12">#REF!</definedName>
    <definedName name="item900.2">#REF!</definedName>
    <definedName name="ItemCodos" localSheetId="11">#REF!</definedName>
    <definedName name="ItemCodos">#REF!</definedName>
    <definedName name="IUI" localSheetId="12" hidden="1">{"TAB1",#N/A,TRUE,"GENERAL";"TAB2",#N/A,TRUE,"GENERAL";"TAB3",#N/A,TRUE,"GENERAL";"TAB4",#N/A,TRUE,"GENERAL";"TAB5",#N/A,TRUE,"GENERAL"}</definedName>
    <definedName name="IUI" hidden="1">{"TAB1",#N/A,TRUE,"GENERAL";"TAB2",#N/A,TRUE,"GENERAL";"TAB3",#N/A,TRUE,"GENERAL";"TAB4",#N/A,TRUE,"GENERAL";"TAB5",#N/A,TRUE,"GENERAL"}</definedName>
    <definedName name="iuit7" localSheetId="12" hidden="1">{"TAB1",#N/A,TRUE,"GENERAL";"TAB2",#N/A,TRUE,"GENERAL";"TAB3",#N/A,TRUE,"GENERAL";"TAB4",#N/A,TRUE,"GENERAL";"TAB5",#N/A,TRUE,"GENERAL"}</definedName>
    <definedName name="iuit7" hidden="1">{"TAB1",#N/A,TRUE,"GENERAL";"TAB2",#N/A,TRUE,"GENERAL";"TAB3",#N/A,TRUE,"GENERAL";"TAB4",#N/A,TRUE,"GENERAL";"TAB5",#N/A,TRUE,"GENERAL"}</definedName>
    <definedName name="iul" localSheetId="12" hidden="1">{"via1",#N/A,TRUE,"general";"via2",#N/A,TRUE,"general";"via3",#N/A,TRUE,"general"}</definedName>
    <definedName name="iul" hidden="1">{"via1",#N/A,TRUE,"general";"via2",#N/A,TRUE,"general";"via3",#N/A,TRUE,"general"}</definedName>
    <definedName name="iuouio" localSheetId="12" hidden="1">{"via1",#N/A,TRUE,"general";"via2",#N/A,TRUE,"general";"via3",#N/A,TRUE,"general"}</definedName>
    <definedName name="iuouio" hidden="1">{"via1",#N/A,TRUE,"general";"via2",#N/A,TRUE,"general";"via3",#N/A,TRUE,"general"}</definedName>
    <definedName name="iuyi9" localSheetId="12" hidden="1">{"TAB1",#N/A,TRUE,"GENERAL";"TAB2",#N/A,TRUE,"GENERAL";"TAB3",#N/A,TRUE,"GENERAL";"TAB4",#N/A,TRUE,"GENERAL";"TAB5",#N/A,TRUE,"GENERAL"}</definedName>
    <definedName name="iuyi9" hidden="1">{"TAB1",#N/A,TRUE,"GENERAL";"TAB2",#N/A,TRUE,"GENERAL";"TAB3",#N/A,TRUE,"GENERAL";"TAB4",#N/A,TRUE,"GENERAL";"TAB5",#N/A,TRUE,"GENERAL"}</definedName>
    <definedName name="IVA" localSheetId="11">#REF!</definedName>
    <definedName name="IVA" localSheetId="12">#REF!</definedName>
    <definedName name="IVA">#REF!</definedName>
    <definedName name="iwjer" localSheetId="11">#REF!</definedName>
    <definedName name="iwjer">#REF!</definedName>
    <definedName name="iyuiuyi" localSheetId="12" hidden="1">{"via1",#N/A,TRUE,"general";"via2",#N/A,TRUE,"general";"via3",#N/A,TRUE,"general"}</definedName>
    <definedName name="iyuiuyi" hidden="1">{"via1",#N/A,TRUE,"general";"via2",#N/A,TRUE,"general";"via3",#N/A,TRUE,"general"}</definedName>
    <definedName name="j" localSheetId="12" hidden="1">{"TAB1",#N/A,TRUE,"GENERAL";"TAB2",#N/A,TRUE,"GENERAL";"TAB3",#N/A,TRUE,"GENERAL";"TAB4",#N/A,TRUE,"GENERAL";"TAB5",#N/A,TRUE,"GENERAL"}</definedName>
    <definedName name="j" hidden="1">{"TAB1",#N/A,TRUE,"GENERAL";"TAB2",#N/A,TRUE,"GENERAL";"TAB3",#N/A,TRUE,"GENERAL";"TAB4",#N/A,TRUE,"GENERAL";"TAB5",#N/A,TRUE,"GENERAL"}</definedName>
    <definedName name="jd" localSheetId="12" hidden="1">{"via1",#N/A,TRUE,"general";"via2",#N/A,TRUE,"general";"via3",#N/A,TRUE,"general"}</definedName>
    <definedName name="jd" hidden="1">{"via1",#N/A,TRUE,"general";"via2",#N/A,TRUE,"general";"via3",#N/A,TRUE,"general"}</definedName>
    <definedName name="jdh" localSheetId="12" hidden="1">{"TAB1",#N/A,TRUE,"GENERAL";"TAB2",#N/A,TRUE,"GENERAL";"TAB3",#N/A,TRUE,"GENERAL";"TAB4",#N/A,TRUE,"GENERAL";"TAB5",#N/A,TRUE,"GENERAL"}</definedName>
    <definedName name="jdh" hidden="1">{"TAB1",#N/A,TRUE,"GENERAL";"TAB2",#N/A,TRUE,"GENERAL";"TAB3",#N/A,TRUE,"GENERAL";"TAB4",#N/A,TRUE,"GENERAL";"TAB5",#N/A,TRUE,"GENERAL"}</definedName>
    <definedName name="jeytj" localSheetId="12" hidden="1">{"TAB1",#N/A,TRUE,"GENERAL";"TAB2",#N/A,TRUE,"GENERAL";"TAB3",#N/A,TRUE,"GENERAL";"TAB4",#N/A,TRUE,"GENERAL";"TAB5",#N/A,TRUE,"GENERAL"}</definedName>
    <definedName name="jeytj" hidden="1">{"TAB1",#N/A,TRUE,"GENERAL";"TAB2",#N/A,TRUE,"GENERAL";"TAB3",#N/A,TRUE,"GENERAL";"TAB4",#N/A,TRUE,"GENERAL";"TAB5",#N/A,TRUE,"GENERAL"}</definedName>
    <definedName name="jfç" localSheetId="11" hidden="1">#REF!</definedName>
    <definedName name="jfç" hidden="1">#REF!</definedName>
    <definedName name="jfhjfrt" localSheetId="12" hidden="1">{"TAB1",#N/A,TRUE,"GENERAL";"TAB2",#N/A,TRUE,"GENERAL";"TAB3",#N/A,TRUE,"GENERAL";"TAB4",#N/A,TRUE,"GENERAL";"TAB5",#N/A,TRUE,"GENERAL"}</definedName>
    <definedName name="jfhjfrt" hidden="1">{"TAB1",#N/A,TRUE,"GENERAL";"TAB2",#N/A,TRUE,"GENERAL";"TAB3",#N/A,TRUE,"GENERAL";"TAB4",#N/A,TRUE,"GENERAL";"TAB5",#N/A,TRUE,"GENERAL"}</definedName>
    <definedName name="jgfj" localSheetId="12" hidden="1">{"via1",#N/A,TRUE,"general";"via2",#N/A,TRUE,"general";"via3",#N/A,TRUE,"general"}</definedName>
    <definedName name="jgfj" hidden="1">{"via1",#N/A,TRUE,"general";"via2",#N/A,TRUE,"general";"via3",#N/A,TRUE,"general"}</definedName>
    <definedName name="jghj" localSheetId="12" hidden="1">{"TAB1",#N/A,TRUE,"GENERAL";"TAB2",#N/A,TRUE,"GENERAL";"TAB3",#N/A,TRUE,"GENERAL";"TAB4",#N/A,TRUE,"GENERAL";"TAB5",#N/A,TRUE,"GENERAL"}</definedName>
    <definedName name="jghj" hidden="1">{"TAB1",#N/A,TRUE,"GENERAL";"TAB2",#N/A,TRUE,"GENERAL";"TAB3",#N/A,TRUE,"GENERAL";"TAB4",#N/A,TRUE,"GENERAL";"TAB5",#N/A,TRUE,"GENERAL"}</definedName>
    <definedName name="jgj" localSheetId="12" hidden="1">{"TAB1",#N/A,TRUE,"GENERAL";"TAB2",#N/A,TRUE,"GENERAL";"TAB3",#N/A,TRUE,"GENERAL";"TAB4",#N/A,TRUE,"GENERAL";"TAB5",#N/A,TRUE,"GENERAL"}</definedName>
    <definedName name="jgj" hidden="1">{"TAB1",#N/A,TRUE,"GENERAL";"TAB2",#N/A,TRUE,"GENERAL";"TAB3",#N/A,TRUE,"GENERAL";"TAB4",#N/A,TRUE,"GENERAL";"TAB5",#N/A,TRUE,"GENERAL"}</definedName>
    <definedName name="jhg" localSheetId="12" hidden="1">{"TAB1",#N/A,TRUE,"GENERAL";"TAB2",#N/A,TRUE,"GENERAL";"TAB3",#N/A,TRUE,"GENERAL";"TAB4",#N/A,TRUE,"GENERAL";"TAB5",#N/A,TRUE,"GENERAL"}</definedName>
    <definedName name="jhg" hidden="1">{"TAB1",#N/A,TRUE,"GENERAL";"TAB2",#N/A,TRUE,"GENERAL";"TAB3",#N/A,TRUE,"GENERAL";"TAB4",#N/A,TRUE,"GENERAL";"TAB5",#N/A,TRUE,"GENERAL"}</definedName>
    <definedName name="jhjyj" localSheetId="12" hidden="1">{"via1",#N/A,TRUE,"general";"via2",#N/A,TRUE,"general";"via3",#N/A,TRUE,"general"}</definedName>
    <definedName name="jhjyj" hidden="1">{"via1",#N/A,TRUE,"general";"via2",#N/A,TRUE,"general";"via3",#N/A,TRUE,"general"}</definedName>
    <definedName name="JHK" localSheetId="12" hidden="1">{"TAB1",#N/A,TRUE,"GENERAL";"TAB2",#N/A,TRUE,"GENERAL";"TAB3",#N/A,TRUE,"GENERAL";"TAB4",#N/A,TRUE,"GENERAL";"TAB5",#N/A,TRUE,"GENERAL"}</definedName>
    <definedName name="JHK" hidden="1">{"TAB1",#N/A,TRUE,"GENERAL";"TAB2",#N/A,TRUE,"GENERAL";"TAB3",#N/A,TRUE,"GENERAL";"TAB4",#N/A,TRUE,"GENERAL";"TAB5",#N/A,TRUE,"GENERAL"}</definedName>
    <definedName name="jhkgjkvf" localSheetId="12" hidden="1">{"TAB1",#N/A,TRUE,"GENERAL";"TAB2",#N/A,TRUE,"GENERAL";"TAB3",#N/A,TRUE,"GENERAL";"TAB4",#N/A,TRUE,"GENERAL";"TAB5",#N/A,TRUE,"GENERAL"}</definedName>
    <definedName name="jhkgjkvf" hidden="1">{"TAB1",#N/A,TRUE,"GENERAL";"TAB2",#N/A,TRUE,"GENERAL";"TAB3",#N/A,TRUE,"GENERAL";"TAB4",#N/A,TRUE,"GENERAL";"TAB5",#N/A,TRUE,"GENERAL"}</definedName>
    <definedName name="jj" localSheetId="12">'Formulario No. 1'!ERR</definedName>
    <definedName name="jj">[0]!ERR</definedName>
    <definedName name="jjfq" localSheetId="12" hidden="1">{"via1",#N/A,TRUE,"general";"via2",#N/A,TRUE,"general";"via3",#N/A,TRUE,"general"}</definedName>
    <definedName name="jjfq" hidden="1">{"via1",#N/A,TRUE,"general";"via2",#N/A,TRUE,"general";"via3",#N/A,TRUE,"general"}</definedName>
    <definedName name="JJJ" hidden="1">{#N/A,#N/A,FALSE,"Hoja1";#N/A,#N/A,FALSE,"Hoja2"}</definedName>
    <definedName name="jjjhjddfg" localSheetId="12" hidden="1">{"via1",#N/A,TRUE,"general";"via2",#N/A,TRUE,"general";"via3",#N/A,TRUE,"general"}</definedName>
    <definedName name="jjjhjddfg" hidden="1">{"via1",#N/A,TRUE,"general";"via2",#N/A,TRUE,"general";"via3",#N/A,TRUE,"general"}</definedName>
    <definedName name="jjjjju" localSheetId="12" hidden="1">{"via1",#N/A,TRUE,"general";"via2",#N/A,TRUE,"general";"via3",#N/A,TRUE,"general"}</definedName>
    <definedName name="jjjjju" hidden="1">{"via1",#N/A,TRUE,"general";"via2",#N/A,TRUE,"general";"via3",#N/A,TRUE,"general"}</definedName>
    <definedName name="jjujujty" localSheetId="12" hidden="1">{"TAB1",#N/A,TRUE,"GENERAL";"TAB2",#N/A,TRUE,"GENERAL";"TAB3",#N/A,TRUE,"GENERAL";"TAB4",#N/A,TRUE,"GENERAL";"TAB5",#N/A,TRUE,"GENERAL"}</definedName>
    <definedName name="jjujujty" hidden="1">{"TAB1",#N/A,TRUE,"GENERAL";"TAB2",#N/A,TRUE,"GENERAL";"TAB3",#N/A,TRUE,"GENERAL";"TAB4",#N/A,TRUE,"GENERAL";"TAB5",#N/A,TRUE,"GENERAL"}</definedName>
    <definedName name="jjyjy" localSheetId="12" hidden="1">{"via1",#N/A,TRUE,"general";"via2",#N/A,TRUE,"general";"via3",#N/A,TRUE,"general"}</definedName>
    <definedName name="jjyjy" hidden="1">{"via1",#N/A,TRUE,"general";"via2",#N/A,TRUE,"general";"via3",#N/A,TRUE,"general"}</definedName>
    <definedName name="jkk" localSheetId="12" hidden="1">{"TAB1",#N/A,TRUE,"GENERAL";"TAB2",#N/A,TRUE,"GENERAL";"TAB3",#N/A,TRUE,"GENERAL";"TAB4",#N/A,TRUE,"GENERAL";"TAB5",#N/A,TRUE,"GENERAL"}</definedName>
    <definedName name="jkk" hidden="1">{"TAB1",#N/A,TRUE,"GENERAL";"TAB2",#N/A,TRUE,"GENERAL";"TAB3",#N/A,TRUE,"GENERAL";"TAB4",#N/A,TRUE,"GENERAL";"TAB5",#N/A,TRUE,"GENERAL"}</definedName>
    <definedName name="jkl" localSheetId="11">#REF!</definedName>
    <definedName name="jkl" localSheetId="12">#REF!</definedName>
    <definedName name="jkl">#REF!</definedName>
    <definedName name="JOHNNY" localSheetId="12">'Formulario No. 1'!ERR</definedName>
    <definedName name="JOHNNY">[0]!ERR</definedName>
    <definedName name="JRYJ" localSheetId="12" hidden="1">{"via1",#N/A,TRUE,"general";"via2",#N/A,TRUE,"general";"via3",#N/A,TRUE,"general"}</definedName>
    <definedName name="JRYJ" hidden="1">{"via1",#N/A,TRUE,"general";"via2",#N/A,TRUE,"general";"via3",#N/A,TRUE,"general"}</definedName>
    <definedName name="jtyj" localSheetId="12" hidden="1">{"TAB1",#N/A,TRUE,"GENERAL";"TAB2",#N/A,TRUE,"GENERAL";"TAB3",#N/A,TRUE,"GENERAL";"TAB4",#N/A,TRUE,"GENERAL";"TAB5",#N/A,TRUE,"GENERAL"}</definedName>
    <definedName name="jtyj" hidden="1">{"TAB1",#N/A,TRUE,"GENERAL";"TAB2",#N/A,TRUE,"GENERAL";"TAB3",#N/A,TRUE,"GENERAL";"TAB4",#N/A,TRUE,"GENERAL";"TAB5",#N/A,TRUE,"GENERAL"}</definedName>
    <definedName name="jtyry" localSheetId="12" hidden="1">{"TAB1",#N/A,TRUE,"GENERAL";"TAB2",#N/A,TRUE,"GENERAL";"TAB3",#N/A,TRUE,"GENERAL";"TAB4",#N/A,TRUE,"GENERAL";"TAB5",#N/A,TRUE,"GENERAL"}</definedName>
    <definedName name="jtyry" hidden="1">{"TAB1",#N/A,TRUE,"GENERAL";"TAB2",#N/A,TRUE,"GENERAL";"TAB3",#N/A,TRUE,"GENERAL";"TAB4",#N/A,TRUE,"GENERAL";"TAB5",#N/A,TRUE,"GENERAL"}</definedName>
    <definedName name="juj" localSheetId="12" hidden="1">{"via1",#N/A,TRUE,"general";"via2",#N/A,TRUE,"general";"via3",#N/A,TRUE,"general"}</definedName>
    <definedName name="juj" hidden="1">{"via1",#N/A,TRUE,"general";"via2",#N/A,TRUE,"general";"via3",#N/A,TRUE,"general"}</definedName>
    <definedName name="jujcx" localSheetId="12" hidden="1">{"via1",#N/A,TRUE,"general";"via2",#N/A,TRUE,"general";"via3",#N/A,TRUE,"general"}</definedName>
    <definedName name="jujcx" hidden="1">{"via1",#N/A,TRUE,"general";"via2",#N/A,TRUE,"general";"via3",#N/A,TRUE,"general"}</definedName>
    <definedName name="jujuj" localSheetId="12" hidden="1">{"via1",#N/A,TRUE,"general";"via2",#N/A,TRUE,"general";"via3",#N/A,TRUE,"general"}</definedName>
    <definedName name="jujuj" hidden="1">{"via1",#N/A,TRUE,"general";"via2",#N/A,TRUE,"general";"via3",#N/A,TRUE,"general"}</definedName>
    <definedName name="jujujuju" localSheetId="12" hidden="1">{"TAB1",#N/A,TRUE,"GENERAL";"TAB2",#N/A,TRUE,"GENERAL";"TAB3",#N/A,TRUE,"GENERAL";"TAB4",#N/A,TRUE,"GENERAL";"TAB5",#N/A,TRUE,"GENERAL"}</definedName>
    <definedName name="jujujuju" hidden="1">{"TAB1",#N/A,TRUE,"GENERAL";"TAB2",#N/A,TRUE,"GENERAL";"TAB3",#N/A,TRUE,"GENERAL";"TAB4",#N/A,TRUE,"GENERAL";"TAB5",#N/A,TRUE,"GENERAL"}</definedName>
    <definedName name="juuuhb" localSheetId="12" hidden="1">{"TAB1",#N/A,TRUE,"GENERAL";"TAB2",#N/A,TRUE,"GENERAL";"TAB3",#N/A,TRUE,"GENERAL";"TAB4",#N/A,TRUE,"GENERAL";"TAB5",#N/A,TRUE,"GENERAL"}</definedName>
    <definedName name="juuuhb" hidden="1">{"TAB1",#N/A,TRUE,"GENERAL";"TAB2",#N/A,TRUE,"GENERAL";"TAB3",#N/A,TRUE,"GENERAL";"TAB4",#N/A,TRUE,"GENERAL";"TAB5",#N/A,TRUE,"GENERAL"}</definedName>
    <definedName name="jvv" localSheetId="11">#REF!</definedName>
    <definedName name="jvv" localSheetId="12">#REF!</definedName>
    <definedName name="jvv">#REF!</definedName>
    <definedName name="jyjt7" localSheetId="12" hidden="1">{"via1",#N/A,TRUE,"general";"via2",#N/A,TRUE,"general";"via3",#N/A,TRUE,"general"}</definedName>
    <definedName name="jyjt7" hidden="1">{"via1",#N/A,TRUE,"general";"via2",#N/A,TRUE,"general";"via3",#N/A,TRUE,"general"}</definedName>
    <definedName name="jyt" localSheetId="12" hidden="1">{"via1",#N/A,TRUE,"general";"via2",#N/A,TRUE,"general";"via3",#N/A,TRUE,"general"}</definedName>
    <definedName name="jyt" hidden="1">{"via1",#N/A,TRUE,"general";"via2",#N/A,TRUE,"general";"via3",#N/A,TRUE,"general"}</definedName>
    <definedName name="jytj" localSheetId="12" hidden="1">{"via1",#N/A,TRUE,"general";"via2",#N/A,TRUE,"general";"via3",#N/A,TRUE,"general"}</definedName>
    <definedName name="jytj" hidden="1">{"via1",#N/A,TRUE,"general";"via2",#N/A,TRUE,"general";"via3",#N/A,TRUE,"general"}</definedName>
    <definedName name="jyuju" localSheetId="12" hidden="1">{"via1",#N/A,TRUE,"general";"via2",#N/A,TRUE,"general";"via3",#N/A,TRUE,"general"}</definedName>
    <definedName name="jyuju" hidden="1">{"via1",#N/A,TRUE,"general";"via2",#N/A,TRUE,"general";"via3",#N/A,TRUE,"general"}</definedName>
    <definedName name="jyujyuj" localSheetId="12" hidden="1">{"via1",#N/A,TRUE,"general";"via2",#N/A,TRUE,"general";"via3",#N/A,TRUE,"general"}</definedName>
    <definedName name="jyujyuj" hidden="1">{"via1",#N/A,TRUE,"general";"via2",#N/A,TRUE,"general";"via3",#N/A,TRUE,"general"}</definedName>
    <definedName name="K0F1" localSheetId="11">#REF!</definedName>
    <definedName name="K0F1" localSheetId="12">#REF!</definedName>
    <definedName name="K0F1">#REF!</definedName>
    <definedName name="K0F2" localSheetId="11">#REF!</definedName>
    <definedName name="K0F2" localSheetId="12">#REF!</definedName>
    <definedName name="K0F2">#REF!</definedName>
    <definedName name="K10ALO" localSheetId="11">#REF!</definedName>
    <definedName name="K10ALO" localSheetId="12">#REF!</definedName>
    <definedName name="K10ALO">#REF!</definedName>
    <definedName name="K11ALO" localSheetId="11">#REF!</definedName>
    <definedName name="K11ALO" localSheetId="12">#REF!</definedName>
    <definedName name="K11ALO">#REF!</definedName>
    <definedName name="K1F1" localSheetId="11">#REF!</definedName>
    <definedName name="K1F1" localSheetId="12">#REF!</definedName>
    <definedName name="K1F1">#REF!</definedName>
    <definedName name="K1F2" localSheetId="11">#REF!</definedName>
    <definedName name="K1F2" localSheetId="12">#REF!</definedName>
    <definedName name="K1F2">#REF!</definedName>
    <definedName name="K2F1" localSheetId="11">#REF!</definedName>
    <definedName name="K2F1" localSheetId="12">#REF!</definedName>
    <definedName name="K2F1">#REF!</definedName>
    <definedName name="K2F2" localSheetId="11">#REF!</definedName>
    <definedName name="K2F2" localSheetId="12">#REF!</definedName>
    <definedName name="K2F2">#REF!</definedName>
    <definedName name="K3F1" localSheetId="11">#REF!</definedName>
    <definedName name="K3F1" localSheetId="12">#REF!</definedName>
    <definedName name="K3F1">#REF!</definedName>
    <definedName name="K3F2" localSheetId="11">#REF!</definedName>
    <definedName name="K3F2" localSheetId="12">#REF!</definedName>
    <definedName name="K3F2">#REF!</definedName>
    <definedName name="K4F1" localSheetId="11">#REF!</definedName>
    <definedName name="K4F1" localSheetId="12">#REF!</definedName>
    <definedName name="K4F1">#REF!</definedName>
    <definedName name="K4F2" localSheetId="11">#REF!</definedName>
    <definedName name="K4F2" localSheetId="12">#REF!</definedName>
    <definedName name="K4F2">#REF!</definedName>
    <definedName name="K5F1" localSheetId="11">#REF!</definedName>
    <definedName name="K5F1" localSheetId="12">#REF!</definedName>
    <definedName name="K5F1">#REF!</definedName>
    <definedName name="K5F2" localSheetId="11">#REF!</definedName>
    <definedName name="K5F2" localSheetId="12">#REF!</definedName>
    <definedName name="K5F2">#REF!</definedName>
    <definedName name="K6F1" localSheetId="11">#REF!</definedName>
    <definedName name="K6F1" localSheetId="12">#REF!</definedName>
    <definedName name="K6F1">#REF!</definedName>
    <definedName name="K6F2" localSheetId="11">#REF!</definedName>
    <definedName name="K6F2" localSheetId="12">#REF!</definedName>
    <definedName name="K6F2">#REF!</definedName>
    <definedName name="K7F1" localSheetId="11">#REF!</definedName>
    <definedName name="K7F1" localSheetId="12">#REF!</definedName>
    <definedName name="K7F1">#REF!</definedName>
    <definedName name="K7F2" localSheetId="11">#REF!</definedName>
    <definedName name="K7F2" localSheetId="12">#REF!</definedName>
    <definedName name="K7F2">#REF!</definedName>
    <definedName name="K8ALO" localSheetId="11">#REF!</definedName>
    <definedName name="K8ALO" localSheetId="12">#REF!</definedName>
    <definedName name="K8ALO">#REF!</definedName>
    <definedName name="K8F1" localSheetId="11">#REF!</definedName>
    <definedName name="K8F1" localSheetId="12">#REF!</definedName>
    <definedName name="K8F1">#REF!</definedName>
    <definedName name="K8F2" localSheetId="11">#REF!</definedName>
    <definedName name="K8F2" localSheetId="12">#REF!</definedName>
    <definedName name="K8F2">#REF!</definedName>
    <definedName name="K9ALO" localSheetId="11">#REF!</definedName>
    <definedName name="K9ALO" localSheetId="12">#REF!</definedName>
    <definedName name="K9ALO">#REF!</definedName>
    <definedName name="kdmfm" localSheetId="11" hidden="1">#REF!</definedName>
    <definedName name="kdmfm" hidden="1">#REF!</definedName>
    <definedName name="kf" localSheetId="11">#REF!</definedName>
    <definedName name="kf">#REF!</definedName>
    <definedName name="kh" localSheetId="11">#REF!</definedName>
    <definedName name="kh">#REF!</definedName>
    <definedName name="KHGGH" localSheetId="12" hidden="1">{"via1",#N/A,TRUE,"general";"via2",#N/A,TRUE,"general";"via3",#N/A,TRUE,"general"}</definedName>
    <definedName name="KHGGH" hidden="1">{"via1",#N/A,TRUE,"general";"via2",#N/A,TRUE,"general";"via3",#N/A,TRUE,"general"}</definedName>
    <definedName name="khjk7" localSheetId="12" hidden="1">{"TAB1",#N/A,TRUE,"GENERAL";"TAB2",#N/A,TRUE,"GENERAL";"TAB3",#N/A,TRUE,"GENERAL";"TAB4",#N/A,TRUE,"GENERAL";"TAB5",#N/A,TRUE,"GENERAL"}</definedName>
    <definedName name="khjk7" hidden="1">{"TAB1",#N/A,TRUE,"GENERAL";"TAB2",#N/A,TRUE,"GENERAL";"TAB3",#N/A,TRUE,"GENERAL";"TAB4",#N/A,TRUE,"GENERAL";"TAB5",#N/A,TRUE,"GENERAL"}</definedName>
    <definedName name="kikik" localSheetId="12" hidden="1">{"via1",#N/A,TRUE,"general";"via2",#N/A,TRUE,"general";"via3",#N/A,TRUE,"general"}</definedName>
    <definedName name="kikik" hidden="1">{"via1",#N/A,TRUE,"general";"via2",#N/A,TRUE,"general";"via3",#N/A,TRUE,"general"}</definedName>
    <definedName name="kj" localSheetId="11">#REF!</definedName>
    <definedName name="kj">#REF!</definedName>
    <definedName name="kjhkd" localSheetId="12" hidden="1">{"via1",#N/A,TRUE,"general";"via2",#N/A,TRUE,"general";"via3",#N/A,TRUE,"general"}</definedName>
    <definedName name="kjhkd" hidden="1">{"via1",#N/A,TRUE,"general";"via2",#N/A,TRUE,"general";"via3",#N/A,TRUE,"general"}</definedName>
    <definedName name="kjj" localSheetId="11">#REF!</definedName>
    <definedName name="kjj">#REF!</definedName>
    <definedName name="kjk" localSheetId="12" hidden="1">{"via1",#N/A,TRUE,"general";"via2",#N/A,TRUE,"general";"via3",#N/A,TRUE,"general"}</definedName>
    <definedName name="kjk" hidden="1">{"via1",#N/A,TRUE,"general";"via2",#N/A,TRUE,"general";"via3",#N/A,TRUE,"general"}</definedName>
    <definedName name="kjtrkjr" localSheetId="12" hidden="1">{"via1",#N/A,TRUE,"general";"via2",#N/A,TRUE,"general";"via3",#N/A,TRUE,"general"}</definedName>
    <definedName name="kjtrkjr" hidden="1">{"via1",#N/A,TRUE,"general";"via2",#N/A,TRUE,"general";"via3",#N/A,TRUE,"general"}</definedName>
    <definedName name="kk" localSheetId="11">#REF!</definedName>
    <definedName name="kk">#REF!</definedName>
    <definedName name="kkkki" localSheetId="12" hidden="1">{"via1",#N/A,TRUE,"general";"via2",#N/A,TRUE,"general";"via3",#N/A,TRUE,"general"}</definedName>
    <definedName name="kkkki" hidden="1">{"via1",#N/A,TRUE,"general";"via2",#N/A,TRUE,"general";"via3",#N/A,TRUE,"general"}</definedName>
    <definedName name="kkkkkki" localSheetId="12" hidden="1">{"TAB1",#N/A,TRUE,"GENERAL";"TAB2",#N/A,TRUE,"GENERAL";"TAB3",#N/A,TRUE,"GENERAL";"TAB4",#N/A,TRUE,"GENERAL";"TAB5",#N/A,TRUE,"GENERAL"}</definedName>
    <definedName name="kkkkkki" hidden="1">{"TAB1",#N/A,TRUE,"GENERAL";"TAB2",#N/A,TRUE,"GENERAL";"TAB3",#N/A,TRUE,"GENERAL";"TAB4",#N/A,TRUE,"GENERAL";"TAB5",#N/A,TRUE,"GENERAL"}</definedName>
    <definedName name="kl" localSheetId="12">'Formulario No. 1'!ERR</definedName>
    <definedName name="kl">[0]!ERR</definedName>
    <definedName name="klklk" localSheetId="11">#REF!</definedName>
    <definedName name="klklk" localSheetId="12">#REF!</definedName>
    <definedName name="klklk">#REF!</definedName>
    <definedName name="km" localSheetId="11">#REF!</definedName>
    <definedName name="km">#REF!</definedName>
    <definedName name="krtrk" localSheetId="12" hidden="1">{"via1",#N/A,TRUE,"general";"via2",#N/A,TRUE,"general";"via3",#N/A,TRUE,"general"}</definedName>
    <definedName name="krtrk" hidden="1">{"via1",#N/A,TRUE,"general";"via2",#N/A,TRUE,"general";"via3",#N/A,TRUE,"general"}</definedName>
    <definedName name="ks" localSheetId="11">#REF!</definedName>
    <definedName name="ks">#REF!</definedName>
    <definedName name="ksogtk" localSheetId="11">#REF!</definedName>
    <definedName name="ksogtk">#REF!</definedName>
    <definedName name="kuyhgbe" localSheetId="11">#REF!</definedName>
    <definedName name="kuyhgbe">#REF!</definedName>
    <definedName name="kyr" localSheetId="12" hidden="1">{"TAB1",#N/A,TRUE,"GENERAL";"TAB2",#N/A,TRUE,"GENERAL";"TAB3",#N/A,TRUE,"GENERAL";"TAB4",#N/A,TRUE,"GENERAL";"TAB5",#N/A,TRUE,"GENERAL"}</definedName>
    <definedName name="kyr" hidden="1">{"TAB1",#N/A,TRUE,"GENERAL";"TAB2",#N/A,TRUE,"GENERAL";"TAB3",#N/A,TRUE,"GENERAL";"TAB4",#N/A,TRUE,"GENERAL";"TAB5",#N/A,TRUE,"GENERAL"}</definedName>
    <definedName name="L" localSheetId="11">#REF!</definedName>
    <definedName name="L">#REF!</definedName>
    <definedName name="la" localSheetId="11">#REF!</definedName>
    <definedName name="la">#REF!</definedName>
    <definedName name="LA124_">'BASE 2'!$D$70</definedName>
    <definedName name="LAC18_">'BASE 2'!$D$457</definedName>
    <definedName name="LAF" localSheetId="11">#REF!</definedName>
    <definedName name="LAF">#REF!</definedName>
    <definedName name="lame" localSheetId="11" hidden="1">#REF!</definedName>
    <definedName name="lame" hidden="1">#REF!</definedName>
    <definedName name="LANODO" localSheetId="11">#REF!</definedName>
    <definedName name="LANODO">#REF!</definedName>
    <definedName name="LANODOFT" localSheetId="11">#REF!</definedName>
    <definedName name="LANODOFT">#REF!</definedName>
    <definedName name="Last_Row">#N/A</definedName>
    <definedName name="lb" localSheetId="11">#REF!</definedName>
    <definedName name="lb">#REF!</definedName>
    <definedName name="ld" localSheetId="11">#REF!</definedName>
    <definedName name="ld">#REF!</definedName>
    <definedName name="Libro1_Hoja1_Lista" localSheetId="11">[101]LISTADO!#REF!</definedName>
    <definedName name="Libro1_Hoja1_Lista">[101]LISTADO!#REF!</definedName>
    <definedName name="LICITACION" localSheetId="11">#REF!</definedName>
    <definedName name="LICITACION" localSheetId="12">#REF!</definedName>
    <definedName name="LICITACION">#REF!</definedName>
    <definedName name="LIMP" localSheetId="8">[15]BASE2!$D$85</definedName>
    <definedName name="LIMP" localSheetId="9">[15]BASE2!$D$85</definedName>
    <definedName name="LIMP">'BASE 2'!$D$78</definedName>
    <definedName name="LINEA" localSheetId="11">[102]CONT_ADI!#REF!</definedName>
    <definedName name="LINEA" localSheetId="12">[102]CONT_ADI!#REF!</definedName>
    <definedName name="LINEA">[102]CONT_ADI!#REF!</definedName>
    <definedName name="LINEAV" localSheetId="8">[15]BASE2!$D$18</definedName>
    <definedName name="LINEAV" localSheetId="9">[15]BASE2!$D$18</definedName>
    <definedName name="LINEAV">'BASE 2'!$D$18</definedName>
    <definedName name="LINEAV1" localSheetId="8">[15]BASE2!$D$16</definedName>
    <definedName name="LINEAV1" localSheetId="9">[15]BASE2!$D$16</definedName>
    <definedName name="LINEAV1">'BASE 2'!$D$16</definedName>
    <definedName name="LINEAV2" localSheetId="8">[15]BASE2!$D$17</definedName>
    <definedName name="LINEAV2" localSheetId="9">[15]BASE2!$D$17</definedName>
    <definedName name="LINEAV2">'BASE 2'!$D$17</definedName>
    <definedName name="LINIERO1" localSheetId="8">[15]BASE2!$D$14</definedName>
    <definedName name="LINIERO1" localSheetId="9">[15]BASE2!$D$14</definedName>
    <definedName name="LINIERO1">'BASE 2'!$D$14</definedName>
    <definedName name="LINIERO2" localSheetId="8">[15]BASE2!$D$15</definedName>
    <definedName name="LINIERO2" localSheetId="9">[15]BASE2!$D$15</definedName>
    <definedName name="LINIERO2">'BASE 2'!$D$15</definedName>
    <definedName name="ListaCantidad" localSheetId="11">#REF!</definedName>
    <definedName name="ListaCantidad">#REF!</definedName>
    <definedName name="Listado" localSheetId="11">#REF!</definedName>
    <definedName name="Listado">#REF!</definedName>
    <definedName name="Listado1" localSheetId="11">#REF!</definedName>
    <definedName name="Listado1">#REF!</definedName>
    <definedName name="ListaItem" localSheetId="11">#REF!</definedName>
    <definedName name="ListaItem">#REF!</definedName>
    <definedName name="ListaUni">[103]TOTALES!$D$7:$D$654</definedName>
    <definedName name="liuoo" localSheetId="12" hidden="1">{"TAB1",#N/A,TRUE,"GENERAL";"TAB2",#N/A,TRUE,"GENERAL";"TAB3",#N/A,TRUE,"GENERAL";"TAB4",#N/A,TRUE,"GENERAL";"TAB5",#N/A,TRUE,"GENERAL"}</definedName>
    <definedName name="liuoo" hidden="1">{"TAB1",#N/A,TRUE,"GENERAL";"TAB2",#N/A,TRUE,"GENERAL";"TAB3",#N/A,TRUE,"GENERAL";"TAB4",#N/A,TRUE,"GENERAL";"TAB5",#N/A,TRUE,"GENERAL"}</definedName>
    <definedName name="lkj" localSheetId="12" hidden="1">{"via1",#N/A,TRUE,"general";"via2",#N/A,TRUE,"general";"via3",#N/A,TRUE,"general"}</definedName>
    <definedName name="lkj" hidden="1">{"via1",#N/A,TRUE,"general";"via2",#N/A,TRUE,"general";"via3",#N/A,TRUE,"general"}</definedName>
    <definedName name="LKJLJK" localSheetId="12" hidden="1">{"TAB1",#N/A,TRUE,"GENERAL";"TAB2",#N/A,TRUE,"GENERAL";"TAB3",#N/A,TRUE,"GENERAL";"TAB4",#N/A,TRUE,"GENERAL";"TAB5",#N/A,TRUE,"GENERAL"}</definedName>
    <definedName name="LKJLJK" hidden="1">{"TAB1",#N/A,TRUE,"GENERAL";"TAB2",#N/A,TRUE,"GENERAL";"TAB3",#N/A,TRUE,"GENERAL";"TAB4",#N/A,TRUE,"GENERAL";"TAB5",#N/A,TRUE,"GENERAL"}</definedName>
    <definedName name="LL" hidden="1">{#N/A,#N/A,FALSE,"orthoflow";#N/A,#N/A,FALSE,"Miscelaneos";#N/A,#N/A,FALSE,"Instrumentacio";#N/A,#N/A,FALSE,"Electrico";#N/A,#N/A,FALSE,"Valv. Seguridad"}</definedName>
    <definedName name="LLAC12">'BASE 2'!$D$419</definedName>
    <definedName name="llam" localSheetId="11">#REF!</definedName>
    <definedName name="llam">#REF!</definedName>
    <definedName name="LLAP12">'BASE 2'!$D$418</definedName>
    <definedName name="LLL">[104]tub!$C$1:$J$39</definedName>
    <definedName name="lllllh" localSheetId="12" hidden="1">{"via1",#N/A,TRUE,"general";"via2",#N/A,TRUE,"general";"via3",#N/A,TRUE,"general"}</definedName>
    <definedName name="lllllh" hidden="1">{"via1",#N/A,TRUE,"general";"via2",#N/A,TRUE,"general";"via3",#N/A,TRUE,"general"}</definedName>
    <definedName name="lllllllo" localSheetId="12" hidden="1">{"via1",#N/A,TRUE,"general";"via2",#N/A,TRUE,"general";"via3",#N/A,TRUE,"general"}</definedName>
    <definedName name="lllllllo" hidden="1">{"via1",#N/A,TRUE,"general";"via2",#N/A,TRUE,"general";"via3",#N/A,TRUE,"general"}</definedName>
    <definedName name="Loan_Amount" localSheetId="11">#REF!</definedName>
    <definedName name="Loan_Amount">#REF!</definedName>
    <definedName name="Loan_Start" localSheetId="11">#REF!</definedName>
    <definedName name="Loan_Start">#REF!</definedName>
    <definedName name="Loan_Years" localSheetId="11">#REF!</definedName>
    <definedName name="Loan_Years">#REF!</definedName>
    <definedName name="LOCA" localSheetId="11">[41]!absc</definedName>
    <definedName name="LOCA">[41]!absc</definedName>
    <definedName name="LOCA1" localSheetId="11">[53]!absc</definedName>
    <definedName name="LOCA1">[53]!absc</definedName>
    <definedName name="LOCALIZACION_Y_REPLANTEO" localSheetId="11">#REF!</definedName>
    <definedName name="LOCALIZACION_Y_REPLANTEO" localSheetId="12">#REF!</definedName>
    <definedName name="LOCALIZACION_Y_REPLANTEO">#REF!</definedName>
    <definedName name="LOGO" localSheetId="12">'Formulario No. 1'!ERR</definedName>
    <definedName name="LOGO">[0]!ERR</definedName>
    <definedName name="lolol" localSheetId="12" hidden="1">{"TAB1",#N/A,TRUE,"GENERAL";"TAB2",#N/A,TRUE,"GENERAL";"TAB3",#N/A,TRUE,"GENERAL";"TAB4",#N/A,TRUE,"GENERAL";"TAB5",#N/A,TRUE,"GENERAL"}</definedName>
    <definedName name="lolol" hidden="1">{"TAB1",#N/A,TRUE,"GENERAL";"TAB2",#N/A,TRUE,"GENERAL";"TAB3",#N/A,TRUE,"GENERAL";"TAB4",#N/A,TRUE,"GENERAL";"TAB5",#N/A,TRUE,"GENERAL"}</definedName>
    <definedName name="Longitud" localSheetId="11">#REF!</definedName>
    <definedName name="Longitud">#REF!</definedName>
    <definedName name="lp" localSheetId="11">#REF!</definedName>
    <definedName name="lp">#REF!</definedName>
    <definedName name="lplpl" localSheetId="12" hidden="1">{"via1",#N/A,TRUE,"general";"via2",#N/A,TRUE,"general";"via3",#N/A,TRUE,"general"}</definedName>
    <definedName name="lplpl" hidden="1">{"via1",#N/A,TRUE,"general";"via2",#N/A,TRUE,"general";"via3",#N/A,TRUE,"general"}</definedName>
    <definedName name="lt" localSheetId="11">#REF!</definedName>
    <definedName name="lt">#REF!</definedName>
    <definedName name="LUBRI" localSheetId="8">[15]BASE2!$D$353</definedName>
    <definedName name="LUBRI" localSheetId="9">[15]BASE2!$D$353</definedName>
    <definedName name="LUBRI">'BASE 2'!$D$408</definedName>
    <definedName name="lun" localSheetId="11">'[52]Res-Accide-10'!#REF!</definedName>
    <definedName name="lun" localSheetId="12">'[52]Res-Accide-10'!#REF!</definedName>
    <definedName name="lun">'[52]Res-Accide-10'!#REF!</definedName>
    <definedName name="LUPVC" localSheetId="8">[15]BASE2!$D$83</definedName>
    <definedName name="LUPVC" localSheetId="9">[15]BASE2!$D$83</definedName>
    <definedName name="LUPVC">'BASE 2'!$D$76</definedName>
    <definedName name="LUPVT">'BASE 2'!$D$77</definedName>
    <definedName name="lv" localSheetId="11">#REF!</definedName>
    <definedName name="lv">#REF!</definedName>
    <definedName name="m" localSheetId="11">#REF!</definedName>
    <definedName name="m">#REF!</definedName>
    <definedName name="M120K" localSheetId="8">[15]BASE2!$D$51</definedName>
    <definedName name="M120K" localSheetId="9">[15]BASE2!$D$51</definedName>
    <definedName name="M120K">'BASE 2'!$D$49</definedName>
    <definedName name="M240K" localSheetId="8">[15]BASE2!$D$50</definedName>
    <definedName name="M240K" localSheetId="9">[15]BASE2!$D$50</definedName>
    <definedName name="M240K">'BASE 2'!$D$48</definedName>
    <definedName name="M280K" localSheetId="8">[15]BASE2!$D$49</definedName>
    <definedName name="M280K" localSheetId="9">[15]BASE2!$D$49</definedName>
    <definedName name="M280K">'BASE 2'!$D$47</definedName>
    <definedName name="MA" localSheetId="11">'[52]Res-Accide-10'!#REF!</definedName>
    <definedName name="MA" localSheetId="12">'[52]Res-Accide-10'!#REF!</definedName>
    <definedName name="MA">'[52]Res-Accide-10'!#REF!</definedName>
    <definedName name="MACR" localSheetId="11">#REF!</definedName>
    <definedName name="MACR">#REF!</definedName>
    <definedName name="MACRDEL" localSheetId="11">'[3]7422CW00'!#REF!</definedName>
    <definedName name="MACRDEL">'[3]7422CW00'!#REF!</definedName>
    <definedName name="Macroactividad" localSheetId="11">#REF!</definedName>
    <definedName name="Macroactividad">#REF!</definedName>
    <definedName name="MADCJ">'BASE 2'!$D$464</definedName>
    <definedName name="mafdsf" localSheetId="12" hidden="1">{"via1",#N/A,TRUE,"general";"via2",#N/A,TRUE,"general";"via3",#N/A,TRUE,"general"}</definedName>
    <definedName name="mafdsf" hidden="1">{"via1",#N/A,TRUE,"general";"via2",#N/A,TRUE,"general";"via3",#N/A,TRUE,"general"}</definedName>
    <definedName name="MANUAL" localSheetId="11">#REF!</definedName>
    <definedName name="MANUAL">#REF!</definedName>
    <definedName name="mao" localSheetId="12" hidden="1">{"TAB1",#N/A,TRUE,"GENERAL";"TAB2",#N/A,TRUE,"GENERAL";"TAB3",#N/A,TRUE,"GENERAL";"TAB4",#N/A,TRUE,"GENERAL";"TAB5",#N/A,TRUE,"GENERAL"}</definedName>
    <definedName name="mao" hidden="1">{"TAB1",#N/A,TRUE,"GENERAL";"TAB2",#N/A,TRUE,"GENERAL";"TAB3",#N/A,TRUE,"GENERAL";"TAB4",#N/A,TRUE,"GENERAL";"TAB5",#N/A,TRUE,"GENERAL"}</definedName>
    <definedName name="maow" localSheetId="12" hidden="1">{"via1",#N/A,TRUE,"general";"via2",#N/A,TRUE,"general";"via3",#N/A,TRUE,"general"}</definedName>
    <definedName name="maow" hidden="1">{"via1",#N/A,TRUE,"general";"via2",#N/A,TRUE,"general";"via3",#N/A,TRUE,"general"}</definedName>
    <definedName name="MAQUINAR" localSheetId="12">[69]Insum!$A$68:$H$98</definedName>
    <definedName name="MAQUINAR">[70]Insum!$A$68:$H$98</definedName>
    <definedName name="mar" localSheetId="11">'[52]Res-Accide-10'!#REF!</definedName>
    <definedName name="mar" localSheetId="12">'[52]Res-Accide-10'!#REF!</definedName>
    <definedName name="mar">'[52]Res-Accide-10'!#REF!</definedName>
    <definedName name="MARABA">'BASE 2'!$D$442</definedName>
    <definedName name="MARCO_H" localSheetId="11">#REF!</definedName>
    <definedName name="MARCO_H">#REF!</definedName>
    <definedName name="marina" localSheetId="11">'[105]Informe Semanal 1'!#REF!</definedName>
    <definedName name="marina">'[105]Informe Semanal 1'!#REF!</definedName>
    <definedName name="masor" localSheetId="12" hidden="1">{"via1",#N/A,TRUE,"general";"via2",#N/A,TRUE,"general";"via3",#N/A,TRUE,"general"}</definedName>
    <definedName name="masor" hidden="1">{"via1",#N/A,TRUE,"general";"via2",#N/A,TRUE,"general";"via3",#N/A,TRUE,"general"}</definedName>
    <definedName name="MAT" localSheetId="11">#REF!</definedName>
    <definedName name="MAT" localSheetId="12">#REF!</definedName>
    <definedName name="MAT">#REF!</definedName>
    <definedName name="MATERIAL">'[87]TABLA MATERIALES'!$A$3:$D$654</definedName>
    <definedName name="materiales">[86]materiales!$A$7:$A$1317</definedName>
    <definedName name="materiales1" localSheetId="11">#REF!</definedName>
    <definedName name="materiales1">#REF!</definedName>
    <definedName name="MaterialTub" localSheetId="11">#REF!</definedName>
    <definedName name="MaterialTub">#REF!</definedName>
    <definedName name="MATPR" localSheetId="8">[15]BASE2!$D$61</definedName>
    <definedName name="MATPR" localSheetId="9">[15]BASE2!$D$61</definedName>
    <definedName name="MATPR">'BASE 2'!$D$54</definedName>
    <definedName name="MATRIZ" localSheetId="11">#REF!</definedName>
    <definedName name="MATRIZ">#REF!</definedName>
    <definedName name="MATRIZ_DE_DATOS" localSheetId="11">#REF!</definedName>
    <definedName name="MATRIZ_DE_DATOS">#REF!</definedName>
    <definedName name="MC4CM">'BASE 2'!$D$466</definedName>
    <definedName name="MCCs" localSheetId="11">#REF!</definedName>
    <definedName name="MCCs">#REF!</definedName>
    <definedName name="mdd" localSheetId="12" hidden="1">{"via1",#N/A,TRUE,"general";"via2",#N/A,TRUE,"general";"via3",#N/A,TRUE,"general"}</definedName>
    <definedName name="mdd" hidden="1">{"via1",#N/A,TRUE,"general";"via2",#N/A,TRUE,"general";"via3",#N/A,TRUE,"general"}</definedName>
    <definedName name="mediah_reposo_comida" localSheetId="11">'[106]CCP,LEYES, Y DEC.'!#REF!</definedName>
    <definedName name="mediah_reposo_comida">'[106]CCP,LEYES, Y DEC.'!#REF!</definedName>
    <definedName name="MEDID">'BASE 2'!$D$420</definedName>
    <definedName name="meg" localSheetId="12" hidden="1">{"TAB1",#N/A,TRUE,"GENERAL";"TAB2",#N/A,TRUE,"GENERAL";"TAB3",#N/A,TRUE,"GENERAL";"TAB4",#N/A,TRUE,"GENERAL";"TAB5",#N/A,TRUE,"GENERAL"}</definedName>
    <definedName name="meg" hidden="1">{"TAB1",#N/A,TRUE,"GENERAL";"TAB2",#N/A,TRUE,"GENERAL";"TAB3",#N/A,TRUE,"GENERAL";"TAB4",#N/A,TRUE,"GENERAL";"TAB5",#N/A,TRUE,"GENERAL"}</definedName>
    <definedName name="MENU1" localSheetId="11">'[3]7422CW00'!#REF!</definedName>
    <definedName name="MENU1">'[3]7422CW00'!#REF!</definedName>
    <definedName name="MENU2" localSheetId="11">'[3]7422CW00'!#REF!</definedName>
    <definedName name="MENU2">'[3]7422CW00'!#REF!</definedName>
    <definedName name="MENU3" localSheetId="11">'[3]7422CW00'!#REF!</definedName>
    <definedName name="MENU3">'[3]7422CW00'!#REF!</definedName>
    <definedName name="MENU4" localSheetId="11">'[3]7422CW00'!#REF!</definedName>
    <definedName name="MENU4">'[3]7422CW00'!#REF!</definedName>
    <definedName name="MENU5" localSheetId="11">'[3]7422CW00'!#REF!</definedName>
    <definedName name="MENU5">'[3]7422CW00'!#REF!</definedName>
    <definedName name="MENU6" localSheetId="11">'[3]7422CW00'!#REF!</definedName>
    <definedName name="MENU6">'[3]7422CW00'!#REF!</definedName>
    <definedName name="MES">[40]PRESUPUESTO!$C$13</definedName>
    <definedName name="MesCotiz">'[10]LIQ-NOM'!$H$3</definedName>
    <definedName name="MesCotizacion">'[56]LIQUIDA-NOMINA'!$H$3</definedName>
    <definedName name="MESES" localSheetId="11">#REF!</definedName>
    <definedName name="MESES" localSheetId="12">#REF!</definedName>
    <definedName name="MESES">#REF!</definedName>
    <definedName name="MesesMora">'[10]LIQ-NOM'!$I$3</definedName>
    <definedName name="Meta1" localSheetId="11">#REF!</definedName>
    <definedName name="Meta1">#REF!</definedName>
    <definedName name="Meta2" localSheetId="11">#REF!</definedName>
    <definedName name="Meta2">#REF!</definedName>
    <definedName name="Meta3" localSheetId="11">#REF!</definedName>
    <definedName name="Meta3">#REF!</definedName>
    <definedName name="mfgjrdt" localSheetId="12" hidden="1">{"TAB1",#N/A,TRUE,"GENERAL";"TAB2",#N/A,TRUE,"GENERAL";"TAB3",#N/A,TRUE,"GENERAL";"TAB4",#N/A,TRUE,"GENERAL";"TAB5",#N/A,TRUE,"GENERAL"}</definedName>
    <definedName name="mfgjrdt" hidden="1">{"TAB1",#N/A,TRUE,"GENERAL";"TAB2",#N/A,TRUE,"GENERAL";"TAB3",#N/A,TRUE,"GENERAL";"TAB4",#N/A,TRUE,"GENERAL";"TAB5",#N/A,TRUE,"GENERAL"}</definedName>
    <definedName name="mghm" localSheetId="12" hidden="1">{"via1",#N/A,TRUE,"general";"via2",#N/A,TRUE,"general";"via3",#N/A,TRUE,"general"}</definedName>
    <definedName name="mghm" hidden="1">{"via1",#N/A,TRUE,"general";"via2",#N/A,TRUE,"general";"via3",#N/A,TRUE,"general"}</definedName>
    <definedName name="Mi_Salida" localSheetId="11">#REF!</definedName>
    <definedName name="Mi_Salida">#REF!</definedName>
    <definedName name="Mi_Salida1" localSheetId="11">#REF!</definedName>
    <definedName name="Mi_Salida1">#REF!</definedName>
    <definedName name="MICR" localSheetId="11">#REF!</definedName>
    <definedName name="MICR">#REF!</definedName>
    <definedName name="MIN_MAX_sma" localSheetId="11">#REF!</definedName>
    <definedName name="MIN_MAX_sma">#REF!</definedName>
    <definedName name="mjmj" localSheetId="12" hidden="1">{"via1",#N/A,TRUE,"general";"via2",#N/A,TRUE,"general";"via3",#N/A,TRUE,"general"}</definedName>
    <definedName name="mjmj" hidden="1">{"via1",#N/A,TRUE,"general";"via2",#N/A,TRUE,"general";"via3",#N/A,TRUE,"general"}</definedName>
    <definedName name="mjmjmn" localSheetId="12" hidden="1">{"via1",#N/A,TRUE,"general";"via2",#N/A,TRUE,"general";"via3",#N/A,TRUE,"general"}</definedName>
    <definedName name="mjmjmn" hidden="1">{"via1",#N/A,TRUE,"general";"via2",#N/A,TRUE,"general";"via3",#N/A,TRUE,"general"}</definedName>
    <definedName name="mjnhgkio" localSheetId="12" hidden="1">{"via1",#N/A,TRUE,"general";"via2",#N/A,TRUE,"general";"via3",#N/A,TRUE,"general"}</definedName>
    <definedName name="mjnhgkio" hidden="1">{"via1",#N/A,TRUE,"general";"via2",#N/A,TRUE,"general";"via3",#N/A,TRUE,"general"}</definedName>
    <definedName name="MJU" localSheetId="11">#REF!</definedName>
    <definedName name="MJU">#REF!</definedName>
    <definedName name="mmjmjh" localSheetId="12" hidden="1">{"TAB1",#N/A,TRUE,"GENERAL";"TAB2",#N/A,TRUE,"GENERAL";"TAB3",#N/A,TRUE,"GENERAL";"TAB4",#N/A,TRUE,"GENERAL";"TAB5",#N/A,TRUE,"GENERAL"}</definedName>
    <definedName name="mmjmjh" hidden="1">{"TAB1",#N/A,TRUE,"GENERAL";"TAB2",#N/A,TRUE,"GENERAL";"TAB3",#N/A,TRUE,"GENERAL";"TAB4",#N/A,TRUE,"GENERAL";"TAB5",#N/A,TRUE,"GENERAL"}</definedName>
    <definedName name="mmm" localSheetId="12" hidden="1">{"TAB1",#N/A,TRUE,"GENERAL";"TAB2",#N/A,TRUE,"GENERAL";"TAB3",#N/A,TRUE,"GENERAL";"TAB4",#N/A,TRUE,"GENERAL";"TAB5",#N/A,TRUE,"GENERAL"}</definedName>
    <definedName name="mmm" hidden="1">{"TAB1",#N/A,TRUE,"GENERAL";"TAB2",#N/A,TRUE,"GENERAL";"TAB3",#N/A,TRUE,"GENERAL";"TAB4",#N/A,TRUE,"GENERAL";"TAB5",#N/A,TRUE,"GENERAL"}</definedName>
    <definedName name="mmmh" localSheetId="12" hidden="1">{"via1",#N/A,TRUE,"general";"via2",#N/A,TRUE,"general";"via3",#N/A,TRUE,"general"}</definedName>
    <definedName name="mmmh" hidden="1">{"via1",#N/A,TRUE,"general";"via2",#N/A,TRUE,"general";"via3",#N/A,TRUE,"general"}</definedName>
    <definedName name="mmmmmjyt" localSheetId="12" hidden="1">{"TAB1",#N/A,TRUE,"GENERAL";"TAB2",#N/A,TRUE,"GENERAL";"TAB3",#N/A,TRUE,"GENERAL";"TAB4",#N/A,TRUE,"GENERAL";"TAB5",#N/A,TRUE,"GENERAL"}</definedName>
    <definedName name="mmmmmjyt" hidden="1">{"TAB1",#N/A,TRUE,"GENERAL";"TAB2",#N/A,TRUE,"GENERAL";"TAB3",#N/A,TRUE,"GENERAL";"TAB4",#N/A,TRUE,"GENERAL";"TAB5",#N/A,TRUE,"GENERAL"}</definedName>
    <definedName name="mmmmmmg" localSheetId="12" hidden="1">{"via1",#N/A,TRUE,"general";"via2",#N/A,TRUE,"general";"via3",#N/A,TRUE,"general"}</definedName>
    <definedName name="mmmmmmg" hidden="1">{"via1",#N/A,TRUE,"general";"via2",#N/A,TRUE,"general";"via3",#N/A,TRUE,"general"}</definedName>
    <definedName name="MN" localSheetId="12" hidden="1">{"via1",#N/A,TRUE,"general";"via2",#N/A,TRUE,"general";"via3",#N/A,TRUE,"general"}</definedName>
    <definedName name="MN" hidden="1">{"via1",#N/A,TRUE,"general";"via2",#N/A,TRUE,"general";"via3",#N/A,TRUE,"general"}</definedName>
    <definedName name="MOA" hidden="1">{#N/A,#N/A,FALSE,"Hoja1";#N/A,#N/A,FALSE,"Hoja2"}</definedName>
    <definedName name="MOCARG">'BASE 2'!$D$25</definedName>
    <definedName name="MOD" localSheetId="11">#REF!</definedName>
    <definedName name="MOD">#REF!</definedName>
    <definedName name="MODIVejec" hidden="1">{#N/A,#N/A,FALSE,"Hoja1";#N/A,#N/A,FALSE,"Hoja2"}</definedName>
    <definedName name="Módulo3.anexo1" localSheetId="11">[9]!Módulo3.anexo1</definedName>
    <definedName name="Módulo3.anexo1">[9]!Módulo3.anexo1</definedName>
    <definedName name="Módulo3.anexo10" localSheetId="11">[9]!Módulo3.anexo10</definedName>
    <definedName name="Módulo3.anexo10">[9]!Módulo3.anexo10</definedName>
    <definedName name="Módulo3.anexo11" localSheetId="11">[9]!Módulo3.anexo11</definedName>
    <definedName name="Módulo3.anexo11">[9]!Módulo3.anexo11</definedName>
    <definedName name="Módulo3.anexo12" localSheetId="11">[9]!Módulo3.anexo12</definedName>
    <definedName name="Módulo3.anexo12">[9]!Módulo3.anexo12</definedName>
    <definedName name="Módulo3.anexo3" localSheetId="11">[9]!Módulo3.anexo3</definedName>
    <definedName name="Módulo3.anexo3">[9]!Módulo3.anexo3</definedName>
    <definedName name="Módulo3.anexo4" localSheetId="11">[9]!Módulo3.anexo4</definedName>
    <definedName name="Módulo3.anexo4">[9]!Módulo3.anexo4</definedName>
    <definedName name="Módulo3.anexo5" localSheetId="11">[9]!Módulo3.anexo5</definedName>
    <definedName name="Módulo3.anexo5">[9]!Módulo3.anexo5</definedName>
    <definedName name="Módulo3.anexo6" localSheetId="11">[9]!Módulo3.anexo6</definedName>
    <definedName name="Módulo3.anexo6">[9]!Módulo3.anexo6</definedName>
    <definedName name="Módulo8.anexo16" localSheetId="11">[9]!Módulo8.anexo16</definedName>
    <definedName name="Módulo8.anexo16">[9]!Módulo8.anexo16</definedName>
    <definedName name="MOE" hidden="1">{#N/A,#N/A,FALSE,"Hoja1";#N/A,#N/A,FALSE,"Hoja2"}</definedName>
    <definedName name="MOENC">'BASE 2'!$D$24</definedName>
    <definedName name="MOIHF">'BASE 2'!$D$22</definedName>
    <definedName name="MONEDA">[107]Tablas!$AO$6:$AO$7</definedName>
    <definedName name="mono" localSheetId="11">#REF!</definedName>
    <definedName name="mono">#REF!</definedName>
    <definedName name="MontoVigenciasA1" localSheetId="11">#REF!</definedName>
    <definedName name="MontoVigenciasA1">#REF!</definedName>
    <definedName name="MontoVigenciasA2" localSheetId="11">#REF!</definedName>
    <definedName name="MontoVigenciasA2">#REF!</definedName>
    <definedName name="MontoVigenciasA3" localSheetId="11">#REF!</definedName>
    <definedName name="MontoVigenciasA3">#REF!</definedName>
    <definedName name="MontoVigenciasA4" localSheetId="11">#REF!</definedName>
    <definedName name="MontoVigenciasA4">#REF!</definedName>
    <definedName name="MontoVigenciasA5" localSheetId="11">#REF!</definedName>
    <definedName name="MontoVigenciasA5">#REF!</definedName>
    <definedName name="MOPRE">'BASE 2'!$D$20</definedName>
    <definedName name="Mora">[10]EMPRESA!$I$29</definedName>
    <definedName name="MORON" localSheetId="11">#REF!</definedName>
    <definedName name="MORON">#REF!</definedName>
    <definedName name="MOTON">'BASE 2'!$D$715</definedName>
    <definedName name="MOTOP" localSheetId="8">[15]BASE2!$D$19</definedName>
    <definedName name="MOTOP" localSheetId="9">[15]BASE2!$D$19</definedName>
    <definedName name="MOTOP">'BASE 2'!$D$19</definedName>
    <definedName name="MOVOL" localSheetId="8">[15]BASE2!$D$21</definedName>
    <definedName name="MOVOL" localSheetId="9">[15]BASE2!$D$21</definedName>
    <definedName name="MOVOL">'BASE 2'!$D$21</definedName>
    <definedName name="MRLART" localSheetId="11">[2]STRSUMM0!#REF!</definedName>
    <definedName name="MRLART">[2]STRSUMM0!#REF!</definedName>
    <definedName name="MRSUPDET" localSheetId="11">[61]steel!#REF!</definedName>
    <definedName name="MRSUPDET">[61]steel!#REF!</definedName>
    <definedName name="Mtz_Avance" localSheetId="11">#REF!</definedName>
    <definedName name="Mtz_Avance">#REF!</definedName>
    <definedName name="Mv" localSheetId="11">#REF!</definedName>
    <definedName name="Mv">#REF!</definedName>
    <definedName name="n" localSheetId="12" hidden="1">{"via1",#N/A,TRUE,"general";"via2",#N/A,TRUE,"general";"via3",#N/A,TRUE,"general"}</definedName>
    <definedName name="n" hidden="1">{"via1",#N/A,TRUE,"general";"via2",#N/A,TRUE,"general";"via3",#N/A,TRUE,"general"}</definedName>
    <definedName name="Nada" localSheetId="11">[66]!Nada</definedName>
    <definedName name="Nada">[66]!Nada</definedName>
    <definedName name="Nafta_2">'[108] ASR+Nafta'!$K$19:$AS$19</definedName>
    <definedName name="Nafta2">'[108] ASR+Nafta'!$K$19:$AS$19</definedName>
    <definedName name="Nafta3">'[108]Todos+Nafta'!$K$19:$AS$19</definedName>
    <definedName name="nbvnv" localSheetId="12" hidden="1">{"via1",#N/A,TRUE,"general";"via2",#N/A,TRUE,"general";"via3",#N/A,TRUE,"general"}</definedName>
    <definedName name="nbvnv" hidden="1">{"via1",#N/A,TRUE,"general";"via2",#N/A,TRUE,"general";"via3",#N/A,TRUE,"general"}</definedName>
    <definedName name="NDHS" localSheetId="12" hidden="1">{"TAB1",#N/A,TRUE,"GENERAL";"TAB2",#N/A,TRUE,"GENERAL";"TAB3",#N/A,TRUE,"GENERAL";"TAB4",#N/A,TRUE,"GENERAL";"TAB5",#N/A,TRUE,"GENERAL"}</definedName>
    <definedName name="NDHS" hidden="1">{"TAB1",#N/A,TRUE,"GENERAL";"TAB2",#N/A,TRUE,"GENERAL";"TAB3",#N/A,TRUE,"GENERAL";"TAB4",#N/A,TRUE,"GENERAL";"TAB5",#N/A,TRUE,"GENERAL"}</definedName>
    <definedName name="nf" localSheetId="12" hidden="1">{"TAB1",#N/A,TRUE,"GENERAL";"TAB2",#N/A,TRUE,"GENERAL";"TAB3",#N/A,TRUE,"GENERAL";"TAB4",#N/A,TRUE,"GENERAL";"TAB5",#N/A,TRUE,"GENERAL"}</definedName>
    <definedName name="nf" hidden="1">{"TAB1",#N/A,TRUE,"GENERAL";"TAB2",#N/A,TRUE,"GENERAL";"TAB3",#N/A,TRUE,"GENERAL";"TAB4",#N/A,TRUE,"GENERAL";"TAB5",#N/A,TRUE,"GENERAL"}</definedName>
    <definedName name="nfg" localSheetId="12" hidden="1">{"via1",#N/A,TRUE,"general";"via2",#N/A,TRUE,"general";"via3",#N/A,TRUE,"general"}</definedName>
    <definedName name="nfg" hidden="1">{"via1",#N/A,TRUE,"general";"via2",#N/A,TRUE,"general";"via3",#N/A,TRUE,"general"}</definedName>
    <definedName name="nfgn" localSheetId="12" hidden="1">{"via1",#N/A,TRUE,"general";"via2",#N/A,TRUE,"general";"via3",#N/A,TRUE,"general"}</definedName>
    <definedName name="nfgn" hidden="1">{"via1",#N/A,TRUE,"general";"via2",#N/A,TRUE,"general";"via3",#N/A,TRUE,"general"}</definedName>
    <definedName name="ng" localSheetId="11">#REF!</definedName>
    <definedName name="ng">#REF!</definedName>
    <definedName name="ngdn" localSheetId="12" hidden="1">{"TAB1",#N/A,TRUE,"GENERAL";"TAB2",#N/A,TRUE,"GENERAL";"TAB3",#N/A,TRUE,"GENERAL";"TAB4",#N/A,TRUE,"GENERAL";"TAB5",#N/A,TRUE,"GENERAL"}</definedName>
    <definedName name="ngdn" hidden="1">{"TAB1",#N/A,TRUE,"GENERAL";"TAB2",#N/A,TRUE,"GENERAL";"TAB3",#N/A,TRUE,"GENERAL";"TAB4",#N/A,TRUE,"GENERAL";"TAB5",#N/A,TRUE,"GENERAL"}</definedName>
    <definedName name="ngfh" localSheetId="12" hidden="1">{"via1",#N/A,TRUE,"general";"via2",#N/A,TRUE,"general";"via3",#N/A,TRUE,"general"}</definedName>
    <definedName name="ngfh" hidden="1">{"via1",#N/A,TRUE,"general";"via2",#N/A,TRUE,"general";"via3",#N/A,TRUE,"general"}</definedName>
    <definedName name="NH" localSheetId="11">#REF!</definedName>
    <definedName name="NH">#REF!</definedName>
    <definedName name="nhn" localSheetId="12" hidden="1">{"via1",#N/A,TRUE,"general";"via2",#N/A,TRUE,"general";"via3",#N/A,TRUE,"general"}</definedName>
    <definedName name="nhn" hidden="1">{"via1",#N/A,TRUE,"general";"via2",#N/A,TRUE,"general";"via3",#N/A,TRUE,"general"}</definedName>
    <definedName name="nhncfgn" localSheetId="12" hidden="1">{"TAB1",#N/A,TRUE,"GENERAL";"TAB2",#N/A,TRUE,"GENERAL";"TAB3",#N/A,TRUE,"GENERAL";"TAB4",#N/A,TRUE,"GENERAL";"TAB5",#N/A,TRUE,"GENERAL"}</definedName>
    <definedName name="nhncfgn" hidden="1">{"TAB1",#N/A,TRUE,"GENERAL";"TAB2",#N/A,TRUE,"GENERAL";"TAB3",#N/A,TRUE,"GENERAL";"TAB4",#N/A,TRUE,"GENERAL";"TAB5",#N/A,TRUE,"GENERAL"}</definedName>
    <definedName name="nhndr" localSheetId="12" hidden="1">{"via1",#N/A,TRUE,"general";"via2",#N/A,TRUE,"general";"via3",#N/A,TRUE,"general"}</definedName>
    <definedName name="nhndr" hidden="1">{"via1",#N/A,TRUE,"general";"via2",#N/A,TRUE,"general";"via3",#N/A,TRUE,"general"}</definedName>
    <definedName name="Nit">[56]EMPRESA!$F$8</definedName>
    <definedName name="Nmax" localSheetId="11">#REF!</definedName>
    <definedName name="Nmax">#REF!</definedName>
    <definedName name="nmdlf" localSheetId="11">#REF!</definedName>
    <definedName name="nmdlf">#REF!</definedName>
    <definedName name="nmmmm" localSheetId="12" hidden="1">{"via1",#N/A,TRUE,"general";"via2",#N/A,TRUE,"general";"via3",#N/A,TRUE,"general"}</definedName>
    <definedName name="nmmmm" hidden="1">{"via1",#N/A,TRUE,"general";"via2",#N/A,TRUE,"general";"via3",#N/A,TRUE,"general"}</definedName>
    <definedName name="NN" localSheetId="12" hidden="1">{"TAB1",#N/A,TRUE,"GENERAL";"TAB2",#N/A,TRUE,"GENERAL";"TAB3",#N/A,TRUE,"GENERAL";"TAB4",#N/A,TRUE,"GENERAL";"TAB5",#N/A,TRUE,"GENERAL"}</definedName>
    <definedName name="NN" hidden="1">{"TAB1",#N/A,TRUE,"GENERAL";"TAB2",#N/A,TRUE,"GENERAL";"TAB3",#N/A,TRUE,"GENERAL";"TAB4",#N/A,TRUE,"GENERAL";"TAB5",#N/A,TRUE,"GENERAL"}</definedName>
    <definedName name="nndng" localSheetId="12" hidden="1">{"TAB1",#N/A,TRUE,"GENERAL";"TAB2",#N/A,TRUE,"GENERAL";"TAB3",#N/A,TRUE,"GENERAL";"TAB4",#N/A,TRUE,"GENERAL";"TAB5",#N/A,TRUE,"GENERAL"}</definedName>
    <definedName name="nndng" hidden="1">{"TAB1",#N/A,TRUE,"GENERAL";"TAB2",#N/A,TRUE,"GENERAL";"TAB3",#N/A,TRUE,"GENERAL";"TAB4",#N/A,TRUE,"GENERAL";"TAB5",#N/A,TRUE,"GENERAL"}</definedName>
    <definedName name="nnn" localSheetId="12" hidden="1">{"TAB1",#N/A,TRUE,"GENERAL";"TAB2",#N/A,TRUE,"GENERAL";"TAB3",#N/A,TRUE,"GENERAL";"TAB4",#N/A,TRUE,"GENERAL";"TAB5",#N/A,TRUE,"GENERAL"}</definedName>
    <definedName name="nnn" hidden="1">{"TAB1",#N/A,TRUE,"GENERAL";"TAB2",#N/A,TRUE,"GENERAL";"TAB3",#N/A,TRUE,"GENERAL";"TAB4",#N/A,TRUE,"GENERAL";"TAB5",#N/A,TRUE,"GENERAL"}</definedName>
    <definedName name="nnnhd" localSheetId="12" hidden="1">{"via1",#N/A,TRUE,"general";"via2",#N/A,TRUE,"general";"via3",#N/A,TRUE,"general"}</definedName>
    <definedName name="nnnhd" hidden="1">{"via1",#N/A,TRUE,"general";"via2",#N/A,TRUE,"general";"via3",#N/A,TRUE,"general"}</definedName>
    <definedName name="nnnnn" localSheetId="12" hidden="1">{"via1",#N/A,TRUE,"general";"via2",#N/A,TRUE,"general";"via3",#N/A,TRUE,"general"}</definedName>
    <definedName name="nnnnn" hidden="1">{"via1",#N/A,TRUE,"general";"via2",#N/A,TRUE,"general";"via3",#N/A,TRUE,"general"}</definedName>
    <definedName name="nnnnnd" localSheetId="12" hidden="1">{"TAB1",#N/A,TRUE,"GENERAL";"TAB2",#N/A,TRUE,"GENERAL";"TAB3",#N/A,TRUE,"GENERAL";"TAB4",#N/A,TRUE,"GENERAL";"TAB5",#N/A,TRUE,"GENERAL"}</definedName>
    <definedName name="nnnnnd" hidden="1">{"TAB1",#N/A,TRUE,"GENERAL";"TAB2",#N/A,TRUE,"GENERAL";"TAB3",#N/A,TRUE,"GENERAL";"TAB4",#N/A,TRUE,"GENERAL";"TAB5",#N/A,TRUE,"GENERAL"}</definedName>
    <definedName name="nnnnnf" localSheetId="12" hidden="1">{"TAB1",#N/A,TRUE,"GENERAL";"TAB2",#N/A,TRUE,"GENERAL";"TAB3",#N/A,TRUE,"GENERAL";"TAB4",#N/A,TRUE,"GENERAL";"TAB5",#N/A,TRUE,"GENERAL"}</definedName>
    <definedName name="nnnnnf" hidden="1">{"TAB1",#N/A,TRUE,"GENERAL";"TAB2",#N/A,TRUE,"GENERAL";"TAB3",#N/A,TRUE,"GENERAL";"TAB4",#N/A,TRUE,"GENERAL";"TAB5",#N/A,TRUE,"GENERAL"}</definedName>
    <definedName name="nnnnnh" localSheetId="12" hidden="1">{"via1",#N/A,TRUE,"general";"via2",#N/A,TRUE,"general";"via3",#N/A,TRUE,"general"}</definedName>
    <definedName name="nnnnnh" hidden="1">{"via1",#N/A,TRUE,"general";"via2",#N/A,TRUE,"general";"via3",#N/A,TRUE,"general"}</definedName>
    <definedName name="NO" localSheetId="12">'Formulario No. 1'!ERR</definedName>
    <definedName name="NO">[0]!ERR</definedName>
    <definedName name="No_desarrolladas">'[42]Reservas de Petróleo'!$A$2,'[42]Reservas de Petróleo'!$A$1,'[42]Reservas de Petróleo'!$D$4,'[42]Reservas de Petróleo'!$G$1:$G$65536</definedName>
    <definedName name="NOMBRE" localSheetId="11">#REF!</definedName>
    <definedName name="NOMBRE" localSheetId="12">#REF!</definedName>
    <definedName name="NOMBRE">#REF!</definedName>
    <definedName name="NombreCoordinador" localSheetId="11">#REF!</definedName>
    <definedName name="NombreCoordinador">#REF!</definedName>
    <definedName name="NombreDependencia" localSheetId="11">#REF!</definedName>
    <definedName name="NombreDependencia">#REF!</definedName>
    <definedName name="NombreProyecto" localSheetId="11">#REF!</definedName>
    <definedName name="NombreProyecto">#REF!</definedName>
    <definedName name="NombreVicepresidencia" localSheetId="11">#REF!</definedName>
    <definedName name="NombreVicepresidencia">#REF!</definedName>
    <definedName name="Norte" localSheetId="11">#REF!</definedName>
    <definedName name="Norte">#REF!</definedName>
    <definedName name="NPAGE" localSheetId="11">[2]STRSUMM0!#REF!</definedName>
    <definedName name="NPAGE">[2]STRSUMM0!#REF!</definedName>
    <definedName name="NUEVO" localSheetId="11">#REF!</definedName>
    <definedName name="NUEVO" localSheetId="12">#REF!</definedName>
    <definedName name="NUEVO">#REF!</definedName>
    <definedName name="Num_Pmt_Per_Year" localSheetId="11">#REF!</definedName>
    <definedName name="Num_Pmt_Per_Year">#REF!</definedName>
    <definedName name="Number_of_Payments" localSheetId="11">MATCH(0.01,'FORMATO PRESUPUESTO OFICIAL.'!End_Bal,-1)+1</definedName>
    <definedName name="Number_of_Payments">MATCH(0.01,End_Bal,-1)+1</definedName>
    <definedName name="nxn" localSheetId="12" hidden="1">{"via1",#N/A,TRUE,"general";"via2",#N/A,TRUE,"general";"via3",#N/A,TRUE,"general"}</definedName>
    <definedName name="nxn" hidden="1">{"via1",#N/A,TRUE,"general";"via2",#N/A,TRUE,"general";"via3",#N/A,TRUE,"general"}</definedName>
    <definedName name="ñpñpñ" localSheetId="12" hidden="1">{"via1",#N/A,TRUE,"general";"via2",#N/A,TRUE,"general";"via3",#N/A,TRUE,"general"}</definedName>
    <definedName name="ñpñpñ" hidden="1">{"via1",#N/A,TRUE,"general";"via2",#N/A,TRUE,"general";"via3",#N/A,TRUE,"general"}</definedName>
    <definedName name="º1" localSheetId="11">#REF!</definedName>
    <definedName name="º1" localSheetId="12">#REF!</definedName>
    <definedName name="º1">#REF!</definedName>
    <definedName name="o9o9" localSheetId="12" hidden="1">{"via1",#N/A,TRUE,"general";"via2",#N/A,TRUE,"general";"via3",#N/A,TRUE,"general"}</definedName>
    <definedName name="o9o9" hidden="1">{"via1",#N/A,TRUE,"general";"via2",#N/A,TRUE,"general";"via3",#N/A,TRUE,"general"}</definedName>
    <definedName name="OBJ">[40]PRESUPUESTO!$C$10</definedName>
    <definedName name="ObjetivoProyecto" localSheetId="11">#REF!</definedName>
    <definedName name="ObjetivoProyecto">#REF!</definedName>
    <definedName name="Obra" localSheetId="11">#REF!</definedName>
    <definedName name="Obra" localSheetId="12">#REF!</definedName>
    <definedName name="Obra">#REF!</definedName>
    <definedName name="obras" localSheetId="11" hidden="1">#REF!</definedName>
    <definedName name="obras" hidden="1">#REF!</definedName>
    <definedName name="obras1" localSheetId="11">DATE(YEAR([109]!Loan_Start),MONTH([109]!Loan_Start)+Payment_Number,DAY([109]!Loan_Start))</definedName>
    <definedName name="obras1">DATE(YEAR([109]!Loan_Start),MONTH([109]!Loan_Start)+Payment_Number,DAY([109]!Loan_Start))</definedName>
    <definedName name="obras11" localSheetId="11" hidden="1">#REF!</definedName>
    <definedName name="obras11" hidden="1">#REF!</definedName>
    <definedName name="obras111" localSheetId="11">DATE(YEAR([110]!Loan_Start),MONTH([110]!Loan_Start)+Payment_Number,DAY([110]!Loan_Start))</definedName>
    <definedName name="obras111">DATE(YEAR([110]!Loan_Start),MONTH([110]!Loan_Start)+Payment_Number,DAY([110]!Loan_Start))</definedName>
    <definedName name="OCD" localSheetId="11">[12]Tablas!#REF!</definedName>
    <definedName name="OCD">[12]Tablas!#REF!</definedName>
    <definedName name="OCD1_1" localSheetId="11">[12]Tablas!#REF!</definedName>
    <definedName name="OCD1_1">[12]Tablas!#REF!</definedName>
    <definedName name="OCD1_1_1" localSheetId="11">[12]Tablas!#REF!</definedName>
    <definedName name="OCD1_1_1">[12]Tablas!#REF!</definedName>
    <definedName name="OCI" localSheetId="11">[12]Tablas!#REF!</definedName>
    <definedName name="OCI">[12]Tablas!#REF!</definedName>
    <definedName name="OCI1_1" localSheetId="11">[12]Tablas!#REF!</definedName>
    <definedName name="OCI1_1">[12]Tablas!#REF!</definedName>
    <definedName name="OCI1_1_1" localSheetId="11">[12]Tablas!#REF!</definedName>
    <definedName name="OCI1_1_1">[12]Tablas!#REF!</definedName>
    <definedName name="OCTUBRE" hidden="1">{#N/A,#N/A,FALSE,"orthoflow";#N/A,#N/A,FALSE,"Miscelaneos";#N/A,#N/A,FALSE,"Instrumentacio";#N/A,#N/A,FALSE,"Electrico";#N/A,#N/A,FALSE,"Valv. Seguridad"}</definedName>
    <definedName name="OD" localSheetId="11">#REF!</definedName>
    <definedName name="OD">#REF!</definedName>
    <definedName name="OFICI" localSheetId="8">[15]BASE2!$D$11</definedName>
    <definedName name="OFICI" localSheetId="9">[15]BASE2!$D$11</definedName>
    <definedName name="OFICI">'BASE 2'!$D$11</definedName>
    <definedName name="oiret" localSheetId="12" hidden="1">{"TAB1",#N/A,TRUE,"GENERAL";"TAB2",#N/A,TRUE,"GENERAL";"TAB3",#N/A,TRUE,"GENERAL";"TAB4",#N/A,TRUE,"GENERAL";"TAB5",#N/A,TRUE,"GENERAL"}</definedName>
    <definedName name="oiret" hidden="1">{"TAB1",#N/A,TRUE,"GENERAL";"TAB2",#N/A,TRUE,"GENERAL";"TAB3",#N/A,TRUE,"GENERAL";"TAB4",#N/A,TRUE,"GENERAL";"TAB5",#N/A,TRUE,"GENERAL"}</definedName>
    <definedName name="oirgrth" localSheetId="12" hidden="1">{"TAB1",#N/A,TRUE,"GENERAL";"TAB2",#N/A,TRUE,"GENERAL";"TAB3",#N/A,TRUE,"GENERAL";"TAB4",#N/A,TRUE,"GENERAL";"TAB5",#N/A,TRUE,"GENERAL"}</definedName>
    <definedName name="oirgrth" hidden="1">{"TAB1",#N/A,TRUE,"GENERAL";"TAB2",#N/A,TRUE,"GENERAL";"TAB3",#N/A,TRUE,"GENERAL";"TAB4",#N/A,TRUE,"GENERAL";"TAB5",#N/A,TRUE,"GENERAL"}</definedName>
    <definedName name="OIUOIU" localSheetId="12" hidden="1">{"via1",#N/A,TRUE,"general";"via2",#N/A,TRUE,"general";"via3",#N/A,TRUE,"general"}</definedName>
    <definedName name="OIUOIU" hidden="1">{"via1",#N/A,TRUE,"general";"via2",#N/A,TRUE,"general";"via3",#N/A,TRUE,"general"}</definedName>
    <definedName name="OnceThru">0</definedName>
    <definedName name="OÑ" localSheetId="11">#REF!</definedName>
    <definedName name="OÑ">#REF!</definedName>
    <definedName name="ooo" localSheetId="12" hidden="1">{"via1",#N/A,TRUE,"general";"via2",#N/A,TRUE,"general";"via3",#N/A,TRUE,"general"}</definedName>
    <definedName name="ooo" hidden="1">{"via1",#N/A,TRUE,"general";"via2",#N/A,TRUE,"general";"via3",#N/A,TRUE,"general"}</definedName>
    <definedName name="ooooiii" localSheetId="12" hidden="1">{"TAB1",#N/A,TRUE,"GENERAL";"TAB2",#N/A,TRUE,"GENERAL";"TAB3",#N/A,TRUE,"GENERAL";"TAB4",#N/A,TRUE,"GENERAL";"TAB5",#N/A,TRUE,"GENERAL"}</definedName>
    <definedName name="ooooiii" hidden="1">{"TAB1",#N/A,TRUE,"GENERAL";"TAB2",#N/A,TRUE,"GENERAL";"TAB3",#N/A,TRUE,"GENERAL";"TAB4",#N/A,TRUE,"GENERAL";"TAB5",#N/A,TRUE,"GENERAL"}</definedName>
    <definedName name="oooos" localSheetId="12" hidden="1">{"via1",#N/A,TRUE,"general";"via2",#N/A,TRUE,"general";"via3",#N/A,TRUE,"general"}</definedName>
    <definedName name="oooos" hidden="1">{"via1",#N/A,TRUE,"general";"via2",#N/A,TRUE,"general";"via3",#N/A,TRUE,"general"}</definedName>
    <definedName name="opcion" localSheetId="11">#REF!</definedName>
    <definedName name="opcion">#REF!</definedName>
    <definedName name="Operario" localSheetId="11">#REF!</definedName>
    <definedName name="Operario">#REF!</definedName>
    <definedName name="OR" localSheetId="11">#REF!</definedName>
    <definedName name="OR">#REF!</definedName>
    <definedName name="ORIGEN" localSheetId="11">#REF!</definedName>
    <definedName name="ORIGEN">#REF!</definedName>
    <definedName name="ORIGINAL" hidden="1">{#N/A,#N/A,FALSE,"orthoflow";#N/A,#N/A,FALSE,"Miscelaneos";#N/A,#N/A,FALSE,"Instrumentacio";#N/A,#N/A,FALSE,"Electrico";#N/A,#N/A,FALSE,"Valv. Seguridad"}</definedName>
    <definedName name="OROZCO" localSheetId="11" hidden="1">[7]INST!#REF!</definedName>
    <definedName name="OROZCO" hidden="1">[7]INST!#REF!</definedName>
    <definedName name="otros">[86]otros!$A$6:$A$1235</definedName>
    <definedName name="OTROS1" localSheetId="11">#REF!</definedName>
    <definedName name="OTROS1">#REF!</definedName>
    <definedName name="OUT" localSheetId="11">#REF!</definedName>
    <definedName name="OUT">#REF!</definedName>
    <definedName name="OXICOR" localSheetId="8">[15]BASE2!$D$490</definedName>
    <definedName name="OXICOR" localSheetId="9">[15]BASE2!$D$490</definedName>
    <definedName name="OXICOR">'BASE 2'!$D$739</definedName>
    <definedName name="P" localSheetId="11">#REF!</definedName>
    <definedName name="P">#REF!</definedName>
    <definedName name="P_Yacimiento" localSheetId="11">#REF!</definedName>
    <definedName name="P_Yacimiento">#REF!</definedName>
    <definedName name="p0p0" localSheetId="12" hidden="1">{"via1",#N/A,TRUE,"general";"via2",#N/A,TRUE,"general";"via3",#N/A,TRUE,"general"}</definedName>
    <definedName name="p0p0" hidden="1">{"via1",#N/A,TRUE,"general";"via2",#N/A,TRUE,"general";"via3",#N/A,TRUE,"general"}</definedName>
    <definedName name="P150X240">'BASE 2'!$D$441</definedName>
    <definedName name="P80X200">'BASE 2'!$D$440</definedName>
    <definedName name="P90X200">'BASE 2'!$D$439</definedName>
    <definedName name="PA14X" localSheetId="8">[15]BASE2!$D$373</definedName>
    <definedName name="PA14X" localSheetId="9">[15]BASE2!$D$373</definedName>
    <definedName name="PA14X">'BASE 2'!$D$428</definedName>
    <definedName name="Page____1____of____2" localSheetId="11">#REF!</definedName>
    <definedName name="Page____1____of____2">#REF!</definedName>
    <definedName name="Parametro_Peso">[73]Tablas!$A$1:$A$65536</definedName>
    <definedName name="Pay_Date" localSheetId="11">#REF!</definedName>
    <definedName name="Pay_Date">#REF!</definedName>
    <definedName name="Pay_Num" localSheetId="11">#REF!</definedName>
    <definedName name="Pay_Num">#REF!</definedName>
    <definedName name="Payment_Date" localSheetId="11">DATE(YEAR('FORMATO PRESUPUESTO OFICIAL.'!Loan_Start),MONTH('FORMATO PRESUPUESTO OFICIAL.'!Loan_Start)+Payment_Number,DAY('FORMATO PRESUPUESTO OFICIAL.'!Loan_Start))</definedName>
    <definedName name="Payment_Date">DATE(YEAR(Loan_Start),MONTH(Loan_Start)+Payment_Number,DAY(Loan_Start))</definedName>
    <definedName name="Payment_Date1" localSheetId="11">DATE(YEAR([110]!Loan_Start),MONTH([110]!Loan_Start)+Payment_Number,DAY([110]!Loan_Start))</definedName>
    <definedName name="Payment_Date1">DATE(YEAR([110]!Loan_Start),MONTH([110]!Loan_Start)+Payment_Number,DAY([110]!Loan_Start))</definedName>
    <definedName name="Payment_Needed">"Pago necesario"</definedName>
    <definedName name="Pb" localSheetId="11">#REF!</definedName>
    <definedName name="Pb">#REF!</definedName>
    <definedName name="Pd" localSheetId="11">#REF!</definedName>
    <definedName name="Pd">#REF!</definedName>
    <definedName name="PEGCO">'BASE 2'!$D$463</definedName>
    <definedName name="PEPE" localSheetId="12">'Formulario No. 1'!ERR</definedName>
    <definedName name="PEPE">[0]!ERR</definedName>
    <definedName name="Periodo">[58]Hoja1!$C$1</definedName>
    <definedName name="PeriodoPago">'[56]LIQUIDA-NOMINA'!$C$4</definedName>
    <definedName name="PeriodoRepago" localSheetId="11">#REF!</definedName>
    <definedName name="PeriodoRepago">#REF!</definedName>
    <definedName name="PeriodoRepagoCCP" localSheetId="11">#REF!</definedName>
    <definedName name="PeriodoRepagoCCP">#REF!</definedName>
    <definedName name="PERNO">'BASE 2'!$D$426</definedName>
    <definedName name="phed">[71]Hoja1!$C$4</definedName>
    <definedName name="phen">[71]Hoja1!$C$5</definedName>
    <definedName name="PIE4A6">'BASE 2'!$D$53</definedName>
    <definedName name="PIECR">'BASE 2'!$D$68</definedName>
    <definedName name="PIEDR" localSheetId="8">[15]BASE2!$D$62</definedName>
    <definedName name="PIEDR" localSheetId="9">[15]BASE2!$D$62</definedName>
    <definedName name="PIEDR">'BASE 2'!$D$55</definedName>
    <definedName name="PINBAR">'BASE 2'!$D$444</definedName>
    <definedName name="PINBLA" localSheetId="8">[15]BASE2!$D$391</definedName>
    <definedName name="PINBLA" localSheetId="9">[15]BASE2!$D$391</definedName>
    <definedName name="PINBLA">'BASE 2'!$D$446</definedName>
    <definedName name="Pindis" localSheetId="11">#REF!</definedName>
    <definedName name="Pindis">#REF!</definedName>
    <definedName name="pint" localSheetId="11">'[93]7422CW00'!#REF!</definedName>
    <definedName name="pint">'[93]7422CW00'!#REF!</definedName>
    <definedName name="pintura" localSheetId="11">'[93]7422CW00'!#REF!</definedName>
    <definedName name="pintura">'[93]7422CW00'!#REF!</definedName>
    <definedName name="pintyura" localSheetId="11">[111]STRSUMM0!#REF!</definedName>
    <definedName name="pintyura">[111]STRSUMM0!#REF!</definedName>
    <definedName name="PIP" localSheetId="11">#REF!</definedName>
    <definedName name="PIP">#REF!</definedName>
    <definedName name="Piscinas" localSheetId="11">#REF!</definedName>
    <definedName name="Piscinas">#REF!</definedName>
    <definedName name="PKHK" localSheetId="12" hidden="1">{"TAB1",#N/A,TRUE,"GENERAL";"TAB2",#N/A,TRUE,"GENERAL";"TAB3",#N/A,TRUE,"GENERAL";"TAB4",#N/A,TRUE,"GENERAL";"TAB5",#N/A,TRUE,"GENERAL"}</definedName>
    <definedName name="PKHK" hidden="1">{"TAB1",#N/A,TRUE,"GENERAL";"TAB2",#N/A,TRUE,"GENERAL";"TAB3",#N/A,TRUE,"GENERAL";"TAB4",#N/A,TRUE,"GENERAL";"TAB5",#N/A,TRUE,"GENERAL"}</definedName>
    <definedName name="pkj" localSheetId="12" hidden="1">{"TAB1",#N/A,TRUE,"GENERAL";"TAB2",#N/A,TRUE,"GENERAL";"TAB3",#N/A,TRUE,"GENERAL";"TAB4",#N/A,TRUE,"GENERAL";"TAB5",#N/A,TRUE,"GENERAL"}</definedName>
    <definedName name="pkj" hidden="1">{"TAB1",#N/A,TRUE,"GENERAL";"TAB2",#N/A,TRUE,"GENERAL";"TAB3",#N/A,TRUE,"GENERAL";"TAB4",#N/A,TRUE,"GENERAL";"TAB5",#N/A,TRUE,"GENERAL"}</definedName>
    <definedName name="pkwsem" localSheetId="11">#REF!</definedName>
    <definedName name="pkwsem">#REF!</definedName>
    <definedName name="PLAD" localSheetId="12" hidden="1">{"TAB1",#N/A,TRUE,"GENERAL";"TAB2",#N/A,TRUE,"GENERAL";"TAB3",#N/A,TRUE,"GENERAL";"TAB4",#N/A,TRUE,"GENERAL";"TAB5",#N/A,TRUE,"GENERAL"}</definedName>
    <definedName name="PLAD" hidden="1">{"TAB1",#N/A,TRUE,"GENERAL";"TAB2",#N/A,TRUE,"GENERAL";"TAB3",#N/A,TRUE,"GENERAL";"TAB4",#N/A,TRUE,"GENERAL";"TAB5",#N/A,TRUE,"GENERAL"}</definedName>
    <definedName name="PLAELE" localSheetId="8">[15]BASE2!$D$489</definedName>
    <definedName name="PLAELE" localSheetId="9">[15]BASE2!$D$489</definedName>
    <definedName name="PLAELE">'BASE 2'!$D$737</definedName>
    <definedName name="PLAST" localSheetId="8">[15]BASE2!$D$368</definedName>
    <definedName name="PLAST" localSheetId="9">[15]BASE2!$D$368</definedName>
    <definedName name="PLAST">'BASE 2'!$D$423</definedName>
    <definedName name="Platinas" localSheetId="11">#REF!</definedName>
    <definedName name="Platinas">#REF!</definedName>
    <definedName name="Plazo">[50]BASES!$E$27</definedName>
    <definedName name="PlazoAIU" localSheetId="11">#REF!</definedName>
    <definedName name="PlazoAIU" localSheetId="12">#REF!</definedName>
    <definedName name="PlazoAIU">#REF!</definedName>
    <definedName name="PLPLUNN" localSheetId="12" hidden="1">{"TAB1",#N/A,TRUE,"GENERAL";"TAB2",#N/A,TRUE,"GENERAL";"TAB3",#N/A,TRUE,"GENERAL";"TAB4",#N/A,TRUE,"GENERAL";"TAB5",#N/A,TRUE,"GENERAL"}</definedName>
    <definedName name="PLPLUNN" hidden="1">{"TAB1",#N/A,TRUE,"GENERAL";"TAB2",#N/A,TRUE,"GENERAL";"TAB3",#N/A,TRUE,"GENERAL";"TAB4",#N/A,TRUE,"GENERAL";"TAB5",#N/A,TRUE,"GENERAL"}</definedName>
    <definedName name="PMP" localSheetId="11">#REF!</definedName>
    <definedName name="PMP">#REF!</definedName>
    <definedName name="POCETAS" localSheetId="11">#REF!</definedName>
    <definedName name="POCETAS" localSheetId="12">#REF!</definedName>
    <definedName name="POCETAS">#REF!</definedName>
    <definedName name="POIUP" localSheetId="12" hidden="1">{"via1",#N/A,TRUE,"general";"via2",#N/A,TRUE,"general";"via3",#N/A,TRUE,"general"}</definedName>
    <definedName name="POIUP" hidden="1">{"via1",#N/A,TRUE,"general";"via2",#N/A,TRUE,"general";"via3",#N/A,TRUE,"general"}</definedName>
    <definedName name="POLIESTER">[112]BASE2!$D$516</definedName>
    <definedName name="popop" localSheetId="12" hidden="1">{"via1",#N/A,TRUE,"general";"via2",#N/A,TRUE,"general";"via3",#N/A,TRUE,"general"}</definedName>
    <definedName name="popop" hidden="1">{"via1",#N/A,TRUE,"general";"via2",#N/A,TRUE,"general";"via3",#N/A,TRUE,"general"}</definedName>
    <definedName name="popp" localSheetId="12" hidden="1">{"via1",#N/A,TRUE,"general";"via2",#N/A,TRUE,"general";"via3",#N/A,TRUE,"general"}</definedName>
    <definedName name="popp" hidden="1">{"via1",#N/A,TRUE,"general";"via2",#N/A,TRUE,"general";"via3",#N/A,TRUE,"general"}</definedName>
    <definedName name="popu" localSheetId="11">#REF!</definedName>
    <definedName name="popu" localSheetId="12">#REF!</definedName>
    <definedName name="popu">#REF!</definedName>
    <definedName name="popvds" localSheetId="12" hidden="1">{"TAB1",#N/A,TRUE,"GENERAL";"TAB2",#N/A,TRUE,"GENERAL";"TAB3",#N/A,TRUE,"GENERAL";"TAB4",#N/A,TRUE,"GENERAL";"TAB5",#N/A,TRUE,"GENERAL"}</definedName>
    <definedName name="popvds" hidden="1">{"TAB1",#N/A,TRUE,"GENERAL";"TAB2",#N/A,TRUE,"GENERAL";"TAB3",#N/A,TRUE,"GENERAL";"TAB4",#N/A,TRUE,"GENERAL";"TAB5",#N/A,TRUE,"GENERAL"}</definedName>
    <definedName name="porc" localSheetId="11">#REF!</definedName>
    <definedName name="porc" localSheetId="12">#REF!</definedName>
    <definedName name="porc">#REF!</definedName>
    <definedName name="PORCE">[51]BASES!$E$26</definedName>
    <definedName name="Porcentaje" localSheetId="11">#REF!</definedName>
    <definedName name="Porcentaje">#REF!</definedName>
    <definedName name="PORCENTAJE1" localSheetId="11">#REF!</definedName>
    <definedName name="PORCENTAJE1">#REF!</definedName>
    <definedName name="PORTADA2" localSheetId="11">'[113]Hoja 1 '!#REF!</definedName>
    <definedName name="PORTADA2">'[113]Hoja 1 '!#REF!</definedName>
    <definedName name="POSICION_PRESUP" localSheetId="11">[11]Tablas!#REF!</definedName>
    <definedName name="POSICION_PRESUP">[11]Tablas!#REF!</definedName>
    <definedName name="POSICIONES" localSheetId="11">#REF!</definedName>
    <definedName name="POSICIONES">#REF!</definedName>
    <definedName name="pouig" localSheetId="12" hidden="1">{"via1",#N/A,TRUE,"general";"via2",#N/A,TRUE,"general";"via3",#N/A,TRUE,"general"}</definedName>
    <definedName name="pouig" hidden="1">{"via1",#N/A,TRUE,"general";"via2",#N/A,TRUE,"general";"via3",#N/A,TRUE,"general"}</definedName>
    <definedName name="POZO">[73]Tablas!$C$1:$C$65536</definedName>
    <definedName name="PPPP" hidden="1">{#N/A,#N/A,FALSE,"orthoflow";#N/A,#N/A,FALSE,"Miscelaneos";#N/A,#N/A,FALSE,"Instrumentacio";#N/A,#N/A,FALSE,"Electrico";#N/A,#N/A,FALSE,"Valv. Seguridad"}</definedName>
    <definedName name="ppppp9" localSheetId="12" hidden="1">{"via1",#N/A,TRUE,"general";"via2",#N/A,TRUE,"general";"via3",#N/A,TRUE,"general"}</definedName>
    <definedName name="ppppp9" hidden="1">{"via1",#N/A,TRUE,"general";"via2",#N/A,TRUE,"general";"via3",#N/A,TRUE,"general"}</definedName>
    <definedName name="pppppd" localSheetId="12" hidden="1">{"TAB1",#N/A,TRUE,"GENERAL";"TAB2",#N/A,TRUE,"GENERAL";"TAB3",#N/A,TRUE,"GENERAL";"TAB4",#N/A,TRUE,"GENERAL";"TAB5",#N/A,TRUE,"GENERAL"}</definedName>
    <definedName name="pppppd" hidden="1">{"TAB1",#N/A,TRUE,"GENERAL";"TAB2",#N/A,TRUE,"GENERAL";"TAB3",#N/A,TRUE,"GENERAL";"TAB4",#N/A,TRUE,"GENERAL";"TAB5",#N/A,TRUE,"GENERAL"}</definedName>
    <definedName name="PPtoNorte" localSheetId="11">#REF!</definedName>
    <definedName name="PPtoNorte">#REF!</definedName>
    <definedName name="pqroj" localSheetId="12" hidden="1">{"via1",#N/A,TRUE,"general";"via2",#N/A,TRUE,"general";"via3",#N/A,TRUE,"general"}</definedName>
    <definedName name="pqroj" hidden="1">{"via1",#N/A,TRUE,"general";"via2",#N/A,TRUE,"general";"via3",#N/A,TRUE,"general"}</definedName>
    <definedName name="Pr">[62]medelo!$D$46</definedName>
    <definedName name="PRE" localSheetId="11">#REF!</definedName>
    <definedName name="PRE" localSheetId="12">#REF!</definedName>
    <definedName name="PRE">#REF!</definedName>
    <definedName name="Precio" localSheetId="11">#REF!</definedName>
    <definedName name="Precio">#REF!</definedName>
    <definedName name="precio2" localSheetId="11">#REF!</definedName>
    <definedName name="precio2">#REF!</definedName>
    <definedName name="PrecioS" localSheetId="11">#REF!</definedName>
    <definedName name="PrecioS">#REF!</definedName>
    <definedName name="PREST" localSheetId="11">#REF!</definedName>
    <definedName name="PREST" localSheetId="12">#REF!</definedName>
    <definedName name="PREST">#REF!</definedName>
    <definedName name="PRESTA" localSheetId="8">[15]PRESTA!$C$28</definedName>
    <definedName name="PRESTA" localSheetId="9">[15]PRESTA!$C$28</definedName>
    <definedName name="PRESTA">PRESTA!$C$26</definedName>
    <definedName name="PRIMER" localSheetId="12" hidden="1">{"via1",#N/A,TRUE,"general";"via2",#N/A,TRUE,"general";"via3",#N/A,TRUE,"general"}</definedName>
    <definedName name="PRIMER" hidden="1">{"via1",#N/A,TRUE,"general";"via2",#N/A,TRUE,"general";"via3",#N/A,TRUE,"general"}</definedName>
    <definedName name="PRIMERO">'[105]Informe Semanal 1'!$V$43:$W$43</definedName>
    <definedName name="PRIMET" localSheetId="12" hidden="1">{"TAB1",#N/A,TRUE,"GENERAL";"TAB2",#N/A,TRUE,"GENERAL";"TAB3",#N/A,TRUE,"GENERAL";"TAB4",#N/A,TRUE,"GENERAL";"TAB5",#N/A,TRUE,"GENERAL"}</definedName>
    <definedName name="PRIMET" hidden="1">{"TAB1",#N/A,TRUE,"GENERAL";"TAB2",#N/A,TRUE,"GENERAL";"TAB3",#N/A,TRUE,"GENERAL";"TAB4",#N/A,TRUE,"GENERAL";"TAB5",#N/A,TRUE,"GENERAL"}</definedName>
    <definedName name="Princ" localSheetId="11">#REF!</definedName>
    <definedName name="Princ">#REF!</definedName>
    <definedName name="PRINT_AREA">#N/A</definedName>
    <definedName name="Print_Area_MI" localSheetId="11">#REF!</definedName>
    <definedName name="Print_Area_MI" localSheetId="12">#REF!</definedName>
    <definedName name="Print_Area_MI">#REF!</definedName>
    <definedName name="Print_Area_Reset" localSheetId="11">OFFSET('FORMATO PRESUPUESTO OFICIAL.'!Full_Print,0,0,[0]!Last_Row)</definedName>
    <definedName name="Print_Area_Reset">OFFSET(Full_Print,0,0,Last_Row)</definedName>
    <definedName name="PRINT_TITLES">#N/A</definedName>
    <definedName name="PRINT_TITLES_MI">#N/A</definedName>
    <definedName name="PRINT1" localSheetId="11">'[3]7422CW00'!#REF!</definedName>
    <definedName name="PRINT1">'[3]7422CW00'!#REF!</definedName>
    <definedName name="PRINT2" localSheetId="11">'[3]7422CW00'!#REF!</definedName>
    <definedName name="PRINT2">'[3]7422CW00'!#REF!</definedName>
    <definedName name="PRIVADO" localSheetId="11">#REF!</definedName>
    <definedName name="PRIVADO">#REF!</definedName>
    <definedName name="prn">[71]Hoja1!$C$3</definedName>
    <definedName name="prnf">[71]Hoja1!$C$6</definedName>
    <definedName name="ProbRange">0</definedName>
    <definedName name="ProbRangeMit">0</definedName>
    <definedName name="PROC" localSheetId="11">#REF!</definedName>
    <definedName name="PROC">#REF!</definedName>
    <definedName name="PROCEDIM_SELECC" localSheetId="11">#REF!</definedName>
    <definedName name="PROCEDIM_SELECC">#REF!</definedName>
    <definedName name="PROCESO" localSheetId="11">#REF!</definedName>
    <definedName name="PROCESO">#REF!</definedName>
    <definedName name="PRODUCTO" localSheetId="11">#REF!</definedName>
    <definedName name="PRODUCTO">#REF!</definedName>
    <definedName name="PrOfic">[50]BASES!$B$31</definedName>
    <definedName name="PROGDES" localSheetId="11">#REF!</definedName>
    <definedName name="PROGDES">#REF!</definedName>
    <definedName name="Programa" localSheetId="11">#REF!</definedName>
    <definedName name="Programa">#REF!</definedName>
    <definedName name="programainv" localSheetId="12">'Formulario No. 1'!ERR</definedName>
    <definedName name="programainv">[0]!ERR</definedName>
    <definedName name="Proponente" localSheetId="11">#REF!</definedName>
    <definedName name="Proponente" localSheetId="12">#REF!</definedName>
    <definedName name="Proponente">#REF!</definedName>
    <definedName name="PRUEBA" localSheetId="11">[114]!absc</definedName>
    <definedName name="PRUEBA">[114]!absc</definedName>
    <definedName name="prueba1" localSheetId="11">[114]!absc</definedName>
    <definedName name="prueba1">[114]!absc</definedName>
    <definedName name="PRUEBA2" localSheetId="11">#REF!</definedName>
    <definedName name="PRUEBA2" localSheetId="12">#REF!</definedName>
    <definedName name="PRUEBA2">#REF!</definedName>
    <definedName name="ps" localSheetId="11">#REF!</definedName>
    <definedName name="ps">#REF!</definedName>
    <definedName name="PSTRESS_RELIEVI" localSheetId="11">#REF!</definedName>
    <definedName name="PSTRESS_RELIEVI">#REF!</definedName>
    <definedName name="PTAR" hidden="1">{#N/A,#N/A,FALSE,"Estatico";#N/A,#N/A,FALSE,"Tuberia";#N/A,#N/A,FALSE,"Instrumentación";#N/A,#N/A,FALSE,"Mecanica";#N/A,#N/A,FALSE,"Electrico";#N/A,#N/A,FALSE,"Ofic.Civiles"}</definedName>
    <definedName name="ptope" localSheetId="12" hidden="1">{"TAB1",#N/A,TRUE,"GENERAL";"TAB2",#N/A,TRUE,"GENERAL";"TAB3",#N/A,TRUE,"GENERAL";"TAB4",#N/A,TRUE,"GENERAL";"TAB5",#N/A,TRUE,"GENERAL"}</definedName>
    <definedName name="ptope" hidden="1">{"TAB1",#N/A,TRUE,"GENERAL";"TAB2",#N/A,TRUE,"GENERAL";"TAB3",#N/A,TRUE,"GENERAL";"TAB4",#N/A,TRUE,"GENERAL";"TAB5",#N/A,TRUE,"GENERAL"}</definedName>
    <definedName name="ptopes" localSheetId="12" hidden="1">{"via1",#N/A,TRUE,"general";"via2",#N/A,TRUE,"general";"via3",#N/A,TRUE,"general"}</definedName>
    <definedName name="ptopes" hidden="1">{"via1",#N/A,TRUE,"general";"via2",#N/A,TRUE,"general";"via3",#N/A,TRUE,"general"}</definedName>
    <definedName name="PULID" localSheetId="8">[15]BASE2!$D$491</definedName>
    <definedName name="PULID" localSheetId="9">[15]BASE2!$D$491</definedName>
    <definedName name="PULID">'BASE 2'!$D$740</definedName>
    <definedName name="PUNTI" localSheetId="8">[15]BASE2!$D$369</definedName>
    <definedName name="PUNTI" localSheetId="9">[15]BASE2!$D$369</definedName>
    <definedName name="PUNTI">'BASE 2'!$D$424</definedName>
    <definedName name="PW" localSheetId="11">#REF!</definedName>
    <definedName name="PW">#REF!</definedName>
    <definedName name="Pwf">'[115]ORITO 02 '!$A$12</definedName>
    <definedName name="Pwf_actual">'[115]ORITO 02 '!$E$6</definedName>
    <definedName name="Pwf_i">[62]medelo!$A$66:$A$83</definedName>
    <definedName name="Pwf_min">'[115]ORITO 02 '!$E$8</definedName>
    <definedName name="Pwfd" localSheetId="11">#REF!</definedName>
    <definedName name="Pwfd">#REF!</definedName>
    <definedName name="Q" localSheetId="11">#REF!</definedName>
    <definedName name="Q" localSheetId="12">#REF!</definedName>
    <definedName name="Q">#REF!</definedName>
    <definedName name="Q_actual">'[115]ORITO 02 '!$E$7</definedName>
    <definedName name="Q_BRUTO" localSheetId="11">#REF!</definedName>
    <definedName name="Q_BRUTO">#REF!</definedName>
    <definedName name="q1q1q" localSheetId="12" hidden="1">{"via1",#N/A,TRUE,"general";"via2",#N/A,TRUE,"general";"via3",#N/A,TRUE,"general"}</definedName>
    <definedName name="q1q1q" hidden="1">{"via1",#N/A,TRUE,"general";"via2",#N/A,TRUE,"general";"via3",#N/A,TRUE,"general"}</definedName>
    <definedName name="qaedtguj" localSheetId="12" hidden="1">{"via1",#N/A,TRUE,"general";"via2",#N/A,TRUE,"general";"via3",#N/A,TRUE,"general"}</definedName>
    <definedName name="qaedtguj" hidden="1">{"via1",#N/A,TRUE,"general";"via2",#N/A,TRUE,"general";"via3",#N/A,TRUE,"general"}</definedName>
    <definedName name="QAQSWS" localSheetId="12" hidden="1">{"via1",#N/A,TRUE,"general";"via2",#N/A,TRUE,"general";"via3",#N/A,TRUE,"general"}</definedName>
    <definedName name="QAQSWS" hidden="1">{"via1",#N/A,TRUE,"general";"via2",#N/A,TRUE,"general";"via3",#N/A,TRUE,"general"}</definedName>
    <definedName name="qaqwwxcr" localSheetId="12" hidden="1">{"via1",#N/A,TRUE,"general";"via2",#N/A,TRUE,"general";"via3",#N/A,TRUE,"general"}</definedName>
    <definedName name="qaqwwxcr" hidden="1">{"via1",#N/A,TRUE,"general";"via2",#N/A,TRUE,"general";"via3",#N/A,TRUE,"general"}</definedName>
    <definedName name="qaz" localSheetId="11">#REF!</definedName>
    <definedName name="qaz" localSheetId="12">#REF!</definedName>
    <definedName name="qaz">#REF!</definedName>
    <definedName name="qedcd" localSheetId="12" hidden="1">{"via1",#N/A,TRUE,"general";"via2",#N/A,TRUE,"general";"via3",#N/A,TRUE,"general"}</definedName>
    <definedName name="qedcd" hidden="1">{"via1",#N/A,TRUE,"general";"via2",#N/A,TRUE,"general";"via3",#N/A,TRUE,"general"}</definedName>
    <definedName name="qeqewe" localSheetId="12" hidden="1">{"TAB1",#N/A,TRUE,"GENERAL";"TAB2",#N/A,TRUE,"GENERAL";"TAB3",#N/A,TRUE,"GENERAL";"TAB4",#N/A,TRUE,"GENERAL";"TAB5",#N/A,TRUE,"GENERAL"}</definedName>
    <definedName name="qeqewe" hidden="1">{"TAB1",#N/A,TRUE,"GENERAL";"TAB2",#N/A,TRUE,"GENERAL";"TAB3",#N/A,TRUE,"GENERAL";"TAB4",#N/A,TRUE,"GENERAL";"TAB5",#N/A,TRUE,"GENERAL"}</definedName>
    <definedName name="qewj" localSheetId="12" hidden="1">{"via1",#N/A,TRUE,"general";"via2",#N/A,TRUE,"general";"via3",#N/A,TRUE,"general"}</definedName>
    <definedName name="qewj" hidden="1">{"via1",#N/A,TRUE,"general";"via2",#N/A,TRUE,"general";"via3",#N/A,TRUE,"general"}</definedName>
    <definedName name="Qmax">[62]medelo!$B$63</definedName>
    <definedName name="qqqqqw" localSheetId="12" hidden="1">{"via1",#N/A,TRUE,"general";"via2",#N/A,TRUE,"general";"via3",#N/A,TRUE,"general"}</definedName>
    <definedName name="qqqqqw" hidden="1">{"via1",#N/A,TRUE,"general";"via2",#N/A,TRUE,"general";"via3",#N/A,TRUE,"general"}</definedName>
    <definedName name="QS" localSheetId="11">#REF!</definedName>
    <definedName name="QS">#REF!</definedName>
    <definedName name="Qt">'[115]ORITO 02 '!$E$9</definedName>
    <definedName name="QTIES" localSheetId="11">#REF!</definedName>
    <definedName name="QTIES">#REF!</definedName>
    <definedName name="QTY" localSheetId="11">#REF!</definedName>
    <definedName name="QTY">#REF!</definedName>
    <definedName name="qw" localSheetId="12" hidden="1">{"via1",#N/A,TRUE,"general";"via2",#N/A,TRUE,"general";"via3",#N/A,TRUE,"general"}</definedName>
    <definedName name="qw" hidden="1">{"via1",#N/A,TRUE,"general";"via2",#N/A,TRUE,"general";"via3",#N/A,TRUE,"general"}</definedName>
    <definedName name="qwdas2" localSheetId="12" hidden="1">{"via1",#N/A,TRUE,"general";"via2",#N/A,TRUE,"general";"via3",#N/A,TRUE,"general"}</definedName>
    <definedName name="qwdas2" hidden="1">{"via1",#N/A,TRUE,"general";"via2",#N/A,TRUE,"general";"via3",#N/A,TRUE,"general"}</definedName>
    <definedName name="QWE" localSheetId="11">#REF!</definedName>
    <definedName name="QWE">#REF!</definedName>
    <definedName name="qweqe" localSheetId="12" hidden="1">{"TAB1",#N/A,TRUE,"GENERAL";"TAB2",#N/A,TRUE,"GENERAL";"TAB3",#N/A,TRUE,"GENERAL";"TAB4",#N/A,TRUE,"GENERAL";"TAB5",#N/A,TRUE,"GENERAL"}</definedName>
    <definedName name="qweqe" hidden="1">{"TAB1",#N/A,TRUE,"GENERAL";"TAB2",#N/A,TRUE,"GENERAL";"TAB3",#N/A,TRUE,"GENERAL";"TAB4",#N/A,TRUE,"GENERAL";"TAB5",#N/A,TRUE,"GENERAL"}</definedName>
    <definedName name="QWERTY" localSheetId="12">'Formulario No. 1'!ERR</definedName>
    <definedName name="QWERTY">[0]!ERR</definedName>
    <definedName name="qwewertet" hidden="1">{#N/A,#N/A,TRUE,"1842CWN0"}</definedName>
    <definedName name="qwqwqwj" localSheetId="12" hidden="1">{"TAB1",#N/A,TRUE,"GENERAL";"TAB2",#N/A,TRUE,"GENERAL";"TAB3",#N/A,TRUE,"GENERAL";"TAB4",#N/A,TRUE,"GENERAL";"TAB5",#N/A,TRUE,"GENERAL"}</definedName>
    <definedName name="qwqwqwj" hidden="1">{"TAB1",#N/A,TRUE,"GENERAL";"TAB2",#N/A,TRUE,"GENERAL";"TAB3",#N/A,TRUE,"GENERAL";"TAB4",#N/A,TRUE,"GENERAL";"TAB5",#N/A,TRUE,"GENERAL"}</definedName>
    <definedName name="R._SECO" localSheetId="11">#REF!</definedName>
    <definedName name="R._SECO">#REF!</definedName>
    <definedName name="R_2" localSheetId="11">#REF!</definedName>
    <definedName name="R_2">#REF!</definedName>
    <definedName name="R_c" localSheetId="11">#REF!</definedName>
    <definedName name="R_c">#REF!</definedName>
    <definedName name="RANGO_FECHA" localSheetId="11">#REF!</definedName>
    <definedName name="RANGO_FECHA">#REF!</definedName>
    <definedName name="Rates" localSheetId="11">#REF!</definedName>
    <definedName name="Rates">#REF!</definedName>
    <definedName name="RD" localSheetId="11">#REF!</definedName>
    <definedName name="RD">#REF!</definedName>
    <definedName name="rdq" localSheetId="11">#REF!</definedName>
    <definedName name="rdq">#REF!</definedName>
    <definedName name="Reactores" localSheetId="11">#REF!</definedName>
    <definedName name="Reactores">#REF!</definedName>
    <definedName name="Recall_2">'[108] ASR+Nafta'!$E$9:$E$21</definedName>
    <definedName name="Recall_3">'[108]Todos+Nafta'!$E$9:$E$21</definedName>
    <definedName name="Recorder" localSheetId="11">#REF!</definedName>
    <definedName name="Recorder">#REF!</definedName>
    <definedName name="recursos">[116]RECURSOS!$A$8:$A$204</definedName>
    <definedName name="RED32_">'BASE 2'!$D$226</definedName>
    <definedName name="rege" localSheetId="12" hidden="1">{"TAB1",#N/A,TRUE,"GENERAL";"TAB2",#N/A,TRUE,"GENERAL";"TAB3",#N/A,TRUE,"GENERAL";"TAB4",#N/A,TRUE,"GENERAL";"TAB5",#N/A,TRUE,"GENERAL"}</definedName>
    <definedName name="rege" hidden="1">{"TAB1",#N/A,TRUE,"GENERAL";"TAB2",#N/A,TRUE,"GENERAL";"TAB3",#N/A,TRUE,"GENERAL";"TAB4",#N/A,TRUE,"GENERAL";"TAB5",#N/A,TRUE,"GENERAL"}</definedName>
    <definedName name="REGIMEN_CONTRAT">[107]Tablas!$M$6:$M$8</definedName>
    <definedName name="REGIONAL">[107]Tablas!$I$6:$I$10</definedName>
    <definedName name="RegistroCoordinador" localSheetId="11">#REF!</definedName>
    <definedName name="RegistroCoordinador">#REF!</definedName>
    <definedName name="regresd" localSheetId="12" hidden="1">{"TAB1",#N/A,TRUE,"GENERAL";"TAB2",#N/A,TRUE,"GENERAL";"TAB3",#N/A,TRUE,"GENERAL";"TAB4",#N/A,TRUE,"GENERAL";"TAB5",#N/A,TRUE,"GENERAL"}</definedName>
    <definedName name="regresd" hidden="1">{"TAB1",#N/A,TRUE,"GENERAL";"TAB2",#N/A,TRUE,"GENERAL";"TAB3",#N/A,TRUE,"GENERAL";"TAB4",#N/A,TRUE,"GENERAL";"TAB5",#N/A,TRUE,"GENERAL"}</definedName>
    <definedName name="regthio" localSheetId="12" hidden="1">{"TAB1",#N/A,TRUE,"GENERAL";"TAB2",#N/A,TRUE,"GENERAL";"TAB3",#N/A,TRUE,"GENERAL";"TAB4",#N/A,TRUE,"GENERAL";"TAB5",#N/A,TRUE,"GENERAL"}</definedName>
    <definedName name="regthio" hidden="1">{"TAB1",#N/A,TRUE,"GENERAL";"TAB2",#N/A,TRUE,"GENERAL";"TAB3",#N/A,TRUE,"GENERAL";"TAB4",#N/A,TRUE,"GENERAL";"TAB5",#N/A,TRUE,"GENERAL"}</definedName>
    <definedName name="REICIO" localSheetId="12">'Formulario No. 1'!ERR</definedName>
    <definedName name="REICIO">[0]!ERR</definedName>
    <definedName name="Reimbursement">"Reembolso"</definedName>
    <definedName name="reinicio" localSheetId="12">'Formulario No. 1'!ERR</definedName>
    <definedName name="reinicio">[0]!ERR</definedName>
    <definedName name="REJHE" localSheetId="12" hidden="1">{"via1",#N/A,TRUE,"general";"via2",#N/A,TRUE,"general";"via3",#N/A,TRUE,"general"}</definedName>
    <definedName name="REJHE" hidden="1">{"via1",#N/A,TRUE,"general";"via2",#N/A,TRUE,"general";"via3",#N/A,TRUE,"general"}</definedName>
    <definedName name="REJILLA">'BASE 2'!$D$732</definedName>
    <definedName name="rell" localSheetId="11">#REF!</definedName>
    <definedName name="rell" localSheetId="12">#REF!</definedName>
    <definedName name="rell">#REF!</definedName>
    <definedName name="remanentes">'[42]Reservas de Petróleo'!$A$2,'[42]Reservas de Petróleo'!$A$1,'[42]Reservas de Petróleo'!$D$4,'[42]Reservas de Petróleo'!$H$1:$H$65536</definedName>
    <definedName name="rendimiento" localSheetId="11">#REF!</definedName>
    <definedName name="rendimiento">#REF!</definedName>
    <definedName name="RENDIMIENTO____CARGA" localSheetId="11">#REF!</definedName>
    <definedName name="RENDIMIENTO____CARGA">#REF!</definedName>
    <definedName name="REP21_">'BASE 2'!$D$145</definedName>
    <definedName name="REP42_">'BASE 2'!$D$146</definedName>
    <definedName name="REPXXX" localSheetId="11">#REF!</definedName>
    <definedName name="REPXXX">#REF!</definedName>
    <definedName name="Requerimiento" localSheetId="11">#REF!</definedName>
    <definedName name="Requerimiento">#REF!</definedName>
    <definedName name="Requerimientos" localSheetId="11">#REF!</definedName>
    <definedName name="Requerimientos">#REF!</definedName>
    <definedName name="rer" localSheetId="12" hidden="1">{"via1",#N/A,TRUE,"general";"via2",#N/A,TRUE,"general";"via3",#N/A,TRUE,"general"}</definedName>
    <definedName name="rer" hidden="1">{"via1",#N/A,TRUE,"general";"via2",#N/A,TRUE,"general";"via3",#N/A,TRUE,"general"}</definedName>
    <definedName name="rererw" localSheetId="12" hidden="1">{"TAB1",#N/A,TRUE,"GENERAL";"TAB2",#N/A,TRUE,"GENERAL";"TAB3",#N/A,TRUE,"GENERAL";"TAB4",#N/A,TRUE,"GENERAL";"TAB5",#N/A,TRUE,"GENERAL"}</definedName>
    <definedName name="rererw" hidden="1">{"TAB1",#N/A,TRUE,"GENERAL";"TAB2",#N/A,TRUE,"GENERAL";"TAB3",#N/A,TRUE,"GENERAL";"TAB4",#N/A,TRUE,"GENERAL";"TAB5",#N/A,TRUE,"GENERAL"}</definedName>
    <definedName name="rerg" localSheetId="12" hidden="1">{"TAB1",#N/A,TRUE,"GENERAL";"TAB2",#N/A,TRUE,"GENERAL";"TAB3",#N/A,TRUE,"GENERAL";"TAB4",#N/A,TRUE,"GENERAL";"TAB5",#N/A,TRUE,"GENERAL"}</definedName>
    <definedName name="rerg" hidden="1">{"TAB1",#N/A,TRUE,"GENERAL";"TAB2",#N/A,TRUE,"GENERAL";"TAB3",#N/A,TRUE,"GENERAL";"TAB4",#N/A,TRUE,"GENERAL";"TAB5",#N/A,TRUE,"GENERAL"}</definedName>
    <definedName name="rerrrrw" localSheetId="12" hidden="1">{"TAB1",#N/A,TRUE,"GENERAL";"TAB2",#N/A,TRUE,"GENERAL";"TAB3",#N/A,TRUE,"GENERAL";"TAB4",#N/A,TRUE,"GENERAL";"TAB5",#N/A,TRUE,"GENERAL"}</definedName>
    <definedName name="rerrrrw" hidden="1">{"TAB1",#N/A,TRUE,"GENERAL";"TAB2",#N/A,TRUE,"GENERAL";"TAB3",#N/A,TRUE,"GENERAL";"TAB4",#N/A,TRUE,"GENERAL";"TAB5",#N/A,TRUE,"GENERAL"}</definedName>
    <definedName name="RES" localSheetId="11">#REF!</definedName>
    <definedName name="RES">#REF!</definedName>
    <definedName name="RES64_">'BASE 2'!$D$256</definedName>
    <definedName name="RESINAEPOX">[112]BASE2!$D$517</definedName>
    <definedName name="Resistividad" localSheetId="11">#REF!</definedName>
    <definedName name="Resistividad">#REF!</definedName>
    <definedName name="RESU" localSheetId="11">#REF!</definedName>
    <definedName name="resu" localSheetId="12">[117]original_sist!$B$1:$L$167</definedName>
    <definedName name="RESU">#REF!</definedName>
    <definedName name="resu8" localSheetId="11">[9]!resu8</definedName>
    <definedName name="resu8">[9]!resu8</definedName>
    <definedName name="resufi" localSheetId="11">#REF!</definedName>
    <definedName name="resufi">#REF!</definedName>
    <definedName name="resufi1" localSheetId="11">#REF!</definedName>
    <definedName name="resufi1">#REF!</definedName>
    <definedName name="resumen" localSheetId="11">#REF!</definedName>
    <definedName name="resumen">#REF!</definedName>
    <definedName name="resumen_final" localSheetId="11">#REF!</definedName>
    <definedName name="resumen_final">#REF!</definedName>
    <definedName name="resumen_final1" localSheetId="11">#REF!</definedName>
    <definedName name="resumen_final1">#REF!</definedName>
    <definedName name="Retenc">[50]BASES!$E$31</definedName>
    <definedName name="RETRO" localSheetId="8">[15]BASE2!$D$462</definedName>
    <definedName name="RETRO" localSheetId="9">[15]BASE2!$D$462</definedName>
    <definedName name="RETRO">'BASE 2'!$D$709</definedName>
    <definedName name="RETTRE" localSheetId="12" hidden="1">{"via1",#N/A,TRUE,"general";"via2",#N/A,TRUE,"general";"via3",#N/A,TRUE,"general"}</definedName>
    <definedName name="RETTRE" hidden="1">{"via1",#N/A,TRUE,"general";"via2",#N/A,TRUE,"general";"via3",#N/A,TRUE,"general"}</definedName>
    <definedName name="rety" localSheetId="12" hidden="1">{"TAB1",#N/A,TRUE,"GENERAL";"TAB2",#N/A,TRUE,"GENERAL";"TAB3",#N/A,TRUE,"GENERAL";"TAB4",#N/A,TRUE,"GENERAL";"TAB5",#N/A,TRUE,"GENERAL"}</definedName>
    <definedName name="rety" hidden="1">{"TAB1",#N/A,TRUE,"GENERAL";"TAB2",#N/A,TRUE,"GENERAL";"TAB3",#N/A,TRUE,"GENERAL";"TAB4",#N/A,TRUE,"GENERAL";"TAB5",#N/A,TRUE,"GENERAL"}</definedName>
    <definedName name="rewfreg" localSheetId="12" hidden="1">{"via1",#N/A,TRUE,"general";"via2",#N/A,TRUE,"general";"via3",#N/A,TRUE,"general"}</definedName>
    <definedName name="rewfreg" hidden="1">{"via1",#N/A,TRUE,"general";"via2",#N/A,TRUE,"general";"via3",#N/A,TRUE,"general"}</definedName>
    <definedName name="rewr" localSheetId="12" hidden="1">{"via1",#N/A,TRUE,"general";"via2",#N/A,TRUE,"general";"via3",#N/A,TRUE,"general"}</definedName>
    <definedName name="rewr" hidden="1">{"via1",#N/A,TRUE,"general";"via2",#N/A,TRUE,"general";"via3",#N/A,TRUE,"general"}</definedName>
    <definedName name="REWWER" localSheetId="12" hidden="1">{"TAB1",#N/A,TRUE,"GENERAL";"TAB2",#N/A,TRUE,"GENERAL";"TAB3",#N/A,TRUE,"GENERAL";"TAB4",#N/A,TRUE,"GENERAL";"TAB5",#N/A,TRUE,"GENERAL"}</definedName>
    <definedName name="REWWER" hidden="1">{"TAB1",#N/A,TRUE,"GENERAL";"TAB2",#N/A,TRUE,"GENERAL";"TAB3",#N/A,TRUE,"GENERAL";"TAB4",#N/A,TRUE,"GENERAL";"TAB5",#N/A,TRUE,"GENERAL"}</definedName>
    <definedName name="reyepoi" localSheetId="12" hidden="1">{"TAB1",#N/A,TRUE,"GENERAL";"TAB2",#N/A,TRUE,"GENERAL";"TAB3",#N/A,TRUE,"GENERAL";"TAB4",#N/A,TRUE,"GENERAL";"TAB5",#N/A,TRUE,"GENERAL"}</definedName>
    <definedName name="reyepoi" hidden="1">{"TAB1",#N/A,TRUE,"GENERAL";"TAB2",#N/A,TRUE,"GENERAL";"TAB3",#N/A,TRUE,"GENERAL";"TAB4",#N/A,TRUE,"GENERAL";"TAB5",#N/A,TRUE,"GENERAL"}</definedName>
    <definedName name="reyety" localSheetId="12" hidden="1">{"via1",#N/A,TRUE,"general";"via2",#N/A,TRUE,"general";"via3",#N/A,TRUE,"general"}</definedName>
    <definedName name="reyety" hidden="1">{"via1",#N/A,TRUE,"general";"via2",#N/A,TRUE,"general";"via3",#N/A,TRUE,"general"}</definedName>
    <definedName name="reyty" localSheetId="12" hidden="1">{"via1",#N/A,TRUE,"general";"via2",#N/A,TRUE,"general";"via3",#N/A,TRUE,"general"}</definedName>
    <definedName name="reyty" hidden="1">{"via1",#N/A,TRUE,"general";"via2",#N/A,TRUE,"general";"via3",#N/A,TRUE,"general"}</definedName>
    <definedName name="reyyt" localSheetId="12" hidden="1">{"via1",#N/A,TRUE,"general";"via2",#N/A,TRUE,"general";"via3",#N/A,TRUE,"general"}</definedName>
    <definedName name="reyyt" hidden="1">{"via1",#N/A,TRUE,"general";"via2",#N/A,TRUE,"general";"via3",#N/A,TRUE,"general"}</definedName>
    <definedName name="rfhnhjyu" localSheetId="12" hidden="1">{"TAB1",#N/A,TRUE,"GENERAL";"TAB2",#N/A,TRUE,"GENERAL";"TAB3",#N/A,TRUE,"GENERAL";"TAB4",#N/A,TRUE,"GENERAL";"TAB5",#N/A,TRUE,"GENERAL"}</definedName>
    <definedName name="rfhnhjyu" hidden="1">{"TAB1",#N/A,TRUE,"GENERAL";"TAB2",#N/A,TRUE,"GENERAL";"TAB3",#N/A,TRUE,"GENERAL";"TAB4",#N/A,TRUE,"GENERAL";"TAB5",#N/A,TRUE,"GENERAL"}</definedName>
    <definedName name="rfrf" localSheetId="12" hidden="1">{"via1",#N/A,TRUE,"general";"via2",#N/A,TRUE,"general";"via3",#N/A,TRUE,"general"}</definedName>
    <definedName name="rfrf" hidden="1">{"via1",#N/A,TRUE,"general";"via2",#N/A,TRUE,"general";"via3",#N/A,TRUE,"general"}</definedName>
    <definedName name="RFV" localSheetId="11">#REF!</definedName>
    <definedName name="RFV">#REF!</definedName>
    <definedName name="RG" localSheetId="11">#REF!</definedName>
    <definedName name="RG">#REF!</definedName>
    <definedName name="rge" localSheetId="12" hidden="1">{"via1",#N/A,TRUE,"general";"via2",#N/A,TRUE,"general";"via3",#N/A,TRUE,"general"}</definedName>
    <definedName name="rge" hidden="1">{"via1",#N/A,TRUE,"general";"via2",#N/A,TRUE,"general";"via3",#N/A,TRUE,"general"}</definedName>
    <definedName name="rgegg" localSheetId="12" hidden="1">{"via1",#N/A,TRUE,"general";"via2",#N/A,TRUE,"general";"via3",#N/A,TRUE,"general"}</definedName>
    <definedName name="rgegg" hidden="1">{"via1",#N/A,TRUE,"general";"via2",#N/A,TRUE,"general";"via3",#N/A,TRUE,"general"}</definedName>
    <definedName name="rhh" localSheetId="12" hidden="1">{"TAB1",#N/A,TRUE,"GENERAL";"TAB2",#N/A,TRUE,"GENERAL";"TAB3",#N/A,TRUE,"GENERAL";"TAB4",#N/A,TRUE,"GENERAL";"TAB5",#N/A,TRUE,"GENERAL"}</definedName>
    <definedName name="rhh" hidden="1">{"TAB1",#N/A,TRUE,"GENERAL";"TAB2",#N/A,TRUE,"GENERAL";"TAB3",#N/A,TRUE,"GENERAL";"TAB4",#N/A,TRUE,"GENERAL";"TAB5",#N/A,TRUE,"GENERAL"}</definedName>
    <definedName name="rhrtd" localSheetId="12" hidden="1">{"TAB1",#N/A,TRUE,"GENERAL";"TAB2",#N/A,TRUE,"GENERAL";"TAB3",#N/A,TRUE,"GENERAL";"TAB4",#N/A,TRUE,"GENERAL";"TAB5",#N/A,TRUE,"GENERAL"}</definedName>
    <definedName name="rhrtd" hidden="1">{"TAB1",#N/A,TRUE,"GENERAL";"TAB2",#N/A,TRUE,"GENERAL";"TAB3",#N/A,TRUE,"GENERAL";"TAB4",#N/A,TRUE,"GENERAL";"TAB5",#N/A,TRUE,"GENERAL"}</definedName>
    <definedName name="rhtry" localSheetId="12" hidden="1">{"TAB1",#N/A,TRUE,"GENERAL";"TAB2",#N/A,TRUE,"GENERAL";"TAB3",#N/A,TRUE,"GENERAL";"TAB4",#N/A,TRUE,"GENERAL";"TAB5",#N/A,TRUE,"GENERAL"}</definedName>
    <definedName name="rhtry" hidden="1">{"TAB1",#N/A,TRUE,"GENERAL";"TAB2",#N/A,TRUE,"GENERAL";"TAB3",#N/A,TRUE,"GENERAL";"TAB4",#N/A,TRUE,"GENERAL";"TAB5",#N/A,TRUE,"GENERAL"}</definedName>
    <definedName name="RID" localSheetId="11">[118]Ingenieria!#REF!</definedName>
    <definedName name="RID">[118]Ingenieria!#REF!</definedName>
    <definedName name="RISP" localSheetId="11">'[3]7422CW00'!#REF!</definedName>
    <definedName name="RISP">'[3]7422CW00'!#REF!</definedName>
    <definedName name="rj" localSheetId="12" hidden="1">{"TAB1",#N/A,TRUE,"GENERAL";"TAB2",#N/A,TRUE,"GENERAL";"TAB3",#N/A,TRUE,"GENERAL";"TAB4",#N/A,TRUE,"GENERAL";"TAB5",#N/A,TRUE,"GENERAL"}</definedName>
    <definedName name="rj" hidden="1">{"TAB1",#N/A,TRUE,"GENERAL";"TAB2",#N/A,TRUE,"GENERAL";"TAB3",#N/A,TRUE,"GENERAL";"TAB4",#N/A,TRUE,"GENERAL";"TAB5",#N/A,TRUE,"GENERAL"}</definedName>
    <definedName name="rjjth" localSheetId="12" hidden="1">{"TAB1",#N/A,TRUE,"GENERAL";"TAB2",#N/A,TRUE,"GENERAL";"TAB3",#N/A,TRUE,"GENERAL";"TAB4",#N/A,TRUE,"GENERAL";"TAB5",#N/A,TRUE,"GENERAL"}</definedName>
    <definedName name="rjjth" hidden="1">{"TAB1",#N/A,TRUE,"GENERAL";"TAB2",#N/A,TRUE,"GENERAL";"TAB3",#N/A,TRUE,"GENERAL";"TAB4",#N/A,TRUE,"GENERAL";"TAB5",#N/A,TRUE,"GENERAL"}</definedName>
    <definedName name="rjy" localSheetId="12" hidden="1">{"via1",#N/A,TRUE,"general";"via2",#N/A,TRUE,"general";"via3",#N/A,TRUE,"general"}</definedName>
    <definedName name="rjy" hidden="1">{"via1",#N/A,TRUE,"general";"via2",#N/A,TRUE,"general";"via3",#N/A,TRUE,"general"}</definedName>
    <definedName name="rkjyk" localSheetId="12" hidden="1">{"TAB1",#N/A,TRUE,"GENERAL";"TAB2",#N/A,TRUE,"GENERAL";"TAB3",#N/A,TRUE,"GENERAL";"TAB4",#N/A,TRUE,"GENERAL";"TAB5",#N/A,TRUE,"GENERAL"}</definedName>
    <definedName name="rkjyk" hidden="1">{"TAB1",#N/A,TRUE,"GENERAL";"TAB2",#N/A,TRUE,"GENERAL";"TAB3",#N/A,TRUE,"GENERAL";"TAB4",#N/A,TRUE,"GENERAL";"TAB5",#N/A,TRUE,"GENERAL"}</definedName>
    <definedName name="rkru" localSheetId="12" hidden="1">{"via1",#N/A,TRUE,"general";"via2",#N/A,TRUE,"general";"via3",#N/A,TRUE,"general"}</definedName>
    <definedName name="rkru" hidden="1">{"via1",#N/A,TRUE,"general";"via2",#N/A,TRUE,"general";"via3",#N/A,TRUE,"general"}</definedName>
    <definedName name="rky" localSheetId="12" hidden="1">{"TAB1",#N/A,TRUE,"GENERAL";"TAB2",#N/A,TRUE,"GENERAL";"TAB3",#N/A,TRUE,"GENERAL";"TAB4",#N/A,TRUE,"GENERAL";"TAB5",#N/A,TRUE,"GENERAL"}</definedName>
    <definedName name="rky" hidden="1">{"TAB1",#N/A,TRUE,"GENERAL";"TAB2",#N/A,TRUE,"GENERAL";"TAB3",#N/A,TRUE,"GENERAL";"TAB4",#N/A,TRUE,"GENERAL";"TAB5",#N/A,TRUE,"GENERAL"}</definedName>
    <definedName name="RLIGA" localSheetId="8">[15]BASE2!$D$516</definedName>
    <definedName name="RLIGA" localSheetId="9">[15]BASE2!$D$516</definedName>
    <definedName name="RLIGA">'BASE 2'!$D$765</definedName>
    <definedName name="rnf">[71]Datos!$D$12</definedName>
    <definedName name="Ro" localSheetId="11">#REF!,#REF!,#REF!</definedName>
    <definedName name="Ro">#REF!,#REF!,#REF!</definedName>
    <definedName name="rr" localSheetId="12">'Formulario No. 1'!ERR</definedName>
    <definedName name="rr">[0]!ERR</definedName>
    <definedName name="rrr" localSheetId="12" hidden="1">{"via1",#N/A,TRUE,"general";"via2",#N/A,TRUE,"general";"via3",#N/A,TRUE,"general"}</definedName>
    <definedName name="rrr" hidden="1">{"via1",#N/A,TRUE,"general";"via2",#N/A,TRUE,"general";"via3",#N/A,TRUE,"general"}</definedName>
    <definedName name="rrrr" localSheetId="11">'[119]Form5 _Pág_ 1'!#REF!</definedName>
    <definedName name="rrrr">'[119]Form5 _Pág_ 1'!#REF!</definedName>
    <definedName name="rrrrrb" localSheetId="12" hidden="1">{"via1",#N/A,TRUE,"general";"via2",#N/A,TRUE,"general";"via3",#N/A,TRUE,"general"}</definedName>
    <definedName name="rrrrrb" hidden="1">{"via1",#N/A,TRUE,"general";"via2",#N/A,TRUE,"general";"via3",#N/A,TRUE,"general"}</definedName>
    <definedName name="rrrrrrre" localSheetId="12" hidden="1">{"TAB1",#N/A,TRUE,"GENERAL";"TAB2",#N/A,TRUE,"GENERAL";"TAB3",#N/A,TRUE,"GENERAL";"TAB4",#N/A,TRUE,"GENERAL";"TAB5",#N/A,TRUE,"GENERAL"}</definedName>
    <definedName name="rrrrrrre" hidden="1">{"TAB1",#N/A,TRUE,"GENERAL";"TAB2",#N/A,TRUE,"GENERAL";"TAB3",#N/A,TRUE,"GENERAL";"TAB4",#N/A,TRUE,"GENERAL";"TAB5",#N/A,TRUE,"GENERAL"}</definedName>
    <definedName name="rrrrt" localSheetId="12" hidden="1">{"via1",#N/A,TRUE,"general";"via2",#N/A,TRUE,"general";"via3",#N/A,TRUE,"general"}</definedName>
    <definedName name="rrrrt" hidden="1">{"via1",#N/A,TRUE,"general";"via2",#N/A,TRUE,"general";"via3",#N/A,TRUE,"general"}</definedName>
    <definedName name="Rs" localSheetId="11">#REF!</definedName>
    <definedName name="Rs">#REF!</definedName>
    <definedName name="rsdgsd5" localSheetId="12" hidden="1">{"TAB1",#N/A,TRUE,"GENERAL";"TAB2",#N/A,TRUE,"GENERAL";"TAB3",#N/A,TRUE,"GENERAL";"TAB4",#N/A,TRUE,"GENERAL";"TAB5",#N/A,TRUE,"GENERAL"}</definedName>
    <definedName name="rsdgsd5" hidden="1">{"TAB1",#N/A,TRUE,"GENERAL";"TAB2",#N/A,TRUE,"GENERAL";"TAB3",#N/A,TRUE,"GENERAL";"TAB4",#N/A,TRUE,"GENERAL";"TAB5",#N/A,TRUE,"GENERAL"}</definedName>
    <definedName name="RSS" localSheetId="11">#REF!</definedName>
    <definedName name="RSS">#REF!</definedName>
    <definedName name="rt" localSheetId="12" hidden="1">{"TAB1",#N/A,TRUE,"GENERAL";"TAB2",#N/A,TRUE,"GENERAL";"TAB3",#N/A,TRUE,"GENERAL";"TAB4",#N/A,TRUE,"GENERAL";"TAB5",#N/A,TRUE,"GENERAL"}</definedName>
    <definedName name="rt" hidden="1">{"TAB1",#N/A,TRUE,"GENERAL";"TAB2",#N/A,TRUE,"GENERAL";"TAB3",#N/A,TRUE,"GENERAL";"TAB4",#N/A,TRUE,"GENERAL";"TAB5",#N/A,TRUE,"GENERAL"}</definedName>
    <definedName name="rte" localSheetId="12" hidden="1">{"TAB1",#N/A,TRUE,"GENERAL";"TAB2",#N/A,TRUE,"GENERAL";"TAB3",#N/A,TRUE,"GENERAL";"TAB4",#N/A,TRUE,"GENERAL";"TAB5",#N/A,TRUE,"GENERAL"}</definedName>
    <definedName name="rte" hidden="1">{"TAB1",#N/A,TRUE,"GENERAL";"TAB2",#N/A,TRUE,"GENERAL";"TAB3",#N/A,TRUE,"GENERAL";"TAB4",#N/A,TRUE,"GENERAL";"TAB5",#N/A,TRUE,"GENERAL"}</definedName>
    <definedName name="rteg" localSheetId="12" hidden="1">{"via1",#N/A,TRUE,"general";"via2",#N/A,TRUE,"general";"via3",#N/A,TRUE,"general"}</definedName>
    <definedName name="rteg" hidden="1">{"via1",#N/A,TRUE,"general";"via2",#N/A,TRUE,"general";"via3",#N/A,TRUE,"general"}</definedName>
    <definedName name="rtert" localSheetId="12" hidden="1">{"TAB1",#N/A,TRUE,"GENERAL";"TAB2",#N/A,TRUE,"GENERAL";"TAB3",#N/A,TRUE,"GENERAL";"TAB4",#N/A,TRUE,"GENERAL";"TAB5",#N/A,TRUE,"GENERAL"}</definedName>
    <definedName name="rtert" hidden="1">{"TAB1",#N/A,TRUE,"GENERAL";"TAB2",#N/A,TRUE,"GENERAL";"TAB3",#N/A,TRUE,"GENERAL";"TAB4",#N/A,TRUE,"GENERAL";"TAB5",#N/A,TRUE,"GENERAL"}</definedName>
    <definedName name="rtes" localSheetId="12" hidden="1">{"via1",#N/A,TRUE,"general";"via2",#N/A,TRUE,"general";"via3",#N/A,TRUE,"general"}</definedName>
    <definedName name="rtes" hidden="1">{"via1",#N/A,TRUE,"general";"via2",#N/A,TRUE,"general";"via3",#N/A,TRUE,"general"}</definedName>
    <definedName name="rtewth" localSheetId="12" hidden="1">{"TAB1",#N/A,TRUE,"GENERAL";"TAB2",#N/A,TRUE,"GENERAL";"TAB3",#N/A,TRUE,"GENERAL";"TAB4",#N/A,TRUE,"GENERAL";"TAB5",#N/A,TRUE,"GENERAL"}</definedName>
    <definedName name="rtewth" hidden="1">{"TAB1",#N/A,TRUE,"GENERAL";"TAB2",#N/A,TRUE,"GENERAL";"TAB3",#N/A,TRUE,"GENERAL";"TAB4",#N/A,TRUE,"GENERAL";"TAB5",#N/A,TRUE,"GENERAL"}</definedName>
    <definedName name="rthjtj" localSheetId="12" hidden="1">{"TAB1",#N/A,TRUE,"GENERAL";"TAB2",#N/A,TRUE,"GENERAL";"TAB3",#N/A,TRUE,"GENERAL";"TAB4",#N/A,TRUE,"GENERAL";"TAB5",#N/A,TRUE,"GENERAL"}</definedName>
    <definedName name="rthjtj" hidden="1">{"TAB1",#N/A,TRUE,"GENERAL";"TAB2",#N/A,TRUE,"GENERAL";"TAB3",#N/A,TRUE,"GENERAL";"TAB4",#N/A,TRUE,"GENERAL";"TAB5",#N/A,TRUE,"GENERAL"}</definedName>
    <definedName name="rthrthg" localSheetId="12" hidden="1">{"via1",#N/A,TRUE,"general";"via2",#N/A,TRUE,"general";"via3",#N/A,TRUE,"general"}</definedName>
    <definedName name="rthrthg" hidden="1">{"via1",#N/A,TRUE,"general";"via2",#N/A,TRUE,"general";"via3",#N/A,TRUE,"general"}</definedName>
    <definedName name="rthtrh" localSheetId="12" hidden="1">{"via1",#N/A,TRUE,"general";"via2",#N/A,TRUE,"general";"via3",#N/A,TRUE,"general"}</definedName>
    <definedName name="rthtrh" hidden="1">{"via1",#N/A,TRUE,"general";"via2",#N/A,TRUE,"general";"via3",#N/A,TRUE,"general"}</definedName>
    <definedName name="rtkk" localSheetId="12" hidden="1">{"via1",#N/A,TRUE,"general";"via2",#N/A,TRUE,"general";"via3",#N/A,TRUE,"general"}</definedName>
    <definedName name="rtkk" hidden="1">{"via1",#N/A,TRUE,"general";"via2",#N/A,TRUE,"general";"via3",#N/A,TRUE,"general"}</definedName>
    <definedName name="rttthy" localSheetId="12" hidden="1">{"via1",#N/A,TRUE,"general";"via2",#N/A,TRUE,"general";"via3",#N/A,TRUE,"general"}</definedName>
    <definedName name="rttthy" hidden="1">{"via1",#N/A,TRUE,"general";"via2",#N/A,TRUE,"general";"via3",#N/A,TRUE,"general"}</definedName>
    <definedName name="rtu" localSheetId="12" hidden="1">{"via1",#N/A,TRUE,"general";"via2",#N/A,TRUE,"general";"via3",#N/A,TRUE,"general"}</definedName>
    <definedName name="rtu" hidden="1">{"via1",#N/A,TRUE,"general";"via2",#N/A,TRUE,"general";"via3",#N/A,TRUE,"general"}</definedName>
    <definedName name="rtug" localSheetId="12" hidden="1">{"TAB1",#N/A,TRUE,"GENERAL";"TAB2",#N/A,TRUE,"GENERAL";"TAB3",#N/A,TRUE,"GENERAL";"TAB4",#N/A,TRUE,"GENERAL";"TAB5",#N/A,TRUE,"GENERAL"}</definedName>
    <definedName name="rtug" hidden="1">{"TAB1",#N/A,TRUE,"GENERAL";"TAB2",#N/A,TRUE,"GENERAL";"TAB3",#N/A,TRUE,"GENERAL";"TAB4",#N/A,TRUE,"GENERAL";"TAB5",#N/A,TRUE,"GENERAL"}</definedName>
    <definedName name="rtugsd" localSheetId="12" hidden="1">{"TAB1",#N/A,TRUE,"GENERAL";"TAB2",#N/A,TRUE,"GENERAL";"TAB3",#N/A,TRUE,"GENERAL";"TAB4",#N/A,TRUE,"GENERAL";"TAB5",#N/A,TRUE,"GENERAL"}</definedName>
    <definedName name="rtugsd" hidden="1">{"TAB1",#N/A,TRUE,"GENERAL";"TAB2",#N/A,TRUE,"GENERAL";"TAB3",#N/A,TRUE,"GENERAL";"TAB4",#N/A,TRUE,"GENERAL";"TAB5",#N/A,TRUE,"GENERAL"}</definedName>
    <definedName name="rturtu" localSheetId="12" hidden="1">{"via1",#N/A,TRUE,"general";"via2",#N/A,TRUE,"general";"via3",#N/A,TRUE,"general"}</definedName>
    <definedName name="rturtu" hidden="1">{"via1",#N/A,TRUE,"general";"via2",#N/A,TRUE,"general";"via3",#N/A,TRUE,"general"}</definedName>
    <definedName name="rturu" localSheetId="12" hidden="1">{"via1",#N/A,TRUE,"general";"via2",#N/A,TRUE,"general";"via3",#N/A,TRUE,"general"}</definedName>
    <definedName name="rturu" hidden="1">{"via1",#N/A,TRUE,"general";"via2",#N/A,TRUE,"general";"via3",#N/A,TRUE,"general"}</definedName>
    <definedName name="rtut" localSheetId="12" hidden="1">{"via1",#N/A,TRUE,"general";"via2",#N/A,TRUE,"general";"via3",#N/A,TRUE,"general"}</definedName>
    <definedName name="rtut" hidden="1">{"via1",#N/A,TRUE,"general";"via2",#N/A,TRUE,"general";"via3",#N/A,TRUE,"general"}</definedName>
    <definedName name="rtutru" localSheetId="12" hidden="1">{"via1",#N/A,TRUE,"general";"via2",#N/A,TRUE,"general";"via3",#N/A,TRUE,"general"}</definedName>
    <definedName name="rtutru" hidden="1">{"via1",#N/A,TRUE,"general";"via2",#N/A,TRUE,"general";"via3",#N/A,TRUE,"general"}</definedName>
    <definedName name="rtuy" localSheetId="12" hidden="1">{"via1",#N/A,TRUE,"general";"via2",#N/A,TRUE,"general";"via3",#N/A,TRUE,"general"}</definedName>
    <definedName name="rtuy" hidden="1">{"via1",#N/A,TRUE,"general";"via2",#N/A,TRUE,"general";"via3",#N/A,TRUE,"general"}</definedName>
    <definedName name="rtyhr" localSheetId="12" hidden="1">{"TAB1",#N/A,TRUE,"GENERAL";"TAB2",#N/A,TRUE,"GENERAL";"TAB3",#N/A,TRUE,"GENERAL";"TAB4",#N/A,TRUE,"GENERAL";"TAB5",#N/A,TRUE,"GENERAL"}</definedName>
    <definedName name="rtyhr" hidden="1">{"TAB1",#N/A,TRUE,"GENERAL";"TAB2",#N/A,TRUE,"GENERAL";"TAB3",#N/A,TRUE,"GENERAL";"TAB4",#N/A,TRUE,"GENERAL";"TAB5",#N/A,TRUE,"GENERAL"}</definedName>
    <definedName name="rtym" localSheetId="12" hidden="1">{"via1",#N/A,TRUE,"general";"via2",#N/A,TRUE,"general";"via3",#N/A,TRUE,"general"}</definedName>
    <definedName name="rtym" hidden="1">{"via1",#N/A,TRUE,"general";"via2",#N/A,TRUE,"general";"via3",#N/A,TRUE,"general"}</definedName>
    <definedName name="rtyrey" localSheetId="12" hidden="1">{"TAB1",#N/A,TRUE,"GENERAL";"TAB2",#N/A,TRUE,"GENERAL";"TAB3",#N/A,TRUE,"GENERAL";"TAB4",#N/A,TRUE,"GENERAL";"TAB5",#N/A,TRUE,"GENERAL"}</definedName>
    <definedName name="rtyrey" hidden="1">{"TAB1",#N/A,TRUE,"GENERAL";"TAB2",#N/A,TRUE,"GENERAL";"TAB3",#N/A,TRUE,"GENERAL";"TAB4",#N/A,TRUE,"GENERAL";"TAB5",#N/A,TRUE,"GENERAL"}</definedName>
    <definedName name="rtyrh" localSheetId="12" hidden="1">{"via1",#N/A,TRUE,"general";"via2",#N/A,TRUE,"general";"via3",#N/A,TRUE,"general"}</definedName>
    <definedName name="rtyrh" hidden="1">{"via1",#N/A,TRUE,"general";"via2",#N/A,TRUE,"general";"via3",#N/A,TRUE,"general"}</definedName>
    <definedName name="RTYRTY" localSheetId="12" hidden="1">{"via1",#N/A,TRUE,"general";"via2",#N/A,TRUE,"general";"via3",#N/A,TRUE,"general"}</definedName>
    <definedName name="RTYRTY" hidden="1">{"via1",#N/A,TRUE,"general";"via2",#N/A,TRUE,"general";"via3",#N/A,TRUE,"general"}</definedName>
    <definedName name="rtyt" localSheetId="12" hidden="1">{"TAB1",#N/A,TRUE,"GENERAL";"TAB2",#N/A,TRUE,"GENERAL";"TAB3",#N/A,TRUE,"GENERAL";"TAB4",#N/A,TRUE,"GENERAL";"TAB5",#N/A,TRUE,"GENERAL"}</definedName>
    <definedName name="rtyt" hidden="1">{"TAB1",#N/A,TRUE,"GENERAL";"TAB2",#N/A,TRUE,"GENERAL";"TAB3",#N/A,TRUE,"GENERAL";"TAB4",#N/A,TRUE,"GENERAL";"TAB5",#N/A,TRUE,"GENERAL"}</definedName>
    <definedName name="rtytry" localSheetId="12" hidden="1">{"via1",#N/A,TRUE,"general";"via2",#N/A,TRUE,"general";"via3",#N/A,TRUE,"general"}</definedName>
    <definedName name="rtytry" hidden="1">{"via1",#N/A,TRUE,"general";"via2",#N/A,TRUE,"general";"via3",#N/A,TRUE,"general"}</definedName>
    <definedName name="ruru" localSheetId="12" hidden="1">{"TAB1",#N/A,TRUE,"GENERAL";"TAB2",#N/A,TRUE,"GENERAL";"TAB3",#N/A,TRUE,"GENERAL";"TAB4",#N/A,TRUE,"GENERAL";"TAB5",#N/A,TRUE,"GENERAL"}</definedName>
    <definedName name="ruru" hidden="1">{"TAB1",#N/A,TRUE,"GENERAL";"TAB2",#N/A,TRUE,"GENERAL";"TAB3",#N/A,TRUE,"GENERAL";"TAB4",#N/A,TRUE,"GENERAL";"TAB5",#N/A,TRUE,"GENERAL"}</definedName>
    <definedName name="RUT" localSheetId="11">#REF!</definedName>
    <definedName name="RUT">#REF!</definedName>
    <definedName name="rutu" localSheetId="12" hidden="1">{"via1",#N/A,TRUE,"general";"via2",#N/A,TRUE,"general";"via3",#N/A,TRUE,"general"}</definedName>
    <definedName name="rutu" hidden="1">{"via1",#N/A,TRUE,"general";"via2",#N/A,TRUE,"general";"via3",#N/A,TRUE,"general"}</definedName>
    <definedName name="rwt" localSheetId="12" hidden="1">{"via1",#N/A,TRUE,"general";"via2",#N/A,TRUE,"general";"via3",#N/A,TRUE,"general"}</definedName>
    <definedName name="rwt" hidden="1">{"via1",#N/A,TRUE,"general";"via2",#N/A,TRUE,"general";"via3",#N/A,TRUE,"general"}</definedName>
    <definedName name="ry" localSheetId="12" hidden="1">{"via1",#N/A,TRUE,"general";"via2",#N/A,TRUE,"general";"via3",#N/A,TRUE,"general"}</definedName>
    <definedName name="ry" hidden="1">{"via1",#N/A,TRUE,"general";"via2",#N/A,TRUE,"general";"via3",#N/A,TRUE,"general"}</definedName>
    <definedName name="ryeryb" localSheetId="12" hidden="1">{"TAB1",#N/A,TRUE,"GENERAL";"TAB2",#N/A,TRUE,"GENERAL";"TAB3",#N/A,TRUE,"GENERAL";"TAB4",#N/A,TRUE,"GENERAL";"TAB5",#N/A,TRUE,"GENERAL"}</definedName>
    <definedName name="ryeryb" hidden="1">{"TAB1",#N/A,TRUE,"GENERAL";"TAB2",#N/A,TRUE,"GENERAL";"TAB3",#N/A,TRUE,"GENERAL";"TAB4",#N/A,TRUE,"GENERAL";"TAB5",#N/A,TRUE,"GENERAL"}</definedName>
    <definedName name="rytrsdg" localSheetId="12" hidden="1">{"via1",#N/A,TRUE,"general";"via2",#N/A,TRUE,"general";"via3",#N/A,TRUE,"general"}</definedName>
    <definedName name="rytrsdg" hidden="1">{"via1",#N/A,TRUE,"general";"via2",#N/A,TRUE,"general";"via3",#N/A,TRUE,"general"}</definedName>
    <definedName name="s" localSheetId="12">'Formulario No. 1'!ERR</definedName>
    <definedName name="s">[0]!ERR</definedName>
    <definedName name="saa" localSheetId="12" hidden="1">{"via1",#N/A,TRUE,"general";"via2",#N/A,TRUE,"general";"via3",#N/A,TRUE,"general"}</definedName>
    <definedName name="saa" hidden="1">{"via1",#N/A,TRUE,"general";"via2",#N/A,TRUE,"general";"via3",#N/A,TRUE,"general"}</definedName>
    <definedName name="SAD" localSheetId="12" hidden="1">{"via1",#N/A,TRUE,"general";"via2",#N/A,TRUE,"general";"via3",#N/A,TRUE,"general"}</definedName>
    <definedName name="SAD" hidden="1">{"via1",#N/A,TRUE,"general";"via2",#N/A,TRUE,"general";"via3",#N/A,TRUE,"general"}</definedName>
    <definedName name="SADF" localSheetId="12" hidden="1">{"via1",#N/A,TRUE,"general";"via2",#N/A,TRUE,"general";"via3",#N/A,TRUE,"general"}</definedName>
    <definedName name="SADF" hidden="1">{"via1",#N/A,TRUE,"general";"via2",#N/A,TRUE,"general";"via3",#N/A,TRUE,"general"}</definedName>
    <definedName name="sadff" localSheetId="12" hidden="1">{"TAB1",#N/A,TRUE,"GENERAL";"TAB2",#N/A,TRUE,"GENERAL";"TAB3",#N/A,TRUE,"GENERAL";"TAB4",#N/A,TRUE,"GENERAL";"TAB5",#N/A,TRUE,"GENERAL"}</definedName>
    <definedName name="sadff" hidden="1">{"TAB1",#N/A,TRUE,"GENERAL";"TAB2",#N/A,TRUE,"GENERAL";"TAB3",#N/A,TRUE,"GENERAL";"TAB4",#N/A,TRUE,"GENERAL";"TAB5",#N/A,TRUE,"GENERAL"}</definedName>
    <definedName name="sadfo" localSheetId="12" hidden="1">{"via1",#N/A,TRUE,"general";"via2",#N/A,TRUE,"general";"via3",#N/A,TRUE,"general"}</definedName>
    <definedName name="sadfo" hidden="1">{"via1",#N/A,TRUE,"general";"via2",#N/A,TRUE,"general";"via3",#N/A,TRUE,"general"}</definedName>
    <definedName name="safdp" localSheetId="12" hidden="1">{"TAB1",#N/A,TRUE,"GENERAL";"TAB2",#N/A,TRUE,"GENERAL";"TAB3",#N/A,TRUE,"GENERAL";"TAB4",#N/A,TRUE,"GENERAL";"TAB5",#N/A,TRUE,"GENERAL"}</definedName>
    <definedName name="safdp" hidden="1">{"TAB1",#N/A,TRUE,"GENERAL";"TAB2",#N/A,TRUE,"GENERAL";"TAB3",#N/A,TRUE,"GENERAL";"TAB4",#N/A,TRUE,"GENERAL";"TAB5",#N/A,TRUE,"GENERAL"}</definedName>
    <definedName name="salarios" localSheetId="12">'Formulario No. 1'!ERR</definedName>
    <definedName name="salarios">[0]!ERR</definedName>
    <definedName name="SalConv">'[10]DATOS CONTRATO'!$G$14</definedName>
    <definedName name="SALID1" localSheetId="11">#REF!</definedName>
    <definedName name="SALID1">#REF!</definedName>
    <definedName name="SalMinimo">[50]BASES!$E$41</definedName>
    <definedName name="sbgfbgdr" localSheetId="12" hidden="1">{"via1",#N/A,TRUE,"general";"via2",#N/A,TRUE,"general";"via3",#N/A,TRUE,"general"}</definedName>
    <definedName name="sbgfbgdr" hidden="1">{"via1",#N/A,TRUE,"general";"via2",#N/A,TRUE,"general";"via3",#N/A,TRUE,"general"}</definedName>
    <definedName name="SBS" localSheetId="11">#REF!</definedName>
    <definedName name="SBS">#REF!</definedName>
    <definedName name="Sched_Pay" localSheetId="11">#REF!</definedName>
    <definedName name="Sched_Pay">#REF!</definedName>
    <definedName name="Scheduled_Extra_Payments" localSheetId="11">#REF!</definedName>
    <definedName name="Scheduled_Extra_Payments">#REF!</definedName>
    <definedName name="Scheduled_Interest_Rate" localSheetId="11">#REF!</definedName>
    <definedName name="Scheduled_Interest_Rate">#REF!</definedName>
    <definedName name="Scheduled_Monthly_Payment" localSheetId="11">#REF!</definedName>
    <definedName name="Scheduled_Monthly_Payment">#REF!</definedName>
    <definedName name="sd" localSheetId="12" hidden="1">{"TAB1",#N/A,TRUE,"GENERAL";"TAB2",#N/A,TRUE,"GENERAL";"TAB3",#N/A,TRUE,"GENERAL";"TAB4",#N/A,TRUE,"GENERAL";"TAB5",#N/A,TRUE,"GENERAL"}</definedName>
    <definedName name="sd" hidden="1">{"TAB1",#N/A,TRUE,"GENERAL";"TAB2",#N/A,TRUE,"GENERAL";"TAB3",#N/A,TRUE,"GENERAL";"TAB4",#N/A,TRUE,"GENERAL";"TAB5",#N/A,TRUE,"GENERAL"}</definedName>
    <definedName name="sdaf" localSheetId="12" hidden="1">{"via1",#N/A,TRUE,"general";"via2",#N/A,TRUE,"general";"via3",#N/A,TRUE,"general"}</definedName>
    <definedName name="sdaf" hidden="1">{"via1",#N/A,TRUE,"general";"via2",#N/A,TRUE,"general";"via3",#N/A,TRUE,"general"}</definedName>
    <definedName name="sdas" localSheetId="12" hidden="1">{"via1",#N/A,TRUE,"general";"via2",#N/A,TRUE,"general";"via3",#N/A,TRUE,"general"}</definedName>
    <definedName name="sdas" hidden="1">{"via1",#N/A,TRUE,"general";"via2",#N/A,TRUE,"general";"via3",#N/A,TRUE,"general"}</definedName>
    <definedName name="sdasdf" localSheetId="12" hidden="1">{"via1",#N/A,TRUE,"general";"via2",#N/A,TRUE,"general";"via3",#N/A,TRUE,"general"}</definedName>
    <definedName name="sdasdf" hidden="1">{"via1",#N/A,TRUE,"general";"via2",#N/A,TRUE,"general";"via3",#N/A,TRUE,"general"}</definedName>
    <definedName name="SDCDSCT" localSheetId="12" hidden="1">{"TAB1",#N/A,TRUE,"GENERAL";"TAB2",#N/A,TRUE,"GENERAL";"TAB3",#N/A,TRUE,"GENERAL";"TAB4",#N/A,TRUE,"GENERAL";"TAB5",#N/A,TRUE,"GENERAL"}</definedName>
    <definedName name="SDCDSCT" hidden="1">{"TAB1",#N/A,TRUE,"GENERAL";"TAB2",#N/A,TRUE,"GENERAL";"TAB3",#N/A,TRUE,"GENERAL";"TAB4",#N/A,TRUE,"GENERAL";"TAB5",#N/A,TRUE,"GENERAL"}</definedName>
    <definedName name="SDDSAFF" hidden="1">{#N/A,#N/A,TRUE,"1842CWN0"}</definedName>
    <definedName name="SDFCE" localSheetId="12" hidden="1">{"TAB1",#N/A,TRUE,"GENERAL";"TAB2",#N/A,TRUE,"GENERAL";"TAB3",#N/A,TRUE,"GENERAL";"TAB4",#N/A,TRUE,"GENERAL";"TAB5",#N/A,TRUE,"GENERAL"}</definedName>
    <definedName name="SDFCE" hidden="1">{"TAB1",#N/A,TRUE,"GENERAL";"TAB2",#N/A,TRUE,"GENERAL";"TAB3",#N/A,TRUE,"GENERAL";"TAB4",#N/A,TRUE,"GENERAL";"TAB5",#N/A,TRUE,"GENERAL"}</definedName>
    <definedName name="sdfd" localSheetId="12" hidden="1">{"via1",#N/A,TRUE,"general";"via2",#N/A,TRUE,"general";"via3",#N/A,TRUE,"general"}</definedName>
    <definedName name="sdfd" hidden="1">{"via1",#N/A,TRUE,"general";"via2",#N/A,TRUE,"general";"via3",#N/A,TRUE,"general"}</definedName>
    <definedName name="SDFDG" hidden="1">{#N/A,#N/A,TRUE,"1842CWN0"}</definedName>
    <definedName name="sdfds" localSheetId="12" hidden="1">{"via1",#N/A,TRUE,"general";"via2",#N/A,TRUE,"general";"via3",#N/A,TRUE,"general"}</definedName>
    <definedName name="sdfds" hidden="1">{"via1",#N/A,TRUE,"general";"via2",#N/A,TRUE,"general";"via3",#N/A,TRUE,"general"}</definedName>
    <definedName name="SDFDSO" localSheetId="12" hidden="1">{"via1",#N/A,TRUE,"general";"via2",#N/A,TRUE,"general";"via3",#N/A,TRUE,"general"}</definedName>
    <definedName name="SDFDSO" hidden="1">{"via1",#N/A,TRUE,"general";"via2",#N/A,TRUE,"general";"via3",#N/A,TRUE,"general"}</definedName>
    <definedName name="sdfdstp" localSheetId="12" hidden="1">{"TAB1",#N/A,TRUE,"GENERAL";"TAB2",#N/A,TRUE,"GENERAL";"TAB3",#N/A,TRUE,"GENERAL";"TAB4",#N/A,TRUE,"GENERAL";"TAB5",#N/A,TRUE,"GENERAL"}</definedName>
    <definedName name="sdfdstp" hidden="1">{"TAB1",#N/A,TRUE,"GENERAL";"TAB2",#N/A,TRUE,"GENERAL";"TAB3",#N/A,TRUE,"GENERAL";"TAB4",#N/A,TRUE,"GENERAL";"TAB5",#N/A,TRUE,"GENERAL"}</definedName>
    <definedName name="SDFEO" localSheetId="12" hidden="1">{"via1",#N/A,TRUE,"general";"via2",#N/A,TRUE,"general";"via3",#N/A,TRUE,"general"}</definedName>
    <definedName name="SDFEO" hidden="1">{"via1",#N/A,TRUE,"general";"via2",#N/A,TRUE,"general";"via3",#N/A,TRUE,"general"}</definedName>
    <definedName name="sdfg" localSheetId="12" hidden="1">{"TAB1",#N/A,TRUE,"GENERAL";"TAB2",#N/A,TRUE,"GENERAL";"TAB3",#N/A,TRUE,"GENERAL";"TAB4",#N/A,TRUE,"GENERAL";"TAB5",#N/A,TRUE,"GENERAL"}</definedName>
    <definedName name="sdfg" hidden="1">{"TAB1",#N/A,TRUE,"GENERAL";"TAB2",#N/A,TRUE,"GENERAL";"TAB3",#N/A,TRUE,"GENERAL";"TAB4",#N/A,TRUE,"GENERAL";"TAB5",#N/A,TRUE,"GENERAL"}</definedName>
    <definedName name="sdfgdsfk" localSheetId="12" hidden="1">{"via1",#N/A,TRUE,"general";"via2",#N/A,TRUE,"general";"via3",#N/A,TRUE,"general"}</definedName>
    <definedName name="sdfgdsfk" hidden="1">{"via1",#N/A,TRUE,"general";"via2",#N/A,TRUE,"general";"via3",#N/A,TRUE,"general"}</definedName>
    <definedName name="sdfgsg" localSheetId="12" hidden="1">{"via1",#N/A,TRUE,"general";"via2",#N/A,TRUE,"general";"via3",#N/A,TRUE,"general"}</definedName>
    <definedName name="sdfgsg" hidden="1">{"via1",#N/A,TRUE,"general";"via2",#N/A,TRUE,"general";"via3",#N/A,TRUE,"general"}</definedName>
    <definedName name="SDFLJK" localSheetId="12" hidden="1">{"TAB1",#N/A,TRUE,"GENERAL";"TAB2",#N/A,TRUE,"GENERAL";"TAB3",#N/A,TRUE,"GENERAL";"TAB4",#N/A,TRUE,"GENERAL";"TAB5",#N/A,TRUE,"GENERAL"}</definedName>
    <definedName name="SDFLJK" hidden="1">{"TAB1",#N/A,TRUE,"GENERAL";"TAB2",#N/A,TRUE,"GENERAL";"TAB3",#N/A,TRUE,"GENERAL";"TAB4",#N/A,TRUE,"GENERAL";"TAB5",#N/A,TRUE,"GENERAL"}</definedName>
    <definedName name="sdfsd" localSheetId="11">#REF!</definedName>
    <definedName name="sdfsd">#REF!</definedName>
    <definedName name="sdfsd4" localSheetId="12" hidden="1">{"via1",#N/A,TRUE,"general";"via2",#N/A,TRUE,"general";"via3",#N/A,TRUE,"general"}</definedName>
    <definedName name="sdfsd4" hidden="1">{"via1",#N/A,TRUE,"general";"via2",#N/A,TRUE,"general";"via3",#N/A,TRUE,"general"}</definedName>
    <definedName name="SDFSDF" localSheetId="12" hidden="1">{"TAB1",#N/A,TRUE,"GENERAL";"TAB2",#N/A,TRUE,"GENERAL";"TAB3",#N/A,TRUE,"GENERAL";"TAB4",#N/A,TRUE,"GENERAL";"TAB5",#N/A,TRUE,"GENERAL"}</definedName>
    <definedName name="SDFSDF" hidden="1">{"TAB1",#N/A,TRUE,"GENERAL";"TAB2",#N/A,TRUE,"GENERAL";"TAB3",#N/A,TRUE,"GENERAL";"TAB4",#N/A,TRUE,"GENERAL";"TAB5",#N/A,TRUE,"GENERAL"}</definedName>
    <definedName name="sdfsdfb" localSheetId="12" hidden="1">{"via1",#N/A,TRUE,"general";"via2",#N/A,TRUE,"general";"via3",#N/A,TRUE,"general"}</definedName>
    <definedName name="sdfsdfb" hidden="1">{"via1",#N/A,TRUE,"general";"via2",#N/A,TRUE,"general";"via3",#N/A,TRUE,"general"}</definedName>
    <definedName name="sdfsdgg" hidden="1">{#N/A,#N/A,TRUE,"INGENIERIA";#N/A,#N/A,TRUE,"COMPRAS";#N/A,#N/A,TRUE,"DIRECCION";#N/A,#N/A,TRUE,"RESUMEN"}</definedName>
    <definedName name="SDFSF" localSheetId="12" hidden="1">{"TAB1",#N/A,TRUE,"GENERAL";"TAB2",#N/A,TRUE,"GENERAL";"TAB3",#N/A,TRUE,"GENERAL";"TAB4",#N/A,TRUE,"GENERAL";"TAB5",#N/A,TRUE,"GENERAL"}</definedName>
    <definedName name="SDFSF" hidden="1">{"TAB1",#N/A,TRUE,"GENERAL";"TAB2",#N/A,TRUE,"GENERAL";"TAB3",#N/A,TRUE,"GENERAL";"TAB4",#N/A,TRUE,"GENERAL";"TAB5",#N/A,TRUE,"GENERAL"}</definedName>
    <definedName name="sdfsv" localSheetId="12" hidden="1">{"TAB1",#N/A,TRUE,"GENERAL";"TAB2",#N/A,TRUE,"GENERAL";"TAB3",#N/A,TRUE,"GENERAL";"TAB4",#N/A,TRUE,"GENERAL";"TAB5",#N/A,TRUE,"GENERAL"}</definedName>
    <definedName name="sdfsv" hidden="1">{"TAB1",#N/A,TRUE,"GENERAL";"TAB2",#N/A,TRUE,"GENERAL";"TAB3",#N/A,TRUE,"GENERAL";"TAB4",#N/A,TRUE,"GENERAL";"TAB5",#N/A,TRUE,"GENERAL"}</definedName>
    <definedName name="sdgfd" localSheetId="12" hidden="1">{"TAB1",#N/A,TRUE,"GENERAL";"TAB2",#N/A,TRUE,"GENERAL";"TAB3",#N/A,TRUE,"GENERAL";"TAB4",#N/A,TRUE,"GENERAL";"TAB5",#N/A,TRUE,"GENERAL"}</definedName>
    <definedName name="sdgfd" hidden="1">{"TAB1",#N/A,TRUE,"GENERAL";"TAB2",#N/A,TRUE,"GENERAL";"TAB3",#N/A,TRUE,"GENERAL";"TAB4",#N/A,TRUE,"GENERAL";"TAB5",#N/A,TRUE,"GENERAL"}</definedName>
    <definedName name="sdgfgp" localSheetId="12" hidden="1">{"via1",#N/A,TRUE,"general";"via2",#N/A,TRUE,"general";"via3",#N/A,TRUE,"general"}</definedName>
    <definedName name="sdgfgp" hidden="1">{"via1",#N/A,TRUE,"general";"via2",#N/A,TRUE,"general";"via3",#N/A,TRUE,"general"}</definedName>
    <definedName name="sdgfiu" localSheetId="12" hidden="1">{"via1",#N/A,TRUE,"general";"via2",#N/A,TRUE,"general";"via3",#N/A,TRUE,"general"}</definedName>
    <definedName name="sdgfiu" hidden="1">{"via1",#N/A,TRUE,"general";"via2",#N/A,TRUE,"general";"via3",#N/A,TRUE,"general"}</definedName>
    <definedName name="sdgsd" localSheetId="12" hidden="1">{"TAB1",#N/A,TRUE,"GENERAL";"TAB2",#N/A,TRUE,"GENERAL";"TAB3",#N/A,TRUE,"GENERAL";"TAB4",#N/A,TRUE,"GENERAL";"TAB5",#N/A,TRUE,"GENERAL"}</definedName>
    <definedName name="sdgsd" hidden="1">{"TAB1",#N/A,TRUE,"GENERAL";"TAB2",#N/A,TRUE,"GENERAL";"TAB3",#N/A,TRUE,"GENERAL";"TAB4",#N/A,TRUE,"GENERAL";"TAB5",#N/A,TRUE,"GENERAL"}</definedName>
    <definedName name="sdgsg" localSheetId="12" hidden="1">{"via1",#N/A,TRUE,"general";"via2",#N/A,TRUE,"general";"via3",#N/A,TRUE,"general"}</definedName>
    <definedName name="sdgsg" hidden="1">{"via1",#N/A,TRUE,"general";"via2",#N/A,TRUE,"general";"via3",#N/A,TRUE,"general"}</definedName>
    <definedName name="SDIKOM" localSheetId="12" hidden="1">{"TAB1",#N/A,TRUE,"GENERAL";"TAB2",#N/A,TRUE,"GENERAL";"TAB3",#N/A,TRUE,"GENERAL";"TAB4",#N/A,TRUE,"GENERAL";"TAB5",#N/A,TRUE,"GENERAL"}</definedName>
    <definedName name="SDIKOM" hidden="1">{"TAB1",#N/A,TRUE,"GENERAL";"TAB2",#N/A,TRUE,"GENERAL";"TAB3",#N/A,TRUE,"GENERAL";"TAB4",#N/A,TRUE,"GENERAL";"TAB5",#N/A,TRUE,"GENERAL"}</definedName>
    <definedName name="sdsdfh" localSheetId="12" hidden="1">{"via1",#N/A,TRUE,"general";"via2",#N/A,TRUE,"general";"via3",#N/A,TRUE,"general"}</definedName>
    <definedName name="sdsdfh" hidden="1">{"via1",#N/A,TRUE,"general";"via2",#N/A,TRUE,"general";"via3",#N/A,TRUE,"general"}</definedName>
    <definedName name="sdsdfsdff" hidden="1">{#N/A,#N/A,TRUE,"1842CWN0"}</definedName>
    <definedName name="SECTOR" localSheetId="11">#REF!</definedName>
    <definedName name="SECTOR" localSheetId="12">#REF!</definedName>
    <definedName name="SECTOR">#REF!</definedName>
    <definedName name="SEMANA_C3" localSheetId="11">#REF!</definedName>
    <definedName name="SEMANA_C3">#REF!</definedName>
    <definedName name="sena">[71]Hoja1!$C$14</definedName>
    <definedName name="SERO" localSheetId="12">'Formulario No. 1'!ERR</definedName>
    <definedName name="SERO">[0]!ERR</definedName>
    <definedName name="setrj" localSheetId="12" hidden="1">{"via1",#N/A,TRUE,"general";"via2",#N/A,TRUE,"general";"via3",#N/A,TRUE,"general"}</definedName>
    <definedName name="setrj" hidden="1">{"via1",#N/A,TRUE,"general";"via2",#N/A,TRUE,"general";"via3",#N/A,TRUE,"general"}</definedName>
    <definedName name="sett" localSheetId="12" hidden="1">{"via1",#N/A,TRUE,"general";"via2",#N/A,TRUE,"general";"via3",#N/A,TRUE,"general"}</definedName>
    <definedName name="sett" hidden="1">{"via1",#N/A,TRUE,"general";"via2",#N/A,TRUE,"general";"via3",#N/A,TRUE,"general"}</definedName>
    <definedName name="sf">[71]Hoja1!$C$12</definedName>
    <definedName name="sfasf" localSheetId="12" hidden="1">{"TAB1",#N/A,TRUE,"GENERAL";"TAB2",#N/A,TRUE,"GENERAL";"TAB3",#N/A,TRUE,"GENERAL";"TAB4",#N/A,TRUE,"GENERAL";"TAB5",#N/A,TRUE,"GENERAL"}</definedName>
    <definedName name="sfasf" hidden="1">{"TAB1",#N/A,TRUE,"GENERAL";"TAB2",#N/A,TRUE,"GENERAL";"TAB3",#N/A,TRUE,"GENERAL";"TAB4",#N/A,TRUE,"GENERAL";"TAB5",#N/A,TRUE,"GENERAL"}</definedName>
    <definedName name="SFHSGFH" localSheetId="12" hidden="1">{"TAB1",#N/A,TRUE,"GENERAL";"TAB2",#N/A,TRUE,"GENERAL";"TAB3",#N/A,TRUE,"GENERAL";"TAB4",#N/A,TRUE,"GENERAL";"TAB5",#N/A,TRUE,"GENERAL"}</definedName>
    <definedName name="SFHSGFH" hidden="1">{"TAB1",#N/A,TRUE,"GENERAL";"TAB2",#N/A,TRUE,"GENERAL";"TAB3",#N/A,TRUE,"GENERAL";"TAB4",#N/A,TRUE,"GENERAL";"TAB5",#N/A,TRUE,"GENERAL"}</definedName>
    <definedName name="sfsd" localSheetId="12" hidden="1">{"via1",#N/A,TRUE,"general";"via2",#N/A,TRUE,"general";"via3",#N/A,TRUE,"general"}</definedName>
    <definedName name="sfsd" hidden="1">{"via1",#N/A,TRUE,"general";"via2",#N/A,TRUE,"general";"via3",#N/A,TRUE,"general"}</definedName>
    <definedName name="sfsdf" localSheetId="12" hidden="1">{"TAB1",#N/A,TRUE,"GENERAL";"TAB2",#N/A,TRUE,"GENERAL";"TAB3",#N/A,TRUE,"GENERAL";"TAB4",#N/A,TRUE,"GENERAL";"TAB5",#N/A,TRUE,"GENERAL"}</definedName>
    <definedName name="sfsdf" hidden="1">{"TAB1",#N/A,TRUE,"GENERAL";"TAB2",#N/A,TRUE,"GENERAL";"TAB3",#N/A,TRUE,"GENERAL";"TAB4",#N/A,TRUE,"GENERAL";"TAB5",#N/A,TRUE,"GENERAL"}</definedName>
    <definedName name="sfsdferg" localSheetId="12" hidden="1">{"TAB1",#N/A,TRUE,"GENERAL";"TAB2",#N/A,TRUE,"GENERAL";"TAB3",#N/A,TRUE,"GENERAL";"TAB4",#N/A,TRUE,"GENERAL";"TAB5",#N/A,TRUE,"GENERAL"}</definedName>
    <definedName name="sfsdferg" hidden="1">{"TAB1",#N/A,TRUE,"GENERAL";"TAB2",#N/A,TRUE,"GENERAL";"TAB3",#N/A,TRUE,"GENERAL";"TAB4",#N/A,TRUE,"GENERAL";"TAB5",#N/A,TRUE,"GENERAL"}</definedName>
    <definedName name="sfsdfs" localSheetId="12" hidden="1">{"TAB1",#N/A,TRUE,"GENERAL";"TAB2",#N/A,TRUE,"GENERAL";"TAB3",#N/A,TRUE,"GENERAL";"TAB4",#N/A,TRUE,"GENERAL";"TAB5",#N/A,TRUE,"GENERAL"}</definedName>
    <definedName name="sfsdfs" hidden="1">{"TAB1",#N/A,TRUE,"GENERAL";"TAB2",#N/A,TRUE,"GENERAL";"TAB3",#N/A,TRUE,"GENERAL";"TAB4",#N/A,TRUE,"GENERAL";"TAB5",#N/A,TRUE,"GENERAL"}</definedName>
    <definedName name="SHEE_INT" localSheetId="11">[61]steel!#REF!</definedName>
    <definedName name="SHEE_INT">[61]steel!#REF!</definedName>
    <definedName name="SHEET" localSheetId="11">'[3]7422CW00'!#REF!</definedName>
    <definedName name="SHEET">'[3]7422CW00'!#REF!</definedName>
    <definedName name="SHEET_KP">[61]steel!$C$7:$L$47</definedName>
    <definedName name="SHEET_MR">[61]steel!$C$7:$J$47</definedName>
    <definedName name="SHEET1" localSheetId="11">#REF!</definedName>
    <definedName name="SHEET1">#REF!</definedName>
    <definedName name="SHEET10" localSheetId="11">#REF!</definedName>
    <definedName name="SHEET10">#REF!</definedName>
    <definedName name="SHEET11" localSheetId="11">#REF!</definedName>
    <definedName name="SHEET11">#REF!</definedName>
    <definedName name="SHEET12" localSheetId="11">#REF!</definedName>
    <definedName name="SHEET12">#REF!</definedName>
    <definedName name="SHEET13" localSheetId="11">#REF!</definedName>
    <definedName name="SHEET13">#REF!</definedName>
    <definedName name="SHEET14" localSheetId="11">#REF!</definedName>
    <definedName name="SHEET14">#REF!</definedName>
    <definedName name="SHEET15" localSheetId="11">#REF!</definedName>
    <definedName name="SHEET15">#REF!</definedName>
    <definedName name="SHEET16" localSheetId="11">#REF!</definedName>
    <definedName name="SHEET16">#REF!</definedName>
    <definedName name="SHEET17" localSheetId="11">#REF!</definedName>
    <definedName name="SHEET17">#REF!</definedName>
    <definedName name="SHEET18" localSheetId="11">#REF!</definedName>
    <definedName name="SHEET18">#REF!</definedName>
    <definedName name="SHEET19" localSheetId="11">#REF!</definedName>
    <definedName name="SHEET19">#REF!</definedName>
    <definedName name="SHEET2" localSheetId="11">#REF!</definedName>
    <definedName name="SHEET2">#REF!</definedName>
    <definedName name="SHEET20" localSheetId="11">#REF!</definedName>
    <definedName name="SHEET20">#REF!</definedName>
    <definedName name="SHEET21" localSheetId="11">#REF!</definedName>
    <definedName name="SHEET21">#REF!</definedName>
    <definedName name="SHEET22" localSheetId="11">#REF!</definedName>
    <definedName name="SHEET22">#REF!</definedName>
    <definedName name="SHEET23" localSheetId="11">#REF!</definedName>
    <definedName name="SHEET23">#REF!</definedName>
    <definedName name="SHEET24" localSheetId="11">#REF!</definedName>
    <definedName name="SHEET24">#REF!</definedName>
    <definedName name="SHEET25" localSheetId="11">#REF!</definedName>
    <definedName name="SHEET25">#REF!</definedName>
    <definedName name="SHEET26" localSheetId="11">#REF!</definedName>
    <definedName name="SHEET26">#REF!</definedName>
    <definedName name="SHEET3" localSheetId="11">#REF!</definedName>
    <definedName name="SHEET3">#REF!</definedName>
    <definedName name="SHEET4" localSheetId="11">#REF!</definedName>
    <definedName name="SHEET4">#REF!</definedName>
    <definedName name="SHEET5" localSheetId="11">#REF!</definedName>
    <definedName name="SHEET5">#REF!</definedName>
    <definedName name="SHEET6" localSheetId="11">#REF!</definedName>
    <definedName name="SHEET6">#REF!</definedName>
    <definedName name="SHEET7" localSheetId="11">#REF!</definedName>
    <definedName name="SHEET7">#REF!</definedName>
    <definedName name="SHEET8" localSheetId="11">#REF!</definedName>
    <definedName name="SHEET8">#REF!</definedName>
    <definedName name="SHEET9" localSheetId="11">#REF!</definedName>
    <definedName name="SHEET9">#REF!</definedName>
    <definedName name="SI" localSheetId="12">'Formulario No. 1'!ERR</definedName>
    <definedName name="SI">[0]!ERR</definedName>
    <definedName name="SIKAD">'BASE 2'!$D$761</definedName>
    <definedName name="SINGOLO" localSheetId="11">'[3]7422CW00'!#REF!</definedName>
    <definedName name="SINGOLO">'[3]7422CW00'!#REF!</definedName>
    <definedName name="SISISIS" localSheetId="12">'Formulario No. 1'!ERR</definedName>
    <definedName name="SISISIS">[0]!ERR</definedName>
    <definedName name="SLPVC">'BASE 2'!$D$409</definedName>
    <definedName name="Smlv">'[10]DATOS CONTRATO'!$I$9</definedName>
    <definedName name="smlv01">[56]CONTRATO!$I$9</definedName>
    <definedName name="smlv2001">[56]CONTRATO!$H$9</definedName>
    <definedName name="SMML">'[82]ASPECTOS TECNICOS'!$O$12:$P$32</definedName>
    <definedName name="SMMLV" localSheetId="8">[15]PRESTA!$C$11</definedName>
    <definedName name="SMMLV" localSheetId="9">[15]PRESTA!$C$11</definedName>
    <definedName name="SMMLV">PRESTA!$C$9</definedName>
    <definedName name="SN">[10]EMPRESA!$G$29</definedName>
    <definedName name="SOLD._4_" localSheetId="11">#REF!</definedName>
    <definedName name="SOLD._4_">#REF!</definedName>
    <definedName name="SOLD._6_" localSheetId="11">#REF!</definedName>
    <definedName name="SOLD._6_">#REF!</definedName>
    <definedName name="SOLD._8_" localSheetId="11">#REF!</definedName>
    <definedName name="SOLD._8_">#REF!</definedName>
    <definedName name="SOLDA" localSheetId="8">[15]BASE2!$D$23</definedName>
    <definedName name="SOLDA" localSheetId="9">[15]BASE2!$D$23</definedName>
    <definedName name="SOLDA">'BASE 2'!$D$23</definedName>
    <definedName name="SOLPVC" localSheetId="8">[15]BASE2!$D$86</definedName>
    <definedName name="SOLPVC" localSheetId="9">[15]BASE2!$D$86</definedName>
    <definedName name="SOLPVC">'BASE 2'!$D$79</definedName>
    <definedName name="solver_adj" localSheetId="21" hidden="1">'APU LINEAS IMPULSIÓN'!$K$9</definedName>
    <definedName name="solver_adj" localSheetId="12" hidden="1">'Formulario No. 1'!#REF!</definedName>
    <definedName name="solver_adj" localSheetId="35" hidden="1">'PRESUPUESTO-INTERV'!#REF!</definedName>
    <definedName name="solver_cvg" localSheetId="21" hidden="1">0.0001</definedName>
    <definedName name="solver_cvg" localSheetId="12" hidden="1">0.0001</definedName>
    <definedName name="solver_cvg" localSheetId="35" hidden="1">"""""""""""""""""""""""""""""""""""""""""""""""""""""""""""""""""""""""""""""""""""""""""""""""""""""""""""""""""""""""""""""""0,0001"""""""""""""""""""""""""""""""""""""""""""""""""""""""""""""""""""""""""""""""""""""""""""""""""""""""""""""""""""""""""""""""</definedName>
    <definedName name="solver_drv" localSheetId="21" hidden="1">1</definedName>
    <definedName name="solver_drv" localSheetId="12" hidden="1">1</definedName>
    <definedName name="solver_drv" localSheetId="35" hidden="1">1</definedName>
    <definedName name="solver_eng" localSheetId="21" hidden="1">1</definedName>
    <definedName name="solver_eng" localSheetId="35" hidden="1">1</definedName>
    <definedName name="solver_est" localSheetId="21" hidden="1">1</definedName>
    <definedName name="solver_est" localSheetId="12" hidden="1">1</definedName>
    <definedName name="solver_est" localSheetId="35" hidden="1">1</definedName>
    <definedName name="solver_itr" localSheetId="21" hidden="1">2147483647</definedName>
    <definedName name="solver_itr" localSheetId="12" hidden="1">100</definedName>
    <definedName name="solver_itr" localSheetId="35" hidden="1">2147483647</definedName>
    <definedName name="solver_lhs1" localSheetId="12" hidden="1">'Formulario No. 1'!#REF!</definedName>
    <definedName name="solver_lin" localSheetId="12" hidden="1">2</definedName>
    <definedName name="solver_mip" localSheetId="21" hidden="1">2147483647</definedName>
    <definedName name="solver_mip" localSheetId="35" hidden="1">2147483647</definedName>
    <definedName name="solver_mni" localSheetId="21" hidden="1">30</definedName>
    <definedName name="solver_mni" localSheetId="35" hidden="1">30</definedName>
    <definedName name="solver_mrt" localSheetId="21" hidden="1">0.075</definedName>
    <definedName name="solver_mrt" localSheetId="35" hidden="1">"""""""""""""""""""""""""""""""""""""""""""""""""""""""""""""""""""""""""""""""""""""""""""""""""""""""""""""""""""""""""""""""0,075"""""""""""""""""""""""""""""""""""""""""""""""""""""""""""""""""""""""""""""""""""""""""""""""""""""""""""""""""""""""""""""""</definedName>
    <definedName name="solver_msl" localSheetId="21" hidden="1">2</definedName>
    <definedName name="solver_msl" localSheetId="35" hidden="1">2</definedName>
    <definedName name="solver_neg" localSheetId="21" hidden="1">1</definedName>
    <definedName name="solver_neg" localSheetId="12" hidden="1">2</definedName>
    <definedName name="solver_neg" localSheetId="35" hidden="1">2</definedName>
    <definedName name="solver_nod" localSheetId="21" hidden="1">2147483647</definedName>
    <definedName name="solver_nod" localSheetId="35" hidden="1">2147483647</definedName>
    <definedName name="solver_num" localSheetId="21" hidden="1">0</definedName>
    <definedName name="solver_num" localSheetId="12" hidden="1">1</definedName>
    <definedName name="solver_num" localSheetId="35" hidden="1">0</definedName>
    <definedName name="solver_nwt" localSheetId="21" hidden="1">1</definedName>
    <definedName name="solver_nwt" localSheetId="12" hidden="1">1</definedName>
    <definedName name="solver_nwt" localSheetId="35" hidden="1">1</definedName>
    <definedName name="solver_opt" localSheetId="21" hidden="1">'APU LINEAS IMPULSIÓN'!$B$17</definedName>
    <definedName name="solver_opt" localSheetId="12" hidden="1">'Formulario No. 1'!#REF!</definedName>
    <definedName name="solver_opt" localSheetId="35" hidden="1">'PRESUPUESTO-INTERV'!$J$49</definedName>
    <definedName name="solver_pre" localSheetId="21" hidden="1">0.000001</definedName>
    <definedName name="solver_pre" localSheetId="12" hidden="1">0.000001</definedName>
    <definedName name="solver_pre" localSheetId="35" hidden="1">"""""""""""""""""""""""""""""""""""""""""""""""""""""""""""""""""""""""""""""""""""""""""""""""""""""""""""""""""""""""""""""""0,000001"""""""""""""""""""""""""""""""""""""""""""""""""""""""""""""""""""""""""""""""""""""""""""""""""""""""""""""""""""""""""""""""</definedName>
    <definedName name="solver_rbv" localSheetId="21" hidden="1">1</definedName>
    <definedName name="solver_rbv" localSheetId="35" hidden="1">1</definedName>
    <definedName name="solver_rel1" localSheetId="12" hidden="1">2</definedName>
    <definedName name="solver_rhs1" localSheetId="12" hidden="1">'Formulario No. 1'!#REF!</definedName>
    <definedName name="solver_rlx" localSheetId="21" hidden="1">2</definedName>
    <definedName name="solver_rlx" localSheetId="35" hidden="1">2</definedName>
    <definedName name="solver_rsd" localSheetId="21" hidden="1">0</definedName>
    <definedName name="solver_rsd" localSheetId="35" hidden="1">0</definedName>
    <definedName name="solver_scl" localSheetId="21" hidden="1">1</definedName>
    <definedName name="solver_scl" localSheetId="12" hidden="1">2</definedName>
    <definedName name="solver_scl" localSheetId="35" hidden="1">1</definedName>
    <definedName name="solver_sho" localSheetId="21" hidden="1">2</definedName>
    <definedName name="solver_sho" localSheetId="12" hidden="1">2</definedName>
    <definedName name="solver_sho" localSheetId="35" hidden="1">2</definedName>
    <definedName name="solver_ssz" localSheetId="21" hidden="1">100</definedName>
    <definedName name="solver_ssz" localSheetId="35" hidden="1">100</definedName>
    <definedName name="solver_tim" localSheetId="21" hidden="1">2147483647</definedName>
    <definedName name="solver_tim" localSheetId="12" hidden="1">100</definedName>
    <definedName name="solver_tim" localSheetId="35" hidden="1">2147483647</definedName>
    <definedName name="solver_tol" localSheetId="21" hidden="1">0.01</definedName>
    <definedName name="solver_tol" localSheetId="12" hidden="1">0.05</definedName>
    <definedName name="solver_tol" localSheetId="35" hidden="1">1</definedName>
    <definedName name="solver_typ" localSheetId="21" hidden="1">3</definedName>
    <definedName name="solver_typ" localSheetId="12" hidden="1">3</definedName>
    <definedName name="solver_typ" localSheetId="35" hidden="1">3</definedName>
    <definedName name="solver_val" localSheetId="21" hidden="1">3926</definedName>
    <definedName name="solver_val" localSheetId="12" hidden="1">490454</definedName>
    <definedName name="solver_val" localSheetId="35" hidden="1">445869739</definedName>
    <definedName name="solver_ver" localSheetId="21" hidden="1">3</definedName>
    <definedName name="solver_ver" localSheetId="35" hidden="1">3</definedName>
    <definedName name="srwrwr" localSheetId="12" hidden="1">{"TAB1",#N/A,TRUE,"GENERAL";"TAB2",#N/A,TRUE,"GENERAL";"TAB3",#N/A,TRUE,"GENERAL";"TAB4",#N/A,TRUE,"GENERAL";"TAB5",#N/A,TRUE,"GENERAL"}</definedName>
    <definedName name="srwrwr" hidden="1">{"TAB1",#N/A,TRUE,"GENERAL";"TAB2",#N/A,TRUE,"GENERAL";"TAB3",#N/A,TRUE,"GENERAL";"TAB4",#N/A,TRUE,"GENERAL";"TAB5",#N/A,TRUE,"GENERAL"}</definedName>
    <definedName name="SS" localSheetId="11">#REF!</definedName>
    <definedName name="SS" localSheetId="12">#REF!</definedName>
    <definedName name="SS">#REF!</definedName>
    <definedName name="SS_AVG_SIZE" localSheetId="11">#REF!</definedName>
    <definedName name="SS_AVG_SIZE">#REF!</definedName>
    <definedName name="SS_WELDING" localSheetId="11">#REF!</definedName>
    <definedName name="SS_WELDING">#REF!</definedName>
    <definedName name="ssa">[71]Hoja1!$C$25</definedName>
    <definedName name="ssh">[71]Hoja1!$C$24</definedName>
    <definedName name="sss" localSheetId="11">MODULO10.auto_abrir</definedName>
    <definedName name="sss">MODULO10.auto_abrir</definedName>
    <definedName name="SSSS" localSheetId="12">'Formulario No. 1'!ERR</definedName>
    <definedName name="SSSS">[0]!ERR</definedName>
    <definedName name="sssss7" localSheetId="12" hidden="1">{"via1",#N/A,TRUE,"general";"via2",#N/A,TRUE,"general";"via3",#N/A,TRUE,"general"}</definedName>
    <definedName name="sssss7" hidden="1">{"via1",#N/A,TRUE,"general";"via2",#N/A,TRUE,"general";"via3",#N/A,TRUE,"general"}</definedName>
    <definedName name="sssssa" localSheetId="12" hidden="1">{"TAB1",#N/A,TRUE,"GENERAL";"TAB2",#N/A,TRUE,"GENERAL";"TAB3",#N/A,TRUE,"GENERAL";"TAB4",#N/A,TRUE,"GENERAL";"TAB5",#N/A,TRUE,"GENERAL"}</definedName>
    <definedName name="sssssa" hidden="1">{"TAB1",#N/A,TRUE,"GENERAL";"TAB2",#N/A,TRUE,"GENERAL";"TAB3",#N/A,TRUE,"GENERAL";"TAB4",#N/A,TRUE,"GENERAL";"TAB5",#N/A,TRUE,"GENERAL"}</definedName>
    <definedName name="sssssy" localSheetId="12" hidden="1">{"via1",#N/A,TRUE,"general";"via2",#N/A,TRUE,"general";"via3",#N/A,TRUE,"general"}</definedName>
    <definedName name="sssssy" hidden="1">{"via1",#N/A,TRUE,"general";"via2",#N/A,TRUE,"general";"via3",#N/A,TRUE,"general"}</definedName>
    <definedName name="St" localSheetId="11">#REF!</definedName>
    <definedName name="St">#REF!</definedName>
    <definedName name="ST_BLDG" localSheetId="11">'[3]7422CW00'!#REF!</definedName>
    <definedName name="ST_BLDG">'[3]7422CW00'!#REF!</definedName>
    <definedName name="ST_CW" localSheetId="11">'[3]7422CW00'!#REF!</definedName>
    <definedName name="ST_CW">'[3]7422CW00'!#REF!</definedName>
    <definedName name="ST106_">'BASE 2'!$D$293</definedName>
    <definedName name="ST126_">'BASE 2'!$D$294</definedName>
    <definedName name="ST146_">'BASE 2'!$D$312</definedName>
    <definedName name="ST166_">'BASE 2'!$D$295</definedName>
    <definedName name="ST186_">'BASE 2'!$D$296</definedName>
    <definedName name="ST206_">'BASE 2'!$D$297</definedName>
    <definedName name="ST86_">'BASE 2'!$D$292</definedName>
    <definedName name="STALO1" localSheetId="11">'[3]7422CW00'!#REF!</definedName>
    <definedName name="STALO1">'[3]7422CW00'!#REF!</definedName>
    <definedName name="STAMPA" localSheetId="11">#REF!</definedName>
    <definedName name="STAMPA">#REF!</definedName>
    <definedName name="STANU" localSheetId="11">'[3]7422CW00'!#REF!</definedName>
    <definedName name="STANU">'[3]7422CW00'!#REF!</definedName>
    <definedName name="START" localSheetId="11">#REF!</definedName>
    <definedName name="START">#REF!</definedName>
    <definedName name="START1" localSheetId="11">'[3]7422CW00'!#REF!</definedName>
    <definedName name="START1">'[3]7422CW00'!#REF!</definedName>
    <definedName name="STENU" localSheetId="11">'[3]7422CW00'!#REF!</definedName>
    <definedName name="STENU">'[3]7422CW00'!#REF!</definedName>
    <definedName name="Stock" localSheetId="11">'[120]PxQ Cantidades'!#REF!</definedName>
    <definedName name="Stock">'[120]PxQ Cantidades'!#REF!</definedName>
    <definedName name="STONU" localSheetId="11">'[3]7422CW00'!#REF!</definedName>
    <definedName name="STONU">'[3]7422CW00'!#REF!</definedName>
    <definedName name="STRESS_RELIEVIN" localSheetId="11">#REF!</definedName>
    <definedName name="STRESS_RELIEVIN">#REF!</definedName>
    <definedName name="STSUMM" localSheetId="11">'[3]7422CW00'!#REF!</definedName>
    <definedName name="STSUMM">'[3]7422CW00'!#REF!</definedName>
    <definedName name="stt" localSheetId="12" hidden="1">{"via1",#N/A,TRUE,"general";"via2",#N/A,TRUE,"general";"via3",#N/A,TRUE,"general"}</definedName>
    <definedName name="stt" hidden="1">{"via1",#N/A,TRUE,"general";"via2",#N/A,TRUE,"general";"via3",#N/A,TRUE,"general"}</definedName>
    <definedName name="SUBSUELO" localSheetId="11">#REF!</definedName>
    <definedName name="SUBSUELO">#REF!</definedName>
    <definedName name="Subtotal" localSheetId="11">#REF!</definedName>
    <definedName name="Subtotal">#REF!</definedName>
    <definedName name="SUELDO" localSheetId="11">#REF!</definedName>
    <definedName name="SUELDO">#REF!</definedName>
    <definedName name="suma">[68]Hoja1!$F$60</definedName>
    <definedName name="SUMIN" localSheetId="8">[15]BASE2!$D$390</definedName>
    <definedName name="SUMIN" localSheetId="9">[15]BASE2!$D$390</definedName>
    <definedName name="SUMIN">'BASE 2'!$D$445</definedName>
    <definedName name="Summary" localSheetId="11">#REF!</definedName>
    <definedName name="Summary" localSheetId="12">#REF!</definedName>
    <definedName name="Summary">#REF!</definedName>
    <definedName name="SUP_ART" localSheetId="11">[61]steel!#REF!</definedName>
    <definedName name="SUP_ART">[61]steel!#REF!</definedName>
    <definedName name="SUP_VEX" localSheetId="11">#REF!</definedName>
    <definedName name="SUP_VEX">#REF!</definedName>
    <definedName name="SUP_VPR" localSheetId="11">#REF!</definedName>
    <definedName name="SUP_VPR">#REF!</definedName>
    <definedName name="SUP_VPR_GEC" localSheetId="11">#REF!</definedName>
    <definedName name="SUP_VPR_GEC">#REF!</definedName>
    <definedName name="SUP_VPR_GMM" localSheetId="11">#REF!</definedName>
    <definedName name="SUP_VPR_GMM">#REF!</definedName>
    <definedName name="SUP_VPR_GRC" localSheetId="11">#REF!</definedName>
    <definedName name="SUP_VPR_GRC">#REF!</definedName>
    <definedName name="SUP_VPR_GRM" localSheetId="11">#REF!</definedName>
    <definedName name="SUP_VPR_GRM">#REF!</definedName>
    <definedName name="SUP_VPR_GRN" localSheetId="11">#REF!</definedName>
    <definedName name="SUP_VPR_GRN">#REF!</definedName>
    <definedName name="SUP_VPR_GRS" localSheetId="11">#REF!</definedName>
    <definedName name="SUP_VPR_GRS">#REF!</definedName>
    <definedName name="SUP_VPR_GTP" localSheetId="11">[12]Tablas!#REF!</definedName>
    <definedName name="SUP_VPR_GTP">[12]Tablas!#REF!</definedName>
    <definedName name="SUP_VPR_NA" localSheetId="11">#REF!</definedName>
    <definedName name="SUP_VPR_NA">#REF!</definedName>
    <definedName name="SUPER">[73]Tablas!$H$1:$H$65536</definedName>
    <definedName name="SUPERFICIE" localSheetId="11">#REF!</definedName>
    <definedName name="SUPERFICIE">#REF!</definedName>
    <definedName name="sw" localSheetId="12">'Formulario No. 1'!ERR</definedName>
    <definedName name="sw">[0]!ERR</definedName>
    <definedName name="swsw" localSheetId="12" hidden="1">{"via1",#N/A,TRUE,"general";"via2",#N/A,TRUE,"general";"via3",#N/A,TRUE,"general"}</definedName>
    <definedName name="swsw" hidden="1">{"via1",#N/A,TRUE,"general";"via2",#N/A,TRUE,"general";"via3",#N/A,TRUE,"general"}</definedName>
    <definedName name="swsw3" localSheetId="12" hidden="1">{"TAB1",#N/A,TRUE,"GENERAL";"TAB2",#N/A,TRUE,"GENERAL";"TAB3",#N/A,TRUE,"GENERAL";"TAB4",#N/A,TRUE,"GENERAL";"TAB5",#N/A,TRUE,"GENERAL"}</definedName>
    <definedName name="swsw3" hidden="1">{"TAB1",#N/A,TRUE,"GENERAL";"TAB2",#N/A,TRUE,"GENERAL";"TAB3",#N/A,TRUE,"GENERAL";"TAB4",#N/A,TRUE,"GENERAL";"TAB5",#N/A,TRUE,"GENERAL"}</definedName>
    <definedName name="SY104_">'BASE 2'!$D$302</definedName>
    <definedName name="SY106_">'BASE 2'!$D$303</definedName>
    <definedName name="SY124_">'BASE 2'!$D$304</definedName>
    <definedName name="SY126_">'BASE 2'!$D$305</definedName>
    <definedName name="SY164_">'BASE 2'!$D$306</definedName>
    <definedName name="SY166_">'BASE 2'!$D$307</definedName>
    <definedName name="SY186_">'BASE 2'!$D$308</definedName>
    <definedName name="SY206_">'BASE 2'!$D$309</definedName>
    <definedName name="SY64_">'BASE 2'!$D$299</definedName>
    <definedName name="SY84_">'BASE 2'!$D$300</definedName>
    <definedName name="SY86_">'BASE 2'!$D$301</definedName>
    <definedName name="t" localSheetId="11">[26]!absc</definedName>
    <definedName name="t">[26]!absc</definedName>
    <definedName name="t_1" localSheetId="11">Scheduled_Payment+Extra_Payment</definedName>
    <definedName name="t_1">Scheduled_Payment+Extra_Payment</definedName>
    <definedName name="T22JH">'BASE 2'!$D$332</definedName>
    <definedName name="T32JH">'BASE 2'!$D$331</definedName>
    <definedName name="T33JH">'BASE 2'!$D$330</definedName>
    <definedName name="T42JH">'BASE 2'!$D$329</definedName>
    <definedName name="T43JH">'BASE 2'!$D$328</definedName>
    <definedName name="T44JH">'BASE 2'!$D$323</definedName>
    <definedName name="t5t5" localSheetId="12" hidden="1">{"TAB1",#N/A,TRUE,"GENERAL";"TAB2",#N/A,TRUE,"GENERAL";"TAB3",#N/A,TRUE,"GENERAL";"TAB4",#N/A,TRUE,"GENERAL";"TAB5",#N/A,TRUE,"GENERAL"}</definedName>
    <definedName name="t5t5" hidden="1">{"TAB1",#N/A,TRUE,"GENERAL";"TAB2",#N/A,TRUE,"GENERAL";"TAB3",#N/A,TRUE,"GENERAL";"TAB4",#N/A,TRUE,"GENERAL";"TAB5",#N/A,TRUE,"GENERAL"}</definedName>
    <definedName name="T62JH" localSheetId="8">[15]BASE2!$D$287</definedName>
    <definedName name="T62JH" localSheetId="9">[15]BASE2!$D$287</definedName>
    <definedName name="T62JH">'BASE 2'!$D$327</definedName>
    <definedName name="T63JH" localSheetId="8">[15]BASE2!$D$286</definedName>
    <definedName name="T63JH" localSheetId="9">[15]BASE2!$D$286</definedName>
    <definedName name="T63JH">'BASE 2'!$D$326</definedName>
    <definedName name="T64JH">'BASE 2'!$D$325</definedName>
    <definedName name="T66JH">'BASE 2'!$D$324</definedName>
    <definedName name="T82JH" localSheetId="8">[15]BASE2!$D$299</definedName>
    <definedName name="T82JH" localSheetId="9">[15]BASE2!$D$299</definedName>
    <definedName name="T82JH">'BASE 2'!$D$339</definedName>
    <definedName name="T83JH" localSheetId="8">[15]BASE2!$D$298</definedName>
    <definedName name="T83JH" localSheetId="9">[15]BASE2!$D$298</definedName>
    <definedName name="T83JH">'BASE 2'!$D$338</definedName>
    <definedName name="T84JH" localSheetId="8">[15]BASE2!$D$297</definedName>
    <definedName name="T84JH" localSheetId="9">[15]BASE2!$D$297</definedName>
    <definedName name="T84JH">'BASE 2'!$D$337</definedName>
    <definedName name="T88EB">'BASE 2'!$D$336</definedName>
    <definedName name="T88EL">'BASE 2'!$D$335</definedName>
    <definedName name="TAB_FECHA">[73]Tablas!$B$1:$B$65536</definedName>
    <definedName name="TABLA" localSheetId="8">[15]BASE2!$D$395</definedName>
    <definedName name="TABLA" localSheetId="9">[15]BASE2!$D$395</definedName>
    <definedName name="TABLA" localSheetId="12">#REF!</definedName>
    <definedName name="TABLA">'BASE 2'!$D$450</definedName>
    <definedName name="tabla1">[121]Hoja3!$B$4:$F$28</definedName>
    <definedName name="TABLEKP" localSheetId="11">'[3]7422CW00'!#REF!</definedName>
    <definedName name="TABLEKP">'[3]7422CW00'!#REF!</definedName>
    <definedName name="TABLEPRI" localSheetId="11">#REF!</definedName>
    <definedName name="TABLEPRI">#REF!</definedName>
    <definedName name="TACOM" localSheetId="8">[15]BASE2!$D$477</definedName>
    <definedName name="TACOM" localSheetId="9">[15]BASE2!$D$477</definedName>
    <definedName name="TACOM">'BASE 2'!$D$723</definedName>
    <definedName name="TACOR" localSheetId="8">[15]BASE2!$D$475</definedName>
    <definedName name="TACOR" localSheetId="9">[15]BASE2!$D$475</definedName>
    <definedName name="TACOR">'BASE 2'!$D$721</definedName>
    <definedName name="Tambores" localSheetId="11">#REF!</definedName>
    <definedName name="Tambores">#REF!</definedName>
    <definedName name="Tanques" localSheetId="11">#REF!</definedName>
    <definedName name="Tanques">#REF!</definedName>
    <definedName name="TAP2_">'BASE 2'!$D$228</definedName>
    <definedName name="TAPAM">'BASE 2'!$D$422</definedName>
    <definedName name="TAREAS_INICIALES" localSheetId="11">#REF!</definedName>
    <definedName name="TAREAS_INICIALES">#REF!</definedName>
    <definedName name="TARIFA" localSheetId="11">#REF!</definedName>
    <definedName name="TARIFA">#REF!</definedName>
    <definedName name="TarifaPension">[56]EMPRESA!$F$24</definedName>
    <definedName name="TARIFAS">[122]TARIFAS!$A$1:$F$52</definedName>
    <definedName name="TarifaSalud">[56]EMPRESA!$F$26</definedName>
    <definedName name="Tasa" localSheetId="11">#REF!</definedName>
    <definedName name="Tasa">#REF!</definedName>
    <definedName name="TASA_DE_CAMBIO" localSheetId="11">#REF!</definedName>
    <definedName name="TASA_DE_CAMBIO">#REF!</definedName>
    <definedName name="Tasa1">'[123]Bases 2A'!$C$20</definedName>
    <definedName name="TasaCCP" localSheetId="11">#REF!</definedName>
    <definedName name="TasaCCP">#REF!</definedName>
    <definedName name="TASH2">'BASE 2'!$D$148</definedName>
    <definedName name="TASP1">'BASE 2'!$D$403</definedName>
    <definedName name="TASP2">'BASE 2'!$D$404</definedName>
    <definedName name="TASP3">'BASE 2'!$D$405</definedName>
    <definedName name="TASP4">'BASE 2'!$D$406</definedName>
    <definedName name="TASR4">'BASE 2'!$D$407</definedName>
    <definedName name="Tax" localSheetId="11">#REF!</definedName>
    <definedName name="Tax">#REF!</definedName>
    <definedName name="TB_EVENTOS_OTS_ANUAL" localSheetId="11">#REF!</definedName>
    <definedName name="TB_EVENTOS_OTS_ANUAL">#REF!</definedName>
    <definedName name="tc" localSheetId="11">#REF!</definedName>
    <definedName name="tc">#REF!</definedName>
    <definedName name="tdy" localSheetId="12" hidden="1">{"TAB1",#N/A,TRUE,"GENERAL";"TAB2",#N/A,TRUE,"GENERAL";"TAB3",#N/A,TRUE,"GENERAL";"TAB4",#N/A,TRUE,"GENERAL";"TAB5",#N/A,TRUE,"GENERAL"}</definedName>
    <definedName name="tdy" hidden="1">{"TAB1",#N/A,TRUE,"GENERAL";"TAB2",#N/A,TRUE,"GENERAL";"TAB3",#N/A,TRUE,"GENERAL";"TAB4",#N/A,TRUE,"GENERAL";"TAB5",#N/A,TRUE,"GENERAL"}</definedName>
    <definedName name="TEE_PVC">'BASE 2'!$D$61</definedName>
    <definedName name="TEE1_">'BASE 2'!$D$222</definedName>
    <definedName name="TEE2_">'BASE 2'!$D$223</definedName>
    <definedName name="TEE32_">'BASE 2'!$D$224</definedName>
    <definedName name="TEE33_">'BASE 2'!$D$225</definedName>
    <definedName name="TEJAB">'BASE 2'!$D$71</definedName>
    <definedName name="TEJAJ" localSheetId="8">[15]BASE2!$D$394</definedName>
    <definedName name="TEJAJ" localSheetId="9">[15]BASE2!$D$394</definedName>
    <definedName name="TEJAJ">'BASE 2'!$D$449</definedName>
    <definedName name="telefono">[56]EMPRESA!$F$16</definedName>
    <definedName name="TELEP" localSheetId="8">[15]BASE2!$D$474</definedName>
    <definedName name="TELEP" localSheetId="9">[15]BASE2!$D$474</definedName>
    <definedName name="TELEP">'BASE 2'!$D$720</definedName>
    <definedName name="TEMA1" localSheetId="11">#REF!</definedName>
    <definedName name="TEMA1">#REF!</definedName>
    <definedName name="TEMA10" localSheetId="11">#REF!</definedName>
    <definedName name="TEMA10">#REF!</definedName>
    <definedName name="TEMA2" localSheetId="11">#REF!</definedName>
    <definedName name="TEMA2">#REF!</definedName>
    <definedName name="TEMA3" localSheetId="11">#REF!</definedName>
    <definedName name="TEMA3">#REF!</definedName>
    <definedName name="TEMA4" localSheetId="11">#REF!</definedName>
    <definedName name="TEMA4">#REF!</definedName>
    <definedName name="TEMA5" localSheetId="11">#REF!</definedName>
    <definedName name="TEMA5">#REF!</definedName>
    <definedName name="TEMA6" localSheetId="11">#REF!</definedName>
    <definedName name="TEMA6">#REF!</definedName>
    <definedName name="TEMA7" localSheetId="11">#REF!</definedName>
    <definedName name="TEMA7">#REF!</definedName>
    <definedName name="TEMA8" localSheetId="11">#REF!</definedName>
    <definedName name="TEMA8">#REF!</definedName>
    <definedName name="TEMA9" localSheetId="11">#REF!</definedName>
    <definedName name="TEMA9">#REF!</definedName>
    <definedName name="TEMAS_PACC" localSheetId="11">#REF!</definedName>
    <definedName name="TEMAS_PACC">#REF!</definedName>
    <definedName name="TEP22_">'BASE 2'!$D$115</definedName>
    <definedName name="TEP44_">'BASE 2'!$D$116</definedName>
    <definedName name="TER" localSheetId="12">'Formulario No. 1'!ERR</definedName>
    <definedName name="TER">[0]!ERR</definedName>
    <definedName name="TERM" localSheetId="12">'Formulario No. 1'!ERR</definedName>
    <definedName name="TERM">[0]!ERR</definedName>
    <definedName name="TÉRMINOS" localSheetId="12">'Formulario No. 1'!ERR</definedName>
    <definedName name="TÉRMINOS">[0]!ERR</definedName>
    <definedName name="TERR">[40]PRESUPUESTO!$I$7</definedName>
    <definedName name="TES44_">'BASE 2'!$D$252</definedName>
    <definedName name="TES64_">'BASE 2'!$D$254</definedName>
    <definedName name="TES66_">'BASE 2'!$D$253</definedName>
    <definedName name="tewst" localSheetId="12" hidden="1">{"TAB1",#N/A,TRUE,"GENERAL";"TAB2",#N/A,TRUE,"GENERAL";"TAB3",#N/A,TRUE,"GENERAL";"TAB4",#N/A,TRUE,"GENERAL";"TAB5",#N/A,TRUE,"GENERAL"}</definedName>
    <definedName name="tewst" hidden="1">{"TAB1",#N/A,TRUE,"GENERAL";"TAB2",#N/A,TRUE,"GENERAL";"TAB3",#N/A,TRUE,"GENERAL";"TAB4",#N/A,TRUE,"GENERAL";"TAB5",#N/A,TRUE,"GENERAL"}</definedName>
    <definedName name="teytrh" localSheetId="12" hidden="1">{"via1",#N/A,TRUE,"general";"via2",#N/A,TRUE,"general";"via3",#N/A,TRUE,"general"}</definedName>
    <definedName name="teytrh" hidden="1">{"via1",#N/A,TRUE,"general";"via2",#N/A,TRUE,"general";"via3",#N/A,TRUE,"general"}</definedName>
    <definedName name="TGALV" localSheetId="8">[15]BASE2!$D$375</definedName>
    <definedName name="TGALV" localSheetId="9">[15]BASE2!$D$375</definedName>
    <definedName name="TGALV">'BASE 2'!$D$430</definedName>
    <definedName name="TGB" localSheetId="11">#REF!</definedName>
    <definedName name="TGB">#REF!</definedName>
    <definedName name="TH" localSheetId="11">#REF!</definedName>
    <definedName name="TH">#REF!</definedName>
    <definedName name="TH10J">'BASE 2'!$D$334</definedName>
    <definedName name="thdh" localSheetId="12" hidden="1">{"TAB1",#N/A,TRUE,"GENERAL";"TAB2",#N/A,TRUE,"GENERAL";"TAB3",#N/A,TRUE,"GENERAL";"TAB4",#N/A,TRUE,"GENERAL";"TAB5",#N/A,TRUE,"GENERAL"}</definedName>
    <definedName name="thdh" hidden="1">{"TAB1",#N/A,TRUE,"GENERAL";"TAB2",#N/A,TRUE,"GENERAL";"TAB3",#N/A,TRUE,"GENERAL";"TAB4",#N/A,TRUE,"GENERAL";"TAB5",#N/A,TRUE,"GENERAL"}</definedName>
    <definedName name="THF12_">'BASE 2'!$D$333</definedName>
    <definedName name="THF6JH">'BASE 2'!$D$374</definedName>
    <definedName name="THF6RO">'BASE 2'!$D$376</definedName>
    <definedName name="THF8JH" localSheetId="8">[15]BASE2!$D$319</definedName>
    <definedName name="THF8JH" localSheetId="9">[15]BASE2!$D$319</definedName>
    <definedName name="THF8JH">'BASE 2'!$D$375</definedName>
    <definedName name="THP" localSheetId="11">#REF!</definedName>
    <definedName name="THP">#REF!</definedName>
    <definedName name="thtj" localSheetId="12" hidden="1">{"via1",#N/A,TRUE,"general";"via2",#N/A,TRUE,"general";"via3",#N/A,TRUE,"general"}</definedName>
    <definedName name="thtj" hidden="1">{"via1",#N/A,TRUE,"general";"via2",#N/A,TRUE,"general";"via3",#N/A,TRUE,"general"}</definedName>
    <definedName name="TIEMPO">[51]BASES!$E$27</definedName>
    <definedName name="TIPO" localSheetId="11">#REF!</definedName>
    <definedName name="TIPO">#REF!</definedName>
    <definedName name="TIPO_GRUPO" localSheetId="11">#REF!</definedName>
    <definedName name="TIPO_GRUPO">#REF!</definedName>
    <definedName name="TipoGC">[107]Tablas!$U$6:$U$15</definedName>
    <definedName name="TipoNeces">[107]Tablas!$Q$6:$Q$8</definedName>
    <definedName name="TipoPro" localSheetId="11">#REF!</definedName>
    <definedName name="TipoPro">#REF!</definedName>
    <definedName name="Tipoproceso" localSheetId="11">#REF!</definedName>
    <definedName name="Tipoproceso">#REF!</definedName>
    <definedName name="TIR" localSheetId="11">#REF!</definedName>
    <definedName name="TIR">#REF!</definedName>
    <definedName name="TITLE" localSheetId="11">#REF!</definedName>
    <definedName name="TITLE">#REF!</definedName>
    <definedName name="titu" localSheetId="11">#REF!</definedName>
    <definedName name="titu">#REF!</definedName>
    <definedName name="titu2" localSheetId="11">#REF!</definedName>
    <definedName name="titu2">#REF!</definedName>
    <definedName name="TITULO" localSheetId="11">#REF!</definedName>
    <definedName name="TITULO" localSheetId="12">#REF!</definedName>
    <definedName name="TITULO">#REF!</definedName>
    <definedName name="_xlnm.Print_Titles" localSheetId="29">' TANQUE PATAGONIA'!$1:$4</definedName>
    <definedName name="_xlnm.Print_Titles" localSheetId="19">'APU CAPTACION'!$1:$3</definedName>
    <definedName name="_xlnm.Print_Titles" localSheetId="21">'APU LINEAS IMPULSIÓN'!$2:$5</definedName>
    <definedName name="_xlnm.Print_Titles" localSheetId="26">'APU PTAP'!$1:$3</definedName>
    <definedName name="_xlnm.Print_Titles" localSheetId="30">'APU TANQUE PATAGONIA'!$1:$4</definedName>
    <definedName name="_xlnm.Print_Titles" localSheetId="22">'APU CAPTACION'!$1:$4</definedName>
    <definedName name="_xlnm.Print_Titles" localSheetId="17">'CAPTACION RIO SINÚ'!$2:$5</definedName>
    <definedName name="_xlnm.Print_Titles" localSheetId="32">CRONOGRAMA!$2:$2</definedName>
    <definedName name="_xlnm.Print_Titles" localSheetId="34">'FORMATO RESUMEN '!$1:$7</definedName>
    <definedName name="_xlnm.Print_Titles" localSheetId="28">'PTAP TIJERETAS'!$1:$4</definedName>
    <definedName name="_xlnm.Print_Titles" localSheetId="25">'TOTAL OC E INST + SUM'!$1:$3</definedName>
    <definedName name="_xlnm.Print_Titles">#N/A</definedName>
    <definedName name="Títulos_a_imprimir_IM" localSheetId="11">#REF!</definedName>
    <definedName name="Títulos_a_imprimir_IM" localSheetId="12">#REF!</definedName>
    <definedName name="Títulos_a_imprimir_IM">#REF!</definedName>
    <definedName name="tk">'[10]DATOS CONTRATO'!$E$18</definedName>
    <definedName name="TK_1" localSheetId="11" hidden="1">[28]INST!#REF!</definedName>
    <definedName name="TK_1" hidden="1">[28]INST!#REF!</definedName>
    <definedName name="TKSLCI07">[10]EMPRESA!$F$22</definedName>
    <definedName name="tld">[71]Datos!$D$14</definedName>
    <definedName name="TNL24_">'BASE 2'!$D$266</definedName>
    <definedName name="TNL27_">'BASE 2'!$D$267</definedName>
    <definedName name="TNL30_">'BASE 2'!$D$268</definedName>
    <definedName name="TNL33_">'BASE 2'!$D$269</definedName>
    <definedName name="TNL36_">'BASE 2'!$D$270</definedName>
    <definedName name="TNL39_">'BASE 2'!$D$271</definedName>
    <definedName name="TNL42_">'BASE 2'!$D$272</definedName>
    <definedName name="TNL45_">'BASE 2'!$D$273</definedName>
    <definedName name="TNL48_">'BASE 2'!$D$274</definedName>
    <definedName name="TNL51_">'BASE 2'!$D$275</definedName>
    <definedName name="TNL54_">'BASE 2'!$D$276</definedName>
    <definedName name="TNL60_">'BASE 2'!$D$277</definedName>
    <definedName name="TNOV10" localSheetId="8">[15]BASE2!$D$226</definedName>
    <definedName name="TNOV10" localSheetId="9">[15]BASE2!$D$226</definedName>
    <definedName name="TNOV10">'BASE 2'!$D$260</definedName>
    <definedName name="TNOV12">'BASE 2'!$D$261</definedName>
    <definedName name="TNOV16">'BASE 2'!$D$262</definedName>
    <definedName name="TNOV18">'BASE 2'!$D$263</definedName>
    <definedName name="TNOV20">'BASE 2'!$D$264</definedName>
    <definedName name="TNOV6" localSheetId="8">[15]BASE2!$D$224</definedName>
    <definedName name="TNOV6" localSheetId="9">[15]BASE2!$D$224</definedName>
    <definedName name="TNOV6">'BASE 2'!$D$258</definedName>
    <definedName name="TNOV8" localSheetId="8">[15]BASE2!$D$225</definedName>
    <definedName name="TNOV8" localSheetId="9">[15]BASE2!$D$225</definedName>
    <definedName name="TNOV8">'BASE 2'!$D$259</definedName>
    <definedName name="TOPGENER" localSheetId="11">#REF!</definedName>
    <definedName name="TOPGENER">#REF!</definedName>
    <definedName name="TOPGENER1" localSheetId="11">#REF!</definedName>
    <definedName name="TOPGENER1">#REF!</definedName>
    <definedName name="TOPMENU" localSheetId="11">#REF!</definedName>
    <definedName name="TOPMENU">#REF!</definedName>
    <definedName name="TORNI" localSheetId="8">[15]BASE2!$D$405</definedName>
    <definedName name="TORNI" localSheetId="9">[15]BASE2!$D$405</definedName>
    <definedName name="TORNI">'BASE 2'!$D$460</definedName>
    <definedName name="Torres" localSheetId="11">#REF!</definedName>
    <definedName name="Torres">#REF!</definedName>
    <definedName name="tortas" localSheetId="12" hidden="1">{"TAB1",#N/A,TRUE,"GENERAL";"TAB2",#N/A,TRUE,"GENERAL";"TAB3",#N/A,TRUE,"GENERAL";"TAB4",#N/A,TRUE,"GENERAL";"TAB5",#N/A,TRUE,"GENERAL"}</definedName>
    <definedName name="tortas" hidden="1">{"TAB1",#N/A,TRUE,"GENERAL";"TAB2",#N/A,TRUE,"GENERAL";"TAB3",#N/A,TRUE,"GENERAL";"TAB4",#N/A,TRUE,"GENERAL";"TAB5",#N/A,TRUE,"GENERAL"}</definedName>
    <definedName name="tortas2" localSheetId="12" hidden="1">{"via1",#N/A,TRUE,"general";"via2",#N/A,TRUE,"general";"via3",#N/A,TRUE,"general"}</definedName>
    <definedName name="tortas2" hidden="1">{"via1",#N/A,TRUE,"general";"via2",#N/A,TRUE,"general";"via3",#N/A,TRUE,"general"}</definedName>
    <definedName name="TOT" localSheetId="11">#REF!</definedName>
    <definedName name="TOT">#REF!</definedName>
    <definedName name="TOTAL" localSheetId="11">#REF!</definedName>
    <definedName name="TOTAL" localSheetId="12">#REF!</definedName>
    <definedName name="TOTAL">#REF!</definedName>
    <definedName name="Total_Interest" localSheetId="11">#REF!</definedName>
    <definedName name="Total_Interest">#REF!</definedName>
    <definedName name="Total_Pay" localSheetId="11">#REF!</definedName>
    <definedName name="Total_Pay">#REF!</definedName>
    <definedName name="Total_Payment" localSheetId="11">Scheduled_Payment+Extra_Payment</definedName>
    <definedName name="Total_Payment">Scheduled_Payment+Extra_Payment</definedName>
    <definedName name="Total_Payment1" localSheetId="11">Scheduled_Payment+Extra_Payment</definedName>
    <definedName name="Total_Payment1">Scheduled_Payment+Extra_Payment</definedName>
    <definedName name="total1" localSheetId="11">#REF!</definedName>
    <definedName name="total1">#REF!</definedName>
    <definedName name="TotalCesantias">'[56]NOMINA 1'!$N$38</definedName>
    <definedName name="TOTALHH" localSheetId="11">#REF!</definedName>
    <definedName name="TOTALHH">#REF!</definedName>
    <definedName name="TOTALHH1" localSheetId="11">#REF!</definedName>
    <definedName name="TOTALHH1">#REF!</definedName>
    <definedName name="TotalVacaciones">'[56]NOMINA 1'!$N$37</definedName>
    <definedName name="TotAuxAlim">'[10]NOMINA-1'!$E$37</definedName>
    <definedName name="TotAuxAlimentacion">'[56]NOMINA 1'!$E$38</definedName>
    <definedName name="TotAuxCom">'[10]NOMINA-1'!$E$39</definedName>
    <definedName name="TotAuxComi">'[56]NOMINA 1'!$E$40</definedName>
    <definedName name="TotAuxDotacion">'[56]NOMINA 1'!$E$41</definedName>
    <definedName name="TotAuxHab">'[56]NOMINA 1'!$E$37</definedName>
    <definedName name="TotAuxTransporte">'[56]NOMINA 1'!$E$39</definedName>
    <definedName name="TotBasico">'[56]NOMINA 1'!$E$35</definedName>
    <definedName name="TotCom">'[10]NOMINA-1'!$E$41</definedName>
    <definedName name="TotComision">'[56]NOMINA 1'!$E$42</definedName>
    <definedName name="TotExtras">'[56]NOMINA 1'!$E$36</definedName>
    <definedName name="TotIntercesantias">'[56]NOMINA 1'!$N$39</definedName>
    <definedName name="TotPrimaServicios">'[56]NOMINA 1'!$N$36</definedName>
    <definedName name="TotPrimaServicos">'[56]NOMINA 1'!$N$36</definedName>
    <definedName name="TotPrimaVacaciones">'[56]NOMINA 1'!$N$41</definedName>
    <definedName name="TotPrimConv">'[10]NOMINA-1'!$N$39</definedName>
    <definedName name="TotPrimConvencional">'[56]NOMINA 1'!$N$40</definedName>
    <definedName name="TotPrimVac">'[10]NOMINA-1'!$N$40</definedName>
    <definedName name="TOTSHE1" localSheetId="11">#REF!</definedName>
    <definedName name="TOTSHE1">#REF!</definedName>
    <definedName name="TOTSHE10" localSheetId="11">#REF!</definedName>
    <definedName name="TOTSHE10">#REF!</definedName>
    <definedName name="TOTSHE11" localSheetId="11">#REF!</definedName>
    <definedName name="TOTSHE11">#REF!</definedName>
    <definedName name="TOTSHE12" localSheetId="11">#REF!</definedName>
    <definedName name="TOTSHE12">#REF!</definedName>
    <definedName name="TOTSHE13" localSheetId="11">#REF!</definedName>
    <definedName name="TOTSHE13">#REF!</definedName>
    <definedName name="TOTSHE14" localSheetId="11">#REF!</definedName>
    <definedName name="TOTSHE14">#REF!</definedName>
    <definedName name="TOTSHE15" localSheetId="11">#REF!</definedName>
    <definedName name="TOTSHE15">#REF!</definedName>
    <definedName name="TOTSHE16" localSheetId="11">#REF!</definedName>
    <definedName name="TOTSHE16">#REF!</definedName>
    <definedName name="TOTSHE17" localSheetId="11">#REF!</definedName>
    <definedName name="TOTSHE17">#REF!</definedName>
    <definedName name="TOTSHE18" localSheetId="11">#REF!</definedName>
    <definedName name="TOTSHE18">#REF!</definedName>
    <definedName name="TOTSHE19" localSheetId="11">#REF!</definedName>
    <definedName name="TOTSHE19">#REF!</definedName>
    <definedName name="TOTSHE2" localSheetId="11">#REF!</definedName>
    <definedName name="TOTSHE2">#REF!</definedName>
    <definedName name="TOTSHE20" localSheetId="11">#REF!</definedName>
    <definedName name="TOTSHE20">#REF!</definedName>
    <definedName name="TOTSHE21" localSheetId="11">#REF!</definedName>
    <definedName name="TOTSHE21">#REF!</definedName>
    <definedName name="TOTSHE22" localSheetId="11">#REF!</definedName>
    <definedName name="TOTSHE22">#REF!</definedName>
    <definedName name="TOTSHE23" localSheetId="11">#REF!</definedName>
    <definedName name="TOTSHE23">#REF!</definedName>
    <definedName name="TOTSHE24" localSheetId="11">#REF!</definedName>
    <definedName name="TOTSHE24">#REF!</definedName>
    <definedName name="TOTSHE25" localSheetId="11">#REF!</definedName>
    <definedName name="TOTSHE25">#REF!</definedName>
    <definedName name="TOTSHE26" localSheetId="11">#REF!</definedName>
    <definedName name="TOTSHE26">#REF!</definedName>
    <definedName name="TOTSHE3" localSheetId="11">#REF!</definedName>
    <definedName name="TOTSHE3">#REF!</definedName>
    <definedName name="TOTSHE4" localSheetId="11">#REF!</definedName>
    <definedName name="TOTSHE4">#REF!</definedName>
    <definedName name="TOTSHE5" localSheetId="11">#REF!</definedName>
    <definedName name="TOTSHE5">#REF!</definedName>
    <definedName name="TOTSHE6" localSheetId="11">#REF!</definedName>
    <definedName name="TOTSHE6">#REF!</definedName>
    <definedName name="TOTSHE7" localSheetId="11">#REF!</definedName>
    <definedName name="TOTSHE7">#REF!</definedName>
    <definedName name="TOTSHE8" localSheetId="11">#REF!</definedName>
    <definedName name="TOTSHE8">#REF!</definedName>
    <definedName name="TOTSHE9" localSheetId="11">#REF!</definedName>
    <definedName name="TOTSHE9">#REF!</definedName>
    <definedName name="TotVac">'[10]NOMINA-1'!$N$36</definedName>
    <definedName name="TPE12_">'BASE 2'!$D$114</definedName>
    <definedName name="TPE1701_">'BASE 2'!$D$150</definedName>
    <definedName name="TPE8016_">'BASE 2'!$D$152</definedName>
    <definedName name="TPE8020_">'BASE 2'!$D$153</definedName>
    <definedName name="TPE8025_">'BASE 2'!$D$154</definedName>
    <definedName name="TPF12_">'BASE 2'!$D$411</definedName>
    <definedName name="TPN1002_">'BASE 2'!$D$156</definedName>
    <definedName name="TPN1003_">'BASE 2'!$D$157</definedName>
    <definedName name="TPN1004_">'BASE 2'!$D$158</definedName>
    <definedName name="TPN1006_">'BASE 2'!$D$160</definedName>
    <definedName name="TPN1008_">'BASE 2'!$D$161</definedName>
    <definedName name="TPN1010_">'BASE 2'!$D$162</definedName>
    <definedName name="TPN1202_">'BASE 2'!$D$207</definedName>
    <definedName name="TPN1203_">'BASE 2'!$D$208</definedName>
    <definedName name="TPN1204_">'BASE 2'!$D$209</definedName>
    <definedName name="TPN1206_" localSheetId="8">[15]BASE2!$D$171</definedName>
    <definedName name="TPN1206_" localSheetId="9">[15]BASE2!$D$171</definedName>
    <definedName name="TPN1206_">'BASE 2'!$D$210</definedName>
    <definedName name="TPN1208_">'BASE 2'!$D$211</definedName>
    <definedName name="TPN1210_">'BASE 2'!$D$212</definedName>
    <definedName name="TPN1225_">'BASE 2'!$D$203</definedName>
    <definedName name="TPN1232_">'BASE 2'!$D$204</definedName>
    <definedName name="TPN16012_">'BASE 2'!$D$214</definedName>
    <definedName name="TPN1602_">'BASE 2'!$D$215</definedName>
    <definedName name="TPN1603_">'BASE 2'!$D$216</definedName>
    <definedName name="TPN1604_">'BASE 2'!$D$217</definedName>
    <definedName name="TPN1606_" localSheetId="8">[15]BASE2!$D$179</definedName>
    <definedName name="TPN1606_" localSheetId="9">[15]BASE2!$D$179</definedName>
    <definedName name="TPN1606_">'BASE 2'!$D$218</definedName>
    <definedName name="TPN1608_">'BASE 2'!$D$219</definedName>
    <definedName name="TPN1610_">'BASE 2'!$D$220</definedName>
    <definedName name="TPVCME">'BASE 2'!$D$80</definedName>
    <definedName name="TPVCP1" localSheetId="8">[15]BASE2!$D$88</definedName>
    <definedName name="TPVCP1" localSheetId="9">[15]BASE2!$D$88</definedName>
    <definedName name="TPVCP1">'BASE 2'!$D$81</definedName>
    <definedName name="TPVCS4">'BASE 2'!$D$472</definedName>
    <definedName name="tr" localSheetId="12" hidden="1">{"TAB1",#N/A,TRUE,"GENERAL";"TAB2",#N/A,TRUE,"GENERAL";"TAB3",#N/A,TRUE,"GENERAL";"TAB4",#N/A,TRUE,"GENERAL";"TAB5",#N/A,TRUE,"GENERAL"}</definedName>
    <definedName name="tr" hidden="1">{"TAB1",#N/A,TRUE,"GENERAL";"TAB2",#N/A,TRUE,"GENERAL";"TAB3",#N/A,TRUE,"GENERAL";"TAB4",#N/A,TRUE,"GENERAL";"TAB5",#N/A,TRUE,"GENERAL"}</definedName>
    <definedName name="TrainSpec" localSheetId="11">#REF!</definedName>
    <definedName name="TrainSpec">#REF!</definedName>
    <definedName name="TRANAG" localSheetId="8">[15]BASE2!$D$506</definedName>
    <definedName name="TRANAG" localSheetId="9">[15]BASE2!$D$506</definedName>
    <definedName name="TRANAG">'BASE 2'!$D$755</definedName>
    <definedName name="TRANAR" localSheetId="8">[15]BASE2!$D$497</definedName>
    <definedName name="TRANAR" localSheetId="9">[15]BASE2!$D$497</definedName>
    <definedName name="TRANAR">'BASE 2'!$D$746</definedName>
    <definedName name="TRANS" localSheetId="8">[15]BASE2!$D$498</definedName>
    <definedName name="TRANS" localSheetId="9">[15]BASE2!$D$498</definedName>
    <definedName name="TRANS">'BASE 2'!$D$747</definedName>
    <definedName name="Transmisores" localSheetId="11">#REF!</definedName>
    <definedName name="Transmisores">#REF!</definedName>
    <definedName name="Transporte">'[10]DATOS CONTRATO'!$E$16</definedName>
    <definedName name="TRAT" localSheetId="12">[124]desmonte!$E$48</definedName>
    <definedName name="TRAT">[125]desmonte!$E$48</definedName>
    <definedName name="TREM" localSheetId="11">#REF!</definedName>
    <definedName name="TREM">#REF!</definedName>
    <definedName name="Trenes" localSheetId="11">#REF!</definedName>
    <definedName name="Trenes">#REF!</definedName>
    <definedName name="trest" localSheetId="12" hidden="1">{"TAB1",#N/A,TRUE,"GENERAL";"TAB2",#N/A,TRUE,"GENERAL";"TAB3",#N/A,TRUE,"GENERAL";"TAB4",#N/A,TRUE,"GENERAL";"TAB5",#N/A,TRUE,"GENERAL"}</definedName>
    <definedName name="trest" hidden="1">{"TAB1",#N/A,TRUE,"GENERAL";"TAB2",#N/A,TRUE,"GENERAL";"TAB3",#N/A,TRUE,"GENERAL";"TAB4",#N/A,TRUE,"GENERAL";"TAB5",#N/A,TRUE,"GENERAL"}</definedName>
    <definedName name="tret" localSheetId="12" hidden="1">{"TAB1",#N/A,TRUE,"GENERAL";"TAB2",#N/A,TRUE,"GENERAL";"TAB3",#N/A,TRUE,"GENERAL";"TAB4",#N/A,TRUE,"GENERAL";"TAB5",#N/A,TRUE,"GENERAL"}</definedName>
    <definedName name="tret" hidden="1">{"TAB1",#N/A,TRUE,"GENERAL";"TAB2",#N/A,TRUE,"GENERAL";"TAB3",#N/A,TRUE,"GENERAL";"TAB4",#N/A,TRUE,"GENERAL";"TAB5",#N/A,TRUE,"GENERAL"}</definedName>
    <definedName name="trh" localSheetId="12" hidden="1">{"via1",#N/A,TRUE,"general";"via2",#N/A,TRUE,"general";"via3",#N/A,TRUE,"general"}</definedName>
    <definedName name="trh" hidden="1">{"via1",#N/A,TRUE,"general";"via2",#N/A,TRUE,"general";"via3",#N/A,TRUE,"general"}</definedName>
    <definedName name="trhfh" localSheetId="12" hidden="1">{"via1",#N/A,TRUE,"general";"via2",#N/A,TRUE,"general";"via3",#N/A,TRUE,"general"}</definedName>
    <definedName name="trhfh" hidden="1">{"via1",#N/A,TRUE,"general";"via2",#N/A,TRUE,"general";"via3",#N/A,TRUE,"general"}</definedName>
    <definedName name="tri" localSheetId="11">#REF!</definedName>
    <definedName name="tri">#REF!</definedName>
    <definedName name="TRI14_">'BASE 2'!$D$311</definedName>
    <definedName name="Trimestre1" localSheetId="11">#REF!</definedName>
    <definedName name="Trimestre1">#REF!</definedName>
    <definedName name="Trimestre2" localSheetId="11">#REF!</definedName>
    <definedName name="Trimestre2">#REF!</definedName>
    <definedName name="Trimestre3" localSheetId="11">#REF!</definedName>
    <definedName name="Trimestre3">#REF!</definedName>
    <definedName name="Trimestre4" localSheetId="11">#REF!</definedName>
    <definedName name="Trimestre4">#REF!</definedName>
    <definedName name="TRITM">'BASE 2'!$D$65</definedName>
    <definedName name="TRITU" localSheetId="8">[15]BASE2!$D$66</definedName>
    <definedName name="TRITU" localSheetId="9">[15]BASE2!$D$66</definedName>
    <definedName name="TRITU">'BASE 2'!$D$58</definedName>
    <definedName name="trjfgjh" localSheetId="12" hidden="1">{"via1",#N/A,TRUE,"general";"via2",#N/A,TRUE,"general";"via3",#N/A,TRUE,"general"}</definedName>
    <definedName name="trjfgjh" hidden="1">{"via1",#N/A,TRUE,"general";"via2",#N/A,TRUE,"general";"via3",#N/A,TRUE,"general"}</definedName>
    <definedName name="TRM">[126]Tablas!$B$2</definedName>
    <definedName name="tru" localSheetId="12" hidden="1">{"via1",#N/A,TRUE,"general";"via2",#N/A,TRUE,"general";"via3",#N/A,TRUE,"general"}</definedName>
    <definedName name="tru" hidden="1">{"via1",#N/A,TRUE,"general";"via2",#N/A,TRUE,"general";"via3",#N/A,TRUE,"general"}</definedName>
    <definedName name="truds" localSheetId="12" hidden="1">{"via1",#N/A,TRUE,"general";"via2",#N/A,TRUE,"general";"via3",#N/A,TRUE,"general"}</definedName>
    <definedName name="truds" hidden="1">{"via1",#N/A,TRUE,"general";"via2",#N/A,TRUE,"general";"via3",#N/A,TRUE,"general"}</definedName>
    <definedName name="trutu" localSheetId="12" hidden="1">{"via1",#N/A,TRUE,"general";"via2",#N/A,TRUE,"general";"via3",#N/A,TRUE,"general"}</definedName>
    <definedName name="trutu" hidden="1">{"via1",#N/A,TRUE,"general";"via2",#N/A,TRUE,"general";"via3",#N/A,TRUE,"general"}</definedName>
    <definedName name="trydfg" localSheetId="12" hidden="1">{"via1",#N/A,TRUE,"general";"via2",#N/A,TRUE,"general";"via3",#N/A,TRUE,"general"}</definedName>
    <definedName name="trydfg" hidden="1">{"via1",#N/A,TRUE,"general";"via2",#N/A,TRUE,"general";"via3",#N/A,TRUE,"general"}</definedName>
    <definedName name="trydtrygf" localSheetId="12" hidden="1">{"via1",#N/A,TRUE,"general";"via2",#N/A,TRUE,"general";"via3",#N/A,TRUE,"general"}</definedName>
    <definedName name="trydtrygf" hidden="1">{"via1",#N/A,TRUE,"general";"via2",#N/A,TRUE,"general";"via3",#N/A,TRUE,"general"}</definedName>
    <definedName name="tryery" localSheetId="12" hidden="1">{"TAB1",#N/A,TRUE,"GENERAL";"TAB2",#N/A,TRUE,"GENERAL";"TAB3",#N/A,TRUE,"GENERAL";"TAB4",#N/A,TRUE,"GENERAL";"TAB5",#N/A,TRUE,"GENERAL"}</definedName>
    <definedName name="tryery" hidden="1">{"TAB1",#N/A,TRUE,"GENERAL";"TAB2",#N/A,TRUE,"GENERAL";"TAB3",#N/A,TRUE,"GENERAL";"TAB4",#N/A,TRUE,"GENERAL";"TAB5",#N/A,TRUE,"GENERAL"}</definedName>
    <definedName name="tryi6" localSheetId="12" hidden="1">{"TAB1",#N/A,TRUE,"GENERAL";"TAB2",#N/A,TRUE,"GENERAL";"TAB3",#N/A,TRUE,"GENERAL";"TAB4",#N/A,TRUE,"GENERAL";"TAB5",#N/A,TRUE,"GENERAL"}</definedName>
    <definedName name="tryi6" hidden="1">{"TAB1",#N/A,TRUE,"GENERAL";"TAB2",#N/A,TRUE,"GENERAL";"TAB3",#N/A,TRUE,"GENERAL";"TAB4",#N/A,TRUE,"GENERAL";"TAB5",#N/A,TRUE,"GENERAL"}</definedName>
    <definedName name="tryrth" localSheetId="12" hidden="1">{"via1",#N/A,TRUE,"general";"via2",#N/A,TRUE,"general";"via3",#N/A,TRUE,"general"}</definedName>
    <definedName name="tryrth" hidden="1">{"via1",#N/A,TRUE,"general";"via2",#N/A,TRUE,"general";"via3",#N/A,TRUE,"general"}</definedName>
    <definedName name="tsert" localSheetId="12" hidden="1">{"TAB1",#N/A,TRUE,"GENERAL";"TAB2",#N/A,TRUE,"GENERAL";"TAB3",#N/A,TRUE,"GENERAL";"TAB4",#N/A,TRUE,"GENERAL";"TAB5",#N/A,TRUE,"GENERAL"}</definedName>
    <definedName name="tsert" hidden="1">{"TAB1",#N/A,TRUE,"GENERAL";"TAB2",#N/A,TRUE,"GENERAL";"TAB3",#N/A,TRUE,"GENERAL";"TAB4",#N/A,TRUE,"GENERAL";"TAB5",#N/A,TRUE,"GENERAL"}</definedName>
    <definedName name="TtCD" localSheetId="11">#REF!</definedName>
    <definedName name="TtCD" localSheetId="12">#REF!</definedName>
    <definedName name="TtCD">#REF!</definedName>
    <definedName name="TTR" localSheetId="12" hidden="1">{"via1",#N/A,TRUE,"general";"via2",#N/A,TRUE,"general";"via3",#N/A,TRUE,"general"}</definedName>
    <definedName name="TTR" hidden="1">{"via1",#N/A,TRUE,"general";"via2",#N/A,TRUE,"general";"via3",#N/A,TRUE,"general"}</definedName>
    <definedName name="ttrff" localSheetId="12" hidden="1">{"via1",#N/A,TRUE,"general";"via2",#N/A,TRUE,"general";"via3",#N/A,TRUE,"general"}</definedName>
    <definedName name="ttrff" hidden="1">{"via1",#N/A,TRUE,"general";"via2",#N/A,TRUE,"general";"via3",#N/A,TRUE,"general"}</definedName>
    <definedName name="ttt" localSheetId="12" hidden="1">{"TAB1",#N/A,TRUE,"GENERAL";"TAB2",#N/A,TRUE,"GENERAL";"TAB3",#N/A,TRUE,"GENERAL";"TAB4",#N/A,TRUE,"GENERAL";"TAB5",#N/A,TRUE,"GENERAL"}</definedName>
    <definedName name="ttt" hidden="1">{"TAB1",#N/A,TRUE,"GENERAL";"TAB2",#N/A,TRUE,"GENERAL";"TAB3",#N/A,TRUE,"GENERAL";"TAB4",#N/A,TRUE,"GENERAL";"TAB5",#N/A,TRUE,"GENERAL"}</definedName>
    <definedName name="tttt7" localSheetId="12" hidden="1">{"via1",#N/A,TRUE,"general";"via2",#N/A,TRUE,"general";"via3",#N/A,TRUE,"general"}</definedName>
    <definedName name="tttt7" hidden="1">{"via1",#N/A,TRUE,"general";"via2",#N/A,TRUE,"general";"via3",#N/A,TRUE,"general"}</definedName>
    <definedName name="tttthy" localSheetId="12" hidden="1">{"TAB1",#N/A,TRUE,"GENERAL";"TAB2",#N/A,TRUE,"GENERAL";"TAB3",#N/A,TRUE,"GENERAL";"TAB4",#N/A,TRUE,"GENERAL";"TAB5",#N/A,TRUE,"GENERAL"}</definedName>
    <definedName name="tttthy" hidden="1">{"TAB1",#N/A,TRUE,"GENERAL";"TAB2",#N/A,TRUE,"GENERAL";"TAB3",#N/A,TRUE,"GENERAL";"TAB4",#N/A,TRUE,"GENERAL";"TAB5",#N/A,TRUE,"GENERAL"}</definedName>
    <definedName name="ttttr" localSheetId="12" hidden="1">{"via1",#N/A,TRUE,"general";"via2",#N/A,TRUE,"general";"via3",#N/A,TRUE,"general"}</definedName>
    <definedName name="ttttr" hidden="1">{"via1",#N/A,TRUE,"general";"via2",#N/A,TRUE,"general";"via3",#N/A,TRUE,"general"}</definedName>
    <definedName name="ttttt" localSheetId="12" hidden="1">{"TAB1",#N/A,TRUE,"GENERAL";"TAB2",#N/A,TRUE,"GENERAL";"TAB3",#N/A,TRUE,"GENERAL";"TAB4",#N/A,TRUE,"GENERAL";"TAB5",#N/A,TRUE,"GENERAL"}</definedName>
    <definedName name="ttttt" hidden="1">{"TAB1",#N/A,TRUE,"GENERAL";"TAB2",#N/A,TRUE,"GENERAL";"TAB3",#N/A,TRUE,"GENERAL";"TAB4",#N/A,TRUE,"GENERAL";"TAB5",#N/A,TRUE,"GENERAL"}</definedName>
    <definedName name="tu" localSheetId="12" hidden="1">{"via1",#N/A,TRUE,"general";"via2",#N/A,TRUE,"general";"via3",#N/A,TRUE,"general"}</definedName>
    <definedName name="tu" hidden="1">{"via1",#N/A,TRUE,"general";"via2",#N/A,TRUE,"general";"via3",#N/A,TRUE,"general"}</definedName>
    <definedName name="TUAC12">'BASE 2'!$D$314</definedName>
    <definedName name="TUBERIA" localSheetId="11" hidden="1">#REF!</definedName>
    <definedName name="TUBERIA" hidden="1">#REF!</definedName>
    <definedName name="Tubería" localSheetId="11">#REF!</definedName>
    <definedName name="Tubería">#REF!</definedName>
    <definedName name="TUBERIA1" localSheetId="11" hidden="1">#REF!</definedName>
    <definedName name="TUBERIA1" hidden="1">#REF!</definedName>
    <definedName name="TUBNE">'BASE 2'!$D$429</definedName>
    <definedName name="TUBS2">'BASE 2'!$D$235</definedName>
    <definedName name="TUBS3" localSheetId="8">[15]BASE2!$D$202</definedName>
    <definedName name="TUBS3" localSheetId="9">[15]BASE2!$D$202</definedName>
    <definedName name="TUBS3">'BASE 2'!$D$236</definedName>
    <definedName name="TUBS4" localSheetId="8">[15]BASE2!$D$203</definedName>
    <definedName name="TUBS4" localSheetId="9">[15]BASE2!$D$203</definedName>
    <definedName name="TUBS4">'BASE 2'!$D$237</definedName>
    <definedName name="TUBS6" localSheetId="8">[15]BASE2!$D$204</definedName>
    <definedName name="TUBS6" localSheetId="9">[15]BASE2!$D$204</definedName>
    <definedName name="TUBS6">'BASE 2'!$D$238</definedName>
    <definedName name="tur" localSheetId="12" hidden="1">{"TAB1",#N/A,TRUE,"GENERAL";"TAB2",#N/A,TRUE,"GENERAL";"TAB3",#N/A,TRUE,"GENERAL";"TAB4",#N/A,TRUE,"GENERAL";"TAB5",#N/A,TRUE,"GENERAL"}</definedName>
    <definedName name="tur" hidden="1">{"TAB1",#N/A,TRUE,"GENERAL";"TAB2",#N/A,TRUE,"GENERAL";"TAB3",#N/A,TRUE,"GENERAL";"TAB4",#N/A,TRUE,"GENERAL";"TAB5",#N/A,TRUE,"GENERAL"}</definedName>
    <definedName name="turu" localSheetId="12" hidden="1">{"TAB1",#N/A,TRUE,"GENERAL";"TAB2",#N/A,TRUE,"GENERAL";"TAB3",#N/A,TRUE,"GENERAL";"TAB4",#N/A,TRUE,"GENERAL";"TAB5",#N/A,TRUE,"GENERAL"}</definedName>
    <definedName name="turu" hidden="1">{"TAB1",#N/A,TRUE,"GENERAL";"TAB2",#N/A,TRUE,"GENERAL";"TAB3",#N/A,TRUE,"GENERAL";"TAB4",#N/A,TRUE,"GENERAL";"TAB5",#N/A,TRUE,"GENERAL"}</definedName>
    <definedName name="tvmenor90min" localSheetId="11">'[106]CCP,LEYES, Y DEC.'!#REF!</definedName>
    <definedName name="tvmenor90min">'[106]CCP,LEYES, Y DEC.'!#REF!</definedName>
    <definedName name="twer" localSheetId="12" hidden="1">{"TAB1",#N/A,TRUE,"GENERAL";"TAB2",#N/A,TRUE,"GENERAL";"TAB3",#N/A,TRUE,"GENERAL";"TAB4",#N/A,TRUE,"GENERAL";"TAB5",#N/A,TRUE,"GENERAL"}</definedName>
    <definedName name="twer" hidden="1">{"TAB1",#N/A,TRUE,"GENERAL";"TAB2",#N/A,TRUE,"GENERAL";"TAB3",#N/A,TRUE,"GENERAL";"TAB4",#N/A,TRUE,"GENERAL";"TAB5",#N/A,TRUE,"GENERAL"}</definedName>
    <definedName name="twet" localSheetId="12" hidden="1">{"TAB1",#N/A,TRUE,"GENERAL";"TAB2",#N/A,TRUE,"GENERAL";"TAB3",#N/A,TRUE,"GENERAL";"TAB4",#N/A,TRUE,"GENERAL";"TAB5",#N/A,TRUE,"GENERAL"}</definedName>
    <definedName name="twet" hidden="1">{"TAB1",#N/A,TRUE,"GENERAL";"TAB2",#N/A,TRUE,"GENERAL";"TAB3",#N/A,TRUE,"GENERAL";"TAB4",#N/A,TRUE,"GENERAL";"TAB5",#N/A,TRUE,"GENERAL"}</definedName>
    <definedName name="ty" localSheetId="12" hidden="1">{"via1",#N/A,TRUE,"general";"via2",#N/A,TRUE,"general";"via3",#N/A,TRUE,"general"}</definedName>
    <definedName name="ty" hidden="1">{"via1",#N/A,TRUE,"general";"via2",#N/A,TRUE,"general";"via3",#N/A,TRUE,"general"}</definedName>
    <definedName name="tyery" localSheetId="12" hidden="1">{"via1",#N/A,TRUE,"general";"via2",#N/A,TRUE,"general";"via3",#N/A,TRUE,"general"}</definedName>
    <definedName name="tyery" hidden="1">{"via1",#N/A,TRUE,"general";"via2",#N/A,TRUE,"general";"via3",#N/A,TRUE,"general"}</definedName>
    <definedName name="tyj" localSheetId="12" hidden="1">{"TAB1",#N/A,TRUE,"GENERAL";"TAB2",#N/A,TRUE,"GENERAL";"TAB3",#N/A,TRUE,"GENERAL";"TAB4",#N/A,TRUE,"GENERAL";"TAB5",#N/A,TRUE,"GENERAL"}</definedName>
    <definedName name="tyj" hidden="1">{"TAB1",#N/A,TRUE,"GENERAL";"TAB2",#N/A,TRUE,"GENERAL";"TAB3",#N/A,TRUE,"GENERAL";"TAB4",#N/A,TRUE,"GENERAL";"TAB5",#N/A,TRUE,"GENERAL"}</definedName>
    <definedName name="tyjtyj" localSheetId="12" hidden="1">{"TAB1",#N/A,TRUE,"GENERAL";"TAB2",#N/A,TRUE,"GENERAL";"TAB3",#N/A,TRUE,"GENERAL";"TAB4",#N/A,TRUE,"GENERAL";"TAB5",#N/A,TRUE,"GENERAL"}</definedName>
    <definedName name="tyjtyj" hidden="1">{"TAB1",#N/A,TRUE,"GENERAL";"TAB2",#N/A,TRUE,"GENERAL";"TAB3",#N/A,TRUE,"GENERAL";"TAB4",#N/A,TRUE,"GENERAL";"TAB5",#N/A,TRUE,"GENERAL"}</definedName>
    <definedName name="tyjytjuyjuy" localSheetId="12" hidden="1">{"TAB1",#N/A,TRUE,"GENERAL";"TAB2",#N/A,TRUE,"GENERAL";"TAB3",#N/A,TRUE,"GENERAL";"TAB4",#N/A,TRUE,"GENERAL";"TAB5",#N/A,TRUE,"GENERAL"}</definedName>
    <definedName name="tyjytjuyjuy" hidden="1">{"TAB1",#N/A,TRUE,"GENERAL";"TAB2",#N/A,TRUE,"GENERAL";"TAB3",#N/A,TRUE,"GENERAL";"TAB4",#N/A,TRUE,"GENERAL";"TAB5",#N/A,TRUE,"GENERAL"}</definedName>
    <definedName name="tyk" localSheetId="12" hidden="1">{"via1",#N/A,TRUE,"general";"via2",#N/A,TRUE,"general";"via3",#N/A,TRUE,"general"}</definedName>
    <definedName name="tyk" hidden="1">{"via1",#N/A,TRUE,"general";"via2",#N/A,TRUE,"general";"via3",#N/A,TRUE,"general"}</definedName>
    <definedName name="tym" localSheetId="12" hidden="1">{"via1",#N/A,TRUE,"general";"via2",#N/A,TRUE,"general";"via3",#N/A,TRUE,"general"}</definedName>
    <definedName name="tym" hidden="1">{"via1",#N/A,TRUE,"general";"via2",#N/A,TRUE,"general";"via3",#N/A,TRUE,"general"}</definedName>
    <definedName name="tyr" localSheetId="12" hidden="1">{"via1",#N/A,TRUE,"general";"via2",#N/A,TRUE,"general";"via3",#N/A,TRUE,"general"}</definedName>
    <definedName name="tyr" hidden="1">{"via1",#N/A,TRUE,"general";"via2",#N/A,TRUE,"general";"via3",#N/A,TRUE,"general"}</definedName>
    <definedName name="tytgfhgfh" localSheetId="12" hidden="1">{"TAB1",#N/A,TRUE,"GENERAL";"TAB2",#N/A,TRUE,"GENERAL";"TAB3",#N/A,TRUE,"GENERAL";"TAB4",#N/A,TRUE,"GENERAL";"TAB5",#N/A,TRUE,"GENERAL"}</definedName>
    <definedName name="tytgfhgfh" hidden="1">{"TAB1",#N/A,TRUE,"GENERAL";"TAB2",#N/A,TRUE,"GENERAL";"TAB3",#N/A,TRUE,"GENERAL";"TAB4",#N/A,TRUE,"GENERAL";"TAB5",#N/A,TRUE,"GENERAL"}</definedName>
    <definedName name="tyty" localSheetId="12" hidden="1">{"TAB1",#N/A,TRUE,"GENERAL";"TAB2",#N/A,TRUE,"GENERAL";"TAB3",#N/A,TRUE,"GENERAL";"TAB4",#N/A,TRUE,"GENERAL";"TAB5",#N/A,TRUE,"GENERAL"}</definedName>
    <definedName name="tyty" hidden="1">{"TAB1",#N/A,TRUE,"GENERAL";"TAB2",#N/A,TRUE,"GENERAL";"TAB3",#N/A,TRUE,"GENERAL";"TAB4",#N/A,TRUE,"GENERAL";"TAB5",#N/A,TRUE,"GENERAL"}</definedName>
    <definedName name="TYUIYI" localSheetId="12" hidden="1">{"TAB1",#N/A,TRUE,"GENERAL";"TAB2",#N/A,TRUE,"GENERAL";"TAB3",#N/A,TRUE,"GENERAL";"TAB4",#N/A,TRUE,"GENERAL";"TAB5",#N/A,TRUE,"GENERAL"}</definedName>
    <definedName name="TYUIYI" hidden="1">{"TAB1",#N/A,TRUE,"GENERAL";"TAB2",#N/A,TRUE,"GENERAL";"TAB3",#N/A,TRUE,"GENERAL";"TAB4",#N/A,TRUE,"GENERAL";"TAB5",#N/A,TRUE,"GENERAL"}</definedName>
    <definedName name="tyujh" localSheetId="12" hidden="1">{"TAB1",#N/A,TRUE,"GENERAL";"TAB2",#N/A,TRUE,"GENERAL";"TAB3",#N/A,TRUE,"GENERAL";"TAB4",#N/A,TRUE,"GENERAL";"TAB5",#N/A,TRUE,"GENERAL"}</definedName>
    <definedName name="tyujh" hidden="1">{"TAB1",#N/A,TRUE,"GENERAL";"TAB2",#N/A,TRUE,"GENERAL";"TAB3",#N/A,TRUE,"GENERAL";"TAB4",#N/A,TRUE,"GENERAL";"TAB5",#N/A,TRUE,"GENERAL"}</definedName>
    <definedName name="tyuty" localSheetId="12" hidden="1">{"TAB1",#N/A,TRUE,"GENERAL";"TAB2",#N/A,TRUE,"GENERAL";"TAB3",#N/A,TRUE,"GENERAL";"TAB4",#N/A,TRUE,"GENERAL";"TAB5",#N/A,TRUE,"GENERAL"}</definedName>
    <definedName name="tyuty" hidden="1">{"TAB1",#N/A,TRUE,"GENERAL";"TAB2",#N/A,TRUE,"GENERAL";"TAB3",#N/A,TRUE,"GENERAL";"TAB4",#N/A,TRUE,"GENERAL";"TAB5",#N/A,TRUE,"GENERAL"}</definedName>
    <definedName name="tyutyu" localSheetId="12" hidden="1">{"via1",#N/A,TRUE,"general";"via2",#N/A,TRUE,"general";"via3",#N/A,TRUE,"general"}</definedName>
    <definedName name="tyutyu" hidden="1">{"via1",#N/A,TRUE,"general";"via2",#N/A,TRUE,"general";"via3",#N/A,TRUE,"general"}</definedName>
    <definedName name="tyxg" localSheetId="12" hidden="1">{"via1",#N/A,TRUE,"general";"via2",#N/A,TRUE,"general";"via3",#N/A,TRUE,"general"}</definedName>
    <definedName name="tyxg" hidden="1">{"via1",#N/A,TRUE,"general";"via2",#N/A,TRUE,"general";"via3",#N/A,TRUE,"general"}</definedName>
    <definedName name="TZ2110_" localSheetId="8">[15]BASE2!$D$96</definedName>
    <definedName name="TZ2110_" localSheetId="9">[15]BASE2!$D$96</definedName>
    <definedName name="TZ2110_">'BASE 2'!$D$89</definedName>
    <definedName name="TZ2112_">'BASE 2'!$D$90</definedName>
    <definedName name="TZ2114_">'BASE 2'!$D$91</definedName>
    <definedName name="TZ2116_">'BASE 2'!$D$92</definedName>
    <definedName name="TZ212_">'BASE 2'!$D$83</definedName>
    <definedName name="TZ213_" localSheetId="8">[15]BASE2!$D$92</definedName>
    <definedName name="TZ213_" localSheetId="9">[15]BASE2!$D$92</definedName>
    <definedName name="TZ213_">'BASE 2'!$D$85</definedName>
    <definedName name="TZ214_" localSheetId="8">[15]BASE2!$D$93</definedName>
    <definedName name="TZ214_" localSheetId="9">[15]BASE2!$D$93</definedName>
    <definedName name="TZ214_">'BASE 2'!$D$86</definedName>
    <definedName name="TZ216_" localSheetId="8">[15]BASE2!$D$94</definedName>
    <definedName name="TZ216_" localSheetId="9">[15]BASE2!$D$94</definedName>
    <definedName name="TZ216_">'BASE 2'!$D$87</definedName>
    <definedName name="TZ218_" localSheetId="8">[15]BASE2!$D$95</definedName>
    <definedName name="TZ218_" localSheetId="9">[15]BASE2!$D$95</definedName>
    <definedName name="TZ218_">'BASE 2'!$D$88</definedName>
    <definedName name="TZ225_">'BASE 2'!$D$84</definedName>
    <definedName name="TZ2610_">'BASE 2'!$D$99</definedName>
    <definedName name="TZ2612_" localSheetId="8">[15]BASE2!$D$107</definedName>
    <definedName name="TZ2612_" localSheetId="9">[15]BASE2!$D$107</definedName>
    <definedName name="TZ2612_">'BASE 2'!$D$100</definedName>
    <definedName name="TZ262_" localSheetId="8">[15]BASE2!$D$101</definedName>
    <definedName name="TZ262_" localSheetId="9">[15]BASE2!$D$101</definedName>
    <definedName name="TZ262_">'BASE 2'!$D$94</definedName>
    <definedName name="TZ263_" localSheetId="8">[15]BASE2!$D$102</definedName>
    <definedName name="TZ263_" localSheetId="9">[15]BASE2!$D$102</definedName>
    <definedName name="TZ263_">'BASE 2'!$D$95</definedName>
    <definedName name="TZ264_">'BASE 2'!$D$96</definedName>
    <definedName name="TZ266_">'BASE 2'!$D$97</definedName>
    <definedName name="TZ268_" localSheetId="8">[15]BASE2!$D$105</definedName>
    <definedName name="TZ268_" localSheetId="9">[15]BASE2!$D$105</definedName>
    <definedName name="TZ268_">'BASE 2'!$D$98</definedName>
    <definedName name="TZ32510_">'BASE 2'!$D$106</definedName>
    <definedName name="TZ32512_">'BASE 2'!$D$107</definedName>
    <definedName name="TZ3253_">'BASE 2'!$D$102</definedName>
    <definedName name="TZ3254_">'BASE 2'!$D$103</definedName>
    <definedName name="TZ3256_">'BASE 2'!$D$104</definedName>
    <definedName name="TZ3258_">'BASE 2'!$D$105</definedName>
    <definedName name="TZ4110_">'BASE 2'!$D$112</definedName>
    <definedName name="TZ4112_">'BASE 2'!$D$113</definedName>
    <definedName name="TZ414_">'BASE 2'!$D$109</definedName>
    <definedName name="TZ416_">'BASE 2'!$D$110</definedName>
    <definedName name="TZ418_">'BASE 2'!$D$111</definedName>
    <definedName name="U" localSheetId="11">#REF!</definedName>
    <definedName name="U" localSheetId="12">#REF!</definedName>
    <definedName name="U">#REF!</definedName>
    <definedName name="u3u" localSheetId="12" hidden="1">{"TAB1",#N/A,TRUE,"GENERAL";"TAB2",#N/A,TRUE,"GENERAL";"TAB3",#N/A,TRUE,"GENERAL";"TAB4",#N/A,TRUE,"GENERAL";"TAB5",#N/A,TRUE,"GENERAL"}</definedName>
    <definedName name="u3u" hidden="1">{"TAB1",#N/A,TRUE,"GENERAL";"TAB2",#N/A,TRUE,"GENERAL";"TAB3",#N/A,TRUE,"GENERAL";"TAB4",#N/A,TRUE,"GENERAL";"TAB5",#N/A,TRUE,"GENERAL"}</definedName>
    <definedName name="u7u7" localSheetId="12" hidden="1">{"TAB1",#N/A,TRUE,"GENERAL";"TAB2",#N/A,TRUE,"GENERAL";"TAB3",#N/A,TRUE,"GENERAL";"TAB4",#N/A,TRUE,"GENERAL";"TAB5",#N/A,TRUE,"GENERAL"}</definedName>
    <definedName name="u7u7" hidden="1">{"TAB1",#N/A,TRUE,"GENERAL";"TAB2",#N/A,TRUE,"GENERAL";"TAB3",#N/A,TRUE,"GENERAL";"TAB4",#N/A,TRUE,"GENERAL";"TAB5",#N/A,TRUE,"GENERAL"}</definedName>
    <definedName name="UALU">'BASE 2'!$D$427</definedName>
    <definedName name="Ubicación" localSheetId="11">#REF!</definedName>
    <definedName name="Ubicación" localSheetId="12">#REF!</definedName>
    <definedName name="Ubicación">#REF!</definedName>
    <definedName name="UDD06_">'BASE 2'!$D$461</definedName>
    <definedName name="UDD08_">'BASE 2'!$D$462</definedName>
    <definedName name="UFrm2InUse">1</definedName>
    <definedName name="UI" localSheetId="12" hidden="1">{"via1",#N/A,TRUE,"general";"via2",#N/A,TRUE,"general";"via3",#N/A,TRUE,"general"}</definedName>
    <definedName name="UI" hidden="1">{"via1",#N/A,TRUE,"general";"via2",#N/A,TRUE,"general";"via3",#N/A,TRUE,"general"}</definedName>
    <definedName name="UIC" localSheetId="11">[12]Tablas!#REF!</definedName>
    <definedName name="UIC">[12]Tablas!#REF!</definedName>
    <definedName name="uijhj" localSheetId="12" hidden="1">{"via1",#N/A,TRUE,"general";"via2",#N/A,TRUE,"general";"via3",#N/A,TRUE,"general"}</definedName>
    <definedName name="uijhj" hidden="1">{"via1",#N/A,TRUE,"general";"via2",#N/A,TRUE,"general";"via3",#N/A,TRUE,"general"}</definedName>
    <definedName name="uio" localSheetId="12" hidden="1">{"TAB1",#N/A,TRUE,"GENERAL";"TAB2",#N/A,TRUE,"GENERAL";"TAB3",#N/A,TRUE,"GENERAL";"TAB4",#N/A,TRUE,"GENERAL";"TAB5",#N/A,TRUE,"GENERAL"}</definedName>
    <definedName name="uio" hidden="1">{"TAB1",#N/A,TRUE,"GENERAL";"TAB2",#N/A,TRUE,"GENERAL";"TAB3",#N/A,TRUE,"GENERAL";"TAB4",#N/A,TRUE,"GENERAL";"TAB5",#N/A,TRUE,"GENERAL"}</definedName>
    <definedName name="uiou" localSheetId="12" hidden="1">{"TAB1",#N/A,TRUE,"GENERAL";"TAB2",#N/A,TRUE,"GENERAL";"TAB3",#N/A,TRUE,"GENERAL";"TAB4",#N/A,TRUE,"GENERAL";"TAB5",#N/A,TRUE,"GENERAL"}</definedName>
    <definedName name="uiou" hidden="1">{"TAB1",#N/A,TRUE,"GENERAL";"TAB2",#N/A,TRUE,"GENERAL";"TAB3",#N/A,TRUE,"GENERAL";"TAB4",#N/A,TRUE,"GENERAL";"TAB5",#N/A,TRUE,"GENERAL"}</definedName>
    <definedName name="uir" localSheetId="12" hidden="1">{"via1",#N/A,TRUE,"general";"via2",#N/A,TRUE,"general";"via3",#N/A,TRUE,"general"}</definedName>
    <definedName name="uir" hidden="1">{"via1",#N/A,TRUE,"general";"via2",#N/A,TRUE,"general";"via3",#N/A,TRUE,"general"}</definedName>
    <definedName name="uituii" localSheetId="12" hidden="1">{"TAB1",#N/A,TRUE,"GENERAL";"TAB2",#N/A,TRUE,"GENERAL";"TAB3",#N/A,TRUE,"GENERAL";"TAB4",#N/A,TRUE,"GENERAL";"TAB5",#N/A,TRUE,"GENERAL"}</definedName>
    <definedName name="uituii" hidden="1">{"TAB1",#N/A,TRUE,"GENERAL";"TAB2",#N/A,TRUE,"GENERAL";"TAB3",#N/A,TRUE,"GENERAL";"TAB4",#N/A,TRUE,"GENERAL";"TAB5",#N/A,TRUE,"GENERAL"}</definedName>
    <definedName name="uityjj" localSheetId="12" hidden="1">{"via1",#N/A,TRUE,"general";"via2",#N/A,TRUE,"general";"via3",#N/A,TRUE,"general"}</definedName>
    <definedName name="uityjj" hidden="1">{"via1",#N/A,TRUE,"general";"via2",#N/A,TRUE,"general";"via3",#N/A,TRUE,"general"}</definedName>
    <definedName name="uiufgj" localSheetId="12" hidden="1">{"TAB1",#N/A,TRUE,"GENERAL";"TAB2",#N/A,TRUE,"GENERAL";"TAB3",#N/A,TRUE,"GENERAL";"TAB4",#N/A,TRUE,"GENERAL";"TAB5",#N/A,TRUE,"GENERAL"}</definedName>
    <definedName name="uiufgj" hidden="1">{"TAB1",#N/A,TRUE,"GENERAL";"TAB2",#N/A,TRUE,"GENERAL";"TAB3",#N/A,TRUE,"GENERAL";"TAB4",#N/A,TRUE,"GENERAL";"TAB5",#N/A,TRUE,"GENERAL"}</definedName>
    <definedName name="UIUYI" localSheetId="12" hidden="1">{"TAB1",#N/A,TRUE,"GENERAL";"TAB2",#N/A,TRUE,"GENERAL";"TAB3",#N/A,TRUE,"GENERAL";"TAB4",#N/A,TRUE,"GENERAL";"TAB5",#N/A,TRUE,"GENERAL"}</definedName>
    <definedName name="UIUYI" hidden="1">{"TAB1",#N/A,TRUE,"GENERAL";"TAB2",#N/A,TRUE,"GENERAL";"TAB3",#N/A,TRUE,"GENERAL";"TAB4",#N/A,TRUE,"GENERAL";"TAB5",#N/A,TRUE,"GENERAL"}</definedName>
    <definedName name="UK" localSheetId="11">#REF!</definedName>
    <definedName name="UK">#REF!</definedName>
    <definedName name="UN_PRI" localSheetId="11">#REF!</definedName>
    <definedName name="UN_PRI">#REF!</definedName>
    <definedName name="UNI32_">'BASE 2'!$D$231</definedName>
    <definedName name="UNIT">'[127]Lista APU'!$A$3:$D$479</definedName>
    <definedName name="UNITARIO">[128]Unitarios!$A$3:$D$13</definedName>
    <definedName name="Unitarios" localSheetId="11">#REF!</definedName>
    <definedName name="Unitarios" localSheetId="12">#REF!</definedName>
    <definedName name="Unitarios">#REF!</definedName>
    <definedName name="unj" localSheetId="11" hidden="1">[20]INST!#REF!</definedName>
    <definedName name="unj" hidden="1">[20]INST!#REF!</definedName>
    <definedName name="UNL24_">'BASE 2'!$D$279</definedName>
    <definedName name="UNL27_">'BASE 2'!$D$280</definedName>
    <definedName name="UNL30_">'BASE 2'!$D$281</definedName>
    <definedName name="UNL33_">'BASE 2'!$D$282</definedName>
    <definedName name="UNL36_">'BASE 2'!$D$283</definedName>
    <definedName name="UNL39_">'BASE 2'!$D$284</definedName>
    <definedName name="UNL42_">'BASE 2'!$D$285</definedName>
    <definedName name="UNL45_">'BASE 2'!$D$286</definedName>
    <definedName name="UNL48_">'BASE 2'!$D$287</definedName>
    <definedName name="UNL51_">'BASE 2'!$D$288</definedName>
    <definedName name="UNL54_">'BASE 2'!$D$289</definedName>
    <definedName name="UNL60_">'BASE 2'!$D$290</definedName>
    <definedName name="uno" localSheetId="12">'Formulario No. 1'!ERR</definedName>
    <definedName name="uno">[0]!ERR</definedName>
    <definedName name="UNR90_">'BASE 2'!$D$233</definedName>
    <definedName name="UOUIV" localSheetId="12" hidden="1">{"TAB1",#N/A,TRUE,"GENERAL";"TAB2",#N/A,TRUE,"GENERAL";"TAB3",#N/A,TRUE,"GENERAL";"TAB4",#N/A,TRUE,"GENERAL";"TAB5",#N/A,TRUE,"GENERAL"}</definedName>
    <definedName name="UOUIV" hidden="1">{"TAB1",#N/A,TRUE,"GENERAL";"TAB2",#N/A,TRUE,"GENERAL";"TAB3",#N/A,TRUE,"GENERAL";"TAB4",#N/A,TRUE,"GENERAL";"TAB5",#N/A,TRUE,"GENERAL"}</definedName>
    <definedName name="URAP10">'BASE 2'!$D$118</definedName>
    <definedName name="URAP2">'BASE 2'!$D$123</definedName>
    <definedName name="URAP3">'BASE 2'!$D$122</definedName>
    <definedName name="URAP4">'BASE 2'!$D$121</definedName>
    <definedName name="URAP6">'BASE 2'!$D$120</definedName>
    <definedName name="URAP8">'BASE 2'!$D$119</definedName>
    <definedName name="UREP12">'BASE 2'!$D$125</definedName>
    <definedName name="UREP3">'BASE 2'!$D$131</definedName>
    <definedName name="UREP4">'BASE 2'!$D$132</definedName>
    <definedName name="UREP6">'BASE 2'!$D$129</definedName>
    <definedName name="UREP8">'BASE 2'!$D$128</definedName>
    <definedName name="uriel" localSheetId="12">'Formulario No. 1'!ERR</definedName>
    <definedName name="uriel">[0]!ERR</definedName>
    <definedName name="uryur" localSheetId="12" hidden="1">{"TAB1",#N/A,TRUE,"GENERAL";"TAB2",#N/A,TRUE,"GENERAL";"TAB3",#N/A,TRUE,"GENERAL";"TAB4",#N/A,TRUE,"GENERAL";"TAB5",#N/A,TRUE,"GENERAL"}</definedName>
    <definedName name="uryur" hidden="1">{"TAB1",#N/A,TRUE,"GENERAL";"TAB2",#N/A,TRUE,"GENERAL";"TAB3",#N/A,TRUE,"GENERAL";"TAB4",#N/A,TRUE,"GENERAL";"TAB5",#N/A,TRUE,"GENERAL"}</definedName>
    <definedName name="USxCOL" localSheetId="11">#REF!</definedName>
    <definedName name="USxCOL">#REF!</definedName>
    <definedName name="ut">'[96]1'!$N$42</definedName>
    <definedName name="UTL">[40]otros!$C$4</definedName>
    <definedName name="uu" localSheetId="12" hidden="1">{"TAB1",#N/A,TRUE,"GENERAL";"TAB2",#N/A,TRUE,"GENERAL";"TAB3",#N/A,TRUE,"GENERAL";"TAB4",#N/A,TRUE,"GENERAL";"TAB5",#N/A,TRUE,"GENERAL"}</definedName>
    <definedName name="uu" hidden="1">{"TAB1",#N/A,TRUE,"GENERAL";"TAB2",#N/A,TRUE,"GENERAL";"TAB3",#N/A,TRUE,"GENERAL";"TAB4",#N/A,TRUE,"GENERAL";"TAB5",#N/A,TRUE,"GENERAL"}</definedName>
    <definedName name="uuu" localSheetId="12" hidden="1">{"TAB1",#N/A,TRUE,"GENERAL";"TAB2",#N/A,TRUE,"GENERAL";"TAB3",#N/A,TRUE,"GENERAL";"TAB4",#N/A,TRUE,"GENERAL";"TAB5",#N/A,TRUE,"GENERAL"}</definedName>
    <definedName name="uuu" hidden="1">{"TAB1",#N/A,TRUE,"GENERAL";"TAB2",#N/A,TRUE,"GENERAL";"TAB3",#N/A,TRUE,"GENERAL";"TAB4",#N/A,TRUE,"GENERAL";"TAB5",#N/A,TRUE,"GENERAL"}</definedName>
    <definedName name="uuuuo" localSheetId="12" hidden="1">{"TAB1",#N/A,TRUE,"GENERAL";"TAB2",#N/A,TRUE,"GENERAL";"TAB3",#N/A,TRUE,"GENERAL";"TAB4",#N/A,TRUE,"GENERAL";"TAB5",#N/A,TRUE,"GENERAL"}</definedName>
    <definedName name="uuuuo" hidden="1">{"TAB1",#N/A,TRUE,"GENERAL";"TAB2",#N/A,TRUE,"GENERAL";"TAB3",#N/A,TRUE,"GENERAL";"TAB4",#N/A,TRUE,"GENERAL";"TAB5",#N/A,TRUE,"GENERAL"}</definedName>
    <definedName name="uuuuuj" localSheetId="12" hidden="1">{"via1",#N/A,TRUE,"general";"via2",#N/A,TRUE,"general";"via3",#N/A,TRUE,"general"}</definedName>
    <definedName name="uuuuuj" hidden="1">{"via1",#N/A,TRUE,"general";"via2",#N/A,TRUE,"general";"via3",#N/A,TRUE,"general"}</definedName>
    <definedName name="uv">375000</definedName>
    <definedName name="uwkap" localSheetId="12" hidden="1">{"TAB1",#N/A,TRUE,"GENERAL";"TAB2",#N/A,TRUE,"GENERAL";"TAB3",#N/A,TRUE,"GENERAL";"TAB4",#N/A,TRUE,"GENERAL";"TAB5",#N/A,TRUE,"GENERAL"}</definedName>
    <definedName name="uwkap" hidden="1">{"TAB1",#N/A,TRUE,"GENERAL";"TAB2",#N/A,TRUE,"GENERAL";"TAB3",#N/A,TRUE,"GENERAL";"TAB4",#N/A,TRUE,"GENERAL";"TAB5",#N/A,TRUE,"GENERAL"}</definedName>
    <definedName name="uyiyiy" localSheetId="12" hidden="1">{"TAB1",#N/A,TRUE,"GENERAL";"TAB2",#N/A,TRUE,"GENERAL";"TAB3",#N/A,TRUE,"GENERAL";"TAB4",#N/A,TRUE,"GENERAL";"TAB5",#N/A,TRUE,"GENERAL"}</definedName>
    <definedName name="uyiyiy" hidden="1">{"TAB1",#N/A,TRUE,"GENERAL";"TAB2",#N/A,TRUE,"GENERAL";"TAB3",#N/A,TRUE,"GENERAL";"TAB4",#N/A,TRUE,"GENERAL";"TAB5",#N/A,TRUE,"GENERAL"}</definedName>
    <definedName name="uytu" localSheetId="12" hidden="1">{"TAB1",#N/A,TRUE,"GENERAL";"TAB2",#N/A,TRUE,"GENERAL";"TAB3",#N/A,TRUE,"GENERAL";"TAB4",#N/A,TRUE,"GENERAL";"TAB5",#N/A,TRUE,"GENERAL"}</definedName>
    <definedName name="uytu" hidden="1">{"TAB1",#N/A,TRUE,"GENERAL";"TAB2",#N/A,TRUE,"GENERAL";"TAB3",#N/A,TRUE,"GENERAL";"TAB4",#N/A,TRUE,"GENERAL";"TAB5",#N/A,TRUE,"GENERAL"}</definedName>
    <definedName name="uyur" localSheetId="12" hidden="1">{"via1",#N/A,TRUE,"general";"via2",#N/A,TRUE,"general";"via3",#N/A,TRUE,"general"}</definedName>
    <definedName name="uyur" hidden="1">{"via1",#N/A,TRUE,"general";"via2",#N/A,TRUE,"general";"via3",#N/A,TRUE,"general"}</definedName>
    <definedName name="v" localSheetId="12" hidden="1">{"TAB1",#N/A,TRUE,"GENERAL";"TAB2",#N/A,TRUE,"GENERAL";"TAB3",#N/A,TRUE,"GENERAL";"TAB4",#N/A,TRUE,"GENERAL";"TAB5",#N/A,TRUE,"GENERAL"}</definedName>
    <definedName name="v" hidden="1">{"TAB1",#N/A,TRUE,"GENERAL";"TAB2",#N/A,TRUE,"GENERAL";"TAB3",#N/A,TRUE,"GENERAL";"TAB4",#N/A,TRUE,"GENERAL";"TAB5",#N/A,TRUE,"GENERAL"}</definedName>
    <definedName name="VALDES" localSheetId="11">#REF!</definedName>
    <definedName name="VALDES" localSheetId="12">#REF!</definedName>
    <definedName name="VALDES">#REF!</definedName>
    <definedName name="VALMA3">'BASE 2'!$D$533</definedName>
    <definedName name="VALMA4">'BASE 2'!$D$532</definedName>
    <definedName name="VALMA8" localSheetId="8">[15]BASE2!$D$449</definedName>
    <definedName name="VALMA8" localSheetId="9">[15]BASE2!$D$449</definedName>
    <definedName name="VALMA8">'BASE 2'!$D$534</definedName>
    <definedName name="valor1" localSheetId="11">#REF!</definedName>
    <definedName name="valor1" localSheetId="12">#REF!</definedName>
    <definedName name="valor1">#REF!</definedName>
    <definedName name="valor2" localSheetId="11">#REF!</definedName>
    <definedName name="valor2" localSheetId="12">#REF!</definedName>
    <definedName name="valor2">#REF!</definedName>
    <definedName name="VALOR3" localSheetId="11">#REF!</definedName>
    <definedName name="VALOR3" localSheetId="12">#REF!</definedName>
    <definedName name="VALOR3">#REF!</definedName>
    <definedName name="ValorCto">[129]CONTRATO!$E$9</definedName>
    <definedName name="ValorEjecutado" localSheetId="11">#REF!</definedName>
    <definedName name="ValorEjecutado">#REF!</definedName>
    <definedName name="ValorProyecto" localSheetId="11">#REF!</definedName>
    <definedName name="ValorProyecto">#REF!</definedName>
    <definedName name="ValorRecursosComprometidos" localSheetId="11">#REF!</definedName>
    <definedName name="ValorRecursosComprometidos">#REF!</definedName>
    <definedName name="Values_Entered" localSheetId="11">IF('FORMATO PRESUPUESTO OFICIAL.'!Loan_Amount*'FORMATO PRESUPUESTO OFICIAL.'!Interest_Rate*'FORMATO PRESUPUESTO OFICIAL.'!Loan_Years*'FORMATO PRESUPUESTO OFICIAL.'!Loan_Start&gt;0,1,0)</definedName>
    <definedName name="Values_Entered">IF(Loan_Amount*Interest_Rate*Loan_Years*Loan_Start&gt;0,1,0)</definedName>
    <definedName name="Válvulas" localSheetId="11">#REF!</definedName>
    <definedName name="Válvulas">#REF!</definedName>
    <definedName name="Var">[22]Varios.!$E$1:$E$65536</definedName>
    <definedName name="VARIACION1" localSheetId="11">#REF!</definedName>
    <definedName name="VARIACION1">#REF!</definedName>
    <definedName name="Varios" localSheetId="11">#REF!</definedName>
    <definedName name="Varios">#REF!</definedName>
    <definedName name="vbvbvbvb" localSheetId="12" hidden="1">{"TAB1",#N/A,TRUE,"GENERAL";"TAB2",#N/A,TRUE,"GENERAL";"TAB3",#N/A,TRUE,"GENERAL";"TAB4",#N/A,TRUE,"GENERAL";"TAB5",#N/A,TRUE,"GENERAL"}</definedName>
    <definedName name="vbvbvbvb" hidden="1">{"TAB1",#N/A,TRUE,"GENERAL";"TAB2",#N/A,TRUE,"GENERAL";"TAB3",#N/A,TRUE,"GENERAL";"TAB4",#N/A,TRUE,"GENERAL";"TAB5",#N/A,TRUE,"GENERAL"}</definedName>
    <definedName name="vc" localSheetId="11">#REF!</definedName>
    <definedName name="vc">#REF!</definedName>
    <definedName name="VCBB2">'BASE 2'!$D$528</definedName>
    <definedName name="VCBB8">'BASE 2'!$D$513</definedName>
    <definedName name="VCEL1">'BASE 2'!$D$519</definedName>
    <definedName name="VCEL2">'BASE 2'!$D$518</definedName>
    <definedName name="VCEL3" localSheetId="8">[15]BASE2!$D$432</definedName>
    <definedName name="VCEL3" localSheetId="9">[15]BASE2!$D$432</definedName>
    <definedName name="VCEL3">'BASE 2'!$D$517</definedName>
    <definedName name="VCEL4" localSheetId="8">[15]BASE2!$D$431</definedName>
    <definedName name="VCEL4" localSheetId="9">[15]BASE2!$D$431</definedName>
    <definedName name="VCEL4">'BASE 2'!$D$516</definedName>
    <definedName name="VCEL6" localSheetId="8">[15]BASE2!$D$430</definedName>
    <definedName name="VCEL6" localSheetId="9">[15]BASE2!$D$430</definedName>
    <definedName name="VCEL6">'BASE 2'!$D$515</definedName>
    <definedName name="VCELA10" localSheetId="8">[15]BASE2!$D$435</definedName>
    <definedName name="VCELA10" localSheetId="9">[15]BASE2!$D$435</definedName>
    <definedName name="VCELA10">'BASE 2'!$D$520</definedName>
    <definedName name="VCELA2" localSheetId="8">[15]BASE2!$D$440</definedName>
    <definedName name="VCELA2" localSheetId="9">[15]BASE2!$D$440</definedName>
    <definedName name="VCELA2">'BASE 2'!$D$525</definedName>
    <definedName name="VCELA3" localSheetId="8">[15]BASE2!$D$439</definedName>
    <definedName name="VCELA3" localSheetId="9">[15]BASE2!$D$439</definedName>
    <definedName name="VCELA3">'BASE 2'!$D$524</definedName>
    <definedName name="VCELA4" localSheetId="8">[15]BASE2!$D$438</definedName>
    <definedName name="VCELA4" localSheetId="9">[15]BASE2!$D$438</definedName>
    <definedName name="VCELA4">'BASE 2'!$D$523</definedName>
    <definedName name="VCELA6">'BASE 2'!$D$522</definedName>
    <definedName name="VCELA8" localSheetId="8">[15]BASE2!$D$436</definedName>
    <definedName name="VCELA8" localSheetId="9">[15]BASE2!$D$436</definedName>
    <definedName name="VCELA8">'BASE 2'!$D$521</definedName>
    <definedName name="vct" localSheetId="11">#REF!</definedName>
    <definedName name="vct">#REF!</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12" hidden="1">{"via1",#N/A,TRUE,"general";"via2",#N/A,TRUE,"general";"via3",#N/A,TRUE,"general"}</definedName>
    <definedName name="vdfvuio" hidden="1">{"via1",#N/A,TRUE,"general";"via2",#N/A,TRUE,"general";"via3",#N/A,TRUE,"general"}</definedName>
    <definedName name="vdsvnj" localSheetId="12" hidden="1">{"via1",#N/A,TRUE,"general";"via2",#N/A,TRUE,"general";"via3",#N/A,TRUE,"general"}</definedName>
    <definedName name="vdsvnj" hidden="1">{"via1",#N/A,TRUE,"general";"via2",#N/A,TRUE,"general";"via3",#N/A,TRUE,"general"}</definedName>
    <definedName name="VEN02_" localSheetId="8">[15]BASE2!$D$442</definedName>
    <definedName name="VEN02_" localSheetId="9">[15]BASE2!$D$442</definedName>
    <definedName name="VEN02_">'BASE 2'!$D$527</definedName>
    <definedName name="VEN04_" localSheetId="8">[15]BASE2!$D$445</definedName>
    <definedName name="VEN04_" localSheetId="9">[15]BASE2!$D$445</definedName>
    <definedName name="VEN04_">'BASE 2'!$D$530</definedName>
    <definedName name="VENT1">'BASE 2'!$D$454</definedName>
    <definedName name="VentaAiu" localSheetId="11">#REF!</definedName>
    <definedName name="VentaAiu" localSheetId="12">#REF!</definedName>
    <definedName name="VentaAiu">#REF!</definedName>
    <definedName name="VEX" localSheetId="11">[12]Tablas!#REF!</definedName>
    <definedName name="VEX">[12]Tablas!#REF!</definedName>
    <definedName name="VEX_ON" localSheetId="11">#REF!</definedName>
    <definedName name="VEX_ON">#REF!</definedName>
    <definedName name="VEX1_1" localSheetId="11">[12]Tablas!#REF!</definedName>
    <definedName name="VEX1_1">[12]Tablas!#REF!</definedName>
    <definedName name="VEX1_1_1" localSheetId="11">[12]Tablas!#REF!</definedName>
    <definedName name="VEX1_1_1">[12]Tablas!#REF!</definedName>
    <definedName name="VEX1_1_2" localSheetId="11">[12]Tablas!#REF!</definedName>
    <definedName name="VEX1_1_2">[12]Tablas!#REF!</definedName>
    <definedName name="VEX1_1_3" localSheetId="11">[12]Tablas!#REF!</definedName>
    <definedName name="VEX1_1_3">[12]Tablas!#REF!</definedName>
    <definedName name="VEX1_1_4" localSheetId="11">[12]Tablas!#REF!</definedName>
    <definedName name="VEX1_1_4">[12]Tablas!#REF!</definedName>
    <definedName name="VEX1_2" localSheetId="11">[12]Tablas!#REF!</definedName>
    <definedName name="VEX1_2">[12]Tablas!#REF!</definedName>
    <definedName name="VEX1_3" localSheetId="11">[12]Tablas!#REF!</definedName>
    <definedName name="VEX1_3">[12]Tablas!#REF!</definedName>
    <definedName name="VFA" localSheetId="11">[12]Tablas!#REF!</definedName>
    <definedName name="VFA">[12]Tablas!#REF!</definedName>
    <definedName name="VFA1_1" localSheetId="11">[12]Tablas!#REF!</definedName>
    <definedName name="VFA1_1">[12]Tablas!#REF!</definedName>
    <definedName name="VFA1_1_1" localSheetId="11">[12]Tablas!#REF!</definedName>
    <definedName name="VFA1_1_1">[12]Tablas!#REF!</definedName>
    <definedName name="VFA1_1_2" localSheetId="11">[12]Tablas!#REF!</definedName>
    <definedName name="VFA1_1_2">[12]Tablas!#REF!</definedName>
    <definedName name="VFA1_1_3" localSheetId="11">[12]Tablas!#REF!</definedName>
    <definedName name="VFA1_1_3">[12]Tablas!#REF!</definedName>
    <definedName name="VFA1_1_4" localSheetId="11">[12]Tablas!#REF!</definedName>
    <definedName name="VFA1_1_4">[12]Tablas!#REF!</definedName>
    <definedName name="VFA1_1_5" localSheetId="11">[12]Tablas!#REF!</definedName>
    <definedName name="VFA1_1_5">[12]Tablas!#REF!</definedName>
    <definedName name="VFA1_1_6" localSheetId="11">[12]Tablas!#REF!</definedName>
    <definedName name="VFA1_1_6">[12]Tablas!#REF!</definedName>
    <definedName name="VFA1_2" localSheetId="11">[12]Tablas!#REF!</definedName>
    <definedName name="VFA1_2">[12]Tablas!#REF!</definedName>
    <definedName name="VFA1_3" localSheetId="11">[12]Tablas!#REF!</definedName>
    <definedName name="VFA1_3">[12]Tablas!#REF!</definedName>
    <definedName name="vfbgnhyt" localSheetId="12" hidden="1">{"via1",#N/A,TRUE,"general";"via2",#N/A,TRUE,"general";"via3",#N/A,TRUE,"general"}</definedName>
    <definedName name="vfbgnhyt" hidden="1">{"via1",#N/A,TRUE,"general";"via2",#N/A,TRUE,"general";"via3",#N/A,TRUE,"general"}</definedName>
    <definedName name="vfh" localSheetId="11">'[93]7422CW00'!#REF!</definedName>
    <definedName name="vfh">'[93]7422CW00'!#REF!</definedName>
    <definedName name="VFR" localSheetId="11">#REF!</definedName>
    <definedName name="VFR">#REF!</definedName>
    <definedName name="vfvdv" localSheetId="12" hidden="1">{"TAB1",#N/A,TRUE,"GENERAL";"TAB2",#N/A,TRUE,"GENERAL";"TAB3",#N/A,TRUE,"GENERAL";"TAB4",#N/A,TRUE,"GENERAL";"TAB5",#N/A,TRUE,"GENERAL"}</definedName>
    <definedName name="vfvdv" hidden="1">{"TAB1",#N/A,TRUE,"GENERAL";"TAB2",#N/A,TRUE,"GENERAL";"TAB3",#N/A,TRUE,"GENERAL";"TAB4",#N/A,TRUE,"GENERAL";"TAB5",#N/A,TRUE,"GENERAL"}</definedName>
    <definedName name="vfvf" localSheetId="12" hidden="1">{"TAB1",#N/A,TRUE,"GENERAL";"TAB2",#N/A,TRUE,"GENERAL";"TAB3",#N/A,TRUE,"GENERAL";"TAB4",#N/A,TRUE,"GENERAL";"TAB5",#N/A,TRUE,"GENERAL"}</definedName>
    <definedName name="vfvf" hidden="1">{"TAB1",#N/A,TRUE,"GENERAL";"TAB2",#N/A,TRUE,"GENERAL";"TAB3",#N/A,TRUE,"GENERAL";"TAB4",#N/A,TRUE,"GENERAL";"TAB5",#N/A,TRUE,"GENERAL"}</definedName>
    <definedName name="VIA" localSheetId="11">#REF!</definedName>
    <definedName name="VIA">#REF!</definedName>
    <definedName name="VIAJE" localSheetId="8">[15]BASE2!$D$499</definedName>
    <definedName name="VIAJE" localSheetId="9">[15]BASE2!$D$499</definedName>
    <definedName name="VIAJE">'BASE 2'!$D$748</definedName>
    <definedName name="VIBGA" localSheetId="8">[15]BASE2!$D$466</definedName>
    <definedName name="VIBGA" localSheetId="9">[15]BASE2!$D$466</definedName>
    <definedName name="VIBGA">'BASE 2'!$D$712</definedName>
    <definedName name="VIBRCOM">'BASE 2'!$D$716</definedName>
    <definedName name="VIBRE" localSheetId="8">[15]BASE2!$D$467</definedName>
    <definedName name="VIBRE" localSheetId="9">[15]BASE2!$D$467</definedName>
    <definedName name="VIBRE">'BASE 2'!$D$713</definedName>
    <definedName name="VICEP_DIRECC">[107]Tablas!$A$6:$A$26</definedName>
    <definedName name="VIDRI">'BASE 2'!$D$455</definedName>
    <definedName name="VigenciaDolares" localSheetId="11">#REF!</definedName>
    <definedName name="VigenciaDolares">#REF!</definedName>
    <definedName name="VigenciaPesos" localSheetId="11">#REF!</definedName>
    <definedName name="VigenciaPesos">#REF!</definedName>
    <definedName name="VIGFUTURA">[107]Tablas!$J$6:$J$8</definedName>
    <definedName name="VIT" localSheetId="11">[12]Tablas!#REF!</definedName>
    <definedName name="VIT">[12]Tablas!#REF!</definedName>
    <definedName name="VIT1_1" localSheetId="11">[12]Tablas!#REF!</definedName>
    <definedName name="VIT1_1">[12]Tablas!#REF!</definedName>
    <definedName name="VIT1_1_1" localSheetId="11">[12]Tablas!#REF!</definedName>
    <definedName name="VIT1_1_1">[12]Tablas!#REF!</definedName>
    <definedName name="VIT1_1_10" localSheetId="11">[12]Tablas!#REF!</definedName>
    <definedName name="VIT1_1_10">[12]Tablas!#REF!</definedName>
    <definedName name="VIT1_1_11" localSheetId="11">[12]Tablas!#REF!</definedName>
    <definedName name="VIT1_1_11">[12]Tablas!#REF!</definedName>
    <definedName name="VIT1_1_12" localSheetId="11">[12]Tablas!#REF!</definedName>
    <definedName name="VIT1_1_12">[12]Tablas!#REF!</definedName>
    <definedName name="VIT1_1_13" localSheetId="11">[12]Tablas!#REF!</definedName>
    <definedName name="VIT1_1_13">[12]Tablas!#REF!</definedName>
    <definedName name="VIT1_1_14" localSheetId="11">[12]Tablas!#REF!</definedName>
    <definedName name="VIT1_1_14">[12]Tablas!#REF!</definedName>
    <definedName name="VIT1_1_15" localSheetId="11">[12]Tablas!#REF!</definedName>
    <definedName name="VIT1_1_15">[12]Tablas!#REF!</definedName>
    <definedName name="VIT1_1_16" localSheetId="11">[12]Tablas!#REF!</definedName>
    <definedName name="VIT1_1_16">[12]Tablas!#REF!</definedName>
    <definedName name="VIt1_1_17" localSheetId="11">[12]Tablas!#REF!</definedName>
    <definedName name="VIt1_1_17">[12]Tablas!#REF!</definedName>
    <definedName name="VIT1_1_18" localSheetId="11">[12]Tablas!#REF!</definedName>
    <definedName name="VIT1_1_18">[12]Tablas!#REF!</definedName>
    <definedName name="VIt1_1_19" localSheetId="11">[12]Tablas!#REF!</definedName>
    <definedName name="VIt1_1_19">[12]Tablas!#REF!</definedName>
    <definedName name="VIT1_1_2" localSheetId="11">[12]Tablas!#REF!</definedName>
    <definedName name="VIT1_1_2">[12]Tablas!#REF!</definedName>
    <definedName name="VIT1_1_20" localSheetId="11">[12]Tablas!#REF!</definedName>
    <definedName name="VIT1_1_20">[12]Tablas!#REF!</definedName>
    <definedName name="VIT1_1_3" localSheetId="11">[12]Tablas!#REF!</definedName>
    <definedName name="VIT1_1_3">[12]Tablas!#REF!</definedName>
    <definedName name="VIT1_1_4" localSheetId="11">[12]Tablas!#REF!</definedName>
    <definedName name="VIT1_1_4">[12]Tablas!#REF!</definedName>
    <definedName name="VIT1_1_5" localSheetId="11">[12]Tablas!#REF!</definedName>
    <definedName name="VIT1_1_5">[12]Tablas!#REF!</definedName>
    <definedName name="VIT1_1_6" localSheetId="11">[12]Tablas!#REF!</definedName>
    <definedName name="VIT1_1_6">[12]Tablas!#REF!</definedName>
    <definedName name="VIT1_1_7" localSheetId="11">[12]Tablas!#REF!</definedName>
    <definedName name="VIT1_1_7">[12]Tablas!#REF!</definedName>
    <definedName name="VIT1_1_8" localSheetId="11">[12]Tablas!#REF!</definedName>
    <definedName name="VIT1_1_8">[12]Tablas!#REF!</definedName>
    <definedName name="VIT1_1_9" localSheetId="11">[12]Tablas!#REF!</definedName>
    <definedName name="VIT1_1_9">[12]Tablas!#REF!</definedName>
    <definedName name="VIT1_2" localSheetId="11">[12]Tablas!#REF!</definedName>
    <definedName name="VIT1_2">[12]Tablas!#REF!</definedName>
    <definedName name="VIT1_3" localSheetId="11">[12]Tablas!#REF!</definedName>
    <definedName name="VIT1_3">[12]Tablas!#REF!</definedName>
    <definedName name="VIT1_4" localSheetId="11">[12]Tablas!#REF!</definedName>
    <definedName name="VIT1_4">[12]Tablas!#REF!</definedName>
    <definedName name="VIT1_5" localSheetId="11">[12]Tablas!#REF!</definedName>
    <definedName name="VIT1_5">[12]Tablas!#REF!</definedName>
    <definedName name="VIT1_6" localSheetId="11">[12]Tablas!#REF!</definedName>
    <definedName name="VIT1_6">[12]Tablas!#REF!</definedName>
    <definedName name="vital5">[66]Personalizar!$E$15</definedName>
    <definedName name="vk" localSheetId="12" hidden="1">{"via1",#N/A,TRUE,"general";"via2",#N/A,TRUE,"general";"via3",#N/A,TRUE,"general"}</definedName>
    <definedName name="vk" hidden="1">{"via1",#N/A,TRUE,"general";"via2",#N/A,TRUE,"general";"via3",#N/A,TRUE,"general"}</definedName>
    <definedName name="vnbvxb" localSheetId="12" hidden="1">{"via1",#N/A,TRUE,"general";"via2",#N/A,TRUE,"general";"via3",#N/A,TRUE,"general"}</definedName>
    <definedName name="vnbvxb" hidden="1">{"via1",#N/A,TRUE,"general";"via2",#N/A,TRUE,"general";"via3",#N/A,TRUE,"general"}</definedName>
    <definedName name="VNVBN" localSheetId="12" hidden="1">{"TAB1",#N/A,TRUE,"GENERAL";"TAB2",#N/A,TRUE,"GENERAL";"TAB3",#N/A,TRUE,"GENERAL";"TAB4",#N/A,TRUE,"GENERAL";"TAB5",#N/A,TRUE,"GENERAL"}</definedName>
    <definedName name="VNVBN" hidden="1">{"TAB1",#N/A,TRUE,"GENERAL";"TAB2",#N/A,TRUE,"GENERAL";"TAB3",#N/A,TRUE,"GENERAL";"TAB4",#N/A,TRUE,"GENERAL";"TAB5",#N/A,TRUE,"GENERAL"}</definedName>
    <definedName name="VOLQUET">'BASE 2'!$D$718</definedName>
    <definedName name="vp" localSheetId="11">#REF!</definedName>
    <definedName name="vp">#REF!</definedName>
    <definedName name="VPN" localSheetId="11">#REF!</definedName>
    <definedName name="VPN">#REF!</definedName>
    <definedName name="VPNCCP" localSheetId="11">#REF!</definedName>
    <definedName name="VPNCCP">#REF!</definedName>
    <definedName name="VPNInversion" localSheetId="11">#REF!</definedName>
    <definedName name="VPNInversion">#REF!</definedName>
    <definedName name="VPNInversionCCP" localSheetId="11">#REF!</definedName>
    <definedName name="VPNInversionCCP">#REF!</definedName>
    <definedName name="VPR" localSheetId="11">#REF!</definedName>
    <definedName name="VPR">#REF!</definedName>
    <definedName name="VPR_COMBUS" localSheetId="11">#REF!</definedName>
    <definedName name="VPR_COMBUS">#REF!</definedName>
    <definedName name="VPR_CRUDO" localSheetId="11">#REF!</definedName>
    <definedName name="VPR_CRUDO">#REF!</definedName>
    <definedName name="VPR_GAS" localSheetId="11">#REF!</definedName>
    <definedName name="VPR_GAS">#REF!</definedName>
    <definedName name="VPR_ON" localSheetId="11">#REF!</definedName>
    <definedName name="VPR_ON">#REF!</definedName>
    <definedName name="VPR1_1" localSheetId="11">[12]Tablas!#REF!</definedName>
    <definedName name="VPR1_1">[12]Tablas!#REF!</definedName>
    <definedName name="VPR1_1_1" localSheetId="11">[12]Tablas!#REF!</definedName>
    <definedName name="VPR1_1_1">[12]Tablas!#REF!</definedName>
    <definedName name="VPR1_1_10" localSheetId="11">[12]Tablas!#REF!</definedName>
    <definedName name="VPR1_1_10">[12]Tablas!#REF!</definedName>
    <definedName name="VPR1_1_11" localSheetId="11">[12]Tablas!#REF!</definedName>
    <definedName name="VPR1_1_11">[12]Tablas!#REF!</definedName>
    <definedName name="VPR1_1_12" localSheetId="11">[12]Tablas!#REF!</definedName>
    <definedName name="VPR1_1_12">[12]Tablas!#REF!</definedName>
    <definedName name="VPR1_1_13" localSheetId="11">[12]Tablas!#REF!</definedName>
    <definedName name="VPR1_1_13">[12]Tablas!#REF!</definedName>
    <definedName name="VPR1_1_14" localSheetId="11">[12]Tablas!#REF!</definedName>
    <definedName name="VPR1_1_14">[12]Tablas!#REF!</definedName>
    <definedName name="VPR1_1_15" localSheetId="11">[12]Tablas!#REF!</definedName>
    <definedName name="VPR1_1_15">[12]Tablas!#REF!</definedName>
    <definedName name="VPR1_1_16" localSheetId="11">[12]Tablas!#REF!</definedName>
    <definedName name="VPR1_1_16">[12]Tablas!#REF!</definedName>
    <definedName name="VPR1_1_17" localSheetId="11">[12]Tablas!#REF!</definedName>
    <definedName name="VPR1_1_17">[12]Tablas!#REF!</definedName>
    <definedName name="VPR1_1_18" localSheetId="11">[12]Tablas!#REF!</definedName>
    <definedName name="VPR1_1_18">[12]Tablas!#REF!</definedName>
    <definedName name="VPR1_1_19" localSheetId="11">[12]Tablas!#REF!</definedName>
    <definedName name="VPR1_1_19">[12]Tablas!#REF!</definedName>
    <definedName name="VPR1_1_2" localSheetId="11">[12]Tablas!#REF!</definedName>
    <definedName name="VPR1_1_2">[12]Tablas!#REF!</definedName>
    <definedName name="VPR1_1_20" localSheetId="11">[12]Tablas!#REF!</definedName>
    <definedName name="VPR1_1_20">[12]Tablas!#REF!</definedName>
    <definedName name="VPR1_1_21" localSheetId="11">[12]Tablas!#REF!</definedName>
    <definedName name="VPR1_1_21">[12]Tablas!#REF!</definedName>
    <definedName name="VPR1_1_22" localSheetId="11">[12]Tablas!#REF!</definedName>
    <definedName name="VPR1_1_22">[12]Tablas!#REF!</definedName>
    <definedName name="VPR1_1_23" localSheetId="11">[12]Tablas!#REF!</definedName>
    <definedName name="VPR1_1_23">[12]Tablas!#REF!</definedName>
    <definedName name="VPR1_1_24" localSheetId="11">[12]Tablas!#REF!</definedName>
    <definedName name="VPR1_1_24">[12]Tablas!#REF!</definedName>
    <definedName name="VPR1_1_25" localSheetId="11">[12]Tablas!#REF!</definedName>
    <definedName name="VPR1_1_25">[12]Tablas!#REF!</definedName>
    <definedName name="VPR1_1_26" localSheetId="11">[12]Tablas!#REF!</definedName>
    <definedName name="VPR1_1_26">[12]Tablas!#REF!</definedName>
    <definedName name="VPR1_1_27" localSheetId="11">[12]Tablas!#REF!</definedName>
    <definedName name="VPR1_1_27">[12]Tablas!#REF!</definedName>
    <definedName name="VPR1_1_28" localSheetId="11">[12]Tablas!#REF!</definedName>
    <definedName name="VPR1_1_28">[12]Tablas!#REF!</definedName>
    <definedName name="VPR1_1_29" localSheetId="11">[12]Tablas!#REF!</definedName>
    <definedName name="VPR1_1_29">[12]Tablas!#REF!</definedName>
    <definedName name="VPR1_1_3" localSheetId="11">[12]Tablas!#REF!</definedName>
    <definedName name="VPR1_1_3">[12]Tablas!#REF!</definedName>
    <definedName name="VPR1_1_30" localSheetId="11">[12]Tablas!#REF!</definedName>
    <definedName name="VPR1_1_30">[12]Tablas!#REF!</definedName>
    <definedName name="VPR1_1_31" localSheetId="11">[12]Tablas!#REF!</definedName>
    <definedName name="VPR1_1_31">[12]Tablas!#REF!</definedName>
    <definedName name="VPR1_1_32" localSheetId="11">[12]Tablas!#REF!</definedName>
    <definedName name="VPR1_1_32">[12]Tablas!#REF!</definedName>
    <definedName name="VPR1_1_4" localSheetId="11">[12]Tablas!#REF!</definedName>
    <definedName name="VPR1_1_4">[12]Tablas!#REF!</definedName>
    <definedName name="VPR1_1_5" localSheetId="11">[12]Tablas!#REF!</definedName>
    <definedName name="VPR1_1_5">[12]Tablas!#REF!</definedName>
    <definedName name="VPR1_1_6" localSheetId="11">[12]Tablas!#REF!</definedName>
    <definedName name="VPR1_1_6">[12]Tablas!#REF!</definedName>
    <definedName name="VPR1_1_7" localSheetId="11">[12]Tablas!#REF!</definedName>
    <definedName name="VPR1_1_7">[12]Tablas!#REF!</definedName>
    <definedName name="VPR1_1_8" localSheetId="11">[12]Tablas!#REF!</definedName>
    <definedName name="VPR1_1_8">[12]Tablas!#REF!</definedName>
    <definedName name="VPR1_1_9" localSheetId="11">[12]Tablas!#REF!</definedName>
    <definedName name="VPR1_1_9">[12]Tablas!#REF!</definedName>
    <definedName name="VPR1_2" localSheetId="11">[12]Tablas!#REF!</definedName>
    <definedName name="VPR1_2">[12]Tablas!#REF!</definedName>
    <definedName name="VPR1_3" localSheetId="11">[12]Tablas!#REF!</definedName>
    <definedName name="VPR1_3">[12]Tablas!#REF!</definedName>
    <definedName name="VPR1_4" localSheetId="11">[12]Tablas!#REF!</definedName>
    <definedName name="VPR1_4">[12]Tablas!#REF!</definedName>
    <definedName name="VPR1_5" localSheetId="11">[12]Tablas!#REF!</definedName>
    <definedName name="VPR1_5">[12]Tablas!#REF!</definedName>
    <definedName name="VPR1_6" localSheetId="11">[12]Tablas!#REF!</definedName>
    <definedName name="VPR1_6">[12]Tablas!#REF!</definedName>
    <definedName name="vpt" localSheetId="11">#REF!</definedName>
    <definedName name="vpt">#REF!</definedName>
    <definedName name="VPVC2">'BASE 2'!$D$531</definedName>
    <definedName name="VRP" localSheetId="11">[12]Tablas!#REF!</definedName>
    <definedName name="VRP">[12]Tablas!#REF!</definedName>
    <definedName name="VRP_PETROQ" localSheetId="11">#REF!</definedName>
    <definedName name="VRP_PETROQ">#REF!</definedName>
    <definedName name="VRP1_1" localSheetId="11">[12]Tablas!#REF!</definedName>
    <definedName name="VRP1_1">[12]Tablas!#REF!</definedName>
    <definedName name="VRP1_1_1" localSheetId="11">[12]Tablas!#REF!</definedName>
    <definedName name="VRP1_1_1">[12]Tablas!#REF!</definedName>
    <definedName name="VRP1_1_10" localSheetId="11">[12]Tablas!#REF!</definedName>
    <definedName name="VRP1_1_10">[12]Tablas!#REF!</definedName>
    <definedName name="VRP1_1_11" localSheetId="11">[12]Tablas!#REF!</definedName>
    <definedName name="VRP1_1_11">[12]Tablas!#REF!</definedName>
    <definedName name="VRP1_1_12" localSheetId="11">[12]Tablas!#REF!</definedName>
    <definedName name="VRP1_1_12">[12]Tablas!#REF!</definedName>
    <definedName name="VRP1_1_13" localSheetId="11">[12]Tablas!#REF!</definedName>
    <definedName name="VRP1_1_13">[12]Tablas!#REF!</definedName>
    <definedName name="VRP1_1_14" localSheetId="11">[12]Tablas!#REF!</definedName>
    <definedName name="VRP1_1_14">[12]Tablas!#REF!</definedName>
    <definedName name="VRP1_1_15" localSheetId="11">[12]Tablas!#REF!</definedName>
    <definedName name="VRP1_1_15">[12]Tablas!#REF!</definedName>
    <definedName name="VRP1_1_16" localSheetId="11">[12]Tablas!#REF!</definedName>
    <definedName name="VRP1_1_16">[12]Tablas!#REF!</definedName>
    <definedName name="VRP1_1_17" localSheetId="11">[12]Tablas!#REF!</definedName>
    <definedName name="VRP1_1_17">[12]Tablas!#REF!</definedName>
    <definedName name="VRP1_1_18" localSheetId="11">[12]Tablas!#REF!</definedName>
    <definedName name="VRP1_1_18">[12]Tablas!#REF!</definedName>
    <definedName name="VRP1_1_19" localSheetId="11">[12]Tablas!#REF!</definedName>
    <definedName name="VRP1_1_19">[12]Tablas!#REF!</definedName>
    <definedName name="VRP1_1_2" localSheetId="11">[12]Tablas!#REF!</definedName>
    <definedName name="VRP1_1_2">[12]Tablas!#REF!</definedName>
    <definedName name="VRP1_1_20" localSheetId="11">[12]Tablas!#REF!</definedName>
    <definedName name="VRP1_1_20">[12]Tablas!#REF!</definedName>
    <definedName name="VRP1_1_21" localSheetId="11">[12]Tablas!#REF!</definedName>
    <definedName name="VRP1_1_21">[12]Tablas!#REF!</definedName>
    <definedName name="VRP1_1_22" localSheetId="11">[12]Tablas!#REF!</definedName>
    <definedName name="VRP1_1_22">[12]Tablas!#REF!</definedName>
    <definedName name="VRP1_1_23" localSheetId="11">[12]Tablas!#REF!</definedName>
    <definedName name="VRP1_1_23">[12]Tablas!#REF!</definedName>
    <definedName name="VRP1_1_3" localSheetId="11">[12]Tablas!#REF!</definedName>
    <definedName name="VRP1_1_3">[12]Tablas!#REF!</definedName>
    <definedName name="VRP1_1_4" localSheetId="11">[12]Tablas!#REF!</definedName>
    <definedName name="VRP1_1_4">[12]Tablas!#REF!</definedName>
    <definedName name="VRP1_1_5" localSheetId="11">[12]Tablas!#REF!</definedName>
    <definedName name="VRP1_1_5">[12]Tablas!#REF!</definedName>
    <definedName name="VRP1_1_6" localSheetId="11">[12]Tablas!#REF!</definedName>
    <definedName name="VRP1_1_6">[12]Tablas!#REF!</definedName>
    <definedName name="VRP1_1_7" localSheetId="11">[12]Tablas!#REF!</definedName>
    <definedName name="VRP1_1_7">[12]Tablas!#REF!</definedName>
    <definedName name="VRP1_1_8" localSheetId="11">[12]Tablas!#REF!</definedName>
    <definedName name="VRP1_1_8">[12]Tablas!#REF!</definedName>
    <definedName name="VRP1_1_9" localSheetId="11">[12]Tablas!#REF!</definedName>
    <definedName name="VRP1_1_9">[12]Tablas!#REF!</definedName>
    <definedName name="VRP1_2" localSheetId="11">[12]Tablas!#REF!</definedName>
    <definedName name="VRP1_2">[12]Tablas!#REF!</definedName>
    <definedName name="VRP1_3" localSheetId="11">[12]Tablas!#REF!</definedName>
    <definedName name="VRP1_3">[12]Tablas!#REF!</definedName>
    <definedName name="VRP1_4" localSheetId="11">[12]Tablas!#REF!</definedName>
    <definedName name="VRP1_4">[12]Tablas!#REF!</definedName>
    <definedName name="vsdfj" localSheetId="12" hidden="1">{"via1",#N/A,TRUE,"general";"via2",#N/A,TRUE,"general";"via3",#N/A,TRUE,"general"}</definedName>
    <definedName name="vsdfj" hidden="1">{"via1",#N/A,TRUE,"general";"via2",#N/A,TRUE,"general";"via3",#N/A,TRUE,"general"}</definedName>
    <definedName name="VSM" localSheetId="11">[12]Tablas!#REF!</definedName>
    <definedName name="VSM">[12]Tablas!#REF!</definedName>
    <definedName name="VSM1_1" localSheetId="11">[12]Tablas!#REF!</definedName>
    <definedName name="VSM1_1">[12]Tablas!#REF!</definedName>
    <definedName name="VSM1_1_1" localSheetId="11">[12]Tablas!#REF!</definedName>
    <definedName name="VSM1_1_1">[12]Tablas!#REF!</definedName>
    <definedName name="VSM1_1_2" localSheetId="11">[12]Tablas!#REF!</definedName>
    <definedName name="VSM1_1_2">[12]Tablas!#REF!</definedName>
    <definedName name="VSM1_1_3" localSheetId="11">[12]Tablas!#REF!</definedName>
    <definedName name="VSM1_1_3">[12]Tablas!#REF!</definedName>
    <definedName name="VSM1_1_4" localSheetId="11">[12]Tablas!#REF!</definedName>
    <definedName name="VSM1_1_4">[12]Tablas!#REF!</definedName>
    <definedName name="VSM1_1_5" localSheetId="11">[12]Tablas!#REF!</definedName>
    <definedName name="VSM1_1_5">[12]Tablas!#REF!</definedName>
    <definedName name="VSM1_2" localSheetId="11">[12]Tablas!#REF!</definedName>
    <definedName name="VSM1_2">[12]Tablas!#REF!</definedName>
    <definedName name="VSM1_3" localSheetId="11">[12]Tablas!#REF!</definedName>
    <definedName name="VSM1_3">[12]Tablas!#REF!</definedName>
    <definedName name="VSM1_4" localSheetId="11">[12]Tablas!#REF!</definedName>
    <definedName name="VSM1_4">[12]Tablas!#REF!</definedName>
    <definedName name="VSM1_5" localSheetId="11">[12]Tablas!#REF!</definedName>
    <definedName name="VSM1_5">[12]Tablas!#REF!</definedName>
    <definedName name="vsp" localSheetId="11">#REF!</definedName>
    <definedName name="vsp">#REF!</definedName>
    <definedName name="vt" localSheetId="12" hidden="1">{"via1",#N/A,TRUE,"general";"via2",#N/A,TRUE,"general";"via3",#N/A,TRUE,"general"}</definedName>
    <definedName name="vt" hidden="1">{"via1",#N/A,TRUE,"general";"via2",#N/A,TRUE,"general";"via3",#N/A,TRUE,"general"}</definedName>
    <definedName name="vutil" localSheetId="11">#REF!</definedName>
    <definedName name="vutil">#REF!</definedName>
    <definedName name="vvcxv" localSheetId="12" hidden="1">{"TAB1",#N/A,TRUE,"GENERAL";"TAB2",#N/A,TRUE,"GENERAL";"TAB3",#N/A,TRUE,"GENERAL";"TAB4",#N/A,TRUE,"GENERAL";"TAB5",#N/A,TRUE,"GENERAL"}</definedName>
    <definedName name="vvcxv" hidden="1">{"TAB1",#N/A,TRUE,"GENERAL";"TAB2",#N/A,TRUE,"GENERAL";"TAB3",#N/A,TRUE,"GENERAL";"TAB4",#N/A,TRUE,"GENERAL";"TAB5",#N/A,TRUE,"GENERAL"}</definedName>
    <definedName name="Vvkmh" localSheetId="11">#REF!</definedName>
    <definedName name="Vvkmh">#REF!</definedName>
    <definedName name="Vvmph" localSheetId="11">#REF!</definedName>
    <definedName name="Vvmph">#REF!</definedName>
    <definedName name="VVV" localSheetId="11">#REF!</definedName>
    <definedName name="VVV" localSheetId="12">#REF!</definedName>
    <definedName name="VVV">#REF!</definedName>
    <definedName name="vvvvt" localSheetId="12" hidden="1">{"via1",#N/A,TRUE,"general";"via2",#N/A,TRUE,"general";"via3",#N/A,TRUE,"general"}</definedName>
    <definedName name="vvvvt" hidden="1">{"via1",#N/A,TRUE,"general";"via2",#N/A,TRUE,"general";"via3",#N/A,TRUE,"general"}</definedName>
    <definedName name="vvvvvvf" localSheetId="12" hidden="1">{"via1",#N/A,TRUE,"general";"via2",#N/A,TRUE,"general";"via3",#N/A,TRUE,"general"}</definedName>
    <definedName name="vvvvvvf" hidden="1">{"via1",#N/A,TRUE,"general";"via2",#N/A,TRUE,"general";"via3",#N/A,TRUE,"general"}</definedName>
    <definedName name="vy" localSheetId="12" hidden="1">{"TAB1",#N/A,TRUE,"GENERAL";"TAB2",#N/A,TRUE,"GENERAL";"TAB3",#N/A,TRUE,"GENERAL";"TAB4",#N/A,TRUE,"GENERAL";"TAB5",#N/A,TRUE,"GENERAL"}</definedName>
    <definedName name="vy" hidden="1">{"TAB1",#N/A,TRUE,"GENERAL";"TAB2",#N/A,TRUE,"GENERAL";"TAB3",#N/A,TRUE,"GENERAL";"TAB4",#N/A,TRUE,"GENERAL";"TAB5",#N/A,TRUE,"GENERAL"}</definedName>
    <definedName name="w2w2w" localSheetId="12" hidden="1">{"via1",#N/A,TRUE,"general";"via2",#N/A,TRUE,"general";"via3",#N/A,TRUE,"general"}</definedName>
    <definedName name="w2w2w" hidden="1">{"via1",#N/A,TRUE,"general";"via2",#N/A,TRUE,"general";"via3",#N/A,TRUE,"general"}</definedName>
    <definedName name="WAGE_RATE" localSheetId="11">#REF!</definedName>
    <definedName name="WAGE_RATE">#REF!</definedName>
    <definedName name="Wage0100" localSheetId="11">#REF!</definedName>
    <definedName name="Wage0100">#REF!</definedName>
    <definedName name="Wage0200" localSheetId="11">#REF!</definedName>
    <definedName name="Wage0200">#REF!</definedName>
    <definedName name="WBS" localSheetId="11">'[130]2004'!#REF!</definedName>
    <definedName name="WBS">'[130]2004'!#REF!</definedName>
    <definedName name="Wcut" localSheetId="11">#REF!</definedName>
    <definedName name="Wcut">#REF!</definedName>
    <definedName name="WD" localSheetId="11">#REF!</definedName>
    <definedName name="WD">#REF!</definedName>
    <definedName name="WDD" hidden="1">{#N/A,#N/A,FALSE,"orthoflow";#N/A,#N/A,FALSE,"Miscelaneos";#N/A,#N/A,FALSE,"Instrumentacio";#N/A,#N/A,FALSE,"Electrico";#N/A,#N/A,FALSE,"Valv. Seguridad"}</definedName>
    <definedName name="WDFSDF" localSheetId="11">'[52]Res-Accide-10'!#REF!</definedName>
    <definedName name="WDFSDF" localSheetId="12">'[52]Res-Accide-10'!#REF!</definedName>
    <definedName name="WDFSDF">'[52]Res-Accide-10'!#REF!</definedName>
    <definedName name="wedw" localSheetId="11">#REF!</definedName>
    <definedName name="wedw">#REF!</definedName>
    <definedName name="WEFWE" localSheetId="11">'[52]Res-Accide-10'!#REF!</definedName>
    <definedName name="WEFWE" localSheetId="12">'[52]Res-Accide-10'!#REF!</definedName>
    <definedName name="WEFWE">'[52]Res-Accide-10'!#REF!</definedName>
    <definedName name="WER">'[52]Res-Accide-10'!$S$2:$S$7</definedName>
    <definedName name="werew" localSheetId="12" hidden="1">{"TAB1",#N/A,TRUE,"GENERAL";"TAB2",#N/A,TRUE,"GENERAL";"TAB3",#N/A,TRUE,"GENERAL";"TAB4",#N/A,TRUE,"GENERAL";"TAB5",#N/A,TRUE,"GENERAL"}</definedName>
    <definedName name="werew" hidden="1">{"TAB1",#N/A,TRUE,"GENERAL";"TAB2",#N/A,TRUE,"GENERAL";"TAB3",#N/A,TRUE,"GENERAL";"TAB4",#N/A,TRUE,"GENERAL";"TAB5",#N/A,TRUE,"GENERAL"}</definedName>
    <definedName name="WEREWR" localSheetId="12" hidden="1">{"via1",#N/A,TRUE,"general";"via2",#N/A,TRUE,"general";"via3",#N/A,TRUE,"general"}</definedName>
    <definedName name="WEREWR" hidden="1">{"via1",#N/A,TRUE,"general";"via2",#N/A,TRUE,"general";"via3",#N/A,TRUE,"general"}</definedName>
    <definedName name="werfdsf" localSheetId="12" hidden="1">{"TAB1",#N/A,TRUE,"GENERAL";"TAB2",#N/A,TRUE,"GENERAL";"TAB3",#N/A,TRUE,"GENERAL";"TAB4",#N/A,TRUE,"GENERAL";"TAB5",#N/A,TRUE,"GENERAL"}</definedName>
    <definedName name="werfdsf" hidden="1">{"TAB1",#N/A,TRUE,"GENERAL";"TAB2",#N/A,TRUE,"GENERAL";"TAB3",#N/A,TRUE,"GENERAL";"TAB4",#N/A,TRUE,"GENERAL";"TAB5",#N/A,TRUE,"GENERAL"}</definedName>
    <definedName name="werh" localSheetId="12" hidden="1">{"via1",#N/A,TRUE,"general";"via2",#N/A,TRUE,"general";"via3",#N/A,TRUE,"general"}</definedName>
    <definedName name="werh" hidden="1">{"via1",#N/A,TRUE,"general";"via2",#N/A,TRUE,"general";"via3",#N/A,TRUE,"general"}</definedName>
    <definedName name="wersfdfrguyo" localSheetId="12" hidden="1">{"via1",#N/A,TRUE,"general";"via2",#N/A,TRUE,"general";"via3",#N/A,TRUE,"general"}</definedName>
    <definedName name="wersfdfrguyo" hidden="1">{"via1",#N/A,TRUE,"general";"via2",#N/A,TRUE,"general";"via3",#N/A,TRUE,"general"}</definedName>
    <definedName name="werwr" localSheetId="12" hidden="1">{"via1",#N/A,TRUE,"general";"via2",#N/A,TRUE,"general";"via3",#N/A,TRUE,"general"}</definedName>
    <definedName name="werwr" hidden="1">{"via1",#N/A,TRUE,"general";"via2",#N/A,TRUE,"general";"via3",#N/A,TRUE,"general"}</definedName>
    <definedName name="WERWVN" localSheetId="12" hidden="1">{"TAB1",#N/A,TRUE,"GENERAL";"TAB2",#N/A,TRUE,"GENERAL";"TAB3",#N/A,TRUE,"GENERAL";"TAB4",#N/A,TRUE,"GENERAL";"TAB5",#N/A,TRUE,"GENERAL"}</definedName>
    <definedName name="WERWVN" hidden="1">{"TAB1",#N/A,TRUE,"GENERAL";"TAB2",#N/A,TRUE,"GENERAL";"TAB3",#N/A,TRUE,"GENERAL";"TAB4",#N/A,TRUE,"GENERAL";"TAB5",#N/A,TRUE,"GENERAL"}</definedName>
    <definedName name="wetrew" localSheetId="12" hidden="1">{"via1",#N/A,TRUE,"general";"via2",#N/A,TRUE,"general";"via3",#N/A,TRUE,"general"}</definedName>
    <definedName name="wetrew" hidden="1">{"via1",#N/A,TRUE,"general";"via2",#N/A,TRUE,"general";"via3",#N/A,TRUE,"general"}</definedName>
    <definedName name="wettt" localSheetId="12" hidden="1">{"via1",#N/A,TRUE,"general";"via2",#N/A,TRUE,"general";"via3",#N/A,TRUE,"general"}</definedName>
    <definedName name="wettt" hidden="1">{"via1",#N/A,TRUE,"general";"via2",#N/A,TRUE,"general";"via3",#N/A,TRUE,"general"}</definedName>
    <definedName name="wetwretd" localSheetId="12" hidden="1">{"via1",#N/A,TRUE,"general";"via2",#N/A,TRUE,"general";"via3",#N/A,TRUE,"general"}</definedName>
    <definedName name="wetwretd" hidden="1">{"via1",#N/A,TRUE,"general";"via2",#N/A,TRUE,"general";"via3",#N/A,TRUE,"general"}</definedName>
    <definedName name="wew" localSheetId="12" hidden="1">{"via1",#N/A,TRUE,"general";"via2",#N/A,TRUE,"general";"via3",#N/A,TRUE,"general"}</definedName>
    <definedName name="wew" hidden="1">{"via1",#N/A,TRUE,"general";"via2",#N/A,TRUE,"general";"via3",#N/A,TRUE,"general"}</definedName>
    <definedName name="wffag" localSheetId="12" hidden="1">{"via1",#N/A,TRUE,"general";"via2",#N/A,TRUE,"general";"via3",#N/A,TRUE,"general"}</definedName>
    <definedName name="wffag" hidden="1">{"via1",#N/A,TRUE,"general";"via2",#N/A,TRUE,"general";"via3",#N/A,TRUE,"general"}</definedName>
    <definedName name="WILSON" localSheetId="11">'[52]Res-Accide-10'!#REF!</definedName>
    <definedName name="WILSON" localSheetId="12">'[52]Res-Accide-10'!#REF!</definedName>
    <definedName name="WILSON">'[52]Res-Accide-10'!#REF!</definedName>
    <definedName name="WQ" localSheetId="11">#REF!</definedName>
    <definedName name="WQ">#REF!</definedName>
    <definedName name="WQEEWQ" localSheetId="12" hidden="1">{"TAB1",#N/A,TRUE,"GENERAL";"TAB2",#N/A,TRUE,"GENERAL";"TAB3",#N/A,TRUE,"GENERAL";"TAB4",#N/A,TRUE,"GENERAL";"TAB5",#N/A,TRUE,"GENERAL"}</definedName>
    <definedName name="WQEEWQ" hidden="1">{"TAB1",#N/A,TRUE,"GENERAL";"TAB2",#N/A,TRUE,"GENERAL";"TAB3",#N/A,TRUE,"GENERAL";"TAB4",#N/A,TRUE,"GENERAL";"TAB5",#N/A,TRUE,"GENERAL"}</definedName>
    <definedName name="wrn.civil._.works." hidden="1">{#N/A,#N/A,TRUE,"1842CWN0"}</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12" hidden="1">{"TAB1",#N/A,TRUE,"GENERAL";"TAB2",#N/A,TRUE,"GENERAL";"TAB3",#N/A,TRUE,"GENERAL";"TAB4",#N/A,TRUE,"GENERAL";"TAB5",#N/A,TRUE,"GENERAL"}</definedName>
    <definedName name="wrn.GENERAL." hidden="1">{"TAB1",#N/A,TRUE,"GENERAL";"TAB2",#N/A,TRUE,"GENERAL";"TAB3",#N/A,TRUE,"GENERAL";"TAB4",#N/A,TRUE,"GENERAL";"TAB5",#N/A,TRUE,"GENERAL"}</definedName>
    <definedName name="wrn.GERENCIA." hidden="1">{#N/A,#N/A,TRUE,"INGENIERIA";#N/A,#N/A,TRUE,"COMPRAS";#N/A,#N/A,TRUE,"DIRECCION";#N/A,#N/A,TRUE,"RESUMEN"}</definedName>
    <definedName name="wrn.OPERADORES." hidden="1">{#N/A,#N/A,TRUE,"T1"}</definedName>
    <definedName name="wrn.res7" hidden="1">{#N/A,#N/A,FALSE,"Hoja1";#N/A,#N/A,FALSE,"Hoja2"}</definedName>
    <definedName name="wrn.Resumen." hidden="1">{#N/A,#N/A,FALSE,"Hoja1";#N/A,#N/A,FALSE,"Hoja2"}</definedName>
    <definedName name="wrn.TRABFENO." hidden="1">{#N/A,#N/A,FALSE,"Estatico";#N/A,#N/A,FALSE,"Tuberia";#N/A,#N/A,FALSE,"Instrumentación";#N/A,#N/A,FALSE,"Mecanica";#N/A,#N/A,FALSE,"Electrico";#N/A,#N/A,FALSE,"Ofic.Civiles"}</definedName>
    <definedName name="wrn.via." localSheetId="12" hidden="1">{"via1",#N/A,TRUE,"general";"via2",#N/A,TRUE,"general";"via3",#N/A,TRUE,"general"}</definedName>
    <definedName name="wrn.via." hidden="1">{"via1",#N/A,TRUE,"general";"via2",#N/A,TRUE,"general";"via3",#N/A,TRUE,"general"}</definedName>
    <definedName name="wsnhed" localSheetId="12" hidden="1">{"via1",#N/A,TRUE,"general";"via2",#N/A,TRUE,"general";"via3",#N/A,TRUE,"general"}</definedName>
    <definedName name="wsnhed" hidden="1">{"via1",#N/A,TRUE,"general";"via2",#N/A,TRUE,"general";"via3",#N/A,TRUE,"general"}</definedName>
    <definedName name="wswswsqa" localSheetId="12" hidden="1">{"via1",#N/A,TRUE,"general";"via2",#N/A,TRUE,"general";"via3",#N/A,TRUE,"general"}</definedName>
    <definedName name="wswswsqa" hidden="1">{"via1",#N/A,TRUE,"general";"via2",#N/A,TRUE,"general";"via3",#N/A,TRUE,"general"}</definedName>
    <definedName name="WSX" localSheetId="11">#REF!</definedName>
    <definedName name="WSX">#REF!</definedName>
    <definedName name="Wtot" localSheetId="11">#REF!</definedName>
    <definedName name="Wtot">#REF!</definedName>
    <definedName name="wtt" localSheetId="12" hidden="1">{"TAB1",#N/A,TRUE,"GENERAL";"TAB2",#N/A,TRUE,"GENERAL";"TAB3",#N/A,TRUE,"GENERAL";"TAB4",#N/A,TRUE,"GENERAL";"TAB5",#N/A,TRUE,"GENERAL"}</definedName>
    <definedName name="wtt" hidden="1">{"TAB1",#N/A,TRUE,"GENERAL";"TAB2",#N/A,TRUE,"GENERAL";"TAB3",#N/A,TRUE,"GENERAL";"TAB4",#N/A,TRUE,"GENERAL";"TAB5",#N/A,TRUE,"GENERAL"}</definedName>
    <definedName name="WW" localSheetId="11">[1]LIQUIDACION!#REF!</definedName>
    <definedName name="WW">[1]LIQUIDACION!#REF!</definedName>
    <definedName name="wwded3" localSheetId="12" hidden="1">{"via1",#N/A,TRUE,"general";"via2",#N/A,TRUE,"general";"via3",#N/A,TRUE,"general"}</definedName>
    <definedName name="wwded3" hidden="1">{"via1",#N/A,TRUE,"general";"via2",#N/A,TRUE,"general";"via3",#N/A,TRUE,"general"}</definedName>
    <definedName name="wwwwe" localSheetId="12" hidden="1">{"TAB1",#N/A,TRUE,"GENERAL";"TAB2",#N/A,TRUE,"GENERAL";"TAB3",#N/A,TRUE,"GENERAL";"TAB4",#N/A,TRUE,"GENERAL";"TAB5",#N/A,TRUE,"GENERAL"}</definedName>
    <definedName name="wwwwe" hidden="1">{"TAB1",#N/A,TRUE,"GENERAL";"TAB2",#N/A,TRUE,"GENERAL";"TAB3",#N/A,TRUE,"GENERAL";"TAB4",#N/A,TRUE,"GENERAL";"TAB5",#N/A,TRUE,"GENERAL"}</definedName>
    <definedName name="wyty" localSheetId="12" hidden="1">{"via1",#N/A,TRUE,"general";"via2",#N/A,TRUE,"general";"via3",#N/A,TRUE,"general"}</definedName>
    <definedName name="wyty" hidden="1">{"via1",#N/A,TRUE,"general";"via2",#N/A,TRUE,"general";"via3",#N/A,TRUE,"general"}</definedName>
    <definedName name="x" localSheetId="11">#REF!</definedName>
    <definedName name="x">#REF!</definedName>
    <definedName name="xcbvbs" localSheetId="12" hidden="1">{"TAB1",#N/A,TRUE,"GENERAL";"TAB2",#N/A,TRUE,"GENERAL";"TAB3",#N/A,TRUE,"GENERAL";"TAB4",#N/A,TRUE,"GENERAL";"TAB5",#N/A,TRUE,"GENERAL"}</definedName>
    <definedName name="xcbvbs" hidden="1">{"TAB1",#N/A,TRUE,"GENERAL";"TAB2",#N/A,TRUE,"GENERAL";"TAB3",#N/A,TRUE,"GENERAL";"TAB4",#N/A,TRUE,"GENERAL";"TAB5",#N/A,TRUE,"GENERAL"}</definedName>
    <definedName name="XD" localSheetId="11">#REF!</definedName>
    <definedName name="XD">#REF!</definedName>
    <definedName name="XSW" hidden="1">{#N/A,#N/A,TRUE,"1842CWN0"}</definedName>
    <definedName name="xsxs" localSheetId="12" hidden="1">{"TAB1",#N/A,TRUE,"GENERAL";"TAB2",#N/A,TRUE,"GENERAL";"TAB3",#N/A,TRUE,"GENERAL";"TAB4",#N/A,TRUE,"GENERAL";"TAB5",#N/A,TRUE,"GENERAL"}</definedName>
    <definedName name="xsxs" hidden="1">{"TAB1",#N/A,TRUE,"GENERAL";"TAB2",#N/A,TRUE,"GENERAL";"TAB3",#N/A,TRUE,"GENERAL";"TAB4",#N/A,TRUE,"GENERAL";"TAB5",#N/A,TRUE,"GENERAL"}</definedName>
    <definedName name="XX" localSheetId="11">#REF!</definedName>
    <definedName name="XX" localSheetId="12">#REF!</definedName>
    <definedName name="XX">#REF!</definedName>
    <definedName name="xxfg" localSheetId="12" hidden="1">{"via1",#N/A,TRUE,"general";"via2",#N/A,TRUE,"general";"via3",#N/A,TRUE,"general"}</definedName>
    <definedName name="xxfg" hidden="1">{"via1",#N/A,TRUE,"general";"via2",#N/A,TRUE,"general";"via3",#N/A,TRUE,"general"}</definedName>
    <definedName name="XXXX" localSheetId="11" hidden="1">#REF!</definedName>
    <definedName name="XXXX" hidden="1">#REF!</definedName>
    <definedName name="xxxxx" localSheetId="11">[131]!absc</definedName>
    <definedName name="xxxxx">[131]!absc</definedName>
    <definedName name="xxxxxds" localSheetId="12" hidden="1">{"via1",#N/A,TRUE,"general";"via2",#N/A,TRUE,"general";"via3",#N/A,TRUE,"general"}</definedName>
    <definedName name="xxxxxds" hidden="1">{"via1",#N/A,TRUE,"general";"via2",#N/A,TRUE,"general";"via3",#N/A,TRUE,"general"}</definedName>
    <definedName name="XXXXXX" hidden="1">{#N/A,#N/A,FALSE,"orthoflow";#N/A,#N/A,FALSE,"Miscelaneos";#N/A,#N/A,FALSE,"Instrumentacio";#N/A,#N/A,FALSE,"Electrico";#N/A,#N/A,FALSE,"Valv. Seguridad"}</definedName>
    <definedName name="XXXXXXXXXX" localSheetId="11">#REF!</definedName>
    <definedName name="XXXXXXXXXX" localSheetId="12">#REF!</definedName>
    <definedName name="XXXXXXXXXX">#REF!</definedName>
    <definedName name="xxxxxxxxxx29" localSheetId="12" hidden="1">{"via1",#N/A,TRUE,"general";"via2",#N/A,TRUE,"general";"via3",#N/A,TRUE,"general"}</definedName>
    <definedName name="xxxxxxxxxx29" hidden="1">{"via1",#N/A,TRUE,"general";"via2",#N/A,TRUE,"general";"via3",#N/A,TRUE,"general"}</definedName>
    <definedName name="XXXXXXXXXXXX" localSheetId="11">#REF!</definedName>
    <definedName name="XXXXXXXXXXXX" localSheetId="12">#REF!</definedName>
    <definedName name="XXXXXXXXXXXX">#REF!</definedName>
    <definedName name="XZS" localSheetId="11" hidden="1">#REF!</definedName>
    <definedName name="XZS" hidden="1">#REF!</definedName>
    <definedName name="XZXZV" localSheetId="12" hidden="1">{"via1",#N/A,TRUE,"general";"via2",#N/A,TRUE,"general";"via3",#N/A,TRUE,"general"}</definedName>
    <definedName name="XZXZV" hidden="1">{"via1",#N/A,TRUE,"general";"via2",#N/A,TRUE,"general";"via3",#N/A,TRUE,"general"}</definedName>
    <definedName name="Y" localSheetId="11">[41]!absc</definedName>
    <definedName name="Y">[41]!absc</definedName>
    <definedName name="Y22EL">'BASE 2'!$D$394</definedName>
    <definedName name="Y22JH">'BASE 2'!$D$395</definedName>
    <definedName name="Y32JH">'BASE 2'!$D$397</definedName>
    <definedName name="Y33JH">'BASE 2'!$D$396</definedName>
    <definedName name="Y42JH">'BASE 2'!$D$398</definedName>
    <definedName name="Y43JH">'BASE 2'!$D$399</definedName>
    <definedName name="Y44EL">'BASE 2'!$D$400</definedName>
    <definedName name="Y44JH">'BASE 2'!$D$401</definedName>
    <definedName name="y6y6" localSheetId="12" hidden="1">{"via1",#N/A,TRUE,"general";"via2",#N/A,TRUE,"general";"via3",#N/A,TRUE,"general"}</definedName>
    <definedName name="y6y6" hidden="1">{"via1",#N/A,TRUE,"general";"via2",#N/A,TRUE,"general";"via3",#N/A,TRUE,"general"}</definedName>
    <definedName name="Y88JH" localSheetId="8">[15]BASE2!$D$347</definedName>
    <definedName name="Y88JH" localSheetId="9">[15]BASE2!$D$347</definedName>
    <definedName name="Y88JH">'BASE 2'!$D$402</definedName>
    <definedName name="YA" localSheetId="11">#REF!</definedName>
    <definedName name="YA" localSheetId="12">#REF!</definedName>
    <definedName name="YA">#REF!</definedName>
    <definedName name="yery" localSheetId="12" hidden="1">{"via1",#N/A,TRUE,"general";"via2",#N/A,TRUE,"general";"via3",#N/A,TRUE,"general"}</definedName>
    <definedName name="yery" hidden="1">{"via1",#N/A,TRUE,"general";"via2",#N/A,TRUE,"general";"via3",#N/A,TRUE,"general"}</definedName>
    <definedName name="YHN" localSheetId="11">#REF!</definedName>
    <definedName name="YHN">#REF!</definedName>
    <definedName name="yhy" localSheetId="12" hidden="1">{"TAB1",#N/A,TRUE,"GENERAL";"TAB2",#N/A,TRUE,"GENERAL";"TAB3",#N/A,TRUE,"GENERAL";"TAB4",#N/A,TRUE,"GENERAL";"TAB5",#N/A,TRUE,"GENERAL"}</definedName>
    <definedName name="yhy" hidden="1">{"TAB1",#N/A,TRUE,"GENERAL";"TAB2",#N/A,TRUE,"GENERAL";"TAB3",#N/A,TRUE,"GENERAL";"TAB4",#N/A,TRUE,"GENERAL";"TAB5",#N/A,TRUE,"GENERAL"}</definedName>
    <definedName name="YJ" localSheetId="11">#REF!</definedName>
    <definedName name="YJ">#REF!</definedName>
    <definedName name="yjyj" localSheetId="12" hidden="1">{"TAB1",#N/A,TRUE,"GENERAL";"TAB2",#N/A,TRUE,"GENERAL";"TAB3",#N/A,TRUE,"GENERAL";"TAB4",#N/A,TRUE,"GENERAL";"TAB5",#N/A,TRUE,"GENERAL"}</definedName>
    <definedName name="yjyj" hidden="1">{"TAB1",#N/A,TRUE,"GENERAL";"TAB2",#N/A,TRUE,"GENERAL";"TAB3",#N/A,TRUE,"GENERAL";"TAB4",#N/A,TRUE,"GENERAL";"TAB5",#N/A,TRUE,"GENERAL"}</definedName>
    <definedName name="YOYO">'[132]AISLAMIENTO CATEGORIAS II Y III'!$G$1:$I$65536</definedName>
    <definedName name="yrey" localSheetId="12" hidden="1">{"via1",#N/A,TRUE,"general";"via2",#N/A,TRUE,"general";"via3",#N/A,TRUE,"general"}</definedName>
    <definedName name="yrey" hidden="1">{"via1",#N/A,TRUE,"general";"via2",#N/A,TRUE,"general";"via3",#N/A,TRUE,"general"}</definedName>
    <definedName name="yry" localSheetId="12" hidden="1">{"via1",#N/A,TRUE,"general";"via2",#N/A,TRUE,"general";"via3",#N/A,TRUE,"general"}</definedName>
    <definedName name="yry" hidden="1">{"via1",#N/A,TRUE,"general";"via2",#N/A,TRUE,"general";"via3",#N/A,TRUE,"general"}</definedName>
    <definedName name="YT" localSheetId="11">#REF!</definedName>
    <definedName name="YT">#REF!</definedName>
    <definedName name="ytj" localSheetId="12" hidden="1">{"TAB1",#N/A,TRUE,"GENERAL";"TAB2",#N/A,TRUE,"GENERAL";"TAB3",#N/A,TRUE,"GENERAL";"TAB4",#N/A,TRUE,"GENERAL";"TAB5",#N/A,TRUE,"GENERAL"}</definedName>
    <definedName name="ytj" hidden="1">{"TAB1",#N/A,TRUE,"GENERAL";"TAB2",#N/A,TRUE,"GENERAL";"TAB3",#N/A,TRUE,"GENERAL";"TAB4",#N/A,TRUE,"GENERAL";"TAB5",#N/A,TRUE,"GENERAL"}</definedName>
    <definedName name="ytjt6" localSheetId="12" hidden="1">{"via1",#N/A,TRUE,"general";"via2",#N/A,TRUE,"general";"via3",#N/A,TRUE,"general"}</definedName>
    <definedName name="ytjt6" hidden="1">{"via1",#N/A,TRUE,"general";"via2",#N/A,TRUE,"general";"via3",#N/A,TRUE,"general"}</definedName>
    <definedName name="ytrwyr" localSheetId="12" hidden="1">{"TAB1",#N/A,TRUE,"GENERAL";"TAB2",#N/A,TRUE,"GENERAL";"TAB3",#N/A,TRUE,"GENERAL";"TAB4",#N/A,TRUE,"GENERAL";"TAB5",#N/A,TRUE,"GENERAL"}</definedName>
    <definedName name="ytrwyr" hidden="1">{"TAB1",#N/A,TRUE,"GENERAL";"TAB2",#N/A,TRUE,"GENERAL";"TAB3",#N/A,TRUE,"GENERAL";"TAB4",#N/A,TRUE,"GENERAL";"TAB5",#N/A,TRUE,"GENERAL"}</definedName>
    <definedName name="ytry" localSheetId="12" hidden="1">{"via1",#N/A,TRUE,"general";"via2",#N/A,TRUE,"general";"via3",#N/A,TRUE,"general"}</definedName>
    <definedName name="ytry" hidden="1">{"via1",#N/A,TRUE,"general";"via2",#N/A,TRUE,"general";"via3",#N/A,TRUE,"general"}</definedName>
    <definedName name="ytryrty" localSheetId="12" hidden="1">{"via1",#N/A,TRUE,"general";"via2",#N/A,TRUE,"general";"via3",#N/A,TRUE,"general"}</definedName>
    <definedName name="ytryrty" hidden="1">{"via1",#N/A,TRUE,"general";"via2",#N/A,TRUE,"general";"via3",#N/A,TRUE,"general"}</definedName>
    <definedName name="YTRYUYT" localSheetId="12" hidden="1">{"TAB1",#N/A,TRUE,"GENERAL";"TAB2",#N/A,TRUE,"GENERAL";"TAB3",#N/A,TRUE,"GENERAL";"TAB4",#N/A,TRUE,"GENERAL";"TAB5",#N/A,TRUE,"GENERAL"}</definedName>
    <definedName name="YTRYUYT" hidden="1">{"TAB1",#N/A,TRUE,"GENERAL";"TAB2",#N/A,TRUE,"GENERAL";"TAB3",#N/A,TRUE,"GENERAL";"TAB4",#N/A,TRUE,"GENERAL";"TAB5",#N/A,TRUE,"GENERAL"}</definedName>
    <definedName name="ytudfgd" localSheetId="12" hidden="1">{"TAB1",#N/A,TRUE,"GENERAL";"TAB2",#N/A,TRUE,"GENERAL";"TAB3",#N/A,TRUE,"GENERAL";"TAB4",#N/A,TRUE,"GENERAL";"TAB5",#N/A,TRUE,"GENERAL"}</definedName>
    <definedName name="ytudfgd" hidden="1">{"TAB1",#N/A,TRUE,"GENERAL";"TAB2",#N/A,TRUE,"GENERAL";"TAB3",#N/A,TRUE,"GENERAL";"TAB4",#N/A,TRUE,"GENERAL";"TAB5",#N/A,TRUE,"GENERAL"}</definedName>
    <definedName name="yturtu7" localSheetId="12" hidden="1">{"TAB1",#N/A,TRUE,"GENERAL";"TAB2",#N/A,TRUE,"GENERAL";"TAB3",#N/A,TRUE,"GENERAL";"TAB4",#N/A,TRUE,"GENERAL";"TAB5",#N/A,TRUE,"GENERAL"}</definedName>
    <definedName name="yturtu7" hidden="1">{"TAB1",#N/A,TRUE,"GENERAL";"TAB2",#N/A,TRUE,"GENERAL";"TAB3",#N/A,TRUE,"GENERAL";"TAB4",#N/A,TRUE,"GENERAL";"TAB5",#N/A,TRUE,"GENERAL"}</definedName>
    <definedName name="yturu" localSheetId="12" hidden="1">{"TAB1",#N/A,TRUE,"GENERAL";"TAB2",#N/A,TRUE,"GENERAL";"TAB3",#N/A,TRUE,"GENERAL";"TAB4",#N/A,TRUE,"GENERAL";"TAB5",#N/A,TRUE,"GENERAL"}</definedName>
    <definedName name="yturu" hidden="1">{"TAB1",#N/A,TRUE,"GENERAL";"TAB2",#N/A,TRUE,"GENERAL";"TAB3",#N/A,TRUE,"GENERAL";"TAB4",#N/A,TRUE,"GENERAL";"TAB5",#N/A,TRUE,"GENERAL"}</definedName>
    <definedName name="ytuytfgh" localSheetId="12" hidden="1">{"via1",#N/A,TRUE,"general";"via2",#N/A,TRUE,"general";"via3",#N/A,TRUE,"general"}</definedName>
    <definedName name="ytuytfgh" hidden="1">{"via1",#N/A,TRUE,"general";"via2",#N/A,TRUE,"general";"via3",#N/A,TRUE,"general"}</definedName>
    <definedName name="yty" localSheetId="12" hidden="1">{"TAB1",#N/A,TRUE,"GENERAL";"TAB2",#N/A,TRUE,"GENERAL";"TAB3",#N/A,TRUE,"GENERAL";"TAB4",#N/A,TRUE,"GENERAL";"TAB5",#N/A,TRUE,"GENERAL"}</definedName>
    <definedName name="yty" hidden="1">{"TAB1",#N/A,TRUE,"GENERAL";"TAB2",#N/A,TRUE,"GENERAL";"TAB3",#N/A,TRUE,"GENERAL";"TAB4",#N/A,TRUE,"GENERAL";"TAB5",#N/A,TRUE,"GENERAL"}</definedName>
    <definedName name="ytyyh" localSheetId="12" hidden="1">{"via1",#N/A,TRUE,"general";"via2",#N/A,TRUE,"general";"via3",#N/A,TRUE,"general"}</definedName>
    <definedName name="ytyyh" hidden="1">{"via1",#N/A,TRUE,"general";"via2",#N/A,TRUE,"general";"via3",#N/A,TRUE,"general"}</definedName>
    <definedName name="ytzacdfg" localSheetId="12" hidden="1">{"TAB1",#N/A,TRUE,"GENERAL";"TAB2",#N/A,TRUE,"GENERAL";"TAB3",#N/A,TRUE,"GENERAL";"TAB4",#N/A,TRUE,"GENERAL";"TAB5",#N/A,TRUE,"GENERAL"}</definedName>
    <definedName name="ytzacdfg" hidden="1">{"TAB1",#N/A,TRUE,"GENERAL";"TAB2",#N/A,TRUE,"GENERAL";"TAB3",#N/A,TRUE,"GENERAL";"TAB4",#N/A,TRUE,"GENERAL";"TAB5",#N/A,TRUE,"GENERAL"}</definedName>
    <definedName name="yu" localSheetId="12" hidden="1">{"TAB1",#N/A,TRUE,"GENERAL";"TAB2",#N/A,TRUE,"GENERAL";"TAB3",#N/A,TRUE,"GENERAL";"TAB4",#N/A,TRUE,"GENERAL";"TAB5",#N/A,TRUE,"GENERAL"}</definedName>
    <definedName name="yu" hidden="1">{"TAB1",#N/A,TRUE,"GENERAL";"TAB2",#N/A,TRUE,"GENERAL";"TAB3",#N/A,TRUE,"GENERAL";"TAB4",#N/A,TRUE,"GENERAL";"TAB5",#N/A,TRUE,"GENERAL"}</definedName>
    <definedName name="yudre54" localSheetId="12" hidden="1">{"TAB1",#N/A,TRUE,"GENERAL";"TAB2",#N/A,TRUE,"GENERAL";"TAB3",#N/A,TRUE,"GENERAL";"TAB4",#N/A,TRUE,"GENERAL";"TAB5",#N/A,TRUE,"GENERAL"}</definedName>
    <definedName name="yudre54" hidden="1">{"TAB1",#N/A,TRUE,"GENERAL";"TAB2",#N/A,TRUE,"GENERAL";"TAB3",#N/A,TRUE,"GENERAL";"TAB4",#N/A,TRUE,"GENERAL";"TAB5",#N/A,TRUE,"GENERAL"}</definedName>
    <definedName name="yuhgh" localSheetId="12" hidden="1">{"TAB1",#N/A,TRUE,"GENERAL";"TAB2",#N/A,TRUE,"GENERAL";"TAB3",#N/A,TRUE,"GENERAL";"TAB4",#N/A,TRUE,"GENERAL";"TAB5",#N/A,TRUE,"GENERAL"}</definedName>
    <definedName name="yuhgh" hidden="1">{"TAB1",#N/A,TRUE,"GENERAL";"TAB2",#N/A,TRUE,"GENERAL";"TAB3",#N/A,TRUE,"GENERAL";"TAB4",#N/A,TRUE,"GENERAL";"TAB5",#N/A,TRUE,"GENERAL"}</definedName>
    <definedName name="yutu" localSheetId="12" hidden="1">{"via1",#N/A,TRUE,"general";"via2",#N/A,TRUE,"general";"via3",#N/A,TRUE,"general"}</definedName>
    <definedName name="yutu" hidden="1">{"via1",#N/A,TRUE,"general";"via2",#N/A,TRUE,"general";"via3",#N/A,TRUE,"general"}</definedName>
    <definedName name="yuuiiy" localSheetId="12" hidden="1">{"via1",#N/A,TRUE,"general";"via2",#N/A,TRUE,"general";"via3",#N/A,TRUE,"general"}</definedName>
    <definedName name="yuuiiy" hidden="1">{"via1",#N/A,TRUE,"general";"via2",#N/A,TRUE,"general";"via3",#N/A,TRUE,"general"}</definedName>
    <definedName name="yuuuuuu" localSheetId="12" hidden="1">{"via1",#N/A,TRUE,"general";"via2",#N/A,TRUE,"general";"via3",#N/A,TRUE,"general"}</definedName>
    <definedName name="yuuuuuu" hidden="1">{"via1",#N/A,TRUE,"general";"via2",#N/A,TRUE,"general";"via3",#N/A,TRUE,"general"}</definedName>
    <definedName name="yy" localSheetId="12" hidden="1">{"via1",#N/A,TRUE,"general";"via2",#N/A,TRUE,"general";"via3",#N/A,TRUE,"general"}</definedName>
    <definedName name="yy" hidden="1">{"via1",#N/A,TRUE,"general";"via2",#N/A,TRUE,"general";"via3",#N/A,TRUE,"general"}</definedName>
    <definedName name="yyy" localSheetId="12" hidden="1">{"TAB1",#N/A,TRUE,"GENERAL";"TAB2",#N/A,TRUE,"GENERAL";"TAB3",#N/A,TRUE,"GENERAL";"TAB4",#N/A,TRUE,"GENERAL";"TAB5",#N/A,TRUE,"GENERAL"}</definedName>
    <definedName name="yyy" hidden="1">{"TAB1",#N/A,TRUE,"GENERAL";"TAB2",#N/A,TRUE,"GENERAL";"TAB3",#N/A,TRUE,"GENERAL";"TAB4",#N/A,TRUE,"GENERAL";"TAB5",#N/A,TRUE,"GENERAL"}</definedName>
    <definedName name="yyyuh" localSheetId="12" hidden="1">{"TAB1",#N/A,TRUE,"GENERAL";"TAB2",#N/A,TRUE,"GENERAL";"TAB3",#N/A,TRUE,"GENERAL";"TAB4",#N/A,TRUE,"GENERAL";"TAB5",#N/A,TRUE,"GENERAL"}</definedName>
    <definedName name="yyyuh" hidden="1">{"TAB1",#N/A,TRUE,"GENERAL";"TAB2",#N/A,TRUE,"GENERAL";"TAB3",#N/A,TRUE,"GENERAL";"TAB4",#N/A,TRUE,"GENERAL";"TAB5",#N/A,TRUE,"GENERAL"}</definedName>
    <definedName name="yyyyhhh" localSheetId="12" hidden="1">{"TAB1",#N/A,TRUE,"GENERAL";"TAB2",#N/A,TRUE,"GENERAL";"TAB3",#N/A,TRUE,"GENERAL";"TAB4",#N/A,TRUE,"GENERAL";"TAB5",#N/A,TRUE,"GENERAL"}</definedName>
    <definedName name="yyyyhhh" hidden="1">{"TAB1",#N/A,TRUE,"GENERAL";"TAB2",#N/A,TRUE,"GENERAL";"TAB3",#N/A,TRUE,"GENERAL";"TAB4",#N/A,TRUE,"GENERAL";"TAB5",#N/A,TRUE,"GENERAL"}</definedName>
    <definedName name="yyyyyf" localSheetId="12" hidden="1">{"via1",#N/A,TRUE,"general";"via2",#N/A,TRUE,"general";"via3",#N/A,TRUE,"general"}</definedName>
    <definedName name="yyyyyf" hidden="1">{"via1",#N/A,TRUE,"general";"via2",#N/A,TRUE,"general";"via3",#N/A,TRUE,"general"}</definedName>
    <definedName name="ZAQ" hidden="1">{#N/A,#N/A,TRUE,"INGENIERIA";#N/A,#N/A,TRUE,"COMPRAS";#N/A,#N/A,TRUE,"DIRECCION";#N/A,#N/A,TRUE,"RESUMEN"}</definedName>
    <definedName name="zdervr" localSheetId="12" hidden="1">{"via1",#N/A,TRUE,"general";"via2",#N/A,TRUE,"general";"via3",#N/A,TRUE,"general"}</definedName>
    <definedName name="zdervr" hidden="1">{"via1",#N/A,TRUE,"general";"via2",#N/A,TRUE,"general";"via3",#N/A,TRUE,"general"}</definedName>
    <definedName name="ZDF" localSheetId="11">#REF!</definedName>
    <definedName name="ZDF" localSheetId="12">#REF!</definedName>
    <definedName name="ZDF">#REF!</definedName>
    <definedName name="ZONA1" localSheetId="11">#REF!</definedName>
    <definedName name="ZONA1">#REF!</definedName>
    <definedName name="ZONA3" localSheetId="11">#REF!</definedName>
    <definedName name="ZONA3">#REF!</definedName>
    <definedName name="ZONA4" localSheetId="11">#REF!</definedName>
    <definedName name="ZONA4">#REF!</definedName>
    <definedName name="zx" localSheetId="12">'Formulario No. 1'!ERR</definedName>
    <definedName name="zx">[0]!ERR</definedName>
    <definedName name="zxczds" localSheetId="12" hidden="1">{"TAB1",#N/A,TRUE,"GENERAL";"TAB2",#N/A,TRUE,"GENERAL";"TAB3",#N/A,TRUE,"GENERAL";"TAB4",#N/A,TRUE,"GENERAL";"TAB5",#N/A,TRUE,"GENERAL"}</definedName>
    <definedName name="zxczds" hidden="1">{"TAB1",#N/A,TRUE,"GENERAL";"TAB2",#N/A,TRUE,"GENERAL";"TAB3",#N/A,TRUE,"GENERAL";"TAB4",#N/A,TRUE,"GENERAL";"TAB5",#N/A,TRUE,"GENERAL"}</definedName>
    <definedName name="zxsdftyu" localSheetId="12" hidden="1">{"via1",#N/A,TRUE,"general";"via2",#N/A,TRUE,"general";"via3",#N/A,TRUE,"general"}</definedName>
    <definedName name="zxsdftyu" hidden="1">{"via1",#N/A,TRUE,"general";"via2",#N/A,TRUE,"general";"via3",#N/A,TRUE,"general"}</definedName>
    <definedName name="zxvxczv" localSheetId="12" hidden="1">{"via1",#N/A,TRUE,"general";"via2",#N/A,TRUE,"general";"via3",#N/A,TRUE,"general"}</definedName>
    <definedName name="zxvxczv" hidden="1">{"via1",#N/A,TRUE,"general";"via2",#N/A,TRUE,"general";"via3",#N/A,TRUE,"general"}</definedName>
    <definedName name="ZZZZZZZZZZZ" localSheetId="11">'[67]A. P. U.'!#REF!</definedName>
    <definedName name="ZZZZZZZZZZZ" localSheetId="12">'[67]A. P. U.'!#REF!</definedName>
    <definedName name="ZZZZZZZZZZZ">'[67]A. P. U.'!#REF!</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4" i="158" l="1"/>
  <c r="F253" i="158"/>
  <c r="F247" i="158"/>
  <c r="F249" i="158"/>
  <c r="F248" i="158"/>
  <c r="F241" i="158" l="1"/>
  <c r="F239" i="158"/>
  <c r="F238" i="158"/>
  <c r="F237" i="158"/>
  <c r="F235" i="158"/>
  <c r="F234" i="158"/>
  <c r="F233" i="158"/>
  <c r="F230" i="158"/>
  <c r="F229" i="158"/>
  <c r="F217" i="158"/>
  <c r="F218" i="158"/>
  <c r="F219" i="158"/>
  <c r="F220" i="158"/>
  <c r="F221" i="158"/>
  <c r="F222" i="158"/>
  <c r="F223" i="158"/>
  <c r="F216" i="158"/>
  <c r="F195" i="158"/>
  <c r="F207" i="158"/>
  <c r="F204" i="158"/>
  <c r="F203" i="158"/>
  <c r="F198" i="158"/>
  <c r="F197" i="158"/>
  <c r="F193" i="158"/>
  <c r="F191" i="158"/>
  <c r="F189" i="158"/>
  <c r="F82" i="158"/>
  <c r="F84" i="158"/>
  <c r="F85" i="158"/>
  <c r="F87" i="158"/>
  <c r="F89" i="158"/>
  <c r="F90" i="158"/>
  <c r="F93" i="158"/>
  <c r="F95" i="158"/>
  <c r="F97" i="158"/>
  <c r="F99" i="158"/>
  <c r="F100" i="158"/>
  <c r="F105" i="158"/>
  <c r="F106" i="158"/>
  <c r="F107" i="158"/>
  <c r="F108" i="158"/>
  <c r="F109" i="158"/>
  <c r="F110" i="158"/>
  <c r="F112" i="158"/>
  <c r="F113" i="158"/>
  <c r="F114" i="158"/>
  <c r="F115" i="158"/>
  <c r="F116" i="158"/>
  <c r="F118" i="158"/>
  <c r="F120" i="158"/>
  <c r="F124" i="158"/>
  <c r="F127" i="158"/>
  <c r="F132" i="158"/>
  <c r="F134" i="158"/>
  <c r="F135" i="158"/>
  <c r="F136" i="158"/>
  <c r="F137" i="158"/>
  <c r="F138" i="158"/>
  <c r="F139" i="158"/>
  <c r="F140" i="158"/>
  <c r="F141" i="158"/>
  <c r="F142" i="158"/>
  <c r="F143" i="158"/>
  <c r="F144" i="158"/>
  <c r="F145" i="158"/>
  <c r="F146" i="158"/>
  <c r="F148" i="158"/>
  <c r="F151" i="158"/>
  <c r="F153" i="158"/>
  <c r="F155" i="158"/>
  <c r="F156" i="158"/>
  <c r="F158" i="158"/>
  <c r="F159" i="158"/>
  <c r="F160" i="158"/>
  <c r="F161" i="158"/>
  <c r="F162" i="158"/>
  <c r="F165" i="158"/>
  <c r="F166" i="158"/>
  <c r="F167" i="158"/>
  <c r="F168" i="158"/>
  <c r="F169" i="158"/>
  <c r="F170" i="158"/>
  <c r="F171" i="158"/>
  <c r="F173" i="158"/>
  <c r="F175" i="158"/>
  <c r="F176" i="158"/>
  <c r="F177" i="158"/>
  <c r="F179" i="158"/>
  <c r="F180" i="158"/>
  <c r="F181" i="158"/>
  <c r="F183" i="158"/>
  <c r="F184" i="158"/>
  <c r="F185" i="158"/>
  <c r="F81" i="158"/>
  <c r="F252" i="158" l="1"/>
  <c r="F251" i="158"/>
  <c r="F245" i="158"/>
  <c r="F246" i="158"/>
  <c r="F8" i="158" l="1"/>
  <c r="F9" i="158"/>
  <c r="F10" i="158"/>
  <c r="F11" i="158"/>
  <c r="F12" i="158"/>
  <c r="F13" i="158"/>
  <c r="F14" i="158"/>
  <c r="F16" i="158"/>
  <c r="F17" i="158"/>
  <c r="F18" i="158"/>
  <c r="F20" i="158"/>
  <c r="F21" i="158"/>
  <c r="F23" i="158"/>
  <c r="F25" i="158"/>
  <c r="F26" i="158"/>
  <c r="F27" i="158"/>
  <c r="F28" i="158"/>
  <c r="F29" i="158"/>
  <c r="F30" i="158"/>
  <c r="F34" i="158"/>
  <c r="F35" i="158"/>
  <c r="F36" i="158"/>
  <c r="F37" i="158"/>
  <c r="F38" i="158"/>
  <c r="F39" i="158"/>
  <c r="F40" i="158"/>
  <c r="F44" i="158"/>
  <c r="F45" i="158"/>
  <c r="F46" i="158"/>
  <c r="F47" i="158"/>
  <c r="F50" i="158"/>
  <c r="F53" i="158"/>
  <c r="F54" i="158"/>
  <c r="F55" i="158"/>
  <c r="F56" i="158"/>
  <c r="F57" i="158"/>
  <c r="F58" i="158"/>
  <c r="F59" i="158"/>
  <c r="F61" i="158"/>
  <c r="F63" i="158"/>
  <c r="F66" i="158"/>
  <c r="F68" i="158"/>
  <c r="F70" i="158"/>
  <c r="F71" i="158"/>
  <c r="F74" i="158"/>
  <c r="F76" i="158"/>
  <c r="F6" i="158"/>
  <c r="F244" i="158" l="1"/>
  <c r="F257" i="158" s="1"/>
  <c r="F39" i="128"/>
  <c r="G956" i="152"/>
  <c r="D886" i="152"/>
  <c r="B886" i="152"/>
  <c r="D885" i="152"/>
  <c r="B885" i="152"/>
  <c r="D884" i="152"/>
  <c r="B884" i="152"/>
  <c r="D883" i="152"/>
  <c r="B883" i="152"/>
  <c r="D882" i="152"/>
  <c r="B882" i="152"/>
  <c r="D881" i="152"/>
  <c r="B881" i="152"/>
  <c r="D880" i="152"/>
  <c r="B880" i="152"/>
  <c r="A856" i="152"/>
  <c r="A809" i="152"/>
  <c r="D802" i="152"/>
  <c r="D801" i="152"/>
  <c r="D784" i="152"/>
  <c r="D744" i="152"/>
  <c r="D738" i="152"/>
  <c r="A732" i="152"/>
  <c r="D714" i="152"/>
  <c r="D713" i="152"/>
  <c r="A695" i="152"/>
  <c r="D690" i="152"/>
  <c r="D689" i="152"/>
  <c r="D688" i="152"/>
  <c r="D687" i="152"/>
  <c r="D686" i="152"/>
  <c r="D685" i="152"/>
  <c r="D684" i="152"/>
  <c r="A681" i="152"/>
  <c r="A585" i="152"/>
  <c r="D553" i="152"/>
  <c r="D552" i="152"/>
  <c r="D551" i="152"/>
  <c r="D550" i="152"/>
  <c r="D549" i="152"/>
  <c r="D544" i="152"/>
  <c r="D557" i="152"/>
  <c r="D543" i="152"/>
  <c r="D558" i="152"/>
  <c r="D542" i="152"/>
  <c r="D541" i="152"/>
  <c r="D556" i="152" s="1"/>
  <c r="D474" i="152"/>
  <c r="D475" i="152"/>
  <c r="D473" i="152"/>
  <c r="D455" i="152"/>
  <c r="B455" i="152"/>
  <c r="D454" i="152"/>
  <c r="B454" i="152"/>
  <c r="D453" i="152"/>
  <c r="B453" i="152"/>
  <c r="D452" i="152"/>
  <c r="B452" i="152"/>
  <c r="D451" i="152"/>
  <c r="B451" i="152"/>
  <c r="D450" i="152"/>
  <c r="B450" i="152"/>
  <c r="D449" i="152"/>
  <c r="B449" i="152"/>
  <c r="D445" i="152"/>
  <c r="D444" i="152"/>
  <c r="D442" i="152"/>
  <c r="D437" i="152"/>
  <c r="D436" i="152"/>
  <c r="D435" i="152"/>
  <c r="D434" i="152"/>
  <c r="D433" i="152"/>
  <c r="D428" i="152"/>
  <c r="D426" i="152"/>
  <c r="D425" i="152"/>
  <c r="D424" i="152"/>
  <c r="D423" i="152"/>
  <c r="D336" i="152"/>
  <c r="D335" i="152"/>
  <c r="D334" i="152"/>
  <c r="D333" i="152"/>
  <c r="D332" i="152"/>
  <c r="D331" i="152"/>
  <c r="D330" i="152"/>
  <c r="D329" i="152"/>
  <c r="D328" i="152"/>
  <c r="D327" i="152"/>
  <c r="D326" i="152"/>
  <c r="D325" i="152"/>
  <c r="D324" i="152"/>
  <c r="D323" i="152"/>
  <c r="D322" i="152"/>
  <c r="D321" i="152"/>
  <c r="D320" i="152"/>
  <c r="D319" i="152"/>
  <c r="D318" i="152"/>
  <c r="D317" i="152"/>
  <c r="D316" i="152"/>
  <c r="D315" i="152"/>
  <c r="D314" i="152"/>
  <c r="D313" i="152"/>
  <c r="D312" i="152"/>
  <c r="D311" i="152"/>
  <c r="D310" i="152"/>
  <c r="D309" i="152"/>
  <c r="D308" i="152"/>
  <c r="D307" i="152"/>
  <c r="D306" i="152"/>
  <c r="D305" i="152"/>
  <c r="D304" i="152"/>
  <c r="D303" i="152"/>
  <c r="D302" i="152"/>
  <c r="D301" i="152"/>
  <c r="D300" i="152"/>
  <c r="D299" i="152"/>
  <c r="D298" i="152"/>
  <c r="D297" i="152"/>
  <c r="D296" i="152"/>
  <c r="D295" i="152"/>
  <c r="D294" i="152"/>
  <c r="D293" i="152"/>
  <c r="D292" i="152"/>
  <c r="D291" i="152"/>
  <c r="D290" i="152"/>
  <c r="D289" i="152"/>
  <c r="D288" i="152"/>
  <c r="D287" i="152"/>
  <c r="D286" i="152"/>
  <c r="D285" i="152"/>
  <c r="D284" i="152"/>
  <c r="D283" i="152"/>
  <c r="D282" i="152"/>
  <c r="D281" i="152"/>
  <c r="D280" i="152"/>
  <c r="D279" i="152"/>
  <c r="D278" i="152"/>
  <c r="D277" i="152"/>
  <c r="D276" i="152"/>
  <c r="D275" i="152"/>
  <c r="D274" i="152"/>
  <c r="D273" i="152"/>
  <c r="D272" i="152"/>
  <c r="D270" i="152"/>
  <c r="D256" i="152"/>
  <c r="D248" i="152"/>
  <c r="D247" i="152"/>
  <c r="D217" i="152"/>
  <c r="D216" i="152"/>
  <c r="D215" i="152"/>
  <c r="D214" i="152"/>
  <c r="D203" i="152"/>
  <c r="D166" i="152"/>
  <c r="D160" i="152"/>
  <c r="D149" i="152"/>
  <c r="B143" i="152"/>
  <c r="D139" i="152"/>
  <c r="D138" i="152"/>
  <c r="D137" i="152"/>
  <c r="D136" i="152"/>
  <c r="D135" i="152"/>
  <c r="D134" i="152"/>
  <c r="D133" i="152"/>
  <c r="D131" i="152"/>
  <c r="C131" i="152"/>
  <c r="B131" i="152"/>
  <c r="D130" i="152"/>
  <c r="B130" i="152"/>
  <c r="D124" i="152"/>
  <c r="D123" i="152"/>
  <c r="D121" i="152"/>
  <c r="D120" i="152"/>
  <c r="D119" i="152"/>
  <c r="D118" i="152"/>
  <c r="D117" i="152"/>
  <c r="D116" i="152"/>
  <c r="D115" i="152"/>
  <c r="D110" i="152"/>
  <c r="D109" i="152"/>
  <c r="D108" i="152"/>
  <c r="D107" i="152"/>
  <c r="D106" i="152"/>
  <c r="F68" i="152"/>
  <c r="F67" i="152"/>
  <c r="F66" i="152"/>
  <c r="F65" i="152"/>
  <c r="F64" i="152"/>
  <c r="F63" i="152"/>
  <c r="F62" i="152"/>
  <c r="F61" i="152"/>
  <c r="F60" i="152"/>
  <c r="F59" i="152"/>
  <c r="F55" i="152"/>
  <c r="F54" i="152"/>
  <c r="F53" i="152"/>
  <c r="F52" i="152" s="1"/>
  <c r="F51" i="152"/>
  <c r="F50" i="152"/>
  <c r="F49" i="152"/>
  <c r="F48" i="152" s="1"/>
  <c r="F47" i="152"/>
  <c r="F46" i="152"/>
  <c r="F45" i="152"/>
  <c r="F44" i="152"/>
  <c r="F43" i="152"/>
  <c r="F42" i="152"/>
  <c r="F41" i="152"/>
  <c r="F39" i="152"/>
  <c r="F38" i="152"/>
  <c r="F37" i="152"/>
  <c r="F36" i="152"/>
  <c r="F34" i="152"/>
  <c r="F33" i="152"/>
  <c r="F32" i="152"/>
  <c r="F31" i="152" s="1"/>
  <c r="F30" i="152"/>
  <c r="F29" i="152"/>
  <c r="F28" i="152"/>
  <c r="F27" i="152"/>
  <c r="F26" i="152"/>
  <c r="F25" i="152"/>
  <c r="F24" i="152"/>
  <c r="F23" i="152"/>
  <c r="F22" i="152"/>
  <c r="F21" i="152"/>
  <c r="F20" i="152"/>
  <c r="F19" i="152" s="1"/>
  <c r="F18" i="152"/>
  <c r="F17" i="152"/>
  <c r="F16" i="152"/>
  <c r="F15" i="152"/>
  <c r="F14" i="152"/>
  <c r="F13" i="152"/>
  <c r="F12" i="152"/>
  <c r="F10" i="152" s="1"/>
  <c r="F11" i="152"/>
  <c r="F9" i="152"/>
  <c r="F8" i="152"/>
  <c r="F7" i="152"/>
  <c r="F6" i="152" s="1"/>
  <c r="G956" i="140"/>
  <c r="F40" i="152"/>
  <c r="G56" i="151"/>
  <c r="E17" i="151"/>
  <c r="C5" i="151"/>
  <c r="C70" i="151" s="1"/>
  <c r="C58" i="151"/>
  <c r="C29" i="151"/>
  <c r="F22" i="130"/>
  <c r="E21" i="130"/>
  <c r="C21" i="130"/>
  <c r="E20" i="130"/>
  <c r="C20" i="130"/>
  <c r="K29" i="128"/>
  <c r="K23" i="128"/>
  <c r="K26" i="128"/>
  <c r="K28" i="128"/>
  <c r="K34" i="128"/>
  <c r="K36" i="128"/>
  <c r="K38" i="128"/>
  <c r="M48" i="128"/>
  <c r="K17" i="128"/>
  <c r="K16" i="128"/>
  <c r="K15" i="128"/>
  <c r="K14" i="128"/>
  <c r="K13" i="128"/>
  <c r="K12" i="128"/>
  <c r="K18" i="128"/>
  <c r="K11" i="128"/>
  <c r="M49" i="128"/>
  <c r="F35" i="128"/>
  <c r="F30" i="128"/>
  <c r="F31" i="128"/>
  <c r="F32" i="128"/>
  <c r="I17" i="128"/>
  <c r="I16" i="128"/>
  <c r="I15" i="128"/>
  <c r="I14" i="128"/>
  <c r="I13" i="128"/>
  <c r="I12" i="128"/>
  <c r="I11" i="128"/>
  <c r="J41" i="147"/>
  <c r="J40" i="147"/>
  <c r="H39" i="147"/>
  <c r="I39" i="147"/>
  <c r="J39" i="147" s="1"/>
  <c r="F39" i="147"/>
  <c r="I38" i="147"/>
  <c r="F38" i="147"/>
  <c r="H37" i="147"/>
  <c r="I37" i="147" s="1"/>
  <c r="J37" i="147" s="1"/>
  <c r="F37" i="147"/>
  <c r="H36" i="147"/>
  <c r="I36" i="147"/>
  <c r="F36" i="147"/>
  <c r="H34" i="147"/>
  <c r="I34" i="147"/>
  <c r="D34" i="147"/>
  <c r="F34" i="147" s="1"/>
  <c r="H26" i="147"/>
  <c r="I26" i="147" s="1"/>
  <c r="J26" i="147" s="1"/>
  <c r="F26" i="147"/>
  <c r="H25" i="147"/>
  <c r="I25" i="147"/>
  <c r="J25" i="147" s="1"/>
  <c r="F25" i="147"/>
  <c r="H24" i="147"/>
  <c r="I24" i="147"/>
  <c r="F24" i="147"/>
  <c r="H22" i="147"/>
  <c r="I22" i="147"/>
  <c r="F22" i="147"/>
  <c r="J22" i="147"/>
  <c r="H21" i="147"/>
  <c r="I21" i="147"/>
  <c r="F21" i="147"/>
  <c r="J21" i="147" s="1"/>
  <c r="H20" i="147"/>
  <c r="I20" i="147" s="1"/>
  <c r="J20" i="147" s="1"/>
  <c r="F20" i="147"/>
  <c r="H18" i="147"/>
  <c r="I18" i="147"/>
  <c r="J18" i="147" s="1"/>
  <c r="F18" i="147"/>
  <c r="H17" i="147"/>
  <c r="I17" i="147"/>
  <c r="F17" i="147"/>
  <c r="H16" i="147"/>
  <c r="I16" i="147"/>
  <c r="F16" i="147"/>
  <c r="H15" i="147"/>
  <c r="I15" i="147" s="1"/>
  <c r="J15" i="147" s="1"/>
  <c r="E15" i="147"/>
  <c r="F15" i="147"/>
  <c r="H14" i="147"/>
  <c r="I14" i="147" s="1"/>
  <c r="F14" i="147"/>
  <c r="J14" i="147"/>
  <c r="H13" i="147"/>
  <c r="I13" i="147" s="1"/>
  <c r="J13" i="147" s="1"/>
  <c r="F13" i="147"/>
  <c r="I12" i="147"/>
  <c r="F12" i="147"/>
  <c r="J36" i="147"/>
  <c r="J38" i="147"/>
  <c r="J16" i="147"/>
  <c r="D17" i="146"/>
  <c r="D450" i="140"/>
  <c r="D451" i="140"/>
  <c r="D452" i="140"/>
  <c r="D453" i="140"/>
  <c r="D454" i="140"/>
  <c r="D455" i="140"/>
  <c r="D449" i="140"/>
  <c r="B450" i="140"/>
  <c r="B451" i="140"/>
  <c r="B452" i="140"/>
  <c r="B453" i="140"/>
  <c r="B454" i="140"/>
  <c r="B455" i="140"/>
  <c r="B449" i="140"/>
  <c r="D886" i="140"/>
  <c r="B886" i="140"/>
  <c r="H699" i="81"/>
  <c r="F699" i="81"/>
  <c r="E698" i="81"/>
  <c r="C698" i="81"/>
  <c r="G692" i="81"/>
  <c r="F692" i="81"/>
  <c r="I691" i="81"/>
  <c r="C690" i="81"/>
  <c r="H690" i="81"/>
  <c r="H692" i="81" s="1"/>
  <c r="C689" i="81"/>
  <c r="H689" i="81"/>
  <c r="I688" i="81"/>
  <c r="I687" i="81"/>
  <c r="I692" i="81" s="1"/>
  <c r="C685" i="81"/>
  <c r="C686" i="81"/>
  <c r="C684" i="81"/>
  <c r="D184" i="121"/>
  <c r="E697" i="81" s="1"/>
  <c r="G697" i="81" s="1"/>
  <c r="G699" i="81" s="1"/>
  <c r="D137" i="140"/>
  <c r="D688" i="140"/>
  <c r="B380" i="81"/>
  <c r="A380" i="81"/>
  <c r="B367" i="81"/>
  <c r="A367" i="81"/>
  <c r="H384" i="81"/>
  <c r="F384" i="81"/>
  <c r="E383" i="81"/>
  <c r="I383" i="81" s="1"/>
  <c r="I384" i="81" s="1"/>
  <c r="C383" i="81"/>
  <c r="G377" i="81"/>
  <c r="C375" i="81"/>
  <c r="C374" i="81"/>
  <c r="E373" i="81"/>
  <c r="I373" i="81" s="1"/>
  <c r="E372" i="81"/>
  <c r="I372" i="81"/>
  <c r="E371" i="81"/>
  <c r="E370" i="81"/>
  <c r="C370" i="81"/>
  <c r="C369" i="81"/>
  <c r="C371" i="81"/>
  <c r="A562" i="81"/>
  <c r="A582" i="81"/>
  <c r="F592" i="81"/>
  <c r="H579" i="81"/>
  <c r="F579" i="81"/>
  <c r="E578" i="81"/>
  <c r="C578" i="81"/>
  <c r="E577" i="81"/>
  <c r="G577" i="81" s="1"/>
  <c r="G579" i="81" s="1"/>
  <c r="G572" i="81"/>
  <c r="F572" i="81"/>
  <c r="C570" i="81"/>
  <c r="C569" i="81"/>
  <c r="E568" i="81"/>
  <c r="I568" i="81" s="1"/>
  <c r="E567" i="81"/>
  <c r="I567" i="81" s="1"/>
  <c r="E566" i="81"/>
  <c r="C565" i="81"/>
  <c r="C566" i="81"/>
  <c r="E565" i="81"/>
  <c r="C564" i="81"/>
  <c r="D173" i="121"/>
  <c r="E382" i="81"/>
  <c r="G382" i="81" s="1"/>
  <c r="G384" i="81" s="1"/>
  <c r="H16" i="146"/>
  <c r="H15" i="146"/>
  <c r="G18" i="146"/>
  <c r="G17" i="146"/>
  <c r="F18" i="146"/>
  <c r="F17" i="146"/>
  <c r="D183" i="121"/>
  <c r="D182" i="121"/>
  <c r="D181" i="121"/>
  <c r="E657" i="81" s="1"/>
  <c r="D180" i="121"/>
  <c r="E637" i="81" s="1"/>
  <c r="G637" i="81" s="1"/>
  <c r="D179" i="121"/>
  <c r="D178" i="121"/>
  <c r="D177" i="121"/>
  <c r="E361" i="81" s="1"/>
  <c r="G361" i="81" s="1"/>
  <c r="G363" i="81" s="1"/>
  <c r="D176" i="121"/>
  <c r="D175" i="121"/>
  <c r="D174" i="121"/>
  <c r="B692" i="81"/>
  <c r="B693" i="81" s="1"/>
  <c r="E115" i="86" s="1"/>
  <c r="F115" i="86" s="1"/>
  <c r="D881" i="140"/>
  <c r="D882" i="140"/>
  <c r="D883" i="140"/>
  <c r="D884" i="140"/>
  <c r="D885" i="140"/>
  <c r="D880" i="140"/>
  <c r="B881" i="140"/>
  <c r="B882" i="140"/>
  <c r="B883" i="140"/>
  <c r="B884" i="140"/>
  <c r="B885" i="140"/>
  <c r="B880" i="140"/>
  <c r="E717" i="81"/>
  <c r="G717" i="81" s="1"/>
  <c r="G719" i="81" s="1"/>
  <c r="E677" i="81"/>
  <c r="G677" i="81"/>
  <c r="G679" i="81" s="1"/>
  <c r="G657" i="81"/>
  <c r="G659" i="81" s="1"/>
  <c r="G639" i="81"/>
  <c r="E617" i="81"/>
  <c r="G617" i="81" s="1"/>
  <c r="G619" i="81" s="1"/>
  <c r="E597" i="81"/>
  <c r="G597" i="81" s="1"/>
  <c r="G599" i="81" s="1"/>
  <c r="H719" i="81"/>
  <c r="F719" i="81"/>
  <c r="E718" i="81"/>
  <c r="I718" i="81" s="1"/>
  <c r="I719" i="81" s="1"/>
  <c r="B719" i="81" s="1"/>
  <c r="B720" i="81" s="1"/>
  <c r="E134" i="86" s="1"/>
  <c r="C718" i="81"/>
  <c r="G712" i="81"/>
  <c r="F712" i="81"/>
  <c r="I711" i="81"/>
  <c r="I712" i="81" s="1"/>
  <c r="C710" i="81"/>
  <c r="H710" i="81"/>
  <c r="C709" i="81"/>
  <c r="H709" i="81"/>
  <c r="H712" i="81" s="1"/>
  <c r="I708" i="81"/>
  <c r="I707" i="81"/>
  <c r="C705" i="81"/>
  <c r="C706" i="81"/>
  <c r="C704" i="81"/>
  <c r="H679" i="81"/>
  <c r="F679" i="81"/>
  <c r="E678" i="81"/>
  <c r="I678" i="81" s="1"/>
  <c r="I679" i="81" s="1"/>
  <c r="C678" i="81"/>
  <c r="G672" i="81"/>
  <c r="F672" i="81"/>
  <c r="I671" i="81"/>
  <c r="I672" i="81" s="1"/>
  <c r="C670" i="81"/>
  <c r="H670" i="81"/>
  <c r="C669" i="81"/>
  <c r="H669" i="81"/>
  <c r="H672" i="81" s="1"/>
  <c r="B672" i="81" s="1"/>
  <c r="B673" i="81" s="1"/>
  <c r="E113" i="86" s="1"/>
  <c r="I668" i="81"/>
  <c r="I667" i="81"/>
  <c r="C665" i="81"/>
  <c r="C666" i="81"/>
  <c r="C664" i="81"/>
  <c r="H659" i="81"/>
  <c r="F659" i="81"/>
  <c r="E658" i="81"/>
  <c r="I658" i="81" s="1"/>
  <c r="I659" i="81" s="1"/>
  <c r="C658" i="81"/>
  <c r="G652" i="81"/>
  <c r="F652" i="81"/>
  <c r="I651" i="81"/>
  <c r="I652" i="81" s="1"/>
  <c r="C650" i="81"/>
  <c r="H650" i="81"/>
  <c r="C649" i="81"/>
  <c r="H649" i="81"/>
  <c r="H652" i="81" s="1"/>
  <c r="I648" i="81"/>
  <c r="I647" i="81"/>
  <c r="C645" i="81"/>
  <c r="C646" i="81"/>
  <c r="C644" i="81"/>
  <c r="H639" i="81"/>
  <c r="F639" i="81"/>
  <c r="E638" i="81"/>
  <c r="I638" i="81" s="1"/>
  <c r="I639" i="81" s="1"/>
  <c r="B639" i="81" s="1"/>
  <c r="B640" i="81" s="1"/>
  <c r="E131" i="86" s="1"/>
  <c r="E882" i="152" s="1"/>
  <c r="C638" i="81"/>
  <c r="G632" i="81"/>
  <c r="F632" i="81"/>
  <c r="I631" i="81"/>
  <c r="C630" i="81"/>
  <c r="H630" i="81"/>
  <c r="C629" i="81"/>
  <c r="H629" i="81"/>
  <c r="H632" i="81" s="1"/>
  <c r="I628" i="81"/>
  <c r="I627" i="81"/>
  <c r="C625" i="81"/>
  <c r="C626" i="81"/>
  <c r="C624" i="81"/>
  <c r="H619" i="81"/>
  <c r="F619" i="81"/>
  <c r="E618" i="81"/>
  <c r="I618" i="81" s="1"/>
  <c r="I619" i="81" s="1"/>
  <c r="B619" i="81" s="1"/>
  <c r="B620" i="81" s="1"/>
  <c r="E130" i="86" s="1"/>
  <c r="C618" i="81"/>
  <c r="G612" i="81"/>
  <c r="F612" i="81"/>
  <c r="I611" i="81"/>
  <c r="C610" i="81"/>
  <c r="H610" i="81"/>
  <c r="C609" i="81"/>
  <c r="H609" i="81"/>
  <c r="H612" i="81" s="1"/>
  <c r="I608" i="81"/>
  <c r="I607" i="81"/>
  <c r="C605" i="81"/>
  <c r="C606" i="81"/>
  <c r="C604" i="81"/>
  <c r="H599" i="81"/>
  <c r="F599" i="81"/>
  <c r="E598" i="81"/>
  <c r="I598" i="81" s="1"/>
  <c r="I599" i="81" s="1"/>
  <c r="C598" i="81"/>
  <c r="G592" i="81"/>
  <c r="C590" i="81"/>
  <c r="C589" i="81"/>
  <c r="E588" i="81"/>
  <c r="I588" i="81" s="1"/>
  <c r="E587" i="81"/>
  <c r="I587" i="81" s="1"/>
  <c r="E586" i="81"/>
  <c r="E585" i="81"/>
  <c r="C585" i="81"/>
  <c r="C586" i="81"/>
  <c r="C584" i="81"/>
  <c r="E455" i="140"/>
  <c r="F455" i="140"/>
  <c r="I612" i="81"/>
  <c r="D135" i="140"/>
  <c r="D136" i="140"/>
  <c r="D134" i="140"/>
  <c r="D685" i="140"/>
  <c r="D686" i="140"/>
  <c r="D687" i="140"/>
  <c r="E341" i="81"/>
  <c r="G341" i="81" s="1"/>
  <c r="G343" i="81" s="1"/>
  <c r="E321" i="81"/>
  <c r="G321" i="81" s="1"/>
  <c r="G323" i="81" s="1"/>
  <c r="B359" i="81"/>
  <c r="B346" i="81"/>
  <c r="A359" i="81"/>
  <c r="A346" i="81"/>
  <c r="B339" i="81"/>
  <c r="A339" i="81"/>
  <c r="B326" i="81"/>
  <c r="A326" i="81"/>
  <c r="B319" i="81"/>
  <c r="A319" i="81"/>
  <c r="B306" i="81"/>
  <c r="A306" i="81"/>
  <c r="H363" i="81"/>
  <c r="F363" i="81"/>
  <c r="E362" i="81"/>
  <c r="I362" i="81" s="1"/>
  <c r="I363" i="81" s="1"/>
  <c r="B363" i="81" s="1"/>
  <c r="B364" i="81" s="1"/>
  <c r="E63" i="86" s="1"/>
  <c r="C362" i="81"/>
  <c r="G356" i="81"/>
  <c r="C354" i="81"/>
  <c r="C353" i="81"/>
  <c r="E352" i="81"/>
  <c r="I352" i="81" s="1"/>
  <c r="E351" i="81"/>
  <c r="I351" i="81" s="1"/>
  <c r="E350" i="81"/>
  <c r="E349" i="81"/>
  <c r="F349" i="81" s="1"/>
  <c r="C349" i="81"/>
  <c r="C348" i="81"/>
  <c r="C350" i="81"/>
  <c r="H343" i="81"/>
  <c r="F343" i="81"/>
  <c r="E342" i="81"/>
  <c r="C342" i="81"/>
  <c r="G336" i="81"/>
  <c r="C334" i="81"/>
  <c r="C333" i="81"/>
  <c r="E332" i="81"/>
  <c r="I332" i="81" s="1"/>
  <c r="E331" i="81"/>
  <c r="I331" i="81" s="1"/>
  <c r="E330" i="81"/>
  <c r="E329" i="81"/>
  <c r="C329" i="81"/>
  <c r="C328" i="81"/>
  <c r="C330" i="81"/>
  <c r="H323" i="81"/>
  <c r="F323" i="81"/>
  <c r="E322" i="81"/>
  <c r="C322" i="81"/>
  <c r="G316" i="81"/>
  <c r="C314" i="81"/>
  <c r="C313" i="81"/>
  <c r="E312" i="81"/>
  <c r="I312" i="81" s="1"/>
  <c r="E311" i="81"/>
  <c r="I311" i="81" s="1"/>
  <c r="E310" i="81"/>
  <c r="E309" i="81"/>
  <c r="C309" i="81"/>
  <c r="C308" i="81"/>
  <c r="C310" i="81"/>
  <c r="F350" i="81"/>
  <c r="D713" i="140"/>
  <c r="D714" i="140"/>
  <c r="A494" i="125"/>
  <c r="A443" i="125"/>
  <c r="A332" i="125"/>
  <c r="A470" i="125"/>
  <c r="A392" i="125"/>
  <c r="A252" i="125"/>
  <c r="A493" i="125"/>
  <c r="A442" i="125"/>
  <c r="A331" i="125"/>
  <c r="A213" i="118"/>
  <c r="A215" i="86"/>
  <c r="A144" i="86"/>
  <c r="A216" i="86"/>
  <c r="A195" i="86"/>
  <c r="A145" i="86"/>
  <c r="A125" i="86"/>
  <c r="A214" i="118"/>
  <c r="A167" i="118"/>
  <c r="D160" i="140"/>
  <c r="D203" i="140"/>
  <c r="D152" i="125"/>
  <c r="D130" i="140"/>
  <c r="B130" i="140"/>
  <c r="E266" i="81"/>
  <c r="F266" i="81" s="1"/>
  <c r="E265" i="81"/>
  <c r="F265" i="81"/>
  <c r="G245" i="81"/>
  <c r="G246" i="81"/>
  <c r="K244" i="81"/>
  <c r="E262" i="81"/>
  <c r="G262" i="81" s="1"/>
  <c r="E261" i="81"/>
  <c r="G261" i="81" s="1"/>
  <c r="E258" i="81"/>
  <c r="E255" i="81"/>
  <c r="G255" i="81" s="1"/>
  <c r="E254" i="81"/>
  <c r="E252" i="81"/>
  <c r="G252" i="81" s="1"/>
  <c r="E250" i="81"/>
  <c r="E249" i="81"/>
  <c r="G249" i="81" s="1"/>
  <c r="E260" i="81"/>
  <c r="G248" i="81"/>
  <c r="G250" i="81"/>
  <c r="G254" i="81"/>
  <c r="G258" i="81"/>
  <c r="G260" i="81"/>
  <c r="G263" i="81"/>
  <c r="G264" i="81"/>
  <c r="E243" i="81"/>
  <c r="G243" i="81" s="1"/>
  <c r="A240" i="81"/>
  <c r="D172" i="121"/>
  <c r="E402" i="81" s="1"/>
  <c r="D171" i="121"/>
  <c r="E422" i="81" s="1"/>
  <c r="D734" i="121"/>
  <c r="D138" i="140"/>
  <c r="D139" i="140"/>
  <c r="D133" i="140"/>
  <c r="D689" i="140"/>
  <c r="D690" i="140"/>
  <c r="D684" i="140"/>
  <c r="C415" i="81"/>
  <c r="C414" i="81"/>
  <c r="C410" i="81"/>
  <c r="C409" i="81"/>
  <c r="C411" i="81" s="1"/>
  <c r="E410" i="81"/>
  <c r="F410" i="81" s="1"/>
  <c r="G422" i="81"/>
  <c r="G424" i="81" s="1"/>
  <c r="H424" i="81"/>
  <c r="F424" i="81"/>
  <c r="E423" i="81"/>
  <c r="I423" i="81" s="1"/>
  <c r="I424" i="81" s="1"/>
  <c r="C423" i="81"/>
  <c r="A420" i="81"/>
  <c r="G417" i="81"/>
  <c r="E413" i="81"/>
  <c r="I413" i="81" s="1"/>
  <c r="E412" i="81"/>
  <c r="I412" i="81" s="1"/>
  <c r="E411" i="81"/>
  <c r="F411" i="81" s="1"/>
  <c r="A407" i="81"/>
  <c r="C395" i="81"/>
  <c r="C394" i="81"/>
  <c r="C390" i="81"/>
  <c r="C389" i="81"/>
  <c r="C391" i="81"/>
  <c r="E390" i="81"/>
  <c r="G402" i="81"/>
  <c r="G404" i="81"/>
  <c r="H404" i="81"/>
  <c r="F404" i="81"/>
  <c r="E403" i="81"/>
  <c r="C403" i="81"/>
  <c r="A400" i="81"/>
  <c r="G397" i="81"/>
  <c r="E393" i="81"/>
  <c r="I393" i="81" s="1"/>
  <c r="E392" i="81"/>
  <c r="I392" i="81" s="1"/>
  <c r="E391" i="81"/>
  <c r="F391" i="81" s="1"/>
  <c r="F390" i="81"/>
  <c r="K49" i="124"/>
  <c r="C72" i="124"/>
  <c r="C71" i="124"/>
  <c r="C70" i="124"/>
  <c r="E72" i="124"/>
  <c r="E71" i="124"/>
  <c r="D166" i="121"/>
  <c r="D165" i="121"/>
  <c r="L860" i="81"/>
  <c r="C852" i="81"/>
  <c r="C868" i="81"/>
  <c r="C869" i="81" s="1"/>
  <c r="D153" i="86"/>
  <c r="D81" i="86"/>
  <c r="D421" i="152" s="1"/>
  <c r="D14" i="86"/>
  <c r="D104" i="152" s="1"/>
  <c r="D539" i="152"/>
  <c r="A314" i="146"/>
  <c r="A312" i="146"/>
  <c r="A310" i="146"/>
  <c r="A308" i="146"/>
  <c r="A306" i="146"/>
  <c r="A304" i="146"/>
  <c r="A303" i="146"/>
  <c r="A302" i="146"/>
  <c r="A301" i="146"/>
  <c r="A300" i="146"/>
  <c r="A299" i="146"/>
  <c r="A298" i="146"/>
  <c r="A297" i="146"/>
  <c r="A296" i="146"/>
  <c r="A295" i="146"/>
  <c r="A294" i="146"/>
  <c r="A293" i="146"/>
  <c r="A292" i="146"/>
  <c r="A291" i="146"/>
  <c r="A289" i="146"/>
  <c r="A288" i="146"/>
  <c r="A286" i="146"/>
  <c r="A285" i="146"/>
  <c r="A284" i="146"/>
  <c r="A283" i="146"/>
  <c r="A281" i="146"/>
  <c r="A279" i="146"/>
  <c r="A277" i="146"/>
  <c r="A276" i="146"/>
  <c r="A275" i="146"/>
  <c r="A274" i="146"/>
  <c r="A273" i="146"/>
  <c r="A272" i="146"/>
  <c r="A271" i="146"/>
  <c r="A270" i="146"/>
  <c r="A269" i="146"/>
  <c r="A268" i="146"/>
  <c r="A267" i="146"/>
  <c r="A266" i="146"/>
  <c r="A265" i="146"/>
  <c r="A264" i="146"/>
  <c r="A263" i="146"/>
  <c r="A262" i="146"/>
  <c r="A251" i="146"/>
  <c r="A250" i="146"/>
  <c r="A249" i="146"/>
  <c r="A248" i="146"/>
  <c r="A247" i="146"/>
  <c r="A246" i="146"/>
  <c r="A244" i="146"/>
  <c r="A242" i="146"/>
  <c r="A241" i="146"/>
  <c r="A240" i="146"/>
  <c r="A238" i="146"/>
  <c r="A237" i="146"/>
  <c r="A236" i="146"/>
  <c r="A235" i="146"/>
  <c r="A234" i="146"/>
  <c r="A233" i="146"/>
  <c r="A232" i="146"/>
  <c r="A231" i="146"/>
  <c r="A229" i="146"/>
  <c r="A227" i="146"/>
  <c r="A226" i="146"/>
  <c r="A225" i="146"/>
  <c r="A224" i="146"/>
  <c r="A223" i="146"/>
  <c r="A222" i="146"/>
  <c r="A220" i="146"/>
  <c r="A218" i="146"/>
  <c r="A217" i="146"/>
  <c r="A216" i="146"/>
  <c r="A215" i="146"/>
  <c r="A214" i="146"/>
  <c r="A213" i="146"/>
  <c r="A212" i="146"/>
  <c r="A211" i="146"/>
  <c r="A210" i="146"/>
  <c r="A209" i="146"/>
  <c r="A208" i="146"/>
  <c r="A207" i="146"/>
  <c r="A206" i="146"/>
  <c r="A205" i="146"/>
  <c r="A204" i="146"/>
  <c r="A202" i="146"/>
  <c r="A201" i="146"/>
  <c r="A200" i="146"/>
  <c r="A199" i="146"/>
  <c r="A198" i="146"/>
  <c r="A196" i="146"/>
  <c r="A195" i="146"/>
  <c r="A194" i="146"/>
  <c r="A193" i="146"/>
  <c r="A192" i="146"/>
  <c r="A191" i="146"/>
  <c r="A190" i="146"/>
  <c r="A189" i="146"/>
  <c r="A188" i="146"/>
  <c r="A187" i="146"/>
  <c r="A186" i="146"/>
  <c r="A185" i="146"/>
  <c r="A183" i="146"/>
  <c r="A182" i="146"/>
  <c r="A181" i="146"/>
  <c r="A180" i="146"/>
  <c r="A179" i="146"/>
  <c r="A177" i="146"/>
  <c r="A175" i="146"/>
  <c r="A174" i="146"/>
  <c r="A173" i="146"/>
  <c r="A172" i="146"/>
  <c r="A171" i="146"/>
  <c r="A170" i="146"/>
  <c r="A169" i="146"/>
  <c r="A168" i="146"/>
  <c r="A167" i="146"/>
  <c r="A166" i="146"/>
  <c r="A165" i="146"/>
  <c r="A164" i="146"/>
  <c r="A163" i="146"/>
  <c r="A162" i="146"/>
  <c r="A161" i="146"/>
  <c r="G354" i="146"/>
  <c r="G353" i="146"/>
  <c r="I252" i="146"/>
  <c r="F72" i="146"/>
  <c r="G71" i="146"/>
  <c r="G72" i="146"/>
  <c r="G69" i="146"/>
  <c r="F66" i="146"/>
  <c r="G66" i="146" s="1"/>
  <c r="I40" i="146"/>
  <c r="G40" i="146"/>
  <c r="I37" i="146"/>
  <c r="G37" i="146"/>
  <c r="I35" i="146"/>
  <c r="G35" i="146"/>
  <c r="I33" i="146"/>
  <c r="F33" i="146"/>
  <c r="G33" i="146"/>
  <c r="I31" i="146"/>
  <c r="G31" i="146"/>
  <c r="I29" i="146"/>
  <c r="I26" i="146"/>
  <c r="G26" i="146"/>
  <c r="E18" i="146"/>
  <c r="I18" i="146" s="1"/>
  <c r="D18" i="146"/>
  <c r="H18" i="146" s="1"/>
  <c r="H17" i="146"/>
  <c r="E17" i="146"/>
  <c r="I17" i="146"/>
  <c r="I16" i="146"/>
  <c r="I15" i="146"/>
  <c r="A12" i="145"/>
  <c r="A13" i="145"/>
  <c r="A14" i="145"/>
  <c r="A15" i="145"/>
  <c r="A16" i="145"/>
  <c r="A11" i="145"/>
  <c r="A10" i="145"/>
  <c r="K19" i="145"/>
  <c r="J19" i="145"/>
  <c r="I19" i="145"/>
  <c r="I24" i="145" s="1"/>
  <c r="H19" i="145"/>
  <c r="G5" i="145"/>
  <c r="A230" i="146"/>
  <c r="I22" i="145"/>
  <c r="H21" i="145"/>
  <c r="H24" i="145"/>
  <c r="J21" i="145"/>
  <c r="J24" i="145" s="1"/>
  <c r="G59" i="118"/>
  <c r="E171" i="6"/>
  <c r="A571" i="124"/>
  <c r="A559" i="124"/>
  <c r="A551" i="124"/>
  <c r="A543" i="124"/>
  <c r="A535" i="124"/>
  <c r="A527" i="124"/>
  <c r="A518" i="124"/>
  <c r="A509" i="124"/>
  <c r="A502" i="124"/>
  <c r="A494" i="124"/>
  <c r="A486" i="124"/>
  <c r="A478" i="124"/>
  <c r="A470" i="124"/>
  <c r="A462" i="124"/>
  <c r="A454" i="124"/>
  <c r="A446" i="124"/>
  <c r="A438" i="124"/>
  <c r="A428" i="124"/>
  <c r="A420" i="124"/>
  <c r="A410" i="124"/>
  <c r="A402" i="124"/>
  <c r="A392" i="124"/>
  <c r="A384" i="124"/>
  <c r="A374" i="124"/>
  <c r="A366" i="124"/>
  <c r="A356" i="124"/>
  <c r="A348" i="124"/>
  <c r="A340" i="124"/>
  <c r="A332" i="124"/>
  <c r="A324" i="124"/>
  <c r="A316" i="124"/>
  <c r="A308" i="124"/>
  <c r="A301" i="124"/>
  <c r="A293" i="124"/>
  <c r="A281" i="124"/>
  <c r="A273" i="124"/>
  <c r="A265" i="124"/>
  <c r="A257" i="124"/>
  <c r="A248" i="124"/>
  <c r="A241" i="124"/>
  <c r="A234" i="124"/>
  <c r="A227" i="124"/>
  <c r="A218" i="124"/>
  <c r="A210" i="124"/>
  <c r="A196" i="124"/>
  <c r="A187" i="124"/>
  <c r="A173" i="124"/>
  <c r="A160" i="124"/>
  <c r="A145" i="124"/>
  <c r="A130" i="124"/>
  <c r="A115" i="124"/>
  <c r="A101" i="124"/>
  <c r="A92" i="124"/>
  <c r="A81" i="124"/>
  <c r="D603" i="121"/>
  <c r="E1106" i="130"/>
  <c r="G1106" i="130" s="1"/>
  <c r="G1108" i="130"/>
  <c r="H1108" i="130"/>
  <c r="F1108" i="130"/>
  <c r="E1107" i="130"/>
  <c r="I1107" i="130" s="1"/>
  <c r="I1108" i="130" s="1"/>
  <c r="K1103" i="130"/>
  <c r="G1101" i="130"/>
  <c r="F1101" i="130"/>
  <c r="C2380" i="130"/>
  <c r="C2381" i="130"/>
  <c r="E2381" i="130"/>
  <c r="C2382" i="130"/>
  <c r="E2382" i="130"/>
  <c r="C2383" i="130"/>
  <c r="I2383" i="130" s="1"/>
  <c r="E2383" i="130"/>
  <c r="C2384" i="130"/>
  <c r="C2385" i="130" s="1"/>
  <c r="G2387" i="130"/>
  <c r="E2392" i="130"/>
  <c r="G2392" i="130"/>
  <c r="E2393" i="130"/>
  <c r="G2393" i="130"/>
  <c r="G2394" i="130"/>
  <c r="E2395" i="130"/>
  <c r="F2396" i="130"/>
  <c r="H2396" i="130"/>
  <c r="H2349" i="130"/>
  <c r="F2352" i="130"/>
  <c r="G2352" i="130"/>
  <c r="E2357" i="130"/>
  <c r="G2357" i="130" s="1"/>
  <c r="G2359" i="130"/>
  <c r="E2358" i="130"/>
  <c r="I2358" i="130" s="1"/>
  <c r="I2359" i="130" s="1"/>
  <c r="F2359" i="130"/>
  <c r="H2359" i="130"/>
  <c r="H2334" i="130"/>
  <c r="F2337" i="130"/>
  <c r="G2337" i="130"/>
  <c r="E2342" i="130"/>
  <c r="G2342" i="130"/>
  <c r="G2344" i="130" s="1"/>
  <c r="E2343" i="130"/>
  <c r="I2343" i="130" s="1"/>
  <c r="I2344" i="130" s="1"/>
  <c r="F2344" i="130"/>
  <c r="H2344" i="130"/>
  <c r="H2319" i="130"/>
  <c r="F2322" i="130"/>
  <c r="G2322" i="130"/>
  <c r="E2327" i="130"/>
  <c r="G2327" i="130" s="1"/>
  <c r="G2329" i="130" s="1"/>
  <c r="E2328" i="130"/>
  <c r="I2328" i="130"/>
  <c r="I2329" i="130" s="1"/>
  <c r="F2329" i="130"/>
  <c r="H2329" i="130"/>
  <c r="F2307" i="130"/>
  <c r="G2307" i="130"/>
  <c r="E2312" i="130"/>
  <c r="G2312" i="130" s="1"/>
  <c r="G2314" i="130" s="1"/>
  <c r="I2313" i="130"/>
  <c r="I2314" i="130"/>
  <c r="B2314" i="130" s="1"/>
  <c r="B2315" i="130" s="1"/>
  <c r="F2314" i="130"/>
  <c r="H2314" i="130"/>
  <c r="E2257" i="130"/>
  <c r="G2257" i="130" s="1"/>
  <c r="G2258" i="130" s="1"/>
  <c r="F2258" i="130"/>
  <c r="E2263" i="130"/>
  <c r="G2263" i="130" s="1"/>
  <c r="G2265" i="130" s="1"/>
  <c r="E2264" i="130"/>
  <c r="I2264" i="130"/>
  <c r="I2265" i="130" s="1"/>
  <c r="B2265" i="130" s="1"/>
  <c r="B2266" i="130" s="1"/>
  <c r="E483" i="125" s="1"/>
  <c r="E619" i="113" s="1"/>
  <c r="F619" i="113" s="1"/>
  <c r="F2265" i="130"/>
  <c r="H2265" i="130"/>
  <c r="H2240" i="130"/>
  <c r="F2243" i="130"/>
  <c r="G2243" i="130"/>
  <c r="E2248" i="130"/>
  <c r="G2248" i="130"/>
  <c r="G2250" i="130"/>
  <c r="E2249" i="130"/>
  <c r="I2249" i="130" s="1"/>
  <c r="I2250" i="130" s="1"/>
  <c r="F2250" i="130"/>
  <c r="H2250" i="130"/>
  <c r="H2225" i="130"/>
  <c r="F2228" i="130"/>
  <c r="G2228" i="130"/>
  <c r="E2233" i="130"/>
  <c r="G2233" i="130"/>
  <c r="G2235" i="130" s="1"/>
  <c r="E2234" i="130"/>
  <c r="I2234" i="130" s="1"/>
  <c r="I2235" i="130" s="1"/>
  <c r="B2235" i="130" s="1"/>
  <c r="B2236" i="130" s="1"/>
  <c r="F2235" i="130"/>
  <c r="H2235" i="130"/>
  <c r="H2178" i="130"/>
  <c r="F2181" i="130"/>
  <c r="G2181" i="130"/>
  <c r="E2186" i="130"/>
  <c r="G2186" i="130"/>
  <c r="G2188" i="130" s="1"/>
  <c r="E2187" i="130"/>
  <c r="I2187" i="130" s="1"/>
  <c r="I2188" i="130" s="1"/>
  <c r="B2188" i="130" s="1"/>
  <c r="B2189" i="130" s="1"/>
  <c r="E478" i="125" s="1"/>
  <c r="F2188" i="130"/>
  <c r="H2188" i="130"/>
  <c r="H2163" i="130"/>
  <c r="F2166" i="130"/>
  <c r="G2166" i="130"/>
  <c r="E2171" i="130"/>
  <c r="G2171" i="130" s="1"/>
  <c r="G2173" i="130"/>
  <c r="E2172" i="130"/>
  <c r="I2172" i="130" s="1"/>
  <c r="I2173" i="130" s="1"/>
  <c r="F2173" i="130"/>
  <c r="H2173" i="130"/>
  <c r="H2148" i="130"/>
  <c r="F2151" i="130"/>
  <c r="G2151" i="130"/>
  <c r="E2156" i="130"/>
  <c r="G2156" i="130"/>
  <c r="G2158" i="130" s="1"/>
  <c r="E2157" i="130"/>
  <c r="I2157" i="130" s="1"/>
  <c r="I2158" i="130" s="1"/>
  <c r="B2158" i="130" s="1"/>
  <c r="B2159" i="130" s="1"/>
  <c r="E475" i="125" s="1"/>
  <c r="F2158" i="130"/>
  <c r="H2158" i="130"/>
  <c r="F2414" i="130"/>
  <c r="E2415" i="130"/>
  <c r="F2415" i="130" s="1"/>
  <c r="F2136" i="130"/>
  <c r="G2136" i="130"/>
  <c r="E2141" i="130"/>
  <c r="G2141" i="130" s="1"/>
  <c r="G2143" i="130" s="1"/>
  <c r="E2142" i="130"/>
  <c r="I2142" i="130" s="1"/>
  <c r="I2143" i="130" s="1"/>
  <c r="B2143" i="130" s="1"/>
  <c r="B2144" i="130" s="1"/>
  <c r="E474" i="125" s="1"/>
  <c r="E610" i="113" s="1"/>
  <c r="F610" i="113" s="1"/>
  <c r="F2143" i="130"/>
  <c r="H2143" i="130"/>
  <c r="A11" i="81"/>
  <c r="A805" i="81"/>
  <c r="A792" i="81"/>
  <c r="A785" i="81"/>
  <c r="A772" i="81"/>
  <c r="A722" i="81"/>
  <c r="A551" i="81"/>
  <c r="A274" i="81"/>
  <c r="A228" i="81"/>
  <c r="A212" i="81"/>
  <c r="A201" i="81"/>
  <c r="A191" i="81"/>
  <c r="A175" i="81"/>
  <c r="A155" i="81"/>
  <c r="A115" i="81"/>
  <c r="A107" i="81"/>
  <c r="A99" i="81"/>
  <c r="A90" i="81"/>
  <c r="A83" i="81"/>
  <c r="A75" i="81"/>
  <c r="A68" i="81"/>
  <c r="A62" i="81"/>
  <c r="A52" i="81"/>
  <c r="A44" i="81"/>
  <c r="A36" i="81"/>
  <c r="A29" i="81"/>
  <c r="A21" i="81"/>
  <c r="A1049" i="81"/>
  <c r="A1036" i="81"/>
  <c r="A1029" i="81"/>
  <c r="A1021" i="81"/>
  <c r="A999" i="81"/>
  <c r="A991" i="81"/>
  <c r="A984" i="81"/>
  <c r="A976" i="81"/>
  <c r="A922" i="81"/>
  <c r="A914" i="81"/>
  <c r="A907" i="81"/>
  <c r="A899" i="81"/>
  <c r="A893" i="81"/>
  <c r="A881" i="81"/>
  <c r="A874" i="81"/>
  <c r="A865" i="81"/>
  <c r="A858" i="81"/>
  <c r="A849" i="81"/>
  <c r="A842" i="81"/>
  <c r="A829" i="81"/>
  <c r="A819" i="81"/>
  <c r="A765" i="81"/>
  <c r="A752" i="81"/>
  <c r="A746" i="81"/>
  <c r="A740" i="81"/>
  <c r="A734" i="81"/>
  <c r="A536" i="81"/>
  <c r="A527" i="81"/>
  <c r="A517" i="81"/>
  <c r="A499" i="81"/>
  <c r="A486" i="81"/>
  <c r="A479" i="81"/>
  <c r="A466" i="81"/>
  <c r="A459" i="81"/>
  <c r="A446" i="81"/>
  <c r="A440" i="81"/>
  <c r="A427" i="81"/>
  <c r="A299" i="81"/>
  <c r="A286" i="81"/>
  <c r="A165" i="81"/>
  <c r="A121" i="81"/>
  <c r="C519" i="81"/>
  <c r="E519" i="81"/>
  <c r="F519" i="81" s="1"/>
  <c r="A697" i="137"/>
  <c r="A687" i="137"/>
  <c r="A680" i="137"/>
  <c r="A672" i="137"/>
  <c r="A664" i="137"/>
  <c r="A655" i="137"/>
  <c r="A648" i="137"/>
  <c r="A641" i="137"/>
  <c r="A634" i="137"/>
  <c r="A625" i="137"/>
  <c r="A618" i="137"/>
  <c r="A608" i="137"/>
  <c r="A601" i="137"/>
  <c r="A594" i="137"/>
  <c r="A587" i="137"/>
  <c r="A579" i="137"/>
  <c r="A572" i="137"/>
  <c r="A563" i="137"/>
  <c r="A555" i="137"/>
  <c r="A546" i="137"/>
  <c r="A538" i="137"/>
  <c r="A529" i="137"/>
  <c r="A521" i="137"/>
  <c r="A510" i="137"/>
  <c r="A502" i="137"/>
  <c r="A490" i="137"/>
  <c r="A482" i="137"/>
  <c r="A473" i="137"/>
  <c r="A464" i="137"/>
  <c r="A455" i="137"/>
  <c r="A447" i="137"/>
  <c r="A436" i="137"/>
  <c r="A428" i="137"/>
  <c r="A418" i="137"/>
  <c r="A410" i="137"/>
  <c r="A402" i="137"/>
  <c r="A394" i="137"/>
  <c r="A385" i="137"/>
  <c r="A377" i="137"/>
  <c r="A368" i="137"/>
  <c r="A360" i="137"/>
  <c r="A351" i="137"/>
  <c r="A343" i="137"/>
  <c r="A333" i="137"/>
  <c r="A325" i="137"/>
  <c r="A315" i="137"/>
  <c r="A306" i="137"/>
  <c r="A297" i="137"/>
  <c r="A289" i="137"/>
  <c r="A280" i="137"/>
  <c r="A272" i="137"/>
  <c r="A263" i="137"/>
  <c r="A254" i="137"/>
  <c r="A245" i="137"/>
  <c r="A221" i="137"/>
  <c r="A213" i="137"/>
  <c r="A204" i="137"/>
  <c r="A196" i="137"/>
  <c r="A187" i="137"/>
  <c r="A178" i="137"/>
  <c r="A170" i="137"/>
  <c r="A162" i="137"/>
  <c r="A154" i="137"/>
  <c r="A145" i="137"/>
  <c r="A137" i="137"/>
  <c r="A129" i="137"/>
  <c r="A121" i="137"/>
  <c r="A111" i="137"/>
  <c r="A103" i="137"/>
  <c r="A93" i="137"/>
  <c r="A85" i="137"/>
  <c r="A76" i="137"/>
  <c r="A68" i="137"/>
  <c r="A59" i="137"/>
  <c r="A51" i="137"/>
  <c r="A42" i="137"/>
  <c r="A34" i="137"/>
  <c r="A24" i="137"/>
  <c r="A16" i="137"/>
  <c r="A7" i="137"/>
  <c r="E1447" i="130"/>
  <c r="F1447" i="130" s="1"/>
  <c r="D575" i="121"/>
  <c r="E1454" i="130" s="1"/>
  <c r="D567" i="121"/>
  <c r="E1408" i="130" s="1"/>
  <c r="D563" i="121"/>
  <c r="E1469" i="130"/>
  <c r="D560" i="121"/>
  <c r="E1423" i="130" s="1"/>
  <c r="D572" i="121"/>
  <c r="E1378" i="130"/>
  <c r="E304" i="130"/>
  <c r="G304" i="130" s="1"/>
  <c r="E260" i="130"/>
  <c r="C497" i="137"/>
  <c r="C496" i="137"/>
  <c r="C493" i="137"/>
  <c r="C492" i="137"/>
  <c r="E493" i="137"/>
  <c r="F493" i="137" s="1"/>
  <c r="K423" i="137"/>
  <c r="E423" i="137"/>
  <c r="F423" i="137" s="1"/>
  <c r="C168" i="6"/>
  <c r="C171" i="6"/>
  <c r="C173" i="6"/>
  <c r="C174" i="6" s="1"/>
  <c r="C167" i="6"/>
  <c r="C155" i="6"/>
  <c r="C158" i="6" s="1"/>
  <c r="C160" i="6"/>
  <c r="C161" i="6"/>
  <c r="C154" i="6"/>
  <c r="C141" i="6"/>
  <c r="C113" i="6"/>
  <c r="C118" i="6"/>
  <c r="C119" i="6"/>
  <c r="C111" i="6"/>
  <c r="C86" i="6"/>
  <c r="C85" i="6"/>
  <c r="C88" i="6" s="1"/>
  <c r="C90" i="6"/>
  <c r="C91" i="6" s="1"/>
  <c r="C83" i="6"/>
  <c r="C71" i="6"/>
  <c r="C76" i="6"/>
  <c r="C77" i="6" s="1"/>
  <c r="C69" i="6"/>
  <c r="C57" i="6"/>
  <c r="C62" i="6"/>
  <c r="C63" i="6" s="1"/>
  <c r="C55" i="6"/>
  <c r="C43" i="6"/>
  <c r="C46" i="6" s="1"/>
  <c r="C48" i="6"/>
  <c r="C49" i="6" s="1"/>
  <c r="C41" i="6"/>
  <c r="C29" i="6"/>
  <c r="C32" i="6" s="1"/>
  <c r="C34" i="6"/>
  <c r="C35" i="6" s="1"/>
  <c r="C27" i="6"/>
  <c r="C20" i="6"/>
  <c r="C21" i="6"/>
  <c r="C15" i="6"/>
  <c r="C13" i="6"/>
  <c r="D48" i="125"/>
  <c r="D10" i="125"/>
  <c r="D148" i="152"/>
  <c r="D134" i="125"/>
  <c r="E10" i="126"/>
  <c r="D257" i="125"/>
  <c r="D178" i="125"/>
  <c r="D258" i="125" s="1"/>
  <c r="D176" i="125"/>
  <c r="H191" i="124"/>
  <c r="E190" i="124"/>
  <c r="I190" i="124"/>
  <c r="I191" i="124" s="1"/>
  <c r="D256" i="125"/>
  <c r="D736" i="152"/>
  <c r="D271" i="152"/>
  <c r="D467" i="152"/>
  <c r="D169" i="86"/>
  <c r="D555" i="140" s="1"/>
  <c r="D172" i="86"/>
  <c r="D171" i="86"/>
  <c r="D161" i="86"/>
  <c r="D92" i="86"/>
  <c r="D432" i="152" s="1"/>
  <c r="D91" i="86"/>
  <c r="D431" i="152" s="1"/>
  <c r="D90" i="86"/>
  <c r="D24" i="86"/>
  <c r="D114" i="152" s="1"/>
  <c r="D23" i="86"/>
  <c r="D113" i="152" s="1"/>
  <c r="D22" i="86"/>
  <c r="D430" i="152"/>
  <c r="D547" i="152"/>
  <c r="D112" i="152"/>
  <c r="D555" i="152"/>
  <c r="C140" i="130"/>
  <c r="C97" i="6"/>
  <c r="J40" i="144"/>
  <c r="E26" i="144"/>
  <c r="E25" i="144"/>
  <c r="E24" i="144"/>
  <c r="E20" i="144"/>
  <c r="F20" i="144" s="1"/>
  <c r="E18" i="144"/>
  <c r="E17" i="144"/>
  <c r="E16" i="144"/>
  <c r="E15" i="144"/>
  <c r="F15" i="144" s="1"/>
  <c r="E14" i="144"/>
  <c r="E13" i="144"/>
  <c r="E12" i="144"/>
  <c r="F27" i="128"/>
  <c r="F33" i="128"/>
  <c r="F25" i="128"/>
  <c r="D736" i="140"/>
  <c r="D738" i="140"/>
  <c r="D744" i="140"/>
  <c r="D784" i="140"/>
  <c r="D801" i="140"/>
  <c r="D802" i="140"/>
  <c r="D467" i="140"/>
  <c r="D270" i="140"/>
  <c r="D271" i="140"/>
  <c r="D272" i="140"/>
  <c r="D273" i="140"/>
  <c r="D274" i="140"/>
  <c r="D275" i="140"/>
  <c r="D276" i="140"/>
  <c r="D277" i="140"/>
  <c r="D278" i="140"/>
  <c r="D279" i="140"/>
  <c r="D280" i="140"/>
  <c r="D281" i="140"/>
  <c r="D282" i="140"/>
  <c r="D283" i="140"/>
  <c r="D284" i="140"/>
  <c r="D285" i="140"/>
  <c r="D286" i="140"/>
  <c r="D287" i="140"/>
  <c r="D288" i="140"/>
  <c r="D289" i="140"/>
  <c r="D290" i="140"/>
  <c r="D291" i="140"/>
  <c r="D292" i="140"/>
  <c r="D293" i="140"/>
  <c r="D294" i="140"/>
  <c r="D295" i="140"/>
  <c r="D296" i="140"/>
  <c r="D297" i="140"/>
  <c r="D298" i="140"/>
  <c r="D299" i="140"/>
  <c r="D300" i="140"/>
  <c r="D301" i="140"/>
  <c r="D302" i="140"/>
  <c r="D303" i="140"/>
  <c r="D304" i="140"/>
  <c r="D305" i="140"/>
  <c r="D306" i="140"/>
  <c r="D307" i="140"/>
  <c r="D308" i="140"/>
  <c r="D309" i="140"/>
  <c r="D310" i="140"/>
  <c r="D311" i="140"/>
  <c r="D312" i="140"/>
  <c r="D313" i="140"/>
  <c r="D314" i="140"/>
  <c r="D315" i="140"/>
  <c r="D316" i="140"/>
  <c r="D317" i="140"/>
  <c r="D318" i="140"/>
  <c r="D319" i="140"/>
  <c r="D320" i="140"/>
  <c r="D321" i="140"/>
  <c r="D322" i="140"/>
  <c r="D323" i="140"/>
  <c r="D324" i="140"/>
  <c r="D325" i="140"/>
  <c r="D326" i="140"/>
  <c r="D327" i="140"/>
  <c r="D328" i="140"/>
  <c r="D329" i="140"/>
  <c r="D330" i="140"/>
  <c r="D331" i="140"/>
  <c r="D332" i="140"/>
  <c r="D333" i="140"/>
  <c r="D334" i="140"/>
  <c r="D335" i="140"/>
  <c r="D336" i="140"/>
  <c r="D256" i="140"/>
  <c r="B143" i="140"/>
  <c r="D131" i="140"/>
  <c r="C131" i="140"/>
  <c r="B131" i="140"/>
  <c r="C179" i="124"/>
  <c r="C178" i="124"/>
  <c r="E164" i="124"/>
  <c r="G164" i="124"/>
  <c r="C167" i="124"/>
  <c r="C166" i="124"/>
  <c r="C155" i="124"/>
  <c r="C154" i="124"/>
  <c r="G135" i="124"/>
  <c r="C140" i="124"/>
  <c r="C139" i="124"/>
  <c r="C125" i="124"/>
  <c r="C124" i="124"/>
  <c r="C109" i="124"/>
  <c r="C108" i="124"/>
  <c r="C96" i="124"/>
  <c r="C95" i="124"/>
  <c r="C331" i="130"/>
  <c r="C330" i="130"/>
  <c r="G292" i="130"/>
  <c r="D691" i="121"/>
  <c r="E250" i="124" s="1"/>
  <c r="D690" i="121"/>
  <c r="E236" i="124"/>
  <c r="C224" i="130"/>
  <c r="C221" i="130"/>
  <c r="E221" i="130"/>
  <c r="E163" i="130"/>
  <c r="E155" i="130"/>
  <c r="E116" i="130"/>
  <c r="D574" i="121"/>
  <c r="D569" i="121"/>
  <c r="E2077" i="130"/>
  <c r="D549" i="121"/>
  <c r="E2046" i="130"/>
  <c r="E1736" i="130"/>
  <c r="D595" i="121"/>
  <c r="E1743" i="130" s="1"/>
  <c r="E1727" i="130"/>
  <c r="G1727" i="130"/>
  <c r="D555" i="121"/>
  <c r="E1726" i="130" s="1"/>
  <c r="D556" i="121"/>
  <c r="E715" i="130"/>
  <c r="H1713" i="130"/>
  <c r="F1713" i="130"/>
  <c r="E1712" i="130"/>
  <c r="I1712" i="130"/>
  <c r="I1713" i="130" s="1"/>
  <c r="K1708" i="130"/>
  <c r="G1706" i="130"/>
  <c r="F1706" i="130"/>
  <c r="D134" i="121"/>
  <c r="E1711" i="130"/>
  <c r="G1711" i="130" s="1"/>
  <c r="G1713" i="130" s="1"/>
  <c r="B1713" i="130" s="1"/>
  <c r="B1714" i="130" s="1"/>
  <c r="E298" i="125" s="1"/>
  <c r="E777" i="152" s="1"/>
  <c r="E1696" i="130"/>
  <c r="G1696" i="130"/>
  <c r="D554" i="121"/>
  <c r="E1664" i="130"/>
  <c r="G1664" i="130"/>
  <c r="H1666" i="130"/>
  <c r="F1666" i="130"/>
  <c r="E1665" i="130"/>
  <c r="I1665" i="130" s="1"/>
  <c r="I1666" i="130" s="1"/>
  <c r="K1660" i="130"/>
  <c r="G1658" i="130"/>
  <c r="F1658" i="130"/>
  <c r="D552" i="121"/>
  <c r="E1615" i="130"/>
  <c r="G1615" i="130"/>
  <c r="D489" i="121"/>
  <c r="E1614" i="130"/>
  <c r="E1599" i="130"/>
  <c r="G1599" i="130"/>
  <c r="D547" i="121"/>
  <c r="E1598" i="130"/>
  <c r="E1566" i="130"/>
  <c r="G1566" i="130"/>
  <c r="D548" i="121"/>
  <c r="E1565" i="130"/>
  <c r="E1510" i="130"/>
  <c r="F1510" i="130"/>
  <c r="K1508" i="130"/>
  <c r="E1509" i="130"/>
  <c r="F1509" i="130" s="1"/>
  <c r="E1520" i="130"/>
  <c r="G1520" i="130"/>
  <c r="E1521" i="130"/>
  <c r="I1521" i="130" s="1"/>
  <c r="I1522" i="130" s="1"/>
  <c r="D576" i="121"/>
  <c r="E1519" i="130"/>
  <c r="E1492" i="130"/>
  <c r="F1492" i="130" s="1"/>
  <c r="K1490" i="130"/>
  <c r="E1491" i="130"/>
  <c r="F1491" i="130" s="1"/>
  <c r="E1502" i="130"/>
  <c r="G1502" i="130" s="1"/>
  <c r="D577" i="121"/>
  <c r="E1501" i="130"/>
  <c r="H1486" i="130"/>
  <c r="F1486" i="130"/>
  <c r="E1485" i="130"/>
  <c r="I1485" i="130" s="1"/>
  <c r="I1486" i="130" s="1"/>
  <c r="K1481" i="130"/>
  <c r="G1479" i="130"/>
  <c r="F1479" i="130"/>
  <c r="D135" i="121"/>
  <c r="E1484" i="130"/>
  <c r="G1484" i="130" s="1"/>
  <c r="G1486" i="130" s="1"/>
  <c r="E1355" i="130"/>
  <c r="E1363" i="130"/>
  <c r="G1363" i="130" s="1"/>
  <c r="D565" i="121"/>
  <c r="E1362" i="130"/>
  <c r="D136" i="121"/>
  <c r="E1346" i="130" s="1"/>
  <c r="E1331" i="130"/>
  <c r="G1331" i="130"/>
  <c r="D561" i="121"/>
  <c r="E1330" i="130" s="1"/>
  <c r="E1315" i="130"/>
  <c r="G1315" i="130"/>
  <c r="D564" i="121"/>
  <c r="E1314" i="130" s="1"/>
  <c r="E1266" i="130"/>
  <c r="G1266" i="130"/>
  <c r="D493" i="121"/>
  <c r="E1265" i="130" s="1"/>
  <c r="E1250" i="130"/>
  <c r="G1250" i="130"/>
  <c r="E1226" i="130"/>
  <c r="E1234" i="130"/>
  <c r="G1234" i="130"/>
  <c r="E573" i="130"/>
  <c r="G573" i="130" s="1"/>
  <c r="E652" i="130"/>
  <c r="G652" i="130" s="1"/>
  <c r="E668" i="130"/>
  <c r="G668" i="130"/>
  <c r="E716" i="130"/>
  <c r="G716" i="130"/>
  <c r="E732" i="130"/>
  <c r="G732" i="130"/>
  <c r="E748" i="130"/>
  <c r="G748" i="130"/>
  <c r="E644" i="130"/>
  <c r="F644" i="130"/>
  <c r="E643" i="130"/>
  <c r="F643" i="130"/>
  <c r="M563" i="130"/>
  <c r="E565" i="130"/>
  <c r="F565" i="130" s="1"/>
  <c r="D553" i="121"/>
  <c r="E1249" i="130"/>
  <c r="D559" i="121"/>
  <c r="E1233" i="130" s="1"/>
  <c r="D568" i="121"/>
  <c r="E747" i="130"/>
  <c r="D558" i="121"/>
  <c r="E731" i="130" s="1"/>
  <c r="D551" i="121"/>
  <c r="E667" i="130"/>
  <c r="D592" i="121"/>
  <c r="E651" i="130" s="1"/>
  <c r="D589" i="121"/>
  <c r="E572" i="130"/>
  <c r="C195" i="81"/>
  <c r="E1663" i="130"/>
  <c r="G1663" i="130" s="1"/>
  <c r="E2533" i="130"/>
  <c r="E1695" i="130"/>
  <c r="E2548" i="130"/>
  <c r="G1666" i="130"/>
  <c r="D689" i="121"/>
  <c r="E1168" i="130" s="1"/>
  <c r="D688" i="121"/>
  <c r="E1153" i="130"/>
  <c r="D687" i="121"/>
  <c r="E1137" i="130" s="1"/>
  <c r="D686" i="121"/>
  <c r="E1122" i="130"/>
  <c r="D680" i="121"/>
  <c r="E959" i="130" s="1"/>
  <c r="D679" i="121"/>
  <c r="E943" i="130"/>
  <c r="D678" i="121"/>
  <c r="E928" i="130" s="1"/>
  <c r="D685" i="121"/>
  <c r="E1034" i="130"/>
  <c r="C1012" i="130"/>
  <c r="C1011" i="130"/>
  <c r="D684" i="121"/>
  <c r="C997" i="130"/>
  <c r="C996" i="130"/>
  <c r="C982" i="130"/>
  <c r="C981" i="130"/>
  <c r="G999" i="130"/>
  <c r="F999" i="130"/>
  <c r="D683" i="121"/>
  <c r="E1004" i="130"/>
  <c r="G984" i="130"/>
  <c r="F984" i="130"/>
  <c r="D682" i="121"/>
  <c r="E989" i="130"/>
  <c r="C967" i="130"/>
  <c r="C966" i="130"/>
  <c r="G969" i="130"/>
  <c r="F969" i="130"/>
  <c r="D681" i="121"/>
  <c r="E974" i="130"/>
  <c r="D677" i="121"/>
  <c r="E912" i="130"/>
  <c r="D676" i="121"/>
  <c r="E896" i="130"/>
  <c r="D675" i="121"/>
  <c r="E881" i="130"/>
  <c r="D674" i="121"/>
  <c r="E866" i="130"/>
  <c r="D673" i="121"/>
  <c r="E848" i="130"/>
  <c r="D672" i="121"/>
  <c r="E832" i="130"/>
  <c r="D671" i="121"/>
  <c r="E815" i="130"/>
  <c r="C789" i="130"/>
  <c r="C788" i="130"/>
  <c r="F798" i="130"/>
  <c r="H798" i="130"/>
  <c r="D670" i="121"/>
  <c r="E796" i="130"/>
  <c r="D669" i="121"/>
  <c r="E781" i="130"/>
  <c r="C759" i="130"/>
  <c r="C758" i="130"/>
  <c r="H768" i="130"/>
  <c r="E767" i="130"/>
  <c r="I767" i="130" s="1"/>
  <c r="I768" i="130" s="1"/>
  <c r="D668" i="121"/>
  <c r="E766" i="130"/>
  <c r="D510" i="121"/>
  <c r="E634" i="130"/>
  <c r="D511" i="121"/>
  <c r="E619" i="130"/>
  <c r="D509" i="121"/>
  <c r="E604" i="130"/>
  <c r="C544" i="130"/>
  <c r="C545" i="130"/>
  <c r="D667" i="121"/>
  <c r="E552" i="130"/>
  <c r="D666" i="121"/>
  <c r="E535" i="130"/>
  <c r="C513" i="130"/>
  <c r="C512" i="130"/>
  <c r="D665" i="121"/>
  <c r="E520" i="130"/>
  <c r="C498" i="130"/>
  <c r="C497" i="130"/>
  <c r="D664" i="121"/>
  <c r="E505" i="130"/>
  <c r="E1019" i="130"/>
  <c r="E189" i="124"/>
  <c r="E491" i="81"/>
  <c r="E1039" i="81"/>
  <c r="F1039" i="81" s="1"/>
  <c r="E795" i="81"/>
  <c r="F795" i="81" s="1"/>
  <c r="D492" i="121"/>
  <c r="D496" i="121"/>
  <c r="E1016" i="81"/>
  <c r="E1031" i="81"/>
  <c r="E253" i="81"/>
  <c r="G253" i="81" s="1"/>
  <c r="D508" i="121"/>
  <c r="E1001" i="81" s="1"/>
  <c r="D507" i="121"/>
  <c r="E986" i="81"/>
  <c r="E876" i="81"/>
  <c r="E860" i="81"/>
  <c r="C780" i="81"/>
  <c r="C779" i="81"/>
  <c r="C775" i="81"/>
  <c r="K775" i="81" s="1"/>
  <c r="C774" i="81"/>
  <c r="G782" i="81"/>
  <c r="E775" i="81"/>
  <c r="F775" i="81" s="1"/>
  <c r="L775" i="81"/>
  <c r="D506" i="121"/>
  <c r="E787" i="81"/>
  <c r="G762" i="81"/>
  <c r="C760" i="81"/>
  <c r="C759" i="81"/>
  <c r="C755" i="81"/>
  <c r="K755" i="81" s="1"/>
  <c r="C754" i="81"/>
  <c r="E755" i="81"/>
  <c r="L755" i="81"/>
  <c r="D505" i="121"/>
  <c r="E767" i="81" s="1"/>
  <c r="C474" i="81"/>
  <c r="C473" i="81"/>
  <c r="C469" i="81"/>
  <c r="K469" i="81"/>
  <c r="C468" i="81"/>
  <c r="G476" i="81"/>
  <c r="E469" i="81"/>
  <c r="F469" i="81" s="1"/>
  <c r="L469" i="81"/>
  <c r="D504" i="121"/>
  <c r="E481" i="81" s="1"/>
  <c r="C448" i="81"/>
  <c r="C454" i="81"/>
  <c r="C453" i="81"/>
  <c r="C449" i="81"/>
  <c r="E449" i="81"/>
  <c r="D503" i="121"/>
  <c r="E461" i="81"/>
  <c r="G2367" i="130"/>
  <c r="F2367" i="130"/>
  <c r="E2373" i="130"/>
  <c r="G2373" i="130"/>
  <c r="E2374" i="130"/>
  <c r="I2374" i="130" s="1"/>
  <c r="I2375" i="130" s="1"/>
  <c r="F2375" i="130"/>
  <c r="H2375" i="130"/>
  <c r="D485" i="121"/>
  <c r="E2372" i="130" s="1"/>
  <c r="G2372" i="130" s="1"/>
  <c r="G2375" i="130" s="1"/>
  <c r="F2292" i="130"/>
  <c r="E2290" i="130"/>
  <c r="G2290" i="130"/>
  <c r="G2292" i="130" s="1"/>
  <c r="E2298" i="130"/>
  <c r="G2298" i="130"/>
  <c r="E2299" i="130"/>
  <c r="I2299" i="130" s="1"/>
  <c r="I2300" i="130" s="1"/>
  <c r="F2300" i="130"/>
  <c r="H2300" i="130"/>
  <c r="D646" i="121"/>
  <c r="E2297" i="130"/>
  <c r="G2297" i="130" s="1"/>
  <c r="E2272" i="130"/>
  <c r="G2272" i="130"/>
  <c r="F2275" i="130"/>
  <c r="E2281" i="130"/>
  <c r="G2281" i="130" s="1"/>
  <c r="G2283" i="130" s="1"/>
  <c r="E2273" i="130"/>
  <c r="G2273" i="130" s="1"/>
  <c r="G2275" i="130" s="1"/>
  <c r="E2282" i="130"/>
  <c r="I2282" i="130" s="1"/>
  <c r="I2283" i="130" s="1"/>
  <c r="F2283" i="130"/>
  <c r="H2283" i="130"/>
  <c r="D495" i="121"/>
  <c r="E2280" i="130" s="1"/>
  <c r="G2280" i="130" s="1"/>
  <c r="E2218" i="130"/>
  <c r="G2218" i="130"/>
  <c r="H2220" i="130"/>
  <c r="F2220" i="130"/>
  <c r="E2219" i="130"/>
  <c r="I2219" i="130" s="1"/>
  <c r="I2220" i="130" s="1"/>
  <c r="K2214" i="130"/>
  <c r="G2212" i="130"/>
  <c r="F2212" i="130"/>
  <c r="D484" i="121"/>
  <c r="E2217" i="130"/>
  <c r="G2217" i="130" s="1"/>
  <c r="G2220" i="130" s="1"/>
  <c r="G2300" i="130"/>
  <c r="E2202" i="130"/>
  <c r="G2202" i="130"/>
  <c r="H2204" i="130"/>
  <c r="F2204" i="130"/>
  <c r="E2203" i="130"/>
  <c r="I2203" i="130" s="1"/>
  <c r="I2204" i="130" s="1"/>
  <c r="K2198" i="130"/>
  <c r="G2196" i="130"/>
  <c r="F2196" i="130"/>
  <c r="D483" i="121"/>
  <c r="E2201" i="130"/>
  <c r="G2201" i="130" s="1"/>
  <c r="G2204" i="130" s="1"/>
  <c r="D488" i="121"/>
  <c r="E2061" i="130"/>
  <c r="D619" i="121"/>
  <c r="E2031" i="130" s="1"/>
  <c r="D616" i="121"/>
  <c r="E2016" i="130"/>
  <c r="D653" i="121"/>
  <c r="E2001" i="130" s="1"/>
  <c r="D615" i="121"/>
  <c r="E1986" i="130"/>
  <c r="D348" i="121"/>
  <c r="E1971" i="130" s="1"/>
  <c r="D610" i="121"/>
  <c r="E1956" i="130"/>
  <c r="D612" i="121"/>
  <c r="E1941" i="130" s="1"/>
  <c r="D611" i="121"/>
  <c r="E1926" i="130"/>
  <c r="D614" i="121"/>
  <c r="E1911" i="130" s="1"/>
  <c r="D652" i="121"/>
  <c r="E1896" i="130"/>
  <c r="G1876" i="130"/>
  <c r="E1872" i="130"/>
  <c r="F1872" i="130" s="1"/>
  <c r="F1876" i="130" s="1"/>
  <c r="D613" i="121"/>
  <c r="E1881" i="130"/>
  <c r="D347" i="121"/>
  <c r="E1865" i="130"/>
  <c r="D609" i="121"/>
  <c r="E1850" i="130"/>
  <c r="G1830" i="130"/>
  <c r="E1826" i="130"/>
  <c r="F1826" i="130" s="1"/>
  <c r="F1830" i="130" s="1"/>
  <c r="D607" i="121"/>
  <c r="E1835" i="130"/>
  <c r="G1814" i="130"/>
  <c r="E1810" i="130"/>
  <c r="F1810" i="130" s="1"/>
  <c r="F1814" i="130" s="1"/>
  <c r="D608" i="121"/>
  <c r="E1819" i="130"/>
  <c r="D606" i="121"/>
  <c r="E1803" i="130"/>
  <c r="D605" i="121"/>
  <c r="E1788" i="130"/>
  <c r="D604" i="121"/>
  <c r="E1773" i="130"/>
  <c r="D602" i="121"/>
  <c r="E1758" i="130"/>
  <c r="E1680" i="130"/>
  <c r="D317" i="121"/>
  <c r="E1679" i="130"/>
  <c r="E1648" i="130"/>
  <c r="G1648" i="130" s="1"/>
  <c r="E1647" i="130"/>
  <c r="G1647" i="130"/>
  <c r="D359" i="121"/>
  <c r="E1646" i="130" s="1"/>
  <c r="E1631" i="130"/>
  <c r="G1631" i="130"/>
  <c r="D490" i="121"/>
  <c r="E1630" i="130" s="1"/>
  <c r="E1583" i="130"/>
  <c r="G1583" i="130"/>
  <c r="E1582" i="130"/>
  <c r="G1582" i="130" s="1"/>
  <c r="D649" i="121"/>
  <c r="E1581" i="130"/>
  <c r="D632" i="121"/>
  <c r="E1393" i="130" s="1"/>
  <c r="D633" i="121"/>
  <c r="E1438" i="130"/>
  <c r="E1299" i="130"/>
  <c r="G1299" i="130" s="1"/>
  <c r="E1298" i="130"/>
  <c r="G1298" i="130"/>
  <c r="D481" i="121"/>
  <c r="E1297" i="130" s="1"/>
  <c r="E1282" i="130"/>
  <c r="G1282" i="130"/>
  <c r="D491" i="121"/>
  <c r="E1281" i="130" s="1"/>
  <c r="E1217" i="130"/>
  <c r="G1217" i="130"/>
  <c r="E1216" i="130"/>
  <c r="G1216" i="130" s="1"/>
  <c r="D360" i="121"/>
  <c r="E1215" i="130"/>
  <c r="E1200" i="130"/>
  <c r="G1200" i="130" s="1"/>
  <c r="D648" i="121"/>
  <c r="E1184" i="130"/>
  <c r="D644" i="121"/>
  <c r="E1183" i="130" s="1"/>
  <c r="E700" i="130"/>
  <c r="G700" i="130"/>
  <c r="D642" i="121"/>
  <c r="E699" i="130" s="1"/>
  <c r="E589" i="130"/>
  <c r="G589" i="130"/>
  <c r="E684" i="130"/>
  <c r="G684" i="130" s="1"/>
  <c r="D645" i="121"/>
  <c r="E683" i="130"/>
  <c r="D647" i="121"/>
  <c r="E588" i="130" s="1"/>
  <c r="D191" i="121"/>
  <c r="E220" i="124"/>
  <c r="D663" i="121"/>
  <c r="E1199" i="130"/>
  <c r="E257" i="81"/>
  <c r="G257" i="81"/>
  <c r="L28" i="130"/>
  <c r="K212" i="124"/>
  <c r="C204" i="124"/>
  <c r="C203" i="124"/>
  <c r="K203" i="124" s="1"/>
  <c r="C235" i="81"/>
  <c r="C234" i="81"/>
  <c r="K178" i="124"/>
  <c r="C180" i="124"/>
  <c r="E181" i="124"/>
  <c r="G181" i="124" s="1"/>
  <c r="E165" i="124"/>
  <c r="E148" i="124"/>
  <c r="E136" i="124"/>
  <c r="F136" i="124" s="1"/>
  <c r="F142" i="124" s="1"/>
  <c r="E118" i="124"/>
  <c r="C142" i="6"/>
  <c r="C145" i="6"/>
  <c r="C114" i="6"/>
  <c r="C116" i="6" s="1"/>
  <c r="E86" i="6"/>
  <c r="C44" i="6"/>
  <c r="E44" i="6"/>
  <c r="C30" i="6"/>
  <c r="E16" i="6"/>
  <c r="G16" i="6" s="1"/>
  <c r="C16" i="6"/>
  <c r="C18" i="6" s="1"/>
  <c r="C58" i="6"/>
  <c r="C60" i="6"/>
  <c r="C72" i="6"/>
  <c r="C74" i="6" s="1"/>
  <c r="E58" i="6"/>
  <c r="E27" i="126"/>
  <c r="D484" i="140" s="1"/>
  <c r="C86" i="124"/>
  <c r="E85" i="124"/>
  <c r="G85" i="124"/>
  <c r="G87" i="124" s="1"/>
  <c r="E94" i="81"/>
  <c r="G94" i="81" s="1"/>
  <c r="G96" i="81" s="1"/>
  <c r="C95" i="81"/>
  <c r="C63" i="124"/>
  <c r="C75" i="124" s="1"/>
  <c r="C62" i="124"/>
  <c r="C74" i="124" s="1"/>
  <c r="E11" i="126"/>
  <c r="D149" i="140"/>
  <c r="D148" i="140"/>
  <c r="E1046" i="130"/>
  <c r="D164" i="125"/>
  <c r="H19" i="128"/>
  <c r="G262" i="124"/>
  <c r="D662" i="121"/>
  <c r="E268" i="124"/>
  <c r="G268" i="124"/>
  <c r="G270" i="124" s="1"/>
  <c r="D661" i="121"/>
  <c r="E267" i="124" s="1"/>
  <c r="G267" i="124"/>
  <c r="H270" i="124"/>
  <c r="E269" i="124"/>
  <c r="I269" i="124" s="1"/>
  <c r="I270" i="124" s="1"/>
  <c r="D138" i="121"/>
  <c r="E284" i="124"/>
  <c r="D539" i="121"/>
  <c r="E283" i="124" s="1"/>
  <c r="C528" i="130"/>
  <c r="C527" i="130"/>
  <c r="D484" i="152"/>
  <c r="E158" i="6"/>
  <c r="C322" i="130"/>
  <c r="C321" i="130"/>
  <c r="C315" i="130"/>
  <c r="C296" i="130"/>
  <c r="C295" i="130"/>
  <c r="C289" i="130"/>
  <c r="C281" i="130"/>
  <c r="C280" i="130"/>
  <c r="C274" i="130"/>
  <c r="C266" i="130"/>
  <c r="C265" i="130"/>
  <c r="C258" i="130"/>
  <c r="K245" i="130"/>
  <c r="K244" i="130"/>
  <c r="C250" i="130"/>
  <c r="C249" i="130"/>
  <c r="C243" i="130"/>
  <c r="J242" i="130"/>
  <c r="C566" i="124"/>
  <c r="C565" i="124"/>
  <c r="C562" i="124"/>
  <c r="C561" i="124"/>
  <c r="E562" i="124"/>
  <c r="F562" i="124" s="1"/>
  <c r="H575" i="124"/>
  <c r="F575" i="124"/>
  <c r="E574" i="124"/>
  <c r="I574" i="124" s="1"/>
  <c r="I575" i="124" s="1"/>
  <c r="G568" i="124"/>
  <c r="E564" i="124"/>
  <c r="C564" i="124"/>
  <c r="E563" i="124"/>
  <c r="I563" i="124" s="1"/>
  <c r="C563" i="124"/>
  <c r="D657" i="121"/>
  <c r="E573" i="124" s="1"/>
  <c r="G573" i="124"/>
  <c r="E554" i="124"/>
  <c r="G554" i="124" s="1"/>
  <c r="H556" i="124"/>
  <c r="F556" i="124"/>
  <c r="E555" i="124"/>
  <c r="I555" i="124" s="1"/>
  <c r="I556" i="124" s="1"/>
  <c r="L552" i="124"/>
  <c r="L553" i="124" s="1"/>
  <c r="G548" i="124"/>
  <c r="F548" i="124"/>
  <c r="D319" i="121"/>
  <c r="E553" i="124"/>
  <c r="G553" i="124"/>
  <c r="E538" i="124"/>
  <c r="G538" i="124" s="1"/>
  <c r="H540" i="124"/>
  <c r="F540" i="124"/>
  <c r="E539" i="124"/>
  <c r="I539" i="124" s="1"/>
  <c r="I540" i="124" s="1"/>
  <c r="G532" i="124"/>
  <c r="F532" i="124"/>
  <c r="D570" i="121"/>
  <c r="E537" i="124" s="1"/>
  <c r="G537" i="124" s="1"/>
  <c r="G540" i="124" s="1"/>
  <c r="E513" i="124"/>
  <c r="F513" i="124"/>
  <c r="F515" i="124"/>
  <c r="E522" i="124"/>
  <c r="G522" i="124"/>
  <c r="E521" i="124"/>
  <c r="G521" i="124"/>
  <c r="H524" i="124"/>
  <c r="F524" i="124"/>
  <c r="E523" i="124"/>
  <c r="I523" i="124"/>
  <c r="I524" i="124" s="1"/>
  <c r="G515" i="124"/>
  <c r="D353" i="121"/>
  <c r="E520" i="124"/>
  <c r="G520" i="124"/>
  <c r="G524" i="124" s="1"/>
  <c r="H506" i="124"/>
  <c r="F506" i="124"/>
  <c r="E505" i="124"/>
  <c r="I505" i="124" s="1"/>
  <c r="I506" i="124" s="1"/>
  <c r="G499" i="124"/>
  <c r="F499" i="124"/>
  <c r="D137" i="121"/>
  <c r="E504" i="124"/>
  <c r="G504" i="124"/>
  <c r="G506" i="124" s="1"/>
  <c r="E489" i="124"/>
  <c r="G489" i="124"/>
  <c r="H491" i="124"/>
  <c r="F491" i="124"/>
  <c r="E490" i="124"/>
  <c r="I490" i="124"/>
  <c r="I491" i="124" s="1"/>
  <c r="G483" i="124"/>
  <c r="F483" i="124"/>
  <c r="D557" i="121"/>
  <c r="E488" i="124"/>
  <c r="G488" i="124"/>
  <c r="G491" i="124" s="1"/>
  <c r="E473" i="124"/>
  <c r="G473" i="124" s="1"/>
  <c r="G475" i="124" s="1"/>
  <c r="H475" i="124"/>
  <c r="F475" i="124"/>
  <c r="E474" i="124"/>
  <c r="I474" i="124" s="1"/>
  <c r="I475" i="124" s="1"/>
  <c r="G467" i="124"/>
  <c r="F467" i="124"/>
  <c r="D579" i="121"/>
  <c r="E472" i="124" s="1"/>
  <c r="G472" i="124" s="1"/>
  <c r="E457" i="124"/>
  <c r="G457" i="124"/>
  <c r="H459" i="124"/>
  <c r="F459" i="124"/>
  <c r="E458" i="124"/>
  <c r="I458" i="124"/>
  <c r="I459" i="124" s="1"/>
  <c r="G451" i="124"/>
  <c r="F451" i="124"/>
  <c r="D583" i="121"/>
  <c r="E456" i="124"/>
  <c r="G456" i="124" s="1"/>
  <c r="G459" i="124" s="1"/>
  <c r="E432" i="124"/>
  <c r="F432" i="124"/>
  <c r="E441" i="124"/>
  <c r="G441" i="124" s="1"/>
  <c r="H443" i="124"/>
  <c r="F443" i="124"/>
  <c r="E442" i="124"/>
  <c r="I442" i="124" s="1"/>
  <c r="I443" i="124" s="1"/>
  <c r="G435" i="124"/>
  <c r="K433" i="124"/>
  <c r="E433" i="124"/>
  <c r="F433" i="124" s="1"/>
  <c r="D587" i="121"/>
  <c r="E440" i="124" s="1"/>
  <c r="G440" i="124"/>
  <c r="G443" i="124" s="1"/>
  <c r="I564" i="124"/>
  <c r="E414" i="124"/>
  <c r="F414" i="124"/>
  <c r="E423" i="124"/>
  <c r="G423" i="124"/>
  <c r="H425" i="124"/>
  <c r="F425" i="124"/>
  <c r="E424" i="124"/>
  <c r="I424" i="124" s="1"/>
  <c r="I425" i="124" s="1"/>
  <c r="G417" i="124"/>
  <c r="K415" i="124"/>
  <c r="E415" i="124"/>
  <c r="F415" i="124" s="1"/>
  <c r="F417" i="124" s="1"/>
  <c r="D588" i="121"/>
  <c r="E422" i="124"/>
  <c r="G422" i="124"/>
  <c r="G425" i="124" s="1"/>
  <c r="E405" i="124"/>
  <c r="G405" i="124" s="1"/>
  <c r="G407" i="124" s="1"/>
  <c r="H407" i="124"/>
  <c r="F407" i="124"/>
  <c r="E406" i="124"/>
  <c r="I406" i="124" s="1"/>
  <c r="I407" i="124" s="1"/>
  <c r="G399" i="124"/>
  <c r="K397" i="124"/>
  <c r="E397" i="124"/>
  <c r="F397" i="124" s="1"/>
  <c r="F399" i="124" s="1"/>
  <c r="E396" i="124"/>
  <c r="F396" i="124" s="1"/>
  <c r="D584" i="121"/>
  <c r="E404" i="124"/>
  <c r="G404" i="124"/>
  <c r="E387" i="124"/>
  <c r="G387" i="124"/>
  <c r="H389" i="124"/>
  <c r="F389" i="124"/>
  <c r="E388" i="124"/>
  <c r="I388" i="124"/>
  <c r="I389" i="124" s="1"/>
  <c r="G381" i="124"/>
  <c r="K379" i="124"/>
  <c r="E379" i="124"/>
  <c r="F379" i="124" s="1"/>
  <c r="E378" i="124"/>
  <c r="F378" i="124"/>
  <c r="D585" i="121"/>
  <c r="E386" i="124" s="1"/>
  <c r="G386" i="124" s="1"/>
  <c r="G389" i="124" s="1"/>
  <c r="E360" i="124"/>
  <c r="F360" i="124"/>
  <c r="K361" i="124"/>
  <c r="E361" i="124"/>
  <c r="F361" i="124" s="1"/>
  <c r="E369" i="124"/>
  <c r="G369" i="124"/>
  <c r="H371" i="124"/>
  <c r="F371" i="124"/>
  <c r="E370" i="124"/>
  <c r="I370" i="124"/>
  <c r="I371" i="124" s="1"/>
  <c r="G363" i="124"/>
  <c r="D586" i="121"/>
  <c r="E368" i="124"/>
  <c r="G368" i="124"/>
  <c r="G371" i="124" s="1"/>
  <c r="E351" i="124"/>
  <c r="G351" i="124"/>
  <c r="H353" i="124"/>
  <c r="F353" i="124"/>
  <c r="E352" i="124"/>
  <c r="I352" i="124" s="1"/>
  <c r="I353" i="124" s="1"/>
  <c r="G345" i="124"/>
  <c r="F345" i="124"/>
  <c r="D580" i="121"/>
  <c r="E350" i="124" s="1"/>
  <c r="G350" i="124" s="1"/>
  <c r="G353" i="124" s="1"/>
  <c r="E335" i="124"/>
  <c r="G335" i="124"/>
  <c r="H337" i="124"/>
  <c r="F337" i="124"/>
  <c r="E336" i="124"/>
  <c r="I336" i="124" s="1"/>
  <c r="I337" i="124" s="1"/>
  <c r="G329" i="124"/>
  <c r="F329" i="124"/>
  <c r="D582" i="121"/>
  <c r="E334" i="124"/>
  <c r="G334" i="124"/>
  <c r="G337" i="124" s="1"/>
  <c r="H321" i="124"/>
  <c r="F321" i="124"/>
  <c r="E319" i="124"/>
  <c r="G319" i="124"/>
  <c r="E320" i="124"/>
  <c r="I320" i="124" s="1"/>
  <c r="I321" i="124" s="1"/>
  <c r="G313" i="124"/>
  <c r="F313" i="124"/>
  <c r="D581" i="121"/>
  <c r="E318" i="124" s="1"/>
  <c r="G318" i="124" s="1"/>
  <c r="G321" i="124" s="1"/>
  <c r="G298" i="124"/>
  <c r="F298" i="124"/>
  <c r="D320" i="121"/>
  <c r="E303" i="124"/>
  <c r="G303" i="124"/>
  <c r="G305" i="124"/>
  <c r="H305" i="124"/>
  <c r="F305" i="124"/>
  <c r="E304" i="124"/>
  <c r="I304" i="124" s="1"/>
  <c r="I305" i="124" s="1"/>
  <c r="E245" i="130"/>
  <c r="G245" i="130" s="1"/>
  <c r="I719" i="121"/>
  <c r="J264" i="130"/>
  <c r="J265" i="130"/>
  <c r="C2503" i="130"/>
  <c r="C2502" i="130"/>
  <c r="G2501" i="130"/>
  <c r="G2500" i="130"/>
  <c r="G2499" i="130"/>
  <c r="G2498" i="130"/>
  <c r="E2497" i="130"/>
  <c r="G2497" i="130"/>
  <c r="E2496" i="130"/>
  <c r="F2496" i="130" s="1"/>
  <c r="F2505" i="130" s="1"/>
  <c r="E305" i="130"/>
  <c r="E2471" i="130"/>
  <c r="E2456" i="130"/>
  <c r="F2456" i="130" s="1"/>
  <c r="E2440" i="130"/>
  <c r="E114" i="6"/>
  <c r="E72" i="6"/>
  <c r="E30" i="6"/>
  <c r="C212" i="130"/>
  <c r="C211" i="130"/>
  <c r="K210" i="130"/>
  <c r="C188" i="130"/>
  <c r="C187" i="130"/>
  <c r="C163" i="130"/>
  <c r="F163" i="130"/>
  <c r="C155" i="130"/>
  <c r="F155" i="130" s="1"/>
  <c r="F157" i="130" s="1"/>
  <c r="C131" i="130"/>
  <c r="C130" i="130"/>
  <c r="C127" i="130"/>
  <c r="C120" i="130"/>
  <c r="C119" i="130"/>
  <c r="C116" i="130"/>
  <c r="C109" i="130"/>
  <c r="C108" i="130"/>
  <c r="C105" i="130"/>
  <c r="C98" i="130"/>
  <c r="C97" i="130"/>
  <c r="C94" i="130"/>
  <c r="C87" i="130"/>
  <c r="C86" i="130"/>
  <c r="C83" i="130"/>
  <c r="C76" i="130"/>
  <c r="C75" i="130"/>
  <c r="C72" i="130"/>
  <c r="C65" i="130"/>
  <c r="C64" i="130"/>
  <c r="C61" i="130"/>
  <c r="C54" i="130"/>
  <c r="C53" i="130"/>
  <c r="C50" i="130"/>
  <c r="C39" i="130"/>
  <c r="C42" i="130"/>
  <c r="K43" i="130"/>
  <c r="C43" i="130"/>
  <c r="D124" i="121"/>
  <c r="D125" i="121"/>
  <c r="E413" i="137" s="1"/>
  <c r="D126" i="121"/>
  <c r="E603" i="137" s="1"/>
  <c r="D127" i="121"/>
  <c r="D139" i="121"/>
  <c r="D660" i="121"/>
  <c r="D502" i="121"/>
  <c r="D501" i="121"/>
  <c r="E256" i="81"/>
  <c r="G256" i="81" s="1"/>
  <c r="D500" i="121"/>
  <c r="D499" i="121"/>
  <c r="E123" i="137" s="1"/>
  <c r="D498" i="121"/>
  <c r="D497" i="121"/>
  <c r="D494" i="121"/>
  <c r="D321" i="121"/>
  <c r="E484" i="137" s="1"/>
  <c r="D318" i="121"/>
  <c r="E682" i="137" s="1"/>
  <c r="D354" i="121"/>
  <c r="D351" i="121"/>
  <c r="D356" i="121"/>
  <c r="E466" i="137" s="1"/>
  <c r="G466" i="137" s="1"/>
  <c r="G470" i="137" s="1"/>
  <c r="D355" i="121"/>
  <c r="D352" i="121"/>
  <c r="D350" i="121"/>
  <c r="D643" i="121"/>
  <c r="D631" i="121"/>
  <c r="D641" i="121"/>
  <c r="D640" i="121"/>
  <c r="E540" i="137" s="1"/>
  <c r="D639" i="121"/>
  <c r="E251" i="81"/>
  <c r="G251" i="81"/>
  <c r="D550" i="121"/>
  <c r="E172" i="137" s="1"/>
  <c r="D573" i="121"/>
  <c r="D571" i="121"/>
  <c r="D566" i="121"/>
  <c r="E274" i="137" s="1"/>
  <c r="D562" i="121"/>
  <c r="E256" i="137" s="1"/>
  <c r="D578" i="121"/>
  <c r="D594" i="121"/>
  <c r="D593" i="121"/>
  <c r="D590" i="121"/>
  <c r="D591" i="121"/>
  <c r="D601" i="121"/>
  <c r="D599" i="121"/>
  <c r="D598" i="121"/>
  <c r="E18" i="137" s="1"/>
  <c r="D597" i="121"/>
  <c r="D596" i="121"/>
  <c r="E315" i="130"/>
  <c r="E289" i="130"/>
  <c r="F289" i="130" s="1"/>
  <c r="E274" i="130"/>
  <c r="E258" i="130"/>
  <c r="F221" i="130"/>
  <c r="F225" i="130"/>
  <c r="C222" i="130"/>
  <c r="G222" i="130"/>
  <c r="G225" i="130"/>
  <c r="C180" i="130"/>
  <c r="C179" i="130"/>
  <c r="G181" i="130"/>
  <c r="F181" i="130"/>
  <c r="C172" i="130"/>
  <c r="C171" i="130"/>
  <c r="G173" i="130"/>
  <c r="F173" i="130"/>
  <c r="C164" i="130"/>
  <c r="C156" i="130"/>
  <c r="K157" i="130"/>
  <c r="C148" i="130"/>
  <c r="C147" i="130"/>
  <c r="G149" i="130"/>
  <c r="F149" i="130"/>
  <c r="K141" i="130"/>
  <c r="C234" i="130"/>
  <c r="C233" i="130"/>
  <c r="F235" i="130"/>
  <c r="F213" i="130"/>
  <c r="C207" i="130"/>
  <c r="D30" i="125"/>
  <c r="C197" i="130"/>
  <c r="K196" i="130" s="1"/>
  <c r="G199" i="130"/>
  <c r="H199" i="130"/>
  <c r="E198" i="130"/>
  <c r="I198" i="130" s="1"/>
  <c r="I199" i="130" s="1"/>
  <c r="E197" i="130"/>
  <c r="K187" i="130"/>
  <c r="D168" i="152"/>
  <c r="D168" i="140"/>
  <c r="C139" i="130"/>
  <c r="E139" i="130"/>
  <c r="C129" i="130"/>
  <c r="C118" i="130"/>
  <c r="E127" i="130"/>
  <c r="F116" i="130"/>
  <c r="C107" i="130"/>
  <c r="E105" i="130"/>
  <c r="F105" i="130"/>
  <c r="C96" i="130"/>
  <c r="E94" i="130"/>
  <c r="F94" i="130" s="1"/>
  <c r="C85" i="130"/>
  <c r="E83" i="130"/>
  <c r="C63" i="130"/>
  <c r="C74" i="130"/>
  <c r="E72" i="130"/>
  <c r="F72" i="130" s="1"/>
  <c r="C52" i="130"/>
  <c r="E61" i="130"/>
  <c r="F61" i="130"/>
  <c r="E50" i="130"/>
  <c r="F50" i="130" s="1"/>
  <c r="C41" i="130"/>
  <c r="C147" i="6"/>
  <c r="C148" i="6"/>
  <c r="E145" i="6"/>
  <c r="E39" i="130"/>
  <c r="E939" i="81"/>
  <c r="E924" i="81"/>
  <c r="E909" i="81"/>
  <c r="E954" i="81"/>
  <c r="E822" i="81"/>
  <c r="I139" i="130"/>
  <c r="C888" i="81"/>
  <c r="C887" i="81"/>
  <c r="C884" i="81"/>
  <c r="C883" i="81"/>
  <c r="E884" i="81"/>
  <c r="D194" i="121"/>
  <c r="E895" i="81"/>
  <c r="D197" i="121"/>
  <c r="E748" i="81" s="1"/>
  <c r="D196" i="121"/>
  <c r="E742" i="81"/>
  <c r="G731" i="81"/>
  <c r="C729" i="81"/>
  <c r="C728" i="81"/>
  <c r="C725" i="81"/>
  <c r="C724" i="81"/>
  <c r="E725" i="81"/>
  <c r="D195" i="121"/>
  <c r="E736" i="81"/>
  <c r="C435" i="81"/>
  <c r="C434" i="81"/>
  <c r="C430" i="81"/>
  <c r="C429" i="81"/>
  <c r="G437" i="81"/>
  <c r="L429" i="81"/>
  <c r="C555" i="81"/>
  <c r="C554" i="81"/>
  <c r="E553" i="81"/>
  <c r="D170" i="121"/>
  <c r="G839" i="81"/>
  <c r="C837" i="81"/>
  <c r="C836" i="81"/>
  <c r="C832" i="81"/>
  <c r="C833" i="81" s="1"/>
  <c r="C831" i="81"/>
  <c r="K833" i="81"/>
  <c r="E833" i="81"/>
  <c r="E832" i="81"/>
  <c r="D737" i="121"/>
  <c r="D738" i="121"/>
  <c r="E308" i="81"/>
  <c r="F308" i="81" s="1"/>
  <c r="E328" i="81"/>
  <c r="F328" i="81" s="1"/>
  <c r="E490" i="81"/>
  <c r="F490" i="81" s="1"/>
  <c r="E429" i="81"/>
  <c r="F429" i="81" s="1"/>
  <c r="E774" i="81"/>
  <c r="F774" i="81" s="1"/>
  <c r="E831" i="81"/>
  <c r="F831" i="81" s="1"/>
  <c r="F832" i="81"/>
  <c r="C294" i="81"/>
  <c r="C293" i="81"/>
  <c r="C289" i="81"/>
  <c r="K289" i="81" s="1"/>
  <c r="C288" i="81"/>
  <c r="C290" i="81"/>
  <c r="F290" i="81" s="1"/>
  <c r="K292" i="81"/>
  <c r="C545" i="81"/>
  <c r="C544" i="81"/>
  <c r="C543" i="81"/>
  <c r="C540" i="81"/>
  <c r="E530" i="81"/>
  <c r="E529" i="81"/>
  <c r="G496" i="81"/>
  <c r="K492" i="81"/>
  <c r="E492" i="81"/>
  <c r="F492" i="81" s="1"/>
  <c r="E507" i="81"/>
  <c r="E505" i="81"/>
  <c r="E504" i="81"/>
  <c r="D544" i="121"/>
  <c r="E503" i="81" s="1"/>
  <c r="E506" i="81"/>
  <c r="G506" i="81"/>
  <c r="D538" i="121"/>
  <c r="E501" i="81"/>
  <c r="D193" i="121"/>
  <c r="E442" i="81" s="1"/>
  <c r="E430" i="137"/>
  <c r="C64" i="81"/>
  <c r="E320" i="137"/>
  <c r="C89" i="137"/>
  <c r="G65" i="137"/>
  <c r="E28" i="137"/>
  <c r="E691" i="137"/>
  <c r="F691" i="137"/>
  <c r="F694" i="137"/>
  <c r="E699" i="137"/>
  <c r="E667" i="137"/>
  <c r="G667" i="137"/>
  <c r="G661" i="137"/>
  <c r="E659" i="137"/>
  <c r="F659" i="137"/>
  <c r="F661" i="137"/>
  <c r="E666" i="137"/>
  <c r="G666" i="137" s="1"/>
  <c r="E650" i="137"/>
  <c r="E629" i="137"/>
  <c r="F629" i="137"/>
  <c r="E636" i="137"/>
  <c r="G636" i="137" s="1"/>
  <c r="E612" i="137"/>
  <c r="F612" i="137" s="1"/>
  <c r="F615" i="137"/>
  <c r="E620" i="137"/>
  <c r="H605" i="137"/>
  <c r="E589" i="137"/>
  <c r="E567" i="137"/>
  <c r="F567" i="137" s="1"/>
  <c r="H576" i="137"/>
  <c r="E574" i="137"/>
  <c r="E550" i="137"/>
  <c r="F550" i="137" s="1"/>
  <c r="F552" i="137" s="1"/>
  <c r="G552" i="137"/>
  <c r="H560" i="137"/>
  <c r="E558" i="137"/>
  <c r="G558" i="137" s="1"/>
  <c r="G560" i="137" s="1"/>
  <c r="E557" i="137"/>
  <c r="G535" i="137"/>
  <c r="E533" i="137"/>
  <c r="F533" i="137" s="1"/>
  <c r="F535" i="137"/>
  <c r="H543" i="137"/>
  <c r="E541" i="137"/>
  <c r="G541" i="137" s="1"/>
  <c r="E514" i="137"/>
  <c r="F514" i="137" s="1"/>
  <c r="H526" i="137"/>
  <c r="E524" i="137"/>
  <c r="G524" i="137" s="1"/>
  <c r="G499" i="137"/>
  <c r="E504" i="137"/>
  <c r="E505" i="137"/>
  <c r="G505" i="137" s="1"/>
  <c r="G479" i="137"/>
  <c r="E477" i="137"/>
  <c r="F477" i="137"/>
  <c r="F479" i="137" s="1"/>
  <c r="H487" i="137"/>
  <c r="E485" i="137"/>
  <c r="G485" i="137"/>
  <c r="E459" i="137"/>
  <c r="F459" i="137" s="1"/>
  <c r="F461" i="137" s="1"/>
  <c r="H470" i="137"/>
  <c r="E468" i="137"/>
  <c r="G468" i="137" s="1"/>
  <c r="E467" i="137"/>
  <c r="G467" i="137" s="1"/>
  <c r="F470" i="137"/>
  <c r="E469" i="137"/>
  <c r="I469" i="137" s="1"/>
  <c r="I470" i="137" s="1"/>
  <c r="G461" i="137"/>
  <c r="E441" i="137"/>
  <c r="F441" i="137"/>
  <c r="K440" i="137"/>
  <c r="E440" i="137"/>
  <c r="F440" i="137" s="1"/>
  <c r="E450" i="137"/>
  <c r="G450" i="137"/>
  <c r="E449" i="137"/>
  <c r="G449" i="137" s="1"/>
  <c r="G425" i="137"/>
  <c r="E422" i="137"/>
  <c r="F422" i="137"/>
  <c r="H433" i="137"/>
  <c r="E431" i="137"/>
  <c r="G431" i="137"/>
  <c r="H415" i="137"/>
  <c r="F415" i="137"/>
  <c r="E412" i="137"/>
  <c r="G374" i="137"/>
  <c r="E372" i="137"/>
  <c r="F372" i="137" s="1"/>
  <c r="F374" i="137" s="1"/>
  <c r="G391" i="137"/>
  <c r="E389" i="137"/>
  <c r="F389" i="137" s="1"/>
  <c r="F391" i="137" s="1"/>
  <c r="H399" i="137"/>
  <c r="F399" i="137"/>
  <c r="E397" i="137"/>
  <c r="G397" i="137" s="1"/>
  <c r="E396" i="137"/>
  <c r="H365" i="137"/>
  <c r="E364" i="137"/>
  <c r="I364" i="137" s="1"/>
  <c r="I365" i="137" s="1"/>
  <c r="E379" i="137"/>
  <c r="G379" i="137" s="1"/>
  <c r="E380" i="137"/>
  <c r="G380" i="137" s="1"/>
  <c r="G382" i="137" s="1"/>
  <c r="H382" i="137"/>
  <c r="F382" i="137"/>
  <c r="E381" i="137"/>
  <c r="I381" i="137" s="1"/>
  <c r="I382" i="137" s="1"/>
  <c r="L378" i="137"/>
  <c r="L379" i="137"/>
  <c r="G357" i="137"/>
  <c r="E355" i="137"/>
  <c r="F355" i="137" s="1"/>
  <c r="F357" i="137"/>
  <c r="E337" i="137"/>
  <c r="F337" i="137" s="1"/>
  <c r="K337" i="137"/>
  <c r="E338" i="137"/>
  <c r="F338" i="137"/>
  <c r="E362" i="137"/>
  <c r="F362" i="137" s="1"/>
  <c r="F365" i="137" s="1"/>
  <c r="E363" i="137"/>
  <c r="G363" i="137" s="1"/>
  <c r="G365" i="137" s="1"/>
  <c r="G340" i="137"/>
  <c r="H348" i="137"/>
  <c r="E346" i="137"/>
  <c r="G346" i="137" s="1"/>
  <c r="E345" i="137"/>
  <c r="D704" i="121"/>
  <c r="E78" i="81" s="1"/>
  <c r="G322" i="137"/>
  <c r="F320" i="137"/>
  <c r="K319" i="137"/>
  <c r="E319" i="137"/>
  <c r="F319" i="137" s="1"/>
  <c r="F322" i="137" s="1"/>
  <c r="E328" i="137"/>
  <c r="G328" i="137" s="1"/>
  <c r="E327" i="137"/>
  <c r="G303" i="137"/>
  <c r="E301" i="137"/>
  <c r="F301" i="137" s="1"/>
  <c r="F303" i="137"/>
  <c r="H312" i="137"/>
  <c r="E310" i="137"/>
  <c r="G310" i="137" s="1"/>
  <c r="E309" i="137"/>
  <c r="G309" i="137"/>
  <c r="E308" i="137"/>
  <c r="E284" i="137"/>
  <c r="F284" i="137"/>
  <c r="F286" i="137"/>
  <c r="G286" i="137"/>
  <c r="E292" i="137"/>
  <c r="G292" i="137"/>
  <c r="E291" i="137"/>
  <c r="G269" i="137"/>
  <c r="E267" i="137"/>
  <c r="F267" i="137"/>
  <c r="F269" i="137"/>
  <c r="E275" i="137"/>
  <c r="G275" i="137"/>
  <c r="G251" i="137"/>
  <c r="E182" i="137"/>
  <c r="E249" i="137"/>
  <c r="F249" i="137"/>
  <c r="F251" i="137" s="1"/>
  <c r="H259" i="137"/>
  <c r="E257" i="137"/>
  <c r="G257" i="137"/>
  <c r="E241" i="137"/>
  <c r="F241" i="137" s="1"/>
  <c r="E240" i="137"/>
  <c r="G240" i="137"/>
  <c r="F218" i="137"/>
  <c r="G218" i="137"/>
  <c r="H227" i="137"/>
  <c r="F227" i="137"/>
  <c r="E225" i="137"/>
  <c r="G225" i="137"/>
  <c r="E224" i="137"/>
  <c r="G224" i="137"/>
  <c r="E223" i="137"/>
  <c r="H210" i="137"/>
  <c r="E208" i="137"/>
  <c r="G208" i="137"/>
  <c r="E207" i="137"/>
  <c r="G207" i="137"/>
  <c r="E206" i="137"/>
  <c r="G206" i="137"/>
  <c r="G210" i="137" s="1"/>
  <c r="G184" i="137"/>
  <c r="F182" i="137"/>
  <c r="F184" i="137" s="1"/>
  <c r="E191" i="137"/>
  <c r="G191" i="137"/>
  <c r="E190" i="137"/>
  <c r="G190" i="137" s="1"/>
  <c r="E189" i="137"/>
  <c r="G167" i="137"/>
  <c r="F167" i="137"/>
  <c r="H175" i="137"/>
  <c r="F175" i="137"/>
  <c r="E173" i="137"/>
  <c r="G173" i="137"/>
  <c r="G151" i="137"/>
  <c r="E149" i="137"/>
  <c r="F149" i="137"/>
  <c r="F151" i="137" s="1"/>
  <c r="E157" i="137"/>
  <c r="G157" i="137" s="1"/>
  <c r="G134" i="137"/>
  <c r="F134" i="137"/>
  <c r="H142" i="137"/>
  <c r="E140" i="137"/>
  <c r="G140" i="137"/>
  <c r="E139" i="137"/>
  <c r="E115" i="137"/>
  <c r="F115" i="137"/>
  <c r="F118" i="137"/>
  <c r="H126" i="137"/>
  <c r="F126" i="137"/>
  <c r="E124" i="137"/>
  <c r="G124" i="137"/>
  <c r="E97" i="137"/>
  <c r="F97" i="137"/>
  <c r="F100" i="137" s="1"/>
  <c r="H108" i="137"/>
  <c r="F108" i="137"/>
  <c r="E106" i="137"/>
  <c r="G106" i="137" s="1"/>
  <c r="E105" i="137"/>
  <c r="G82" i="137"/>
  <c r="E80" i="137"/>
  <c r="F80" i="137" s="1"/>
  <c r="F82" i="137" s="1"/>
  <c r="E88" i="137"/>
  <c r="G88" i="137"/>
  <c r="B88" i="137"/>
  <c r="E87" i="137"/>
  <c r="E63" i="137"/>
  <c r="F63" i="137"/>
  <c r="F65" i="137"/>
  <c r="E46" i="137"/>
  <c r="F46" i="137"/>
  <c r="G31" i="137"/>
  <c r="E71" i="137"/>
  <c r="G71" i="137" s="1"/>
  <c r="E37" i="137"/>
  <c r="E54" i="137"/>
  <c r="G54" i="137" s="1"/>
  <c r="B71" i="137"/>
  <c r="E70" i="137"/>
  <c r="E53" i="137"/>
  <c r="B54" i="137"/>
  <c r="K29" i="137"/>
  <c r="E29" i="137"/>
  <c r="F29" i="137" s="1"/>
  <c r="F28" i="137"/>
  <c r="E36" i="137"/>
  <c r="G37" i="137"/>
  <c r="B37" i="137"/>
  <c r="B19" i="137"/>
  <c r="E19" i="137"/>
  <c r="G19" i="137" s="1"/>
  <c r="E11" i="137"/>
  <c r="E432" i="81"/>
  <c r="F432" i="81" s="1"/>
  <c r="E301" i="81"/>
  <c r="E844" i="81"/>
  <c r="E1053" i="81"/>
  <c r="G1053" i="81"/>
  <c r="E1052" i="81"/>
  <c r="E1051" i="81"/>
  <c r="E809" i="81"/>
  <c r="G809" i="81"/>
  <c r="E808" i="81"/>
  <c r="E807" i="81"/>
  <c r="C796" i="81"/>
  <c r="I796" i="81"/>
  <c r="C1040" i="81"/>
  <c r="I1040" i="81"/>
  <c r="L491" i="81"/>
  <c r="K491" i="81"/>
  <c r="F491" i="81"/>
  <c r="C776" i="81"/>
  <c r="I776" i="81"/>
  <c r="C470" i="81"/>
  <c r="I470" i="81" s="1"/>
  <c r="C756" i="81"/>
  <c r="I756" i="81"/>
  <c r="C450" i="81"/>
  <c r="I450" i="81" s="1"/>
  <c r="L449" i="81"/>
  <c r="K449" i="81"/>
  <c r="C432" i="81"/>
  <c r="L430" i="81"/>
  <c r="E430" i="81"/>
  <c r="F430" i="81" s="1"/>
  <c r="K430" i="81"/>
  <c r="K290" i="81"/>
  <c r="E290" i="81"/>
  <c r="C280" i="81"/>
  <c r="C279" i="81"/>
  <c r="F281" i="81"/>
  <c r="E278" i="81"/>
  <c r="G278" i="81" s="1"/>
  <c r="E277" i="81"/>
  <c r="G277" i="81" s="1"/>
  <c r="C196" i="81"/>
  <c r="E182" i="81"/>
  <c r="E203" i="81"/>
  <c r="F203" i="81" s="1"/>
  <c r="C168" i="81"/>
  <c r="C158" i="81"/>
  <c r="D725" i="121"/>
  <c r="E409" i="130" s="1"/>
  <c r="G409" i="130" s="1"/>
  <c r="C133" i="6"/>
  <c r="C132" i="6"/>
  <c r="C104" i="6"/>
  <c r="C105" i="6"/>
  <c r="E244" i="81"/>
  <c r="G244" i="81" s="1"/>
  <c r="E2473" i="130"/>
  <c r="G2473" i="130" s="1"/>
  <c r="E2458" i="130"/>
  <c r="G2458" i="130"/>
  <c r="E398" i="130"/>
  <c r="G398" i="130" s="1"/>
  <c r="E2417" i="130"/>
  <c r="G2417" i="130" s="1"/>
  <c r="E385" i="130"/>
  <c r="G385" i="130" s="1"/>
  <c r="E467" i="130"/>
  <c r="G467" i="130" s="1"/>
  <c r="E168" i="81"/>
  <c r="G168" i="81" s="1"/>
  <c r="E291" i="130"/>
  <c r="E158" i="81"/>
  <c r="G158" i="81" s="1"/>
  <c r="F449" i="81"/>
  <c r="K318" i="139"/>
  <c r="C48" i="81"/>
  <c r="C46" i="81"/>
  <c r="C40" i="81"/>
  <c r="C38" i="81"/>
  <c r="C25" i="81"/>
  <c r="C23" i="81"/>
  <c r="C26" i="9"/>
  <c r="A28" i="9"/>
  <c r="C28" i="9"/>
  <c r="B2134" i="130"/>
  <c r="B2385" i="130"/>
  <c r="B2305" i="130"/>
  <c r="B2241" i="130"/>
  <c r="B2226" i="130"/>
  <c r="B2179" i="130"/>
  <c r="B2164" i="130"/>
  <c r="B2149" i="130"/>
  <c r="B2350" i="130"/>
  <c r="B2335" i="130"/>
  <c r="B2320" i="130"/>
  <c r="B2384" i="130"/>
  <c r="B2256" i="130"/>
  <c r="J41" i="144"/>
  <c r="F40" i="144"/>
  <c r="H22" i="144"/>
  <c r="I22" i="144" s="1"/>
  <c r="J22" i="144" s="1"/>
  <c r="F22" i="144"/>
  <c r="H25" i="144"/>
  <c r="I25" i="144"/>
  <c r="J25" i="144" s="1"/>
  <c r="F25" i="144"/>
  <c r="H15" i="144"/>
  <c r="I15" i="144"/>
  <c r="H18" i="144"/>
  <c r="I18" i="144" s="1"/>
  <c r="J18" i="144" s="1"/>
  <c r="H17" i="144"/>
  <c r="I17" i="144"/>
  <c r="J17" i="144" s="1"/>
  <c r="H16" i="144"/>
  <c r="I16" i="144" s="1"/>
  <c r="F18" i="144"/>
  <c r="F17" i="144"/>
  <c r="F16" i="144"/>
  <c r="F13" i="144"/>
  <c r="F12" i="144"/>
  <c r="J12" i="144" s="1"/>
  <c r="H39" i="144"/>
  <c r="I39" i="144" s="1"/>
  <c r="J39" i="144" s="1"/>
  <c r="F39" i="144"/>
  <c r="I38" i="144"/>
  <c r="F38" i="144"/>
  <c r="H37" i="144"/>
  <c r="I37" i="144"/>
  <c r="F37" i="144"/>
  <c r="H36" i="144"/>
  <c r="I36" i="144" s="1"/>
  <c r="J36" i="144" s="1"/>
  <c r="F36" i="144"/>
  <c r="H34" i="144"/>
  <c r="I34" i="144" s="1"/>
  <c r="J34" i="144" s="1"/>
  <c r="F34" i="144"/>
  <c r="H26" i="144"/>
  <c r="I26" i="144"/>
  <c r="J26" i="144" s="1"/>
  <c r="F26" i="144"/>
  <c r="H24" i="144"/>
  <c r="I24" i="144"/>
  <c r="F24" i="144"/>
  <c r="J24" i="144" s="1"/>
  <c r="H21" i="144"/>
  <c r="I21" i="144" s="1"/>
  <c r="J21" i="144" s="1"/>
  <c r="F21" i="144"/>
  <c r="H20" i="144"/>
  <c r="I20" i="144"/>
  <c r="J20" i="144" s="1"/>
  <c r="H14" i="144"/>
  <c r="I14" i="144"/>
  <c r="F14" i="144"/>
  <c r="J14" i="144" s="1"/>
  <c r="H13" i="144"/>
  <c r="I13" i="144" s="1"/>
  <c r="J13" i="144" s="1"/>
  <c r="I12" i="144"/>
  <c r="J46" i="128"/>
  <c r="H46" i="128" s="1"/>
  <c r="K46" i="128" s="1"/>
  <c r="J45" i="128"/>
  <c r="H45" i="128"/>
  <c r="K45" i="128"/>
  <c r="H56" i="128"/>
  <c r="F24" i="128"/>
  <c r="F22" i="128"/>
  <c r="F21" i="128"/>
  <c r="J44" i="128"/>
  <c r="H44" i="128"/>
  <c r="K44" i="128"/>
  <c r="J15" i="144"/>
  <c r="J37" i="144"/>
  <c r="J38" i="144"/>
  <c r="K232" i="130"/>
  <c r="E232" i="130"/>
  <c r="J232" i="130"/>
  <c r="K206" i="130"/>
  <c r="C29" i="130"/>
  <c r="J29" i="130"/>
  <c r="K111" i="81"/>
  <c r="L287" i="81"/>
  <c r="L288" i="81"/>
  <c r="L289" i="81"/>
  <c r="C207" i="81"/>
  <c r="C206" i="81"/>
  <c r="C203" i="81"/>
  <c r="K208" i="81"/>
  <c r="C194" i="81"/>
  <c r="C28" i="130"/>
  <c r="J28" i="130" s="1"/>
  <c r="C128" i="6"/>
  <c r="C127" i="6"/>
  <c r="C130" i="6" s="1"/>
  <c r="C125" i="6"/>
  <c r="E128" i="6"/>
  <c r="E99" i="6"/>
  <c r="E100" i="6"/>
  <c r="E101" i="6"/>
  <c r="C101" i="6"/>
  <c r="C100" i="6"/>
  <c r="C99" i="6"/>
  <c r="C102" i="6" s="1"/>
  <c r="B103" i="81"/>
  <c r="C101" i="81"/>
  <c r="C103" i="81"/>
  <c r="C85" i="81"/>
  <c r="K85" i="81" s="1"/>
  <c r="E821" i="81"/>
  <c r="G124" i="81"/>
  <c r="G530" i="81"/>
  <c r="G822" i="81"/>
  <c r="G823" i="81" s="1"/>
  <c r="E123" i="81"/>
  <c r="D87" i="86"/>
  <c r="D427" i="152"/>
  <c r="E1042" i="81"/>
  <c r="G1042" i="81" s="1"/>
  <c r="C1042" i="81"/>
  <c r="E1041" i="81"/>
  <c r="C1041" i="81"/>
  <c r="E798" i="81"/>
  <c r="C798" i="81"/>
  <c r="E797" i="81"/>
  <c r="G797" i="81" s="1"/>
  <c r="C797" i="81"/>
  <c r="E494" i="81"/>
  <c r="I494" i="81" s="1"/>
  <c r="C494" i="81"/>
  <c r="E493" i="81"/>
  <c r="I493" i="81" s="1"/>
  <c r="C493" i="81"/>
  <c r="C79" i="81"/>
  <c r="C78" i="81"/>
  <c r="C71" i="81"/>
  <c r="C521" i="81"/>
  <c r="C54" i="81"/>
  <c r="D51" i="81" s="1"/>
  <c r="E54" i="81"/>
  <c r="E38" i="81"/>
  <c r="F38" i="81" s="1"/>
  <c r="E289" i="81"/>
  <c r="A1059" i="81"/>
  <c r="H21" i="129"/>
  <c r="D549" i="140"/>
  <c r="D550" i="140"/>
  <c r="D552" i="140"/>
  <c r="D553" i="140"/>
  <c r="D542" i="140"/>
  <c r="D543" i="140"/>
  <c r="D544" i="140"/>
  <c r="D541" i="140"/>
  <c r="D442" i="140"/>
  <c r="D444" i="140"/>
  <c r="D445" i="140"/>
  <c r="D433" i="140"/>
  <c r="D434" i="140"/>
  <c r="D436" i="140"/>
  <c r="D437" i="140"/>
  <c r="D424" i="140"/>
  <c r="D425" i="140"/>
  <c r="D426" i="140"/>
  <c r="D428" i="140"/>
  <c r="D423" i="140"/>
  <c r="D124" i="140"/>
  <c r="D123" i="140"/>
  <c r="D115" i="140"/>
  <c r="D116" i="140"/>
  <c r="D117" i="140"/>
  <c r="D118" i="140"/>
  <c r="D119" i="140"/>
  <c r="D120" i="140"/>
  <c r="D121" i="140"/>
  <c r="D107" i="140"/>
  <c r="D108" i="140"/>
  <c r="D109" i="140"/>
  <c r="D110" i="140"/>
  <c r="D106" i="140"/>
  <c r="C56" i="81"/>
  <c r="D551" i="140"/>
  <c r="D547" i="140"/>
  <c r="D159" i="86"/>
  <c r="D99" i="86"/>
  <c r="D435" i="140"/>
  <c r="D431" i="140"/>
  <c r="D430" i="140"/>
  <c r="D427" i="140"/>
  <c r="D545" i="140"/>
  <c r="D559" i="140" s="1"/>
  <c r="D545" i="152"/>
  <c r="D559" i="152" s="1"/>
  <c r="D439" i="140"/>
  <c r="D439" i="152"/>
  <c r="E85" i="81"/>
  <c r="E46" i="81"/>
  <c r="D731" i="121"/>
  <c r="D710" i="121"/>
  <c r="D112" i="140"/>
  <c r="E86" i="81"/>
  <c r="G32" i="81"/>
  <c r="G33" i="81" s="1"/>
  <c r="E31" i="81"/>
  <c r="F31" i="81" s="1"/>
  <c r="F33" i="81" s="1"/>
  <c r="H33" i="81"/>
  <c r="D162" i="86"/>
  <c r="D539" i="140"/>
  <c r="D548" i="140"/>
  <c r="D548" i="152"/>
  <c r="D432" i="140"/>
  <c r="D421" i="140"/>
  <c r="E110" i="81"/>
  <c r="G110" i="81"/>
  <c r="G112" i="81" s="1"/>
  <c r="F112" i="81"/>
  <c r="D114" i="140"/>
  <c r="D113" i="140"/>
  <c r="D104" i="140"/>
  <c r="E637" i="139"/>
  <c r="G637" i="139"/>
  <c r="E622" i="139"/>
  <c r="H640" i="139"/>
  <c r="E639" i="139"/>
  <c r="I639" i="139" s="1"/>
  <c r="I640" i="139"/>
  <c r="E638" i="139"/>
  <c r="G638" i="139" s="1"/>
  <c r="G632" i="139"/>
  <c r="H630" i="139"/>
  <c r="E631" i="139" s="1"/>
  <c r="I631" i="139" s="1"/>
  <c r="G640" i="139"/>
  <c r="B640" i="139" s="1"/>
  <c r="B641" i="139" s="1"/>
  <c r="E439" i="125" s="1"/>
  <c r="H632" i="139"/>
  <c r="B632" i="139" s="1"/>
  <c r="B633" i="139" s="1"/>
  <c r="I632" i="139"/>
  <c r="E130" i="6"/>
  <c r="I130" i="6" s="1"/>
  <c r="E116" i="6"/>
  <c r="E102" i="6"/>
  <c r="E88" i="6"/>
  <c r="E74" i="6"/>
  <c r="E60" i="6"/>
  <c r="E46" i="6"/>
  <c r="E32" i="6"/>
  <c r="I32" i="6" s="1"/>
  <c r="E18" i="6"/>
  <c r="E389" i="125"/>
  <c r="H625" i="139"/>
  <c r="E624" i="139"/>
  <c r="I624" i="139"/>
  <c r="I625" i="139"/>
  <c r="E623" i="139"/>
  <c r="G623" i="139" s="1"/>
  <c r="G625" i="139" s="1"/>
  <c r="B625" i="139" s="1"/>
  <c r="B626" i="139" s="1"/>
  <c r="E438" i="125" s="1"/>
  <c r="G622" i="139"/>
  <c r="G617" i="139"/>
  <c r="H615" i="139"/>
  <c r="H617" i="139" s="1"/>
  <c r="O275" i="142"/>
  <c r="O274" i="142"/>
  <c r="E395" i="140"/>
  <c r="F395" i="140" s="1"/>
  <c r="O210" i="142"/>
  <c r="O206" i="142"/>
  <c r="O202" i="142"/>
  <c r="O198" i="142"/>
  <c r="O194" i="142"/>
  <c r="O190" i="142"/>
  <c r="O186" i="142"/>
  <c r="O278" i="142"/>
  <c r="O277" i="142"/>
  <c r="O272" i="142"/>
  <c r="O271" i="142"/>
  <c r="O269" i="142"/>
  <c r="O268" i="142"/>
  <c r="O266" i="142"/>
  <c r="O265" i="142"/>
  <c r="O263" i="142"/>
  <c r="O261" i="142"/>
  <c r="O259" i="142"/>
  <c r="O257" i="142"/>
  <c r="O255" i="142"/>
  <c r="O253" i="142"/>
  <c r="O251" i="142"/>
  <c r="O249" i="142"/>
  <c r="O247" i="142"/>
  <c r="O245" i="142"/>
  <c r="O243" i="142"/>
  <c r="O241" i="142"/>
  <c r="O239" i="142"/>
  <c r="O237" i="142"/>
  <c r="O236" i="142"/>
  <c r="O234" i="142"/>
  <c r="O232" i="142"/>
  <c r="O231" i="142"/>
  <c r="O229" i="142"/>
  <c r="O227" i="142"/>
  <c r="O225" i="142"/>
  <c r="O223" i="142"/>
  <c r="O222" i="142"/>
  <c r="O220" i="142"/>
  <c r="O219" i="142"/>
  <c r="O217" i="142"/>
  <c r="O216" i="142"/>
  <c r="O212" i="142"/>
  <c r="O208" i="142"/>
  <c r="O204" i="142"/>
  <c r="O200" i="142"/>
  <c r="O196" i="142"/>
  <c r="O192" i="142"/>
  <c r="O188" i="142"/>
  <c r="O175" i="142"/>
  <c r="O171" i="142"/>
  <c r="O169" i="142"/>
  <c r="O167" i="142"/>
  <c r="O165" i="142"/>
  <c r="O164" i="142"/>
  <c r="O162" i="142"/>
  <c r="O161" i="142"/>
  <c r="O159" i="142"/>
  <c r="O157" i="142"/>
  <c r="O155" i="142"/>
  <c r="O154" i="142"/>
  <c r="O153" i="142"/>
  <c r="O151" i="142"/>
  <c r="O149" i="142"/>
  <c r="O147" i="142"/>
  <c r="O145" i="142"/>
  <c r="O143" i="142"/>
  <c r="O141" i="142"/>
  <c r="O139" i="142"/>
  <c r="O137" i="142"/>
  <c r="O135" i="142"/>
  <c r="O133" i="142"/>
  <c r="O132" i="142"/>
  <c r="O130" i="142"/>
  <c r="O126" i="142"/>
  <c r="O124" i="142"/>
  <c r="O122" i="142"/>
  <c r="O120" i="142"/>
  <c r="O119" i="142"/>
  <c r="O117" i="142"/>
  <c r="O116" i="142"/>
  <c r="O114" i="142"/>
  <c r="O112" i="142"/>
  <c r="O110" i="142"/>
  <c r="O108" i="142"/>
  <c r="O106" i="142"/>
  <c r="O104" i="142"/>
  <c r="O102" i="142"/>
  <c r="O100" i="142"/>
  <c r="O98" i="142"/>
  <c r="O96" i="142"/>
  <c r="O94" i="142"/>
  <c r="O92" i="142"/>
  <c r="O90" i="142"/>
  <c r="O88" i="142"/>
  <c r="O86" i="142"/>
  <c r="O85" i="142"/>
  <c r="O83" i="142"/>
  <c r="O81" i="142"/>
  <c r="O79" i="142"/>
  <c r="O77" i="142"/>
  <c r="O75" i="142"/>
  <c r="O74" i="142"/>
  <c r="O72" i="142"/>
  <c r="O70" i="142"/>
  <c r="O68" i="142"/>
  <c r="O66" i="142"/>
  <c r="O64" i="142"/>
  <c r="O62" i="142"/>
  <c r="O60" i="142"/>
  <c r="O58" i="142"/>
  <c r="O56" i="142"/>
  <c r="O54" i="142"/>
  <c r="O52" i="142"/>
  <c r="O50" i="142"/>
  <c r="O49" i="142"/>
  <c r="O47" i="142"/>
  <c r="O45" i="142"/>
  <c r="O43" i="142"/>
  <c r="O41" i="142"/>
  <c r="O38" i="142"/>
  <c r="O36" i="142"/>
  <c r="O35" i="142"/>
  <c r="O33" i="142"/>
  <c r="O31" i="142"/>
  <c r="O29" i="142"/>
  <c r="O27" i="142"/>
  <c r="O25" i="142"/>
  <c r="O23" i="142"/>
  <c r="O21" i="142"/>
  <c r="O19" i="142"/>
  <c r="O17" i="142"/>
  <c r="O15" i="142"/>
  <c r="O13" i="142"/>
  <c r="O11" i="142"/>
  <c r="O9" i="142"/>
  <c r="O7" i="142"/>
  <c r="F438" i="125"/>
  <c r="O39" i="142"/>
  <c r="G125" i="81"/>
  <c r="G531" i="81"/>
  <c r="F821" i="81"/>
  <c r="F823" i="81" s="1"/>
  <c r="I823" i="81"/>
  <c r="H823" i="81"/>
  <c r="F529" i="81"/>
  <c r="F531" i="81" s="1"/>
  <c r="B531" i="81" s="1"/>
  <c r="B532" i="81" s="1"/>
  <c r="E97" i="86" s="1"/>
  <c r="I531" i="81"/>
  <c r="H531" i="81"/>
  <c r="F123" i="81"/>
  <c r="F125" i="81" s="1"/>
  <c r="I125" i="81"/>
  <c r="H125" i="81"/>
  <c r="E117" i="81"/>
  <c r="F117" i="81" s="1"/>
  <c r="F118" i="81" s="1"/>
  <c r="H118" i="81"/>
  <c r="I118" i="81"/>
  <c r="G118" i="81"/>
  <c r="B118" i="81"/>
  <c r="B119" i="81" s="1"/>
  <c r="B125" i="81"/>
  <c r="B126" i="81" s="1"/>
  <c r="E31" i="86" s="1"/>
  <c r="E121" i="152" s="1"/>
  <c r="F121" i="152" s="1"/>
  <c r="E437" i="152"/>
  <c r="F437" i="152" s="1"/>
  <c r="H702" i="139"/>
  <c r="F702" i="139"/>
  <c r="I701" i="139"/>
  <c r="I702" i="139"/>
  <c r="G700" i="139"/>
  <c r="G699" i="139"/>
  <c r="G698" i="139"/>
  <c r="G702" i="139" s="1"/>
  <c r="B702" i="139" s="1"/>
  <c r="B703" i="139" s="1"/>
  <c r="E329" i="125" s="1"/>
  <c r="G693" i="139"/>
  <c r="F693" i="139"/>
  <c r="C692" i="139"/>
  <c r="H692" i="139"/>
  <c r="C691" i="139"/>
  <c r="H685" i="139"/>
  <c r="F685" i="139"/>
  <c r="I684" i="139"/>
  <c r="I685" i="139"/>
  <c r="G683" i="139"/>
  <c r="G682" i="139"/>
  <c r="G681" i="139"/>
  <c r="G685" i="139" s="1"/>
  <c r="G676" i="139"/>
  <c r="F676" i="139"/>
  <c r="C675" i="139"/>
  <c r="H675" i="139"/>
  <c r="C674" i="139"/>
  <c r="C647" i="139"/>
  <c r="C646" i="139"/>
  <c r="G655" i="139"/>
  <c r="I668" i="139"/>
  <c r="H668" i="139"/>
  <c r="F668" i="139"/>
  <c r="G667" i="139"/>
  <c r="G666" i="139"/>
  <c r="G665" i="139"/>
  <c r="G664" i="139"/>
  <c r="G663" i="139"/>
  <c r="G662" i="139"/>
  <c r="G661" i="139"/>
  <c r="G660" i="139"/>
  <c r="G659" i="139"/>
  <c r="G658" i="139"/>
  <c r="G657" i="139"/>
  <c r="G656" i="139"/>
  <c r="G654" i="139"/>
  <c r="G653" i="139"/>
  <c r="G648" i="139"/>
  <c r="F648" i="139"/>
  <c r="D217" i="140"/>
  <c r="D216" i="140"/>
  <c r="D215" i="140"/>
  <c r="D214" i="140"/>
  <c r="A856" i="140"/>
  <c r="A809" i="140"/>
  <c r="A732" i="140"/>
  <c r="A695" i="140"/>
  <c r="A681" i="140"/>
  <c r="A585" i="140"/>
  <c r="D558" i="140"/>
  <c r="D557" i="140"/>
  <c r="D556" i="140"/>
  <c r="D474" i="140"/>
  <c r="D473" i="140"/>
  <c r="D248" i="140"/>
  <c r="D247" i="140"/>
  <c r="D166" i="140"/>
  <c r="D475" i="140"/>
  <c r="H555" i="130"/>
  <c r="F555" i="130"/>
  <c r="I554" i="130"/>
  <c r="I555" i="130" s="1"/>
  <c r="G552" i="130"/>
  <c r="H539" i="130"/>
  <c r="F539" i="130"/>
  <c r="I538" i="130"/>
  <c r="I539" i="130" s="1"/>
  <c r="G537" i="130"/>
  <c r="G535" i="130"/>
  <c r="H522" i="130"/>
  <c r="F522" i="130"/>
  <c r="I521" i="130"/>
  <c r="I522" i="130"/>
  <c r="G520" i="130"/>
  <c r="H507" i="130"/>
  <c r="F507" i="130"/>
  <c r="I506" i="130"/>
  <c r="I507" i="130" s="1"/>
  <c r="G505" i="130"/>
  <c r="G547" i="130"/>
  <c r="F547" i="130"/>
  <c r="G530" i="130"/>
  <c r="F530" i="130"/>
  <c r="G515" i="130"/>
  <c r="F515" i="130"/>
  <c r="G500" i="130"/>
  <c r="F500" i="130"/>
  <c r="K496" i="130"/>
  <c r="G507" i="130"/>
  <c r="G522" i="130"/>
  <c r="F492" i="130"/>
  <c r="C490" i="130"/>
  <c r="C489" i="130"/>
  <c r="F483" i="130"/>
  <c r="C481" i="130"/>
  <c r="C480" i="130"/>
  <c r="G478" i="130"/>
  <c r="E465" i="130"/>
  <c r="G465" i="130" s="1"/>
  <c r="F473" i="130"/>
  <c r="C471" i="130"/>
  <c r="C470" i="130"/>
  <c r="G469" i="130"/>
  <c r="G468" i="130"/>
  <c r="F460" i="130"/>
  <c r="C458" i="130"/>
  <c r="C457" i="130"/>
  <c r="G456" i="130"/>
  <c r="G460" i="130"/>
  <c r="F451" i="130"/>
  <c r="C449" i="130"/>
  <c r="C448" i="130"/>
  <c r="G447" i="130"/>
  <c r="G451" i="130" s="1"/>
  <c r="F442" i="130"/>
  <c r="C440" i="130"/>
  <c r="C439" i="130"/>
  <c r="G438" i="130"/>
  <c r="G442" i="130" s="1"/>
  <c r="F433" i="130"/>
  <c r="C431" i="130"/>
  <c r="C430" i="130"/>
  <c r="F424" i="130"/>
  <c r="C422" i="130"/>
  <c r="C421" i="130"/>
  <c r="G420" i="130"/>
  <c r="E407" i="130"/>
  <c r="G407" i="130" s="1"/>
  <c r="F414" i="130"/>
  <c r="C412" i="130"/>
  <c r="C411" i="130"/>
  <c r="G410" i="130"/>
  <c r="E396" i="130"/>
  <c r="G396" i="130" s="1"/>
  <c r="F402" i="130"/>
  <c r="C400" i="130"/>
  <c r="C399" i="130"/>
  <c r="E383" i="130"/>
  <c r="G383" i="130" s="1"/>
  <c r="F391" i="130"/>
  <c r="C389" i="130"/>
  <c r="C388" i="130"/>
  <c r="G387" i="130"/>
  <c r="G386" i="130"/>
  <c r="F378" i="130"/>
  <c r="C376" i="130"/>
  <c r="C375" i="130"/>
  <c r="G373" i="130"/>
  <c r="F368" i="130"/>
  <c r="C366" i="130"/>
  <c r="C365" i="130"/>
  <c r="G363" i="130"/>
  <c r="E350" i="130"/>
  <c r="G350" i="130" s="1"/>
  <c r="E349" i="130"/>
  <c r="F349" i="130" s="1"/>
  <c r="F358" i="130" s="1"/>
  <c r="C356" i="130"/>
  <c r="C355" i="130"/>
  <c r="G354" i="130"/>
  <c r="G353" i="130"/>
  <c r="G352" i="130"/>
  <c r="G351" i="130"/>
  <c r="D77" i="125"/>
  <c r="D78" i="125"/>
  <c r="D79" i="125"/>
  <c r="D76" i="125"/>
  <c r="E607" i="139"/>
  <c r="H610" i="139"/>
  <c r="B610" i="139" s="1"/>
  <c r="B611" i="139" s="1"/>
  <c r="E437" i="125" s="1"/>
  <c r="E609" i="139"/>
  <c r="I609" i="139" s="1"/>
  <c r="I610" i="139" s="1"/>
  <c r="E608" i="139"/>
  <c r="G608" i="139" s="1"/>
  <c r="G610" i="139" s="1"/>
  <c r="G607" i="139"/>
  <c r="G602" i="139"/>
  <c r="H600" i="139"/>
  <c r="H602" i="139" s="1"/>
  <c r="E1386" i="137"/>
  <c r="H1389" i="137"/>
  <c r="E1388" i="137"/>
  <c r="I1388" i="137"/>
  <c r="I1389" i="137" s="1"/>
  <c r="E1387" i="137"/>
  <c r="G1387" i="137" s="1"/>
  <c r="G1386" i="137"/>
  <c r="G1381" i="137"/>
  <c r="B1381" i="137" s="1"/>
  <c r="E58" i="118" s="1"/>
  <c r="F58" i="118" s="1"/>
  <c r="H1379" i="137"/>
  <c r="D288" i="125"/>
  <c r="H1552" i="130"/>
  <c r="F1552" i="130"/>
  <c r="E1551" i="130"/>
  <c r="I1551" i="130" s="1"/>
  <c r="I1552" i="130" s="1"/>
  <c r="G1550" i="130"/>
  <c r="G1552" i="130"/>
  <c r="K1547" i="130"/>
  <c r="G1545" i="130"/>
  <c r="F1545" i="130"/>
  <c r="H1036" i="130"/>
  <c r="F1036" i="130"/>
  <c r="E1035" i="130"/>
  <c r="I1035" i="130" s="1"/>
  <c r="I1036" i="130" s="1"/>
  <c r="G1034" i="130"/>
  <c r="G1036" i="130" s="1"/>
  <c r="K1031" i="130"/>
  <c r="D153" i="125"/>
  <c r="D151" i="125"/>
  <c r="D148" i="125"/>
  <c r="D147" i="125"/>
  <c r="D146" i="125"/>
  <c r="D145" i="125"/>
  <c r="D723" i="140" s="1"/>
  <c r="D143" i="125"/>
  <c r="D144" i="125"/>
  <c r="D722" i="152" s="1"/>
  <c r="D142" i="125"/>
  <c r="D721" i="140"/>
  <c r="D721" i="152"/>
  <c r="D724" i="140"/>
  <c r="D724" i="152"/>
  <c r="D731" i="140"/>
  <c r="D731" i="152"/>
  <c r="D722" i="140"/>
  <c r="D767" i="140"/>
  <c r="D767" i="152"/>
  <c r="D720" i="140"/>
  <c r="D720" i="152"/>
  <c r="D725" i="140"/>
  <c r="D725" i="152"/>
  <c r="D723" i="152"/>
  <c r="H1381" i="137"/>
  <c r="E1380" i="137"/>
  <c r="I1380" i="137" s="1"/>
  <c r="I1381" i="137" s="1"/>
  <c r="G1389" i="137"/>
  <c r="B1389" i="137" s="1"/>
  <c r="E113" i="118" s="1"/>
  <c r="D140" i="125"/>
  <c r="D139" i="125"/>
  <c r="D717" i="140" s="1"/>
  <c r="D138" i="125"/>
  <c r="D716" i="152" s="1"/>
  <c r="G1029" i="130"/>
  <c r="F1029" i="130"/>
  <c r="D718" i="140"/>
  <c r="D718" i="152"/>
  <c r="D716" i="140"/>
  <c r="D717" i="152"/>
  <c r="F55" i="140"/>
  <c r="F54" i="140"/>
  <c r="E175" i="146" s="1"/>
  <c r="I175" i="146" s="1"/>
  <c r="H868" i="130"/>
  <c r="F868" i="130"/>
  <c r="G866" i="130"/>
  <c r="G868" i="130"/>
  <c r="E243" i="130"/>
  <c r="E180" i="81"/>
  <c r="E233" i="81"/>
  <c r="G233" i="81"/>
  <c r="B33" i="142"/>
  <c r="K817" i="139"/>
  <c r="C1066" i="130"/>
  <c r="C1065" i="130"/>
  <c r="G1072" i="130"/>
  <c r="G1071" i="130"/>
  <c r="G1070" i="130"/>
  <c r="F1062" i="130"/>
  <c r="E1069" i="130"/>
  <c r="I1069" i="130" s="1"/>
  <c r="E1068" i="130"/>
  <c r="G1068" i="130" s="1"/>
  <c r="G1064" i="130"/>
  <c r="G1063" i="130"/>
  <c r="E1061" i="130"/>
  <c r="F1061" i="130" s="1"/>
  <c r="E1059" i="130"/>
  <c r="E481" i="125"/>
  <c r="E486" i="125"/>
  <c r="F486" i="125" s="1"/>
  <c r="F1059" i="130"/>
  <c r="H595" i="139"/>
  <c r="F595" i="139"/>
  <c r="I594" i="139"/>
  <c r="I595" i="139" s="1"/>
  <c r="G593" i="139"/>
  <c r="G592" i="139"/>
  <c r="G595" i="139" s="1"/>
  <c r="G591" i="139"/>
  <c r="G590" i="139"/>
  <c r="I585" i="139"/>
  <c r="C583" i="139"/>
  <c r="E582" i="139"/>
  <c r="C582" i="139"/>
  <c r="F1364" i="137"/>
  <c r="H1364" i="137"/>
  <c r="G1360" i="137"/>
  <c r="G1361" i="137"/>
  <c r="G1362" i="137"/>
  <c r="G1359" i="137"/>
  <c r="G1364" i="137" s="1"/>
  <c r="B1364" i="137" s="1"/>
  <c r="B1365" i="137" s="1"/>
  <c r="E111" i="118" s="1"/>
  <c r="I1363" i="137"/>
  <c r="I1364" i="137" s="1"/>
  <c r="C1352" i="137"/>
  <c r="C1351" i="137"/>
  <c r="E1351" i="137"/>
  <c r="H1351" i="137" s="1"/>
  <c r="I1354" i="137"/>
  <c r="E871" i="140"/>
  <c r="F871" i="140" s="1"/>
  <c r="E871" i="152"/>
  <c r="F871" i="152" s="1"/>
  <c r="E868" i="152"/>
  <c r="F868" i="152" s="1"/>
  <c r="H582" i="139"/>
  <c r="H952" i="137"/>
  <c r="H805" i="137"/>
  <c r="F805" i="137"/>
  <c r="G1374" i="137"/>
  <c r="F1374" i="137"/>
  <c r="C1373" i="137"/>
  <c r="H1373" i="137"/>
  <c r="C1372" i="137"/>
  <c r="H1372" i="137"/>
  <c r="H1374" i="137" s="1"/>
  <c r="I1371" i="137"/>
  <c r="I1370" i="137"/>
  <c r="I1369" i="137"/>
  <c r="H1346" i="137"/>
  <c r="F1346" i="137"/>
  <c r="I1345" i="137"/>
  <c r="I1346" i="137" s="1"/>
  <c r="G1344" i="137"/>
  <c r="G1346" i="137" s="1"/>
  <c r="G1339" i="137"/>
  <c r="F1339" i="137"/>
  <c r="H1331" i="137"/>
  <c r="I1330" i="137"/>
  <c r="I1331" i="137"/>
  <c r="G1329" i="137"/>
  <c r="G1328" i="137"/>
  <c r="G1327" i="137"/>
  <c r="I1322" i="137"/>
  <c r="H1319" i="137"/>
  <c r="H1314" i="137"/>
  <c r="I1313" i="137"/>
  <c r="I1314" i="137"/>
  <c r="G1312" i="137"/>
  <c r="G1311" i="137"/>
  <c r="I1306" i="137"/>
  <c r="C1304" i="137"/>
  <c r="C1303" i="137"/>
  <c r="H1303" i="137" s="1"/>
  <c r="H1298" i="137"/>
  <c r="I1297" i="137"/>
  <c r="I1298" i="137" s="1"/>
  <c r="B1298" i="137" s="1"/>
  <c r="B1299" i="137" s="1"/>
  <c r="E105" i="118" s="1"/>
  <c r="G1296" i="137"/>
  <c r="G1298" i="137" s="1"/>
  <c r="I1291" i="137"/>
  <c r="C1289" i="137"/>
  <c r="C1288" i="137"/>
  <c r="H1288" i="137" s="1"/>
  <c r="H1283" i="137"/>
  <c r="I1282" i="137"/>
  <c r="I1283" i="137" s="1"/>
  <c r="B1283" i="137" s="1"/>
  <c r="B1284" i="137" s="1"/>
  <c r="E104" i="118" s="1"/>
  <c r="G1281" i="137"/>
  <c r="G1283" i="137"/>
  <c r="I1276" i="137"/>
  <c r="C1274" i="137"/>
  <c r="C1273" i="137"/>
  <c r="H1273" i="137"/>
  <c r="H1268" i="137"/>
  <c r="I1267" i="137"/>
  <c r="I1268" i="137" s="1"/>
  <c r="G1266" i="137"/>
  <c r="G1265" i="137"/>
  <c r="G1264" i="137"/>
  <c r="G1263" i="137"/>
  <c r="G1262" i="137"/>
  <c r="G1261" i="137"/>
  <c r="I1256" i="137"/>
  <c r="C1254" i="137"/>
  <c r="C1253" i="137"/>
  <c r="H1253" i="137" s="1"/>
  <c r="H1248" i="137"/>
  <c r="I1247" i="137"/>
  <c r="I1248" i="137"/>
  <c r="G1246" i="137"/>
  <c r="G1245" i="137"/>
  <c r="G1244" i="137"/>
  <c r="G1243" i="137"/>
  <c r="G1242" i="137"/>
  <c r="G1241" i="137"/>
  <c r="G1248" i="137" s="1"/>
  <c r="G1240" i="137"/>
  <c r="I1235" i="137"/>
  <c r="C1233" i="137"/>
  <c r="C1232" i="137"/>
  <c r="H1232" i="137" s="1"/>
  <c r="H1227" i="137"/>
  <c r="I1226" i="137"/>
  <c r="I1227" i="137" s="1"/>
  <c r="G1225" i="137"/>
  <c r="G1224" i="137"/>
  <c r="G1223" i="137"/>
  <c r="G1222" i="137"/>
  <c r="G1221" i="137"/>
  <c r="G1227" i="137" s="1"/>
  <c r="G1220" i="137"/>
  <c r="I1215" i="137"/>
  <c r="C1213" i="137"/>
  <c r="C1212" i="137"/>
  <c r="H1212" i="137" s="1"/>
  <c r="H1207" i="137"/>
  <c r="I1206" i="137"/>
  <c r="I1207" i="137"/>
  <c r="B1207" i="137" s="1"/>
  <c r="B1208" i="137" s="1"/>
  <c r="E100" i="118" s="1"/>
  <c r="G1205" i="137"/>
  <c r="G1204" i="137"/>
  <c r="G1203" i="137"/>
  <c r="I1198" i="137"/>
  <c r="C1196" i="137"/>
  <c r="C1195" i="137"/>
  <c r="H1195" i="137" s="1"/>
  <c r="H1190" i="137"/>
  <c r="I1189" i="137"/>
  <c r="I1190" i="137" s="1"/>
  <c r="G1188" i="137"/>
  <c r="G1187" i="137"/>
  <c r="G1186" i="137"/>
  <c r="I1181" i="137"/>
  <c r="C1179" i="137"/>
  <c r="C1178" i="137"/>
  <c r="H1178" i="137" s="1"/>
  <c r="H1173" i="137"/>
  <c r="I1172" i="137"/>
  <c r="I1173" i="137"/>
  <c r="G1171" i="137"/>
  <c r="G1170" i="137"/>
  <c r="G1169" i="137"/>
  <c r="I1164" i="137"/>
  <c r="C1162" i="137"/>
  <c r="C1161" i="137"/>
  <c r="H1161" i="137" s="1"/>
  <c r="H1156" i="137"/>
  <c r="I1155" i="137"/>
  <c r="I1156" i="137" s="1"/>
  <c r="G1154" i="137"/>
  <c r="G1153" i="137"/>
  <c r="G1156" i="137" s="1"/>
  <c r="I1148" i="137"/>
  <c r="C1146" i="137"/>
  <c r="C1145" i="137"/>
  <c r="H1145" i="137"/>
  <c r="H1140" i="137"/>
  <c r="I1139" i="137"/>
  <c r="I1140" i="137" s="1"/>
  <c r="G1138" i="137"/>
  <c r="G1140" i="137" s="1"/>
  <c r="I1133" i="137"/>
  <c r="C1131" i="137"/>
  <c r="C1130" i="137"/>
  <c r="H1130" i="137" s="1"/>
  <c r="H1125" i="137"/>
  <c r="I1124" i="137"/>
  <c r="I1125" i="137"/>
  <c r="G1123" i="137"/>
  <c r="G1122" i="137"/>
  <c r="I1117" i="137"/>
  <c r="C1115" i="137"/>
  <c r="C1114" i="137"/>
  <c r="H1114" i="137" s="1"/>
  <c r="F1109" i="137"/>
  <c r="I1108" i="137"/>
  <c r="I1109" i="137" s="1"/>
  <c r="G1107" i="137"/>
  <c r="G1106" i="137"/>
  <c r="G1105" i="137"/>
  <c r="G1104" i="137"/>
  <c r="G1103" i="137"/>
  <c r="G1102" i="137"/>
  <c r="G1101" i="137"/>
  <c r="G1100" i="137"/>
  <c r="G1099" i="137"/>
  <c r="G1098" i="137"/>
  <c r="G1097" i="137"/>
  <c r="G1096" i="137"/>
  <c r="G1095" i="137"/>
  <c r="G1094" i="137"/>
  <c r="G1093" i="137"/>
  <c r="G1092" i="137"/>
  <c r="G1091" i="137"/>
  <c r="G1090" i="137"/>
  <c r="G1089" i="137"/>
  <c r="G1088" i="137"/>
  <c r="G1087" i="137"/>
  <c r="G1082" i="137"/>
  <c r="F1082" i="137"/>
  <c r="C1080" i="137"/>
  <c r="F1074" i="137"/>
  <c r="I1073" i="137"/>
  <c r="I1074" i="137"/>
  <c r="G1072" i="137"/>
  <c r="G1074" i="137" s="1"/>
  <c r="G1067" i="137"/>
  <c r="C1065" i="137"/>
  <c r="C1066" i="137" s="1"/>
  <c r="E1064" i="137"/>
  <c r="F1064" i="137" s="1"/>
  <c r="F1067" i="137" s="1"/>
  <c r="F1058" i="137"/>
  <c r="I1057" i="137"/>
  <c r="I1058" i="137" s="1"/>
  <c r="B1058" i="137" s="1"/>
  <c r="B1059" i="137" s="1"/>
  <c r="E88" i="118" s="1"/>
  <c r="G1056" i="137"/>
  <c r="G1058" i="137" s="1"/>
  <c r="G1051" i="137"/>
  <c r="F1051" i="137"/>
  <c r="C1049" i="137"/>
  <c r="C1050" i="137" s="1"/>
  <c r="F1043" i="137"/>
  <c r="I1042" i="137"/>
  <c r="I1043" i="137" s="1"/>
  <c r="G1041" i="137"/>
  <c r="G1040" i="137"/>
  <c r="G1043" i="137" s="1"/>
  <c r="G1035" i="137"/>
  <c r="F1035" i="137"/>
  <c r="C1033" i="137"/>
  <c r="F1027" i="137"/>
  <c r="B1027" i="137" s="1"/>
  <c r="B1028" i="137" s="1"/>
  <c r="E85" i="118" s="1"/>
  <c r="I1026" i="137"/>
  <c r="I1027" i="137" s="1"/>
  <c r="G1025" i="137"/>
  <c r="G1024" i="137"/>
  <c r="G1027" i="137" s="1"/>
  <c r="G1019" i="137"/>
  <c r="F1019" i="137"/>
  <c r="C1017" i="137"/>
  <c r="C1018" i="137"/>
  <c r="F1011" i="137"/>
  <c r="I1010" i="137"/>
  <c r="I1011" i="137" s="1"/>
  <c r="G1009" i="137"/>
  <c r="G1008" i="137"/>
  <c r="G1007" i="137"/>
  <c r="G1006" i="137"/>
  <c r="G1005" i="137"/>
  <c r="G1011" i="137" s="1"/>
  <c r="B1011" i="137" s="1"/>
  <c r="B1012" i="137" s="1"/>
  <c r="E83" i="118" s="1"/>
  <c r="G1004" i="137"/>
  <c r="G1003" i="137"/>
  <c r="G998" i="137"/>
  <c r="F998" i="137"/>
  <c r="C996" i="137"/>
  <c r="C997" i="137" s="1"/>
  <c r="F990" i="137"/>
  <c r="I989" i="137"/>
  <c r="I990" i="137"/>
  <c r="G988" i="137"/>
  <c r="G987" i="137"/>
  <c r="G986" i="137"/>
  <c r="G981" i="137"/>
  <c r="F981" i="137"/>
  <c r="C980" i="137"/>
  <c r="H979" i="137"/>
  <c r="I973" i="137"/>
  <c r="H973" i="137"/>
  <c r="F973" i="137"/>
  <c r="I972" i="137"/>
  <c r="I952" i="137"/>
  <c r="G971" i="137"/>
  <c r="G970" i="137"/>
  <c r="G969" i="137"/>
  <c r="G968" i="137"/>
  <c r="G967" i="137"/>
  <c r="G962" i="137"/>
  <c r="C960" i="137"/>
  <c r="C959" i="137"/>
  <c r="C961" i="137" s="1"/>
  <c r="H961" i="137" s="1"/>
  <c r="F958" i="137"/>
  <c r="F962" i="137" s="1"/>
  <c r="F952" i="137"/>
  <c r="G951" i="137"/>
  <c r="G950" i="137"/>
  <c r="G949" i="137"/>
  <c r="G948" i="137"/>
  <c r="G943" i="137"/>
  <c r="C941" i="137"/>
  <c r="H941" i="137" s="1"/>
  <c r="C940" i="137"/>
  <c r="C942" i="137"/>
  <c r="H942" i="137" s="1"/>
  <c r="F939" i="137"/>
  <c r="F943" i="137" s="1"/>
  <c r="H933" i="137"/>
  <c r="F933" i="137"/>
  <c r="I932" i="137"/>
  <c r="I933" i="137" s="1"/>
  <c r="G931" i="137"/>
  <c r="G930" i="137"/>
  <c r="G929" i="137"/>
  <c r="G928" i="137"/>
  <c r="G927" i="137"/>
  <c r="G926" i="137"/>
  <c r="G925" i="137"/>
  <c r="G924" i="137"/>
  <c r="G919" i="137"/>
  <c r="F919" i="137"/>
  <c r="C917" i="137"/>
  <c r="C918" i="137" s="1"/>
  <c r="H911" i="137"/>
  <c r="F911" i="137"/>
  <c r="I910" i="137"/>
  <c r="I911" i="137" s="1"/>
  <c r="G909" i="137"/>
  <c r="G908" i="137"/>
  <c r="G907" i="137"/>
  <c r="G906" i="137"/>
  <c r="G905" i="137"/>
  <c r="G904" i="137"/>
  <c r="G903" i="137"/>
  <c r="G902" i="137"/>
  <c r="G897" i="137"/>
  <c r="F897" i="137"/>
  <c r="C895" i="137"/>
  <c r="C896" i="137" s="1"/>
  <c r="H888" i="137"/>
  <c r="F888" i="137"/>
  <c r="I887" i="137"/>
  <c r="I888" i="137" s="1"/>
  <c r="G886" i="137"/>
  <c r="G888" i="137" s="1"/>
  <c r="G881" i="137"/>
  <c r="C880" i="137"/>
  <c r="H880" i="137"/>
  <c r="C879" i="137"/>
  <c r="E878" i="137"/>
  <c r="F878" i="137" s="1"/>
  <c r="E877" i="137"/>
  <c r="F877" i="137"/>
  <c r="H871" i="137"/>
  <c r="F871" i="137"/>
  <c r="I870" i="137"/>
  <c r="I871" i="137"/>
  <c r="G869" i="137"/>
  <c r="G868" i="137"/>
  <c r="G867" i="137"/>
  <c r="G866" i="137"/>
  <c r="G865" i="137"/>
  <c r="G864" i="137"/>
  <c r="G863" i="137"/>
  <c r="G862" i="137"/>
  <c r="G871" i="137" s="1"/>
  <c r="B871" i="137" s="1"/>
  <c r="B872" i="137" s="1"/>
  <c r="E72" i="118" s="1"/>
  <c r="G861" i="137"/>
  <c r="G856" i="137"/>
  <c r="F856" i="137"/>
  <c r="C855" i="137"/>
  <c r="H855" i="137" s="1"/>
  <c r="C854" i="137"/>
  <c r="H848" i="137"/>
  <c r="F848" i="137"/>
  <c r="I847" i="137"/>
  <c r="I848" i="137" s="1"/>
  <c r="G846" i="137"/>
  <c r="G845" i="137"/>
  <c r="G840" i="137"/>
  <c r="F840" i="137"/>
  <c r="H839" i="137"/>
  <c r="H832" i="137"/>
  <c r="F832" i="137"/>
  <c r="I831" i="137"/>
  <c r="I832" i="137" s="1"/>
  <c r="G830" i="137"/>
  <c r="G829" i="137"/>
  <c r="G828" i="137"/>
  <c r="G827" i="137"/>
  <c r="G826" i="137"/>
  <c r="G825" i="137"/>
  <c r="G824" i="137"/>
  <c r="G823" i="137"/>
  <c r="G822" i="137"/>
  <c r="G821" i="137"/>
  <c r="G816" i="137"/>
  <c r="C814" i="137"/>
  <c r="C813" i="137"/>
  <c r="H813" i="137" s="1"/>
  <c r="C812" i="137"/>
  <c r="H812" i="137" s="1"/>
  <c r="E811" i="137"/>
  <c r="F811" i="137" s="1"/>
  <c r="F816" i="137" s="1"/>
  <c r="E810" i="137"/>
  <c r="F810" i="137" s="1"/>
  <c r="I804" i="137"/>
  <c r="I805" i="137" s="1"/>
  <c r="G803" i="137"/>
  <c r="G802" i="137"/>
  <c r="G801" i="137"/>
  <c r="G800" i="137"/>
  <c r="G799" i="137"/>
  <c r="G798" i="137"/>
  <c r="G797" i="137"/>
  <c r="G796" i="137"/>
  <c r="G795" i="137"/>
  <c r="G805" i="137" s="1"/>
  <c r="G790" i="137"/>
  <c r="F790" i="137"/>
  <c r="C788" i="137"/>
  <c r="C787" i="137"/>
  <c r="H787" i="137" s="1"/>
  <c r="C779" i="137"/>
  <c r="H779" i="137" s="1"/>
  <c r="C778" i="137"/>
  <c r="H778" i="137" s="1"/>
  <c r="C777" i="137"/>
  <c r="H777" i="137" s="1"/>
  <c r="G772" i="137"/>
  <c r="C770" i="137"/>
  <c r="H770" i="137" s="1"/>
  <c r="C769" i="137"/>
  <c r="H769" i="137"/>
  <c r="C768" i="137"/>
  <c r="H768" i="137" s="1"/>
  <c r="I767" i="137"/>
  <c r="E766" i="137"/>
  <c r="F766" i="137" s="1"/>
  <c r="E765" i="137"/>
  <c r="F765" i="137" s="1"/>
  <c r="E764" i="137"/>
  <c r="F764" i="137" s="1"/>
  <c r="H759" i="137"/>
  <c r="F759" i="137"/>
  <c r="B759" i="137" s="1"/>
  <c r="B760" i="137" s="1"/>
  <c r="E67" i="118" s="1"/>
  <c r="I758" i="137"/>
  <c r="I759" i="137" s="1"/>
  <c r="G757" i="137"/>
  <c r="G756" i="137"/>
  <c r="G755" i="137"/>
  <c r="G754" i="137"/>
  <c r="G753" i="137"/>
  <c r="G752" i="137"/>
  <c r="G751" i="137"/>
  <c r="G750" i="137"/>
  <c r="G749" i="137"/>
  <c r="G748" i="137"/>
  <c r="G747" i="137"/>
  <c r="G759" i="137" s="1"/>
  <c r="G742" i="137"/>
  <c r="C740" i="137"/>
  <c r="C739" i="137"/>
  <c r="H739" i="137" s="1"/>
  <c r="C738" i="137"/>
  <c r="H738" i="137" s="1"/>
  <c r="E737" i="137"/>
  <c r="F737" i="137" s="1"/>
  <c r="E736" i="137"/>
  <c r="F736" i="137" s="1"/>
  <c r="H731" i="137"/>
  <c r="F731" i="137"/>
  <c r="I730" i="137"/>
  <c r="I731" i="137" s="1"/>
  <c r="G729" i="137"/>
  <c r="G728" i="137"/>
  <c r="G727" i="137"/>
  <c r="G726" i="137"/>
  <c r="G725" i="137"/>
  <c r="G724" i="137"/>
  <c r="G723" i="137"/>
  <c r="G722" i="137"/>
  <c r="G721" i="137"/>
  <c r="G720" i="137"/>
  <c r="G719" i="137"/>
  <c r="M718" i="137"/>
  <c r="G714" i="137"/>
  <c r="C712" i="137"/>
  <c r="C711" i="137"/>
  <c r="H711" i="137" s="1"/>
  <c r="C710" i="137"/>
  <c r="H710" i="137" s="1"/>
  <c r="E709" i="137"/>
  <c r="F709" i="137" s="1"/>
  <c r="E708" i="137"/>
  <c r="F708" i="137" s="1"/>
  <c r="G1314" i="137"/>
  <c r="B1314" i="137" s="1"/>
  <c r="B1315" i="137" s="1"/>
  <c r="E107" i="118" s="1"/>
  <c r="B1248" i="137"/>
  <c r="B1249" i="137" s="1"/>
  <c r="E102" i="118" s="1"/>
  <c r="F102" i="118" s="1"/>
  <c r="H1017" i="137"/>
  <c r="H1049" i="137"/>
  <c r="G1173" i="137"/>
  <c r="B1173" i="137" s="1"/>
  <c r="B1174" i="137" s="1"/>
  <c r="E97" i="118" s="1"/>
  <c r="G1109" i="137"/>
  <c r="B1109" i="137" s="1"/>
  <c r="B1110" i="137" s="1"/>
  <c r="E92" i="118" s="1"/>
  <c r="G1125" i="137"/>
  <c r="G1268" i="137"/>
  <c r="B1268" i="137" s="1"/>
  <c r="B1269" i="137" s="1"/>
  <c r="E103" i="118" s="1"/>
  <c r="F103" i="118" s="1"/>
  <c r="I1374" i="137"/>
  <c r="G731" i="137"/>
  <c r="B731" i="137" s="1"/>
  <c r="B732" i="137" s="1"/>
  <c r="E66" i="118" s="1"/>
  <c r="G832" i="137"/>
  <c r="C1034" i="137"/>
  <c r="H1033" i="137"/>
  <c r="G848" i="137"/>
  <c r="G911" i="137"/>
  <c r="G1207" i="137"/>
  <c r="G1331" i="137"/>
  <c r="B1331" i="137"/>
  <c r="B1332" i="137"/>
  <c r="E108" i="118" s="1"/>
  <c r="H1065" i="137"/>
  <c r="G990" i="137"/>
  <c r="B990" i="137" s="1"/>
  <c r="B991" i="137" s="1"/>
  <c r="E81" i="118" s="1"/>
  <c r="C1081" i="137"/>
  <c r="H1080" i="137"/>
  <c r="E630" i="152"/>
  <c r="F630" i="152" s="1"/>
  <c r="E614" i="140"/>
  <c r="F614" i="140" s="1"/>
  <c r="F613" i="140" s="1"/>
  <c r="E627" i="140"/>
  <c r="F627" i="140" s="1"/>
  <c r="F9" i="140"/>
  <c r="C6" i="139"/>
  <c r="C5" i="139"/>
  <c r="C4" i="139"/>
  <c r="G713" i="139"/>
  <c r="F713" i="139"/>
  <c r="C712" i="139"/>
  <c r="H712" i="139" s="1"/>
  <c r="C711" i="139"/>
  <c r="H711" i="139"/>
  <c r="H713" i="139" s="1"/>
  <c r="B713" i="139" s="1"/>
  <c r="I710" i="139"/>
  <c r="I709" i="139"/>
  <c r="I708" i="139"/>
  <c r="H577" i="139"/>
  <c r="F577" i="139"/>
  <c r="I576" i="139"/>
  <c r="I577" i="139"/>
  <c r="G575" i="139"/>
  <c r="G577" i="139" s="1"/>
  <c r="G570" i="139"/>
  <c r="F570" i="139"/>
  <c r="C569" i="139"/>
  <c r="C568" i="139"/>
  <c r="H562" i="139"/>
  <c r="F562" i="139"/>
  <c r="I561" i="139"/>
  <c r="I562" i="139" s="1"/>
  <c r="G560" i="139"/>
  <c r="G559" i="139"/>
  <c r="G558" i="139"/>
  <c r="G553" i="139"/>
  <c r="F553" i="139"/>
  <c r="C552" i="139"/>
  <c r="H552" i="139"/>
  <c r="C551" i="139"/>
  <c r="H545" i="139"/>
  <c r="F545" i="139"/>
  <c r="I544" i="139"/>
  <c r="I545" i="139" s="1"/>
  <c r="G543" i="139"/>
  <c r="G542" i="139"/>
  <c r="G537" i="139"/>
  <c r="F537" i="139"/>
  <c r="C536" i="139"/>
  <c r="H536" i="139"/>
  <c r="C535" i="139"/>
  <c r="H529" i="139"/>
  <c r="F529" i="139"/>
  <c r="I528" i="139"/>
  <c r="I529" i="139"/>
  <c r="G527" i="139"/>
  <c r="G529" i="139" s="1"/>
  <c r="G522" i="139"/>
  <c r="F522" i="139"/>
  <c r="C521" i="139"/>
  <c r="H521" i="139" s="1"/>
  <c r="C520" i="139"/>
  <c r="H514" i="139"/>
  <c r="F514" i="139"/>
  <c r="I513" i="139"/>
  <c r="I514" i="139"/>
  <c r="G512" i="139"/>
  <c r="G514" i="139" s="1"/>
  <c r="B514" i="139" s="1"/>
  <c r="B515" i="139" s="1"/>
  <c r="E428" i="125" s="1"/>
  <c r="G507" i="139"/>
  <c r="F507" i="139"/>
  <c r="C506" i="139"/>
  <c r="H506" i="139" s="1"/>
  <c r="C505" i="139"/>
  <c r="H499" i="139"/>
  <c r="F499" i="139"/>
  <c r="I498" i="139"/>
  <c r="I499" i="139" s="1"/>
  <c r="G497" i="139"/>
  <c r="G496" i="139"/>
  <c r="G495" i="139"/>
  <c r="G494" i="139"/>
  <c r="G493" i="139"/>
  <c r="G492" i="139"/>
  <c r="G487" i="139"/>
  <c r="F487" i="139"/>
  <c r="C486" i="139"/>
  <c r="H486" i="139"/>
  <c r="C485" i="139"/>
  <c r="I479" i="139"/>
  <c r="H479" i="139"/>
  <c r="F479" i="139"/>
  <c r="B479" i="139" s="1"/>
  <c r="B480" i="139" s="1"/>
  <c r="G477" i="139"/>
  <c r="G476" i="139"/>
  <c r="G475" i="139"/>
  <c r="G474" i="139"/>
  <c r="G473" i="139"/>
  <c r="G472" i="139"/>
  <c r="G471" i="139"/>
  <c r="G466" i="139"/>
  <c r="F466" i="139"/>
  <c r="C465" i="139"/>
  <c r="H465" i="139"/>
  <c r="C464" i="139"/>
  <c r="H458" i="139"/>
  <c r="F458" i="139"/>
  <c r="I457" i="139"/>
  <c r="I458" i="139"/>
  <c r="G456" i="139"/>
  <c r="G455" i="139"/>
  <c r="G454" i="139"/>
  <c r="G453" i="139"/>
  <c r="G452" i="139"/>
  <c r="G451" i="139"/>
  <c r="G446" i="139"/>
  <c r="F446" i="139"/>
  <c r="C445" i="139"/>
  <c r="H445" i="139" s="1"/>
  <c r="C444" i="139"/>
  <c r="H438" i="139"/>
  <c r="F438" i="139"/>
  <c r="I437" i="139"/>
  <c r="I438" i="139"/>
  <c r="G436" i="139"/>
  <c r="G438" i="139" s="1"/>
  <c r="B438" i="139" s="1"/>
  <c r="B439" i="139" s="1"/>
  <c r="E424" i="125" s="1"/>
  <c r="G435" i="139"/>
  <c r="G434" i="139"/>
  <c r="G429" i="139"/>
  <c r="F429" i="139"/>
  <c r="C428" i="139"/>
  <c r="H428" i="139" s="1"/>
  <c r="C427" i="139"/>
  <c r="H421" i="139"/>
  <c r="F421" i="139"/>
  <c r="I420" i="139"/>
  <c r="I421" i="139"/>
  <c r="G419" i="139"/>
  <c r="G418" i="139"/>
  <c r="G417" i="139"/>
  <c r="G412" i="139"/>
  <c r="F412" i="139"/>
  <c r="C411" i="139"/>
  <c r="H411" i="139" s="1"/>
  <c r="C410" i="139"/>
  <c r="H404" i="139"/>
  <c r="F404" i="139"/>
  <c r="I403" i="139"/>
  <c r="I404" i="139"/>
  <c r="G402" i="139"/>
  <c r="G404" i="139" s="1"/>
  <c r="G401" i="139"/>
  <c r="G400" i="139"/>
  <c r="G395" i="139"/>
  <c r="F395" i="139"/>
  <c r="C394" i="139"/>
  <c r="H394" i="139" s="1"/>
  <c r="C393" i="139"/>
  <c r="H387" i="139"/>
  <c r="F387" i="139"/>
  <c r="I386" i="139"/>
  <c r="I387" i="139"/>
  <c r="G385" i="139"/>
  <c r="G384" i="139"/>
  <c r="G383" i="139"/>
  <c r="G378" i="139"/>
  <c r="F378" i="139"/>
  <c r="C377" i="139"/>
  <c r="H377" i="139" s="1"/>
  <c r="C376" i="139"/>
  <c r="H370" i="139"/>
  <c r="F370" i="139"/>
  <c r="I369" i="139"/>
  <c r="I370" i="139"/>
  <c r="G368" i="139"/>
  <c r="G370" i="139" s="1"/>
  <c r="B370" i="139" s="1"/>
  <c r="B371" i="139" s="1"/>
  <c r="G367" i="139"/>
  <c r="G362" i="139"/>
  <c r="F362" i="139"/>
  <c r="H361" i="139"/>
  <c r="H354" i="139"/>
  <c r="F354" i="139"/>
  <c r="I353" i="139"/>
  <c r="I354" i="139"/>
  <c r="G352" i="139"/>
  <c r="G351" i="139"/>
  <c r="G346" i="139"/>
  <c r="F346" i="139"/>
  <c r="H345" i="139"/>
  <c r="H338" i="139"/>
  <c r="F338" i="139"/>
  <c r="I337" i="139"/>
  <c r="I338" i="139" s="1"/>
  <c r="G336" i="139"/>
  <c r="G335" i="139"/>
  <c r="G330" i="139"/>
  <c r="F330" i="139"/>
  <c r="H329" i="139"/>
  <c r="I322" i="139"/>
  <c r="H322" i="139"/>
  <c r="F322" i="139"/>
  <c r="G321" i="139"/>
  <c r="G320" i="139"/>
  <c r="G319" i="139"/>
  <c r="G318" i="139"/>
  <c r="G317" i="139"/>
  <c r="G316" i="139"/>
  <c r="G315" i="139"/>
  <c r="G314" i="139"/>
  <c r="G313" i="139"/>
  <c r="G312" i="139"/>
  <c r="G311" i="139"/>
  <c r="G310" i="139"/>
  <c r="G309" i="139"/>
  <c r="G308" i="139"/>
  <c r="G307" i="139"/>
  <c r="G306" i="139"/>
  <c r="G305" i="139"/>
  <c r="G304" i="139"/>
  <c r="G303" i="139"/>
  <c r="G302" i="139"/>
  <c r="G301" i="139"/>
  <c r="G300" i="139"/>
  <c r="G299" i="139"/>
  <c r="G298" i="139"/>
  <c r="G297" i="139"/>
  <c r="G296" i="139"/>
  <c r="G291" i="139"/>
  <c r="F291" i="139"/>
  <c r="C290" i="139"/>
  <c r="C289" i="139"/>
  <c r="H283" i="139"/>
  <c r="F283" i="139"/>
  <c r="I282" i="139"/>
  <c r="I283" i="139"/>
  <c r="G281" i="139"/>
  <c r="G283" i="139" s="1"/>
  <c r="G276" i="139"/>
  <c r="C275" i="139"/>
  <c r="H275" i="139"/>
  <c r="C274" i="139"/>
  <c r="E273" i="139"/>
  <c r="F273" i="139" s="1"/>
  <c r="F276" i="139" s="1"/>
  <c r="H267" i="139"/>
  <c r="F267" i="139"/>
  <c r="I266" i="139"/>
  <c r="I267" i="139" s="1"/>
  <c r="G265" i="139"/>
  <c r="G264" i="139"/>
  <c r="G267" i="139" s="1"/>
  <c r="B267" i="139" s="1"/>
  <c r="G259" i="139"/>
  <c r="F259" i="139"/>
  <c r="C258" i="139"/>
  <c r="H258" i="139"/>
  <c r="C257" i="139"/>
  <c r="H251" i="139"/>
  <c r="F251" i="139"/>
  <c r="I250" i="139"/>
  <c r="I251" i="139" s="1"/>
  <c r="B251" i="139" s="1"/>
  <c r="B252" i="139" s="1"/>
  <c r="G249" i="139"/>
  <c r="G248" i="139"/>
  <c r="G243" i="139"/>
  <c r="F243" i="139"/>
  <c r="C242" i="139"/>
  <c r="H242" i="139"/>
  <c r="C241" i="139"/>
  <c r="H235" i="139"/>
  <c r="F235" i="139"/>
  <c r="I234" i="139"/>
  <c r="I235" i="139"/>
  <c r="G234" i="139"/>
  <c r="G233" i="139"/>
  <c r="G232" i="139"/>
  <c r="G231" i="139"/>
  <c r="G235" i="139" s="1"/>
  <c r="B235" i="139" s="1"/>
  <c r="B236" i="139" s="1"/>
  <c r="E409" i="125" s="1"/>
  <c r="G230" i="139"/>
  <c r="G229" i="139"/>
  <c r="G228" i="139"/>
  <c r="G223" i="139"/>
  <c r="F223" i="139"/>
  <c r="C222" i="139"/>
  <c r="H222" i="139"/>
  <c r="C221" i="139"/>
  <c r="H215" i="139"/>
  <c r="F215" i="139"/>
  <c r="I214" i="139"/>
  <c r="I215" i="139"/>
  <c r="G213" i="139"/>
  <c r="G212" i="139"/>
  <c r="G207" i="139"/>
  <c r="F207" i="139"/>
  <c r="C206" i="139"/>
  <c r="H206" i="139" s="1"/>
  <c r="C205" i="139"/>
  <c r="H199" i="139"/>
  <c r="F199" i="139"/>
  <c r="I198" i="139"/>
  <c r="I199" i="139"/>
  <c r="G197" i="139"/>
  <c r="G196" i="139"/>
  <c r="G195" i="139"/>
  <c r="G194" i="139"/>
  <c r="G193" i="139"/>
  <c r="G188" i="139"/>
  <c r="F187" i="139"/>
  <c r="F188" i="139"/>
  <c r="C186" i="139"/>
  <c r="C185" i="139"/>
  <c r="C184" i="139"/>
  <c r="H178" i="139"/>
  <c r="F178" i="139"/>
  <c r="I177" i="139"/>
  <c r="I178" i="139" s="1"/>
  <c r="G176" i="139"/>
  <c r="G175" i="139"/>
  <c r="G174" i="139"/>
  <c r="G173" i="139"/>
  <c r="G168" i="139"/>
  <c r="F167" i="139"/>
  <c r="F168" i="139" s="1"/>
  <c r="C166" i="139"/>
  <c r="C165" i="139"/>
  <c r="E164" i="139"/>
  <c r="C164" i="139"/>
  <c r="H158" i="139"/>
  <c r="F158" i="139"/>
  <c r="E158" i="139"/>
  <c r="I157" i="139"/>
  <c r="I158" i="139" s="1"/>
  <c r="G156" i="139"/>
  <c r="G155" i="139"/>
  <c r="G154" i="139"/>
  <c r="G153" i="139"/>
  <c r="G152" i="139"/>
  <c r="G151" i="139"/>
  <c r="G158" i="139" s="1"/>
  <c r="B158" i="139" s="1"/>
  <c r="B159" i="139" s="1"/>
  <c r="E402" i="125" s="1"/>
  <c r="E818" i="152" s="1"/>
  <c r="F818" i="152" s="1"/>
  <c r="F817" i="152" s="1"/>
  <c r="G150" i="139"/>
  <c r="G149" i="139"/>
  <c r="G144" i="139"/>
  <c r="F144" i="139"/>
  <c r="C142" i="139"/>
  <c r="C141" i="139"/>
  <c r="I134" i="139"/>
  <c r="E133" i="139"/>
  <c r="H133" i="139" s="1"/>
  <c r="C133" i="139"/>
  <c r="E132" i="139"/>
  <c r="C132" i="139"/>
  <c r="E131" i="139"/>
  <c r="H131" i="139" s="1"/>
  <c r="C131" i="139"/>
  <c r="E130" i="139"/>
  <c r="F130" i="139"/>
  <c r="E129" i="139"/>
  <c r="F129" i="139" s="1"/>
  <c r="E128" i="139"/>
  <c r="H123" i="139"/>
  <c r="F123" i="139"/>
  <c r="I122" i="139"/>
  <c r="I123" i="139" s="1"/>
  <c r="G121" i="139"/>
  <c r="G120" i="139"/>
  <c r="G119" i="139"/>
  <c r="G118" i="139"/>
  <c r="G117" i="139"/>
  <c r="G116" i="139"/>
  <c r="G115" i="139"/>
  <c r="G114" i="139"/>
  <c r="G113" i="139"/>
  <c r="G112" i="139"/>
  <c r="G111" i="139"/>
  <c r="G110" i="139"/>
  <c r="G123" i="139" s="1"/>
  <c r="B123" i="139" s="1"/>
  <c r="B124" i="139" s="1"/>
  <c r="E400" i="125" s="1"/>
  <c r="G109" i="139"/>
  <c r="G104" i="139"/>
  <c r="E102" i="139"/>
  <c r="F102" i="139" s="1"/>
  <c r="E101" i="139"/>
  <c r="F101" i="139" s="1"/>
  <c r="C100" i="139"/>
  <c r="E99" i="139"/>
  <c r="C99" i="139"/>
  <c r="E98" i="139"/>
  <c r="C98" i="139"/>
  <c r="H93" i="139"/>
  <c r="F93" i="139"/>
  <c r="I92" i="139"/>
  <c r="I93" i="139" s="1"/>
  <c r="G91" i="139"/>
  <c r="G90" i="139"/>
  <c r="G89" i="139"/>
  <c r="G88" i="139"/>
  <c r="G87" i="139"/>
  <c r="G86" i="139"/>
  <c r="G85" i="139"/>
  <c r="G84" i="139"/>
  <c r="G83" i="139"/>
  <c r="G82" i="139"/>
  <c r="G81" i="139"/>
  <c r="G76" i="139"/>
  <c r="E74" i="139"/>
  <c r="F74" i="139" s="1"/>
  <c r="E73" i="139"/>
  <c r="F73" i="139" s="1"/>
  <c r="C72" i="139"/>
  <c r="E71" i="139"/>
  <c r="C71" i="139"/>
  <c r="E70" i="139"/>
  <c r="H70" i="139" s="1"/>
  <c r="C70" i="139"/>
  <c r="H65" i="139"/>
  <c r="F65" i="139"/>
  <c r="I64" i="139"/>
  <c r="I65" i="139" s="1"/>
  <c r="B65" i="139" s="1"/>
  <c r="B66" i="139" s="1"/>
  <c r="E398" i="125" s="1"/>
  <c r="G63" i="139"/>
  <c r="G65" i="139"/>
  <c r="E56" i="139"/>
  <c r="F56" i="139" s="1"/>
  <c r="E55" i="139"/>
  <c r="F55" i="139" s="1"/>
  <c r="C54" i="139"/>
  <c r="E53" i="139"/>
  <c r="C53" i="139"/>
  <c r="E52" i="139"/>
  <c r="H52" i="139" s="1"/>
  <c r="C52" i="139"/>
  <c r="H47" i="139"/>
  <c r="F47" i="139"/>
  <c r="I46" i="139"/>
  <c r="I47" i="139" s="1"/>
  <c r="G45" i="139"/>
  <c r="G44" i="139"/>
  <c r="G43" i="139"/>
  <c r="G42" i="139"/>
  <c r="G41" i="139"/>
  <c r="G40" i="139"/>
  <c r="G39" i="139"/>
  <c r="G38" i="139"/>
  <c r="G37" i="139"/>
  <c r="G36" i="139"/>
  <c r="G35" i="139"/>
  <c r="G47" i="139" s="1"/>
  <c r="G30" i="139"/>
  <c r="E28" i="139"/>
  <c r="F28" i="139" s="1"/>
  <c r="E27" i="139"/>
  <c r="F27" i="139" s="1"/>
  <c r="C26" i="139"/>
  <c r="E25" i="139"/>
  <c r="C25" i="139"/>
  <c r="E24" i="139"/>
  <c r="C24" i="139"/>
  <c r="H19" i="139"/>
  <c r="F19" i="139"/>
  <c r="I18" i="139"/>
  <c r="I19" i="139"/>
  <c r="G17" i="139"/>
  <c r="G16" i="139"/>
  <c r="G11" i="139"/>
  <c r="E9" i="139"/>
  <c r="F9" i="139" s="1"/>
  <c r="E8" i="139"/>
  <c r="F8" i="139" s="1"/>
  <c r="E7" i="139"/>
  <c r="F7" i="139" s="1"/>
  <c r="E5" i="139"/>
  <c r="H5" i="139" s="1"/>
  <c r="E4" i="139"/>
  <c r="H4" i="139" s="1"/>
  <c r="G251" i="139"/>
  <c r="H25" i="139"/>
  <c r="B404" i="139"/>
  <c r="B405" i="139" s="1"/>
  <c r="G322" i="139"/>
  <c r="B322" i="139" s="1"/>
  <c r="B323" i="139" s="1"/>
  <c r="E417" i="125" s="1"/>
  <c r="G545" i="139"/>
  <c r="B545" i="139"/>
  <c r="B546" i="139" s="1"/>
  <c r="E431" i="125" s="1"/>
  <c r="G215" i="139"/>
  <c r="E421" i="125"/>
  <c r="G479" i="139"/>
  <c r="E426" i="125"/>
  <c r="E842" i="152" s="1"/>
  <c r="F842" i="152" s="1"/>
  <c r="I713" i="139"/>
  <c r="G19" i="139"/>
  <c r="B19" i="139"/>
  <c r="B20" i="139" s="1"/>
  <c r="E396" i="125" s="1"/>
  <c r="H98" i="139"/>
  <c r="H132" i="139"/>
  <c r="H164" i="139"/>
  <c r="G178" i="139"/>
  <c r="H184" i="139"/>
  <c r="G199" i="139"/>
  <c r="B199" i="139" s="1"/>
  <c r="B200" i="139"/>
  <c r="E405" i="125" s="1"/>
  <c r="B268" i="139"/>
  <c r="E413" i="125" s="1"/>
  <c r="G338" i="139"/>
  <c r="G387" i="139"/>
  <c r="B387" i="139" s="1"/>
  <c r="B388" i="139" s="1"/>
  <c r="G421" i="139"/>
  <c r="B421" i="139" s="1"/>
  <c r="B422" i="139" s="1"/>
  <c r="E423" i="125" s="1"/>
  <c r="G458" i="139"/>
  <c r="B458" i="139" s="1"/>
  <c r="B459" i="139" s="1"/>
  <c r="E425" i="125" s="1"/>
  <c r="G499" i="139"/>
  <c r="B499" i="139" s="1"/>
  <c r="B500" i="139" s="1"/>
  <c r="E427" i="125" s="1"/>
  <c r="G562" i="139"/>
  <c r="B562" i="139" s="1"/>
  <c r="B563" i="139" s="1"/>
  <c r="E432" i="125" s="1"/>
  <c r="B283" i="139"/>
  <c r="B284" i="139" s="1"/>
  <c r="E415" i="125" s="1"/>
  <c r="B577" i="139"/>
  <c r="B578" i="139" s="1"/>
  <c r="E433" i="125" s="1"/>
  <c r="E849" i="152" s="1"/>
  <c r="F849" i="152" s="1"/>
  <c r="G354" i="139"/>
  <c r="B354" i="139"/>
  <c r="B355" i="139" s="1"/>
  <c r="E420" i="125" s="1"/>
  <c r="B529" i="139"/>
  <c r="B530" i="139" s="1"/>
  <c r="E429" i="125" s="1"/>
  <c r="E839" i="152"/>
  <c r="F839" i="152" s="1"/>
  <c r="F402" i="125"/>
  <c r="F426" i="125"/>
  <c r="F398" i="125"/>
  <c r="E841" i="140"/>
  <c r="F841" i="140" s="1"/>
  <c r="E831" i="140"/>
  <c r="F831" i="140" s="1"/>
  <c r="F830" i="140" s="1"/>
  <c r="B251" i="142" s="1"/>
  <c r="M252" i="142" s="1"/>
  <c r="E842" i="140"/>
  <c r="F842" i="140" s="1"/>
  <c r="E411" i="125"/>
  <c r="B714" i="139"/>
  <c r="E385" i="125" s="1"/>
  <c r="F411" i="125"/>
  <c r="E827" i="152"/>
  <c r="F827" i="152" s="1"/>
  <c r="F826" i="152" s="1"/>
  <c r="F400" i="125"/>
  <c r="F413" i="125"/>
  <c r="E829" i="152"/>
  <c r="F829" i="152" s="1"/>
  <c r="F828" i="152" s="1"/>
  <c r="G298" i="146"/>
  <c r="I298" i="146" s="1"/>
  <c r="E829" i="140"/>
  <c r="F829" i="140" s="1"/>
  <c r="F828" i="140" s="1"/>
  <c r="G297" i="146" s="1"/>
  <c r="I297" i="146" s="1"/>
  <c r="E827" i="140"/>
  <c r="F827" i="140" s="1"/>
  <c r="F826" i="140" s="1"/>
  <c r="G296" i="146" s="1"/>
  <c r="I296" i="146" s="1"/>
  <c r="L252" i="142"/>
  <c r="O252" i="142" s="1"/>
  <c r="B247" i="142"/>
  <c r="B249" i="142"/>
  <c r="L250" i="142" s="1"/>
  <c r="G136" i="139"/>
  <c r="G13" i="137"/>
  <c r="G18" i="137"/>
  <c r="G21" i="137" s="1"/>
  <c r="E20" i="137"/>
  <c r="I20" i="137" s="1"/>
  <c r="I21" i="137" s="1"/>
  <c r="H21" i="137"/>
  <c r="G36" i="137"/>
  <c r="G39" i="137" s="1"/>
  <c r="E38" i="137"/>
  <c r="I38" i="137"/>
  <c r="I39" i="137" s="1"/>
  <c r="F39" i="137"/>
  <c r="H39" i="137"/>
  <c r="F48" i="137"/>
  <c r="G48" i="137"/>
  <c r="G53" i="137"/>
  <c r="G56" i="137" s="1"/>
  <c r="E55" i="137"/>
  <c r="I55" i="137" s="1"/>
  <c r="I56" i="137" s="1"/>
  <c r="F56" i="137"/>
  <c r="B56" i="137" s="1"/>
  <c r="B57" i="137" s="1"/>
  <c r="H56" i="137"/>
  <c r="G70" i="137"/>
  <c r="G73" i="137" s="1"/>
  <c r="E72" i="137"/>
  <c r="I72" i="137" s="1"/>
  <c r="I73" i="137" s="1"/>
  <c r="F73" i="137"/>
  <c r="H73" i="137"/>
  <c r="G87" i="137"/>
  <c r="G90" i="137"/>
  <c r="E89" i="137"/>
  <c r="I89" i="137" s="1"/>
  <c r="I90" i="137" s="1"/>
  <c r="B90" i="137" s="1"/>
  <c r="B91" i="137" s="1"/>
  <c r="F90" i="137"/>
  <c r="H90" i="137"/>
  <c r="E98" i="137"/>
  <c r="G98" i="137" s="1"/>
  <c r="G100" i="137" s="1"/>
  <c r="G105" i="137"/>
  <c r="G108" i="137" s="1"/>
  <c r="K105" i="137"/>
  <c r="E107" i="137"/>
  <c r="I107" i="137" s="1"/>
  <c r="I108" i="137" s="1"/>
  <c r="E116" i="137"/>
  <c r="G116" i="137" s="1"/>
  <c r="G118" i="137" s="1"/>
  <c r="G123" i="137"/>
  <c r="G126" i="137" s="1"/>
  <c r="E125" i="137"/>
  <c r="I125" i="137" s="1"/>
  <c r="I126" i="137" s="1"/>
  <c r="G139" i="137"/>
  <c r="G142" i="137" s="1"/>
  <c r="E141" i="137"/>
  <c r="I141" i="137" s="1"/>
  <c r="I142" i="137" s="1"/>
  <c r="F142" i="137"/>
  <c r="E158" i="137"/>
  <c r="I158" i="137" s="1"/>
  <c r="I159" i="137" s="1"/>
  <c r="F159" i="137"/>
  <c r="H159" i="137"/>
  <c r="G172" i="137"/>
  <c r="G175" i="137"/>
  <c r="E174" i="137"/>
  <c r="I174" i="137" s="1"/>
  <c r="I175" i="137" s="1"/>
  <c r="B175" i="137" s="1"/>
  <c r="B176" i="137" s="1"/>
  <c r="G189" i="137"/>
  <c r="G193" i="137" s="1"/>
  <c r="E192" i="137"/>
  <c r="I192" i="137"/>
  <c r="I193" i="137" s="1"/>
  <c r="F193" i="137"/>
  <c r="H193" i="137"/>
  <c r="F201" i="137"/>
  <c r="G201" i="137"/>
  <c r="E209" i="137"/>
  <c r="I209" i="137" s="1"/>
  <c r="I210" i="137" s="1"/>
  <c r="F210" i="137"/>
  <c r="G223" i="137"/>
  <c r="G227" i="137"/>
  <c r="E226" i="137"/>
  <c r="I226" i="137" s="1"/>
  <c r="I227" i="137" s="1"/>
  <c r="F234" i="137"/>
  <c r="G234" i="137"/>
  <c r="E239" i="137"/>
  <c r="G239" i="137" s="1"/>
  <c r="G243" i="137" s="1"/>
  <c r="E242" i="137"/>
  <c r="I242" i="137" s="1"/>
  <c r="I243" i="137" s="1"/>
  <c r="F243" i="137"/>
  <c r="H243" i="137"/>
  <c r="G256" i="137"/>
  <c r="G259" i="137"/>
  <c r="E258" i="137"/>
  <c r="I258" i="137" s="1"/>
  <c r="I259" i="137" s="1"/>
  <c r="B259" i="137" s="1"/>
  <c r="B260" i="137" s="1"/>
  <c r="F259" i="137"/>
  <c r="G274" i="137"/>
  <c r="G277" i="137" s="1"/>
  <c r="E276" i="137"/>
  <c r="I276" i="137" s="1"/>
  <c r="I277" i="137" s="1"/>
  <c r="F277" i="137"/>
  <c r="H277" i="137"/>
  <c r="G291" i="137"/>
  <c r="G294" i="137" s="1"/>
  <c r="E293" i="137"/>
  <c r="I293" i="137" s="1"/>
  <c r="I294" i="137" s="1"/>
  <c r="F294" i="137"/>
  <c r="H294" i="137"/>
  <c r="G308" i="137"/>
  <c r="G312" i="137" s="1"/>
  <c r="E311" i="137"/>
  <c r="I311" i="137" s="1"/>
  <c r="I312" i="137" s="1"/>
  <c r="B312" i="137" s="1"/>
  <c r="B313" i="137" s="1"/>
  <c r="F312" i="137"/>
  <c r="G327" i="137"/>
  <c r="G330" i="137" s="1"/>
  <c r="E329" i="137"/>
  <c r="I329" i="137" s="1"/>
  <c r="I330" i="137" s="1"/>
  <c r="F330" i="137"/>
  <c r="H330" i="137"/>
  <c r="L344" i="137"/>
  <c r="L345" i="137"/>
  <c r="G345" i="137"/>
  <c r="G348" i="137" s="1"/>
  <c r="E347" i="137"/>
  <c r="I347" i="137" s="1"/>
  <c r="I348" i="137" s="1"/>
  <c r="F348" i="137"/>
  <c r="L665" i="137"/>
  <c r="L666" i="137" s="1"/>
  <c r="G669" i="137"/>
  <c r="E668" i="137"/>
  <c r="I668" i="137" s="1"/>
  <c r="I669" i="137" s="1"/>
  <c r="F669" i="137"/>
  <c r="H669" i="137"/>
  <c r="F677" i="137"/>
  <c r="G677" i="137"/>
  <c r="L681" i="137"/>
  <c r="L682" i="137"/>
  <c r="G682" i="137"/>
  <c r="G684" i="137" s="1"/>
  <c r="E683" i="137"/>
  <c r="I683" i="137" s="1"/>
  <c r="I684" i="137" s="1"/>
  <c r="F684" i="137"/>
  <c r="H684" i="137"/>
  <c r="G412" i="137"/>
  <c r="G415" i="137" s="1"/>
  <c r="E414" i="137"/>
  <c r="I414" i="137" s="1"/>
  <c r="I415" i="137" s="1"/>
  <c r="G430" i="137"/>
  <c r="G433" i="137"/>
  <c r="E432" i="137"/>
  <c r="I432" i="137" s="1"/>
  <c r="I433" i="137" s="1"/>
  <c r="F433" i="137"/>
  <c r="G396" i="137"/>
  <c r="G399" i="137"/>
  <c r="E398" i="137"/>
  <c r="I398" i="137" s="1"/>
  <c r="I399" i="137"/>
  <c r="F407" i="137"/>
  <c r="G407" i="137"/>
  <c r="E442" i="137"/>
  <c r="G442" i="137"/>
  <c r="G444" i="137" s="1"/>
  <c r="K449" i="137"/>
  <c r="E451" i="137"/>
  <c r="I451" i="137" s="1"/>
  <c r="I452" i="137" s="1"/>
  <c r="F452" i="137"/>
  <c r="H452" i="137"/>
  <c r="F631" i="137"/>
  <c r="G631" i="137"/>
  <c r="G638" i="137"/>
  <c r="E637" i="137"/>
  <c r="I637" i="137" s="1"/>
  <c r="I638" i="137" s="1"/>
  <c r="B638" i="137" s="1"/>
  <c r="B639" i="137" s="1"/>
  <c r="F638" i="137"/>
  <c r="H638" i="137"/>
  <c r="G484" i="137"/>
  <c r="G487" i="137"/>
  <c r="E486" i="137"/>
  <c r="I486" i="137" s="1"/>
  <c r="I487" i="137"/>
  <c r="B487" i="137" s="1"/>
  <c r="B488" i="137" s="1"/>
  <c r="E198" i="118" s="1"/>
  <c r="F487" i="137"/>
  <c r="C494" i="137"/>
  <c r="E494" i="137"/>
  <c r="C495" i="137"/>
  <c r="E495" i="137"/>
  <c r="G504" i="137"/>
  <c r="E506" i="137"/>
  <c r="G506" i="137" s="1"/>
  <c r="F507" i="137"/>
  <c r="H507" i="137"/>
  <c r="E515" i="137"/>
  <c r="F515" i="137"/>
  <c r="F518" i="137" s="1"/>
  <c r="E516" i="137"/>
  <c r="G516" i="137" s="1"/>
  <c r="G518" i="137" s="1"/>
  <c r="K523" i="137"/>
  <c r="E525" i="137"/>
  <c r="I525" i="137" s="1"/>
  <c r="I526" i="137" s="1"/>
  <c r="F526" i="137"/>
  <c r="G540" i="137"/>
  <c r="G543" i="137"/>
  <c r="E542" i="137"/>
  <c r="I542" i="137" s="1"/>
  <c r="I543" i="137" s="1"/>
  <c r="F543" i="137"/>
  <c r="G557" i="137"/>
  <c r="E559" i="137"/>
  <c r="I559" i="137" s="1"/>
  <c r="I560" i="137" s="1"/>
  <c r="B560" i="137" s="1"/>
  <c r="B561" i="137" s="1"/>
  <c r="F560" i="137"/>
  <c r="F569" i="137"/>
  <c r="G569" i="137"/>
  <c r="G574" i="137"/>
  <c r="G576" i="137" s="1"/>
  <c r="E575" i="137"/>
  <c r="I575" i="137" s="1"/>
  <c r="I576" i="137" s="1"/>
  <c r="F576" i="137"/>
  <c r="F584" i="137"/>
  <c r="G584" i="137"/>
  <c r="G589" i="137"/>
  <c r="G591" i="137"/>
  <c r="E590" i="137"/>
  <c r="I590" i="137" s="1"/>
  <c r="I591" i="137" s="1"/>
  <c r="B591" i="137" s="1"/>
  <c r="B592" i="137" s="1"/>
  <c r="E585" i="137" s="1"/>
  <c r="F591" i="137"/>
  <c r="H591" i="137"/>
  <c r="F598" i="137"/>
  <c r="G598" i="137"/>
  <c r="G603" i="137"/>
  <c r="G605" i="137"/>
  <c r="E604" i="137"/>
  <c r="I604" i="137"/>
  <c r="I605" i="137" s="1"/>
  <c r="B605" i="137" s="1"/>
  <c r="B606" i="137" s="1"/>
  <c r="F605" i="137"/>
  <c r="E613" i="137"/>
  <c r="G613" i="137"/>
  <c r="G615" i="137" s="1"/>
  <c r="G620" i="137"/>
  <c r="G622" i="137" s="1"/>
  <c r="K620" i="137"/>
  <c r="E621" i="137"/>
  <c r="I621" i="137" s="1"/>
  <c r="I622" i="137" s="1"/>
  <c r="B622" i="137" s="1"/>
  <c r="B623" i="137" s="1"/>
  <c r="F622" i="137"/>
  <c r="H622" i="137"/>
  <c r="F645" i="137"/>
  <c r="G645" i="137"/>
  <c r="G650" i="137"/>
  <c r="G652" i="137" s="1"/>
  <c r="E651" i="137"/>
  <c r="I651" i="137" s="1"/>
  <c r="I652" i="137" s="1"/>
  <c r="F652" i="137"/>
  <c r="H652" i="137"/>
  <c r="E692" i="137"/>
  <c r="G692" i="137" s="1"/>
  <c r="G694" i="137" s="1"/>
  <c r="G699" i="137"/>
  <c r="G701" i="137"/>
  <c r="K699" i="137"/>
  <c r="E700" i="137"/>
  <c r="I700" i="137" s="1"/>
  <c r="I701" i="137" s="1"/>
  <c r="F701" i="137"/>
  <c r="H701" i="137"/>
  <c r="I506" i="137"/>
  <c r="I507" i="137" s="1"/>
  <c r="B210" i="137"/>
  <c r="B211" i="137" s="1"/>
  <c r="I514" i="136"/>
  <c r="H512" i="136"/>
  <c r="H511" i="136"/>
  <c r="H514" i="136" s="1"/>
  <c r="H506" i="136"/>
  <c r="I505" i="136"/>
  <c r="I506" i="136" s="1"/>
  <c r="G504" i="136"/>
  <c r="G503" i="136"/>
  <c r="G506" i="136" s="1"/>
  <c r="B506" i="136" s="1"/>
  <c r="I498" i="136"/>
  <c r="C496" i="136"/>
  <c r="C495" i="136"/>
  <c r="H495" i="136"/>
  <c r="H490" i="136"/>
  <c r="I489" i="136"/>
  <c r="I490" i="136"/>
  <c r="G488" i="136"/>
  <c r="G490" i="136" s="1"/>
  <c r="B490" i="136" s="1"/>
  <c r="I483" i="136"/>
  <c r="C481" i="136"/>
  <c r="C480" i="136"/>
  <c r="H480" i="136" s="1"/>
  <c r="H475" i="136"/>
  <c r="I474" i="136"/>
  <c r="I475" i="136"/>
  <c r="G473" i="136"/>
  <c r="G475" i="136" s="1"/>
  <c r="I468" i="136"/>
  <c r="C466" i="136"/>
  <c r="C465" i="136"/>
  <c r="H465" i="136" s="1"/>
  <c r="H460" i="136"/>
  <c r="I459" i="136"/>
  <c r="I460" i="136" s="1"/>
  <c r="G458" i="136"/>
  <c r="G457" i="136"/>
  <c r="G456" i="136"/>
  <c r="G455" i="136"/>
  <c r="G454" i="136"/>
  <c r="G453" i="136"/>
  <c r="G460" i="136" s="1"/>
  <c r="I448" i="136"/>
  <c r="C446" i="136"/>
  <c r="C445" i="136"/>
  <c r="H445" i="136"/>
  <c r="H440" i="136"/>
  <c r="I439" i="136"/>
  <c r="I440" i="136" s="1"/>
  <c r="G438" i="136"/>
  <c r="G437" i="136"/>
  <c r="G436" i="136"/>
  <c r="G435" i="136"/>
  <c r="G434" i="136"/>
  <c r="G433" i="136"/>
  <c r="G440" i="136" s="1"/>
  <c r="B440" i="136" s="1"/>
  <c r="G432" i="136"/>
  <c r="I427" i="136"/>
  <c r="C425" i="136"/>
  <c r="C424" i="136"/>
  <c r="H424" i="136" s="1"/>
  <c r="C405" i="136"/>
  <c r="H419" i="136"/>
  <c r="I418" i="136"/>
  <c r="I419" i="136" s="1"/>
  <c r="G417" i="136"/>
  <c r="G416" i="136"/>
  <c r="G415" i="136"/>
  <c r="G414" i="136"/>
  <c r="G413" i="136"/>
  <c r="G412" i="136"/>
  <c r="I407" i="136"/>
  <c r="C404" i="136"/>
  <c r="H404" i="136" s="1"/>
  <c r="H399" i="136"/>
  <c r="I398" i="136"/>
  <c r="I399" i="136" s="1"/>
  <c r="G397" i="136"/>
  <c r="G396" i="136"/>
  <c r="G395" i="136"/>
  <c r="G399" i="136" s="1"/>
  <c r="B399" i="136" s="1"/>
  <c r="I390" i="136"/>
  <c r="C388" i="136"/>
  <c r="C387" i="136"/>
  <c r="H387" i="136"/>
  <c r="H382" i="136"/>
  <c r="I381" i="136"/>
  <c r="I382" i="136"/>
  <c r="G380" i="136"/>
  <c r="G382" i="136" s="1"/>
  <c r="G379" i="136"/>
  <c r="G378" i="136"/>
  <c r="I373" i="136"/>
  <c r="C371" i="136"/>
  <c r="C370" i="136"/>
  <c r="H370" i="136"/>
  <c r="H365" i="136"/>
  <c r="I364" i="136"/>
  <c r="I365" i="136" s="1"/>
  <c r="G363" i="136"/>
  <c r="G362" i="136"/>
  <c r="G361" i="136"/>
  <c r="G365" i="136" s="1"/>
  <c r="B365" i="136" s="1"/>
  <c r="I356" i="136"/>
  <c r="C354" i="136"/>
  <c r="C353" i="136"/>
  <c r="H353" i="136" s="1"/>
  <c r="H348" i="136"/>
  <c r="I347" i="136"/>
  <c r="I348" i="136"/>
  <c r="G346" i="136"/>
  <c r="G345" i="136"/>
  <c r="I340" i="136"/>
  <c r="C338" i="136"/>
  <c r="C337" i="136"/>
  <c r="H337" i="136" s="1"/>
  <c r="H332" i="136"/>
  <c r="I331" i="136"/>
  <c r="I332" i="136"/>
  <c r="B332" i="136" s="1"/>
  <c r="G330" i="136"/>
  <c r="G332" i="136" s="1"/>
  <c r="I325" i="136"/>
  <c r="C323" i="136"/>
  <c r="C322" i="136"/>
  <c r="H322" i="136" s="1"/>
  <c r="H317" i="136"/>
  <c r="I316" i="136"/>
  <c r="I317" i="136" s="1"/>
  <c r="G315" i="136"/>
  <c r="G314" i="136"/>
  <c r="G317" i="136" s="1"/>
  <c r="I309" i="136"/>
  <c r="C307" i="136"/>
  <c r="C306" i="136"/>
  <c r="H306" i="136"/>
  <c r="B317" i="136"/>
  <c r="G348" i="136"/>
  <c r="B382" i="136"/>
  <c r="C272" i="136"/>
  <c r="C273" i="136" s="1"/>
  <c r="G280" i="136"/>
  <c r="G281" i="136"/>
  <c r="G282" i="136"/>
  <c r="G283" i="136"/>
  <c r="G284" i="136"/>
  <c r="G285" i="136"/>
  <c r="G286" i="136"/>
  <c r="G287" i="136"/>
  <c r="G288" i="136"/>
  <c r="G289" i="136"/>
  <c r="G290" i="136"/>
  <c r="G291" i="136"/>
  <c r="G292" i="136"/>
  <c r="G293" i="136"/>
  <c r="G294" i="136"/>
  <c r="G295" i="136"/>
  <c r="G296" i="136"/>
  <c r="G297" i="136"/>
  <c r="G298" i="136"/>
  <c r="G299" i="136"/>
  <c r="G279" i="136"/>
  <c r="F301" i="136"/>
  <c r="I300" i="136"/>
  <c r="I301" i="136" s="1"/>
  <c r="G274" i="136"/>
  <c r="F274" i="136"/>
  <c r="C257" i="136"/>
  <c r="C258" i="136" s="1"/>
  <c r="C256" i="136"/>
  <c r="E256" i="136"/>
  <c r="F256" i="136" s="1"/>
  <c r="F259" i="136" s="1"/>
  <c r="F266" i="136"/>
  <c r="I265" i="136"/>
  <c r="I266" i="136"/>
  <c r="G264" i="136"/>
  <c r="G266" i="136" s="1"/>
  <c r="B266" i="136" s="1"/>
  <c r="B267" i="136" s="1"/>
  <c r="G259" i="136"/>
  <c r="F250" i="136"/>
  <c r="I249" i="136"/>
  <c r="I250" i="136" s="1"/>
  <c r="G248" i="136"/>
  <c r="G250" i="136"/>
  <c r="G243" i="136"/>
  <c r="F243" i="136"/>
  <c r="C241" i="136"/>
  <c r="C242" i="136"/>
  <c r="F235" i="136"/>
  <c r="I234" i="136"/>
  <c r="I235" i="136" s="1"/>
  <c r="G233" i="136"/>
  <c r="G232" i="136"/>
  <c r="G227" i="136"/>
  <c r="F227" i="136"/>
  <c r="C225" i="136"/>
  <c r="C226" i="136" s="1"/>
  <c r="C209" i="136"/>
  <c r="C210" i="136" s="1"/>
  <c r="F219" i="136"/>
  <c r="I218" i="136"/>
  <c r="I219" i="136" s="1"/>
  <c r="G217" i="136"/>
  <c r="G216" i="136"/>
  <c r="G219" i="136" s="1"/>
  <c r="B219" i="136" s="1"/>
  <c r="B220" i="136" s="1"/>
  <c r="G211" i="136"/>
  <c r="F211" i="136"/>
  <c r="C188" i="136"/>
  <c r="H188" i="136"/>
  <c r="G196" i="136"/>
  <c r="G197" i="136"/>
  <c r="G198" i="136"/>
  <c r="G199" i="136"/>
  <c r="G200" i="136"/>
  <c r="G201" i="136"/>
  <c r="I202" i="136"/>
  <c r="I203" i="136"/>
  <c r="F203" i="136"/>
  <c r="G195" i="136"/>
  <c r="G190" i="136"/>
  <c r="F190" i="136"/>
  <c r="C172" i="136"/>
  <c r="H171" i="136"/>
  <c r="F182" i="136"/>
  <c r="I181" i="136"/>
  <c r="I182" i="136" s="1"/>
  <c r="G180" i="136"/>
  <c r="G179" i="136"/>
  <c r="G178" i="136"/>
  <c r="G182" i="136" s="1"/>
  <c r="G173" i="136"/>
  <c r="F173" i="136"/>
  <c r="H257" i="136"/>
  <c r="H272" i="136"/>
  <c r="B250" i="136"/>
  <c r="B251" i="136" s="1"/>
  <c r="H241" i="136"/>
  <c r="H225" i="136"/>
  <c r="H209" i="136"/>
  <c r="C189" i="136"/>
  <c r="C152" i="136"/>
  <c r="H152" i="136" s="1"/>
  <c r="G163" i="136"/>
  <c r="G159" i="136"/>
  <c r="G165" i="136" s="1"/>
  <c r="G160" i="136"/>
  <c r="G161" i="136"/>
  <c r="G162" i="136"/>
  <c r="I164" i="136"/>
  <c r="I144" i="136" s="1"/>
  <c r="F150" i="136"/>
  <c r="F154" i="136" s="1"/>
  <c r="F131" i="136"/>
  <c r="F135" i="136"/>
  <c r="H165" i="136"/>
  <c r="F165" i="136"/>
  <c r="I165" i="136"/>
  <c r="G154" i="136"/>
  <c r="C151" i="136"/>
  <c r="C153" i="136" s="1"/>
  <c r="H153" i="136"/>
  <c r="G135" i="136"/>
  <c r="C133" i="136"/>
  <c r="H133" i="136"/>
  <c r="C132" i="136"/>
  <c r="C134" i="136" s="1"/>
  <c r="H134" i="136" s="1"/>
  <c r="H144" i="136"/>
  <c r="F144" i="136"/>
  <c r="G143" i="136"/>
  <c r="G142" i="136"/>
  <c r="G141" i="136"/>
  <c r="G140" i="136"/>
  <c r="H125" i="136"/>
  <c r="F125" i="136"/>
  <c r="I124" i="136"/>
  <c r="I125" i="136"/>
  <c r="G123" i="136"/>
  <c r="G122" i="136"/>
  <c r="G121" i="136"/>
  <c r="G120" i="136"/>
  <c r="G119" i="136"/>
  <c r="G125" i="136" s="1"/>
  <c r="B125" i="136" s="1"/>
  <c r="G118" i="136"/>
  <c r="G117" i="136"/>
  <c r="G116" i="136"/>
  <c r="G111" i="136"/>
  <c r="F111" i="136"/>
  <c r="C109" i="136"/>
  <c r="C110" i="136"/>
  <c r="C87" i="136"/>
  <c r="C88" i="136" s="1"/>
  <c r="H103" i="136"/>
  <c r="F103" i="136"/>
  <c r="I102" i="136"/>
  <c r="I103" i="136"/>
  <c r="G101" i="136"/>
  <c r="G100" i="136"/>
  <c r="G99" i="136"/>
  <c r="G98" i="136"/>
  <c r="G97" i="136"/>
  <c r="G96" i="136"/>
  <c r="G95" i="136"/>
  <c r="G94" i="136"/>
  <c r="G103" i="136" s="1"/>
  <c r="B103" i="136" s="1"/>
  <c r="B104" i="136" s="1"/>
  <c r="G89" i="136"/>
  <c r="F89" i="136"/>
  <c r="B165" i="136"/>
  <c r="B166" i="136" s="1"/>
  <c r="B126" i="136"/>
  <c r="C64" i="136"/>
  <c r="C65" i="136" s="1"/>
  <c r="H65" i="136" s="1"/>
  <c r="G72" i="136"/>
  <c r="G73" i="136"/>
  <c r="G74" i="136"/>
  <c r="G75" i="136"/>
  <c r="G76" i="136"/>
  <c r="G77" i="136"/>
  <c r="G78" i="136"/>
  <c r="G79" i="136"/>
  <c r="G71" i="136"/>
  <c r="H81" i="136"/>
  <c r="F81" i="136"/>
  <c r="I80" i="136"/>
  <c r="I81" i="136" s="1"/>
  <c r="G66" i="136"/>
  <c r="C50" i="136"/>
  <c r="H50" i="136"/>
  <c r="C49" i="136"/>
  <c r="C48" i="136"/>
  <c r="E48" i="136"/>
  <c r="E47" i="136"/>
  <c r="F47" i="136" s="1"/>
  <c r="H58" i="136"/>
  <c r="F58" i="136"/>
  <c r="I57" i="136"/>
  <c r="I58" i="136"/>
  <c r="G56" i="136"/>
  <c r="G58" i="136"/>
  <c r="G51" i="136"/>
  <c r="C25" i="136"/>
  <c r="H25" i="136" s="1"/>
  <c r="C24" i="136"/>
  <c r="G31" i="136"/>
  <c r="G32" i="136"/>
  <c r="G33" i="136"/>
  <c r="G34" i="136"/>
  <c r="G35" i="136"/>
  <c r="G36" i="136"/>
  <c r="G37" i="136"/>
  <c r="H41" i="136"/>
  <c r="F41" i="136"/>
  <c r="I40" i="136"/>
  <c r="I41" i="136"/>
  <c r="G39" i="136"/>
  <c r="G38" i="136"/>
  <c r="G26" i="136"/>
  <c r="F26" i="136"/>
  <c r="H18" i="136"/>
  <c r="F18" i="136"/>
  <c r="I17" i="136"/>
  <c r="I18" i="136" s="1"/>
  <c r="G16" i="136"/>
  <c r="G18" i="136" s="1"/>
  <c r="G15" i="136"/>
  <c r="G10" i="136"/>
  <c r="F10" i="136"/>
  <c r="H9" i="136"/>
  <c r="F66" i="136"/>
  <c r="B58" i="136"/>
  <c r="B59" i="136" s="1"/>
  <c r="B14" i="133"/>
  <c r="A14" i="133"/>
  <c r="B13" i="133"/>
  <c r="A13" i="133"/>
  <c r="B10" i="133"/>
  <c r="A10" i="133"/>
  <c r="B9" i="133"/>
  <c r="A9" i="133"/>
  <c r="I7" i="133"/>
  <c r="K26" i="132"/>
  <c r="H26" i="132"/>
  <c r="B25" i="132"/>
  <c r="A25" i="132"/>
  <c r="B24" i="132"/>
  <c r="A24" i="132"/>
  <c r="B23" i="132"/>
  <c r="A23" i="132"/>
  <c r="B22" i="132"/>
  <c r="A22" i="132"/>
  <c r="B21" i="132"/>
  <c r="A21" i="132"/>
  <c r="G18" i="132"/>
  <c r="G26" i="132" s="1"/>
  <c r="B17" i="132"/>
  <c r="A17" i="132"/>
  <c r="B16" i="132"/>
  <c r="A16" i="132"/>
  <c r="B15" i="132"/>
  <c r="A15" i="132"/>
  <c r="B14" i="132"/>
  <c r="A14" i="132"/>
  <c r="B13" i="132"/>
  <c r="A13" i="132"/>
  <c r="I11" i="132"/>
  <c r="J7" i="133"/>
  <c r="C2119" i="130"/>
  <c r="I2125" i="130"/>
  <c r="F2125" i="130"/>
  <c r="E2122" i="130"/>
  <c r="G2122" i="130" s="1"/>
  <c r="G2121" i="130"/>
  <c r="E2117" i="130"/>
  <c r="G2117" i="130" s="1"/>
  <c r="L2114" i="130"/>
  <c r="E2118" i="130"/>
  <c r="G2118" i="130"/>
  <c r="J15" i="133"/>
  <c r="J11" i="133"/>
  <c r="G2116" i="130"/>
  <c r="E1131" i="115"/>
  <c r="H252" i="124"/>
  <c r="F252" i="124"/>
  <c r="E251" i="124"/>
  <c r="I251" i="124" s="1"/>
  <c r="I252" i="124" s="1"/>
  <c r="G250" i="124"/>
  <c r="G252" i="124" s="1"/>
  <c r="G245" i="124"/>
  <c r="F245" i="124"/>
  <c r="G236" i="124"/>
  <c r="G238" i="124" s="1"/>
  <c r="H238" i="124"/>
  <c r="F238" i="124"/>
  <c r="E237" i="124"/>
  <c r="I237" i="124" s="1"/>
  <c r="I238" i="124" s="1"/>
  <c r="G231" i="124"/>
  <c r="F231" i="124"/>
  <c r="E1165" i="115"/>
  <c r="D218" i="121"/>
  <c r="D210" i="121"/>
  <c r="C302" i="81"/>
  <c r="C845" i="81"/>
  <c r="E1148" i="115"/>
  <c r="E1112" i="115"/>
  <c r="C462" i="81"/>
  <c r="C11" i="124"/>
  <c r="C10" i="130"/>
  <c r="C15" i="81"/>
  <c r="D194" i="113"/>
  <c r="D195" i="113"/>
  <c r="D196" i="113"/>
  <c r="D197" i="113"/>
  <c r="D198" i="113"/>
  <c r="D199" i="113"/>
  <c r="D202" i="113"/>
  <c r="D203" i="113"/>
  <c r="D204" i="113"/>
  <c r="D193" i="113"/>
  <c r="D190" i="113"/>
  <c r="D191" i="113"/>
  <c r="D189" i="113"/>
  <c r="D186" i="113"/>
  <c r="D187" i="113"/>
  <c r="D185" i="113"/>
  <c r="D173" i="113"/>
  <c r="D174" i="113"/>
  <c r="D175" i="113"/>
  <c r="D176" i="113"/>
  <c r="D177" i="113"/>
  <c r="D178" i="113"/>
  <c r="D179" i="113"/>
  <c r="D180" i="113"/>
  <c r="D181" i="113"/>
  <c r="D182" i="113"/>
  <c r="D183" i="113"/>
  <c r="D172" i="113"/>
  <c r="D163" i="113"/>
  <c r="D164" i="113"/>
  <c r="D165" i="113"/>
  <c r="D166" i="113"/>
  <c r="D167" i="113"/>
  <c r="D168" i="113"/>
  <c r="D169" i="113"/>
  <c r="D170" i="113"/>
  <c r="D162" i="113"/>
  <c r="D158" i="113"/>
  <c r="D156" i="113"/>
  <c r="D154" i="113"/>
  <c r="D153" i="113"/>
  <c r="D137" i="113"/>
  <c r="D138" i="113"/>
  <c r="D139" i="113"/>
  <c r="D140" i="113"/>
  <c r="D141" i="113"/>
  <c r="D142" i="113"/>
  <c r="D143" i="113"/>
  <c r="D144" i="113"/>
  <c r="D145" i="113"/>
  <c r="D146" i="113"/>
  <c r="D147" i="113"/>
  <c r="D148" i="113"/>
  <c r="D149" i="113"/>
  <c r="D150" i="113"/>
  <c r="D136" i="113"/>
  <c r="D134" i="113"/>
  <c r="F134" i="113" s="1"/>
  <c r="D133" i="113"/>
  <c r="D132" i="113"/>
  <c r="D79" i="113"/>
  <c r="D80" i="113"/>
  <c r="D81" i="113"/>
  <c r="D82" i="113"/>
  <c r="D83" i="113"/>
  <c r="D84" i="113"/>
  <c r="D85" i="113"/>
  <c r="D86" i="113"/>
  <c r="D87" i="113"/>
  <c r="D88" i="113"/>
  <c r="D89" i="113"/>
  <c r="D90" i="113"/>
  <c r="D91" i="113"/>
  <c r="D92" i="113"/>
  <c r="D93" i="113"/>
  <c r="D94" i="113"/>
  <c r="D95" i="113"/>
  <c r="D96" i="113"/>
  <c r="D97" i="113"/>
  <c r="D98" i="113"/>
  <c r="D99" i="113"/>
  <c r="D100" i="113"/>
  <c r="D101" i="113"/>
  <c r="D102" i="113"/>
  <c r="D103" i="113"/>
  <c r="D104" i="113"/>
  <c r="D105" i="113"/>
  <c r="D106" i="113"/>
  <c r="D107" i="113"/>
  <c r="D108" i="113"/>
  <c r="D109" i="113"/>
  <c r="D110" i="113"/>
  <c r="D111" i="113"/>
  <c r="D112" i="113"/>
  <c r="D113" i="113"/>
  <c r="D114" i="113"/>
  <c r="D115" i="113"/>
  <c r="D116" i="113"/>
  <c r="D118" i="113"/>
  <c r="D119" i="113"/>
  <c r="D120" i="113"/>
  <c r="D121" i="113"/>
  <c r="D122" i="113"/>
  <c r="D78" i="113"/>
  <c r="D70" i="113"/>
  <c r="D76" i="113"/>
  <c r="D69" i="113"/>
  <c r="D60" i="113"/>
  <c r="D61" i="113"/>
  <c r="D62" i="113"/>
  <c r="D64" i="113"/>
  <c r="D65" i="113"/>
  <c r="D66" i="113"/>
  <c r="D67" i="113"/>
  <c r="D59" i="113"/>
  <c r="D53" i="113"/>
  <c r="D55" i="113"/>
  <c r="D56" i="113"/>
  <c r="D57" i="113"/>
  <c r="D52" i="113"/>
  <c r="D50" i="113"/>
  <c r="D173" i="86"/>
  <c r="D103" i="86"/>
  <c r="D443" i="152" s="1"/>
  <c r="D443" i="140"/>
  <c r="D54" i="113"/>
  <c r="D199" i="86"/>
  <c r="H771" i="113"/>
  <c r="G771" i="113"/>
  <c r="E767" i="113"/>
  <c r="F767" i="113" s="1"/>
  <c r="F694" i="113"/>
  <c r="E628" i="113"/>
  <c r="F628" i="113"/>
  <c r="E648" i="113"/>
  <c r="D530" i="113"/>
  <c r="D529" i="113"/>
  <c r="D521" i="113"/>
  <c r="D520" i="113"/>
  <c r="D519" i="113"/>
  <c r="E404" i="113"/>
  <c r="E424" i="113"/>
  <c r="E259" i="113"/>
  <c r="F259" i="113"/>
  <c r="E287" i="113"/>
  <c r="F287" i="113"/>
  <c r="E290" i="113"/>
  <c r="F290" i="113"/>
  <c r="E98" i="113"/>
  <c r="E117" i="113"/>
  <c r="J122" i="113"/>
  <c r="J121" i="113"/>
  <c r="J120" i="113"/>
  <c r="J119" i="113"/>
  <c r="J118" i="113"/>
  <c r="J117" i="113"/>
  <c r="J116" i="113"/>
  <c r="J115" i="113"/>
  <c r="J114" i="113"/>
  <c r="J113" i="113"/>
  <c r="J112" i="113"/>
  <c r="J111" i="113"/>
  <c r="J110" i="113"/>
  <c r="J109" i="113"/>
  <c r="J108" i="113"/>
  <c r="J107" i="113"/>
  <c r="J106" i="113"/>
  <c r="J105" i="113"/>
  <c r="J104" i="113"/>
  <c r="J103" i="113"/>
  <c r="J102" i="113"/>
  <c r="J101" i="113"/>
  <c r="J100" i="113"/>
  <c r="J99" i="113"/>
  <c r="H2048" i="130"/>
  <c r="F2048" i="130"/>
  <c r="E2047" i="130"/>
  <c r="I2047" i="130" s="1"/>
  <c r="I2048" i="130" s="1"/>
  <c r="G2046" i="130"/>
  <c r="G2048" i="130" s="1"/>
  <c r="K2043" i="130"/>
  <c r="G2041" i="130"/>
  <c r="F2041" i="130"/>
  <c r="D271" i="125"/>
  <c r="D272" i="125"/>
  <c r="D751" i="152" s="1"/>
  <c r="D273" i="125"/>
  <c r="D274" i="125"/>
  <c r="D753" i="152" s="1"/>
  <c r="D275" i="125"/>
  <c r="D276" i="125"/>
  <c r="D755" i="152" s="1"/>
  <c r="D277" i="125"/>
  <c r="D756" i="152" s="1"/>
  <c r="D278" i="125"/>
  <c r="D279" i="125"/>
  <c r="D280" i="125"/>
  <c r="D759" i="152" s="1"/>
  <c r="D281" i="125"/>
  <c r="D282" i="125"/>
  <c r="D283" i="125"/>
  <c r="D284" i="125"/>
  <c r="D763" i="152" s="1"/>
  <c r="D285" i="125"/>
  <c r="D286" i="125"/>
  <c r="D765" i="152" s="1"/>
  <c r="D287" i="125"/>
  <c r="D289" i="125"/>
  <c r="D768" i="152" s="1"/>
  <c r="D290" i="125"/>
  <c r="D291" i="125"/>
  <c r="D770" i="152" s="1"/>
  <c r="D292" i="125"/>
  <c r="D293" i="125"/>
  <c r="D772" i="152" s="1"/>
  <c r="D294" i="125"/>
  <c r="D773" i="152" s="1"/>
  <c r="D295" i="125"/>
  <c r="D296" i="125"/>
  <c r="D297" i="125"/>
  <c r="D776" i="152" s="1"/>
  <c r="D298" i="125"/>
  <c r="D299" i="125"/>
  <c r="D300" i="125"/>
  <c r="D301" i="125"/>
  <c r="D780" i="152" s="1"/>
  <c r="D302" i="125"/>
  <c r="D303" i="125"/>
  <c r="D782" i="152" s="1"/>
  <c r="D304" i="125"/>
  <c r="D306" i="125"/>
  <c r="D785" i="152" s="1"/>
  <c r="D307" i="125"/>
  <c r="D308" i="125"/>
  <c r="D309" i="125"/>
  <c r="D310" i="125"/>
  <c r="D789" i="152" s="1"/>
  <c r="D311" i="125"/>
  <c r="D790" i="152" s="1"/>
  <c r="D312" i="125"/>
  <c r="D791" i="152" s="1"/>
  <c r="D313" i="125"/>
  <c r="D314" i="125"/>
  <c r="D793" i="152" s="1"/>
  <c r="D315" i="125"/>
  <c r="D316" i="125"/>
  <c r="D317" i="125"/>
  <c r="D318" i="125"/>
  <c r="D797" i="152" s="1"/>
  <c r="D319" i="125"/>
  <c r="D320" i="125"/>
  <c r="D321" i="125"/>
  <c r="D268" i="125"/>
  <c r="D747" i="152" s="1"/>
  <c r="D269" i="125"/>
  <c r="D270" i="125"/>
  <c r="D749" i="152" s="1"/>
  <c r="D267" i="125"/>
  <c r="D264" i="125"/>
  <c r="D743" i="152" s="1"/>
  <c r="D266" i="125"/>
  <c r="D745" i="152" s="1"/>
  <c r="D800" i="140"/>
  <c r="D800" i="152"/>
  <c r="D782" i="140"/>
  <c r="D765" i="140"/>
  <c r="D766" i="140"/>
  <c r="D766" i="152"/>
  <c r="D798" i="140"/>
  <c r="D798" i="152"/>
  <c r="D790" i="140"/>
  <c r="D781" i="140"/>
  <c r="D781" i="152"/>
  <c r="D773" i="140"/>
  <c r="D764" i="140"/>
  <c r="D764" i="152"/>
  <c r="D756" i="140"/>
  <c r="D758" i="140"/>
  <c r="D758" i="152"/>
  <c r="D789" i="140"/>
  <c r="D780" i="140"/>
  <c r="D772" i="140"/>
  <c r="D763" i="140"/>
  <c r="D755" i="140"/>
  <c r="D783" i="140"/>
  <c r="D783" i="152"/>
  <c r="D743" i="140"/>
  <c r="D797" i="140"/>
  <c r="D746" i="140"/>
  <c r="D746" i="152"/>
  <c r="D796" i="140"/>
  <c r="D796" i="152"/>
  <c r="D788" i="140"/>
  <c r="D788" i="152"/>
  <c r="D779" i="140"/>
  <c r="D779" i="152"/>
  <c r="D771" i="140"/>
  <c r="D771" i="152"/>
  <c r="D762" i="140"/>
  <c r="D762" i="152"/>
  <c r="D754" i="140"/>
  <c r="D754" i="152"/>
  <c r="D775" i="140"/>
  <c r="D775" i="152"/>
  <c r="D745" i="140"/>
  <c r="D770" i="140"/>
  <c r="D753" i="140"/>
  <c r="D750" i="140"/>
  <c r="D750" i="152"/>
  <c r="D749" i="140"/>
  <c r="D748" i="140"/>
  <c r="D748" i="152"/>
  <c r="D794" i="140"/>
  <c r="D794" i="152"/>
  <c r="D786" i="140"/>
  <c r="D786" i="152"/>
  <c r="D777" i="140"/>
  <c r="D777" i="152"/>
  <c r="D769" i="140"/>
  <c r="D769" i="152"/>
  <c r="D760" i="140"/>
  <c r="D760" i="152"/>
  <c r="D752" i="140"/>
  <c r="D752" i="152"/>
  <c r="D792" i="140"/>
  <c r="D792" i="152"/>
  <c r="D791" i="140"/>
  <c r="D747" i="140"/>
  <c r="D793" i="140"/>
  <c r="D785" i="140"/>
  <c r="D776" i="140"/>
  <c r="D768" i="140"/>
  <c r="D759" i="140"/>
  <c r="D751" i="140"/>
  <c r="D261" i="125"/>
  <c r="D740" i="152" s="1"/>
  <c r="D262" i="125"/>
  <c r="D263" i="125"/>
  <c r="D742" i="152" s="1"/>
  <c r="D260" i="125"/>
  <c r="D741" i="140"/>
  <c r="D741" i="152"/>
  <c r="D740" i="140"/>
  <c r="D739" i="140"/>
  <c r="D739" i="152"/>
  <c r="D742" i="140"/>
  <c r="E2092" i="130"/>
  <c r="G2092" i="130" s="1"/>
  <c r="E2062" i="130"/>
  <c r="G2061" i="130"/>
  <c r="E2107" i="130"/>
  <c r="G2107" i="130"/>
  <c r="E2108" i="130"/>
  <c r="F1388" i="130"/>
  <c r="F1178" i="130"/>
  <c r="H2110" i="130"/>
  <c r="F2110" i="130"/>
  <c r="E2109" i="130"/>
  <c r="I2109" i="130" s="1"/>
  <c r="I2110" i="130" s="1"/>
  <c r="G2108" i="130"/>
  <c r="G2102" i="130"/>
  <c r="F2102" i="130"/>
  <c r="H2064" i="130"/>
  <c r="F2064" i="130"/>
  <c r="E2063" i="130"/>
  <c r="I2063" i="130" s="1"/>
  <c r="I2064" i="130" s="1"/>
  <c r="G2062" i="130"/>
  <c r="G2056" i="130"/>
  <c r="F2056" i="130"/>
  <c r="H2094" i="130"/>
  <c r="F2094" i="130"/>
  <c r="E2093" i="130"/>
  <c r="I2093" i="130" s="1"/>
  <c r="I2094" i="130" s="1"/>
  <c r="G2094" i="130"/>
  <c r="G2087" i="130"/>
  <c r="F2087" i="130"/>
  <c r="H2079" i="130"/>
  <c r="F2079" i="130"/>
  <c r="E2078" i="130"/>
  <c r="I2078" i="130" s="1"/>
  <c r="I2079" i="130" s="1"/>
  <c r="G2077" i="130"/>
  <c r="G2079" i="130" s="1"/>
  <c r="G2072" i="130"/>
  <c r="F2072" i="130"/>
  <c r="H2033" i="130"/>
  <c r="F2033" i="130"/>
  <c r="E2032" i="130"/>
  <c r="I2032" i="130" s="1"/>
  <c r="I2033" i="130" s="1"/>
  <c r="B2033" i="130" s="1"/>
  <c r="B2034" i="130" s="1"/>
  <c r="G2031" i="130"/>
  <c r="G2033" i="130"/>
  <c r="K2028" i="130"/>
  <c r="G2026" i="130"/>
  <c r="F2026" i="130"/>
  <c r="G2110" i="130"/>
  <c r="G331" i="125"/>
  <c r="G332" i="125"/>
  <c r="G333" i="125"/>
  <c r="G334" i="125"/>
  <c r="G335" i="125"/>
  <c r="G1986" i="130"/>
  <c r="H1745" i="130"/>
  <c r="F1745" i="130"/>
  <c r="E1744" i="130"/>
  <c r="I1744" i="130" s="1"/>
  <c r="I1745" i="130" s="1"/>
  <c r="B1745" i="130" s="1"/>
  <c r="B1746" i="130" s="1"/>
  <c r="G1743" i="130"/>
  <c r="G1745" i="130" s="1"/>
  <c r="K1740" i="130"/>
  <c r="G1738" i="130"/>
  <c r="F1738" i="130"/>
  <c r="H2018" i="130"/>
  <c r="F2018" i="130"/>
  <c r="E2017" i="130"/>
  <c r="I2017" i="130"/>
  <c r="I2018" i="130" s="1"/>
  <c r="G2016" i="130"/>
  <c r="G2018" i="130"/>
  <c r="K2013" i="130"/>
  <c r="G2011" i="130"/>
  <c r="F2011" i="130"/>
  <c r="H2003" i="130"/>
  <c r="F2003" i="130"/>
  <c r="E2002" i="130"/>
  <c r="I2002" i="130" s="1"/>
  <c r="I2003" i="130" s="1"/>
  <c r="G2001" i="130"/>
  <c r="G2003" i="130"/>
  <c r="K1998" i="130"/>
  <c r="G1996" i="130"/>
  <c r="F1996" i="130"/>
  <c r="H1988" i="130"/>
  <c r="F1988" i="130"/>
  <c r="E1987" i="130"/>
  <c r="I1987" i="130" s="1"/>
  <c r="I1988" i="130" s="1"/>
  <c r="G1988" i="130"/>
  <c r="K1983" i="130"/>
  <c r="G1981" i="130"/>
  <c r="F1981" i="130"/>
  <c r="H1973" i="130"/>
  <c r="F1973" i="130"/>
  <c r="E1972" i="130"/>
  <c r="I1972" i="130" s="1"/>
  <c r="I1973" i="130" s="1"/>
  <c r="G1971" i="130"/>
  <c r="G1973" i="130" s="1"/>
  <c r="K1968" i="130"/>
  <c r="G1966" i="130"/>
  <c r="F1966" i="130"/>
  <c r="H1958" i="130"/>
  <c r="F1958" i="130"/>
  <c r="E1957" i="130"/>
  <c r="I1957" i="130" s="1"/>
  <c r="I1958" i="130" s="1"/>
  <c r="G1956" i="130"/>
  <c r="G1958" i="130" s="1"/>
  <c r="K1953" i="130"/>
  <c r="G1951" i="130"/>
  <c r="F1951" i="130"/>
  <c r="H1943" i="130"/>
  <c r="F1943" i="130"/>
  <c r="E1942" i="130"/>
  <c r="I1942" i="130" s="1"/>
  <c r="I1943" i="130" s="1"/>
  <c r="G1941" i="130"/>
  <c r="G1943" i="130" s="1"/>
  <c r="K1938" i="130"/>
  <c r="G1936" i="130"/>
  <c r="F1936" i="130"/>
  <c r="H1928" i="130"/>
  <c r="F1928" i="130"/>
  <c r="E1927" i="130"/>
  <c r="I1927" i="130" s="1"/>
  <c r="I1928" i="130" s="1"/>
  <c r="G1926" i="130"/>
  <c r="G1928" i="130" s="1"/>
  <c r="K1923" i="130"/>
  <c r="G1921" i="130"/>
  <c r="F1921" i="130"/>
  <c r="H1913" i="130"/>
  <c r="F1913" i="130"/>
  <c r="E1912" i="130"/>
  <c r="I1912" i="130" s="1"/>
  <c r="I1913" i="130"/>
  <c r="G1911" i="130"/>
  <c r="G1913" i="130"/>
  <c r="K1908" i="130"/>
  <c r="G1906" i="130"/>
  <c r="F1906" i="130"/>
  <c r="H1898" i="130"/>
  <c r="F1898" i="130"/>
  <c r="E1897" i="130"/>
  <c r="I1897" i="130" s="1"/>
  <c r="I1898" i="130" s="1"/>
  <c r="B1898" i="130" s="1"/>
  <c r="B1899" i="130" s="1"/>
  <c r="E1892" i="130" s="1"/>
  <c r="G1896" i="130"/>
  <c r="G1898" i="130" s="1"/>
  <c r="K1893" i="130"/>
  <c r="G1891" i="130"/>
  <c r="F1891" i="130"/>
  <c r="H1883" i="130"/>
  <c r="F1883" i="130"/>
  <c r="E1882" i="130"/>
  <c r="I1882" i="130" s="1"/>
  <c r="I1883" i="130" s="1"/>
  <c r="G1881" i="130"/>
  <c r="G1883" i="130" s="1"/>
  <c r="K1878" i="130"/>
  <c r="H1867" i="130"/>
  <c r="F1867" i="130"/>
  <c r="E1866" i="130"/>
  <c r="I1866" i="130" s="1"/>
  <c r="I1867" i="130" s="1"/>
  <c r="G1865" i="130"/>
  <c r="G1867" i="130" s="1"/>
  <c r="K1862" i="130"/>
  <c r="G1860" i="130"/>
  <c r="F1860" i="130"/>
  <c r="H1852" i="130"/>
  <c r="F1852" i="130"/>
  <c r="E1851" i="130"/>
  <c r="I1851" i="130" s="1"/>
  <c r="I1852" i="130"/>
  <c r="G1850" i="130"/>
  <c r="G1852" i="130"/>
  <c r="K1847" i="130"/>
  <c r="G1845" i="130"/>
  <c r="F1845" i="130"/>
  <c r="H1729" i="130"/>
  <c r="F1729" i="130"/>
  <c r="E1728" i="130"/>
  <c r="I1728" i="130" s="1"/>
  <c r="I1729" i="130" s="1"/>
  <c r="B1729" i="130" s="1"/>
  <c r="B1730" i="130" s="1"/>
  <c r="G1726" i="130"/>
  <c r="G1729" i="130" s="1"/>
  <c r="K1723" i="130"/>
  <c r="G1721" i="130"/>
  <c r="F1721" i="130"/>
  <c r="K2552" i="130"/>
  <c r="H2550" i="130"/>
  <c r="F2550" i="130"/>
  <c r="E2549" i="130"/>
  <c r="I2549" i="130" s="1"/>
  <c r="I2550" i="130" s="1"/>
  <c r="B2550" i="130" s="1"/>
  <c r="B2551" i="130" s="1"/>
  <c r="E2544" i="130" s="1"/>
  <c r="G2548" i="130"/>
  <c r="G2550" i="130"/>
  <c r="K2545" i="130"/>
  <c r="G2543" i="130"/>
  <c r="F2543" i="130"/>
  <c r="K2537" i="130"/>
  <c r="H2535" i="130"/>
  <c r="F2535" i="130"/>
  <c r="E2534" i="130"/>
  <c r="I2534" i="130" s="1"/>
  <c r="I2535" i="130" s="1"/>
  <c r="G2533" i="130"/>
  <c r="G2535" i="130" s="1"/>
  <c r="K2530" i="130"/>
  <c r="G2528" i="130"/>
  <c r="F2528" i="130"/>
  <c r="H1601" i="130"/>
  <c r="F1601" i="130"/>
  <c r="E1600" i="130"/>
  <c r="I1600" i="130" s="1"/>
  <c r="I1601" i="130" s="1"/>
  <c r="G1598" i="130"/>
  <c r="G1601" i="130" s="1"/>
  <c r="K1595" i="130"/>
  <c r="G1593" i="130"/>
  <c r="F1593" i="130"/>
  <c r="H1568" i="130"/>
  <c r="F1568" i="130"/>
  <c r="E1567" i="130"/>
  <c r="I1567" i="130" s="1"/>
  <c r="I1568" i="130" s="1"/>
  <c r="G1565" i="130"/>
  <c r="G1568" i="130" s="1"/>
  <c r="K1562" i="130"/>
  <c r="G1560" i="130"/>
  <c r="F1560" i="130"/>
  <c r="H1522" i="130"/>
  <c r="F1522" i="130"/>
  <c r="B1522" i="130" s="1"/>
  <c r="B1523" i="130" s="1"/>
  <c r="G1519" i="130"/>
  <c r="G1522" i="130"/>
  <c r="K1516" i="130"/>
  <c r="G1514" i="130"/>
  <c r="F1514" i="130"/>
  <c r="H1504" i="130"/>
  <c r="F1504" i="130"/>
  <c r="E1503" i="130"/>
  <c r="I1503" i="130" s="1"/>
  <c r="I1504" i="130" s="1"/>
  <c r="B1504" i="130" s="1"/>
  <c r="B1505" i="130" s="1"/>
  <c r="G1501" i="130"/>
  <c r="G1504" i="130"/>
  <c r="K1498" i="130"/>
  <c r="G1496" i="130"/>
  <c r="F1496" i="130"/>
  <c r="H1471" i="130"/>
  <c r="F1471" i="130"/>
  <c r="E1470" i="130"/>
  <c r="I1470" i="130" s="1"/>
  <c r="I1471" i="130" s="1"/>
  <c r="B1471" i="130" s="1"/>
  <c r="B1472" i="130" s="1"/>
  <c r="G1469" i="130"/>
  <c r="G1471" i="130"/>
  <c r="G1464" i="130"/>
  <c r="F1464" i="130"/>
  <c r="H1456" i="130"/>
  <c r="F1456" i="130"/>
  <c r="E1455" i="130"/>
  <c r="I1455" i="130"/>
  <c r="I1456" i="130" s="1"/>
  <c r="B1456" i="130" s="1"/>
  <c r="B1457" i="130" s="1"/>
  <c r="G1454" i="130"/>
  <c r="G1456" i="130"/>
  <c r="G1449" i="130"/>
  <c r="F1449" i="130"/>
  <c r="H1425" i="130"/>
  <c r="F1425" i="130"/>
  <c r="E1424" i="130"/>
  <c r="I1424" i="130" s="1"/>
  <c r="I1425" i="130" s="1"/>
  <c r="G1423" i="130"/>
  <c r="G1425" i="130" s="1"/>
  <c r="K1420" i="130"/>
  <c r="G1418" i="130"/>
  <c r="F1418" i="130"/>
  <c r="H1410" i="130"/>
  <c r="F1410" i="130"/>
  <c r="E1409" i="130"/>
  <c r="I1409" i="130" s="1"/>
  <c r="I1410" i="130"/>
  <c r="B1410" i="130" s="1"/>
  <c r="B1411" i="130" s="1"/>
  <c r="G1408" i="130"/>
  <c r="G1410" i="130"/>
  <c r="G1403" i="130"/>
  <c r="F1403" i="130"/>
  <c r="H1380" i="130"/>
  <c r="F1380" i="130"/>
  <c r="E1379" i="130"/>
  <c r="I1379" i="130"/>
  <c r="I1380" i="130" s="1"/>
  <c r="B1380" i="130" s="1"/>
  <c r="B1381" i="130" s="1"/>
  <c r="G1378" i="130"/>
  <c r="G1380" i="130"/>
  <c r="G1373" i="130"/>
  <c r="F1373" i="130"/>
  <c r="H1365" i="130"/>
  <c r="F1365" i="130"/>
  <c r="E1364" i="130"/>
  <c r="I1364" i="130"/>
  <c r="I1365" i="130" s="1"/>
  <c r="B1365" i="130" s="1"/>
  <c r="B1366" i="130" s="1"/>
  <c r="E1358" i="130" s="1"/>
  <c r="G1362" i="130"/>
  <c r="G1365" i="130"/>
  <c r="K1359" i="130"/>
  <c r="G1357" i="130"/>
  <c r="F1357" i="130"/>
  <c r="H1333" i="130"/>
  <c r="F1333" i="130"/>
  <c r="E1332" i="130"/>
  <c r="I1332" i="130" s="1"/>
  <c r="I1333" i="130" s="1"/>
  <c r="G1330" i="130"/>
  <c r="G1333" i="130"/>
  <c r="K1327" i="130"/>
  <c r="G1325" i="130"/>
  <c r="F1325" i="130"/>
  <c r="H1317" i="130"/>
  <c r="F1317" i="130"/>
  <c r="E1316" i="130"/>
  <c r="I1316" i="130" s="1"/>
  <c r="I1317" i="130" s="1"/>
  <c r="B1317" i="130" s="1"/>
  <c r="B1318" i="130" s="1"/>
  <c r="G1314" i="130"/>
  <c r="G1317" i="130" s="1"/>
  <c r="K1311" i="130"/>
  <c r="G1309" i="130"/>
  <c r="F1309" i="130"/>
  <c r="H1252" i="130"/>
  <c r="F1252" i="130"/>
  <c r="E1251" i="130"/>
  <c r="I1251" i="130" s="1"/>
  <c r="I1252" i="130"/>
  <c r="G1249" i="130"/>
  <c r="G1252" i="130"/>
  <c r="K1246" i="130"/>
  <c r="G1244" i="130"/>
  <c r="F1244" i="130"/>
  <c r="B1867" i="130"/>
  <c r="B1868" i="130" s="1"/>
  <c r="H1236" i="130"/>
  <c r="F1236" i="130"/>
  <c r="E1235" i="130"/>
  <c r="I1235" i="130" s="1"/>
  <c r="I1236" i="130" s="1"/>
  <c r="G1233" i="130"/>
  <c r="G1236" i="130"/>
  <c r="K1230" i="130"/>
  <c r="G1228" i="130"/>
  <c r="F1228" i="130"/>
  <c r="H1837" i="130"/>
  <c r="F1837" i="130"/>
  <c r="E1836" i="130"/>
  <c r="I1836" i="130" s="1"/>
  <c r="I1837" i="130" s="1"/>
  <c r="G1835" i="130"/>
  <c r="G1837" i="130"/>
  <c r="K1832" i="130"/>
  <c r="H1821" i="130"/>
  <c r="F1821" i="130"/>
  <c r="E1820" i="130"/>
  <c r="I1820" i="130" s="1"/>
  <c r="I1821" i="130" s="1"/>
  <c r="B1821" i="130" s="1"/>
  <c r="B1822" i="130" s="1"/>
  <c r="G1819" i="130"/>
  <c r="G1821" i="130"/>
  <c r="K1816" i="130"/>
  <c r="H1805" i="130"/>
  <c r="F1805" i="130"/>
  <c r="E1804" i="130"/>
  <c r="I1804" i="130" s="1"/>
  <c r="I1805" i="130" s="1"/>
  <c r="G1803" i="130"/>
  <c r="G1805" i="130"/>
  <c r="K1800" i="130"/>
  <c r="G1798" i="130"/>
  <c r="F1798" i="130"/>
  <c r="H1790" i="130"/>
  <c r="F1790" i="130"/>
  <c r="E1789" i="130"/>
  <c r="I1789" i="130" s="1"/>
  <c r="I1790" i="130" s="1"/>
  <c r="G1788" i="130"/>
  <c r="G1790" i="130"/>
  <c r="K1785" i="130"/>
  <c r="G1783" i="130"/>
  <c r="F1783" i="130"/>
  <c r="H1775" i="130"/>
  <c r="F1775" i="130"/>
  <c r="E1774" i="130"/>
  <c r="I1774" i="130" s="1"/>
  <c r="I1775" i="130" s="1"/>
  <c r="G1773" i="130"/>
  <c r="G1775" i="130" s="1"/>
  <c r="B1775" i="130" s="1"/>
  <c r="B1776" i="130" s="1"/>
  <c r="K1770" i="130"/>
  <c r="G1768" i="130"/>
  <c r="F1768" i="130"/>
  <c r="H1760" i="130"/>
  <c r="F1760" i="130"/>
  <c r="E1759" i="130"/>
  <c r="I1759" i="130" s="1"/>
  <c r="I1760" i="130" s="1"/>
  <c r="G1758" i="130"/>
  <c r="G1760" i="130" s="1"/>
  <c r="K1755" i="130"/>
  <c r="G1753" i="130"/>
  <c r="F1753" i="130"/>
  <c r="G1199" i="130"/>
  <c r="G1202" i="130" s="1"/>
  <c r="G1215" i="130"/>
  <c r="G1219" i="130" s="1"/>
  <c r="F768" i="130"/>
  <c r="G766" i="130"/>
  <c r="G768" i="130"/>
  <c r="K763" i="130"/>
  <c r="G761" i="130"/>
  <c r="F761" i="130"/>
  <c r="G1089" i="130"/>
  <c r="E1088" i="130"/>
  <c r="G1088" i="130" s="1"/>
  <c r="E1087" i="130"/>
  <c r="G1087" i="130" s="1"/>
  <c r="G1086" i="130"/>
  <c r="E1085" i="130"/>
  <c r="G1085" i="130" s="1"/>
  <c r="E1079" i="130"/>
  <c r="F1079" i="130" s="1"/>
  <c r="E1078" i="130"/>
  <c r="F1078" i="130" s="1"/>
  <c r="H1155" i="130"/>
  <c r="F1155" i="130"/>
  <c r="E1154" i="130"/>
  <c r="I1154" i="130" s="1"/>
  <c r="I1155" i="130" s="1"/>
  <c r="G1153" i="130"/>
  <c r="G1155" i="130"/>
  <c r="K1150" i="130"/>
  <c r="G1148" i="130"/>
  <c r="F1148" i="130"/>
  <c r="H783" i="130"/>
  <c r="F783" i="130"/>
  <c r="E782" i="130"/>
  <c r="I782" i="130" s="1"/>
  <c r="I783" i="130" s="1"/>
  <c r="B783" i="130" s="1"/>
  <c r="B784" i="130" s="1"/>
  <c r="G781" i="130"/>
  <c r="G783" i="130"/>
  <c r="K778" i="130"/>
  <c r="G776" i="130"/>
  <c r="F776" i="130"/>
  <c r="H1698" i="130"/>
  <c r="F1698" i="130"/>
  <c r="E1697" i="130"/>
  <c r="I1697" i="130" s="1"/>
  <c r="I1698" i="130" s="1"/>
  <c r="B1698" i="130" s="1"/>
  <c r="B1699" i="130" s="1"/>
  <c r="G1695" i="130"/>
  <c r="G1698" i="130"/>
  <c r="K1692" i="130"/>
  <c r="G1690" i="130"/>
  <c r="F1690" i="130"/>
  <c r="H1682" i="130"/>
  <c r="F1682" i="130"/>
  <c r="E1681" i="130"/>
  <c r="I1681" i="130" s="1"/>
  <c r="I1682" i="130" s="1"/>
  <c r="B1682" i="130" s="1"/>
  <c r="B1683" i="130" s="1"/>
  <c r="G1679" i="130"/>
  <c r="G1682" i="130"/>
  <c r="K1676" i="130"/>
  <c r="G1674" i="130"/>
  <c r="F1674" i="130"/>
  <c r="H1650" i="130"/>
  <c r="F1650" i="130"/>
  <c r="E1649" i="130"/>
  <c r="I1649" i="130" s="1"/>
  <c r="I1650" i="130" s="1"/>
  <c r="B1650" i="130" s="1"/>
  <c r="B1651" i="130" s="1"/>
  <c r="G1646" i="130"/>
  <c r="G1650" i="130"/>
  <c r="K1643" i="130"/>
  <c r="G1641" i="130"/>
  <c r="F1641" i="130"/>
  <c r="H1633" i="130"/>
  <c r="F1633" i="130"/>
  <c r="E1632" i="130"/>
  <c r="I1632" i="130" s="1"/>
  <c r="I1633" i="130" s="1"/>
  <c r="B1633" i="130" s="1"/>
  <c r="B1634" i="130" s="1"/>
  <c r="E293" i="125" s="1"/>
  <c r="G1630" i="130"/>
  <c r="G1633" i="130"/>
  <c r="K1627" i="130"/>
  <c r="G1625" i="130"/>
  <c r="F1625" i="130"/>
  <c r="H1617" i="130"/>
  <c r="F1617" i="130"/>
  <c r="E1616" i="130"/>
  <c r="I1616" i="130" s="1"/>
  <c r="I1617" i="130" s="1"/>
  <c r="B1617" i="130" s="1"/>
  <c r="B1618" i="130" s="1"/>
  <c r="G1614" i="130"/>
  <c r="G1617" i="130" s="1"/>
  <c r="K1611" i="130"/>
  <c r="G1609" i="130"/>
  <c r="F1609" i="130"/>
  <c r="H1585" i="130"/>
  <c r="F1585" i="130"/>
  <c r="E1584" i="130"/>
  <c r="I1584" i="130" s="1"/>
  <c r="I1585" i="130" s="1"/>
  <c r="G1581" i="130"/>
  <c r="G1585" i="130" s="1"/>
  <c r="K1578" i="130"/>
  <c r="G1576" i="130"/>
  <c r="F1576" i="130"/>
  <c r="H1537" i="130"/>
  <c r="F1537" i="130"/>
  <c r="E1536" i="130"/>
  <c r="I1536" i="130"/>
  <c r="I1537" i="130" s="1"/>
  <c r="G1535" i="130"/>
  <c r="G1537" i="130"/>
  <c r="K1532" i="130"/>
  <c r="G1530" i="130"/>
  <c r="F1530" i="130"/>
  <c r="H1440" i="130"/>
  <c r="F1440" i="130"/>
  <c r="E1439" i="130"/>
  <c r="I1439" i="130" s="1"/>
  <c r="I1440" i="130" s="1"/>
  <c r="G1438" i="130"/>
  <c r="G1440" i="130"/>
  <c r="K1435" i="130"/>
  <c r="G1433" i="130"/>
  <c r="F1433" i="130"/>
  <c r="H1395" i="130"/>
  <c r="F1395" i="130"/>
  <c r="E1394" i="130"/>
  <c r="I1394" i="130" s="1"/>
  <c r="I1395" i="130" s="1"/>
  <c r="G1393" i="130"/>
  <c r="G1395" i="130"/>
  <c r="K1390" i="130"/>
  <c r="G1388" i="130"/>
  <c r="H1348" i="130"/>
  <c r="F1348" i="130"/>
  <c r="E1347" i="130"/>
  <c r="I1347" i="130" s="1"/>
  <c r="I1348" i="130" s="1"/>
  <c r="G1346" i="130"/>
  <c r="G1348" i="130" s="1"/>
  <c r="K1343" i="130"/>
  <c r="G1341" i="130"/>
  <c r="F1341" i="130"/>
  <c r="H1186" i="130"/>
  <c r="F1186" i="130"/>
  <c r="E1185" i="130"/>
  <c r="I1185" i="130" s="1"/>
  <c r="I1186" i="130" s="1"/>
  <c r="G1183" i="130"/>
  <c r="G1186" i="130" s="1"/>
  <c r="K1180" i="130"/>
  <c r="G1178" i="130"/>
  <c r="H1301" i="130"/>
  <c r="F1301" i="130"/>
  <c r="E1300" i="130"/>
  <c r="I1300" i="130" s="1"/>
  <c r="I1301" i="130" s="1"/>
  <c r="B1301" i="130" s="1"/>
  <c r="B1302" i="130" s="1"/>
  <c r="G1297" i="130"/>
  <c r="G1301" i="130"/>
  <c r="K1294" i="130"/>
  <c r="G1292" i="130"/>
  <c r="F1292" i="130"/>
  <c r="H1284" i="130"/>
  <c r="F1284" i="130"/>
  <c r="E1283" i="130"/>
  <c r="I1283" i="130" s="1"/>
  <c r="I1284" i="130" s="1"/>
  <c r="G1281" i="130"/>
  <c r="G1284" i="130" s="1"/>
  <c r="K1278" i="130"/>
  <c r="G1276" i="130"/>
  <c r="F1276" i="130"/>
  <c r="H1268" i="130"/>
  <c r="F1268" i="130"/>
  <c r="E1267" i="130"/>
  <c r="I1267" i="130" s="1"/>
  <c r="I1268" i="130" s="1"/>
  <c r="B1268" i="130" s="1"/>
  <c r="B1269" i="130" s="1"/>
  <c r="G1265" i="130"/>
  <c r="G1268" i="130" s="1"/>
  <c r="K1262" i="130"/>
  <c r="G1260" i="130"/>
  <c r="F1260" i="130"/>
  <c r="H1202" i="130"/>
  <c r="E1201" i="130"/>
  <c r="I1201" i="130" s="1"/>
  <c r="I1202" i="130" s="1"/>
  <c r="K1196" i="130"/>
  <c r="G1194" i="130"/>
  <c r="F1194" i="130"/>
  <c r="H1219" i="130"/>
  <c r="E1218" i="130"/>
  <c r="I1218" i="130" s="1"/>
  <c r="I1219" i="130" s="1"/>
  <c r="K1212" i="130"/>
  <c r="G1210" i="130"/>
  <c r="F1210" i="130"/>
  <c r="H2520" i="130"/>
  <c r="F2520" i="130"/>
  <c r="E2519" i="130"/>
  <c r="I2519" i="130" s="1"/>
  <c r="I2520" i="130" s="1"/>
  <c r="G2518" i="130"/>
  <c r="G2520" i="130" s="1"/>
  <c r="K2515" i="130"/>
  <c r="G2513" i="130"/>
  <c r="F2513" i="130"/>
  <c r="B1155" i="130"/>
  <c r="B1156" i="130" s="1"/>
  <c r="H1170" i="130"/>
  <c r="F1170" i="130"/>
  <c r="E1169" i="130"/>
  <c r="I1169" i="130" s="1"/>
  <c r="I1170" i="130" s="1"/>
  <c r="G1168" i="130"/>
  <c r="G1170" i="130" s="1"/>
  <c r="K1165" i="130"/>
  <c r="G1163" i="130"/>
  <c r="F1163" i="130"/>
  <c r="H1139" i="130"/>
  <c r="F1139" i="130"/>
  <c r="E1138" i="130"/>
  <c r="I1138" i="130" s="1"/>
  <c r="I1139" i="130" s="1"/>
  <c r="G1137" i="130"/>
  <c r="G1139" i="130" s="1"/>
  <c r="K1134" i="130"/>
  <c r="E708" i="113"/>
  <c r="F708" i="113" s="1"/>
  <c r="G1132" i="130"/>
  <c r="F1132" i="130"/>
  <c r="E739" i="113"/>
  <c r="F739" i="113" s="1"/>
  <c r="D122" i="125"/>
  <c r="D123" i="125"/>
  <c r="D124" i="125"/>
  <c r="D702" i="152" s="1"/>
  <c r="D125" i="125"/>
  <c r="D126" i="125"/>
  <c r="D127" i="125"/>
  <c r="D128" i="125"/>
  <c r="D706" i="152" s="1"/>
  <c r="D129" i="125"/>
  <c r="D130" i="125"/>
  <c r="D131" i="125"/>
  <c r="D132" i="125"/>
  <c r="D121" i="125"/>
  <c r="H750" i="130"/>
  <c r="F750" i="130"/>
  <c r="E749" i="130"/>
  <c r="I749" i="130" s="1"/>
  <c r="I750" i="130" s="1"/>
  <c r="G747" i="130"/>
  <c r="G750" i="130" s="1"/>
  <c r="K744" i="130"/>
  <c r="G742" i="130"/>
  <c r="F742" i="130"/>
  <c r="H734" i="130"/>
  <c r="F734" i="130"/>
  <c r="E733" i="130"/>
  <c r="I733" i="130" s="1"/>
  <c r="I734" i="130" s="1"/>
  <c r="B734" i="130" s="1"/>
  <c r="B735" i="130" s="1"/>
  <c r="G731" i="130"/>
  <c r="G734" i="130" s="1"/>
  <c r="K728" i="130"/>
  <c r="G726" i="130"/>
  <c r="F726" i="130"/>
  <c r="H718" i="130"/>
  <c r="F718" i="130"/>
  <c r="E717" i="130"/>
  <c r="I717" i="130" s="1"/>
  <c r="I718" i="130" s="1"/>
  <c r="G715" i="130"/>
  <c r="G718" i="130" s="1"/>
  <c r="K712" i="130"/>
  <c r="G710" i="130"/>
  <c r="F710" i="130"/>
  <c r="H702" i="130"/>
  <c r="F702" i="130"/>
  <c r="E701" i="130"/>
  <c r="I701" i="130" s="1"/>
  <c r="I702" i="130" s="1"/>
  <c r="B702" i="130" s="1"/>
  <c r="B703" i="130" s="1"/>
  <c r="G699" i="130"/>
  <c r="G702" i="130" s="1"/>
  <c r="K696" i="130"/>
  <c r="G694" i="130"/>
  <c r="F694" i="130"/>
  <c r="H686" i="130"/>
  <c r="F686" i="130"/>
  <c r="E685" i="130"/>
  <c r="I685" i="130" s="1"/>
  <c r="I686" i="130" s="1"/>
  <c r="G683" i="130"/>
  <c r="G686" i="130"/>
  <c r="K680" i="130"/>
  <c r="G678" i="130"/>
  <c r="F678" i="130"/>
  <c r="H670" i="130"/>
  <c r="F670" i="130"/>
  <c r="E669" i="130"/>
  <c r="I669" i="130" s="1"/>
  <c r="I670" i="130" s="1"/>
  <c r="G667" i="130"/>
  <c r="G670" i="130"/>
  <c r="K664" i="130"/>
  <c r="G662" i="130"/>
  <c r="F662" i="130"/>
  <c r="H654" i="130"/>
  <c r="F654" i="130"/>
  <c r="E653" i="130"/>
  <c r="I653" i="130" s="1"/>
  <c r="I654" i="130" s="1"/>
  <c r="G651" i="130"/>
  <c r="G654" i="130"/>
  <c r="K648" i="130"/>
  <c r="G646" i="130"/>
  <c r="F646" i="130"/>
  <c r="H636" i="130"/>
  <c r="F636" i="130"/>
  <c r="E635" i="130"/>
  <c r="I635" i="130" s="1"/>
  <c r="I636" i="130" s="1"/>
  <c r="G634" i="130"/>
  <c r="G636" i="130" s="1"/>
  <c r="K631" i="130"/>
  <c r="G629" i="130"/>
  <c r="F629" i="130"/>
  <c r="H621" i="130"/>
  <c r="F621" i="130"/>
  <c r="E620" i="130"/>
  <c r="I620" i="130" s="1"/>
  <c r="I621" i="130" s="1"/>
  <c r="G619" i="130"/>
  <c r="G621" i="130" s="1"/>
  <c r="K616" i="130"/>
  <c r="G614" i="130"/>
  <c r="F614" i="130"/>
  <c r="H606" i="130"/>
  <c r="F606" i="130"/>
  <c r="E605" i="130"/>
  <c r="I605" i="130" s="1"/>
  <c r="I606" i="130" s="1"/>
  <c r="G604" i="130"/>
  <c r="G606" i="130" s="1"/>
  <c r="K601" i="130"/>
  <c r="G599" i="130"/>
  <c r="F599" i="130"/>
  <c r="H591" i="130"/>
  <c r="F591" i="130"/>
  <c r="E590" i="130"/>
  <c r="I590" i="130" s="1"/>
  <c r="I591" i="130" s="1"/>
  <c r="G588" i="130"/>
  <c r="G591" i="130" s="1"/>
  <c r="K585" i="130"/>
  <c r="G583" i="130"/>
  <c r="F583" i="130"/>
  <c r="H575" i="130"/>
  <c r="F575" i="130"/>
  <c r="E574" i="130"/>
  <c r="I574" i="130"/>
  <c r="I575" i="130" s="1"/>
  <c r="B575" i="130" s="1"/>
  <c r="B576" i="130" s="1"/>
  <c r="G572" i="130"/>
  <c r="G575" i="130" s="1"/>
  <c r="K569" i="130"/>
  <c r="G567" i="130"/>
  <c r="F567" i="130"/>
  <c r="D699" i="140"/>
  <c r="D699" i="152"/>
  <c r="D703" i="140"/>
  <c r="D703" i="152"/>
  <c r="D702" i="140"/>
  <c r="D709" i="140"/>
  <c r="D709" i="152"/>
  <c r="D701" i="140"/>
  <c r="D701" i="152"/>
  <c r="D708" i="140"/>
  <c r="D708" i="152"/>
  <c r="D700" i="140"/>
  <c r="D700" i="152"/>
  <c r="D707" i="140"/>
  <c r="D707" i="152"/>
  <c r="D706" i="140"/>
  <c r="D705" i="140"/>
  <c r="D705" i="152"/>
  <c r="D704" i="140"/>
  <c r="D704" i="152"/>
  <c r="D160" i="113"/>
  <c r="D110" i="125"/>
  <c r="D109" i="125"/>
  <c r="D200" i="113"/>
  <c r="D149" i="125"/>
  <c r="D727" i="140" s="1"/>
  <c r="D28" i="125"/>
  <c r="D151" i="113" s="1"/>
  <c r="H1021" i="130"/>
  <c r="F1021" i="130"/>
  <c r="E1020" i="130"/>
  <c r="I1020" i="130" s="1"/>
  <c r="I1021" i="130" s="1"/>
  <c r="G1019" i="130"/>
  <c r="G1021" i="130"/>
  <c r="K1016" i="130"/>
  <c r="G1014" i="130"/>
  <c r="F1014" i="130"/>
  <c r="G796" i="130"/>
  <c r="G798" i="130" s="1"/>
  <c r="E797" i="130"/>
  <c r="I797" i="130" s="1"/>
  <c r="I798" i="130" s="1"/>
  <c r="K793" i="130"/>
  <c r="G791" i="130"/>
  <c r="F791" i="130"/>
  <c r="G30" i="130"/>
  <c r="F30" i="130"/>
  <c r="F976" i="130"/>
  <c r="E975" i="130"/>
  <c r="I975" i="130" s="1"/>
  <c r="F991" i="130"/>
  <c r="G989" i="130"/>
  <c r="G991" i="130" s="1"/>
  <c r="F1006" i="130"/>
  <c r="G1004" i="130"/>
  <c r="G1006" i="130"/>
  <c r="E1050" i="130"/>
  <c r="G1050" i="130" s="1"/>
  <c r="E1049" i="130"/>
  <c r="G1049" i="130" s="1"/>
  <c r="E1048" i="130"/>
  <c r="F1048" i="130" s="1"/>
  <c r="F1046" i="130"/>
  <c r="E1045" i="130"/>
  <c r="F1045" i="130" s="1"/>
  <c r="H1124" i="130"/>
  <c r="F1124" i="130"/>
  <c r="E1123" i="130"/>
  <c r="I1123" i="130" s="1"/>
  <c r="I1124" i="130" s="1"/>
  <c r="K1119" i="130"/>
  <c r="G1117" i="130"/>
  <c r="F1117" i="130"/>
  <c r="H961" i="130"/>
  <c r="F961" i="130"/>
  <c r="E960" i="130"/>
  <c r="I960" i="130" s="1"/>
  <c r="I961" i="130" s="1"/>
  <c r="G959" i="130"/>
  <c r="G961" i="130" s="1"/>
  <c r="K956" i="130"/>
  <c r="G954" i="130"/>
  <c r="F954" i="130"/>
  <c r="H946" i="130"/>
  <c r="F946" i="130"/>
  <c r="E945" i="130"/>
  <c r="I945" i="130" s="1"/>
  <c r="I946" i="130" s="1"/>
  <c r="G944" i="130"/>
  <c r="G946" i="130" s="1"/>
  <c r="G943" i="130"/>
  <c r="K940" i="130"/>
  <c r="G938" i="130"/>
  <c r="F938" i="130"/>
  <c r="H930" i="130"/>
  <c r="F930" i="130"/>
  <c r="E929" i="130"/>
  <c r="I929" i="130" s="1"/>
  <c r="I930" i="130" s="1"/>
  <c r="K925" i="130"/>
  <c r="G923" i="130"/>
  <c r="E919" i="130"/>
  <c r="F919" i="130" s="1"/>
  <c r="F923" i="130" s="1"/>
  <c r="H914" i="130"/>
  <c r="F914" i="130"/>
  <c r="E913" i="130"/>
  <c r="I913" i="130" s="1"/>
  <c r="I914" i="130" s="1"/>
  <c r="K909" i="130"/>
  <c r="G907" i="130"/>
  <c r="F907" i="130"/>
  <c r="H898" i="130"/>
  <c r="F898" i="130"/>
  <c r="E897" i="130"/>
  <c r="I897" i="130" s="1"/>
  <c r="I898" i="130" s="1"/>
  <c r="K893" i="130"/>
  <c r="G891" i="130"/>
  <c r="F891" i="130"/>
  <c r="H883" i="130"/>
  <c r="F883" i="130"/>
  <c r="B883" i="130" s="1"/>
  <c r="B884" i="130" s="1"/>
  <c r="E882" i="130"/>
  <c r="I882" i="130" s="1"/>
  <c r="I883" i="130" s="1"/>
  <c r="G881" i="130"/>
  <c r="K878" i="130"/>
  <c r="G876" i="130"/>
  <c r="F876" i="130"/>
  <c r="E867" i="130"/>
  <c r="I867" i="130"/>
  <c r="I868" i="130" s="1"/>
  <c r="B868" i="130" s="1"/>
  <c r="B869" i="130" s="1"/>
  <c r="K863" i="130"/>
  <c r="G861" i="130"/>
  <c r="F861" i="130"/>
  <c r="H850" i="130"/>
  <c r="I848" i="130"/>
  <c r="G850" i="130"/>
  <c r="F850" i="130"/>
  <c r="E849" i="130"/>
  <c r="I849" i="130" s="1"/>
  <c r="G843" i="130"/>
  <c r="F843" i="130"/>
  <c r="H834" i="130"/>
  <c r="I832" i="130"/>
  <c r="G834" i="130"/>
  <c r="F834" i="130"/>
  <c r="E833" i="130"/>
  <c r="I833" i="130" s="1"/>
  <c r="G827" i="130"/>
  <c r="F827" i="130"/>
  <c r="E826" i="130"/>
  <c r="I826" i="130" s="1"/>
  <c r="H817" i="130"/>
  <c r="I815" i="130"/>
  <c r="G817" i="130"/>
  <c r="F817" i="130"/>
  <c r="E816" i="130"/>
  <c r="I816" i="130" s="1"/>
  <c r="G810" i="130"/>
  <c r="F810" i="130"/>
  <c r="F342" i="130"/>
  <c r="K335" i="130"/>
  <c r="F2491" i="130"/>
  <c r="I2487" i="130"/>
  <c r="G2486" i="130"/>
  <c r="G2485" i="130"/>
  <c r="F305" i="130"/>
  <c r="E303" i="130"/>
  <c r="F303" i="130" s="1"/>
  <c r="E2475" i="130"/>
  <c r="G2475" i="130" s="1"/>
  <c r="E2474" i="130"/>
  <c r="G2474" i="130" s="1"/>
  <c r="F2471" i="130"/>
  <c r="E2470" i="130"/>
  <c r="F2470" i="130" s="1"/>
  <c r="F2480" i="130" s="1"/>
  <c r="E2460" i="130"/>
  <c r="G2460" i="130" s="1"/>
  <c r="G2459" i="130"/>
  <c r="F2455" i="130"/>
  <c r="E2445" i="130"/>
  <c r="G2445" i="130" s="1"/>
  <c r="G2444" i="130"/>
  <c r="E2443" i="130"/>
  <c r="G2443" i="130" s="1"/>
  <c r="F2442" i="130"/>
  <c r="F2440" i="130"/>
  <c r="F2450" i="130" s="1"/>
  <c r="F2439" i="130"/>
  <c r="F2434" i="130"/>
  <c r="F333" i="130"/>
  <c r="E320" i="130"/>
  <c r="G320" i="130" s="1"/>
  <c r="G319" i="130"/>
  <c r="E317" i="130"/>
  <c r="G317" i="130" s="1"/>
  <c r="F315" i="130"/>
  <c r="F324" i="130"/>
  <c r="E294" i="130"/>
  <c r="G294" i="130" s="1"/>
  <c r="G293" i="130"/>
  <c r="G291" i="130"/>
  <c r="F288" i="130"/>
  <c r="E2419" i="130"/>
  <c r="G2419" i="130" s="1"/>
  <c r="G2418" i="130"/>
  <c r="E279" i="130"/>
  <c r="G279" i="130" s="1"/>
  <c r="G278" i="130"/>
  <c r="E277" i="130"/>
  <c r="G277" i="130" s="1"/>
  <c r="F274" i="130"/>
  <c r="F283" i="130" s="1"/>
  <c r="F273" i="130"/>
  <c r="E264" i="130"/>
  <c r="G264" i="130" s="1"/>
  <c r="G263" i="130"/>
  <c r="E262" i="130"/>
  <c r="G262" i="130" s="1"/>
  <c r="G261" i="130"/>
  <c r="G260" i="130"/>
  <c r="F258" i="130"/>
  <c r="F268" i="130" s="1"/>
  <c r="F257" i="130"/>
  <c r="E248" i="130"/>
  <c r="G248" i="130" s="1"/>
  <c r="G247" i="130"/>
  <c r="E246" i="130"/>
  <c r="G246" i="130" s="1"/>
  <c r="F243" i="130"/>
  <c r="F252" i="130" s="1"/>
  <c r="G232" i="130"/>
  <c r="E231" i="130"/>
  <c r="G231" i="130" s="1"/>
  <c r="E209" i="130"/>
  <c r="G209" i="130" s="1"/>
  <c r="E208" i="130"/>
  <c r="G208" i="130" s="1"/>
  <c r="G189" i="130"/>
  <c r="F189" i="130"/>
  <c r="G165" i="130"/>
  <c r="F165" i="130"/>
  <c r="G157" i="130"/>
  <c r="G141" i="130"/>
  <c r="E138" i="130"/>
  <c r="F138" i="130" s="1"/>
  <c r="F141" i="130" s="1"/>
  <c r="E129" i="130"/>
  <c r="G129" i="130" s="1"/>
  <c r="E118" i="130"/>
  <c r="G118" i="130" s="1"/>
  <c r="F121" i="130"/>
  <c r="E107" i="130"/>
  <c r="G107" i="130"/>
  <c r="F110" i="130"/>
  <c r="E96" i="130"/>
  <c r="G96" i="130" s="1"/>
  <c r="F99" i="130"/>
  <c r="E85" i="130"/>
  <c r="G85" i="130" s="1"/>
  <c r="E74" i="130"/>
  <c r="G74" i="130" s="1"/>
  <c r="F77" i="130"/>
  <c r="E63" i="130"/>
  <c r="G63" i="130" s="1"/>
  <c r="F66" i="130"/>
  <c r="E52" i="130"/>
  <c r="G52" i="130"/>
  <c r="F55" i="130"/>
  <c r="E41" i="130"/>
  <c r="G41" i="130" s="1"/>
  <c r="F39" i="130"/>
  <c r="F44" i="130"/>
  <c r="F11" i="130"/>
  <c r="E10" i="130"/>
  <c r="E9" i="130"/>
  <c r="C9" i="130"/>
  <c r="E131" i="6"/>
  <c r="G131" i="6" s="1"/>
  <c r="E129" i="6"/>
  <c r="G129" i="6" s="1"/>
  <c r="G128" i="6"/>
  <c r="E127" i="6"/>
  <c r="G127" i="6" s="1"/>
  <c r="E125" i="6"/>
  <c r="F125" i="6" s="1"/>
  <c r="F134" i="6" s="1"/>
  <c r="E169" i="113"/>
  <c r="F169" i="113" s="1"/>
  <c r="G974" i="130"/>
  <c r="G976" i="130" s="1"/>
  <c r="G928" i="130"/>
  <c r="G930" i="130"/>
  <c r="G2491" i="130"/>
  <c r="G896" i="130"/>
  <c r="F2424" i="130"/>
  <c r="H10" i="130"/>
  <c r="H11" i="130" s="1"/>
  <c r="E8" i="130" s="1"/>
  <c r="I8" i="130" s="1"/>
  <c r="I11" i="130" s="1"/>
  <c r="I817" i="130"/>
  <c r="G1122" i="130"/>
  <c r="G1124" i="130"/>
  <c r="G883" i="130"/>
  <c r="G912" i="130"/>
  <c r="E990" i="130"/>
  <c r="E1005" i="130" s="1"/>
  <c r="I1005" i="130" s="1"/>
  <c r="A29" i="129"/>
  <c r="B28" i="129"/>
  <c r="A28" i="129"/>
  <c r="A27" i="129"/>
  <c r="B26" i="129"/>
  <c r="A26" i="129"/>
  <c r="B25" i="129"/>
  <c r="A25" i="129"/>
  <c r="A24" i="129"/>
  <c r="B23" i="129"/>
  <c r="A23" i="129"/>
  <c r="B20" i="129"/>
  <c r="A20" i="129"/>
  <c r="B19" i="129"/>
  <c r="A19" i="129"/>
  <c r="B18" i="129"/>
  <c r="A18" i="129"/>
  <c r="B17" i="129"/>
  <c r="A17" i="129"/>
  <c r="B16" i="129"/>
  <c r="A16" i="129"/>
  <c r="B15" i="129"/>
  <c r="A15" i="129"/>
  <c r="B14" i="129"/>
  <c r="A14" i="129"/>
  <c r="I12" i="129"/>
  <c r="G898" i="130"/>
  <c r="B898" i="130" s="1"/>
  <c r="B899" i="130" s="1"/>
  <c r="G914" i="130"/>
  <c r="E134" i="113"/>
  <c r="E688" i="113"/>
  <c r="F688" i="113"/>
  <c r="E383" i="113"/>
  <c r="E1054" i="81"/>
  <c r="G1054" i="81" s="1"/>
  <c r="G1055" i="81" s="1"/>
  <c r="E810" i="81"/>
  <c r="G810" i="81" s="1"/>
  <c r="G1051" i="81"/>
  <c r="G1052" i="81"/>
  <c r="G503" i="81"/>
  <c r="G501" i="81"/>
  <c r="G507" i="81"/>
  <c r="G505" i="81"/>
  <c r="G504" i="81"/>
  <c r="I508" i="81"/>
  <c r="I509" i="81" s="1"/>
  <c r="H509" i="81"/>
  <c r="G508" i="81"/>
  <c r="D170" i="86"/>
  <c r="D101" i="86"/>
  <c r="D441" i="140"/>
  <c r="D441" i="152"/>
  <c r="D211" i="86"/>
  <c r="E629" i="113"/>
  <c r="F629" i="113"/>
  <c r="E635" i="113"/>
  <c r="F635" i="113" s="1"/>
  <c r="E636" i="113"/>
  <c r="F636" i="113"/>
  <c r="E634" i="113"/>
  <c r="F634" i="113" s="1"/>
  <c r="E645" i="113"/>
  <c r="F645" i="113"/>
  <c r="E642" i="113"/>
  <c r="F642" i="113" s="1"/>
  <c r="E640" i="113"/>
  <c r="F640" i="113"/>
  <c r="E630" i="113"/>
  <c r="F630" i="113" s="1"/>
  <c r="E647" i="113"/>
  <c r="F647" i="113"/>
  <c r="E639" i="113"/>
  <c r="F639" i="113" s="1"/>
  <c r="E631" i="113"/>
  <c r="F631" i="113"/>
  <c r="E633" i="113"/>
  <c r="F633" i="113" s="1"/>
  <c r="E632" i="113"/>
  <c r="F632" i="113"/>
  <c r="E643" i="113"/>
  <c r="F643" i="113" s="1"/>
  <c r="E637" i="113"/>
  <c r="F637" i="113"/>
  <c r="E638" i="113"/>
  <c r="F638" i="113" s="1"/>
  <c r="E644" i="113"/>
  <c r="F644" i="113"/>
  <c r="H988" i="81"/>
  <c r="F988" i="81"/>
  <c r="E987" i="81"/>
  <c r="C987" i="81"/>
  <c r="I987" i="81" s="1"/>
  <c r="I988" i="81" s="1"/>
  <c r="G981" i="81"/>
  <c r="F981" i="81"/>
  <c r="G748" i="81"/>
  <c r="G749" i="81" s="1"/>
  <c r="G742" i="81"/>
  <c r="G743" i="81" s="1"/>
  <c r="B743" i="81" s="1"/>
  <c r="B744" i="81" s="1"/>
  <c r="E137" i="86" s="1"/>
  <c r="H749" i="81"/>
  <c r="F749" i="81"/>
  <c r="B749" i="81" s="1"/>
  <c r="B750" i="81" s="1"/>
  <c r="E138" i="86" s="1"/>
  <c r="H743" i="81"/>
  <c r="F743" i="81"/>
  <c r="I743" i="81"/>
  <c r="I749" i="81"/>
  <c r="D100" i="86"/>
  <c r="D440" i="140" s="1"/>
  <c r="D440" i="152"/>
  <c r="E622" i="113"/>
  <c r="F622" i="113" s="1"/>
  <c r="E646" i="113"/>
  <c r="F646" i="113"/>
  <c r="G72" i="81"/>
  <c r="F72" i="81"/>
  <c r="E423" i="113"/>
  <c r="F423" i="113"/>
  <c r="E421" i="113"/>
  <c r="F421" i="113" s="1"/>
  <c r="L326" i="113"/>
  <c r="M326" i="113"/>
  <c r="C10" i="124"/>
  <c r="C11" i="123"/>
  <c r="C10" i="123"/>
  <c r="C14" i="81"/>
  <c r="E1060" i="123"/>
  <c r="C252" i="114"/>
  <c r="C329" i="114"/>
  <c r="C1053" i="114"/>
  <c r="E1767" i="115" s="1"/>
  <c r="C213" i="114"/>
  <c r="C73" i="114"/>
  <c r="C309" i="114"/>
  <c r="C53" i="114"/>
  <c r="E1527" i="115" s="1"/>
  <c r="C54" i="114"/>
  <c r="C55" i="114"/>
  <c r="C71" i="114"/>
  <c r="C59" i="114"/>
  <c r="C57" i="114"/>
  <c r="C64" i="114"/>
  <c r="C60" i="114"/>
  <c r="C36" i="114"/>
  <c r="E1285" i="115" s="1"/>
  <c r="C147" i="114"/>
  <c r="C38" i="114"/>
  <c r="C148" i="114"/>
  <c r="C407" i="114"/>
  <c r="E1232" i="115" s="1"/>
  <c r="C422" i="114"/>
  <c r="C412" i="114"/>
  <c r="C413" i="114"/>
  <c r="C30" i="114"/>
  <c r="E1114" i="115" s="1"/>
  <c r="C101" i="114"/>
  <c r="C203" i="114"/>
  <c r="C47" i="114"/>
  <c r="C150" i="114"/>
  <c r="E771" i="115" s="1"/>
  <c r="C143" i="114"/>
  <c r="C403" i="114"/>
  <c r="C88" i="114"/>
  <c r="C178" i="114"/>
  <c r="E735" i="115" s="1"/>
  <c r="C121" i="114"/>
  <c r="C375" i="114"/>
  <c r="C177" i="114"/>
  <c r="C119" i="114"/>
  <c r="E712" i="115" s="1"/>
  <c r="C77" i="114"/>
  <c r="C67" i="114"/>
  <c r="C336" i="114"/>
  <c r="E673" i="115"/>
  <c r="E693" i="115"/>
  <c r="E692" i="115"/>
  <c r="E691" i="115"/>
  <c r="E672" i="115"/>
  <c r="C259" i="114"/>
  <c r="M670" i="115"/>
  <c r="C353" i="114"/>
  <c r="C352" i="114"/>
  <c r="E108" i="116" s="1"/>
  <c r="C351" i="114"/>
  <c r="C350" i="114"/>
  <c r="C349" i="114"/>
  <c r="C348" i="114"/>
  <c r="C347" i="114"/>
  <c r="C346" i="114"/>
  <c r="C345" i="114"/>
  <c r="C342" i="114"/>
  <c r="C343" i="114"/>
  <c r="C344" i="114"/>
  <c r="C341" i="114"/>
  <c r="C340" i="114"/>
  <c r="C339" i="114"/>
  <c r="C338" i="114"/>
  <c r="C227" i="114"/>
  <c r="C228" i="114"/>
  <c r="C217" i="114"/>
  <c r="C229" i="114"/>
  <c r="E1695" i="123"/>
  <c r="E518" i="123"/>
  <c r="G518" i="123" s="1"/>
  <c r="G520" i="123" s="1"/>
  <c r="D378" i="121"/>
  <c r="E535" i="116"/>
  <c r="E536" i="116" s="1"/>
  <c r="I536" i="116" s="1"/>
  <c r="E527" i="116"/>
  <c r="E528" i="116"/>
  <c r="E518" i="116"/>
  <c r="E503" i="116"/>
  <c r="E505" i="116"/>
  <c r="E506" i="116"/>
  <c r="E507" i="116"/>
  <c r="E508" i="116"/>
  <c r="E509" i="116"/>
  <c r="E510" i="116"/>
  <c r="E502" i="116"/>
  <c r="E490" i="116"/>
  <c r="E491" i="116"/>
  <c r="G491" i="116" s="1"/>
  <c r="E492" i="116"/>
  <c r="E493" i="116"/>
  <c r="E494" i="116"/>
  <c r="E489" i="116"/>
  <c r="G489" i="116" s="1"/>
  <c r="E477" i="116"/>
  <c r="E478" i="116"/>
  <c r="E479" i="116"/>
  <c r="E480" i="116"/>
  <c r="E481" i="116"/>
  <c r="E476" i="116"/>
  <c r="E450" i="116"/>
  <c r="E451" i="116"/>
  <c r="G451" i="116" s="1"/>
  <c r="G462" i="116" s="1"/>
  <c r="E453" i="116"/>
  <c r="E454" i="116"/>
  <c r="E455" i="116"/>
  <c r="E456" i="116"/>
  <c r="G456" i="116" s="1"/>
  <c r="E457" i="116"/>
  <c r="E458" i="116"/>
  <c r="E459" i="116"/>
  <c r="E460" i="116"/>
  <c r="I460" i="116" s="1"/>
  <c r="E449" i="116"/>
  <c r="E441" i="116"/>
  <c r="E428" i="116"/>
  <c r="E429" i="116"/>
  <c r="G429" i="116" s="1"/>
  <c r="G435" i="116" s="1"/>
  <c r="E430" i="116"/>
  <c r="E431" i="116"/>
  <c r="E432" i="116"/>
  <c r="E433" i="116"/>
  <c r="I433" i="116" s="1"/>
  <c r="I435" i="116" s="1"/>
  <c r="E427" i="116"/>
  <c r="E419" i="116"/>
  <c r="E403" i="116"/>
  <c r="E404" i="116"/>
  <c r="G404" i="116" s="1"/>
  <c r="E405" i="116"/>
  <c r="E406" i="116"/>
  <c r="E407" i="116"/>
  <c r="E408" i="116"/>
  <c r="G408" i="116" s="1"/>
  <c r="E409" i="116"/>
  <c r="E410" i="116"/>
  <c r="E411" i="116"/>
  <c r="E402" i="116"/>
  <c r="G402" i="116" s="1"/>
  <c r="G413" i="116" s="1"/>
  <c r="B413" i="116" s="1"/>
  <c r="E394" i="116"/>
  <c r="E380" i="116"/>
  <c r="E381" i="116"/>
  <c r="E382" i="116"/>
  <c r="G382" i="116" s="1"/>
  <c r="E383" i="116"/>
  <c r="E384" i="116"/>
  <c r="E385" i="116"/>
  <c r="E386" i="116"/>
  <c r="G386" i="116" s="1"/>
  <c r="E387" i="116"/>
  <c r="E379" i="116"/>
  <c r="E371" i="116"/>
  <c r="E358" i="116"/>
  <c r="E359" i="116"/>
  <c r="E360" i="116"/>
  <c r="E361" i="116"/>
  <c r="E362" i="116"/>
  <c r="E363" i="116"/>
  <c r="E364" i="116"/>
  <c r="E357" i="116"/>
  <c r="E349" i="116"/>
  <c r="I349" i="116" s="1"/>
  <c r="I351" i="116" s="1"/>
  <c r="E348" i="116"/>
  <c r="E340" i="116"/>
  <c r="E325" i="116"/>
  <c r="E326" i="116"/>
  <c r="G326" i="116" s="1"/>
  <c r="E327" i="116"/>
  <c r="E328" i="116"/>
  <c r="E329" i="116"/>
  <c r="E330" i="116"/>
  <c r="G330" i="116" s="1"/>
  <c r="E331" i="116"/>
  <c r="E332" i="116"/>
  <c r="E333" i="116"/>
  <c r="E324" i="116"/>
  <c r="G324" i="116" s="1"/>
  <c r="G334" i="116" s="1"/>
  <c r="B334" i="116" s="1"/>
  <c r="E316" i="116"/>
  <c r="E297" i="116"/>
  <c r="E298" i="116"/>
  <c r="E299" i="116"/>
  <c r="G299" i="116" s="1"/>
  <c r="G310" i="116" s="1"/>
  <c r="B310" i="116" s="1"/>
  <c r="E300" i="116"/>
  <c r="E301" i="116"/>
  <c r="E302" i="116"/>
  <c r="E303" i="116"/>
  <c r="G303" i="116" s="1"/>
  <c r="E304" i="116"/>
  <c r="E305" i="116"/>
  <c r="E306" i="116"/>
  <c r="E307" i="116"/>
  <c r="G307" i="116" s="1"/>
  <c r="E308" i="116"/>
  <c r="E309" i="116"/>
  <c r="E296" i="116"/>
  <c r="E288" i="116"/>
  <c r="H288" i="116" s="1"/>
  <c r="E289" i="116" s="1"/>
  <c r="I289" i="116" s="1"/>
  <c r="I290" i="116" s="1"/>
  <c r="E269" i="116"/>
  <c r="E270" i="116"/>
  <c r="E271" i="116"/>
  <c r="E272" i="116"/>
  <c r="G272" i="116" s="1"/>
  <c r="G282" i="116" s="1"/>
  <c r="B282" i="116" s="1"/>
  <c r="E273" i="116"/>
  <c r="E274" i="116"/>
  <c r="E275" i="116"/>
  <c r="E276" i="116"/>
  <c r="G276" i="116" s="1"/>
  <c r="E277" i="116"/>
  <c r="E278" i="116"/>
  <c r="E279" i="116"/>
  <c r="E280" i="116"/>
  <c r="G280" i="116" s="1"/>
  <c r="E281" i="116"/>
  <c r="E268" i="116"/>
  <c r="E260" i="116"/>
  <c r="E242" i="116"/>
  <c r="G242" i="116" s="1"/>
  <c r="E243" i="116"/>
  <c r="E244" i="116"/>
  <c r="E245" i="116"/>
  <c r="E246" i="116"/>
  <c r="G246" i="116" s="1"/>
  <c r="E247" i="116"/>
  <c r="E248" i="116"/>
  <c r="E249" i="116"/>
  <c r="E250" i="116"/>
  <c r="G250" i="116" s="1"/>
  <c r="E251" i="116"/>
  <c r="E252" i="116"/>
  <c r="E253" i="116"/>
  <c r="E241" i="116"/>
  <c r="G241" i="116" s="1"/>
  <c r="G254" i="116" s="1"/>
  <c r="B254" i="116" s="1"/>
  <c r="E233" i="116"/>
  <c r="E220" i="116"/>
  <c r="E221" i="116"/>
  <c r="E222" i="116"/>
  <c r="G222" i="116" s="1"/>
  <c r="E223" i="116"/>
  <c r="E224" i="116"/>
  <c r="E225" i="116"/>
  <c r="E226" i="116"/>
  <c r="I226" i="116" s="1"/>
  <c r="I227" i="116" s="1"/>
  <c r="E219" i="116"/>
  <c r="E211" i="116"/>
  <c r="E204" i="116"/>
  <c r="E203" i="116"/>
  <c r="G203" i="116" s="1"/>
  <c r="G205" i="116" s="1"/>
  <c r="E195" i="116"/>
  <c r="E188" i="116"/>
  <c r="E187" i="116"/>
  <c r="E172" i="116"/>
  <c r="I172" i="116" s="1"/>
  <c r="I173" i="116" s="1"/>
  <c r="B173" i="116" s="1"/>
  <c r="E171" i="116"/>
  <c r="E163" i="116"/>
  <c r="E156" i="116"/>
  <c r="E155" i="116"/>
  <c r="G155" i="116" s="1"/>
  <c r="G157" i="116" s="1"/>
  <c r="E147" i="116"/>
  <c r="E140" i="116"/>
  <c r="E139" i="116"/>
  <c r="E131" i="116"/>
  <c r="H131" i="116" s="1"/>
  <c r="H133" i="116" s="1"/>
  <c r="E109" i="116"/>
  <c r="E110" i="116"/>
  <c r="E111" i="116"/>
  <c r="E112" i="116"/>
  <c r="G112" i="116" s="1"/>
  <c r="E113" i="116"/>
  <c r="E114" i="116"/>
  <c r="E116" i="116"/>
  <c r="E117" i="116"/>
  <c r="G117" i="116" s="1"/>
  <c r="E119" i="116"/>
  <c r="E120" i="116"/>
  <c r="E121" i="116"/>
  <c r="E122" i="116"/>
  <c r="H122" i="116" s="1"/>
  <c r="E123" i="116"/>
  <c r="E81" i="116"/>
  <c r="E82" i="116"/>
  <c r="E83" i="116"/>
  <c r="E84" i="116"/>
  <c r="E85" i="116"/>
  <c r="E86" i="116"/>
  <c r="E88" i="116"/>
  <c r="E89" i="116"/>
  <c r="E91" i="116"/>
  <c r="E92" i="116"/>
  <c r="E93" i="116"/>
  <c r="E53" i="116"/>
  <c r="E54" i="116"/>
  <c r="E55" i="116"/>
  <c r="G55" i="116" s="1"/>
  <c r="E56" i="116"/>
  <c r="E57" i="116"/>
  <c r="E58" i="116"/>
  <c r="E60" i="116"/>
  <c r="G60" i="116" s="1"/>
  <c r="E61" i="116"/>
  <c r="E63" i="116"/>
  <c r="E64" i="116"/>
  <c r="E65" i="116"/>
  <c r="G65" i="116" s="1"/>
  <c r="E44" i="116"/>
  <c r="E36" i="116"/>
  <c r="E28" i="116"/>
  <c r="E9" i="116"/>
  <c r="E10" i="116"/>
  <c r="E11" i="116"/>
  <c r="E12" i="116"/>
  <c r="E13" i="116"/>
  <c r="E15" i="116"/>
  <c r="E16" i="116"/>
  <c r="E18" i="116"/>
  <c r="E19" i="116"/>
  <c r="E20" i="116"/>
  <c r="E21" i="116"/>
  <c r="E1934" i="115"/>
  <c r="E1926" i="115"/>
  <c r="E1925" i="115"/>
  <c r="E1913" i="115"/>
  <c r="E1915" i="115"/>
  <c r="E1916" i="115"/>
  <c r="E1917" i="115"/>
  <c r="E1918" i="115"/>
  <c r="E1912" i="115"/>
  <c r="E1904" i="115"/>
  <c r="E1903" i="115"/>
  <c r="E1892" i="115"/>
  <c r="E1893" i="115"/>
  <c r="E1896" i="115"/>
  <c r="E1891" i="115"/>
  <c r="E1883" i="115"/>
  <c r="E1882" i="115"/>
  <c r="E1875" i="115"/>
  <c r="E1862" i="115"/>
  <c r="E1861" i="115"/>
  <c r="E1854" i="115"/>
  <c r="E1841" i="115"/>
  <c r="E1840" i="115"/>
  <c r="E1830" i="115"/>
  <c r="E1831" i="115"/>
  <c r="E1832" i="115"/>
  <c r="E1817" i="115"/>
  <c r="E1816" i="115"/>
  <c r="E1809" i="115"/>
  <c r="E1804" i="115"/>
  <c r="E1796" i="115"/>
  <c r="E1795" i="115"/>
  <c r="E1788" i="115"/>
  <c r="E1775" i="115"/>
  <c r="E1768" i="115"/>
  <c r="E1759" i="115"/>
  <c r="E1758" i="115"/>
  <c r="E1742" i="115"/>
  <c r="E1741" i="115"/>
  <c r="E1734" i="115"/>
  <c r="E1733" i="115"/>
  <c r="E1713" i="115"/>
  <c r="E1714" i="115"/>
  <c r="E1716" i="115"/>
  <c r="E1717" i="115"/>
  <c r="E1703" i="115"/>
  <c r="E1702" i="115"/>
  <c r="E1695" i="115"/>
  <c r="E1686" i="115"/>
  <c r="E1685" i="115"/>
  <c r="E1677" i="115"/>
  <c r="E1678" i="115"/>
  <c r="E1676" i="115"/>
  <c r="E1660" i="115"/>
  <c r="E1661" i="115"/>
  <c r="E1659" i="115"/>
  <c r="E1643" i="115"/>
  <c r="E1644" i="115"/>
  <c r="E1642" i="115"/>
  <c r="E1625" i="115"/>
  <c r="E1626" i="115"/>
  <c r="E1627" i="115"/>
  <c r="E1624" i="115"/>
  <c r="E1605" i="115"/>
  <c r="E1606" i="115"/>
  <c r="E1607" i="115"/>
  <c r="E1604" i="115"/>
  <c r="E1595" i="115"/>
  <c r="E1585" i="115"/>
  <c r="E1586" i="115"/>
  <c r="E1587" i="115"/>
  <c r="E1584" i="115"/>
  <c r="E1575" i="115"/>
  <c r="E1565" i="115"/>
  <c r="E1566" i="115"/>
  <c r="E1567" i="115"/>
  <c r="E1564" i="115"/>
  <c r="E1545" i="115"/>
  <c r="E1546" i="115"/>
  <c r="E1547" i="115"/>
  <c r="E1544" i="115"/>
  <c r="E1548" i="115" s="1"/>
  <c r="E1528" i="115"/>
  <c r="E1529" i="115"/>
  <c r="E1511" i="115"/>
  <c r="E1512" i="115"/>
  <c r="E1510" i="115"/>
  <c r="E1494" i="115"/>
  <c r="E1495" i="115"/>
  <c r="E1493" i="115"/>
  <c r="E1477" i="115"/>
  <c r="E1478" i="115"/>
  <c r="E1476" i="115"/>
  <c r="E1460" i="115"/>
  <c r="E1461" i="115"/>
  <c r="E1442" i="115"/>
  <c r="G1442" i="115" s="1"/>
  <c r="G1444" i="115" s="1"/>
  <c r="B1444" i="115" s="1"/>
  <c r="E1443" i="115"/>
  <c r="E1441" i="115"/>
  <c r="E1425" i="115"/>
  <c r="E1426" i="115"/>
  <c r="I1426" i="115" s="1"/>
  <c r="I1427" i="115" s="1"/>
  <c r="B1427" i="115" s="1"/>
  <c r="E1424" i="115"/>
  <c r="E1408" i="115"/>
  <c r="E1409" i="115"/>
  <c r="E1407" i="115"/>
  <c r="G1407" i="115" s="1"/>
  <c r="G1410" i="115" s="1"/>
  <c r="B1410" i="115" s="1"/>
  <c r="E1391" i="115"/>
  <c r="E1392" i="115"/>
  <c r="E1390" i="115"/>
  <c r="E1374" i="115"/>
  <c r="G1374" i="115" s="1"/>
  <c r="G1376" i="115" s="1"/>
  <c r="B1376" i="115" s="1"/>
  <c r="E1375" i="115"/>
  <c r="E1373" i="115"/>
  <c r="E1357" i="115"/>
  <c r="E1358" i="115"/>
  <c r="I1358" i="115" s="1"/>
  <c r="I1359" i="115" s="1"/>
  <c r="E1356" i="115"/>
  <c r="E1340" i="115"/>
  <c r="E1341" i="115"/>
  <c r="E1339" i="115"/>
  <c r="G1339" i="115" s="1"/>
  <c r="G1342" i="115" s="1"/>
  <c r="B1342" i="115" s="1"/>
  <c r="E1323" i="115"/>
  <c r="E1324" i="115"/>
  <c r="E1322" i="115"/>
  <c r="E1305" i="115"/>
  <c r="G1305" i="115" s="1"/>
  <c r="E1306" i="115"/>
  <c r="E1304" i="115"/>
  <c r="E1286" i="115"/>
  <c r="E1287" i="115"/>
  <c r="E1288" i="115"/>
  <c r="E1289" i="115"/>
  <c r="E1284" i="115"/>
  <c r="E1265" i="115"/>
  <c r="E1266" i="115"/>
  <c r="E1267" i="115"/>
  <c r="E1268" i="115"/>
  <c r="E1269" i="115"/>
  <c r="E1264" i="115"/>
  <c r="E1256" i="115"/>
  <c r="E1249" i="115"/>
  <c r="E1248" i="115"/>
  <c r="E1233" i="115"/>
  <c r="E1217" i="115"/>
  <c r="E1216" i="115"/>
  <c r="E1201" i="115"/>
  <c r="E1191" i="115"/>
  <c r="E1184" i="115"/>
  <c r="E1175" i="115"/>
  <c r="E1166" i="115"/>
  <c r="E1167" i="115"/>
  <c r="E1168" i="115"/>
  <c r="E1149" i="115"/>
  <c r="E1150" i="115"/>
  <c r="E1132" i="115"/>
  <c r="E1133" i="115"/>
  <c r="E1113" i="115"/>
  <c r="E1115" i="115"/>
  <c r="E1116" i="115"/>
  <c r="E1096" i="115"/>
  <c r="E1097" i="115"/>
  <c r="E1095" i="115"/>
  <c r="E1079" i="115"/>
  <c r="E1080" i="115"/>
  <c r="E1078" i="115"/>
  <c r="E1062" i="115"/>
  <c r="E1063" i="115"/>
  <c r="E1061" i="115"/>
  <c r="E1045" i="115"/>
  <c r="E1046" i="115"/>
  <c r="E1044" i="115"/>
  <c r="E1036" i="115"/>
  <c r="E1037" i="115"/>
  <c r="E1035" i="115"/>
  <c r="E1027" i="115"/>
  <c r="E1028" i="115"/>
  <c r="E1026" i="115"/>
  <c r="E1009" i="115"/>
  <c r="E1010" i="115"/>
  <c r="E1011" i="115"/>
  <c r="E1008" i="115"/>
  <c r="E992" i="115"/>
  <c r="E993" i="115"/>
  <c r="E974" i="115"/>
  <c r="E975" i="115"/>
  <c r="E957" i="115"/>
  <c r="E939" i="115"/>
  <c r="E940" i="115"/>
  <c r="E920" i="115"/>
  <c r="E921" i="115"/>
  <c r="E922" i="115"/>
  <c r="E919" i="115"/>
  <c r="E902" i="115"/>
  <c r="E903" i="115"/>
  <c r="E904" i="115"/>
  <c r="I904" i="115" s="1"/>
  <c r="I905" i="115" s="1"/>
  <c r="E901" i="115"/>
  <c r="E893" i="115"/>
  <c r="E884" i="115"/>
  <c r="E885" i="115"/>
  <c r="E886" i="115"/>
  <c r="E883" i="115"/>
  <c r="E875" i="115"/>
  <c r="E866" i="115"/>
  <c r="G866" i="115" s="1"/>
  <c r="E867" i="115"/>
  <c r="E868" i="115"/>
  <c r="E865" i="115"/>
  <c r="E857" i="115"/>
  <c r="H857" i="115" s="1"/>
  <c r="E848" i="115"/>
  <c r="E849" i="115"/>
  <c r="E850" i="115"/>
  <c r="E847" i="115"/>
  <c r="E839" i="115"/>
  <c r="E830" i="115"/>
  <c r="E831" i="115"/>
  <c r="E832" i="115"/>
  <c r="E829" i="115"/>
  <c r="E802" i="115"/>
  <c r="E792" i="115"/>
  <c r="E793" i="115"/>
  <c r="E794" i="115"/>
  <c r="E791" i="115"/>
  <c r="E784" i="115"/>
  <c r="E783" i="115"/>
  <c r="H783" i="115" s="1"/>
  <c r="H785" i="115" s="1"/>
  <c r="E772" i="115"/>
  <c r="E773" i="115"/>
  <c r="E775" i="115"/>
  <c r="G775" i="115" s="1"/>
  <c r="E776" i="115"/>
  <c r="E763" i="115"/>
  <c r="E762" i="115"/>
  <c r="E752" i="115"/>
  <c r="E753" i="115"/>
  <c r="E754" i="115"/>
  <c r="E751" i="115"/>
  <c r="E743" i="115"/>
  <c r="E732" i="115"/>
  <c r="E733" i="115"/>
  <c r="E734" i="115"/>
  <c r="E736" i="115"/>
  <c r="E731" i="115"/>
  <c r="E723" i="115"/>
  <c r="E713" i="115"/>
  <c r="E714" i="115"/>
  <c r="E715" i="115"/>
  <c r="E716" i="115"/>
  <c r="E711" i="115"/>
  <c r="E703" i="115"/>
  <c r="E694" i="115"/>
  <c r="G694" i="115" s="1"/>
  <c r="E695" i="115"/>
  <c r="E696" i="115"/>
  <c r="E683" i="115"/>
  <c r="E674" i="115"/>
  <c r="E675" i="115"/>
  <c r="E676" i="115"/>
  <c r="D375" i="121"/>
  <c r="E456" i="123"/>
  <c r="G456" i="123" s="1"/>
  <c r="G458" i="123" s="1"/>
  <c r="E978" i="123"/>
  <c r="E409" i="123"/>
  <c r="G409" i="123" s="1"/>
  <c r="G411" i="123" s="1"/>
  <c r="E1495" i="123"/>
  <c r="G1495" i="123" s="1"/>
  <c r="E1463" i="123"/>
  <c r="E1372" i="123"/>
  <c r="E1341" i="123"/>
  <c r="G1341" i="123" s="1"/>
  <c r="G1343" i="123" s="1"/>
  <c r="E1324" i="123"/>
  <c r="G1324" i="123" s="1"/>
  <c r="G1326" i="123" s="1"/>
  <c r="E1286" i="123"/>
  <c r="G1286" i="123" s="1"/>
  <c r="E929" i="123"/>
  <c r="G929" i="123" s="1"/>
  <c r="G931" i="123" s="1"/>
  <c r="E1070" i="81"/>
  <c r="G1070" i="81" s="1"/>
  <c r="E1069" i="81"/>
  <c r="G1069" i="81" s="1"/>
  <c r="E971" i="81"/>
  <c r="E970" i="81"/>
  <c r="D334" i="121"/>
  <c r="E1479" i="123"/>
  <c r="G1479" i="123" s="1"/>
  <c r="G1481" i="123" s="1"/>
  <c r="E1738" i="123"/>
  <c r="E1619" i="123"/>
  <c r="G1619" i="123" s="1"/>
  <c r="G1621" i="123" s="1"/>
  <c r="E426" i="123"/>
  <c r="G426" i="123" s="1"/>
  <c r="G428" i="123" s="1"/>
  <c r="E849" i="113"/>
  <c r="E832" i="113"/>
  <c r="E799" i="113"/>
  <c r="E592" i="113"/>
  <c r="F849" i="113"/>
  <c r="F24" i="119"/>
  <c r="I55" i="1"/>
  <c r="I476" i="1"/>
  <c r="E91" i="123"/>
  <c r="G91" i="123" s="1"/>
  <c r="G96" i="123" s="1"/>
  <c r="M3" i="128"/>
  <c r="D31" i="128" s="1"/>
  <c r="J31" i="128" s="1"/>
  <c r="H31" i="128" s="1"/>
  <c r="K31" i="128" s="1"/>
  <c r="J42" i="128"/>
  <c r="H42" i="128"/>
  <c r="K42" i="128" s="1"/>
  <c r="J40" i="128"/>
  <c r="H40" i="128"/>
  <c r="K40" i="128"/>
  <c r="Q39" i="128"/>
  <c r="D35" i="128"/>
  <c r="J35" i="128"/>
  <c r="H35" i="128"/>
  <c r="K35" i="128" s="1"/>
  <c r="O26" i="128"/>
  <c r="O23" i="128"/>
  <c r="D30" i="128"/>
  <c r="J30" i="128" s="1"/>
  <c r="D32" i="128"/>
  <c r="D25" i="128"/>
  <c r="J25" i="128"/>
  <c r="H25" i="128" s="1"/>
  <c r="K25" i="128" s="1"/>
  <c r="D33" i="128"/>
  <c r="J33" i="128"/>
  <c r="H33" i="128" s="1"/>
  <c r="K33" i="128" s="1"/>
  <c r="J32" i="128"/>
  <c r="H32" i="128"/>
  <c r="K32" i="128" s="1"/>
  <c r="D22" i="128"/>
  <c r="J22" i="128"/>
  <c r="H22" i="128"/>
  <c r="K22" i="128" s="1"/>
  <c r="D27" i="128"/>
  <c r="D21" i="128"/>
  <c r="J21" i="128"/>
  <c r="H21" i="128" s="1"/>
  <c r="K21" i="128" s="1"/>
  <c r="D24" i="128"/>
  <c r="J24" i="128"/>
  <c r="H24" i="128" s="1"/>
  <c r="K24" i="128" s="1"/>
  <c r="H30" i="128"/>
  <c r="K30" i="128" s="1"/>
  <c r="J43" i="128"/>
  <c r="H43" i="128"/>
  <c r="K43" i="128"/>
  <c r="D39" i="128"/>
  <c r="J39" i="128" s="1"/>
  <c r="H39" i="128" s="1"/>
  <c r="K39" i="128" s="1"/>
  <c r="O22" i="128"/>
  <c r="O27" i="128"/>
  <c r="D37" i="128"/>
  <c r="J37" i="128"/>
  <c r="H37" i="128" s="1"/>
  <c r="K37" i="128" s="1"/>
  <c r="J27" i="128"/>
  <c r="H27" i="128"/>
  <c r="K27" i="128" s="1"/>
  <c r="E511" i="113"/>
  <c r="E518" i="113"/>
  <c r="E482" i="113"/>
  <c r="E499" i="113"/>
  <c r="E446" i="113"/>
  <c r="E450" i="113"/>
  <c r="E453" i="113"/>
  <c r="E457" i="113"/>
  <c r="E460" i="113"/>
  <c r="E468" i="113"/>
  <c r="E470" i="113"/>
  <c r="E472" i="113"/>
  <c r="E474" i="113"/>
  <c r="E366" i="113"/>
  <c r="E17" i="126"/>
  <c r="E18" i="126" s="1"/>
  <c r="E16" i="126"/>
  <c r="H286" i="124"/>
  <c r="E285" i="124"/>
  <c r="I285" i="124" s="1"/>
  <c r="I286" i="124" s="1"/>
  <c r="B286" i="124" s="1"/>
  <c r="B287" i="124" s="1"/>
  <c r="G284" i="124"/>
  <c r="G283" i="124"/>
  <c r="G278" i="124"/>
  <c r="H222" i="124"/>
  <c r="F222" i="124"/>
  <c r="E221" i="124"/>
  <c r="I221" i="124" s="1"/>
  <c r="I222" i="124" s="1"/>
  <c r="G220" i="124"/>
  <c r="G222" i="124"/>
  <c r="G215" i="124"/>
  <c r="F215" i="124"/>
  <c r="F205" i="124"/>
  <c r="E202" i="124"/>
  <c r="I202" i="124" s="1"/>
  <c r="E201" i="124"/>
  <c r="G201" i="124" s="1"/>
  <c r="G199" i="124"/>
  <c r="G198" i="124"/>
  <c r="F191" i="124"/>
  <c r="G189" i="124"/>
  <c r="G191" i="124"/>
  <c r="F182" i="124"/>
  <c r="E177" i="124"/>
  <c r="G177" i="124" s="1"/>
  <c r="G176" i="124"/>
  <c r="E168" i="124"/>
  <c r="G168" i="124"/>
  <c r="F165" i="124"/>
  <c r="F170" i="124" s="1"/>
  <c r="E163" i="124"/>
  <c r="G163" i="124"/>
  <c r="E153" i="124"/>
  <c r="G153" i="124" s="1"/>
  <c r="E152" i="124"/>
  <c r="G152" i="124"/>
  <c r="E151" i="124"/>
  <c r="G151" i="124" s="1"/>
  <c r="F148" i="124"/>
  <c r="E147" i="124"/>
  <c r="F147" i="124" s="1"/>
  <c r="E138" i="124"/>
  <c r="G138" i="124" s="1"/>
  <c r="E137" i="124"/>
  <c r="G137" i="124" s="1"/>
  <c r="G134" i="124"/>
  <c r="E132" i="124"/>
  <c r="G132" i="124" s="1"/>
  <c r="E123" i="124"/>
  <c r="G123" i="124" s="1"/>
  <c r="E122" i="124"/>
  <c r="G122" i="124" s="1"/>
  <c r="E121" i="124"/>
  <c r="G121" i="124" s="1"/>
  <c r="E120" i="124"/>
  <c r="C120" i="124"/>
  <c r="F118" i="124"/>
  <c r="E117" i="124"/>
  <c r="F117" i="124" s="1"/>
  <c r="E111" i="124"/>
  <c r="G111" i="124" s="1"/>
  <c r="E107" i="124"/>
  <c r="G107" i="124" s="1"/>
  <c r="E106" i="124"/>
  <c r="G106" i="124" s="1"/>
  <c r="E105" i="124"/>
  <c r="G105" i="124" s="1"/>
  <c r="E103" i="124"/>
  <c r="F103" i="124" s="1"/>
  <c r="F112" i="124" s="1"/>
  <c r="F98" i="124"/>
  <c r="F76" i="124"/>
  <c r="E73" i="124"/>
  <c r="G73" i="124" s="1"/>
  <c r="G76" i="124" s="1"/>
  <c r="G72" i="124"/>
  <c r="G71" i="124"/>
  <c r="G70" i="124"/>
  <c r="F64" i="124"/>
  <c r="E61" i="124"/>
  <c r="G61" i="124" s="1"/>
  <c r="G60" i="124"/>
  <c r="G59" i="124"/>
  <c r="G58" i="124"/>
  <c r="G50" i="124"/>
  <c r="E49" i="124"/>
  <c r="F49" i="124" s="1"/>
  <c r="F50" i="124" s="1"/>
  <c r="G42" i="124"/>
  <c r="F41" i="124"/>
  <c r="F42" i="124" s="1"/>
  <c r="H40" i="124"/>
  <c r="H42" i="124"/>
  <c r="E38" i="124"/>
  <c r="I38" i="124" s="1"/>
  <c r="E39" i="124"/>
  <c r="I39" i="124" s="1"/>
  <c r="G33" i="124"/>
  <c r="F32" i="124"/>
  <c r="F33" i="124" s="1"/>
  <c r="H31" i="124"/>
  <c r="H33" i="124"/>
  <c r="E29" i="124"/>
  <c r="I29" i="124" s="1"/>
  <c r="E30" i="124"/>
  <c r="I30" i="124" s="1"/>
  <c r="G24" i="124"/>
  <c r="E20" i="124"/>
  <c r="I20" i="124" s="1"/>
  <c r="E19" i="124"/>
  <c r="F19" i="124"/>
  <c r="F24" i="124" s="1"/>
  <c r="F12" i="124"/>
  <c r="E11" i="124"/>
  <c r="H11" i="124" s="1"/>
  <c r="H12" i="124" s="1"/>
  <c r="E9" i="124" s="1"/>
  <c r="I9" i="124" s="1"/>
  <c r="I12" i="124" s="1"/>
  <c r="E10" i="124"/>
  <c r="G10" i="124" s="1"/>
  <c r="G12" i="124" s="1"/>
  <c r="H1770" i="123"/>
  <c r="F1770" i="123"/>
  <c r="E1769" i="123"/>
  <c r="I1769" i="123" s="1"/>
  <c r="I1770" i="123" s="1"/>
  <c r="E1768" i="123"/>
  <c r="G1768" i="123" s="1"/>
  <c r="G1770" i="123" s="1"/>
  <c r="G1763" i="123"/>
  <c r="F1763" i="123"/>
  <c r="H1755" i="123"/>
  <c r="F1755" i="123"/>
  <c r="E1754" i="123"/>
  <c r="I1754" i="123"/>
  <c r="I1755" i="123" s="1"/>
  <c r="E1753" i="123"/>
  <c r="G1753" i="123" s="1"/>
  <c r="G1755" i="123" s="1"/>
  <c r="B1755" i="123" s="1"/>
  <c r="B1756" i="123" s="1"/>
  <c r="G1748" i="123"/>
  <c r="F1748" i="123"/>
  <c r="H1740" i="123"/>
  <c r="F1740" i="123"/>
  <c r="E1739" i="123"/>
  <c r="I1739" i="123" s="1"/>
  <c r="I1740" i="123" s="1"/>
  <c r="G1738" i="123"/>
  <c r="G1740" i="123" s="1"/>
  <c r="G1733" i="123"/>
  <c r="F1733" i="123"/>
  <c r="E1730" i="123"/>
  <c r="H1724" i="123"/>
  <c r="G1723" i="123"/>
  <c r="G1724" i="123"/>
  <c r="E1722" i="123"/>
  <c r="I1722" i="123" s="1"/>
  <c r="I1724" i="123" s="1"/>
  <c r="G1717" i="123"/>
  <c r="H1715" i="123"/>
  <c r="H1717" i="123"/>
  <c r="E1716" i="123" s="1"/>
  <c r="I1716" i="123" s="1"/>
  <c r="I1717" i="123" s="1"/>
  <c r="H1710" i="123"/>
  <c r="B1710" i="123" s="1"/>
  <c r="B1711" i="123" s="1"/>
  <c r="G1709" i="123"/>
  <c r="G1710" i="123"/>
  <c r="E1708" i="123"/>
  <c r="I1708" i="123" s="1"/>
  <c r="I1710" i="123" s="1"/>
  <c r="G1703" i="123"/>
  <c r="H1701" i="123"/>
  <c r="H1703" i="123"/>
  <c r="E1702" i="123"/>
  <c r="I1702" i="123"/>
  <c r="I1703" i="123" s="1"/>
  <c r="H1696" i="123"/>
  <c r="G1695" i="123"/>
  <c r="G1696" i="123"/>
  <c r="E1694" i="123"/>
  <c r="I1694" i="123" s="1"/>
  <c r="I1696" i="123" s="1"/>
  <c r="G1689" i="123"/>
  <c r="H1687" i="123"/>
  <c r="H1689" i="123"/>
  <c r="E1688" i="123" s="1"/>
  <c r="I1688" i="123" s="1"/>
  <c r="I1689" i="123" s="1"/>
  <c r="H1682" i="123"/>
  <c r="F1682" i="123"/>
  <c r="E1681" i="123"/>
  <c r="I1681" i="123" s="1"/>
  <c r="I1682" i="123" s="1"/>
  <c r="G1680" i="123"/>
  <c r="G1682" i="123"/>
  <c r="G1675" i="123"/>
  <c r="F1675" i="123"/>
  <c r="E1672" i="123"/>
  <c r="I1672" i="123" s="1"/>
  <c r="H1666" i="123"/>
  <c r="F1666" i="123"/>
  <c r="E1665" i="123"/>
  <c r="I1665" i="123" s="1"/>
  <c r="I1666" i="123" s="1"/>
  <c r="G1664" i="123"/>
  <c r="G1666" i="123"/>
  <c r="G1658" i="123"/>
  <c r="F1658" i="123"/>
  <c r="H1651" i="123"/>
  <c r="F1651" i="123"/>
  <c r="E1650" i="123"/>
  <c r="I1650" i="123" s="1"/>
  <c r="I1651" i="123" s="1"/>
  <c r="G1649" i="123"/>
  <c r="G1651" i="123"/>
  <c r="G1644" i="123"/>
  <c r="F1644" i="123"/>
  <c r="H1636" i="123"/>
  <c r="F1636" i="123"/>
  <c r="E1635" i="123"/>
  <c r="I1635" i="123" s="1"/>
  <c r="I1636" i="123" s="1"/>
  <c r="B1636" i="123" s="1"/>
  <c r="B1637" i="123" s="1"/>
  <c r="G1634" i="123"/>
  <c r="G1636" i="123"/>
  <c r="G1629" i="123"/>
  <c r="F1629" i="123"/>
  <c r="H1621" i="123"/>
  <c r="F1621" i="123"/>
  <c r="E1620" i="123"/>
  <c r="I1620" i="123" s="1"/>
  <c r="I1621" i="123" s="1"/>
  <c r="F1612" i="123"/>
  <c r="E1611" i="123"/>
  <c r="G1611" i="123"/>
  <c r="G1612" i="123" s="1"/>
  <c r="H1603" i="123"/>
  <c r="F1603" i="123"/>
  <c r="E1602" i="123"/>
  <c r="I1602" i="123" s="1"/>
  <c r="I1603" i="123" s="1"/>
  <c r="E1601" i="123"/>
  <c r="G1601" i="123" s="1"/>
  <c r="G1603" i="123" s="1"/>
  <c r="B1603" i="123" s="1"/>
  <c r="B1604" i="123" s="1"/>
  <c r="G1596" i="123"/>
  <c r="F1596" i="123"/>
  <c r="H1588" i="123"/>
  <c r="F1588" i="123"/>
  <c r="E1587" i="123"/>
  <c r="I1587" i="123" s="1"/>
  <c r="I1588" i="123" s="1"/>
  <c r="G1586" i="123"/>
  <c r="G1588" i="123"/>
  <c r="G1581" i="123"/>
  <c r="F1581" i="123"/>
  <c r="H1573" i="123"/>
  <c r="F1573" i="123"/>
  <c r="E1572" i="123"/>
  <c r="I1572" i="123" s="1"/>
  <c r="I1573" i="123" s="1"/>
  <c r="B1573" i="123" s="1"/>
  <c r="B1574" i="123" s="1"/>
  <c r="E1571" i="123"/>
  <c r="G1571" i="123"/>
  <c r="G1573" i="123" s="1"/>
  <c r="G1566" i="123"/>
  <c r="F1566" i="123"/>
  <c r="H1558" i="123"/>
  <c r="F1558" i="123"/>
  <c r="E1557" i="123"/>
  <c r="I1557" i="123" s="1"/>
  <c r="I1558" i="123" s="1"/>
  <c r="G1556" i="123"/>
  <c r="G1558" i="123"/>
  <c r="G1551" i="123"/>
  <c r="F1551" i="123"/>
  <c r="H1543" i="123"/>
  <c r="F1543" i="123"/>
  <c r="E1542" i="123"/>
  <c r="I1542" i="123" s="1"/>
  <c r="I1543" i="123" s="1"/>
  <c r="G1541" i="123"/>
  <c r="G1543" i="123"/>
  <c r="G1536" i="123"/>
  <c r="F1536" i="123"/>
  <c r="H1528" i="123"/>
  <c r="F1528" i="123"/>
  <c r="E1527" i="123"/>
  <c r="I1527" i="123" s="1"/>
  <c r="I1528" i="123" s="1"/>
  <c r="F1521" i="123"/>
  <c r="E1520" i="123"/>
  <c r="G1520" i="123" s="1"/>
  <c r="G1521" i="123" s="1"/>
  <c r="H1512" i="123"/>
  <c r="F1512" i="123"/>
  <c r="E1511" i="123"/>
  <c r="I1511" i="123" s="1"/>
  <c r="I1512" i="123" s="1"/>
  <c r="G1510" i="123"/>
  <c r="G1512" i="123"/>
  <c r="G1505" i="123"/>
  <c r="F1505" i="123"/>
  <c r="E1504" i="123"/>
  <c r="I1504" i="123"/>
  <c r="I1505" i="123"/>
  <c r="H1497" i="123"/>
  <c r="F1497" i="123"/>
  <c r="E1496" i="123"/>
  <c r="I1496" i="123" s="1"/>
  <c r="I1497" i="123" s="1"/>
  <c r="G1497" i="123"/>
  <c r="F1490" i="123"/>
  <c r="E1489" i="123"/>
  <c r="G1489" i="123" s="1"/>
  <c r="G1490" i="123"/>
  <c r="E1488" i="123"/>
  <c r="I1488" i="123" s="1"/>
  <c r="I1490" i="123" s="1"/>
  <c r="H1481" i="123"/>
  <c r="F1481" i="123"/>
  <c r="B1481" i="123" s="1"/>
  <c r="B1482" i="123" s="1"/>
  <c r="E1480" i="123"/>
  <c r="I1480" i="123" s="1"/>
  <c r="I1481" i="123" s="1"/>
  <c r="F1474" i="123"/>
  <c r="E1473" i="123"/>
  <c r="G1473" i="123" s="1"/>
  <c r="G1474" i="123" s="1"/>
  <c r="H1465" i="123"/>
  <c r="F1465" i="123"/>
  <c r="E1464" i="123"/>
  <c r="I1464" i="123" s="1"/>
  <c r="I1465" i="123" s="1"/>
  <c r="G1463" i="123"/>
  <c r="G1465" i="123"/>
  <c r="F1458" i="123"/>
  <c r="E1457" i="123"/>
  <c r="G1457" i="123" s="1"/>
  <c r="G1458" i="123" s="1"/>
  <c r="H1449" i="123"/>
  <c r="F1449" i="123"/>
  <c r="E1448" i="123"/>
  <c r="I1448" i="123" s="1"/>
  <c r="I1449" i="123" s="1"/>
  <c r="E1447" i="123"/>
  <c r="G1447" i="123" s="1"/>
  <c r="G1449" i="123" s="1"/>
  <c r="G1442" i="123"/>
  <c r="F1442" i="123"/>
  <c r="H1434" i="123"/>
  <c r="F1434" i="123"/>
  <c r="E1433" i="123"/>
  <c r="I1433" i="123" s="1"/>
  <c r="I1434" i="123" s="1"/>
  <c r="G1432" i="123"/>
  <c r="G1434" i="123" s="1"/>
  <c r="G1427" i="123"/>
  <c r="F1427" i="123"/>
  <c r="H1419" i="123"/>
  <c r="F1419" i="123"/>
  <c r="E1418" i="123"/>
  <c r="I1418" i="123" s="1"/>
  <c r="I1419" i="123" s="1"/>
  <c r="E1417" i="123"/>
  <c r="G1417" i="123"/>
  <c r="G1419" i="123" s="1"/>
  <c r="G1412" i="123"/>
  <c r="F1412" i="123"/>
  <c r="H1404" i="123"/>
  <c r="F1404" i="123"/>
  <c r="E1403" i="123"/>
  <c r="I1403" i="123" s="1"/>
  <c r="I1404" i="123" s="1"/>
  <c r="G1402" i="123"/>
  <c r="G1404" i="123"/>
  <c r="G1397" i="123"/>
  <c r="F1397" i="123"/>
  <c r="H1389" i="123"/>
  <c r="F1389" i="123"/>
  <c r="E1388" i="123"/>
  <c r="I1388" i="123" s="1"/>
  <c r="I1389" i="123" s="1"/>
  <c r="E1387" i="123"/>
  <c r="G1387" i="123"/>
  <c r="G1389" i="123"/>
  <c r="G1382" i="123"/>
  <c r="F1382" i="123"/>
  <c r="H1374" i="123"/>
  <c r="F1374" i="123"/>
  <c r="E1373" i="123"/>
  <c r="I1373" i="123" s="1"/>
  <c r="I1374" i="123" s="1"/>
  <c r="G1372" i="123"/>
  <c r="G1374" i="123" s="1"/>
  <c r="F1367" i="123"/>
  <c r="E1366" i="123"/>
  <c r="G1366" i="123" s="1"/>
  <c r="G1367" i="123" s="1"/>
  <c r="H1358" i="123"/>
  <c r="F1358" i="123"/>
  <c r="E1357" i="123"/>
  <c r="I1357" i="123" s="1"/>
  <c r="I1358" i="123" s="1"/>
  <c r="G1356" i="123"/>
  <c r="G1358" i="123" s="1"/>
  <c r="G1351" i="123"/>
  <c r="F1351" i="123"/>
  <c r="E1350" i="123"/>
  <c r="I1350" i="123" s="1"/>
  <c r="I1351" i="123" s="1"/>
  <c r="H1343" i="123"/>
  <c r="F1343" i="123"/>
  <c r="E1342" i="123"/>
  <c r="I1342" i="123" s="1"/>
  <c r="I1343" i="123" s="1"/>
  <c r="F1335" i="123"/>
  <c r="E1334" i="123"/>
  <c r="G1334" i="123" s="1"/>
  <c r="G1335" i="123" s="1"/>
  <c r="E1333" i="123"/>
  <c r="I1333" i="123" s="1"/>
  <c r="I1335" i="123" s="1"/>
  <c r="H1326" i="123"/>
  <c r="F1326" i="123"/>
  <c r="E1325" i="123"/>
  <c r="I1325" i="123" s="1"/>
  <c r="I1326" i="123" s="1"/>
  <c r="G1319" i="123"/>
  <c r="F1319" i="123"/>
  <c r="E1316" i="123"/>
  <c r="I1316" i="123" s="1"/>
  <c r="H1310" i="123"/>
  <c r="F1310" i="123"/>
  <c r="E1309" i="123"/>
  <c r="I1309" i="123" s="1"/>
  <c r="I1310" i="123" s="1"/>
  <c r="E1308" i="123"/>
  <c r="G1308" i="123" s="1"/>
  <c r="G1310" i="123" s="1"/>
  <c r="G1303" i="123"/>
  <c r="F1303" i="123"/>
  <c r="E1300" i="123"/>
  <c r="I1300" i="123" s="1"/>
  <c r="F1294" i="123"/>
  <c r="E1290" i="123"/>
  <c r="I1290" i="123" s="1"/>
  <c r="E1289" i="123"/>
  <c r="G1289" i="123" s="1"/>
  <c r="G1287" i="123"/>
  <c r="F1281" i="123"/>
  <c r="E1280" i="123"/>
  <c r="I1280" i="123" s="1"/>
  <c r="C1279" i="123"/>
  <c r="C1278" i="123"/>
  <c r="E1277" i="123"/>
  <c r="G1277" i="123" s="1"/>
  <c r="E1276" i="123"/>
  <c r="G1276" i="123" s="1"/>
  <c r="C1267" i="123"/>
  <c r="C1268" i="123" s="1"/>
  <c r="E1265" i="123"/>
  <c r="I1265" i="123" s="1"/>
  <c r="E1264" i="123"/>
  <c r="G1264" i="123" s="1"/>
  <c r="E1263" i="123"/>
  <c r="G1263" i="123" s="1"/>
  <c r="E1262" i="123"/>
  <c r="G1262" i="123" s="1"/>
  <c r="E1261" i="123"/>
  <c r="F1261" i="123" s="1"/>
  <c r="E1259" i="123"/>
  <c r="F1259" i="123" s="1"/>
  <c r="E1258" i="123"/>
  <c r="F1258" i="123" s="1"/>
  <c r="E1248" i="123"/>
  <c r="I1248" i="123" s="1"/>
  <c r="E1247" i="123"/>
  <c r="G1247" i="123" s="1"/>
  <c r="E1246" i="123"/>
  <c r="G1246" i="123" s="1"/>
  <c r="E1245" i="123"/>
  <c r="G1245" i="123" s="1"/>
  <c r="E1244" i="123"/>
  <c r="F1244" i="123" s="1"/>
  <c r="E1242" i="123"/>
  <c r="F1242" i="123" s="1"/>
  <c r="E1241" i="123"/>
  <c r="F1241" i="123" s="1"/>
  <c r="F1236" i="123"/>
  <c r="E1232" i="123"/>
  <c r="I1232" i="123" s="1"/>
  <c r="F1226" i="123"/>
  <c r="G1224" i="123"/>
  <c r="G1226" i="123"/>
  <c r="E1216" i="123"/>
  <c r="I1216" i="123" s="1"/>
  <c r="E1215" i="123"/>
  <c r="G1215" i="123" s="1"/>
  <c r="G1218" i="123" s="1"/>
  <c r="E1213" i="123"/>
  <c r="F1213" i="123" s="1"/>
  <c r="F1218" i="123" s="1"/>
  <c r="G1208" i="123"/>
  <c r="I1207" i="123"/>
  <c r="E1204" i="123"/>
  <c r="F1204" i="123" s="1"/>
  <c r="F1208" i="123" s="1"/>
  <c r="H1199" i="123"/>
  <c r="G1199" i="123"/>
  <c r="E1198" i="123"/>
  <c r="I1198" i="123" s="1"/>
  <c r="I1199" i="123" s="1"/>
  <c r="E1197" i="123"/>
  <c r="F1197" i="123" s="1"/>
  <c r="F1199" i="123"/>
  <c r="G1192" i="123"/>
  <c r="C1191" i="123"/>
  <c r="E1189" i="123"/>
  <c r="C1189" i="123"/>
  <c r="F1182" i="123"/>
  <c r="E1180" i="123"/>
  <c r="I1180" i="123" s="1"/>
  <c r="C1179" i="123"/>
  <c r="C1177" i="123"/>
  <c r="G1177" i="123"/>
  <c r="G1176" i="123"/>
  <c r="F1171" i="123"/>
  <c r="E1169" i="123"/>
  <c r="I1169" i="123" s="1"/>
  <c r="C1168" i="123"/>
  <c r="G1166" i="123"/>
  <c r="G1165" i="123"/>
  <c r="F1160" i="123"/>
  <c r="E1158" i="123"/>
  <c r="I1158" i="123" s="1"/>
  <c r="C1157" i="123"/>
  <c r="G1155" i="123"/>
  <c r="G1160" i="123"/>
  <c r="F1150" i="123"/>
  <c r="E1148" i="123"/>
  <c r="I1148" i="123"/>
  <c r="C1147" i="123"/>
  <c r="E1145" i="123"/>
  <c r="G1145" i="123" s="1"/>
  <c r="E1144" i="123"/>
  <c r="G1144" i="123"/>
  <c r="C1143" i="123"/>
  <c r="G1143" i="123" s="1"/>
  <c r="G1150" i="123" s="1"/>
  <c r="G1142" i="123"/>
  <c r="F1137" i="123"/>
  <c r="E1135" i="123"/>
  <c r="I1135" i="123" s="1"/>
  <c r="C1134" i="123"/>
  <c r="G1132" i="123"/>
  <c r="G1137" i="123"/>
  <c r="F1127" i="123"/>
  <c r="E1125" i="123"/>
  <c r="I1125" i="123" s="1"/>
  <c r="C1124" i="123"/>
  <c r="G1122" i="123"/>
  <c r="G1127" i="123"/>
  <c r="F1117" i="123"/>
  <c r="E1115" i="123"/>
  <c r="I1115" i="123" s="1"/>
  <c r="C1114" i="123"/>
  <c r="G1112" i="123"/>
  <c r="G1117" i="123" s="1"/>
  <c r="F1107" i="123"/>
  <c r="E1105" i="123"/>
  <c r="I1105" i="123" s="1"/>
  <c r="C1104" i="123"/>
  <c r="G1102" i="123"/>
  <c r="G1107" i="123"/>
  <c r="F1097" i="123"/>
  <c r="E1095" i="123"/>
  <c r="I1095" i="123" s="1"/>
  <c r="C1094" i="123"/>
  <c r="G1092" i="123"/>
  <c r="G1097" i="123"/>
  <c r="F1087" i="123"/>
  <c r="E1085" i="123"/>
  <c r="I1085" i="123" s="1"/>
  <c r="C1084" i="123"/>
  <c r="G1082" i="123"/>
  <c r="E1081" i="123"/>
  <c r="G1081" i="123" s="1"/>
  <c r="G1080" i="123"/>
  <c r="G1087" i="123" s="1"/>
  <c r="F1075" i="123"/>
  <c r="E1073" i="123"/>
  <c r="I1073" i="123" s="1"/>
  <c r="C1072" i="123"/>
  <c r="G1071" i="123"/>
  <c r="G1070" i="123"/>
  <c r="F1065" i="123"/>
  <c r="E1063" i="123"/>
  <c r="I1063" i="123" s="1"/>
  <c r="C1062" i="123"/>
  <c r="G1060" i="123"/>
  <c r="G1065" i="123"/>
  <c r="F1055" i="123"/>
  <c r="E1053" i="123"/>
  <c r="I1053" i="123" s="1"/>
  <c r="C1052" i="123"/>
  <c r="G1050" i="123"/>
  <c r="G1055" i="123" s="1"/>
  <c r="F1045" i="123"/>
  <c r="E1043" i="123"/>
  <c r="I1043" i="123" s="1"/>
  <c r="C1042" i="123"/>
  <c r="G1040" i="123"/>
  <c r="G1045" i="123"/>
  <c r="F1035" i="123"/>
  <c r="E1033" i="123"/>
  <c r="I1033" i="123" s="1"/>
  <c r="C1032" i="123"/>
  <c r="G1030" i="123"/>
  <c r="G1035" i="123"/>
  <c r="F1025" i="123"/>
  <c r="E1023" i="123"/>
  <c r="I1023" i="123"/>
  <c r="C1022" i="123"/>
  <c r="G1020" i="123"/>
  <c r="G1025" i="123" s="1"/>
  <c r="F1015" i="123"/>
  <c r="E1013" i="123"/>
  <c r="I1013" i="123" s="1"/>
  <c r="C1011" i="123"/>
  <c r="E1009" i="123"/>
  <c r="G1009" i="123"/>
  <c r="G1015" i="123"/>
  <c r="F1004" i="123"/>
  <c r="E1002" i="123"/>
  <c r="I1002" i="123"/>
  <c r="C1000" i="123"/>
  <c r="C1001" i="123"/>
  <c r="E998" i="123"/>
  <c r="G998" i="123"/>
  <c r="G1004" i="123"/>
  <c r="F993" i="123"/>
  <c r="E991" i="123"/>
  <c r="I991" i="123"/>
  <c r="G987" i="123"/>
  <c r="G993" i="123"/>
  <c r="H980" i="123"/>
  <c r="F980" i="123"/>
  <c r="E979" i="123"/>
  <c r="I979" i="123" s="1"/>
  <c r="I980" i="123" s="1"/>
  <c r="G978" i="123"/>
  <c r="G980" i="123" s="1"/>
  <c r="G973" i="123"/>
  <c r="F973" i="123"/>
  <c r="E972" i="123"/>
  <c r="G972" i="123" s="1"/>
  <c r="E971" i="123"/>
  <c r="G971" i="123" s="1"/>
  <c r="H963" i="123"/>
  <c r="F963" i="123"/>
  <c r="E962" i="123"/>
  <c r="I962" i="123" s="1"/>
  <c r="I963" i="123" s="1"/>
  <c r="G961" i="123"/>
  <c r="G963" i="123" s="1"/>
  <c r="F956" i="123"/>
  <c r="C955" i="123"/>
  <c r="G953" i="123"/>
  <c r="G956" i="123" s="1"/>
  <c r="E952" i="123"/>
  <c r="I952" i="123" s="1"/>
  <c r="H946" i="123"/>
  <c r="F946" i="123"/>
  <c r="E945" i="123"/>
  <c r="I945" i="123" s="1"/>
  <c r="I946" i="123" s="1"/>
  <c r="G944" i="123"/>
  <c r="G946" i="123"/>
  <c r="G939" i="123"/>
  <c r="F939" i="123"/>
  <c r="H931" i="123"/>
  <c r="F931" i="123"/>
  <c r="E930" i="123"/>
  <c r="I930" i="123" s="1"/>
  <c r="I931" i="123" s="1"/>
  <c r="F924" i="123"/>
  <c r="E923" i="123"/>
  <c r="G923" i="123" s="1"/>
  <c r="G924" i="123" s="1"/>
  <c r="E922" i="123"/>
  <c r="I922" i="123" s="1"/>
  <c r="I924" i="123" s="1"/>
  <c r="F915" i="123"/>
  <c r="C914" i="123"/>
  <c r="C913" i="123"/>
  <c r="E911" i="123"/>
  <c r="I911" i="123" s="1"/>
  <c r="G910" i="123"/>
  <c r="E909" i="123"/>
  <c r="G909" i="123" s="1"/>
  <c r="C909" i="123"/>
  <c r="F903" i="123"/>
  <c r="G899" i="123"/>
  <c r="G903" i="123"/>
  <c r="F894" i="123"/>
  <c r="C892" i="123"/>
  <c r="E890" i="123"/>
  <c r="G890" i="123" s="1"/>
  <c r="E889" i="123"/>
  <c r="G889" i="123" s="1"/>
  <c r="G888" i="123"/>
  <c r="F883" i="123"/>
  <c r="C882" i="123"/>
  <c r="C881" i="123"/>
  <c r="E880" i="123"/>
  <c r="I880" i="123" s="1"/>
  <c r="G879" i="123"/>
  <c r="G883" i="123"/>
  <c r="F873" i="123"/>
  <c r="E869" i="123"/>
  <c r="I869" i="123" s="1"/>
  <c r="G868" i="123"/>
  <c r="G873" i="123"/>
  <c r="F861" i="123"/>
  <c r="E860" i="123"/>
  <c r="I860" i="123" s="1"/>
  <c r="C859" i="123"/>
  <c r="C858" i="123"/>
  <c r="E857" i="123"/>
  <c r="G857" i="123" s="1"/>
  <c r="E856" i="123"/>
  <c r="G856" i="123" s="1"/>
  <c r="E849" i="123"/>
  <c r="I849" i="123" s="1"/>
  <c r="E844" i="123"/>
  <c r="F844" i="123" s="1"/>
  <c r="F850" i="123" s="1"/>
  <c r="E843" i="123"/>
  <c r="G843" i="123" s="1"/>
  <c r="E832" i="123"/>
  <c r="I832" i="123" s="1"/>
  <c r="E831" i="123"/>
  <c r="G831" i="123" s="1"/>
  <c r="E830" i="123"/>
  <c r="G830" i="123" s="1"/>
  <c r="E829" i="123"/>
  <c r="G829" i="123" s="1"/>
  <c r="E828" i="123"/>
  <c r="F828" i="123" s="1"/>
  <c r="E826" i="123"/>
  <c r="F826" i="123" s="1"/>
  <c r="E825" i="123"/>
  <c r="F825" i="123" s="1"/>
  <c r="E819" i="123"/>
  <c r="G819" i="123" s="1"/>
  <c r="E818" i="123"/>
  <c r="I818" i="123" s="1"/>
  <c r="E813" i="123"/>
  <c r="G813" i="123" s="1"/>
  <c r="E812" i="123"/>
  <c r="G812" i="123" s="1"/>
  <c r="E811" i="123"/>
  <c r="G811" i="123" s="1"/>
  <c r="E809" i="123"/>
  <c r="F809" i="123" s="1"/>
  <c r="F820" i="123" s="1"/>
  <c r="F804" i="123"/>
  <c r="E800" i="123"/>
  <c r="I800" i="123" s="1"/>
  <c r="G794" i="123"/>
  <c r="C792" i="123"/>
  <c r="E791" i="123"/>
  <c r="C791" i="123"/>
  <c r="G786" i="123"/>
  <c r="I785" i="123"/>
  <c r="E782" i="123"/>
  <c r="F782" i="123" s="1"/>
  <c r="F786" i="123" s="1"/>
  <c r="G777" i="123"/>
  <c r="C776" i="123"/>
  <c r="E774" i="123"/>
  <c r="F774" i="123" s="1"/>
  <c r="F777" i="123" s="1"/>
  <c r="C774" i="123"/>
  <c r="E766" i="123"/>
  <c r="G766" i="123" s="1"/>
  <c r="G767" i="123" s="1"/>
  <c r="B767" i="123" s="1"/>
  <c r="B768" i="123"/>
  <c r="E759" i="123"/>
  <c r="G759" i="123"/>
  <c r="G760" i="123"/>
  <c r="B760" i="123"/>
  <c r="E753" i="123"/>
  <c r="G753" i="123"/>
  <c r="G754" i="123"/>
  <c r="B754" i="123"/>
  <c r="B755" i="123" s="1"/>
  <c r="E747" i="123"/>
  <c r="G747" i="123"/>
  <c r="G748" i="123"/>
  <c r="B748" i="123" s="1"/>
  <c r="B749" i="123" s="1"/>
  <c r="E741" i="123"/>
  <c r="G741" i="123"/>
  <c r="G742" i="123" s="1"/>
  <c r="B742" i="123" s="1"/>
  <c r="B743" i="123" s="1"/>
  <c r="E735" i="123"/>
  <c r="G735" i="123" s="1"/>
  <c r="G736" i="123" s="1"/>
  <c r="B736" i="123" s="1"/>
  <c r="B737" i="123" s="1"/>
  <c r="E729" i="123"/>
  <c r="G729" i="123"/>
  <c r="G730" i="123"/>
  <c r="B730" i="123"/>
  <c r="B731" i="123" s="1"/>
  <c r="E723" i="123"/>
  <c r="G723" i="123"/>
  <c r="G724" i="123"/>
  <c r="B724" i="123" s="1"/>
  <c r="B725" i="123" s="1"/>
  <c r="E717" i="123"/>
  <c r="G717" i="123"/>
  <c r="G718" i="123" s="1"/>
  <c r="B718" i="123" s="1"/>
  <c r="B719" i="123" s="1"/>
  <c r="E711" i="123"/>
  <c r="G711" i="123" s="1"/>
  <c r="G712" i="123" s="1"/>
  <c r="B712" i="123" s="1"/>
  <c r="B713" i="123" s="1"/>
  <c r="E705" i="123"/>
  <c r="G705" i="123"/>
  <c r="G706" i="123"/>
  <c r="B706" i="123"/>
  <c r="B707" i="123" s="1"/>
  <c r="E699" i="123"/>
  <c r="G699" i="123"/>
  <c r="G700" i="123"/>
  <c r="B700" i="123" s="1"/>
  <c r="B701" i="123" s="1"/>
  <c r="E693" i="123"/>
  <c r="G693" i="123"/>
  <c r="G694" i="123" s="1"/>
  <c r="B694" i="123" s="1"/>
  <c r="B695" i="123" s="1"/>
  <c r="E687" i="123"/>
  <c r="G687" i="123" s="1"/>
  <c r="G688" i="123" s="1"/>
  <c r="B688" i="123" s="1"/>
  <c r="B689" i="123"/>
  <c r="E681" i="123"/>
  <c r="G681" i="123"/>
  <c r="G682" i="123"/>
  <c r="B682" i="123"/>
  <c r="B683" i="123" s="1"/>
  <c r="E675" i="123"/>
  <c r="G675" i="123"/>
  <c r="G676" i="123"/>
  <c r="B676" i="123" s="1"/>
  <c r="B677" i="123" s="1"/>
  <c r="E669" i="123"/>
  <c r="G669" i="123"/>
  <c r="G670" i="123" s="1"/>
  <c r="B670" i="123" s="1"/>
  <c r="B671" i="123" s="1"/>
  <c r="E663" i="123"/>
  <c r="G663" i="123" s="1"/>
  <c r="G664" i="123" s="1"/>
  <c r="B664" i="123" s="1"/>
  <c r="B665" i="123"/>
  <c r="E657" i="123"/>
  <c r="G657" i="123"/>
  <c r="G658" i="123"/>
  <c r="B658" i="123"/>
  <c r="B659" i="123" s="1"/>
  <c r="E651" i="123"/>
  <c r="G651" i="123"/>
  <c r="G652" i="123"/>
  <c r="B652" i="123" s="1"/>
  <c r="B653" i="123" s="1"/>
  <c r="E645" i="123"/>
  <c r="G645" i="123"/>
  <c r="E644" i="123"/>
  <c r="G644" i="123"/>
  <c r="H639" i="123"/>
  <c r="F639" i="123"/>
  <c r="B639" i="123" s="1"/>
  <c r="B640" i="123" s="1"/>
  <c r="E638" i="123"/>
  <c r="I638" i="123" s="1"/>
  <c r="I639" i="123" s="1"/>
  <c r="G637" i="123"/>
  <c r="G639" i="123"/>
  <c r="H632" i="123"/>
  <c r="F632" i="123"/>
  <c r="E631" i="123"/>
  <c r="I631" i="123" s="1"/>
  <c r="I632" i="123" s="1"/>
  <c r="G630" i="123"/>
  <c r="G632" i="123"/>
  <c r="H625" i="123"/>
  <c r="F625" i="123"/>
  <c r="E624" i="123"/>
  <c r="I624" i="123" s="1"/>
  <c r="I625" i="123"/>
  <c r="B625" i="123" s="1"/>
  <c r="B626" i="123" s="1"/>
  <c r="G623" i="123"/>
  <c r="G625" i="123"/>
  <c r="H618" i="123"/>
  <c r="F618" i="123"/>
  <c r="E617" i="123"/>
  <c r="I617" i="123" s="1"/>
  <c r="I618" i="123" s="1"/>
  <c r="G616" i="123"/>
  <c r="G618" i="123"/>
  <c r="H611" i="123"/>
  <c r="F611" i="123"/>
  <c r="E610" i="123"/>
  <c r="I610" i="123"/>
  <c r="I611" i="123" s="1"/>
  <c r="G609" i="123"/>
  <c r="G611" i="123" s="1"/>
  <c r="H603" i="123"/>
  <c r="F603" i="123"/>
  <c r="E602" i="123"/>
  <c r="I602" i="123" s="1"/>
  <c r="I603" i="123" s="1"/>
  <c r="B603" i="123" s="1"/>
  <c r="B604" i="123" s="1"/>
  <c r="G601" i="123"/>
  <c r="G603" i="123"/>
  <c r="G596" i="123"/>
  <c r="F596" i="123"/>
  <c r="H588" i="123"/>
  <c r="F588" i="123"/>
  <c r="E587" i="123"/>
  <c r="I587" i="123"/>
  <c r="I588" i="123" s="1"/>
  <c r="B588" i="123" s="1"/>
  <c r="B589" i="123" s="1"/>
  <c r="G586" i="123"/>
  <c r="G588" i="123"/>
  <c r="G581" i="123"/>
  <c r="F581" i="123"/>
  <c r="H573" i="123"/>
  <c r="F573" i="123"/>
  <c r="E572" i="123"/>
  <c r="I572" i="123"/>
  <c r="I573" i="123" s="1"/>
  <c r="E571" i="123"/>
  <c r="G571" i="123" s="1"/>
  <c r="G573" i="123" s="1"/>
  <c r="G566" i="123"/>
  <c r="F566" i="123"/>
  <c r="E565" i="123"/>
  <c r="I565" i="123" s="1"/>
  <c r="H557" i="123"/>
  <c r="F557" i="123"/>
  <c r="E556" i="123"/>
  <c r="I556" i="123" s="1"/>
  <c r="I557" i="123" s="1"/>
  <c r="G555" i="123"/>
  <c r="G557" i="123" s="1"/>
  <c r="H550" i="123"/>
  <c r="F550" i="123"/>
  <c r="E549" i="123"/>
  <c r="I549" i="123" s="1"/>
  <c r="I550" i="123" s="1"/>
  <c r="G548" i="123"/>
  <c r="G550" i="123"/>
  <c r="H543" i="123"/>
  <c r="F543" i="123"/>
  <c r="E542" i="123"/>
  <c r="I542" i="123" s="1"/>
  <c r="I543" i="123" s="1"/>
  <c r="G541" i="123"/>
  <c r="G543" i="123"/>
  <c r="H536" i="123"/>
  <c r="E535" i="123"/>
  <c r="I535" i="123" s="1"/>
  <c r="I536" i="123" s="1"/>
  <c r="E534" i="123"/>
  <c r="G534" i="123"/>
  <c r="G536" i="123" s="1"/>
  <c r="E533" i="123"/>
  <c r="G533" i="123" s="1"/>
  <c r="H526" i="123"/>
  <c r="H528" i="123"/>
  <c r="E527" i="123" s="1"/>
  <c r="I527" i="123" s="1"/>
  <c r="I528" i="123" s="1"/>
  <c r="E525" i="123"/>
  <c r="G525" i="123"/>
  <c r="G528" i="123" s="1"/>
  <c r="H520" i="123"/>
  <c r="F520" i="123"/>
  <c r="E519" i="123"/>
  <c r="I519" i="123" s="1"/>
  <c r="I520" i="123" s="1"/>
  <c r="G513" i="123"/>
  <c r="F513" i="123"/>
  <c r="H511" i="123"/>
  <c r="H513" i="123"/>
  <c r="E512" i="123" s="1"/>
  <c r="H504" i="123"/>
  <c r="F504" i="123"/>
  <c r="E503" i="123"/>
  <c r="I503" i="123" s="1"/>
  <c r="I504" i="123" s="1"/>
  <c r="G502" i="123"/>
  <c r="G504" i="123"/>
  <c r="G497" i="123"/>
  <c r="F497" i="123"/>
  <c r="H489" i="123"/>
  <c r="F489" i="123"/>
  <c r="E488" i="123"/>
  <c r="I488" i="123" s="1"/>
  <c r="I489" i="123" s="1"/>
  <c r="B489" i="123" s="1"/>
  <c r="B490" i="123" s="1"/>
  <c r="G487" i="123"/>
  <c r="G489" i="123"/>
  <c r="I482" i="123"/>
  <c r="G482" i="123"/>
  <c r="F482" i="123"/>
  <c r="H474" i="123"/>
  <c r="F474" i="123"/>
  <c r="E473" i="123"/>
  <c r="I473" i="123" s="1"/>
  <c r="I474" i="123" s="1"/>
  <c r="G472" i="123"/>
  <c r="G471" i="123"/>
  <c r="G474" i="123" s="1"/>
  <c r="G466" i="123"/>
  <c r="F466" i="123"/>
  <c r="C464" i="123"/>
  <c r="C463" i="123"/>
  <c r="H458" i="123"/>
  <c r="F458" i="123"/>
  <c r="E457" i="123"/>
  <c r="I457" i="123" s="1"/>
  <c r="I458" i="123"/>
  <c r="G451" i="123"/>
  <c r="F451" i="123"/>
  <c r="H443" i="123"/>
  <c r="F443" i="123"/>
  <c r="E442" i="123"/>
  <c r="I442" i="123" s="1"/>
  <c r="I443" i="123" s="1"/>
  <c r="B443" i="123" s="1"/>
  <c r="B444" i="123" s="1"/>
  <c r="G441" i="123"/>
  <c r="G443" i="123"/>
  <c r="G436" i="123"/>
  <c r="F436" i="123"/>
  <c r="H428" i="123"/>
  <c r="F428" i="123"/>
  <c r="E427" i="123"/>
  <c r="C427" i="123"/>
  <c r="F421" i="123"/>
  <c r="E417" i="123"/>
  <c r="G417" i="123"/>
  <c r="G416" i="123"/>
  <c r="H411" i="123"/>
  <c r="F411" i="123"/>
  <c r="E410" i="123"/>
  <c r="C410" i="123"/>
  <c r="F404" i="123"/>
  <c r="G400" i="123"/>
  <c r="G399" i="123"/>
  <c r="I394" i="123"/>
  <c r="E392" i="123"/>
  <c r="G392" i="123" s="1"/>
  <c r="G391" i="123"/>
  <c r="G386" i="123"/>
  <c r="I376" i="123"/>
  <c r="H376" i="123"/>
  <c r="F376" i="123"/>
  <c r="G375" i="123"/>
  <c r="G376" i="123"/>
  <c r="G370" i="123"/>
  <c r="F370" i="123"/>
  <c r="H363" i="123"/>
  <c r="F363" i="123"/>
  <c r="E362" i="123"/>
  <c r="I362" i="123"/>
  <c r="I363" i="123" s="1"/>
  <c r="B363" i="123" s="1"/>
  <c r="B364" i="123" s="1"/>
  <c r="G361" i="123"/>
  <c r="G363" i="123"/>
  <c r="G355" i="123"/>
  <c r="F355" i="123"/>
  <c r="H346" i="123"/>
  <c r="E345" i="123"/>
  <c r="I345" i="123" s="1"/>
  <c r="I346" i="123" s="1"/>
  <c r="G344" i="123"/>
  <c r="G343" i="123"/>
  <c r="G342" i="123"/>
  <c r="G337" i="123"/>
  <c r="I329" i="123"/>
  <c r="H329" i="123"/>
  <c r="B329" i="123" s="1"/>
  <c r="B330" i="123" s="1"/>
  <c r="G329" i="123"/>
  <c r="F329" i="123"/>
  <c r="E328" i="123"/>
  <c r="I320" i="123"/>
  <c r="H320" i="123"/>
  <c r="G320" i="123"/>
  <c r="B320" i="123" s="1"/>
  <c r="B321" i="123" s="1"/>
  <c r="F320" i="123"/>
  <c r="H312" i="123"/>
  <c r="F312" i="123"/>
  <c r="E311" i="123"/>
  <c r="I311" i="123" s="1"/>
  <c r="I312" i="123" s="1"/>
  <c r="E310" i="123"/>
  <c r="G310" i="123"/>
  <c r="G312" i="123" s="1"/>
  <c r="F305" i="123"/>
  <c r="E304" i="123"/>
  <c r="G304" i="123" s="1"/>
  <c r="G305" i="123" s="1"/>
  <c r="F296" i="123"/>
  <c r="E292" i="123"/>
  <c r="F285" i="123"/>
  <c r="H284" i="123"/>
  <c r="H283" i="123"/>
  <c r="E280" i="123"/>
  <c r="E291" i="123"/>
  <c r="G291" i="123" s="1"/>
  <c r="G296" i="123"/>
  <c r="F274" i="123"/>
  <c r="G269" i="123"/>
  <c r="G274" i="123" s="1"/>
  <c r="H263" i="123"/>
  <c r="F263" i="123"/>
  <c r="E262" i="123"/>
  <c r="I262" i="123" s="1"/>
  <c r="I263" i="123" s="1"/>
  <c r="G261" i="123"/>
  <c r="G263" i="123"/>
  <c r="G256" i="123"/>
  <c r="F256" i="123"/>
  <c r="H248" i="123"/>
  <c r="F248" i="123"/>
  <c r="E247" i="123"/>
  <c r="I247" i="123" s="1"/>
  <c r="I248" i="123" s="1"/>
  <c r="B248" i="123" s="1"/>
  <c r="B249" i="123" s="1"/>
  <c r="G246" i="123"/>
  <c r="G248" i="123"/>
  <c r="G241" i="123"/>
  <c r="F241" i="123"/>
  <c r="H232" i="123"/>
  <c r="F232" i="123"/>
  <c r="E231" i="123"/>
  <c r="I231" i="123" s="1"/>
  <c r="I232" i="123" s="1"/>
  <c r="G230" i="123"/>
  <c r="G232" i="123" s="1"/>
  <c r="G225" i="123"/>
  <c r="F225" i="123"/>
  <c r="I223" i="123"/>
  <c r="I225" i="123" s="1"/>
  <c r="F217" i="123"/>
  <c r="C216" i="123"/>
  <c r="E214" i="123"/>
  <c r="I214" i="123" s="1"/>
  <c r="G213" i="123"/>
  <c r="E212" i="123"/>
  <c r="G212" i="123" s="1"/>
  <c r="G211" i="123"/>
  <c r="F204" i="123"/>
  <c r="E203" i="123"/>
  <c r="I203" i="123" s="1"/>
  <c r="G199" i="123"/>
  <c r="G198" i="123"/>
  <c r="F192" i="123"/>
  <c r="E191" i="123"/>
  <c r="I191" i="123" s="1"/>
  <c r="H188" i="123"/>
  <c r="G187" i="123"/>
  <c r="G186" i="123"/>
  <c r="H180" i="123"/>
  <c r="G180" i="123"/>
  <c r="E179" i="123"/>
  <c r="I179" i="123" s="1"/>
  <c r="I180" i="123" s="1"/>
  <c r="E178" i="123"/>
  <c r="F178" i="123" s="1"/>
  <c r="F180" i="123" s="1"/>
  <c r="F172" i="123"/>
  <c r="E170" i="123"/>
  <c r="G170" i="123" s="1"/>
  <c r="G172" i="123" s="1"/>
  <c r="F164" i="123"/>
  <c r="E163" i="123"/>
  <c r="I163" i="123" s="1"/>
  <c r="C162" i="123"/>
  <c r="C161" i="123"/>
  <c r="E160" i="123"/>
  <c r="G160" i="123" s="1"/>
  <c r="E159" i="123"/>
  <c r="G159" i="123" s="1"/>
  <c r="G164" i="123" s="1"/>
  <c r="E152" i="123"/>
  <c r="I152" i="123" s="1"/>
  <c r="E147" i="123"/>
  <c r="E146" i="123"/>
  <c r="F146" i="123" s="1"/>
  <c r="F153" i="123" s="1"/>
  <c r="E145" i="123"/>
  <c r="G145" i="123" s="1"/>
  <c r="E134" i="123"/>
  <c r="I134" i="123" s="1"/>
  <c r="E133" i="123"/>
  <c r="G133" i="123" s="1"/>
  <c r="E132" i="123"/>
  <c r="G132" i="123" s="1"/>
  <c r="E131" i="123"/>
  <c r="G131" i="123"/>
  <c r="E130" i="123"/>
  <c r="F130" i="123" s="1"/>
  <c r="C130" i="123"/>
  <c r="E128" i="123"/>
  <c r="F128" i="123" s="1"/>
  <c r="E127" i="123"/>
  <c r="F127" i="123" s="1"/>
  <c r="E121" i="123"/>
  <c r="G121" i="123" s="1"/>
  <c r="E120" i="123"/>
  <c r="I120" i="123" s="1"/>
  <c r="E115" i="123"/>
  <c r="G115" i="123" s="1"/>
  <c r="E114" i="123"/>
  <c r="G114" i="123" s="1"/>
  <c r="E113" i="123"/>
  <c r="G113" i="123" s="1"/>
  <c r="E111" i="123"/>
  <c r="F111" i="123" s="1"/>
  <c r="F122" i="123" s="1"/>
  <c r="F106" i="123"/>
  <c r="E102" i="123"/>
  <c r="I102" i="123" s="1"/>
  <c r="E94" i="123"/>
  <c r="I94" i="123" s="1"/>
  <c r="E93" i="123"/>
  <c r="F93" i="123" s="1"/>
  <c r="F96" i="123" s="1"/>
  <c r="G86" i="123"/>
  <c r="I85" i="123"/>
  <c r="E82" i="123"/>
  <c r="F82" i="123" s="1"/>
  <c r="F86" i="123" s="1"/>
  <c r="F77" i="123"/>
  <c r="E74" i="123"/>
  <c r="G74" i="123" s="1"/>
  <c r="E73" i="123"/>
  <c r="G73" i="123" s="1"/>
  <c r="E72" i="123"/>
  <c r="G72" i="123" s="1"/>
  <c r="G71" i="123"/>
  <c r="G65" i="123"/>
  <c r="F65" i="123"/>
  <c r="E64" i="123"/>
  <c r="H64" i="123" s="1"/>
  <c r="H65" i="123" s="1"/>
  <c r="E63" i="123" s="1"/>
  <c r="I63" i="123" s="1"/>
  <c r="I65" i="123" s="1"/>
  <c r="G58" i="123"/>
  <c r="C57" i="123"/>
  <c r="E55" i="123"/>
  <c r="F55" i="123" s="1"/>
  <c r="F58" i="123" s="1"/>
  <c r="C55" i="123"/>
  <c r="G48" i="123"/>
  <c r="F47" i="123"/>
  <c r="F48" i="123"/>
  <c r="H46" i="123"/>
  <c r="H48" i="123"/>
  <c r="E44" i="123"/>
  <c r="I44" i="123"/>
  <c r="E45" i="123"/>
  <c r="I45" i="123" s="1"/>
  <c r="G39" i="123"/>
  <c r="F38" i="123"/>
  <c r="F39" i="123"/>
  <c r="H37" i="123"/>
  <c r="H39" i="123"/>
  <c r="E35" i="123"/>
  <c r="I35" i="123"/>
  <c r="E36" i="123"/>
  <c r="I36" i="123" s="1"/>
  <c r="G30" i="123"/>
  <c r="E26" i="123"/>
  <c r="I26" i="123"/>
  <c r="E25" i="123"/>
  <c r="F25" i="123" s="1"/>
  <c r="F30" i="123" s="1"/>
  <c r="G20" i="123"/>
  <c r="F20" i="123"/>
  <c r="C19" i="123"/>
  <c r="C18" i="123"/>
  <c r="F12" i="123"/>
  <c r="E11" i="123"/>
  <c r="H11" i="123" s="1"/>
  <c r="H12" i="123" s="1"/>
  <c r="E9" i="123" s="1"/>
  <c r="I9" i="123" s="1"/>
  <c r="I12" i="123" s="1"/>
  <c r="E10" i="123"/>
  <c r="G10" i="123" s="1"/>
  <c r="G12" i="123" s="1"/>
  <c r="C187" i="122"/>
  <c r="I186" i="122"/>
  <c r="E185" i="122"/>
  <c r="G185" i="122" s="1"/>
  <c r="E184" i="122"/>
  <c r="I184" i="122" s="1"/>
  <c r="E183" i="122"/>
  <c r="G183" i="122" s="1"/>
  <c r="E181" i="122"/>
  <c r="G181" i="122" s="1"/>
  <c r="E180" i="122"/>
  <c r="F180" i="122" s="1"/>
  <c r="F189" i="122" s="1"/>
  <c r="C172" i="122"/>
  <c r="I171" i="122"/>
  <c r="E170" i="122"/>
  <c r="G170" i="122" s="1"/>
  <c r="E169" i="122"/>
  <c r="I169" i="122" s="1"/>
  <c r="E168" i="122"/>
  <c r="G168" i="122" s="1"/>
  <c r="E166" i="122"/>
  <c r="G166" i="122" s="1"/>
  <c r="E165" i="122"/>
  <c r="F165" i="122" s="1"/>
  <c r="F174" i="122" s="1"/>
  <c r="C157" i="122"/>
  <c r="I156" i="122"/>
  <c r="E155" i="122"/>
  <c r="G155" i="122" s="1"/>
  <c r="E154" i="122"/>
  <c r="I154" i="122" s="1"/>
  <c r="E153" i="122"/>
  <c r="G153" i="122" s="1"/>
  <c r="E151" i="122"/>
  <c r="G151" i="122" s="1"/>
  <c r="E150" i="122"/>
  <c r="F150" i="122" s="1"/>
  <c r="F159" i="122" s="1"/>
  <c r="C141" i="122"/>
  <c r="C140" i="122"/>
  <c r="E138" i="122"/>
  <c r="G138" i="122" s="1"/>
  <c r="E137" i="122"/>
  <c r="G137" i="122" s="1"/>
  <c r="E136" i="122"/>
  <c r="I136" i="122"/>
  <c r="E135" i="122"/>
  <c r="G135" i="122" s="1"/>
  <c r="E134" i="122"/>
  <c r="G134" i="122" s="1"/>
  <c r="E133" i="122"/>
  <c r="G133" i="122" s="1"/>
  <c r="E131" i="122"/>
  <c r="F131" i="122" s="1"/>
  <c r="F142" i="122" s="1"/>
  <c r="I122" i="122"/>
  <c r="E121" i="122"/>
  <c r="G121" i="122" s="1"/>
  <c r="E120" i="122"/>
  <c r="G120" i="122" s="1"/>
  <c r="E119" i="122"/>
  <c r="I119" i="122" s="1"/>
  <c r="E118" i="122"/>
  <c r="G118" i="122" s="1"/>
  <c r="E117" i="122"/>
  <c r="G117" i="122" s="1"/>
  <c r="G125" i="122" s="1"/>
  <c r="E116" i="122"/>
  <c r="G116" i="122" s="1"/>
  <c r="E114" i="122"/>
  <c r="F114" i="122" s="1"/>
  <c r="F125" i="122" s="1"/>
  <c r="I105" i="122"/>
  <c r="E104" i="122"/>
  <c r="G104" i="122" s="1"/>
  <c r="E103" i="122"/>
  <c r="G103" i="122" s="1"/>
  <c r="E102" i="122"/>
  <c r="I102" i="122" s="1"/>
  <c r="E101" i="122"/>
  <c r="G101" i="122" s="1"/>
  <c r="E100" i="122"/>
  <c r="G100" i="122" s="1"/>
  <c r="E99" i="122"/>
  <c r="G99" i="122" s="1"/>
  <c r="E97" i="122"/>
  <c r="F97" i="122" s="1"/>
  <c r="F108" i="122" s="1"/>
  <c r="C90" i="122"/>
  <c r="C89" i="122"/>
  <c r="I88" i="122"/>
  <c r="E87" i="122"/>
  <c r="G87" i="122" s="1"/>
  <c r="E86" i="122"/>
  <c r="G86" i="122" s="1"/>
  <c r="E85" i="122"/>
  <c r="I85" i="122" s="1"/>
  <c r="E84" i="122"/>
  <c r="G84" i="122" s="1"/>
  <c r="E83" i="122"/>
  <c r="G83" i="122" s="1"/>
  <c r="E82" i="122"/>
  <c r="G82" i="122" s="1"/>
  <c r="E80" i="122"/>
  <c r="F80" i="122" s="1"/>
  <c r="F91" i="122" s="1"/>
  <c r="C73" i="122"/>
  <c r="C72" i="122"/>
  <c r="I71" i="122"/>
  <c r="E70" i="122"/>
  <c r="G70" i="122" s="1"/>
  <c r="E69" i="122"/>
  <c r="G69" i="122" s="1"/>
  <c r="E68" i="122"/>
  <c r="I68" i="122" s="1"/>
  <c r="E67" i="122"/>
  <c r="G67" i="122" s="1"/>
  <c r="E66" i="122"/>
  <c r="G66" i="122" s="1"/>
  <c r="E65" i="122"/>
  <c r="G65" i="122" s="1"/>
  <c r="E63" i="122"/>
  <c r="F63" i="122" s="1"/>
  <c r="F74" i="122" s="1"/>
  <c r="C56" i="122"/>
  <c r="C55" i="122"/>
  <c r="I54" i="122"/>
  <c r="E53" i="122"/>
  <c r="G53" i="122" s="1"/>
  <c r="E52" i="122"/>
  <c r="G52" i="122" s="1"/>
  <c r="E51" i="122"/>
  <c r="I51" i="122" s="1"/>
  <c r="E50" i="122"/>
  <c r="G50" i="122" s="1"/>
  <c r="E49" i="122"/>
  <c r="G49" i="122" s="1"/>
  <c r="E48" i="122"/>
  <c r="G48" i="122" s="1"/>
  <c r="G57" i="122" s="1"/>
  <c r="E46" i="122"/>
  <c r="F46" i="122" s="1"/>
  <c r="F57" i="122" s="1"/>
  <c r="C39" i="122"/>
  <c r="C38" i="122"/>
  <c r="I37" i="122"/>
  <c r="E36" i="122"/>
  <c r="G36" i="122" s="1"/>
  <c r="E35" i="122"/>
  <c r="G35" i="122" s="1"/>
  <c r="E34" i="122"/>
  <c r="I34" i="122" s="1"/>
  <c r="E33" i="122"/>
  <c r="G33" i="122" s="1"/>
  <c r="E32" i="122"/>
  <c r="G32" i="122" s="1"/>
  <c r="E31" i="122"/>
  <c r="G31" i="122" s="1"/>
  <c r="E29" i="122"/>
  <c r="F29" i="122" s="1"/>
  <c r="F40" i="122" s="1"/>
  <c r="C22" i="122"/>
  <c r="C21" i="122"/>
  <c r="I20" i="122"/>
  <c r="E19" i="122"/>
  <c r="G19" i="122" s="1"/>
  <c r="E18" i="122"/>
  <c r="G18" i="122" s="1"/>
  <c r="E17" i="122"/>
  <c r="I17" i="122" s="1"/>
  <c r="E16" i="122"/>
  <c r="G16" i="122" s="1"/>
  <c r="E15" i="122"/>
  <c r="G15" i="122" s="1"/>
  <c r="E14" i="122"/>
  <c r="G14" i="122" s="1"/>
  <c r="E12" i="122"/>
  <c r="F12" i="122" s="1"/>
  <c r="F23" i="122" s="1"/>
  <c r="D767" i="121"/>
  <c r="D535" i="121"/>
  <c r="D526" i="121"/>
  <c r="D518" i="121"/>
  <c r="E1526" i="123"/>
  <c r="G1526" i="123" s="1"/>
  <c r="G1528" i="123" s="1"/>
  <c r="D516" i="121"/>
  <c r="D370" i="121"/>
  <c r="G404" i="123"/>
  <c r="G421" i="123"/>
  <c r="B376" i="123"/>
  <c r="B377" i="123"/>
  <c r="F127" i="124"/>
  <c r="B1689" i="123"/>
  <c r="B1690" i="123"/>
  <c r="B1703" i="123"/>
  <c r="B1704" i="123" s="1"/>
  <c r="B1717" i="123"/>
  <c r="B1718" i="123" s="1"/>
  <c r="G192" i="123"/>
  <c r="G1075" i="123"/>
  <c r="G205" i="124"/>
  <c r="G346" i="123"/>
  <c r="G1171" i="123"/>
  <c r="G1182" i="123"/>
  <c r="G286" i="124"/>
  <c r="E840" i="113"/>
  <c r="E848" i="113"/>
  <c r="E842" i="113"/>
  <c r="F842" i="113" s="1"/>
  <c r="E844" i="113"/>
  <c r="G280" i="123"/>
  <c r="G285" i="123"/>
  <c r="I512" i="123"/>
  <c r="I513" i="123" s="1"/>
  <c r="B536" i="123"/>
  <c r="B537" i="123" s="1"/>
  <c r="C1012" i="123"/>
  <c r="E838" i="113"/>
  <c r="F838" i="113" s="1"/>
  <c r="E837" i="113"/>
  <c r="F837" i="113" s="1"/>
  <c r="E846" i="113"/>
  <c r="F846" i="113" s="1"/>
  <c r="E841" i="113"/>
  <c r="E836" i="113"/>
  <c r="E834" i="113"/>
  <c r="F834" i="113" s="1"/>
  <c r="E847" i="113"/>
  <c r="E845" i="113"/>
  <c r="E839" i="113"/>
  <c r="E833" i="113"/>
  <c r="F833" i="113" s="1"/>
  <c r="F851" i="113" s="1"/>
  <c r="E835" i="113"/>
  <c r="F835" i="113" s="1"/>
  <c r="E843" i="113"/>
  <c r="F844" i="113"/>
  <c r="F848" i="113"/>
  <c r="F840" i="113"/>
  <c r="E491" i="113"/>
  <c r="F491" i="113"/>
  <c r="F847" i="113"/>
  <c r="F836" i="113"/>
  <c r="F841" i="113"/>
  <c r="F843" i="113"/>
  <c r="F839" i="113"/>
  <c r="F845" i="113"/>
  <c r="E494" i="113"/>
  <c r="F494" i="113" s="1"/>
  <c r="E488" i="113"/>
  <c r="E498" i="113"/>
  <c r="E492" i="113"/>
  <c r="F492" i="113" s="1"/>
  <c r="E486" i="113"/>
  <c r="E490" i="113"/>
  <c r="F490" i="113" s="1"/>
  <c r="E489" i="113"/>
  <c r="F489" i="113"/>
  <c r="E496" i="113"/>
  <c r="F496" i="113"/>
  <c r="E485" i="113"/>
  <c r="F485" i="113"/>
  <c r="E487" i="113"/>
  <c r="F487" i="113"/>
  <c r="F498" i="113"/>
  <c r="F488" i="113"/>
  <c r="F486" i="113"/>
  <c r="E484" i="113"/>
  <c r="F484" i="113" s="1"/>
  <c r="E495" i="113"/>
  <c r="E493" i="113"/>
  <c r="F493" i="113" s="1"/>
  <c r="E483" i="113"/>
  <c r="E497" i="113"/>
  <c r="F497" i="113" s="1"/>
  <c r="F85" i="119"/>
  <c r="F84" i="119"/>
  <c r="F83" i="119"/>
  <c r="F82" i="119"/>
  <c r="F81" i="119"/>
  <c r="F80" i="119"/>
  <c r="F79" i="119"/>
  <c r="F78" i="119"/>
  <c r="F77" i="119"/>
  <c r="F76" i="119"/>
  <c r="F75" i="119"/>
  <c r="F74" i="119"/>
  <c r="F73" i="119"/>
  <c r="F71" i="119"/>
  <c r="F70" i="119"/>
  <c r="F69" i="119"/>
  <c r="F68" i="119"/>
  <c r="F67" i="119"/>
  <c r="F66" i="119"/>
  <c r="F65" i="119"/>
  <c r="F64" i="119"/>
  <c r="F63" i="119"/>
  <c r="F62" i="119"/>
  <c r="F61" i="119"/>
  <c r="F60" i="119"/>
  <c r="F59" i="119"/>
  <c r="F58" i="119"/>
  <c r="F57" i="119"/>
  <c r="F56" i="119"/>
  <c r="F55" i="119"/>
  <c r="F54" i="119"/>
  <c r="F53" i="119"/>
  <c r="F52" i="119"/>
  <c r="F51" i="119"/>
  <c r="F50" i="119"/>
  <c r="F46" i="119"/>
  <c r="F45" i="119"/>
  <c r="F44" i="119"/>
  <c r="F43" i="119"/>
  <c r="F42" i="119"/>
  <c r="F41" i="119"/>
  <c r="F40" i="119"/>
  <c r="F39" i="119"/>
  <c r="F38" i="119"/>
  <c r="F37" i="119"/>
  <c r="F36" i="119"/>
  <c r="F35" i="119"/>
  <c r="F34" i="119"/>
  <c r="F33" i="119"/>
  <c r="F31" i="119"/>
  <c r="F30" i="119"/>
  <c r="F29" i="119"/>
  <c r="F28" i="119"/>
  <c r="F27" i="119"/>
  <c r="F26" i="119"/>
  <c r="F25" i="119"/>
  <c r="F23" i="119"/>
  <c r="F22" i="119"/>
  <c r="F21" i="119"/>
  <c r="F20" i="119"/>
  <c r="F19" i="119"/>
  <c r="F18" i="119"/>
  <c r="F17" i="119"/>
  <c r="F16" i="119"/>
  <c r="F15" i="119"/>
  <c r="F14" i="119"/>
  <c r="F13" i="119"/>
  <c r="F12" i="119"/>
  <c r="F11" i="119"/>
  <c r="F10" i="119"/>
  <c r="F9" i="119"/>
  <c r="F483" i="113"/>
  <c r="F495" i="113"/>
  <c r="F47" i="119"/>
  <c r="F86" i="119"/>
  <c r="I537" i="116"/>
  <c r="H535" i="116"/>
  <c r="H537" i="116"/>
  <c r="B537" i="116" s="1"/>
  <c r="H529" i="116"/>
  <c r="I528" i="116"/>
  <c r="I529" i="116"/>
  <c r="G527" i="116"/>
  <c r="H518" i="116"/>
  <c r="H520" i="116"/>
  <c r="I510" i="116"/>
  <c r="H509" i="116"/>
  <c r="H512" i="116" s="1"/>
  <c r="G508" i="116"/>
  <c r="G507" i="116"/>
  <c r="G506" i="116"/>
  <c r="G505" i="116"/>
  <c r="G503" i="116"/>
  <c r="G502" i="116"/>
  <c r="I494" i="116"/>
  <c r="H493" i="116"/>
  <c r="G492" i="116"/>
  <c r="G490" i="116"/>
  <c r="I481" i="116"/>
  <c r="H480" i="116"/>
  <c r="G479" i="116"/>
  <c r="G478" i="116"/>
  <c r="G477" i="116"/>
  <c r="G476" i="116"/>
  <c r="H468" i="116"/>
  <c r="E469" i="116"/>
  <c r="I469" i="116" s="1"/>
  <c r="I470" i="116" s="1"/>
  <c r="B470" i="116" s="1"/>
  <c r="H459" i="116"/>
  <c r="G458" i="116"/>
  <c r="G457" i="116"/>
  <c r="G455" i="116"/>
  <c r="G454" i="116"/>
  <c r="G453" i="116"/>
  <c r="G450" i="116"/>
  <c r="G449" i="116"/>
  <c r="H441" i="116"/>
  <c r="H443" i="116" s="1"/>
  <c r="H432" i="116"/>
  <c r="H435" i="116" s="1"/>
  <c r="G431" i="116"/>
  <c r="G430" i="116"/>
  <c r="G428" i="116"/>
  <c r="G427" i="116"/>
  <c r="I421" i="116"/>
  <c r="H419" i="116"/>
  <c r="E420" i="116" s="1"/>
  <c r="I413" i="116"/>
  <c r="H410" i="116"/>
  <c r="E412" i="116"/>
  <c r="G409" i="116"/>
  <c r="G407" i="116"/>
  <c r="G406" i="116"/>
  <c r="G405" i="116"/>
  <c r="G403" i="116"/>
  <c r="H394" i="116"/>
  <c r="E395" i="116" s="1"/>
  <c r="I395" i="116" s="1"/>
  <c r="I396" i="116" s="1"/>
  <c r="H388" i="116"/>
  <c r="I387" i="116"/>
  <c r="I388" i="116" s="1"/>
  <c r="G385" i="116"/>
  <c r="G384" i="116"/>
  <c r="G383" i="116"/>
  <c r="G381" i="116"/>
  <c r="G380" i="116"/>
  <c r="G379" i="116"/>
  <c r="H371" i="116"/>
  <c r="E372" i="116"/>
  <c r="I372" i="116"/>
  <c r="I373" i="116" s="1"/>
  <c r="H365" i="116"/>
  <c r="I364" i="116"/>
  <c r="I365" i="116"/>
  <c r="G363" i="116"/>
  <c r="G362" i="116"/>
  <c r="G361" i="116"/>
  <c r="G360" i="116"/>
  <c r="G359" i="116"/>
  <c r="G358" i="116"/>
  <c r="G365" i="116" s="1"/>
  <c r="B365" i="116" s="1"/>
  <c r="G357" i="116"/>
  <c r="H348" i="116"/>
  <c r="I342" i="116"/>
  <c r="H340" i="116"/>
  <c r="H342" i="116"/>
  <c r="I334" i="116"/>
  <c r="H334" i="116"/>
  <c r="G332" i="116"/>
  <c r="G331" i="116"/>
  <c r="G329" i="116"/>
  <c r="G328" i="116"/>
  <c r="G327" i="116"/>
  <c r="G325" i="116"/>
  <c r="H316" i="116"/>
  <c r="H318" i="116" s="1"/>
  <c r="H310" i="116"/>
  <c r="I309" i="116"/>
  <c r="I310" i="116"/>
  <c r="G308" i="116"/>
  <c r="G306" i="116"/>
  <c r="G305" i="116"/>
  <c r="G304" i="116"/>
  <c r="G302" i="116"/>
  <c r="G301" i="116"/>
  <c r="G300" i="116"/>
  <c r="G298" i="116"/>
  <c r="G297" i="116"/>
  <c r="G296" i="116"/>
  <c r="H282" i="116"/>
  <c r="I281" i="116"/>
  <c r="I282" i="116"/>
  <c r="G279" i="116"/>
  <c r="G278" i="116"/>
  <c r="G277" i="116"/>
  <c r="G275" i="116"/>
  <c r="G274" i="116"/>
  <c r="G273" i="116"/>
  <c r="G271" i="116"/>
  <c r="G270" i="116"/>
  <c r="G269" i="116"/>
  <c r="G268" i="116"/>
  <c r="H260" i="116"/>
  <c r="H262" i="116"/>
  <c r="H254" i="116"/>
  <c r="I253" i="116"/>
  <c r="I254" i="116"/>
  <c r="G252" i="116"/>
  <c r="G251" i="116"/>
  <c r="G249" i="116"/>
  <c r="G248" i="116"/>
  <c r="G247" i="116"/>
  <c r="G245" i="116"/>
  <c r="G244" i="116"/>
  <c r="G243" i="116"/>
  <c r="H233" i="116"/>
  <c r="E234" i="116" s="1"/>
  <c r="I234" i="116" s="1"/>
  <c r="I235" i="116" s="1"/>
  <c r="H227" i="116"/>
  <c r="G225" i="116"/>
  <c r="G224" i="116"/>
  <c r="G223" i="116"/>
  <c r="G221" i="116"/>
  <c r="G220" i="116"/>
  <c r="G219" i="116"/>
  <c r="G213" i="116"/>
  <c r="I212" i="116"/>
  <c r="I213" i="116"/>
  <c r="B213" i="116" s="1"/>
  <c r="H211" i="116"/>
  <c r="H213" i="116" s="1"/>
  <c r="H205" i="116"/>
  <c r="I204" i="116"/>
  <c r="I205" i="116"/>
  <c r="G197" i="116"/>
  <c r="H195" i="116"/>
  <c r="H189" i="116"/>
  <c r="I188" i="116"/>
  <c r="I189" i="116"/>
  <c r="G187" i="116"/>
  <c r="G189" i="116"/>
  <c r="G181" i="116"/>
  <c r="H179" i="116"/>
  <c r="H181" i="116" s="1"/>
  <c r="H173" i="116"/>
  <c r="G171" i="116"/>
  <c r="G173" i="116"/>
  <c r="G165" i="116"/>
  <c r="H163" i="116"/>
  <c r="H165" i="116" s="1"/>
  <c r="H157" i="116"/>
  <c r="I156" i="116"/>
  <c r="I157" i="116" s="1"/>
  <c r="G149" i="116"/>
  <c r="H147" i="116"/>
  <c r="H149" i="116" s="1"/>
  <c r="H141" i="116"/>
  <c r="I140" i="116"/>
  <c r="I141" i="116"/>
  <c r="G139" i="116"/>
  <c r="G141" i="116" s="1"/>
  <c r="B141" i="116" s="1"/>
  <c r="G133" i="116"/>
  <c r="I123" i="116"/>
  <c r="G121" i="116"/>
  <c r="G120" i="116"/>
  <c r="G119" i="116"/>
  <c r="G116" i="116"/>
  <c r="G114" i="116"/>
  <c r="G113" i="116"/>
  <c r="G111" i="116"/>
  <c r="G110" i="116"/>
  <c r="G109" i="116"/>
  <c r="G108" i="116"/>
  <c r="G102" i="116"/>
  <c r="H100" i="116"/>
  <c r="H102" i="116"/>
  <c r="G93" i="116"/>
  <c r="G92" i="116"/>
  <c r="G91" i="116"/>
  <c r="G89" i="116"/>
  <c r="G88" i="116"/>
  <c r="G86" i="116"/>
  <c r="G85" i="116"/>
  <c r="G84" i="116"/>
  <c r="G83" i="116"/>
  <c r="G82" i="116"/>
  <c r="G81" i="116"/>
  <c r="G74" i="116"/>
  <c r="B74" i="116" s="1"/>
  <c r="H72" i="116"/>
  <c r="H74" i="116"/>
  <c r="G64" i="116"/>
  <c r="G63" i="116"/>
  <c r="G61" i="116"/>
  <c r="G58" i="116"/>
  <c r="G57" i="116"/>
  <c r="G56" i="116"/>
  <c r="G66" i="116" s="1"/>
  <c r="B66" i="116" s="1"/>
  <c r="G54" i="116"/>
  <c r="G53" i="116"/>
  <c r="G46" i="116"/>
  <c r="H44" i="116"/>
  <c r="G38" i="116"/>
  <c r="H36" i="116"/>
  <c r="G30" i="116"/>
  <c r="H28" i="116"/>
  <c r="H30" i="116" s="1"/>
  <c r="G21" i="116"/>
  <c r="I20" i="116"/>
  <c r="I22" i="116"/>
  <c r="G19" i="116"/>
  <c r="G18" i="116"/>
  <c r="G16" i="116"/>
  <c r="G15" i="116"/>
  <c r="G13" i="116"/>
  <c r="G12" i="116"/>
  <c r="G11" i="116"/>
  <c r="G10" i="116"/>
  <c r="G9" i="116"/>
  <c r="G1934" i="115"/>
  <c r="G1935" i="115"/>
  <c r="B1935" i="115"/>
  <c r="G1928" i="115"/>
  <c r="B1928" i="115" s="1"/>
  <c r="H1926" i="115"/>
  <c r="H1925" i="115"/>
  <c r="H1919" i="115"/>
  <c r="I1918" i="115"/>
  <c r="I1919" i="115" s="1"/>
  <c r="G1917" i="115"/>
  <c r="G1916" i="115"/>
  <c r="G1915" i="115"/>
  <c r="G1913" i="115"/>
  <c r="G1912" i="115"/>
  <c r="G1906" i="115"/>
  <c r="H1904" i="115"/>
  <c r="H1906" i="115" s="1"/>
  <c r="H1903" i="115"/>
  <c r="H1897" i="115"/>
  <c r="I1896" i="115"/>
  <c r="I1897" i="115" s="1"/>
  <c r="G1893" i="115"/>
  <c r="G1892" i="115"/>
  <c r="G1891" i="115"/>
  <c r="G1885" i="115"/>
  <c r="H1883" i="115"/>
  <c r="H1882" i="115"/>
  <c r="H1876" i="115"/>
  <c r="I1875" i="115"/>
  <c r="I1876" i="115" s="1"/>
  <c r="G1864" i="115"/>
  <c r="H1862" i="115"/>
  <c r="H1861" i="115"/>
  <c r="H1855" i="115"/>
  <c r="I1854" i="115"/>
  <c r="I1855" i="115"/>
  <c r="G1843" i="115"/>
  <c r="H1841" i="115"/>
  <c r="H1840" i="115"/>
  <c r="I1832" i="115"/>
  <c r="H1831" i="115"/>
  <c r="H1830" i="115"/>
  <c r="G1819" i="115"/>
  <c r="H1817" i="115"/>
  <c r="H1816" i="115"/>
  <c r="H1810" i="115"/>
  <c r="I1809" i="115"/>
  <c r="I1810" i="115"/>
  <c r="G1804" i="115"/>
  <c r="G1798" i="115"/>
  <c r="H1796" i="115"/>
  <c r="H1795" i="115"/>
  <c r="H1798" i="115" s="1"/>
  <c r="H1789" i="115"/>
  <c r="I1788" i="115"/>
  <c r="I1789" i="115"/>
  <c r="I1777" i="115"/>
  <c r="G1777" i="115"/>
  <c r="H1775" i="115"/>
  <c r="H1777" i="115"/>
  <c r="I1769" i="115"/>
  <c r="H1769" i="115"/>
  <c r="G1767" i="115"/>
  <c r="G1769" i="115"/>
  <c r="H1759" i="115"/>
  <c r="H1758" i="115"/>
  <c r="H1752" i="115"/>
  <c r="I1751" i="115"/>
  <c r="I1752" i="115"/>
  <c r="G1750" i="115"/>
  <c r="G1752" i="115" s="1"/>
  <c r="B1744" i="115"/>
  <c r="E1743" i="115"/>
  <c r="B1735" i="115"/>
  <c r="H1724" i="115"/>
  <c r="H1726" i="115"/>
  <c r="H1718" i="115"/>
  <c r="I1717" i="115"/>
  <c r="I1718" i="115" s="1"/>
  <c r="G1716" i="115"/>
  <c r="G1714" i="115"/>
  <c r="G1713" i="115"/>
  <c r="H1703" i="115"/>
  <c r="H1702" i="115"/>
  <c r="H1696" i="115"/>
  <c r="I1695" i="115"/>
  <c r="I1696" i="115" s="1"/>
  <c r="I1688" i="115"/>
  <c r="H1686" i="115"/>
  <c r="H1685" i="115"/>
  <c r="I1679" i="115"/>
  <c r="G1677" i="115"/>
  <c r="G1676" i="115"/>
  <c r="G1679" i="115" s="1"/>
  <c r="G1670" i="115"/>
  <c r="H1668" i="115"/>
  <c r="H1662" i="115"/>
  <c r="I1661" i="115"/>
  <c r="I1662" i="115" s="1"/>
  <c r="G1660" i="115"/>
  <c r="G1659" i="115"/>
  <c r="G1653" i="115"/>
  <c r="H1651" i="115"/>
  <c r="H1645" i="115"/>
  <c r="I1644" i="115"/>
  <c r="I1645" i="115"/>
  <c r="G1643" i="115"/>
  <c r="G1642" i="115"/>
  <c r="G1636" i="115"/>
  <c r="H1634" i="115"/>
  <c r="H1636" i="115" s="1"/>
  <c r="B1636" i="115" s="1"/>
  <c r="H1628" i="115"/>
  <c r="I1627" i="115"/>
  <c r="I1628" i="115"/>
  <c r="G1626" i="115"/>
  <c r="G1628" i="115" s="1"/>
  <c r="G1625" i="115"/>
  <c r="G1624" i="115"/>
  <c r="G1617" i="115"/>
  <c r="H1615" i="115"/>
  <c r="E1616" i="115" s="1"/>
  <c r="E1617" i="115" s="1"/>
  <c r="H1608" i="115"/>
  <c r="B1608" i="115" s="1"/>
  <c r="I1607" i="115"/>
  <c r="I1608" i="115" s="1"/>
  <c r="G1606" i="115"/>
  <c r="G1605" i="115"/>
  <c r="G1597" i="115"/>
  <c r="H1595" i="115"/>
  <c r="E1596" i="115"/>
  <c r="H1588" i="115"/>
  <c r="I1587" i="115"/>
  <c r="I1588" i="115" s="1"/>
  <c r="G1586" i="115"/>
  <c r="G1585" i="115"/>
  <c r="G1577" i="115"/>
  <c r="H1575" i="115"/>
  <c r="E1576" i="115"/>
  <c r="E1577" i="115"/>
  <c r="H1568" i="115"/>
  <c r="I1567" i="115"/>
  <c r="I1568" i="115"/>
  <c r="G1566" i="115"/>
  <c r="G1565" i="115"/>
  <c r="G1557" i="115"/>
  <c r="H1555" i="115"/>
  <c r="E1556" i="115"/>
  <c r="H1548" i="115"/>
  <c r="I1547" i="115"/>
  <c r="I1548" i="115"/>
  <c r="G1546" i="115"/>
  <c r="G1545" i="115"/>
  <c r="G1538" i="115"/>
  <c r="H1536" i="115"/>
  <c r="H1538" i="115"/>
  <c r="H1530" i="115"/>
  <c r="I1529" i="115"/>
  <c r="I1530" i="115"/>
  <c r="G1528" i="115"/>
  <c r="G1527" i="115"/>
  <c r="G1521" i="115"/>
  <c r="H1519" i="115"/>
  <c r="H1513" i="115"/>
  <c r="I1512" i="115"/>
  <c r="I1513" i="115" s="1"/>
  <c r="G1511" i="115"/>
  <c r="G1510" i="115"/>
  <c r="G1504" i="115"/>
  <c r="H1502" i="115"/>
  <c r="H1504" i="115"/>
  <c r="H1496" i="115"/>
  <c r="I1495" i="115"/>
  <c r="I1496" i="115" s="1"/>
  <c r="G1494" i="115"/>
  <c r="G1493" i="115"/>
  <c r="G1487" i="115"/>
  <c r="H1485" i="115"/>
  <c r="H1487" i="115"/>
  <c r="H1479" i="115"/>
  <c r="B1479" i="115" s="1"/>
  <c r="I1478" i="115"/>
  <c r="I1479" i="115" s="1"/>
  <c r="G1477" i="115"/>
  <c r="G1476" i="115"/>
  <c r="G1470" i="115"/>
  <c r="H1468" i="115"/>
  <c r="H1462" i="115"/>
  <c r="I1461" i="115"/>
  <c r="I1462" i="115"/>
  <c r="G1460" i="115"/>
  <c r="G1452" i="115"/>
  <c r="H1450" i="115"/>
  <c r="E1451" i="115" s="1"/>
  <c r="I1451" i="115" s="1"/>
  <c r="I1452" i="115"/>
  <c r="I1443" i="115"/>
  <c r="I1444" i="115" s="1"/>
  <c r="G1441" i="115"/>
  <c r="G1435" i="115"/>
  <c r="H1433" i="115"/>
  <c r="G1425" i="115"/>
  <c r="G1427" i="115" s="1"/>
  <c r="G1424" i="115"/>
  <c r="G1418" i="115"/>
  <c r="H1416" i="115"/>
  <c r="E1417" i="115" s="1"/>
  <c r="I1417" i="115" s="1"/>
  <c r="I1418" i="115" s="1"/>
  <c r="B1418" i="115" s="1"/>
  <c r="I1409" i="115"/>
  <c r="I1410" i="115"/>
  <c r="G1408" i="115"/>
  <c r="G1401" i="115"/>
  <c r="H1399" i="115"/>
  <c r="I1392" i="115"/>
  <c r="I1393" i="115"/>
  <c r="G1391" i="115"/>
  <c r="G1390" i="115"/>
  <c r="G1384" i="115"/>
  <c r="H1382" i="115"/>
  <c r="E1383" i="115"/>
  <c r="I1383" i="115" s="1"/>
  <c r="I1384" i="115" s="1"/>
  <c r="I1375" i="115"/>
  <c r="I1376" i="115"/>
  <c r="G1373" i="115"/>
  <c r="G1367" i="115"/>
  <c r="H1365" i="115"/>
  <c r="G1357" i="115"/>
  <c r="G1356" i="115"/>
  <c r="G1359" i="115" s="1"/>
  <c r="B1359" i="115" s="1"/>
  <c r="G1350" i="115"/>
  <c r="H1348" i="115"/>
  <c r="H1350" i="115"/>
  <c r="H1342" i="115"/>
  <c r="I1341" i="115"/>
  <c r="I1342" i="115" s="1"/>
  <c r="G1340" i="115"/>
  <c r="G1333" i="115"/>
  <c r="H1331" i="115"/>
  <c r="H1333" i="115"/>
  <c r="H1325" i="115"/>
  <c r="I1324" i="115"/>
  <c r="I1325" i="115" s="1"/>
  <c r="G1323" i="115"/>
  <c r="G1322" i="115"/>
  <c r="G1321" i="115"/>
  <c r="G1315" i="115"/>
  <c r="H1313" i="115"/>
  <c r="H1307" i="115"/>
  <c r="I1306" i="115"/>
  <c r="I1307" i="115" s="1"/>
  <c r="G1304" i="115"/>
  <c r="G1307" i="115" s="1"/>
  <c r="B1307" i="115" s="1"/>
  <c r="H1296" i="115"/>
  <c r="H1298" i="115" s="1"/>
  <c r="H1290" i="115"/>
  <c r="I1289" i="115"/>
  <c r="I1290" i="115"/>
  <c r="G1288" i="115"/>
  <c r="G1287" i="115"/>
  <c r="G1286" i="115"/>
  <c r="G1285" i="115"/>
  <c r="G1290" i="115" s="1"/>
  <c r="B1290" i="115" s="1"/>
  <c r="G1284" i="115"/>
  <c r="H1276" i="115"/>
  <c r="H1270" i="115"/>
  <c r="I1269" i="115"/>
  <c r="I1270" i="115" s="1"/>
  <c r="G1268" i="115"/>
  <c r="G1267" i="115"/>
  <c r="G1266" i="115"/>
  <c r="G1265" i="115"/>
  <c r="G1264" i="115"/>
  <c r="H1256" i="115"/>
  <c r="H1258" i="115" s="1"/>
  <c r="H1250" i="115"/>
  <c r="I1249" i="115"/>
  <c r="I1250" i="115"/>
  <c r="G1248" i="115"/>
  <c r="G1250" i="115" s="1"/>
  <c r="H1240" i="115"/>
  <c r="H1234" i="115"/>
  <c r="I1233" i="115"/>
  <c r="I1234" i="115" s="1"/>
  <c r="G1232" i="115"/>
  <c r="G1234" i="115"/>
  <c r="B1234" i="115" s="1"/>
  <c r="H1224" i="115"/>
  <c r="H1226" i="115" s="1"/>
  <c r="H1218" i="115"/>
  <c r="I1217" i="115"/>
  <c r="I1218" i="115"/>
  <c r="B1218" i="115" s="1"/>
  <c r="G1216" i="115"/>
  <c r="G1218" i="115"/>
  <c r="H1208" i="115"/>
  <c r="E1209" i="115"/>
  <c r="I1209" i="115" s="1"/>
  <c r="I1210" i="115" s="1"/>
  <c r="H1202" i="115"/>
  <c r="I1201" i="115"/>
  <c r="I1202" i="115" s="1"/>
  <c r="H1191" i="115"/>
  <c r="H1185" i="115"/>
  <c r="I1184" i="115"/>
  <c r="I1185" i="115" s="1"/>
  <c r="G1183" i="115"/>
  <c r="G1185" i="115"/>
  <c r="G1177" i="115"/>
  <c r="H1175" i="115"/>
  <c r="H1169" i="115"/>
  <c r="I1168" i="115"/>
  <c r="I1169" i="115"/>
  <c r="G1167" i="115"/>
  <c r="G1166" i="115"/>
  <c r="G1159" i="115"/>
  <c r="H1157" i="115"/>
  <c r="E1158" i="115" s="1"/>
  <c r="I1158" i="115" s="1"/>
  <c r="I1159" i="115" s="1"/>
  <c r="H1151" i="115"/>
  <c r="I1150" i="115"/>
  <c r="I1151" i="115"/>
  <c r="G1149" i="115"/>
  <c r="G1151" i="115" s="1"/>
  <c r="B1151" i="115" s="1"/>
  <c r="G1142" i="115"/>
  <c r="H1140" i="115"/>
  <c r="H1134" i="115"/>
  <c r="I1133" i="115"/>
  <c r="I1134" i="115" s="1"/>
  <c r="G1132" i="115"/>
  <c r="G1125" i="115"/>
  <c r="H1123" i="115"/>
  <c r="H1117" i="115"/>
  <c r="I1116" i="115"/>
  <c r="I1117" i="115"/>
  <c r="G1115" i="115"/>
  <c r="G1114" i="115"/>
  <c r="G1113" i="115"/>
  <c r="G1112" i="115"/>
  <c r="G1117" i="115" s="1"/>
  <c r="H1104" i="115"/>
  <c r="E1105" i="115" s="1"/>
  <c r="I1105" i="115" s="1"/>
  <c r="I1106" i="115"/>
  <c r="H1098" i="115"/>
  <c r="I1097" i="115"/>
  <c r="I1098" i="115"/>
  <c r="G1096" i="115"/>
  <c r="G1095" i="115"/>
  <c r="H1087" i="115"/>
  <c r="H1081" i="115"/>
  <c r="I1080" i="115"/>
  <c r="I1081" i="115" s="1"/>
  <c r="B1081" i="115" s="1"/>
  <c r="G1079" i="115"/>
  <c r="G1078" i="115"/>
  <c r="I1072" i="115"/>
  <c r="H1070" i="115"/>
  <c r="H1072" i="115" s="1"/>
  <c r="H1064" i="115"/>
  <c r="I1063" i="115"/>
  <c r="I1064" i="115"/>
  <c r="G1062" i="115"/>
  <c r="G1061" i="115"/>
  <c r="I1055" i="115"/>
  <c r="H1053" i="115"/>
  <c r="E1054" i="115" s="1"/>
  <c r="H1047" i="115"/>
  <c r="I1046" i="115"/>
  <c r="I1047" i="115" s="1"/>
  <c r="B1047" i="115" s="1"/>
  <c r="G1045" i="115"/>
  <c r="G1044" i="115"/>
  <c r="I1038" i="115"/>
  <c r="H1038" i="115"/>
  <c r="G1036" i="115"/>
  <c r="G1035" i="115"/>
  <c r="I1029" i="115"/>
  <c r="H1029" i="115"/>
  <c r="G1027" i="115"/>
  <c r="G1026" i="115"/>
  <c r="H1018" i="115"/>
  <c r="H1020" i="115" s="1"/>
  <c r="H1012" i="115"/>
  <c r="I1011" i="115"/>
  <c r="I1012" i="115" s="1"/>
  <c r="G1010" i="115"/>
  <c r="G1009" i="115"/>
  <c r="G1008" i="115"/>
  <c r="G1012" i="115" s="1"/>
  <c r="B1012" i="115" s="1"/>
  <c r="H1000" i="115"/>
  <c r="H1002" i="115"/>
  <c r="H994" i="115"/>
  <c r="I993" i="115"/>
  <c r="I994" i="115" s="1"/>
  <c r="G992" i="115"/>
  <c r="H982" i="115"/>
  <c r="E983" i="115" s="1"/>
  <c r="I983" i="115" s="1"/>
  <c r="I984" i="115" s="1"/>
  <c r="B984" i="115" s="1"/>
  <c r="H976" i="115"/>
  <c r="I975" i="115"/>
  <c r="I976" i="115" s="1"/>
  <c r="G974" i="115"/>
  <c r="H964" i="115"/>
  <c r="H966" i="115"/>
  <c r="H958" i="115"/>
  <c r="I957" i="115"/>
  <c r="I958" i="115"/>
  <c r="H947" i="115"/>
  <c r="E948" i="115" s="1"/>
  <c r="I948" i="115" s="1"/>
  <c r="I949" i="115" s="1"/>
  <c r="H941" i="115"/>
  <c r="I940" i="115"/>
  <c r="I941" i="115"/>
  <c r="G939" i="115"/>
  <c r="H929" i="115"/>
  <c r="H923" i="115"/>
  <c r="I922" i="115"/>
  <c r="I923" i="115" s="1"/>
  <c r="G921" i="115"/>
  <c r="G920" i="115"/>
  <c r="G919" i="115"/>
  <c r="G923" i="115" s="1"/>
  <c r="B923" i="115" s="1"/>
  <c r="H911" i="115"/>
  <c r="H905" i="115"/>
  <c r="G903" i="115"/>
  <c r="G902" i="115"/>
  <c r="G901" i="115"/>
  <c r="H893" i="115"/>
  <c r="H895" i="115"/>
  <c r="H887" i="115"/>
  <c r="I886" i="115"/>
  <c r="I887" i="115"/>
  <c r="G885" i="115"/>
  <c r="G887" i="115" s="1"/>
  <c r="B887" i="115" s="1"/>
  <c r="G884" i="115"/>
  <c r="G883" i="115"/>
  <c r="H875" i="115"/>
  <c r="E876" i="115"/>
  <c r="I876" i="115" s="1"/>
  <c r="I877" i="115" s="1"/>
  <c r="B877" i="115" s="1"/>
  <c r="H869" i="115"/>
  <c r="I868" i="115"/>
  <c r="I869" i="115"/>
  <c r="B869" i="115" s="1"/>
  <c r="G867" i="115"/>
  <c r="G865" i="115"/>
  <c r="G869" i="115" s="1"/>
  <c r="H851" i="115"/>
  <c r="I850" i="115"/>
  <c r="I851" i="115" s="1"/>
  <c r="G849" i="115"/>
  <c r="G848" i="115"/>
  <c r="G847" i="115"/>
  <c r="H839" i="115"/>
  <c r="H833" i="115"/>
  <c r="I832" i="115"/>
  <c r="I833" i="115" s="1"/>
  <c r="G831" i="115"/>
  <c r="G830" i="115"/>
  <c r="G829" i="115"/>
  <c r="G833" i="115" s="1"/>
  <c r="I823" i="115"/>
  <c r="H821" i="115"/>
  <c r="H820" i="115"/>
  <c r="I814" i="115"/>
  <c r="H814" i="115"/>
  <c r="G812" i="115"/>
  <c r="G811" i="115"/>
  <c r="G804" i="115"/>
  <c r="H802" i="115"/>
  <c r="H804" i="115" s="1"/>
  <c r="H795" i="115"/>
  <c r="I794" i="115"/>
  <c r="I795" i="115"/>
  <c r="G792" i="115"/>
  <c r="I784" i="115"/>
  <c r="I785" i="115" s="1"/>
  <c r="B785" i="115" s="1"/>
  <c r="H777" i="115"/>
  <c r="I776" i="115"/>
  <c r="I777" i="115" s="1"/>
  <c r="G773" i="115"/>
  <c r="G772" i="115"/>
  <c r="G771" i="115"/>
  <c r="I763" i="115"/>
  <c r="I764" i="115" s="1"/>
  <c r="B764" i="115" s="1"/>
  <c r="H762" i="115"/>
  <c r="H764" i="115"/>
  <c r="H755" i="115"/>
  <c r="I754" i="115"/>
  <c r="I755" i="115" s="1"/>
  <c r="G753" i="115"/>
  <c r="G752" i="115"/>
  <c r="G751" i="115"/>
  <c r="H743" i="115"/>
  <c r="H745" i="115"/>
  <c r="H737" i="115"/>
  <c r="I736" i="115"/>
  <c r="I737" i="115" s="1"/>
  <c r="G735" i="115"/>
  <c r="G734" i="115"/>
  <c r="G737" i="115" s="1"/>
  <c r="B737" i="115" s="1"/>
  <c r="G733" i="115"/>
  <c r="G732" i="115"/>
  <c r="G731" i="115"/>
  <c r="H723" i="115"/>
  <c r="E724" i="115" s="1"/>
  <c r="H717" i="115"/>
  <c r="I716" i="115"/>
  <c r="I717" i="115"/>
  <c r="G715" i="115"/>
  <c r="G714" i="115"/>
  <c r="G713" i="115"/>
  <c r="G712" i="115"/>
  <c r="G711" i="115"/>
  <c r="G717" i="115" s="1"/>
  <c r="B717" i="115" s="1"/>
  <c r="G705" i="115"/>
  <c r="H703" i="115"/>
  <c r="H705" i="115"/>
  <c r="H697" i="115"/>
  <c r="I696" i="115"/>
  <c r="I697" i="115" s="1"/>
  <c r="G695" i="115"/>
  <c r="G693" i="115"/>
  <c r="G685" i="115"/>
  <c r="H683" i="115"/>
  <c r="H685" i="115"/>
  <c r="E684" i="115" s="1"/>
  <c r="H677" i="115"/>
  <c r="I676" i="115"/>
  <c r="I677" i="115"/>
  <c r="G675" i="115"/>
  <c r="G674" i="115"/>
  <c r="G673" i="115"/>
  <c r="G671" i="115"/>
  <c r="C985" i="114"/>
  <c r="C962" i="114"/>
  <c r="C961" i="114"/>
  <c r="C960" i="114"/>
  <c r="C900" i="114"/>
  <c r="C899" i="114"/>
  <c r="C898" i="114"/>
  <c r="C897" i="114"/>
  <c r="C896" i="114"/>
  <c r="C888" i="114"/>
  <c r="C863" i="114"/>
  <c r="C862" i="114"/>
  <c r="C861" i="114"/>
  <c r="C776" i="114"/>
  <c r="C775" i="114"/>
  <c r="C771" i="114"/>
  <c r="C770" i="114"/>
  <c r="C769" i="114"/>
  <c r="C763" i="114"/>
  <c r="C762" i="114"/>
  <c r="C761" i="114"/>
  <c r="C760" i="114"/>
  <c r="C759" i="114"/>
  <c r="C758" i="114"/>
  <c r="C757" i="114"/>
  <c r="C756" i="114"/>
  <c r="C755" i="114"/>
  <c r="C754" i="114"/>
  <c r="C753" i="114"/>
  <c r="C752" i="114"/>
  <c r="C751" i="114"/>
  <c r="C750" i="114"/>
  <c r="C749" i="114"/>
  <c r="C748" i="114"/>
  <c r="C747" i="114"/>
  <c r="C746" i="114"/>
  <c r="C745" i="114"/>
  <c r="C744" i="114"/>
  <c r="C743" i="114"/>
  <c r="C742" i="114"/>
  <c r="C741" i="114"/>
  <c r="C740" i="114"/>
  <c r="C739" i="114"/>
  <c r="C738" i="114"/>
  <c r="C713" i="114"/>
  <c r="C712" i="114"/>
  <c r="C682" i="114"/>
  <c r="C681" i="114"/>
  <c r="C680" i="114"/>
  <c r="C679" i="114"/>
  <c r="C678" i="114"/>
  <c r="C677" i="114"/>
  <c r="C676" i="114"/>
  <c r="C675" i="114"/>
  <c r="C674" i="114"/>
  <c r="C673" i="114"/>
  <c r="C672" i="114"/>
  <c r="C671" i="114"/>
  <c r="C670" i="114"/>
  <c r="C669" i="114"/>
  <c r="C624" i="114"/>
  <c r="C623" i="114"/>
  <c r="C547" i="114"/>
  <c r="C523" i="114"/>
  <c r="C522" i="114"/>
  <c r="C521" i="114"/>
  <c r="C520" i="114"/>
  <c r="C519" i="114"/>
  <c r="C518" i="114"/>
  <c r="C517" i="114"/>
  <c r="C516" i="114"/>
  <c r="C515" i="114"/>
  <c r="C514" i="114"/>
  <c r="C513" i="114"/>
  <c r="C512" i="114"/>
  <c r="C511" i="114"/>
  <c r="C510" i="114"/>
  <c r="C509" i="114"/>
  <c r="C508" i="114"/>
  <c r="C507" i="114"/>
  <c r="C506" i="114"/>
  <c r="C505" i="114"/>
  <c r="C504" i="114"/>
  <c r="C503" i="114"/>
  <c r="C502" i="114"/>
  <c r="C501" i="114"/>
  <c r="C500" i="114"/>
  <c r="C499" i="114"/>
  <c r="C498" i="114"/>
  <c r="C497" i="114"/>
  <c r="C493" i="114"/>
  <c r="C492" i="114"/>
  <c r="C491" i="114"/>
  <c r="C490" i="114"/>
  <c r="C489" i="114"/>
  <c r="C488" i="114"/>
  <c r="C487" i="114"/>
  <c r="C486" i="114"/>
  <c r="C480" i="114"/>
  <c r="C479" i="114"/>
  <c r="C478" i="114"/>
  <c r="C477" i="114"/>
  <c r="C476" i="114"/>
  <c r="C475" i="114"/>
  <c r="C474" i="114"/>
  <c r="C473" i="114"/>
  <c r="C472" i="114"/>
  <c r="C471" i="114"/>
  <c r="C470" i="114"/>
  <c r="C469" i="114"/>
  <c r="C468" i="114"/>
  <c r="C467" i="114"/>
  <c r="C466" i="114"/>
  <c r="C465" i="114"/>
  <c r="C464" i="114"/>
  <c r="C463" i="114"/>
  <c r="C462" i="114"/>
  <c r="C461" i="114"/>
  <c r="C460" i="114"/>
  <c r="C459" i="114"/>
  <c r="C458" i="114"/>
  <c r="C457" i="114"/>
  <c r="C456" i="114"/>
  <c r="C455" i="114"/>
  <c r="C454" i="114"/>
  <c r="C453" i="114"/>
  <c r="C452" i="114"/>
  <c r="C451" i="114"/>
  <c r="C450" i="114"/>
  <c r="C449" i="114"/>
  <c r="C448" i="114"/>
  <c r="C447" i="114"/>
  <c r="C446" i="114"/>
  <c r="C445" i="114"/>
  <c r="C444" i="114"/>
  <c r="C443" i="114"/>
  <c r="C442" i="114"/>
  <c r="C441" i="114"/>
  <c r="C440" i="114"/>
  <c r="C439" i="114"/>
  <c r="C438" i="114"/>
  <c r="C437" i="114"/>
  <c r="C436" i="114"/>
  <c r="C435" i="114"/>
  <c r="C434" i="114"/>
  <c r="C433" i="114"/>
  <c r="C432" i="114"/>
  <c r="C431" i="114"/>
  <c r="C430" i="114"/>
  <c r="C429" i="114"/>
  <c r="C428" i="114"/>
  <c r="C420" i="114"/>
  <c r="E1200" i="115"/>
  <c r="G1200" i="115"/>
  <c r="G1202" i="115" s="1"/>
  <c r="B1202" i="115" s="1"/>
  <c r="C411" i="114"/>
  <c r="C408" i="114"/>
  <c r="C398" i="114"/>
  <c r="C395" i="114"/>
  <c r="C394" i="114"/>
  <c r="E1712" i="115"/>
  <c r="G1712" i="115" s="1"/>
  <c r="C393" i="114"/>
  <c r="C385" i="114"/>
  <c r="C384" i="114"/>
  <c r="C376" i="114"/>
  <c r="C369" i="114"/>
  <c r="C368" i="114"/>
  <c r="C367" i="114"/>
  <c r="C366" i="114"/>
  <c r="C365" i="114"/>
  <c r="E52" i="116"/>
  <c r="G52" i="116"/>
  <c r="E80" i="116"/>
  <c r="G80" i="116" s="1"/>
  <c r="E8" i="116"/>
  <c r="G8" i="116"/>
  <c r="C327" i="114"/>
  <c r="E1783" i="115" s="1"/>
  <c r="G1783" i="115" s="1"/>
  <c r="C326" i="114"/>
  <c r="E1825" i="115"/>
  <c r="G1825" i="115" s="1"/>
  <c r="C312" i="114"/>
  <c r="C311" i="114"/>
  <c r="C308" i="114"/>
  <c r="E1870" i="115" s="1"/>
  <c r="G1870" i="115" s="1"/>
  <c r="C285" i="114"/>
  <c r="C284" i="114"/>
  <c r="C281" i="114"/>
  <c r="C280" i="114"/>
  <c r="C275" i="114"/>
  <c r="E526" i="116" s="1"/>
  <c r="G526" i="116" s="1"/>
  <c r="G529" i="116" s="1"/>
  <c r="B529" i="116" s="1"/>
  <c r="C273" i="114"/>
  <c r="E1849" i="115"/>
  <c r="G1849" i="115"/>
  <c r="C272" i="114"/>
  <c r="C271" i="114"/>
  <c r="C270" i="114"/>
  <c r="C269" i="114"/>
  <c r="C268" i="114"/>
  <c r="C267" i="114"/>
  <c r="C266" i="114"/>
  <c r="G691" i="115"/>
  <c r="C264" i="114"/>
  <c r="C263" i="114"/>
  <c r="C262" i="114"/>
  <c r="C261" i="114"/>
  <c r="C258" i="114"/>
  <c r="C257" i="114"/>
  <c r="C254" i="114"/>
  <c r="E504" i="116"/>
  <c r="G504" i="116" s="1"/>
  <c r="G512" i="116" s="1"/>
  <c r="C242" i="114"/>
  <c r="C241" i="114"/>
  <c r="C237" i="114"/>
  <c r="C236" i="114"/>
  <c r="C235" i="114"/>
  <c r="C231" i="114"/>
  <c r="C230" i="114"/>
  <c r="G1131" i="115"/>
  <c r="G1148" i="115"/>
  <c r="G1165" i="115"/>
  <c r="C226" i="114"/>
  <c r="C224" i="114"/>
  <c r="C221" i="114"/>
  <c r="C219" i="114"/>
  <c r="E1694" i="115"/>
  <c r="G1694" i="115" s="1"/>
  <c r="G1696" i="115" s="1"/>
  <c r="C204" i="114"/>
  <c r="C196" i="114"/>
  <c r="C186" i="114"/>
  <c r="C185" i="114"/>
  <c r="C184" i="114"/>
  <c r="C183" i="114"/>
  <c r="E452" i="116" s="1"/>
  <c r="G452" i="116" s="1"/>
  <c r="C181" i="114"/>
  <c r="E1715" i="115"/>
  <c r="G1715" i="115" s="1"/>
  <c r="C180" i="114"/>
  <c r="C168" i="114"/>
  <c r="E115" i="116" s="1"/>
  <c r="G115" i="116" s="1"/>
  <c r="C163" i="114"/>
  <c r="C162" i="114"/>
  <c r="C151" i="114"/>
  <c r="C149" i="114"/>
  <c r="C132" i="114"/>
  <c r="C122" i="114"/>
  <c r="C115" i="114"/>
  <c r="C112" i="114"/>
  <c r="E1828" i="115" s="1"/>
  <c r="G1828" i="115" s="1"/>
  <c r="C111" i="114"/>
  <c r="C110" i="114"/>
  <c r="C90" i="114"/>
  <c r="C89" i="114"/>
  <c r="E990" i="115" s="1"/>
  <c r="G990" i="115" s="1"/>
  <c r="G994" i="115" s="1"/>
  <c r="B994" i="115" s="1"/>
  <c r="C87" i="114"/>
  <c r="E973" i="115"/>
  <c r="G973" i="115" s="1"/>
  <c r="C86" i="114"/>
  <c r="C85" i="114"/>
  <c r="C80" i="114"/>
  <c r="C78" i="114"/>
  <c r="E118" i="116" s="1"/>
  <c r="G118" i="116" s="1"/>
  <c r="C75" i="114"/>
  <c r="C74" i="114"/>
  <c r="C34" i="114"/>
  <c r="C25" i="114"/>
  <c r="C24" i="114"/>
  <c r="C23" i="114"/>
  <c r="C22" i="114"/>
  <c r="E1826" i="115" s="1"/>
  <c r="G1826" i="115" s="1"/>
  <c r="C12" i="114"/>
  <c r="F482" i="113"/>
  <c r="E62" i="116"/>
  <c r="G62" i="116" s="1"/>
  <c r="E991" i="115"/>
  <c r="G991" i="115" s="1"/>
  <c r="E956" i="115"/>
  <c r="G956" i="115" s="1"/>
  <c r="E938" i="115"/>
  <c r="G938" i="115"/>
  <c r="G672" i="115"/>
  <c r="G677" i="115" s="1"/>
  <c r="B677" i="115" s="1"/>
  <c r="G692" i="115"/>
  <c r="E1874" i="115"/>
  <c r="G1874" i="115" s="1"/>
  <c r="E1829" i="115"/>
  <c r="G1829" i="115" s="1"/>
  <c r="E1808" i="115"/>
  <c r="G1808" i="115"/>
  <c r="E1787" i="115"/>
  <c r="G1787" i="115" s="1"/>
  <c r="E1850" i="115"/>
  <c r="G1850" i="115" s="1"/>
  <c r="E1784" i="115"/>
  <c r="G1784" i="115" s="1"/>
  <c r="E955" i="115"/>
  <c r="G955" i="115" s="1"/>
  <c r="E972" i="115"/>
  <c r="G972" i="115"/>
  <c r="E937" i="115"/>
  <c r="G937" i="115"/>
  <c r="G941" i="115"/>
  <c r="B941" i="115" s="1"/>
  <c r="E1894" i="115"/>
  <c r="G1894" i="115" s="1"/>
  <c r="E1852" i="115"/>
  <c r="G1852" i="115" s="1"/>
  <c r="E1786" i="115"/>
  <c r="G1786" i="115" s="1"/>
  <c r="E87" i="116"/>
  <c r="G87" i="116" s="1"/>
  <c r="E59" i="116"/>
  <c r="G59" i="116" s="1"/>
  <c r="E14" i="116"/>
  <c r="G14" i="116" s="1"/>
  <c r="E1711" i="115"/>
  <c r="G1711" i="115" s="1"/>
  <c r="G1718" i="115" s="1"/>
  <c r="B1718" i="115" s="1"/>
  <c r="E1914" i="115"/>
  <c r="G1914" i="115"/>
  <c r="G1919" i="115" s="1"/>
  <c r="B1919" i="115" s="1"/>
  <c r="E1872" i="115"/>
  <c r="G1872" i="115"/>
  <c r="E1851" i="115"/>
  <c r="G1851" i="115" s="1"/>
  <c r="E1827" i="115"/>
  <c r="G1827" i="115" s="1"/>
  <c r="E1806" i="115"/>
  <c r="G1806" i="115" s="1"/>
  <c r="E1785" i="115"/>
  <c r="G1785" i="115" s="1"/>
  <c r="B1777" i="115"/>
  <c r="I684" i="115"/>
  <c r="I685" i="115"/>
  <c r="B685" i="115" s="1"/>
  <c r="E434" i="116"/>
  <c r="I434" i="116"/>
  <c r="B342" i="116"/>
  <c r="H823" i="115"/>
  <c r="B823" i="115" s="1"/>
  <c r="F88" i="119"/>
  <c r="B1250" i="115"/>
  <c r="E1503" i="115"/>
  <c r="I1503" i="115"/>
  <c r="I1504" i="115" s="1"/>
  <c r="B1504" i="115" s="1"/>
  <c r="B1679" i="115"/>
  <c r="H1688" i="115"/>
  <c r="E1687" i="115" s="1"/>
  <c r="G1098" i="115"/>
  <c r="B1098" i="115" s="1"/>
  <c r="B1696" i="115"/>
  <c r="H1834" i="115"/>
  <c r="E1833" i="115" s="1"/>
  <c r="H1843" i="115"/>
  <c r="E1842" i="115" s="1"/>
  <c r="I1842" i="115" s="1"/>
  <c r="I1843" i="115" s="1"/>
  <c r="B1843" i="115" s="1"/>
  <c r="H1864" i="115"/>
  <c r="E1863" i="115" s="1"/>
  <c r="I1863" i="115" s="1"/>
  <c r="I1864" i="115" s="1"/>
  <c r="B1864" i="115" s="1"/>
  <c r="H1885" i="115"/>
  <c r="E1884" i="115"/>
  <c r="I1884" i="115"/>
  <c r="I1885" i="115"/>
  <c r="E326" i="113"/>
  <c r="G1038" i="115"/>
  <c r="B1038" i="115" s="1"/>
  <c r="E1071" i="115"/>
  <c r="G1081" i="115"/>
  <c r="H1470" i="115"/>
  <c r="E1469" i="115"/>
  <c r="I1469" i="115" s="1"/>
  <c r="I1470" i="115" s="1"/>
  <c r="E894" i="115"/>
  <c r="I894" i="115"/>
  <c r="I895" i="115"/>
  <c r="H1521" i="115"/>
  <c r="E1520" i="115"/>
  <c r="I1520" i="115" s="1"/>
  <c r="I1521" i="115"/>
  <c r="B1521" i="115" s="1"/>
  <c r="G1662" i="115"/>
  <c r="B1662" i="115" s="1"/>
  <c r="E180" i="116"/>
  <c r="I180" i="116" s="1"/>
  <c r="I181" i="116" s="1"/>
  <c r="B181" i="116" s="1"/>
  <c r="B189" i="116"/>
  <c r="G227" i="116"/>
  <c r="B227" i="116" s="1"/>
  <c r="E261" i="116"/>
  <c r="I261" i="116" s="1"/>
  <c r="I262" i="116"/>
  <c r="B262" i="116"/>
  <c r="E1557" i="115"/>
  <c r="I1556" i="115"/>
  <c r="I1557" i="115" s="1"/>
  <c r="B1557" i="115" s="1"/>
  <c r="E1597" i="115"/>
  <c r="I1596" i="115"/>
  <c r="I1597" i="115"/>
  <c r="H1705" i="115"/>
  <c r="H1761" i="115"/>
  <c r="E1760" i="115" s="1"/>
  <c r="I1760" i="115"/>
  <c r="I1761" i="115" s="1"/>
  <c r="E1537" i="115"/>
  <c r="I1537" i="115"/>
  <c r="I1538" i="115" s="1"/>
  <c r="B1538" i="115" s="1"/>
  <c r="I1576" i="115"/>
  <c r="I1577" i="115"/>
  <c r="I1616" i="115"/>
  <c r="I1617" i="115" s="1"/>
  <c r="E1905" i="115"/>
  <c r="I1905" i="115"/>
  <c r="I1906" i="115" s="1"/>
  <c r="H1928" i="115"/>
  <c r="E1927" i="115"/>
  <c r="I1927" i="115"/>
  <c r="I1928" i="115" s="1"/>
  <c r="G851" i="115"/>
  <c r="B851" i="115" s="1"/>
  <c r="E965" i="115"/>
  <c r="I965" i="115" s="1"/>
  <c r="I966" i="115"/>
  <c r="B966" i="115"/>
  <c r="G1029" i="115"/>
  <c r="B1029" i="115" s="1"/>
  <c r="G1047" i="115"/>
  <c r="G1064" i="115"/>
  <c r="B1064" i="115" s="1"/>
  <c r="G1270" i="115"/>
  <c r="B1270" i="115" s="1"/>
  <c r="E1486" i="115"/>
  <c r="I1486" i="115" s="1"/>
  <c r="I1487" i="115" s="1"/>
  <c r="G1645" i="115"/>
  <c r="B1645" i="115"/>
  <c r="B1752" i="115"/>
  <c r="E1797" i="115"/>
  <c r="I1797" i="115"/>
  <c r="I1798" i="115"/>
  <c r="H413" i="116"/>
  <c r="G388" i="116"/>
  <c r="B388" i="116" s="1"/>
  <c r="E442" i="116"/>
  <c r="I442" i="116"/>
  <c r="I443" i="116" s="1"/>
  <c r="B443" i="116" s="1"/>
  <c r="H38" i="116"/>
  <c r="B38" i="116" s="1"/>
  <c r="E37" i="116"/>
  <c r="I37" i="116" s="1"/>
  <c r="I38" i="116"/>
  <c r="H46" i="116"/>
  <c r="B46" i="116" s="1"/>
  <c r="E45" i="116"/>
  <c r="I45" i="116" s="1"/>
  <c r="I46" i="116" s="1"/>
  <c r="E73" i="116"/>
  <c r="I73" i="116"/>
  <c r="I74" i="116" s="1"/>
  <c r="E101" i="116"/>
  <c r="I101" i="116"/>
  <c r="I102" i="116" s="1"/>
  <c r="B102" i="116"/>
  <c r="E164" i="116"/>
  <c r="I164" i="116" s="1"/>
  <c r="I165" i="116" s="1"/>
  <c r="B165" i="116" s="1"/>
  <c r="H235" i="116"/>
  <c r="E317" i="116"/>
  <c r="I317" i="116" s="1"/>
  <c r="I318" i="116" s="1"/>
  <c r="E341" i="116"/>
  <c r="H351" i="116"/>
  <c r="B351" i="116" s="1"/>
  <c r="E350" i="116"/>
  <c r="I350" i="116" s="1"/>
  <c r="H373" i="116"/>
  <c r="B373" i="116"/>
  <c r="E511" i="116"/>
  <c r="I511" i="116" s="1"/>
  <c r="I512" i="116" s="1"/>
  <c r="H462" i="116"/>
  <c r="E461" i="116"/>
  <c r="I461" i="116" s="1"/>
  <c r="H470" i="116"/>
  <c r="G483" i="116"/>
  <c r="G496" i="116"/>
  <c r="E519" i="116"/>
  <c r="I519" i="116"/>
  <c r="I520" i="116" s="1"/>
  <c r="B520" i="116" s="1"/>
  <c r="E704" i="115"/>
  <c r="I704" i="115"/>
  <c r="I705" i="115" s="1"/>
  <c r="B705" i="115" s="1"/>
  <c r="I724" i="115"/>
  <c r="I725" i="115" s="1"/>
  <c r="G814" i="115"/>
  <c r="B814" i="115" s="1"/>
  <c r="E744" i="115"/>
  <c r="I744" i="115"/>
  <c r="I745" i="115"/>
  <c r="B745" i="115" s="1"/>
  <c r="G791" i="115"/>
  <c r="E803" i="115"/>
  <c r="E804" i="115" s="1"/>
  <c r="H1089" i="115"/>
  <c r="E1088" i="115"/>
  <c r="I1088" i="115"/>
  <c r="I1089" i="115"/>
  <c r="B1089" i="115" s="1"/>
  <c r="B1117" i="115"/>
  <c r="H1125" i="115"/>
  <c r="E1124" i="115"/>
  <c r="I1124" i="115" s="1"/>
  <c r="I1125" i="115"/>
  <c r="G1134" i="115"/>
  <c r="B1134" i="115" s="1"/>
  <c r="H1142" i="115"/>
  <c r="E1141" i="115"/>
  <c r="I1141" i="115" s="1"/>
  <c r="I1142" i="115" s="1"/>
  <c r="B1142" i="115" s="1"/>
  <c r="H1159" i="115"/>
  <c r="B1159" i="115" s="1"/>
  <c r="G1169" i="115"/>
  <c r="B1169" i="115"/>
  <c r="H1193" i="115"/>
  <c r="E1192" i="115"/>
  <c r="I1192" i="115"/>
  <c r="I1193" i="115"/>
  <c r="B1193" i="115" s="1"/>
  <c r="E1277" i="115"/>
  <c r="I1277" i="115" s="1"/>
  <c r="I1278" i="115" s="1"/>
  <c r="B1278" i="115" s="1"/>
  <c r="H1278" i="115"/>
  <c r="H1315" i="115"/>
  <c r="E1314" i="115"/>
  <c r="I1314" i="115"/>
  <c r="I1315" i="115" s="1"/>
  <c r="B1315" i="115" s="1"/>
  <c r="G1325" i="115"/>
  <c r="H1367" i="115"/>
  <c r="B1367" i="115" s="1"/>
  <c r="E1366" i="115"/>
  <c r="I1366" i="115" s="1"/>
  <c r="I1367" i="115" s="1"/>
  <c r="H877" i="115"/>
  <c r="H984" i="115"/>
  <c r="E1001" i="115"/>
  <c r="I1001" i="115" s="1"/>
  <c r="I1002" i="115" s="1"/>
  <c r="B1002" i="115" s="1"/>
  <c r="H1177" i="115"/>
  <c r="E1176" i="115"/>
  <c r="I1176" i="115"/>
  <c r="I1177" i="115" s="1"/>
  <c r="E1241" i="115"/>
  <c r="I1241" i="115" s="1"/>
  <c r="I1242" i="115"/>
  <c r="H1242" i="115"/>
  <c r="B1242" i="115" s="1"/>
  <c r="H1106" i="115"/>
  <c r="H1210" i="115"/>
  <c r="B1210" i="115"/>
  <c r="E1225" i="115"/>
  <c r="I1225" i="115" s="1"/>
  <c r="I1226" i="115" s="1"/>
  <c r="B1226" i="115" s="1"/>
  <c r="E1257" i="115"/>
  <c r="I1257" i="115" s="1"/>
  <c r="I1258" i="115" s="1"/>
  <c r="E1297" i="115"/>
  <c r="I1297" i="115" s="1"/>
  <c r="I1298" i="115"/>
  <c r="B1298" i="115" s="1"/>
  <c r="H1384" i="115"/>
  <c r="H1418" i="115"/>
  <c r="H1452" i="115"/>
  <c r="G1479" i="115"/>
  <c r="G1496" i="115"/>
  <c r="B1496" i="115" s="1"/>
  <c r="G1513" i="115"/>
  <c r="B1513" i="115" s="1"/>
  <c r="G1530" i="115"/>
  <c r="B1530" i="115" s="1"/>
  <c r="G1544" i="115"/>
  <c r="G1548" i="115" s="1"/>
  <c r="B1548" i="115" s="1"/>
  <c r="H1557" i="115"/>
  <c r="E1568" i="115"/>
  <c r="G1564" i="115"/>
  <c r="G1568" i="115" s="1"/>
  <c r="B1568" i="115" s="1"/>
  <c r="H1577" i="115"/>
  <c r="E1588" i="115"/>
  <c r="G1584" i="115"/>
  <c r="G1588" i="115" s="1"/>
  <c r="B1588" i="115" s="1"/>
  <c r="H1597" i="115"/>
  <c r="E1608" i="115"/>
  <c r="G1604" i="115"/>
  <c r="G1608" i="115"/>
  <c r="H1617" i="115"/>
  <c r="B1628" i="115"/>
  <c r="E1635" i="115"/>
  <c r="I1635" i="115"/>
  <c r="I1636" i="115" s="1"/>
  <c r="E1332" i="115"/>
  <c r="I1332" i="115" s="1"/>
  <c r="I1333" i="115" s="1"/>
  <c r="E1349" i="115"/>
  <c r="I1349" i="115" s="1"/>
  <c r="I1350" i="115" s="1"/>
  <c r="B1350" i="115" s="1"/>
  <c r="H1401" i="115"/>
  <c r="B1401" i="115" s="1"/>
  <c r="E1400" i="115"/>
  <c r="I1400" i="115" s="1"/>
  <c r="I1401" i="115" s="1"/>
  <c r="H1435" i="115"/>
  <c r="E1434" i="115"/>
  <c r="I1434" i="115" s="1"/>
  <c r="I1435" i="115"/>
  <c r="H1653" i="115"/>
  <c r="E1652" i="115"/>
  <c r="I1652" i="115" s="1"/>
  <c r="I1653" i="115"/>
  <c r="H1670" i="115"/>
  <c r="E1669" i="115"/>
  <c r="I1669" i="115" s="1"/>
  <c r="I1670" i="115" s="1"/>
  <c r="B1670" i="115" s="1"/>
  <c r="E1725" i="115"/>
  <c r="I1725" i="115"/>
  <c r="I1726" i="115" s="1"/>
  <c r="B1726" i="115" s="1"/>
  <c r="E822" i="115"/>
  <c r="B1597" i="115"/>
  <c r="E575" i="113"/>
  <c r="F575" i="113" s="1"/>
  <c r="E35" i="113"/>
  <c r="F35" i="113"/>
  <c r="E803" i="113"/>
  <c r="F803" i="113" s="1"/>
  <c r="E343" i="113"/>
  <c r="F343" i="113" s="1"/>
  <c r="E596" i="113"/>
  <c r="F596" i="113" s="1"/>
  <c r="I1833" i="115"/>
  <c r="I1834" i="115" s="1"/>
  <c r="E1704" i="115"/>
  <c r="I1704" i="115" s="1"/>
  <c r="I1705" i="115"/>
  <c r="B1705" i="115"/>
  <c r="F326" i="113"/>
  <c r="E783" i="113"/>
  <c r="E781" i="113"/>
  <c r="F781" i="113" s="1"/>
  <c r="E782" i="113"/>
  <c r="F782" i="113" s="1"/>
  <c r="E586" i="113"/>
  <c r="F586" i="113" s="1"/>
  <c r="E580" i="113"/>
  <c r="F580" i="113"/>
  <c r="E778" i="113"/>
  <c r="F778" i="113" s="1"/>
  <c r="E598" i="113"/>
  <c r="F598" i="113"/>
  <c r="E585" i="113"/>
  <c r="F585" i="113"/>
  <c r="E791" i="113"/>
  <c r="E577" i="113"/>
  <c r="F577" i="113"/>
  <c r="E576" i="113"/>
  <c r="F576" i="113" s="1"/>
  <c r="E786" i="113"/>
  <c r="F786" i="113" s="1"/>
  <c r="E784" i="113"/>
  <c r="E787" i="113"/>
  <c r="E579" i="113"/>
  <c r="F579" i="113"/>
  <c r="E793" i="113"/>
  <c r="E574" i="113"/>
  <c r="F574" i="113" s="1"/>
  <c r="E792" i="113"/>
  <c r="F792" i="113" s="1"/>
  <c r="B1688" i="115"/>
  <c r="E323" i="113"/>
  <c r="E321" i="113"/>
  <c r="E325" i="113"/>
  <c r="F325" i="113" s="1"/>
  <c r="E345" i="113"/>
  <c r="F345" i="113" s="1"/>
  <c r="E13" i="113"/>
  <c r="E318" i="113"/>
  <c r="E10" i="113"/>
  <c r="E317" i="113"/>
  <c r="F317" i="113" s="1"/>
  <c r="F316" i="113" s="1"/>
  <c r="E14" i="113"/>
  <c r="I803" i="115"/>
  <c r="I804" i="115" s="1"/>
  <c r="E578" i="113"/>
  <c r="F578" i="113"/>
  <c r="E37" i="113"/>
  <c r="F37" i="113" s="1"/>
  <c r="E777" i="113"/>
  <c r="F777" i="113" s="1"/>
  <c r="F776" i="113" s="1"/>
  <c r="E805" i="113"/>
  <c r="F805" i="113" s="1"/>
  <c r="E324" i="113"/>
  <c r="F324" i="113" s="1"/>
  <c r="E785" i="113"/>
  <c r="F785" i="113"/>
  <c r="E16" i="113"/>
  <c r="F16" i="113" s="1"/>
  <c r="E572" i="113"/>
  <c r="F572" i="113"/>
  <c r="E779" i="113"/>
  <c r="F779" i="113" s="1"/>
  <c r="E584" i="113"/>
  <c r="F584" i="113" s="1"/>
  <c r="E327" i="113"/>
  <c r="F327" i="113"/>
  <c r="E15" i="113"/>
  <c r="F15" i="113"/>
  <c r="E569" i="113"/>
  <c r="F14" i="113"/>
  <c r="F10" i="113"/>
  <c r="F318" i="113"/>
  <c r="F13" i="113"/>
  <c r="F321" i="113"/>
  <c r="F323" i="113"/>
  <c r="F793" i="113"/>
  <c r="F787" i="113"/>
  <c r="F784" i="113"/>
  <c r="F791" i="113"/>
  <c r="F783" i="113"/>
  <c r="E333" i="113"/>
  <c r="E570" i="113"/>
  <c r="F570" i="113" s="1"/>
  <c r="E593" i="113"/>
  <c r="F593" i="113"/>
  <c r="E798" i="113"/>
  <c r="F798" i="113" s="1"/>
  <c r="E802" i="113"/>
  <c r="E812" i="113"/>
  <c r="E573" i="113"/>
  <c r="F573" i="113" s="1"/>
  <c r="E801" i="113"/>
  <c r="E603" i="113"/>
  <c r="F603" i="113"/>
  <c r="E788" i="113"/>
  <c r="F788" i="113" s="1"/>
  <c r="E590" i="113"/>
  <c r="F590" i="113"/>
  <c r="E597" i="113"/>
  <c r="F597" i="113" s="1"/>
  <c r="E571" i="113"/>
  <c r="F571" i="113"/>
  <c r="E790" i="113"/>
  <c r="F790" i="113" s="1"/>
  <c r="E795" i="113"/>
  <c r="E588" i="113"/>
  <c r="F588" i="113"/>
  <c r="E796" i="113"/>
  <c r="F796" i="113" s="1"/>
  <c r="E807" i="113"/>
  <c r="F807" i="113" s="1"/>
  <c r="E789" i="113"/>
  <c r="E800" i="113"/>
  <c r="E591" i="113"/>
  <c r="F591" i="113" s="1"/>
  <c r="E595" i="113"/>
  <c r="F595" i="113"/>
  <c r="E605" i="113"/>
  <c r="F605" i="113" s="1"/>
  <c r="E780" i="113"/>
  <c r="E594" i="113"/>
  <c r="F594" i="113"/>
  <c r="E602" i="113"/>
  <c r="F602" i="113" s="1"/>
  <c r="E810" i="113"/>
  <c r="F810" i="113" s="1"/>
  <c r="E604" i="113"/>
  <c r="F604" i="113"/>
  <c r="E581" i="113"/>
  <c r="F581" i="113"/>
  <c r="E797" i="113"/>
  <c r="E804" i="113"/>
  <c r="F804" i="113" s="1"/>
  <c r="E583" i="113"/>
  <c r="F583" i="113"/>
  <c r="E587" i="113"/>
  <c r="F587" i="113"/>
  <c r="E794" i="113"/>
  <c r="E589" i="113"/>
  <c r="F589" i="113"/>
  <c r="E582" i="113"/>
  <c r="F582" i="113" s="1"/>
  <c r="E599" i="113"/>
  <c r="F599" i="113" s="1"/>
  <c r="E19" i="113"/>
  <c r="E18" i="113"/>
  <c r="E9" i="113"/>
  <c r="F9" i="113" s="1"/>
  <c r="F8" i="113" s="1"/>
  <c r="E17" i="113"/>
  <c r="E12" i="113"/>
  <c r="F12" i="113" s="1"/>
  <c r="E32" i="113"/>
  <c r="F32" i="113"/>
  <c r="E329" i="113"/>
  <c r="E22" i="113"/>
  <c r="F22" i="113" s="1"/>
  <c r="E43" i="113"/>
  <c r="E335" i="113"/>
  <c r="F335" i="113" s="1"/>
  <c r="E332" i="113"/>
  <c r="E331" i="113"/>
  <c r="F331" i="113" s="1"/>
  <c r="E25" i="113"/>
  <c r="E36" i="113"/>
  <c r="E348" i="113"/>
  <c r="E28" i="113"/>
  <c r="F28" i="113" s="1"/>
  <c r="E39" i="113"/>
  <c r="E41" i="113"/>
  <c r="E42" i="113"/>
  <c r="E44" i="113"/>
  <c r="F44" i="113" s="1"/>
  <c r="E34" i="113"/>
  <c r="E38" i="113"/>
  <c r="F38" i="113" s="1"/>
  <c r="E320" i="113"/>
  <c r="F320" i="113" s="1"/>
  <c r="E330" i="113"/>
  <c r="E21" i="113"/>
  <c r="E351" i="113"/>
  <c r="F351" i="113" s="1"/>
  <c r="E27" i="113"/>
  <c r="F27" i="113" s="1"/>
  <c r="E24" i="113"/>
  <c r="E23" i="113"/>
  <c r="E344" i="113"/>
  <c r="F344" i="113" s="1"/>
  <c r="E40" i="113"/>
  <c r="F40" i="113" s="1"/>
  <c r="E336" i="113"/>
  <c r="F336" i="113" s="1"/>
  <c r="E347" i="113"/>
  <c r="E349" i="113"/>
  <c r="E350" i="113"/>
  <c r="F350" i="113" s="1"/>
  <c r="E352" i="113"/>
  <c r="E342" i="113"/>
  <c r="E346" i="113"/>
  <c r="E26" i="113"/>
  <c r="F26" i="113" s="1"/>
  <c r="E806" i="113"/>
  <c r="F806" i="113" s="1"/>
  <c r="E809" i="113"/>
  <c r="F809" i="113" s="1"/>
  <c r="E811" i="113"/>
  <c r="F811" i="113" s="1"/>
  <c r="E600" i="113"/>
  <c r="F600" i="113"/>
  <c r="E340" i="113"/>
  <c r="F340" i="113" s="1"/>
  <c r="F339" i="113" s="1"/>
  <c r="G5" i="132"/>
  <c r="F569" i="113"/>
  <c r="F568" i="113" s="1"/>
  <c r="E33" i="113"/>
  <c r="F33" i="113"/>
  <c r="E341" i="113"/>
  <c r="F341" i="113"/>
  <c r="E322" i="113"/>
  <c r="F322" i="113"/>
  <c r="E334" i="113"/>
  <c r="F334" i="113"/>
  <c r="F346" i="113"/>
  <c r="F342" i="113"/>
  <c r="F352" i="113"/>
  <c r="F349" i="113"/>
  <c r="F347" i="113"/>
  <c r="F23" i="113"/>
  <c r="F24" i="113"/>
  <c r="F21" i="113"/>
  <c r="F330" i="113"/>
  <c r="F794" i="113"/>
  <c r="F797" i="113"/>
  <c r="F780" i="113"/>
  <c r="F800" i="113"/>
  <c r="F813" i="113" s="1"/>
  <c r="F789" i="113"/>
  <c r="F795" i="113"/>
  <c r="F801" i="113"/>
  <c r="F812" i="113"/>
  <c r="F802" i="113"/>
  <c r="F333" i="113"/>
  <c r="F34" i="113"/>
  <c r="F42" i="113"/>
  <c r="F41" i="113"/>
  <c r="F39" i="113"/>
  <c r="F348" i="113"/>
  <c r="F36" i="113"/>
  <c r="F25" i="113"/>
  <c r="F332" i="113"/>
  <c r="F43" i="113"/>
  <c r="F329" i="113"/>
  <c r="F17" i="113"/>
  <c r="F18" i="113"/>
  <c r="F19" i="113"/>
  <c r="E808" i="113"/>
  <c r="E338" i="113"/>
  <c r="E29" i="113"/>
  <c r="E20" i="113"/>
  <c r="F20" i="113" s="1"/>
  <c r="E11" i="113"/>
  <c r="E30" i="113"/>
  <c r="E337" i="113"/>
  <c r="F337" i="113" s="1"/>
  <c r="E328" i="113"/>
  <c r="F328" i="113" s="1"/>
  <c r="E319" i="113"/>
  <c r="G8" i="132"/>
  <c r="G16" i="132"/>
  <c r="G24" i="132" s="1"/>
  <c r="L24" i="132" s="1"/>
  <c r="E601" i="113"/>
  <c r="F601" i="113" s="1"/>
  <c r="F31" i="113"/>
  <c r="F338" i="113"/>
  <c r="F808" i="113"/>
  <c r="F319" i="113"/>
  <c r="F30" i="113"/>
  <c r="F11" i="113"/>
  <c r="F29" i="113"/>
  <c r="F21" i="40"/>
  <c r="F25" i="40"/>
  <c r="F19" i="40"/>
  <c r="F24" i="40"/>
  <c r="H24" i="40" s="1"/>
  <c r="G24" i="40" s="1"/>
  <c r="F23" i="40"/>
  <c r="F22" i="40"/>
  <c r="F20" i="40"/>
  <c r="F18" i="40"/>
  <c r="F17" i="40"/>
  <c r="F45" i="113"/>
  <c r="F799" i="113"/>
  <c r="E1071" i="81"/>
  <c r="G1071" i="81" s="1"/>
  <c r="E972" i="81"/>
  <c r="E969" i="81"/>
  <c r="G78" i="81"/>
  <c r="G80" i="81" s="1"/>
  <c r="E64" i="81"/>
  <c r="F64" i="81" s="1"/>
  <c r="F65" i="81" s="1"/>
  <c r="B65" i="81" s="1"/>
  <c r="B66" i="81" s="1"/>
  <c r="F557" i="81"/>
  <c r="G553" i="81"/>
  <c r="D210" i="86"/>
  <c r="E869" i="113"/>
  <c r="F869" i="113" s="1"/>
  <c r="G1016" i="81"/>
  <c r="G1018" i="81" s="1"/>
  <c r="A1006" i="81"/>
  <c r="A1014" i="81"/>
  <c r="H1018" i="81"/>
  <c r="F1018" i="81"/>
  <c r="E1017" i="81"/>
  <c r="I1017" i="81" s="1"/>
  <c r="I1018" i="81" s="1"/>
  <c r="C1017" i="81"/>
  <c r="G1011" i="81"/>
  <c r="F1011" i="81"/>
  <c r="A1067" i="81"/>
  <c r="H1073" i="81"/>
  <c r="F1073" i="81"/>
  <c r="E1072" i="81"/>
  <c r="C1072" i="81"/>
  <c r="G1064" i="81"/>
  <c r="F1064" i="81"/>
  <c r="D209" i="86"/>
  <c r="G1001" i="81"/>
  <c r="H1003" i="81"/>
  <c r="F1003" i="81"/>
  <c r="B1003" i="81" s="1"/>
  <c r="B1004" i="81" s="1"/>
  <c r="E1002" i="81"/>
  <c r="C1002" i="81"/>
  <c r="G996" i="81"/>
  <c r="F996" i="81"/>
  <c r="C973" i="81"/>
  <c r="D206" i="86"/>
  <c r="E886" i="81"/>
  <c r="I886" i="81" s="1"/>
  <c r="C886" i="81"/>
  <c r="E885" i="81"/>
  <c r="I885" i="81" s="1"/>
  <c r="C885" i="81"/>
  <c r="G895" i="81"/>
  <c r="G896" i="81" s="1"/>
  <c r="B896" i="81" s="1"/>
  <c r="B897" i="81" s="1"/>
  <c r="H896" i="81"/>
  <c r="F896" i="81"/>
  <c r="G890" i="81"/>
  <c r="D202" i="86"/>
  <c r="E835" i="81"/>
  <c r="I835" i="81" s="1"/>
  <c r="E834" i="81"/>
  <c r="I834" i="81"/>
  <c r="G807" i="81"/>
  <c r="G808" i="81"/>
  <c r="H1055" i="81"/>
  <c r="H34" i="40"/>
  <c r="G34" i="40" s="1"/>
  <c r="G811" i="81"/>
  <c r="B811" i="81" s="1"/>
  <c r="B812" i="81" s="1"/>
  <c r="I1002" i="81"/>
  <c r="I1003" i="81" s="1"/>
  <c r="G1003" i="81"/>
  <c r="I896" i="81"/>
  <c r="I1054" i="81"/>
  <c r="I1055" i="81" s="1"/>
  <c r="G43" i="40"/>
  <c r="G39" i="40"/>
  <c r="E863" i="113"/>
  <c r="F863" i="113" s="1"/>
  <c r="G971" i="81"/>
  <c r="G970" i="81"/>
  <c r="G969" i="81"/>
  <c r="A967" i="81"/>
  <c r="H974" i="81"/>
  <c r="F974" i="81"/>
  <c r="E973" i="81"/>
  <c r="I973" i="81" s="1"/>
  <c r="I974" i="81" s="1"/>
  <c r="G972" i="81"/>
  <c r="G964" i="81"/>
  <c r="F964" i="81"/>
  <c r="C955" i="81"/>
  <c r="G954" i="81"/>
  <c r="G956" i="81"/>
  <c r="A952" i="81"/>
  <c r="A944" i="81"/>
  <c r="H956" i="81"/>
  <c r="F956" i="81"/>
  <c r="E955" i="81"/>
  <c r="I955" i="81" s="1"/>
  <c r="I956" i="81" s="1"/>
  <c r="B956" i="81" s="1"/>
  <c r="B957" i="81" s="1"/>
  <c r="G949" i="81"/>
  <c r="F949" i="81"/>
  <c r="G939" i="81"/>
  <c r="G941" i="81"/>
  <c r="A937" i="81"/>
  <c r="A929" i="81"/>
  <c r="H941" i="81"/>
  <c r="F941" i="81"/>
  <c r="E940" i="81"/>
  <c r="C940" i="81"/>
  <c r="G934" i="81"/>
  <c r="F934" i="81"/>
  <c r="G924" i="81"/>
  <c r="G926" i="81" s="1"/>
  <c r="H926" i="81"/>
  <c r="F926" i="81"/>
  <c r="E925" i="81"/>
  <c r="I925" i="81" s="1"/>
  <c r="I926" i="81" s="1"/>
  <c r="B926" i="81" s="1"/>
  <c r="B927" i="81" s="1"/>
  <c r="C925" i="81"/>
  <c r="G919" i="81"/>
  <c r="F919" i="81"/>
  <c r="C910" i="81"/>
  <c r="G909" i="81"/>
  <c r="G911" i="81"/>
  <c r="H911" i="81"/>
  <c r="F911" i="81"/>
  <c r="E910" i="81"/>
  <c r="G904" i="81"/>
  <c r="F904" i="81"/>
  <c r="G876" i="81"/>
  <c r="G878" i="81" s="1"/>
  <c r="H878" i="81"/>
  <c r="F878" i="81"/>
  <c r="E877" i="81"/>
  <c r="I877" i="81" s="1"/>
  <c r="I878" i="81" s="1"/>
  <c r="G871" i="81"/>
  <c r="F871" i="81"/>
  <c r="E867" i="81"/>
  <c r="I867" i="81" s="1"/>
  <c r="G860" i="81"/>
  <c r="G862" i="81" s="1"/>
  <c r="H862" i="81"/>
  <c r="F862" i="81"/>
  <c r="E861" i="81"/>
  <c r="I861" i="81" s="1"/>
  <c r="I862" i="81" s="1"/>
  <c r="G855" i="81"/>
  <c r="F855" i="81"/>
  <c r="E851" i="81"/>
  <c r="I851" i="81" s="1"/>
  <c r="G844" i="81"/>
  <c r="G846" i="81" s="1"/>
  <c r="H846" i="81"/>
  <c r="F846" i="81"/>
  <c r="E845" i="81"/>
  <c r="I845" i="81" s="1"/>
  <c r="I846" i="81" s="1"/>
  <c r="D201" i="86"/>
  <c r="D203" i="86"/>
  <c r="D204" i="86"/>
  <c r="D205" i="86"/>
  <c r="D208" i="86"/>
  <c r="D200" i="86"/>
  <c r="O40" i="40"/>
  <c r="I940" i="81"/>
  <c r="I941" i="81" s="1"/>
  <c r="E865" i="113"/>
  <c r="F865" i="113" s="1"/>
  <c r="E862" i="113"/>
  <c r="G1031" i="81"/>
  <c r="G1033" i="81" s="1"/>
  <c r="H1033" i="81"/>
  <c r="F1033" i="81"/>
  <c r="E1032" i="81"/>
  <c r="C1032" i="81"/>
  <c r="G1026" i="81"/>
  <c r="F1026" i="81"/>
  <c r="C788" i="81"/>
  <c r="G787" i="81"/>
  <c r="G789" i="81" s="1"/>
  <c r="H789" i="81"/>
  <c r="F789" i="81"/>
  <c r="E788" i="81"/>
  <c r="E778" i="81"/>
  <c r="I778" i="81" s="1"/>
  <c r="C778" i="81"/>
  <c r="E777" i="81"/>
  <c r="C777" i="81"/>
  <c r="D141" i="86"/>
  <c r="D139" i="86"/>
  <c r="D140" i="86"/>
  <c r="G767" i="81"/>
  <c r="H769" i="81"/>
  <c r="F769" i="81"/>
  <c r="E768" i="81"/>
  <c r="I768" i="81" s="1"/>
  <c r="I769" i="81" s="1"/>
  <c r="E758" i="81"/>
  <c r="C758" i="81"/>
  <c r="E757" i="81"/>
  <c r="C757" i="81"/>
  <c r="D136" i="86"/>
  <c r="G736" i="81"/>
  <c r="G737" i="81" s="1"/>
  <c r="H737" i="81"/>
  <c r="F737" i="81"/>
  <c r="E727" i="81"/>
  <c r="I727" i="81" s="1"/>
  <c r="C727" i="81"/>
  <c r="E726" i="81"/>
  <c r="I726" i="81" s="1"/>
  <c r="C726" i="81"/>
  <c r="F862" i="113"/>
  <c r="I788" i="81"/>
  <c r="I789" i="81" s="1"/>
  <c r="I757" i="81"/>
  <c r="G769" i="81"/>
  <c r="I737" i="81"/>
  <c r="D175" i="1"/>
  <c r="D38" i="86"/>
  <c r="D74" i="113" s="1"/>
  <c r="D37" i="86"/>
  <c r="D36" i="86"/>
  <c r="D72" i="113" s="1"/>
  <c r="D35" i="86"/>
  <c r="E542" i="81"/>
  <c r="G542" i="81" s="1"/>
  <c r="E541" i="81"/>
  <c r="G541" i="81" s="1"/>
  <c r="E540" i="81"/>
  <c r="G538" i="81"/>
  <c r="G522" i="81"/>
  <c r="D68" i="86"/>
  <c r="D69" i="86"/>
  <c r="D39" i="86" s="1"/>
  <c r="D127" i="152"/>
  <c r="D128" i="152"/>
  <c r="D126" i="152"/>
  <c r="D126" i="140"/>
  <c r="D125" i="140"/>
  <c r="D73" i="113"/>
  <c r="D127" i="140"/>
  <c r="F522" i="81"/>
  <c r="D67" i="86"/>
  <c r="E220" i="81"/>
  <c r="G220" i="81" s="1"/>
  <c r="E218" i="81"/>
  <c r="G218" i="81" s="1"/>
  <c r="E217" i="81"/>
  <c r="G217" i="81" s="1"/>
  <c r="G216" i="81"/>
  <c r="F225" i="81"/>
  <c r="G222" i="81"/>
  <c r="C219" i="81"/>
  <c r="G219" i="81" s="1"/>
  <c r="C218" i="81"/>
  <c r="C217" i="81"/>
  <c r="G215" i="81"/>
  <c r="C208" i="81"/>
  <c r="E205" i="81"/>
  <c r="F205" i="81" s="1"/>
  <c r="F209" i="81" s="1"/>
  <c r="E194" i="81"/>
  <c r="G194" i="81" s="1"/>
  <c r="G187" i="81"/>
  <c r="G186" i="81"/>
  <c r="E185" i="81"/>
  <c r="G185" i="81" s="1"/>
  <c r="E184" i="81"/>
  <c r="G184" i="81" s="1"/>
  <c r="G183" i="81"/>
  <c r="F180" i="81"/>
  <c r="E23" i="81"/>
  <c r="F23" i="81" s="1"/>
  <c r="G26" i="81"/>
  <c r="G57" i="81"/>
  <c r="G49" i="81"/>
  <c r="F46" i="81"/>
  <c r="F49" i="81"/>
  <c r="G41" i="81"/>
  <c r="D129" i="152"/>
  <c r="D75" i="113"/>
  <c r="D129" i="140"/>
  <c r="F182" i="81"/>
  <c r="F198" i="81"/>
  <c r="F54" i="81"/>
  <c r="F57" i="81" s="1"/>
  <c r="F41" i="81"/>
  <c r="D63" i="113"/>
  <c r="D160" i="1"/>
  <c r="D464" i="1"/>
  <c r="D442" i="1"/>
  <c r="D443" i="1"/>
  <c r="D444" i="1"/>
  <c r="D319" i="1"/>
  <c r="D322" i="1"/>
  <c r="D321" i="1"/>
  <c r="D323" i="1"/>
  <c r="D309" i="1"/>
  <c r="D312" i="1"/>
  <c r="D311" i="1"/>
  <c r="D352" i="1"/>
  <c r="D351" i="1"/>
  <c r="D190" i="1"/>
  <c r="D450" i="1"/>
  <c r="G481" i="81"/>
  <c r="D526" i="1"/>
  <c r="E482" i="81"/>
  <c r="C482" i="81"/>
  <c r="E462" i="81"/>
  <c r="I462" i="81" s="1"/>
  <c r="I463" i="81" s="1"/>
  <c r="B463" i="81" s="1"/>
  <c r="B464" i="81" s="1"/>
  <c r="G461" i="81"/>
  <c r="G442" i="81"/>
  <c r="G443" i="81" s="1"/>
  <c r="E302" i="81"/>
  <c r="I302" i="81" s="1"/>
  <c r="I303" i="81" s="1"/>
  <c r="G301" i="81"/>
  <c r="G303" i="81" s="1"/>
  <c r="E14" i="81"/>
  <c r="E15" i="81"/>
  <c r="H15" i="81" s="1"/>
  <c r="H16" i="81" s="1"/>
  <c r="E13" i="81" s="1"/>
  <c r="F16" i="81"/>
  <c r="F49" i="108"/>
  <c r="F51" i="108" s="1"/>
  <c r="E29" i="108"/>
  <c r="F29" i="108"/>
  <c r="F28" i="108"/>
  <c r="F27" i="108"/>
  <c r="F26" i="108"/>
  <c r="F25" i="108"/>
  <c r="F24" i="108"/>
  <c r="F23" i="108"/>
  <c r="F22" i="108"/>
  <c r="F21" i="108"/>
  <c r="F20" i="108"/>
  <c r="F19" i="108"/>
  <c r="F18" i="108"/>
  <c r="F17" i="108"/>
  <c r="F16" i="108"/>
  <c r="F15" i="108"/>
  <c r="F14" i="108"/>
  <c r="E13" i="108"/>
  <c r="F12" i="108"/>
  <c r="F30" i="108" s="1"/>
  <c r="C472" i="81"/>
  <c r="C471" i="81"/>
  <c r="C452" i="81"/>
  <c r="C451" i="81"/>
  <c r="C433" i="81"/>
  <c r="C431" i="81"/>
  <c r="G65" i="81"/>
  <c r="F80" i="81"/>
  <c r="G104" i="81"/>
  <c r="I86" i="81"/>
  <c r="I87" i="81" s="1"/>
  <c r="G87" i="81"/>
  <c r="H87" i="81"/>
  <c r="E231" i="81"/>
  <c r="G231" i="81" s="1"/>
  <c r="G232" i="81"/>
  <c r="F237" i="81"/>
  <c r="E451" i="81"/>
  <c r="E452" i="81"/>
  <c r="I452" i="81" s="1"/>
  <c r="E431" i="81"/>
  <c r="E433" i="81"/>
  <c r="E471" i="81"/>
  <c r="E472" i="81"/>
  <c r="I472" i="81" s="1"/>
  <c r="F289" i="81"/>
  <c r="E291" i="81"/>
  <c r="I291" i="81" s="1"/>
  <c r="E292" i="81"/>
  <c r="I292" i="81" s="1"/>
  <c r="G296" i="81"/>
  <c r="E111" i="6"/>
  <c r="F111" i="6"/>
  <c r="F120" i="6" s="1"/>
  <c r="E113" i="6"/>
  <c r="G113" i="6" s="1"/>
  <c r="E115" i="6"/>
  <c r="G115" i="6" s="1"/>
  <c r="E117" i="6"/>
  <c r="G117" i="6" s="1"/>
  <c r="I116" i="6"/>
  <c r="E97" i="6"/>
  <c r="F97" i="6" s="1"/>
  <c r="F106" i="6" s="1"/>
  <c r="G100" i="6"/>
  <c r="G101" i="6"/>
  <c r="E103" i="6"/>
  <c r="G103" i="6" s="1"/>
  <c r="E154" i="6"/>
  <c r="F154" i="6" s="1"/>
  <c r="F162" i="6" s="1"/>
  <c r="E155" i="6"/>
  <c r="G155" i="6" s="1"/>
  <c r="E157" i="6"/>
  <c r="G157" i="6" s="1"/>
  <c r="E159" i="6"/>
  <c r="G159" i="6" s="1"/>
  <c r="I158" i="6"/>
  <c r="G456" i="81"/>
  <c r="E55" i="6"/>
  <c r="F55" i="6" s="1"/>
  <c r="F64" i="6" s="1"/>
  <c r="E57" i="6"/>
  <c r="G57" i="6" s="1"/>
  <c r="G58" i="6"/>
  <c r="E59" i="6"/>
  <c r="G59" i="6" s="1"/>
  <c r="E61" i="6"/>
  <c r="G61" i="6"/>
  <c r="I60" i="6"/>
  <c r="E167" i="6"/>
  <c r="F167" i="6" s="1"/>
  <c r="F175" i="6" s="1"/>
  <c r="E168" i="6"/>
  <c r="G168" i="6"/>
  <c r="E170" i="6"/>
  <c r="G170" i="6" s="1"/>
  <c r="E172" i="6"/>
  <c r="G172" i="6" s="1"/>
  <c r="I171" i="6"/>
  <c r="F148" i="81"/>
  <c r="E142" i="81"/>
  <c r="G142" i="81" s="1"/>
  <c r="E143" i="81"/>
  <c r="G143" i="81" s="1"/>
  <c r="E144" i="81"/>
  <c r="G144" i="81" s="1"/>
  <c r="E145" i="81"/>
  <c r="G145" i="81" s="1"/>
  <c r="E132" i="81"/>
  <c r="F132" i="81" s="1"/>
  <c r="F135" i="81" s="1"/>
  <c r="G130" i="81"/>
  <c r="G135" i="81"/>
  <c r="E133" i="81"/>
  <c r="I133" i="81" s="1"/>
  <c r="E83" i="6"/>
  <c r="F83" i="6" s="1"/>
  <c r="F92" i="6" s="1"/>
  <c r="E85" i="6"/>
  <c r="G85" i="6" s="1"/>
  <c r="G86" i="6"/>
  <c r="E87" i="6"/>
  <c r="G87" i="6" s="1"/>
  <c r="E89" i="6"/>
  <c r="G89" i="6" s="1"/>
  <c r="I88" i="6"/>
  <c r="E69" i="6"/>
  <c r="F69" i="6" s="1"/>
  <c r="F78" i="6" s="1"/>
  <c r="E71" i="6"/>
  <c r="G71" i="6" s="1"/>
  <c r="G72" i="6"/>
  <c r="E73" i="6"/>
  <c r="G73" i="6" s="1"/>
  <c r="E75" i="6"/>
  <c r="G75" i="6" s="1"/>
  <c r="I74" i="6"/>
  <c r="E41" i="6"/>
  <c r="F41" i="6" s="1"/>
  <c r="F50" i="6" s="1"/>
  <c r="E43" i="6"/>
  <c r="G43" i="6" s="1"/>
  <c r="E45" i="6"/>
  <c r="G45" i="6" s="1"/>
  <c r="E47" i="6"/>
  <c r="G47" i="6" s="1"/>
  <c r="I46" i="6"/>
  <c r="E27" i="6"/>
  <c r="F27" i="6" s="1"/>
  <c r="F36" i="6" s="1"/>
  <c r="E29" i="6"/>
  <c r="G29" i="6" s="1"/>
  <c r="G30" i="6"/>
  <c r="E31" i="6"/>
  <c r="G31" i="6" s="1"/>
  <c r="E33" i="6"/>
  <c r="G33" i="6" s="1"/>
  <c r="E13" i="6"/>
  <c r="F13" i="6" s="1"/>
  <c r="F22" i="6" s="1"/>
  <c r="E15" i="6"/>
  <c r="G15" i="6" s="1"/>
  <c r="E17" i="6"/>
  <c r="G17" i="6" s="1"/>
  <c r="E19" i="6"/>
  <c r="G19" i="6" s="1"/>
  <c r="I18" i="6"/>
  <c r="E141" i="6"/>
  <c r="F141" i="6" s="1"/>
  <c r="F149" i="6" s="1"/>
  <c r="E142" i="6"/>
  <c r="G142" i="6" s="1"/>
  <c r="E144" i="6"/>
  <c r="G144" i="6" s="1"/>
  <c r="G149" i="6" s="1"/>
  <c r="E146" i="6"/>
  <c r="G146" i="6" s="1"/>
  <c r="I145" i="6"/>
  <c r="E24" i="40"/>
  <c r="H29" i="40"/>
  <c r="H33" i="40"/>
  <c r="H38" i="40"/>
  <c r="H39" i="40" s="1"/>
  <c r="H42" i="40"/>
  <c r="H43" i="40"/>
  <c r="E101" i="81"/>
  <c r="F101" i="81" s="1"/>
  <c r="F104" i="81" s="1"/>
  <c r="E288" i="81"/>
  <c r="F483" i="81"/>
  <c r="H483" i="81"/>
  <c r="F463" i="81"/>
  <c r="F443" i="81"/>
  <c r="F303" i="81"/>
  <c r="H303" i="81"/>
  <c r="H463" i="81"/>
  <c r="H443" i="81"/>
  <c r="K20" i="40"/>
  <c r="B691" i="139"/>
  <c r="B674" i="139"/>
  <c r="B646" i="139"/>
  <c r="B6" i="121"/>
  <c r="B1065" i="130"/>
  <c r="B1066" i="130"/>
  <c r="B1081" i="137"/>
  <c r="B1066" i="137"/>
  <c r="B1050" i="137"/>
  <c r="B1034" i="137"/>
  <c r="B1018" i="137"/>
  <c r="B895" i="137"/>
  <c r="B879" i="137"/>
  <c r="B838" i="137"/>
  <c r="B997" i="137"/>
  <c r="B980" i="137"/>
  <c r="B959" i="137"/>
  <c r="B940" i="137"/>
  <c r="B917" i="137"/>
  <c r="B854" i="137"/>
  <c r="B568" i="139"/>
  <c r="B520" i="139"/>
  <c r="B464" i="139"/>
  <c r="B444" i="139"/>
  <c r="B410" i="139"/>
  <c r="B376" i="139"/>
  <c r="B344" i="139"/>
  <c r="B257" i="139"/>
  <c r="B241" i="139"/>
  <c r="B166" i="139"/>
  <c r="B551" i="139"/>
  <c r="B535" i="139"/>
  <c r="B505" i="139"/>
  <c r="B485" i="139"/>
  <c r="B427" i="139"/>
  <c r="B393" i="139"/>
  <c r="B360" i="139"/>
  <c r="B328" i="139"/>
  <c r="B289" i="139"/>
  <c r="B274" i="139"/>
  <c r="B221" i="139"/>
  <c r="B205" i="139"/>
  <c r="B186" i="139"/>
  <c r="B232" i="137"/>
  <c r="B242" i="136"/>
  <c r="B226" i="136"/>
  <c r="B189" i="136"/>
  <c r="B273" i="136"/>
  <c r="B258" i="136"/>
  <c r="B210" i="136"/>
  <c r="B172" i="136"/>
  <c r="B109" i="136"/>
  <c r="B151" i="136"/>
  <c r="B132" i="136"/>
  <c r="B87" i="136"/>
  <c r="B49" i="136"/>
  <c r="B24" i="136"/>
  <c r="B64" i="136"/>
  <c r="B8" i="136"/>
  <c r="B13" i="121"/>
  <c r="I443" i="81"/>
  <c r="B443" i="81" s="1"/>
  <c r="B444" i="81" s="1"/>
  <c r="D11" i="1"/>
  <c r="I431" i="81"/>
  <c r="I433" i="81"/>
  <c r="I13" i="81"/>
  <c r="I16" i="81" s="1"/>
  <c r="I482" i="81"/>
  <c r="I483" i="81" s="1"/>
  <c r="G14" i="81"/>
  <c r="G16" i="81" s="1"/>
  <c r="G483" i="81"/>
  <c r="B483" i="81" s="1"/>
  <c r="B484" i="81" s="1"/>
  <c r="E477" i="81" s="1"/>
  <c r="G463" i="81"/>
  <c r="B233" i="130"/>
  <c r="B132" i="6"/>
  <c r="B234" i="130"/>
  <c r="B133" i="6"/>
  <c r="D6" i="121"/>
  <c r="B71" i="81"/>
  <c r="F26" i="81"/>
  <c r="B9" i="1"/>
  <c r="B22" i="124"/>
  <c r="B1761" i="123"/>
  <c r="B1746" i="123"/>
  <c r="B1732" i="123"/>
  <c r="B1674" i="123"/>
  <c r="B1642" i="123"/>
  <c r="B1626" i="123"/>
  <c r="B1608" i="123"/>
  <c r="B1593" i="123"/>
  <c r="B1580" i="123"/>
  <c r="B1564" i="123"/>
  <c r="B1549" i="123"/>
  <c r="B1533" i="123"/>
  <c r="B1519" i="123"/>
  <c r="B1503" i="123"/>
  <c r="B1487" i="123"/>
  <c r="B1471" i="123"/>
  <c r="B1456" i="123"/>
  <c r="B1440" i="123"/>
  <c r="B1425" i="123"/>
  <c r="B1410" i="123"/>
  <c r="B1396" i="123"/>
  <c r="B1380" i="123"/>
  <c r="B1365" i="123"/>
  <c r="B23" i="124"/>
  <c r="B1760" i="123"/>
  <c r="B1731" i="123"/>
  <c r="B1673" i="123"/>
  <c r="B1656" i="123"/>
  <c r="B1627" i="123"/>
  <c r="B1594" i="123"/>
  <c r="B1579" i="123"/>
  <c r="B1550" i="123"/>
  <c r="B1470" i="123"/>
  <c r="B1439" i="123"/>
  <c r="B1395" i="123"/>
  <c r="B1364" i="123"/>
  <c r="B1349" i="123"/>
  <c r="B1332" i="123"/>
  <c r="B1318" i="123"/>
  <c r="B1293" i="123"/>
  <c r="B1291" i="123"/>
  <c r="B1278" i="123"/>
  <c r="B1268" i="123"/>
  <c r="B1267" i="123"/>
  <c r="B1251" i="123"/>
  <c r="B1249" i="123"/>
  <c r="B1234" i="123"/>
  <c r="B1225" i="123"/>
  <c r="B1179" i="123"/>
  <c r="B1167" i="123"/>
  <c r="B1156" i="123"/>
  <c r="B1147" i="123"/>
  <c r="B1133" i="123"/>
  <c r="B1124" i="123"/>
  <c r="B1113" i="123"/>
  <c r="B1104" i="123"/>
  <c r="B1093" i="123"/>
  <c r="B1084" i="123"/>
  <c r="B1062" i="123"/>
  <c r="B1051" i="123"/>
  <c r="B1042" i="123"/>
  <c r="B1031" i="123"/>
  <c r="B1022" i="123"/>
  <c r="B1010" i="123"/>
  <c r="B999" i="123"/>
  <c r="B989" i="123"/>
  <c r="B968" i="123"/>
  <c r="B955" i="123"/>
  <c r="B937" i="123"/>
  <c r="B921" i="123"/>
  <c r="B913" i="123"/>
  <c r="B902" i="123"/>
  <c r="B892" i="123"/>
  <c r="B872" i="123"/>
  <c r="B870" i="123"/>
  <c r="B834" i="123"/>
  <c r="B816" i="123"/>
  <c r="B814" i="123"/>
  <c r="B801" i="123"/>
  <c r="B39" i="122"/>
  <c r="B22" i="122"/>
  <c r="B21" i="122"/>
  <c r="B1641" i="123"/>
  <c r="B1534" i="123"/>
  <c r="B1518" i="123"/>
  <c r="B1502" i="123"/>
  <c r="B1486" i="123"/>
  <c r="B1426" i="123"/>
  <c r="B1409" i="123"/>
  <c r="B1317" i="123"/>
  <c r="B1250" i="123"/>
  <c r="B1233" i="123"/>
  <c r="B1217" i="123"/>
  <c r="B1191" i="123"/>
  <c r="B1168" i="123"/>
  <c r="B1134" i="123"/>
  <c r="B1123" i="123"/>
  <c r="B1114" i="123"/>
  <c r="B1103" i="123"/>
  <c r="B1094" i="123"/>
  <c r="B1083" i="123"/>
  <c r="B1072" i="123"/>
  <c r="B1001" i="123"/>
  <c r="B1000" i="123"/>
  <c r="B988" i="123"/>
  <c r="B969" i="123"/>
  <c r="B954" i="123"/>
  <c r="B912" i="123"/>
  <c r="B891" i="123"/>
  <c r="B871" i="123"/>
  <c r="B833" i="123"/>
  <c r="B802" i="123"/>
  <c r="B776" i="123"/>
  <c r="B352" i="123"/>
  <c r="B137" i="123"/>
  <c r="B135" i="123"/>
  <c r="B118" i="123"/>
  <c r="B116" i="123"/>
  <c r="B103" i="123"/>
  <c r="B84" i="123"/>
  <c r="B76" i="123"/>
  <c r="B29" i="123"/>
  <c r="B19" i="123"/>
  <c r="B18" i="123"/>
  <c r="B188" i="122"/>
  <c r="B187" i="122"/>
  <c r="B158" i="122"/>
  <c r="B157" i="122"/>
  <c r="B141" i="122"/>
  <c r="B140" i="122"/>
  <c r="B124" i="122"/>
  <c r="B107" i="122"/>
  <c r="B1745" i="123"/>
  <c r="B1609" i="123"/>
  <c r="B1563" i="123"/>
  <c r="B1455" i="123"/>
  <c r="B1379" i="123"/>
  <c r="B1348" i="123"/>
  <c r="B1331" i="123"/>
  <c r="B1292" i="123"/>
  <c r="B1266" i="123"/>
  <c r="B1178" i="123"/>
  <c r="B1157" i="123"/>
  <c r="B1146" i="123"/>
  <c r="B1061" i="123"/>
  <c r="B1052" i="123"/>
  <c r="B1041" i="123"/>
  <c r="B1032" i="123"/>
  <c r="B1021" i="123"/>
  <c r="B1012" i="123"/>
  <c r="B1011" i="123"/>
  <c r="B990" i="123"/>
  <c r="B936" i="123"/>
  <c r="B920" i="123"/>
  <c r="B901" i="123"/>
  <c r="B882" i="123"/>
  <c r="B881" i="123"/>
  <c r="B859" i="123"/>
  <c r="B858" i="123"/>
  <c r="B835" i="123"/>
  <c r="B815" i="123"/>
  <c r="B792" i="123"/>
  <c r="B784" i="123"/>
  <c r="B353" i="123"/>
  <c r="B171" i="123"/>
  <c r="B162" i="123"/>
  <c r="B161" i="123"/>
  <c r="B136" i="123"/>
  <c r="B117" i="123"/>
  <c r="B104" i="123"/>
  <c r="B95" i="123"/>
  <c r="B75" i="123"/>
  <c r="B57" i="123"/>
  <c r="B28" i="123"/>
  <c r="B173" i="122"/>
  <c r="B172" i="122"/>
  <c r="B123" i="122"/>
  <c r="B106" i="122"/>
  <c r="B90" i="122"/>
  <c r="B89" i="122"/>
  <c r="B73" i="122"/>
  <c r="B72" i="122"/>
  <c r="B56" i="122"/>
  <c r="B55" i="122"/>
  <c r="B38" i="122"/>
  <c r="B12" i="121"/>
  <c r="B11" i="121"/>
  <c r="B1062" i="81"/>
  <c r="B1061" i="81"/>
  <c r="B962" i="81"/>
  <c r="B961" i="81"/>
  <c r="B160" i="6"/>
  <c r="B91" i="6"/>
  <c r="B105" i="6"/>
  <c r="B473" i="81"/>
  <c r="B76" i="6"/>
  <c r="B174" i="6"/>
  <c r="B21" i="6"/>
  <c r="B119" i="6"/>
  <c r="B147" i="81"/>
  <c r="B49" i="6"/>
  <c r="B90" i="6"/>
  <c r="B20" i="6"/>
  <c r="B760" i="81"/>
  <c r="B780" i="81"/>
  <c r="B759" i="81"/>
  <c r="B779" i="81"/>
  <c r="B146" i="81"/>
  <c r="B35" i="6"/>
  <c r="B14" i="1"/>
  <c r="B148" i="6"/>
  <c r="B16" i="1"/>
  <c r="B147" i="6"/>
  <c r="B104" i="6"/>
  <c r="B161" i="6"/>
  <c r="B118" i="6"/>
  <c r="B34" i="6"/>
  <c r="B474" i="81"/>
  <c r="B15" i="1"/>
  <c r="B173" i="6"/>
  <c r="B63" i="6"/>
  <c r="B48" i="6"/>
  <c r="B62" i="6"/>
  <c r="B77" i="6"/>
  <c r="H65" i="81"/>
  <c r="I276" i="81"/>
  <c r="I281" i="81" s="1"/>
  <c r="H50" i="124"/>
  <c r="B33" i="81"/>
  <c r="B34" i="81" s="1"/>
  <c r="E17" i="86" s="1"/>
  <c r="E107" i="140" s="1"/>
  <c r="F107" i="140" s="1"/>
  <c r="I65" i="81"/>
  <c r="F27" i="140"/>
  <c r="F26" i="140"/>
  <c r="F17" i="140"/>
  <c r="F16" i="140" s="1"/>
  <c r="F25" i="140"/>
  <c r="F24" i="140" s="1"/>
  <c r="F34" i="140"/>
  <c r="F33" i="140"/>
  <c r="B23" i="142" s="1"/>
  <c r="F23" i="140"/>
  <c r="F22" i="140" s="1"/>
  <c r="F18" i="140"/>
  <c r="E104" i="113"/>
  <c r="F104" i="113" s="1"/>
  <c r="H976" i="130"/>
  <c r="I976" i="130"/>
  <c r="B976" i="130" s="1"/>
  <c r="B977" i="130" s="1"/>
  <c r="E526" i="113"/>
  <c r="F526" i="113" s="1"/>
  <c r="H1006" i="130"/>
  <c r="I1006" i="130"/>
  <c r="B1006" i="130" s="1"/>
  <c r="B1007" i="130" s="1"/>
  <c r="E151" i="125" s="1"/>
  <c r="H991" i="130"/>
  <c r="E306" i="113"/>
  <c r="F306" i="113" s="1"/>
  <c r="E310" i="113"/>
  <c r="F310" i="113"/>
  <c r="E309" i="113"/>
  <c r="F309" i="113" s="1"/>
  <c r="E416" i="113"/>
  <c r="F416" i="113"/>
  <c r="E293" i="113"/>
  <c r="F293" i="113" s="1"/>
  <c r="E415" i="113"/>
  <c r="F415" i="113"/>
  <c r="E420" i="113"/>
  <c r="F420" i="113" s="1"/>
  <c r="E296" i="113"/>
  <c r="F296" i="113"/>
  <c r="E302" i="113"/>
  <c r="F302" i="113"/>
  <c r="E298" i="113"/>
  <c r="F298" i="113" s="1"/>
  <c r="I230" i="130"/>
  <c r="E297" i="113"/>
  <c r="F297" i="113" s="1"/>
  <c r="E307" i="113"/>
  <c r="F307" i="113"/>
  <c r="E476" i="113"/>
  <c r="F476" i="113" s="1"/>
  <c r="E301" i="113"/>
  <c r="F301" i="113"/>
  <c r="E228" i="113"/>
  <c r="F228" i="113" s="1"/>
  <c r="E411" i="113"/>
  <c r="F411" i="113"/>
  <c r="E418" i="113"/>
  <c r="F418" i="113" s="1"/>
  <c r="E414" i="113"/>
  <c r="F414" i="113"/>
  <c r="I50" i="124"/>
  <c r="B50" i="124" s="1"/>
  <c r="B51" i="124" s="1"/>
  <c r="F17" i="126" s="1"/>
  <c r="E305" i="113"/>
  <c r="F305" i="113"/>
  <c r="E405" i="113"/>
  <c r="F405" i="113" s="1"/>
  <c r="E303" i="113"/>
  <c r="F303" i="113"/>
  <c r="B191" i="124"/>
  <c r="B192" i="124" s="1"/>
  <c r="F39" i="126" s="1"/>
  <c r="E471" i="113" s="1"/>
  <c r="E408" i="113"/>
  <c r="F408" i="113" s="1"/>
  <c r="E413" i="113"/>
  <c r="F413" i="113"/>
  <c r="E412" i="113"/>
  <c r="F412" i="113" s="1"/>
  <c r="E410" i="113"/>
  <c r="F410" i="113"/>
  <c r="E409" i="113"/>
  <c r="F409" i="113" s="1"/>
  <c r="E406" i="113"/>
  <c r="F406" i="113"/>
  <c r="E419" i="113"/>
  <c r="F419" i="113" s="1"/>
  <c r="E407" i="113"/>
  <c r="F407" i="113"/>
  <c r="E554" i="113"/>
  <c r="F554" i="113" s="1"/>
  <c r="E520" i="113"/>
  <c r="F520" i="113"/>
  <c r="E545" i="113"/>
  <c r="F545" i="113" s="1"/>
  <c r="E534" i="113"/>
  <c r="F534" i="113" s="1"/>
  <c r="E517" i="113"/>
  <c r="E460" i="140"/>
  <c r="E460" i="152"/>
  <c r="F460" i="152" s="1"/>
  <c r="F21" i="140"/>
  <c r="F7" i="140"/>
  <c r="F44" i="140"/>
  <c r="I235" i="130"/>
  <c r="F11" i="137"/>
  <c r="F13" i="137" s="1"/>
  <c r="E478" i="113"/>
  <c r="F478" i="113"/>
  <c r="E375" i="113"/>
  <c r="F375" i="113" s="1"/>
  <c r="E437" i="140"/>
  <c r="F437" i="140"/>
  <c r="F53" i="140"/>
  <c r="F52" i="140" s="1"/>
  <c r="F12" i="140"/>
  <c r="F46" i="140"/>
  <c r="F29" i="140"/>
  <c r="F28" i="140" s="1"/>
  <c r="F50" i="140"/>
  <c r="F32" i="140"/>
  <c r="F31" i="140"/>
  <c r="B21" i="142" s="1"/>
  <c r="F49" i="140"/>
  <c r="F39" i="140"/>
  <c r="F13" i="140"/>
  <c r="F51" i="140"/>
  <c r="F48" i="140" s="1"/>
  <c r="F37" i="140"/>
  <c r="F38" i="140"/>
  <c r="F11" i="140"/>
  <c r="F10" i="140" s="1"/>
  <c r="F36" i="140"/>
  <c r="F35" i="140" s="1"/>
  <c r="F42" i="140"/>
  <c r="F43" i="140"/>
  <c r="F20" i="140"/>
  <c r="F19" i="140"/>
  <c r="B11" i="142" s="1"/>
  <c r="F8" i="140"/>
  <c r="F45" i="140"/>
  <c r="F15" i="140"/>
  <c r="F41" i="140"/>
  <c r="F40" i="140" s="1"/>
  <c r="F30" i="140"/>
  <c r="F47" i="140"/>
  <c r="F14" i="140"/>
  <c r="E149" i="125"/>
  <c r="E727" i="152" s="1"/>
  <c r="E535" i="113"/>
  <c r="F535" i="113" s="1"/>
  <c r="E107" i="113"/>
  <c r="F107" i="113"/>
  <c r="E116" i="113"/>
  <c r="F116" i="113" s="1"/>
  <c r="E100" i="113"/>
  <c r="F100" i="113"/>
  <c r="E115" i="113"/>
  <c r="F115" i="113" s="1"/>
  <c r="E109" i="113"/>
  <c r="F109" i="113"/>
  <c r="E111" i="113"/>
  <c r="F111" i="113" s="1"/>
  <c r="E101" i="113"/>
  <c r="F101" i="113"/>
  <c r="E106" i="113"/>
  <c r="F106" i="113" s="1"/>
  <c r="E113" i="113"/>
  <c r="F113" i="113"/>
  <c r="E114" i="113"/>
  <c r="F114" i="113" s="1"/>
  <c r="E110" i="113"/>
  <c r="F110" i="113"/>
  <c r="E102" i="113"/>
  <c r="F102" i="113" s="1"/>
  <c r="F97" i="86"/>
  <c r="E299" i="113"/>
  <c r="F299" i="113" s="1"/>
  <c r="E295" i="113"/>
  <c r="F295" i="113"/>
  <c r="E308" i="113"/>
  <c r="F308" i="113" s="1"/>
  <c r="E458" i="113"/>
  <c r="F458" i="113"/>
  <c r="F457" i="113"/>
  <c r="E292" i="113"/>
  <c r="F292" i="113" s="1"/>
  <c r="F291" i="113" s="1"/>
  <c r="E417" i="113"/>
  <c r="F417" i="113"/>
  <c r="E154" i="113"/>
  <c r="F154" i="113" s="1"/>
  <c r="E525" i="113"/>
  <c r="F525" i="113"/>
  <c r="E422" i="113"/>
  <c r="F422" i="113" s="1"/>
  <c r="E300" i="113"/>
  <c r="F300" i="113"/>
  <c r="E304" i="113"/>
  <c r="F304" i="113" s="1"/>
  <c r="E294" i="113"/>
  <c r="F294" i="113"/>
  <c r="E60" i="113"/>
  <c r="F60" i="113" s="1"/>
  <c r="E57" i="113"/>
  <c r="F57" i="113" s="1"/>
  <c r="E544" i="113"/>
  <c r="F544" i="113"/>
  <c r="E368" i="113"/>
  <c r="F368" i="113" s="1"/>
  <c r="E67" i="113"/>
  <c r="F67" i="113"/>
  <c r="F517" i="113"/>
  <c r="E496" i="140"/>
  <c r="F496" i="140" s="1"/>
  <c r="F495" i="140" s="1"/>
  <c r="F6" i="140"/>
  <c r="E161" i="146" s="1"/>
  <c r="I161" i="146" s="1"/>
  <c r="B17" i="142"/>
  <c r="L18" i="142" s="1"/>
  <c r="E167" i="146"/>
  <c r="I167" i="146"/>
  <c r="E777" i="140"/>
  <c r="F777" i="140" s="1"/>
  <c r="F460" i="140"/>
  <c r="F298" i="125"/>
  <c r="F471" i="113"/>
  <c r="F470" i="113" s="1"/>
  <c r="E743" i="113"/>
  <c r="F743" i="113" s="1"/>
  <c r="F21" i="137"/>
  <c r="B21" i="137" s="1"/>
  <c r="B22" i="137" s="1"/>
  <c r="E214" i="113"/>
  <c r="F214" i="113" s="1"/>
  <c r="F213" i="113" s="1"/>
  <c r="F65" i="140"/>
  <c r="F62" i="140"/>
  <c r="F60" i="140"/>
  <c r="F68" i="140"/>
  <c r="F63" i="140"/>
  <c r="F66" i="140"/>
  <c r="F61" i="140"/>
  <c r="E847" i="140"/>
  <c r="E88" i="113"/>
  <c r="F88" i="113"/>
  <c r="E66" i="113"/>
  <c r="F66" i="113" s="1"/>
  <c r="E121" i="140"/>
  <c r="F121" i="140"/>
  <c r="E99" i="113"/>
  <c r="F99" i="113" s="1"/>
  <c r="E112" i="113"/>
  <c r="F112" i="113"/>
  <c r="E108" i="113"/>
  <c r="F108" i="113" s="1"/>
  <c r="E641" i="113"/>
  <c r="F641" i="113"/>
  <c r="E103" i="113"/>
  <c r="F103" i="113" s="1"/>
  <c r="E105" i="113"/>
  <c r="F105" i="113"/>
  <c r="E87" i="113"/>
  <c r="F87" i="113" s="1"/>
  <c r="E82" i="113"/>
  <c r="F82" i="113"/>
  <c r="E81" i="113"/>
  <c r="F81" i="113" s="1"/>
  <c r="E79" i="113"/>
  <c r="F79" i="113"/>
  <c r="E91" i="113"/>
  <c r="F91" i="113" s="1"/>
  <c r="E95" i="113"/>
  <c r="F95" i="113"/>
  <c r="E93" i="113"/>
  <c r="F93" i="113" s="1"/>
  <c r="E96" i="113"/>
  <c r="F96" i="113"/>
  <c r="E90" i="113"/>
  <c r="F90" i="113" s="1"/>
  <c r="E92" i="113"/>
  <c r="F92" i="113"/>
  <c r="E83" i="113"/>
  <c r="F83" i="113" s="1"/>
  <c r="E78" i="113"/>
  <c r="F78" i="113"/>
  <c r="E80" i="113"/>
  <c r="F80" i="113" s="1"/>
  <c r="E86" i="113"/>
  <c r="F86" i="113"/>
  <c r="E97" i="113"/>
  <c r="F97" i="113" s="1"/>
  <c r="E84" i="113"/>
  <c r="F84" i="113"/>
  <c r="E85" i="113"/>
  <c r="F85" i="113" s="1"/>
  <c r="E94" i="113"/>
  <c r="F94" i="113"/>
  <c r="E89" i="113"/>
  <c r="F89" i="113" s="1"/>
  <c r="E374" i="113"/>
  <c r="F374" i="113"/>
  <c r="F31" i="86"/>
  <c r="F67" i="140"/>
  <c r="F64" i="140"/>
  <c r="F847" i="140"/>
  <c r="F59" i="140"/>
  <c r="E477" i="113"/>
  <c r="F477" i="113"/>
  <c r="G557" i="81"/>
  <c r="F77" i="113"/>
  <c r="E76" i="113"/>
  <c r="F76" i="113"/>
  <c r="D21" i="40"/>
  <c r="H21" i="40"/>
  <c r="G21" i="40" s="1"/>
  <c r="D20" i="40"/>
  <c r="H20" i="40" s="1"/>
  <c r="G20" i="40" s="1"/>
  <c r="M27" i="40"/>
  <c r="D19" i="40"/>
  <c r="H19" i="40" s="1"/>
  <c r="G19" i="40" s="1"/>
  <c r="M31" i="40"/>
  <c r="D27" i="40"/>
  <c r="H27" i="40"/>
  <c r="G27" i="40" s="1"/>
  <c r="M28" i="40"/>
  <c r="M29" i="40"/>
  <c r="D23" i="40"/>
  <c r="H23" i="40"/>
  <c r="G23" i="40" s="1"/>
  <c r="D22" i="40"/>
  <c r="H22" i="40" s="1"/>
  <c r="G22" i="40" s="1"/>
  <c r="D31" i="40"/>
  <c r="H31" i="40"/>
  <c r="M30" i="40"/>
  <c r="D24" i="40"/>
  <c r="D30" i="40"/>
  <c r="H30" i="40" s="1"/>
  <c r="G30" i="40" s="1"/>
  <c r="D25" i="40"/>
  <c r="H25" i="40"/>
  <c r="G25" i="40" s="1"/>
  <c r="D18" i="40"/>
  <c r="H18" i="40" s="1"/>
  <c r="G18" i="40" s="1"/>
  <c r="D32" i="40"/>
  <c r="H32" i="40"/>
  <c r="D28" i="40"/>
  <c r="H28" i="40" s="1"/>
  <c r="G28" i="40" s="1"/>
  <c r="D17" i="40"/>
  <c r="H17" i="40"/>
  <c r="G13" i="132"/>
  <c r="G21" i="132" s="1"/>
  <c r="G11" i="132"/>
  <c r="K7" i="40"/>
  <c r="L30" i="40" s="1"/>
  <c r="O30" i="40" s="1"/>
  <c r="G33" i="40"/>
  <c r="H14" i="40"/>
  <c r="G29" i="40"/>
  <c r="H12" i="40"/>
  <c r="G31" i="40"/>
  <c r="H15" i="40"/>
  <c r="G32" i="40"/>
  <c r="L29" i="40"/>
  <c r="O29" i="40" s="1"/>
  <c r="L28" i="40"/>
  <c r="O28" i="40" s="1"/>
  <c r="L31" i="40"/>
  <c r="O31" i="40"/>
  <c r="G17" i="40"/>
  <c r="H13" i="40"/>
  <c r="H11" i="40"/>
  <c r="H35" i="40"/>
  <c r="H880" i="113"/>
  <c r="G35" i="40"/>
  <c r="G45" i="40" s="1"/>
  <c r="B507" i="136"/>
  <c r="B366" i="136"/>
  <c r="B318" i="136"/>
  <c r="B400" i="136"/>
  <c r="B333" i="136"/>
  <c r="B491" i="136"/>
  <c r="B441" i="136"/>
  <c r="B383" i="136"/>
  <c r="L5" i="132"/>
  <c r="L11" i="132" s="1"/>
  <c r="L8" i="132"/>
  <c r="B805" i="137"/>
  <c r="B806" i="137" s="1"/>
  <c r="E69" i="118" s="1"/>
  <c r="B1390" i="137"/>
  <c r="G986" i="81"/>
  <c r="G988" i="81"/>
  <c r="J12" i="128"/>
  <c r="N24" i="128"/>
  <c r="J51" i="128"/>
  <c r="J52" i="128" s="1"/>
  <c r="J15" i="128"/>
  <c r="J16" i="128"/>
  <c r="J17" i="128"/>
  <c r="N27" i="128"/>
  <c r="Q27" i="128" s="1"/>
  <c r="J13" i="128"/>
  <c r="N26" i="128"/>
  <c r="Q26" i="128" s="1"/>
  <c r="J11" i="128"/>
  <c r="N23" i="128"/>
  <c r="Q23" i="128"/>
  <c r="J14" i="128"/>
  <c r="N22" i="128"/>
  <c r="Q22" i="128"/>
  <c r="L50" i="128"/>
  <c r="B19" i="142" l="1"/>
  <c r="E168" i="146"/>
  <c r="I168" i="146" s="1"/>
  <c r="B27" i="142"/>
  <c r="E172" i="146"/>
  <c r="I172" i="146" s="1"/>
  <c r="L12" i="142"/>
  <c r="M12" i="142"/>
  <c r="B25" i="142"/>
  <c r="E171" i="146"/>
  <c r="I171" i="146" s="1"/>
  <c r="B29" i="142"/>
  <c r="E173" i="146"/>
  <c r="I173" i="146" s="1"/>
  <c r="L22" i="142"/>
  <c r="M22" i="142"/>
  <c r="B13" i="142"/>
  <c r="E165" i="146"/>
  <c r="I165" i="146" s="1"/>
  <c r="B9" i="142"/>
  <c r="E163" i="146"/>
  <c r="I163" i="146" s="1"/>
  <c r="E166" i="125"/>
  <c r="E212" i="113" s="1"/>
  <c r="E22" i="86"/>
  <c r="E112" i="152" s="1"/>
  <c r="F112" i="152" s="1"/>
  <c r="E161" i="86"/>
  <c r="G1789" i="115"/>
  <c r="B1789" i="115" s="1"/>
  <c r="B833" i="115"/>
  <c r="B1333" i="115"/>
  <c r="E124" i="116"/>
  <c r="I124" i="116" s="1"/>
  <c r="I125" i="116" s="1"/>
  <c r="H125" i="116"/>
  <c r="B157" i="116"/>
  <c r="B435" i="116"/>
  <c r="B462" i="116"/>
  <c r="G27" i="132"/>
  <c r="L21" i="132"/>
  <c r="L27" i="132" s="1"/>
  <c r="G125" i="116"/>
  <c r="L24" i="142"/>
  <c r="O24" i="142" s="1"/>
  <c r="M24" i="142"/>
  <c r="E891" i="81"/>
  <c r="E202" i="86"/>
  <c r="G1834" i="115"/>
  <c r="B1834" i="115" s="1"/>
  <c r="B1177" i="115"/>
  <c r="B15" i="142"/>
  <c r="E166" i="146"/>
  <c r="I166" i="146" s="1"/>
  <c r="H859" i="115"/>
  <c r="E858" i="115"/>
  <c r="I858" i="115" s="1"/>
  <c r="I859" i="115" s="1"/>
  <c r="E591" i="140"/>
  <c r="F591" i="140" s="1"/>
  <c r="E591" i="152"/>
  <c r="F591" i="152" s="1"/>
  <c r="F69" i="118"/>
  <c r="G5" i="140"/>
  <c r="B7" i="142"/>
  <c r="E162" i="146"/>
  <c r="I162" i="146" s="1"/>
  <c r="E438" i="81"/>
  <c r="E67" i="86"/>
  <c r="G976" i="115"/>
  <c r="B976" i="115" s="1"/>
  <c r="H45" i="40"/>
  <c r="H47" i="40" s="1"/>
  <c r="B31" i="142"/>
  <c r="E174" i="146"/>
  <c r="I174" i="146" s="1"/>
  <c r="B512" i="116"/>
  <c r="G697" i="115"/>
  <c r="B697" i="115" s="1"/>
  <c r="B1258" i="115"/>
  <c r="B1470" i="115"/>
  <c r="B804" i="115"/>
  <c r="I462" i="116"/>
  <c r="L16" i="132"/>
  <c r="M16" i="132" s="1"/>
  <c r="G19" i="132"/>
  <c r="E164" i="146"/>
  <c r="I164" i="146" s="1"/>
  <c r="E169" i="146"/>
  <c r="I169" i="146" s="1"/>
  <c r="E170" i="146"/>
  <c r="I170" i="146" s="1"/>
  <c r="E496" i="152"/>
  <c r="F496" i="152" s="1"/>
  <c r="F495" i="152" s="1"/>
  <c r="B303" i="81"/>
  <c r="B304" i="81" s="1"/>
  <c r="E60" i="86" s="1"/>
  <c r="E684" i="152" s="1"/>
  <c r="F684" i="152" s="1"/>
  <c r="D125" i="152"/>
  <c r="D71" i="113"/>
  <c r="I758" i="81"/>
  <c r="I1032" i="81"/>
  <c r="I1033" i="81" s="1"/>
  <c r="B1033" i="81" s="1"/>
  <c r="B1034" i="81" s="1"/>
  <c r="B1018" i="81"/>
  <c r="B1019" i="81" s="1"/>
  <c r="F353" i="113"/>
  <c r="B1325" i="115"/>
  <c r="H1055" i="115"/>
  <c r="B1055" i="115" s="1"/>
  <c r="E29" i="116"/>
  <c r="I29" i="116" s="1"/>
  <c r="I30" i="116" s="1"/>
  <c r="E1807" i="115"/>
  <c r="G1807" i="115" s="1"/>
  <c r="E1873" i="115"/>
  <c r="G1873" i="115" s="1"/>
  <c r="E1805" i="115"/>
  <c r="G1805" i="115" s="1"/>
  <c r="E1019" i="115"/>
  <c r="I1019" i="115" s="1"/>
  <c r="I1020" i="115" s="1"/>
  <c r="B1020" i="115" s="1"/>
  <c r="B1185" i="115"/>
  <c r="G1393" i="115"/>
  <c r="B1393" i="115" s="1"/>
  <c r="B1435" i="115"/>
  <c r="B1577" i="115"/>
  <c r="B1885" i="115"/>
  <c r="B30" i="116"/>
  <c r="B318" i="116"/>
  <c r="B528" i="123"/>
  <c r="B529" i="123" s="1"/>
  <c r="F421" i="125"/>
  <c r="E837" i="140"/>
  <c r="F837" i="140" s="1"/>
  <c r="E837" i="152"/>
  <c r="F837" i="152" s="1"/>
  <c r="F606" i="113"/>
  <c r="F592" i="113"/>
  <c r="B235" i="116"/>
  <c r="H483" i="116"/>
  <c r="B483" i="116" s="1"/>
  <c r="E482" i="116"/>
  <c r="I482" i="116" s="1"/>
  <c r="I483" i="116" s="1"/>
  <c r="E889" i="140"/>
  <c r="F889" i="140" s="1"/>
  <c r="E654" i="113"/>
  <c r="F654" i="113" s="1"/>
  <c r="E889" i="152"/>
  <c r="F889" i="152" s="1"/>
  <c r="F138" i="86"/>
  <c r="G81" i="136"/>
  <c r="B81" i="136" s="1"/>
  <c r="B82" i="136" s="1"/>
  <c r="E185" i="118"/>
  <c r="E654" i="152" s="1"/>
  <c r="F654" i="152" s="1"/>
  <c r="E252" i="137"/>
  <c r="F437" i="125"/>
  <c r="E853" i="152"/>
  <c r="F853" i="152" s="1"/>
  <c r="E853" i="140"/>
  <c r="F853" i="140" s="1"/>
  <c r="B5" i="142"/>
  <c r="M18" i="142"/>
  <c r="O18" i="142" s="1"/>
  <c r="B1382" i="137"/>
  <c r="L13" i="132"/>
  <c r="L19" i="132" s="1"/>
  <c r="L27" i="40"/>
  <c r="O27" i="40" s="1"/>
  <c r="O33" i="40" s="1"/>
  <c r="E84" i="86"/>
  <c r="D128" i="140"/>
  <c r="B737" i="81"/>
  <c r="B738" i="81" s="1"/>
  <c r="B769" i="81"/>
  <c r="B770" i="81" s="1"/>
  <c r="I777" i="81"/>
  <c r="B862" i="81"/>
  <c r="B863" i="81" s="1"/>
  <c r="E200" i="86" s="1"/>
  <c r="E856" i="113" s="1"/>
  <c r="F856" i="113" s="1"/>
  <c r="B878" i="81"/>
  <c r="B879" i="81" s="1"/>
  <c r="E201" i="86" s="1"/>
  <c r="E857" i="113" s="1"/>
  <c r="F857" i="113" s="1"/>
  <c r="I1072" i="81"/>
  <c r="I1073" i="81" s="1"/>
  <c r="B1384" i="115"/>
  <c r="B1106" i="115"/>
  <c r="H725" i="115"/>
  <c r="B725" i="115" s="1"/>
  <c r="H396" i="116"/>
  <c r="B396" i="116" s="1"/>
  <c r="E148" i="116"/>
  <c r="I148" i="116" s="1"/>
  <c r="I149" i="116" s="1"/>
  <c r="B149" i="116" s="1"/>
  <c r="B1761" i="115"/>
  <c r="G958" i="115"/>
  <c r="B958" i="115" s="1"/>
  <c r="E1871" i="115"/>
  <c r="G1871" i="115" s="1"/>
  <c r="E1895" i="115"/>
  <c r="G1895" i="115" s="1"/>
  <c r="G1897" i="115" s="1"/>
  <c r="B1897" i="115" s="1"/>
  <c r="E1853" i="115"/>
  <c r="G1853" i="115" s="1"/>
  <c r="G1855" i="115" s="1"/>
  <c r="B1855" i="115" s="1"/>
  <c r="G755" i="115"/>
  <c r="B755" i="115" s="1"/>
  <c r="H841" i="115"/>
  <c r="E840" i="115"/>
  <c r="I840" i="115" s="1"/>
  <c r="I841" i="115" s="1"/>
  <c r="H931" i="115"/>
  <c r="B931" i="115" s="1"/>
  <c r="E930" i="115"/>
  <c r="I930" i="115" s="1"/>
  <c r="I931" i="115" s="1"/>
  <c r="B1125" i="115"/>
  <c r="B1452" i="115"/>
  <c r="B1617" i="115"/>
  <c r="B1653" i="115"/>
  <c r="B1769" i="115"/>
  <c r="H1819" i="115"/>
  <c r="B1906" i="115"/>
  <c r="H197" i="116"/>
  <c r="B197" i="116" s="1"/>
  <c r="E196" i="116"/>
  <c r="I196" i="116" s="1"/>
  <c r="I197" i="116" s="1"/>
  <c r="H421" i="116"/>
  <c r="B421" i="116" s="1"/>
  <c r="F832" i="113"/>
  <c r="D201" i="113"/>
  <c r="D150" i="125"/>
  <c r="F385" i="125"/>
  <c r="E391" i="140"/>
  <c r="F391" i="140" s="1"/>
  <c r="F390" i="140" s="1"/>
  <c r="E391" i="152"/>
  <c r="F391" i="152" s="1"/>
  <c r="F390" i="152" s="1"/>
  <c r="F420" i="125"/>
  <c r="E836" i="152"/>
  <c r="F836" i="152" s="1"/>
  <c r="E836" i="140"/>
  <c r="F836" i="140" s="1"/>
  <c r="E848" i="152"/>
  <c r="F848" i="152" s="1"/>
  <c r="E848" i="140"/>
  <c r="F848" i="140" s="1"/>
  <c r="F432" i="125"/>
  <c r="B789" i="81"/>
  <c r="B790" i="81" s="1"/>
  <c r="E783" i="81" s="1"/>
  <c r="B895" i="115"/>
  <c r="H496" i="116"/>
  <c r="B496" i="116" s="1"/>
  <c r="E495" i="116"/>
  <c r="I495" i="116" s="1"/>
  <c r="I496" i="116" s="1"/>
  <c r="B205" i="116"/>
  <c r="G39" i="126"/>
  <c r="G38" i="126" s="1"/>
  <c r="B941" i="81"/>
  <c r="B942" i="81" s="1"/>
  <c r="B846" i="81"/>
  <c r="B847" i="81" s="1"/>
  <c r="E199" i="86" s="1"/>
  <c r="H949" i="115"/>
  <c r="B949" i="115" s="1"/>
  <c r="H290" i="116"/>
  <c r="B290" i="116" s="1"/>
  <c r="E132" i="116"/>
  <c r="I132" i="116" s="1"/>
  <c r="I133" i="116" s="1"/>
  <c r="B133" i="116" s="1"/>
  <c r="E90" i="116"/>
  <c r="G90" i="116" s="1"/>
  <c r="G94" i="116" s="1"/>
  <c r="B94" i="116" s="1"/>
  <c r="E17" i="116"/>
  <c r="G17" i="116" s="1"/>
  <c r="G22" i="116" s="1"/>
  <c r="B22" i="116" s="1"/>
  <c r="G905" i="115"/>
  <c r="B905" i="115" s="1"/>
  <c r="E912" i="115"/>
  <c r="I912" i="115" s="1"/>
  <c r="I913" i="115" s="1"/>
  <c r="H913" i="115"/>
  <c r="B913" i="115" s="1"/>
  <c r="B1072" i="115"/>
  <c r="B1487" i="115"/>
  <c r="B1798" i="115"/>
  <c r="B263" i="123"/>
  <c r="B264" i="123" s="1"/>
  <c r="B513" i="123"/>
  <c r="B514" i="123" s="1"/>
  <c r="E795" i="115"/>
  <c r="G793" i="115"/>
  <c r="G795" i="115" s="1"/>
  <c r="B795" i="115" s="1"/>
  <c r="B232" i="123"/>
  <c r="B233" i="123" s="1"/>
  <c r="B312" i="123"/>
  <c r="B313" i="123" s="1"/>
  <c r="B346" i="123"/>
  <c r="B347" i="123" s="1"/>
  <c r="B1124" i="130"/>
  <c r="B1125" i="130" s="1"/>
  <c r="E1118" i="130" s="1"/>
  <c r="B798" i="130"/>
  <c r="B799" i="130" s="1"/>
  <c r="B718" i="130"/>
  <c r="B719" i="130" s="1"/>
  <c r="E130" i="125" s="1"/>
  <c r="B1219" i="130"/>
  <c r="B1220" i="130" s="1"/>
  <c r="E1211" i="130" s="1"/>
  <c r="B2110" i="130"/>
  <c r="B2111" i="130" s="1"/>
  <c r="B18" i="136"/>
  <c r="B19" i="136" s="1"/>
  <c r="B41" i="136"/>
  <c r="B42" i="136" s="1"/>
  <c r="G41" i="136"/>
  <c r="B182" i="136"/>
  <c r="B183" i="136" s="1"/>
  <c r="E816" i="140"/>
  <c r="F816" i="140" s="1"/>
  <c r="E816" i="152"/>
  <c r="F816" i="152" s="1"/>
  <c r="F409" i="125"/>
  <c r="E825" i="152"/>
  <c r="F825" i="152" s="1"/>
  <c r="F824" i="152" s="1"/>
  <c r="E825" i="140"/>
  <c r="F825" i="140" s="1"/>
  <c r="F824" i="140" s="1"/>
  <c r="E840" i="140"/>
  <c r="F840" i="140" s="1"/>
  <c r="F424" i="125"/>
  <c r="E840" i="152"/>
  <c r="F840" i="152" s="1"/>
  <c r="F428" i="125"/>
  <c r="E844" i="140"/>
  <c r="F844" i="140" s="1"/>
  <c r="E844" i="152"/>
  <c r="F844" i="152" s="1"/>
  <c r="E605" i="152"/>
  <c r="F605" i="152" s="1"/>
  <c r="F604" i="152" s="1"/>
  <c r="F83" i="118"/>
  <c r="E605" i="140"/>
  <c r="F605" i="140" s="1"/>
  <c r="F604" i="140" s="1"/>
  <c r="I471" i="81"/>
  <c r="I451" i="81"/>
  <c r="G546" i="81"/>
  <c r="I910" i="81"/>
  <c r="I911" i="81" s="1"/>
  <c r="B911" i="81" s="1"/>
  <c r="B912" i="81" s="1"/>
  <c r="E203" i="86" s="1"/>
  <c r="G204" i="123"/>
  <c r="G217" i="123"/>
  <c r="I410" i="123"/>
  <c r="I411" i="123" s="1"/>
  <c r="I427" i="123"/>
  <c r="I428" i="123" s="1"/>
  <c r="B428" i="123" s="1"/>
  <c r="B429" i="123" s="1"/>
  <c r="B520" i="123"/>
  <c r="B521" i="123" s="1"/>
  <c r="B550" i="123"/>
  <c r="B551" i="123" s="1"/>
  <c r="B557" i="123"/>
  <c r="B558" i="123" s="1"/>
  <c r="G646" i="123"/>
  <c r="B646" i="123" s="1"/>
  <c r="B647" i="123" s="1"/>
  <c r="E888" i="140"/>
  <c r="F888" i="140" s="1"/>
  <c r="E888" i="152"/>
  <c r="F888" i="152" s="1"/>
  <c r="F137" i="86"/>
  <c r="B988" i="81"/>
  <c r="B989" i="81" s="1"/>
  <c r="E982" i="81" s="1"/>
  <c r="E135" i="125"/>
  <c r="E777" i="130"/>
  <c r="B1333" i="130"/>
  <c r="B1334" i="130" s="1"/>
  <c r="E1326" i="130" s="1"/>
  <c r="B1852" i="130"/>
  <c r="B1853" i="130" s="1"/>
  <c r="E513" i="136"/>
  <c r="B514" i="136"/>
  <c r="B515" i="136" s="1"/>
  <c r="L248" i="142"/>
  <c r="O248" i="142" s="1"/>
  <c r="M248" i="142"/>
  <c r="E818" i="140"/>
  <c r="F818" i="140" s="1"/>
  <c r="F817" i="140" s="1"/>
  <c r="B178" i="139"/>
  <c r="B179" i="139" s="1"/>
  <c r="E404" i="125" s="1"/>
  <c r="F431" i="125"/>
  <c r="E847" i="152"/>
  <c r="F847" i="152" s="1"/>
  <c r="F846" i="152" s="1"/>
  <c r="E624" i="140"/>
  <c r="F624" i="140" s="1"/>
  <c r="E624" i="152"/>
  <c r="F624" i="152" s="1"/>
  <c r="E1459" i="115"/>
  <c r="G1459" i="115" s="1"/>
  <c r="G1462" i="115" s="1"/>
  <c r="B1462" i="115" s="1"/>
  <c r="E774" i="115"/>
  <c r="G774" i="115" s="1"/>
  <c r="G777" i="115" s="1"/>
  <c r="B777" i="115" s="1"/>
  <c r="E653" i="113"/>
  <c r="F653" i="113" s="1"/>
  <c r="B636" i="130"/>
  <c r="B637" i="130" s="1"/>
  <c r="B686" i="130"/>
  <c r="B687" i="130" s="1"/>
  <c r="E128" i="125" s="1"/>
  <c r="F128" i="125" s="1"/>
  <c r="B750" i="130"/>
  <c r="B751" i="130" s="1"/>
  <c r="D710" i="140"/>
  <c r="D710" i="152"/>
  <c r="B1284" i="130"/>
  <c r="B1285" i="130" s="1"/>
  <c r="E1277" i="130" s="1"/>
  <c r="G2064" i="130"/>
  <c r="B2064" i="130" s="1"/>
  <c r="B2065" i="130" s="1"/>
  <c r="D799" i="140"/>
  <c r="D799" i="152"/>
  <c r="D795" i="140"/>
  <c r="D795" i="152"/>
  <c r="D787" i="140"/>
  <c r="D787" i="152"/>
  <c r="D778" i="140"/>
  <c r="D778" i="152"/>
  <c r="D774" i="140"/>
  <c r="D774" i="152"/>
  <c r="D761" i="140"/>
  <c r="D761" i="152"/>
  <c r="D757" i="140"/>
  <c r="D757" i="152"/>
  <c r="B301" i="136"/>
  <c r="B302" i="136" s="1"/>
  <c r="F429" i="125"/>
  <c r="E845" i="140"/>
  <c r="F845" i="140" s="1"/>
  <c r="E845" i="152"/>
  <c r="F845" i="152" s="1"/>
  <c r="F405" i="125"/>
  <c r="E821" i="152"/>
  <c r="F821" i="152" s="1"/>
  <c r="E821" i="140"/>
  <c r="F821" i="140" s="1"/>
  <c r="E814" i="140"/>
  <c r="F814" i="140" s="1"/>
  <c r="E814" i="152"/>
  <c r="F814" i="152" s="1"/>
  <c r="F67" i="118"/>
  <c r="E589" i="140"/>
  <c r="F589" i="140" s="1"/>
  <c r="E589" i="152"/>
  <c r="F589" i="152" s="1"/>
  <c r="E610" i="152"/>
  <c r="F610" i="152" s="1"/>
  <c r="E610" i="140"/>
  <c r="F610" i="140" s="1"/>
  <c r="F88" i="118"/>
  <c r="B611" i="123"/>
  <c r="B612" i="123" s="1"/>
  <c r="F791" i="123"/>
  <c r="F794" i="123" s="1"/>
  <c r="B963" i="123"/>
  <c r="B964" i="123" s="1"/>
  <c r="B1358" i="123"/>
  <c r="B1359" i="123" s="1"/>
  <c r="B1434" i="123"/>
  <c r="B1435" i="123" s="1"/>
  <c r="G9" i="130"/>
  <c r="G11" i="130" s="1"/>
  <c r="B11" i="130" s="1"/>
  <c r="B12" i="130" s="1"/>
  <c r="I850" i="130"/>
  <c r="B850" i="130" s="1"/>
  <c r="B851" i="130" s="1"/>
  <c r="B930" i="130"/>
  <c r="B931" i="130" s="1"/>
  <c r="B946" i="130"/>
  <c r="B947" i="130" s="1"/>
  <c r="B961" i="130"/>
  <c r="B962" i="130" s="1"/>
  <c r="E148" i="125" s="1"/>
  <c r="D727" i="152"/>
  <c r="F727" i="152" s="1"/>
  <c r="B591" i="130"/>
  <c r="B592" i="130" s="1"/>
  <c r="E584" i="130" s="1"/>
  <c r="B606" i="130"/>
  <c r="B607" i="130" s="1"/>
  <c r="B621" i="130"/>
  <c r="B622" i="130" s="1"/>
  <c r="E124" i="125" s="1"/>
  <c r="E667" i="113" s="1"/>
  <c r="F667" i="113" s="1"/>
  <c r="B2520" i="130"/>
  <c r="B2521" i="130" s="1"/>
  <c r="B1202" i="130"/>
  <c r="B1203" i="130" s="1"/>
  <c r="B1760" i="130"/>
  <c r="B1761" i="130" s="1"/>
  <c r="B1425" i="130"/>
  <c r="B1426" i="130" s="1"/>
  <c r="E1419" i="130" s="1"/>
  <c r="B1883" i="130"/>
  <c r="B1884" i="130" s="1"/>
  <c r="B2048" i="130"/>
  <c r="B2049" i="130" s="1"/>
  <c r="L18" i="132"/>
  <c r="L26" i="132" s="1"/>
  <c r="G235" i="136"/>
  <c r="B235" i="136" s="1"/>
  <c r="B236" i="136" s="1"/>
  <c r="G301" i="136"/>
  <c r="G419" i="136"/>
  <c r="B419" i="136" s="1"/>
  <c r="B420" i="136" s="1"/>
  <c r="B475" i="136"/>
  <c r="B476" i="136" s="1"/>
  <c r="B543" i="137"/>
  <c r="B544" i="137" s="1"/>
  <c r="B330" i="137"/>
  <c r="B331" i="137" s="1"/>
  <c r="B243" i="137"/>
  <c r="B244" i="137" s="1"/>
  <c r="B73" i="137"/>
  <c r="B74" i="137" s="1"/>
  <c r="M250" i="142"/>
  <c r="E849" i="140"/>
  <c r="F849" i="140" s="1"/>
  <c r="E843" i="152"/>
  <c r="F843" i="152" s="1"/>
  <c r="E843" i="140"/>
  <c r="F843" i="140" s="1"/>
  <c r="F427" i="125"/>
  <c r="G93" i="139"/>
  <c r="B93" i="139" s="1"/>
  <c r="B94" i="139" s="1"/>
  <c r="E399" i="125" s="1"/>
  <c r="H781" i="137"/>
  <c r="F111" i="118"/>
  <c r="E633" i="152"/>
  <c r="F633" i="152" s="1"/>
  <c r="F632" i="152" s="1"/>
  <c r="E633" i="140"/>
  <c r="F633" i="140" s="1"/>
  <c r="F632" i="140" s="1"/>
  <c r="B371" i="124"/>
  <c r="B372" i="124" s="1"/>
  <c r="F114" i="126" s="1"/>
  <c r="B632" i="123"/>
  <c r="B633" i="123" s="1"/>
  <c r="F1189" i="123"/>
  <c r="F1192" i="123" s="1"/>
  <c r="B1374" i="123"/>
  <c r="B1375" i="123" s="1"/>
  <c r="B1404" i="123"/>
  <c r="B1405" i="123" s="1"/>
  <c r="B1419" i="123"/>
  <c r="B1420" i="123" s="1"/>
  <c r="B1449" i="123"/>
  <c r="B1450" i="123" s="1"/>
  <c r="B1465" i="123"/>
  <c r="B1466" i="123" s="1"/>
  <c r="B1558" i="123"/>
  <c r="B1559" i="123" s="1"/>
  <c r="B1666" i="123"/>
  <c r="B1667" i="123" s="1"/>
  <c r="B1682" i="123"/>
  <c r="B1683" i="123" s="1"/>
  <c r="I33" i="124"/>
  <c r="B33" i="124" s="1"/>
  <c r="B34" i="124" s="1"/>
  <c r="F13" i="126" s="1"/>
  <c r="I42" i="124"/>
  <c r="B42" i="124" s="1"/>
  <c r="B43" i="124" s="1"/>
  <c r="F14" i="126" s="1"/>
  <c r="E471" i="140" s="1"/>
  <c r="F471" i="140" s="1"/>
  <c r="B222" i="124"/>
  <c r="B223" i="124" s="1"/>
  <c r="B817" i="130"/>
  <c r="B818" i="130" s="1"/>
  <c r="I834" i="130"/>
  <c r="B834" i="130" s="1"/>
  <c r="B835" i="130" s="1"/>
  <c r="B1021" i="130"/>
  <c r="B1022" i="130" s="1"/>
  <c r="E152" i="125" s="1"/>
  <c r="B654" i="130"/>
  <c r="B655" i="130" s="1"/>
  <c r="B670" i="130"/>
  <c r="B671" i="130" s="1"/>
  <c r="B1395" i="130"/>
  <c r="B1396" i="130" s="1"/>
  <c r="B1440" i="130"/>
  <c r="B1441" i="130" s="1"/>
  <c r="E1434" i="130" s="1"/>
  <c r="B1537" i="130"/>
  <c r="B1538" i="130" s="1"/>
  <c r="B1790" i="130"/>
  <c r="B1791" i="130" s="1"/>
  <c r="B1805" i="130"/>
  <c r="B1806" i="130" s="1"/>
  <c r="B1837" i="130"/>
  <c r="B1838" i="130" s="1"/>
  <c r="E306" i="125" s="1"/>
  <c r="B1236" i="130"/>
  <c r="B1237" i="130" s="1"/>
  <c r="B1252" i="130"/>
  <c r="B1253" i="130" s="1"/>
  <c r="B1913" i="130"/>
  <c r="B1914" i="130" s="1"/>
  <c r="B1988" i="130"/>
  <c r="B1989" i="130" s="1"/>
  <c r="E316" i="125" s="1"/>
  <c r="B2003" i="130"/>
  <c r="B2004" i="130" s="1"/>
  <c r="B2018" i="130"/>
  <c r="B2019" i="130" s="1"/>
  <c r="B2094" i="130"/>
  <c r="B2095" i="130" s="1"/>
  <c r="B238" i="124"/>
  <c r="B239" i="124" s="1"/>
  <c r="E232" i="124" s="1"/>
  <c r="B460" i="136"/>
  <c r="B461" i="136" s="1"/>
  <c r="B399" i="137"/>
  <c r="B400" i="137" s="1"/>
  <c r="B193" i="137"/>
  <c r="B194" i="137" s="1"/>
  <c r="B108" i="137"/>
  <c r="B109" i="137" s="1"/>
  <c r="E101" i="137" s="1"/>
  <c r="O250" i="142"/>
  <c r="F425" i="125"/>
  <c r="E841" i="152"/>
  <c r="F841" i="152" s="1"/>
  <c r="F838" i="152" s="1"/>
  <c r="B338" i="139"/>
  <c r="B339" i="139" s="1"/>
  <c r="E419" i="125" s="1"/>
  <c r="E812" i="152"/>
  <c r="F812" i="152" s="1"/>
  <c r="F396" i="125"/>
  <c r="B215" i="139"/>
  <c r="B216" i="139" s="1"/>
  <c r="E407" i="125" s="1"/>
  <c r="F417" i="125"/>
  <c r="E833" i="152"/>
  <c r="F833" i="152" s="1"/>
  <c r="F832" i="152" s="1"/>
  <c r="E833" i="140"/>
  <c r="F833" i="140" s="1"/>
  <c r="F832" i="140" s="1"/>
  <c r="G271" i="146"/>
  <c r="I271" i="146" s="1"/>
  <c r="B202" i="142"/>
  <c r="K203" i="142" s="1"/>
  <c r="O203" i="142" s="1"/>
  <c r="E588" i="140"/>
  <c r="F588" i="140" s="1"/>
  <c r="F587" i="140" s="1"/>
  <c r="E588" i="152"/>
  <c r="F588" i="152" s="1"/>
  <c r="F587" i="152" s="1"/>
  <c r="F66" i="118"/>
  <c r="E614" i="152"/>
  <c r="F614" i="152" s="1"/>
  <c r="F613" i="152" s="1"/>
  <c r="F92" i="118"/>
  <c r="F72" i="118"/>
  <c r="E594" i="152"/>
  <c r="F594" i="152" s="1"/>
  <c r="E594" i="140"/>
  <c r="F594" i="140" s="1"/>
  <c r="E607" i="152"/>
  <c r="F607" i="152" s="1"/>
  <c r="F606" i="152" s="1"/>
  <c r="F85" i="118"/>
  <c r="E607" i="140"/>
  <c r="F607" i="140" s="1"/>
  <c r="F606" i="140" s="1"/>
  <c r="E622" i="152"/>
  <c r="F622" i="152" s="1"/>
  <c r="F100" i="118"/>
  <c r="E622" i="140"/>
  <c r="F622" i="140" s="1"/>
  <c r="F104" i="118"/>
  <c r="E626" i="152"/>
  <c r="F626" i="152" s="1"/>
  <c r="E626" i="140"/>
  <c r="F626" i="140" s="1"/>
  <c r="G174" i="122"/>
  <c r="I39" i="123"/>
  <c r="B39" i="123" s="1"/>
  <c r="B40" i="123" s="1"/>
  <c r="I48" i="123"/>
  <c r="B48" i="123" s="1"/>
  <c r="B49" i="123" s="1"/>
  <c r="G394" i="123"/>
  <c r="B474" i="123"/>
  <c r="B475" i="123" s="1"/>
  <c r="B504" i="123"/>
  <c r="B505" i="123" s="1"/>
  <c r="B543" i="123"/>
  <c r="B544" i="123" s="1"/>
  <c r="B618" i="123"/>
  <c r="B619" i="123" s="1"/>
  <c r="B946" i="123"/>
  <c r="B947" i="123" s="1"/>
  <c r="B1389" i="123"/>
  <c r="B1390" i="123" s="1"/>
  <c r="B1512" i="123"/>
  <c r="B1513" i="123" s="1"/>
  <c r="B1543" i="123"/>
  <c r="B1544" i="123" s="1"/>
  <c r="B1588" i="123"/>
  <c r="B1589" i="123" s="1"/>
  <c r="B1651" i="123"/>
  <c r="B1652" i="123" s="1"/>
  <c r="B1696" i="123"/>
  <c r="B1697" i="123" s="1"/>
  <c r="B1724" i="123"/>
  <c r="B1725" i="123" s="1"/>
  <c r="G64" i="124"/>
  <c r="G120" i="124"/>
  <c r="F157" i="124"/>
  <c r="O24" i="128"/>
  <c r="Q24" i="128" s="1"/>
  <c r="Q34" i="128" s="1"/>
  <c r="D41" i="128"/>
  <c r="J41" i="128" s="1"/>
  <c r="H41" i="128" s="1"/>
  <c r="K41" i="128" s="1"/>
  <c r="B914" i="130"/>
  <c r="B915" i="130" s="1"/>
  <c r="E145" i="125" s="1"/>
  <c r="B1139" i="130"/>
  <c r="B1140" i="130" s="1"/>
  <c r="B1170" i="130"/>
  <c r="B1171" i="130" s="1"/>
  <c r="B1186" i="130"/>
  <c r="B1187" i="130" s="1"/>
  <c r="E1179" i="130" s="1"/>
  <c r="B1348" i="130"/>
  <c r="B1349" i="130" s="1"/>
  <c r="B1585" i="130"/>
  <c r="B1586" i="130" s="1"/>
  <c r="B1568" i="130"/>
  <c r="B1569" i="130" s="1"/>
  <c r="B1601" i="130"/>
  <c r="B1602" i="130" s="1"/>
  <c r="B2535" i="130"/>
  <c r="B2536" i="130" s="1"/>
  <c r="E2529" i="130" s="1"/>
  <c r="B1928" i="130"/>
  <c r="B1929" i="130" s="1"/>
  <c r="B1943" i="130"/>
  <c r="B1944" i="130" s="1"/>
  <c r="B1958" i="130"/>
  <c r="B1959" i="130" s="1"/>
  <c r="B1973" i="130"/>
  <c r="B1974" i="130" s="1"/>
  <c r="E1967" i="130" s="1"/>
  <c r="B2079" i="130"/>
  <c r="B2080" i="130" s="1"/>
  <c r="B252" i="124"/>
  <c r="B253" i="124" s="1"/>
  <c r="F48" i="136"/>
  <c r="G203" i="136"/>
  <c r="B203" i="136" s="1"/>
  <c r="B204" i="136" s="1"/>
  <c r="B348" i="136"/>
  <c r="B349" i="136" s="1"/>
  <c r="I495" i="137"/>
  <c r="B669" i="137"/>
  <c r="B670" i="137" s="1"/>
  <c r="B126" i="137"/>
  <c r="B127" i="137" s="1"/>
  <c r="E178" i="118" s="1"/>
  <c r="F178" i="118" s="1"/>
  <c r="B39" i="137"/>
  <c r="B40" i="137" s="1"/>
  <c r="E812" i="140"/>
  <c r="F812" i="140" s="1"/>
  <c r="F433" i="125"/>
  <c r="F415" i="125"/>
  <c r="E831" i="152"/>
  <c r="F831" i="152" s="1"/>
  <c r="F830" i="152" s="1"/>
  <c r="F423" i="125"/>
  <c r="E839" i="140"/>
  <c r="F839" i="140" s="1"/>
  <c r="B47" i="139"/>
  <c r="B48" i="139" s="1"/>
  <c r="E397" i="125" s="1"/>
  <c r="E603" i="152"/>
  <c r="F603" i="152" s="1"/>
  <c r="F602" i="152" s="1"/>
  <c r="F81" i="118"/>
  <c r="E603" i="140"/>
  <c r="F603" i="140" s="1"/>
  <c r="F602" i="140" s="1"/>
  <c r="F97" i="118"/>
  <c r="E619" i="140"/>
  <c r="F619" i="140" s="1"/>
  <c r="E619" i="152"/>
  <c r="F619" i="152" s="1"/>
  <c r="B832" i="137"/>
  <c r="B833" i="137" s="1"/>
  <c r="E70" i="118" s="1"/>
  <c r="B1125" i="137"/>
  <c r="B1126" i="137" s="1"/>
  <c r="E94" i="118" s="1"/>
  <c r="B888" i="137"/>
  <c r="B889" i="137" s="1"/>
  <c r="E73" i="118" s="1"/>
  <c r="B1043" i="137"/>
  <c r="B1044" i="137" s="1"/>
  <c r="E87" i="118" s="1"/>
  <c r="B1227" i="137"/>
  <c r="B1228" i="137" s="1"/>
  <c r="E101" i="118" s="1"/>
  <c r="F113" i="118"/>
  <c r="E635" i="152"/>
  <c r="F635" i="152" s="1"/>
  <c r="F634" i="152" s="1"/>
  <c r="E635" i="140"/>
  <c r="F635" i="140" s="1"/>
  <c r="F634" i="140" s="1"/>
  <c r="B602" i="139"/>
  <c r="F329" i="125"/>
  <c r="E808" i="152"/>
  <c r="F808" i="152" s="1"/>
  <c r="E808" i="140"/>
  <c r="F808" i="140" s="1"/>
  <c r="E855" i="152"/>
  <c r="F855" i="152" s="1"/>
  <c r="F439" i="125"/>
  <c r="E855" i="140"/>
  <c r="F855" i="140" s="1"/>
  <c r="B652" i="137"/>
  <c r="B653" i="137" s="1"/>
  <c r="B576" i="137"/>
  <c r="B577" i="137" s="1"/>
  <c r="E203" i="118" s="1"/>
  <c r="G507" i="137"/>
  <c r="B507" i="137" s="1"/>
  <c r="B508" i="137" s="1"/>
  <c r="I494" i="137"/>
  <c r="B415" i="137"/>
  <c r="B416" i="137" s="1"/>
  <c r="B348" i="137"/>
  <c r="B349" i="137" s="1"/>
  <c r="E190" i="118" s="1"/>
  <c r="B294" i="137"/>
  <c r="B295" i="137" s="1"/>
  <c r="B142" i="137"/>
  <c r="B143" i="137" s="1"/>
  <c r="H24" i="139"/>
  <c r="F108" i="118"/>
  <c r="E630" i="140"/>
  <c r="F630" i="140" s="1"/>
  <c r="E629" i="152"/>
  <c r="F629" i="152" s="1"/>
  <c r="F107" i="118"/>
  <c r="E629" i="140"/>
  <c r="F629" i="140" s="1"/>
  <c r="B848" i="137"/>
  <c r="B849" i="137" s="1"/>
  <c r="E71" i="118" s="1"/>
  <c r="G973" i="137"/>
  <c r="B973" i="137" s="1"/>
  <c r="B974" i="137" s="1"/>
  <c r="E79" i="118" s="1"/>
  <c r="B1074" i="137"/>
  <c r="B1075" i="137" s="1"/>
  <c r="E90" i="118" s="1"/>
  <c r="B1156" i="137"/>
  <c r="B1157" i="137" s="1"/>
  <c r="E96" i="118" s="1"/>
  <c r="G1190" i="137"/>
  <c r="B1190" i="137" s="1"/>
  <c r="B1191" i="137" s="1"/>
  <c r="E99" i="118" s="1"/>
  <c r="B1374" i="137"/>
  <c r="B1375" i="137" s="1"/>
  <c r="E115" i="118" s="1"/>
  <c r="B701" i="137"/>
  <c r="B702" i="137" s="1"/>
  <c r="E695" i="137" s="1"/>
  <c r="B452" i="137"/>
  <c r="B453" i="137" s="1"/>
  <c r="B433" i="137"/>
  <c r="B434" i="137" s="1"/>
  <c r="B684" i="137"/>
  <c r="B685" i="137" s="1"/>
  <c r="B277" i="137"/>
  <c r="B278" i="137" s="1"/>
  <c r="E270" i="137" s="1"/>
  <c r="B227" i="137"/>
  <c r="B228" i="137" s="1"/>
  <c r="B911" i="137"/>
  <c r="B912" i="137" s="1"/>
  <c r="E75" i="118" s="1"/>
  <c r="E625" i="140"/>
  <c r="F625" i="140" s="1"/>
  <c r="E625" i="152"/>
  <c r="F625" i="152" s="1"/>
  <c r="H772" i="137"/>
  <c r="E771" i="137" s="1"/>
  <c r="I771" i="137" s="1"/>
  <c r="I772" i="137" s="1"/>
  <c r="G933" i="137"/>
  <c r="B933" i="137" s="1"/>
  <c r="B934" i="137" s="1"/>
  <c r="E76" i="118" s="1"/>
  <c r="G952" i="137"/>
  <c r="B952" i="137" s="1"/>
  <c r="B953" i="137" s="1"/>
  <c r="E78" i="118" s="1"/>
  <c r="B1140" i="137"/>
  <c r="B1141" i="137" s="1"/>
  <c r="E95" i="118" s="1"/>
  <c r="E627" i="152"/>
  <c r="F627" i="152" s="1"/>
  <c r="F105" i="118"/>
  <c r="B1346" i="137"/>
  <c r="B1347" i="137" s="1"/>
  <c r="E109" i="118" s="1"/>
  <c r="L34" i="142"/>
  <c r="O34" i="142" s="1"/>
  <c r="M34" i="142"/>
  <c r="E854" i="152"/>
  <c r="F854" i="152" s="1"/>
  <c r="E854" i="140"/>
  <c r="F854" i="140" s="1"/>
  <c r="E92" i="81"/>
  <c r="F92" i="81" s="1"/>
  <c r="F96" i="81" s="1"/>
  <c r="E83" i="124"/>
  <c r="F83" i="124" s="1"/>
  <c r="F87" i="124" s="1"/>
  <c r="E259" i="81"/>
  <c r="G259" i="81" s="1"/>
  <c r="E156" i="137"/>
  <c r="G156" i="137" s="1"/>
  <c r="G159" i="137" s="1"/>
  <c r="B159" i="137" s="1"/>
  <c r="B160" i="137" s="1"/>
  <c r="E247" i="81"/>
  <c r="G247" i="81" s="1"/>
  <c r="E523" i="137"/>
  <c r="G523" i="137" s="1"/>
  <c r="G526" i="137" s="1"/>
  <c r="B526" i="137" s="1"/>
  <c r="B527" i="137" s="1"/>
  <c r="E502" i="81"/>
  <c r="G502" i="81" s="1"/>
  <c r="G509" i="81" s="1"/>
  <c r="B509" i="81" s="1"/>
  <c r="B510" i="81" s="1"/>
  <c r="H53" i="139"/>
  <c r="H99" i="139"/>
  <c r="H996" i="137"/>
  <c r="E601" i="139"/>
  <c r="I601" i="139" s="1"/>
  <c r="I602" i="139" s="1"/>
  <c r="D726" i="140"/>
  <c r="D726" i="152"/>
  <c r="G358" i="130"/>
  <c r="E30" i="86"/>
  <c r="E29" i="86"/>
  <c r="F389" i="125"/>
  <c r="E395" i="152"/>
  <c r="F395" i="152" s="1"/>
  <c r="G798" i="81"/>
  <c r="I798" i="81"/>
  <c r="F298" i="130"/>
  <c r="D737" i="152"/>
  <c r="D737" i="140"/>
  <c r="F425" i="137"/>
  <c r="H71" i="139"/>
  <c r="D729" i="140"/>
  <c r="D729" i="152"/>
  <c r="B522" i="130"/>
  <c r="B523" i="130" s="1"/>
  <c r="B507" i="130"/>
  <c r="B508" i="130" s="1"/>
  <c r="E76" i="125" s="1"/>
  <c r="B685" i="139"/>
  <c r="B686" i="139" s="1"/>
  <c r="E328" i="125" s="1"/>
  <c r="B823" i="81"/>
  <c r="B824" i="81" s="1"/>
  <c r="E167" i="86" s="1"/>
  <c r="B459" i="124"/>
  <c r="B460" i="124" s="1"/>
  <c r="B524" i="124"/>
  <c r="B525" i="124" s="1"/>
  <c r="F742" i="137"/>
  <c r="B595" i="139"/>
  <c r="B596" i="139" s="1"/>
  <c r="E435" i="125" s="1"/>
  <c r="B668" i="139"/>
  <c r="B669" i="139" s="1"/>
  <c r="E326" i="125" s="1"/>
  <c r="J42" i="144"/>
  <c r="E754" i="81"/>
  <c r="F754" i="81" s="1"/>
  <c r="F762" i="81" s="1"/>
  <c r="E389" i="81"/>
  <c r="F389" i="81" s="1"/>
  <c r="E794" i="81"/>
  <c r="F794" i="81" s="1"/>
  <c r="E561" i="124"/>
  <c r="F561" i="124" s="1"/>
  <c r="E410" i="121"/>
  <c r="E409" i="81"/>
  <c r="F409" i="81" s="1"/>
  <c r="F417" i="81" s="1"/>
  <c r="E1038" i="81"/>
  <c r="F1038" i="81" s="1"/>
  <c r="E724" i="81"/>
  <c r="F724" i="81" s="1"/>
  <c r="E883" i="81"/>
  <c r="F883" i="81" s="1"/>
  <c r="F83" i="130"/>
  <c r="F88" i="130" s="1"/>
  <c r="F127" i="130"/>
  <c r="F132" i="130" s="1"/>
  <c r="B270" i="124"/>
  <c r="B271" i="124" s="1"/>
  <c r="E263" i="124" s="1"/>
  <c r="K19" i="128"/>
  <c r="I19" i="128"/>
  <c r="J47" i="128" s="1"/>
  <c r="H47" i="128"/>
  <c r="J19" i="128"/>
  <c r="M56" i="128" s="1"/>
  <c r="B389" i="124"/>
  <c r="B390" i="124" s="1"/>
  <c r="F777" i="152"/>
  <c r="I26" i="145"/>
  <c r="I28" i="145" s="1"/>
  <c r="F113" i="86"/>
  <c r="E453" i="140"/>
  <c r="F453" i="140" s="1"/>
  <c r="B1036" i="130"/>
  <c r="B1037" i="130" s="1"/>
  <c r="G668" i="139"/>
  <c r="F340" i="137"/>
  <c r="B365" i="137"/>
  <c r="B366" i="137" s="1"/>
  <c r="E191" i="118" s="1"/>
  <c r="G452" i="137"/>
  <c r="B470" i="137"/>
  <c r="B471" i="137" s="1"/>
  <c r="B337" i="124"/>
  <c r="B338" i="124" s="1"/>
  <c r="D735" i="140"/>
  <c r="D735" i="152"/>
  <c r="D269" i="152"/>
  <c r="D269" i="140"/>
  <c r="D712" i="140"/>
  <c r="D712" i="152"/>
  <c r="E453" i="152"/>
  <c r="F453" i="152" s="1"/>
  <c r="F85" i="81"/>
  <c r="F87" i="81" s="1"/>
  <c r="J16" i="144"/>
  <c r="J27" i="144" s="1"/>
  <c r="J29" i="144" s="1"/>
  <c r="E369" i="81"/>
  <c r="F369" i="81" s="1"/>
  <c r="F377" i="81" s="1"/>
  <c r="E492" i="137"/>
  <c r="F492" i="137" s="1"/>
  <c r="E468" i="81"/>
  <c r="F468" i="81" s="1"/>
  <c r="E2380" i="130"/>
  <c r="F2380" i="130" s="1"/>
  <c r="F2387" i="130" s="1"/>
  <c r="E348" i="81"/>
  <c r="F348" i="81" s="1"/>
  <c r="E448" i="81"/>
  <c r="F448" i="81" s="1"/>
  <c r="F456" i="81" s="1"/>
  <c r="F2465" i="130"/>
  <c r="G2505" i="130"/>
  <c r="B305" i="124"/>
  <c r="B306" i="124" s="1"/>
  <c r="B407" i="124"/>
  <c r="B408" i="124" s="1"/>
  <c r="B506" i="124"/>
  <c r="B507" i="124" s="1"/>
  <c r="E500" i="124" s="1"/>
  <c r="D257" i="152"/>
  <c r="D257" i="140"/>
  <c r="E12" i="126"/>
  <c r="D468" i="152"/>
  <c r="D468" i="140"/>
  <c r="J26" i="145"/>
  <c r="J28" i="145" s="1"/>
  <c r="B2300" i="130"/>
  <c r="B2301" i="130" s="1"/>
  <c r="B1486" i="130"/>
  <c r="B1487" i="130" s="1"/>
  <c r="D49" i="125"/>
  <c r="D186" i="152"/>
  <c r="F397" i="81"/>
  <c r="B424" i="81"/>
  <c r="B425" i="81" s="1"/>
  <c r="E66" i="86" s="1"/>
  <c r="E616" i="139"/>
  <c r="I616" i="139" s="1"/>
  <c r="I617" i="139" s="1"/>
  <c r="B617" i="139" s="1"/>
  <c r="B618" i="139" s="1"/>
  <c r="E388" i="125" s="1"/>
  <c r="I102" i="6"/>
  <c r="G99" i="6"/>
  <c r="F31" i="137"/>
  <c r="G114" i="6"/>
  <c r="G120" i="6" s="1"/>
  <c r="F363" i="124"/>
  <c r="B443" i="124"/>
  <c r="B444" i="124" s="1"/>
  <c r="E436" i="124" s="1"/>
  <c r="B491" i="124"/>
  <c r="B492" i="124" s="1"/>
  <c r="B2220" i="130"/>
  <c r="B2221" i="130" s="1"/>
  <c r="E2213" i="130" s="1"/>
  <c r="F1046" i="81"/>
  <c r="D186" i="140"/>
  <c r="K22" i="145"/>
  <c r="C853" i="81"/>
  <c r="L852" i="81"/>
  <c r="E455" i="152"/>
  <c r="F455" i="152" s="1"/>
  <c r="B599" i="81"/>
  <c r="B600" i="81" s="1"/>
  <c r="E129" i="86" s="1"/>
  <c r="E880" i="140" s="1"/>
  <c r="F880" i="140" s="1"/>
  <c r="F882" i="152"/>
  <c r="B659" i="81"/>
  <c r="B660" i="81" s="1"/>
  <c r="E132" i="86" s="1"/>
  <c r="E883" i="140" s="1"/>
  <c r="F883" i="140" s="1"/>
  <c r="B679" i="81"/>
  <c r="B680" i="81" s="1"/>
  <c r="E133" i="86" s="1"/>
  <c r="E884" i="140" s="1"/>
  <c r="F884" i="140" s="1"/>
  <c r="G20" i="130"/>
  <c r="G22" i="130" s="1"/>
  <c r="B1552" i="130"/>
  <c r="G802" i="81"/>
  <c r="E150" i="124"/>
  <c r="G150" i="124" s="1"/>
  <c r="E318" i="130"/>
  <c r="G318" i="130" s="1"/>
  <c r="E276" i="130"/>
  <c r="G276" i="130" s="1"/>
  <c r="B382" i="137"/>
  <c r="B383" i="137" s="1"/>
  <c r="F444" i="137"/>
  <c r="F833" i="81"/>
  <c r="F839" i="81" s="1"/>
  <c r="F725" i="81"/>
  <c r="F884" i="81"/>
  <c r="F890" i="81" s="1"/>
  <c r="F197" i="130"/>
  <c r="F199" i="130" s="1"/>
  <c r="B199" i="130" s="1"/>
  <c r="B200" i="130" s="1"/>
  <c r="E30" i="125" s="1"/>
  <c r="E168" i="152" s="1"/>
  <c r="F168" i="152" s="1"/>
  <c r="F167" i="152" s="1"/>
  <c r="B321" i="124"/>
  <c r="B322" i="124" s="1"/>
  <c r="B353" i="124"/>
  <c r="B354" i="124" s="1"/>
  <c r="F381" i="124"/>
  <c r="B425" i="124"/>
  <c r="B426" i="124" s="1"/>
  <c r="F117" i="126" s="1"/>
  <c r="F435" i="124"/>
  <c r="B540" i="124"/>
  <c r="B541" i="124" s="1"/>
  <c r="E533" i="124" s="1"/>
  <c r="G556" i="124"/>
  <c r="B556" i="124" s="1"/>
  <c r="B557" i="124" s="1"/>
  <c r="F568" i="124"/>
  <c r="B2375" i="130"/>
  <c r="B2376" i="130" s="1"/>
  <c r="F755" i="81"/>
  <c r="B2329" i="130"/>
  <c r="B2330" i="130" s="1"/>
  <c r="E487" i="125" s="1"/>
  <c r="H28" i="145"/>
  <c r="H26" i="145"/>
  <c r="H27" i="145" s="1"/>
  <c r="B612" i="81"/>
  <c r="B613" i="81" s="1"/>
  <c r="E110" i="86" s="1"/>
  <c r="B652" i="81"/>
  <c r="B653" i="81" s="1"/>
  <c r="E112" i="86" s="1"/>
  <c r="B712" i="81"/>
  <c r="B713" i="81" s="1"/>
  <c r="E114" i="86" s="1"/>
  <c r="J12" i="147"/>
  <c r="J24" i="147"/>
  <c r="B2204" i="130"/>
  <c r="B2205" i="130" s="1"/>
  <c r="E479" i="125" s="1"/>
  <c r="B768" i="130"/>
  <c r="B769" i="130" s="1"/>
  <c r="E258" i="125" s="1"/>
  <c r="B1666" i="130"/>
  <c r="B1667" i="130" s="1"/>
  <c r="B2344" i="130"/>
  <c r="B2345" i="130" s="1"/>
  <c r="E488" i="125" s="1"/>
  <c r="I2382" i="130"/>
  <c r="B1108" i="130"/>
  <c r="B1109" i="130" s="1"/>
  <c r="I403" i="81"/>
  <c r="I404" i="81" s="1"/>
  <c r="B404" i="81" s="1"/>
  <c r="B405" i="81" s="1"/>
  <c r="E65" i="86" s="1"/>
  <c r="F310" i="81"/>
  <c r="F316" i="81" s="1"/>
  <c r="I632" i="81"/>
  <c r="B632" i="81" s="1"/>
  <c r="B633" i="81" s="1"/>
  <c r="E111" i="86" s="1"/>
  <c r="F371" i="81"/>
  <c r="B384" i="81"/>
  <c r="B385" i="81" s="1"/>
  <c r="E64" i="86" s="1"/>
  <c r="J17" i="147"/>
  <c r="J34" i="147"/>
  <c r="J42" i="147" s="1"/>
  <c r="B475" i="124"/>
  <c r="B476" i="124" s="1"/>
  <c r="F120" i="126" s="1"/>
  <c r="E921" i="152" s="1"/>
  <c r="F921" i="152" s="1"/>
  <c r="G44" i="6"/>
  <c r="G50" i="6" s="1"/>
  <c r="B2283" i="130"/>
  <c r="B2284" i="130" s="1"/>
  <c r="E2276" i="130" s="1"/>
  <c r="F782" i="81"/>
  <c r="F802" i="81"/>
  <c r="B2359" i="130"/>
  <c r="B2360" i="130" s="1"/>
  <c r="E489" i="125" s="1"/>
  <c r="E625" i="113" s="1"/>
  <c r="F625" i="113" s="1"/>
  <c r="J27" i="145"/>
  <c r="I27" i="145"/>
  <c r="D730" i="140"/>
  <c r="D730" i="152"/>
  <c r="F329" i="81"/>
  <c r="F336" i="81" s="1"/>
  <c r="F35" i="152"/>
  <c r="G5" i="152" s="1"/>
  <c r="F330" i="81"/>
  <c r="I342" i="81"/>
  <c r="I343" i="81" s="1"/>
  <c r="B343" i="81" s="1"/>
  <c r="B344" i="81" s="1"/>
  <c r="E62" i="86" s="1"/>
  <c r="I578" i="81"/>
  <c r="I579" i="81" s="1"/>
  <c r="B579" i="81" s="1"/>
  <c r="B580" i="81" s="1"/>
  <c r="I698" i="81"/>
  <c r="I699" i="81" s="1"/>
  <c r="B699" i="81" s="1"/>
  <c r="B700" i="81" s="1"/>
  <c r="E135" i="86" s="1"/>
  <c r="E886" i="152" s="1"/>
  <c r="F886" i="152" s="1"/>
  <c r="B2173" i="130"/>
  <c r="B2174" i="130" s="1"/>
  <c r="E477" i="125" s="1"/>
  <c r="E862" i="152" s="1"/>
  <c r="F862" i="152" s="1"/>
  <c r="B2250" i="130"/>
  <c r="B2251" i="130" s="1"/>
  <c r="E482" i="125" s="1"/>
  <c r="F2381" i="130"/>
  <c r="F271" i="81"/>
  <c r="F309" i="81"/>
  <c r="I322" i="81"/>
  <c r="I323" i="81" s="1"/>
  <c r="B323" i="81" s="1"/>
  <c r="B324" i="81" s="1"/>
  <c r="E61" i="86" s="1"/>
  <c r="F61" i="86" s="1"/>
  <c r="F370" i="81"/>
  <c r="H21" i="130"/>
  <c r="H22" i="130" s="1"/>
  <c r="E19" i="130" s="1"/>
  <c r="I19" i="130" s="1"/>
  <c r="I22" i="130" s="1"/>
  <c r="E474" i="140"/>
  <c r="F474" i="140" s="1"/>
  <c r="E448" i="113"/>
  <c r="F448" i="113" s="1"/>
  <c r="G17" i="126"/>
  <c r="E193" i="118"/>
  <c r="F193" i="118" s="1"/>
  <c r="E392" i="137"/>
  <c r="E470" i="140"/>
  <c r="F470" i="140" s="1"/>
  <c r="E444" i="113"/>
  <c r="F444" i="113" s="1"/>
  <c r="E1310" i="130"/>
  <c r="E272" i="125"/>
  <c r="E729" i="152"/>
  <c r="E729" i="140"/>
  <c r="F729" i="140" s="1"/>
  <c r="E375" i="137"/>
  <c r="E192" i="118"/>
  <c r="F192" i="118" s="1"/>
  <c r="F122" i="126"/>
  <c r="E1195" i="130"/>
  <c r="E265" i="125"/>
  <c r="E710" i="113" s="1"/>
  <c r="F710" i="113" s="1"/>
  <c r="E266" i="125"/>
  <c r="F149" i="125"/>
  <c r="E53" i="113"/>
  <c r="F53" i="113" s="1"/>
  <c r="B931" i="123"/>
  <c r="B932" i="123" s="1"/>
  <c r="F1270" i="123"/>
  <c r="G142" i="124"/>
  <c r="G159" i="122"/>
  <c r="B980" i="123"/>
  <c r="B981" i="123" s="1"/>
  <c r="G574" i="124"/>
  <c r="G575" i="124" s="1"/>
  <c r="B575" i="124" s="1"/>
  <c r="B576" i="124" s="1"/>
  <c r="E1707" i="130"/>
  <c r="G92" i="6"/>
  <c r="G894" i="123"/>
  <c r="F118" i="126"/>
  <c r="E59" i="113"/>
  <c r="F59" i="113" s="1"/>
  <c r="F58" i="113" s="1"/>
  <c r="E156" i="86"/>
  <c r="F156" i="86" s="1"/>
  <c r="I1042" i="81"/>
  <c r="F1253" i="123"/>
  <c r="G142" i="122"/>
  <c r="E139" i="122" s="1"/>
  <c r="I139" i="122" s="1"/>
  <c r="K429" i="81"/>
  <c r="F1073" i="130"/>
  <c r="B1055" i="81"/>
  <c r="B1056" i="81" s="1"/>
  <c r="E1047" i="81" s="1"/>
  <c r="G235" i="130"/>
  <c r="E122" i="125"/>
  <c r="E480" i="137"/>
  <c r="F104" i="139"/>
  <c r="F499" i="137"/>
  <c r="E14" i="137"/>
  <c r="E172" i="118"/>
  <c r="E1675" i="130"/>
  <c r="E296" i="125"/>
  <c r="E1831" i="130"/>
  <c r="E1404" i="130"/>
  <c r="E279" i="125"/>
  <c r="E758" i="152" s="1"/>
  <c r="F758" i="152" s="1"/>
  <c r="E480" i="125"/>
  <c r="F475" i="125"/>
  <c r="E611" i="113"/>
  <c r="F611" i="113" s="1"/>
  <c r="E168" i="140"/>
  <c r="F168" i="140" s="1"/>
  <c r="F167" i="140" s="1"/>
  <c r="E278" i="125"/>
  <c r="E1389" i="130"/>
  <c r="E297" i="125"/>
  <c r="E742" i="113" s="1"/>
  <c r="F742" i="113" s="1"/>
  <c r="E1691" i="130"/>
  <c r="E2197" i="130"/>
  <c r="F84" i="86"/>
  <c r="E424" i="152"/>
  <c r="F424" i="152" s="1"/>
  <c r="E259" i="152"/>
  <c r="F259" i="152" s="1"/>
  <c r="E513" i="113"/>
  <c r="F513" i="113" s="1"/>
  <c r="B12" i="123"/>
  <c r="B13" i="123" s="1"/>
  <c r="M24" i="132"/>
  <c r="F151" i="125"/>
  <c r="M21" i="132"/>
  <c r="M27" i="132" s="1"/>
  <c r="E547" i="140"/>
  <c r="F547" i="140" s="1"/>
  <c r="E474" i="152"/>
  <c r="F474" i="152" s="1"/>
  <c r="G22" i="6"/>
  <c r="E844" i="130"/>
  <c r="E140" i="125"/>
  <c r="E683" i="113" s="1"/>
  <c r="F683" i="113" s="1"/>
  <c r="F481" i="125"/>
  <c r="E617" i="113"/>
  <c r="F617" i="113" s="1"/>
  <c r="E866" i="152"/>
  <c r="F866" i="152" s="1"/>
  <c r="E866" i="140"/>
  <c r="F866" i="140" s="1"/>
  <c r="E923" i="152"/>
  <c r="F923" i="152" s="1"/>
  <c r="E923" i="140"/>
  <c r="F923" i="140" s="1"/>
  <c r="F112" i="126"/>
  <c r="E330" i="124"/>
  <c r="B16" i="81"/>
  <c r="B17" i="81" s="1"/>
  <c r="G91" i="122"/>
  <c r="B1621" i="123"/>
  <c r="B1622" i="123" s="1"/>
  <c r="E206" i="118"/>
  <c r="E675" i="152" s="1"/>
  <c r="F675" i="152" s="1"/>
  <c r="E616" i="137"/>
  <c r="E632" i="137"/>
  <c r="E207" i="118"/>
  <c r="E676" i="152" s="1"/>
  <c r="F676" i="152" s="1"/>
  <c r="G78" i="6"/>
  <c r="F188" i="81"/>
  <c r="G974" i="81"/>
  <c r="B974" i="81" s="1"/>
  <c r="B975" i="81" s="1"/>
  <c r="E965" i="81" s="1"/>
  <c r="G861" i="123"/>
  <c r="B1343" i="123"/>
  <c r="B1344" i="123" s="1"/>
  <c r="B411" i="123"/>
  <c r="B412" i="123" s="1"/>
  <c r="B458" i="123"/>
  <c r="B459" i="123" s="1"/>
  <c r="E665" i="113"/>
  <c r="F665" i="113" s="1"/>
  <c r="E700" i="152"/>
  <c r="F700" i="152" s="1"/>
  <c r="E695" i="130"/>
  <c r="E129" i="125"/>
  <c r="F129" i="125" s="1"/>
  <c r="E1754" i="130"/>
  <c r="E301" i="125"/>
  <c r="E780" i="140" s="1"/>
  <c r="F780" i="140" s="1"/>
  <c r="E1907" i="130"/>
  <c r="E311" i="125"/>
  <c r="E790" i="140" s="1"/>
  <c r="F790" i="140" s="1"/>
  <c r="E291" i="125"/>
  <c r="F291" i="125" s="1"/>
  <c r="E1594" i="130"/>
  <c r="F5" i="9"/>
  <c r="F6" i="9"/>
  <c r="D9" i="1"/>
  <c r="G74" i="122"/>
  <c r="B573" i="123"/>
  <c r="B574" i="123" s="1"/>
  <c r="E630" i="130"/>
  <c r="E125" i="125"/>
  <c r="E703" i="140" s="1"/>
  <c r="F703" i="140" s="1"/>
  <c r="G1041" i="81"/>
  <c r="G1046" i="81" s="1"/>
  <c r="I1041" i="81"/>
  <c r="E919" i="152"/>
  <c r="F919" i="152" s="1"/>
  <c r="G118" i="126"/>
  <c r="E364" i="124"/>
  <c r="E468" i="124"/>
  <c r="E1480" i="130"/>
  <c r="E284" i="125"/>
  <c r="E729" i="113" s="1"/>
  <c r="F729" i="113" s="1"/>
  <c r="F488" i="125"/>
  <c r="E624" i="113"/>
  <c r="F624" i="113" s="1"/>
  <c r="E873" i="152"/>
  <c r="F873" i="152" s="1"/>
  <c r="E873" i="140"/>
  <c r="F873" i="140" s="1"/>
  <c r="G64" i="6"/>
  <c r="G106" i="6"/>
  <c r="B1497" i="123"/>
  <c r="B1498" i="123" s="1"/>
  <c r="B12" i="124"/>
  <c r="B13" i="124" s="1"/>
  <c r="E1846" i="130"/>
  <c r="E307" i="125"/>
  <c r="E752" i="113" s="1"/>
  <c r="F752" i="113" s="1"/>
  <c r="E318" i="125"/>
  <c r="F318" i="125" s="1"/>
  <c r="E2012" i="130"/>
  <c r="E179" i="118"/>
  <c r="E135" i="137"/>
  <c r="E667" i="152"/>
  <c r="F667" i="152" s="1"/>
  <c r="E667" i="140"/>
  <c r="F667" i="140" s="1"/>
  <c r="E661" i="140"/>
  <c r="F661" i="140" s="1"/>
  <c r="F437" i="81"/>
  <c r="G77" i="123"/>
  <c r="G1281" i="123"/>
  <c r="G1294" i="123"/>
  <c r="B1770" i="123"/>
  <c r="B1771" i="123" s="1"/>
  <c r="E132" i="125"/>
  <c r="F132" i="125" s="1"/>
  <c r="E743" i="130"/>
  <c r="E751" i="152"/>
  <c r="F751" i="152" s="1"/>
  <c r="E751" i="140"/>
  <c r="F751" i="140" s="1"/>
  <c r="E176" i="118"/>
  <c r="E83" i="137"/>
  <c r="E646" i="137"/>
  <c r="E208" i="118"/>
  <c r="E1030" i="130"/>
  <c r="E153" i="125"/>
  <c r="E693" i="113" s="1"/>
  <c r="F693" i="113" s="1"/>
  <c r="E484" i="125"/>
  <c r="F484" i="125" s="1"/>
  <c r="E862" i="140"/>
  <c r="F862" i="140" s="1"/>
  <c r="E613" i="113"/>
  <c r="F613" i="113" s="1"/>
  <c r="F477" i="125"/>
  <c r="I2395" i="130"/>
  <c r="I2396" i="130" s="1"/>
  <c r="G2395" i="130"/>
  <c r="G2396" i="130" s="1"/>
  <c r="F1090" i="130"/>
  <c r="H136" i="139"/>
  <c r="E135" i="139" s="1"/>
  <c r="I135" i="139" s="1"/>
  <c r="I136" i="139" s="1"/>
  <c r="F58" i="139"/>
  <c r="F76" i="139"/>
  <c r="F714" i="137"/>
  <c r="G281" i="81"/>
  <c r="F476" i="81"/>
  <c r="E679" i="130"/>
  <c r="F51" i="136"/>
  <c r="M5" i="132"/>
  <c r="M11" i="132" s="1"/>
  <c r="M8" i="132"/>
  <c r="E236" i="146"/>
  <c r="I236" i="146" s="1"/>
  <c r="B147" i="142"/>
  <c r="E207" i="86"/>
  <c r="M13" i="132"/>
  <c r="M19" i="132" s="1"/>
  <c r="E727" i="140"/>
  <c r="F727" i="140" s="1"/>
  <c r="F22" i="86"/>
  <c r="E112" i="140"/>
  <c r="F112" i="140" s="1"/>
  <c r="F16" i="126"/>
  <c r="E519" i="113"/>
  <c r="F519" i="113" s="1"/>
  <c r="F518" i="113" s="1"/>
  <c r="E90" i="86"/>
  <c r="E107" i="152"/>
  <c r="F107" i="152" s="1"/>
  <c r="F17" i="86"/>
  <c r="E462" i="137"/>
  <c r="E197" i="118"/>
  <c r="E400" i="124"/>
  <c r="F116" i="126"/>
  <c r="F134" i="86"/>
  <c r="E885" i="140"/>
  <c r="F885" i="140" s="1"/>
  <c r="E885" i="152"/>
  <c r="F885" i="152" s="1"/>
  <c r="F133" i="86"/>
  <c r="E139" i="86"/>
  <c r="E763" i="81"/>
  <c r="E934" i="140"/>
  <c r="F934" i="140" s="1"/>
  <c r="E934" i="152"/>
  <c r="F934" i="152" s="1"/>
  <c r="F201" i="86"/>
  <c r="E206" i="86"/>
  <c r="E950" i="81"/>
  <c r="E1133" i="130"/>
  <c r="E261" i="125"/>
  <c r="F64" i="126"/>
  <c r="E246" i="124"/>
  <c r="F63" i="126"/>
  <c r="E881" i="152"/>
  <c r="F881" i="152" s="1"/>
  <c r="E881" i="140"/>
  <c r="F881" i="140" s="1"/>
  <c r="E818" i="113"/>
  <c r="F818" i="113" s="1"/>
  <c r="E650" i="113"/>
  <c r="F650" i="113" s="1"/>
  <c r="F130" i="86"/>
  <c r="E882" i="140"/>
  <c r="F882" i="140" s="1"/>
  <c r="F131" i="86"/>
  <c r="E819" i="113"/>
  <c r="F819" i="113" s="1"/>
  <c r="E651" i="113"/>
  <c r="F651" i="113" s="1"/>
  <c r="E880" i="152"/>
  <c r="F880" i="152" s="1"/>
  <c r="E649" i="113"/>
  <c r="F649" i="113" s="1"/>
  <c r="F129" i="86"/>
  <c r="E817" i="113"/>
  <c r="F817" i="113" s="1"/>
  <c r="E688" i="152"/>
  <c r="F688" i="152" s="1"/>
  <c r="F64" i="86"/>
  <c r="E688" i="140"/>
  <c r="F688" i="140" s="1"/>
  <c r="E684" i="140"/>
  <c r="F684" i="140" s="1"/>
  <c r="F60" i="86"/>
  <c r="G23" i="122"/>
  <c r="E279" i="124"/>
  <c r="F67" i="126"/>
  <c r="E263" i="125"/>
  <c r="E1164" i="130"/>
  <c r="E745" i="140"/>
  <c r="F745" i="140" s="1"/>
  <c r="F266" i="125"/>
  <c r="E745" i="152"/>
  <c r="F745" i="152" s="1"/>
  <c r="E786" i="152"/>
  <c r="F786" i="152" s="1"/>
  <c r="E786" i="140"/>
  <c r="F786" i="140" s="1"/>
  <c r="F307" i="125"/>
  <c r="E1784" i="130"/>
  <c r="E303" i="125"/>
  <c r="E1799" i="130"/>
  <c r="E304" i="125"/>
  <c r="E1465" i="130"/>
  <c r="E283" i="125"/>
  <c r="E308" i="125"/>
  <c r="E1861" i="130"/>
  <c r="E1997" i="130"/>
  <c r="E317" i="125"/>
  <c r="E280" i="125"/>
  <c r="F540" i="81"/>
  <c r="F546" i="81" s="1"/>
  <c r="I540" i="81"/>
  <c r="F140" i="125"/>
  <c r="E711" i="113"/>
  <c r="F711" i="113" s="1"/>
  <c r="E305" i="125"/>
  <c r="E1815" i="130"/>
  <c r="E790" i="152"/>
  <c r="F790" i="152" s="1"/>
  <c r="E763" i="113"/>
  <c r="F763" i="113" s="1"/>
  <c r="E932" i="152"/>
  <c r="F932" i="152" s="1"/>
  <c r="F199" i="86"/>
  <c r="E932" i="140"/>
  <c r="F932" i="140" s="1"/>
  <c r="E855" i="113"/>
  <c r="F855" i="113" s="1"/>
  <c r="E920" i="81"/>
  <c r="E204" i="86"/>
  <c r="I292" i="123"/>
  <c r="E281" i="123"/>
  <c r="G13" i="126"/>
  <c r="E470" i="152"/>
  <c r="F470" i="152" s="1"/>
  <c r="F61" i="126"/>
  <c r="E216" i="124"/>
  <c r="E711" i="130"/>
  <c r="E702" i="113"/>
  <c r="F702" i="113" s="1"/>
  <c r="E737" i="152"/>
  <c r="F737" i="152" s="1"/>
  <c r="F258" i="125"/>
  <c r="E269" i="125"/>
  <c r="E1261" i="130"/>
  <c r="E1149" i="130"/>
  <c r="E262" i="125"/>
  <c r="E68" i="86"/>
  <c r="E457" i="81"/>
  <c r="G148" i="81"/>
  <c r="G175" i="6"/>
  <c r="F200" i="86"/>
  <c r="E737" i="140"/>
  <c r="E285" i="125"/>
  <c r="E1497" i="130"/>
  <c r="E209" i="86"/>
  <c r="E471" i="152"/>
  <c r="F471" i="152" s="1"/>
  <c r="E143" i="125"/>
  <c r="E877" i="130"/>
  <c r="E142" i="125"/>
  <c r="E862" i="130"/>
  <c r="E647" i="130"/>
  <c r="E126" i="125"/>
  <c r="E663" i="130"/>
  <c r="E127" i="125"/>
  <c r="E727" i="130"/>
  <c r="E131" i="125"/>
  <c r="E1769" i="130"/>
  <c r="E302" i="125"/>
  <c r="E186" i="118"/>
  <c r="E536" i="137"/>
  <c r="E201" i="118"/>
  <c r="E426" i="137"/>
  <c r="E195" i="118"/>
  <c r="E304" i="137"/>
  <c r="E188" i="118"/>
  <c r="F128" i="139"/>
  <c r="F136" i="139" s="1"/>
  <c r="E163" i="125"/>
  <c r="F10" i="126"/>
  <c r="E48" i="125"/>
  <c r="E10" i="125"/>
  <c r="G162" i="6"/>
  <c r="B87" i="81"/>
  <c r="B88" i="81" s="1"/>
  <c r="E935" i="81"/>
  <c r="E205" i="86"/>
  <c r="E208" i="86"/>
  <c r="E997" i="81"/>
  <c r="E1012" i="81"/>
  <c r="E210" i="86"/>
  <c r="E908" i="130"/>
  <c r="E146" i="125"/>
  <c r="E924" i="130"/>
  <c r="E147" i="125"/>
  <c r="E939" i="130"/>
  <c r="E123" i="125"/>
  <c r="E600" i="130"/>
  <c r="E671" i="113"/>
  <c r="F671" i="113" s="1"/>
  <c r="E1450" i="130"/>
  <c r="E282" i="125"/>
  <c r="E299" i="125"/>
  <c r="E1722" i="130"/>
  <c r="E1937" i="130"/>
  <c r="E313" i="125"/>
  <c r="E175" i="118"/>
  <c r="E66" i="137"/>
  <c r="E570" i="137"/>
  <c r="E445" i="137"/>
  <c r="E196" i="118"/>
  <c r="G36" i="6"/>
  <c r="E1027" i="81"/>
  <c r="E211" i="86"/>
  <c r="E803" i="81"/>
  <c r="E212" i="86"/>
  <c r="E142" i="86"/>
  <c r="G1073" i="81"/>
  <c r="B1073" i="81" s="1"/>
  <c r="G108" i="122"/>
  <c r="F139" i="123"/>
  <c r="E138" i="125"/>
  <c r="E811" i="130"/>
  <c r="E955" i="130"/>
  <c r="E703" i="152"/>
  <c r="F703" i="152" s="1"/>
  <c r="F125" i="125"/>
  <c r="E675" i="113"/>
  <c r="F675" i="113" s="1"/>
  <c r="E1293" i="130"/>
  <c r="E271" i="125"/>
  <c r="E290" i="125"/>
  <c r="E1577" i="130"/>
  <c r="E134" i="125"/>
  <c r="E257" i="125"/>
  <c r="E256" i="125"/>
  <c r="E141" i="86"/>
  <c r="E1531" i="130"/>
  <c r="E287" i="125"/>
  <c r="E772" i="152"/>
  <c r="F772" i="152" s="1"/>
  <c r="F293" i="125"/>
  <c r="E772" i="140"/>
  <c r="F772" i="140" s="1"/>
  <c r="E1515" i="130"/>
  <c r="E286" i="125"/>
  <c r="E1877" i="130"/>
  <c r="E309" i="125"/>
  <c r="E662" i="140"/>
  <c r="F662" i="140" s="1"/>
  <c r="E69" i="86"/>
  <c r="B1740" i="123"/>
  <c r="B1741" i="123" s="1"/>
  <c r="I990" i="130"/>
  <c r="I991" i="130" s="1"/>
  <c r="B991" i="130" s="1"/>
  <c r="B992" i="130" s="1"/>
  <c r="E150" i="125" s="1"/>
  <c r="E144" i="125"/>
  <c r="E892" i="130"/>
  <c r="E260" i="125"/>
  <c r="F1054" i="130"/>
  <c r="E136" i="125"/>
  <c r="E792" i="130"/>
  <c r="E668" i="113"/>
  <c r="F668" i="113" s="1"/>
  <c r="E568" i="130"/>
  <c r="E121" i="125"/>
  <c r="E737" i="113"/>
  <c r="F737" i="113" s="1"/>
  <c r="E744" i="152"/>
  <c r="F744" i="152" s="1"/>
  <c r="F265" i="125"/>
  <c r="E744" i="140"/>
  <c r="F744" i="140" s="1"/>
  <c r="E1626" i="130"/>
  <c r="E476" i="125"/>
  <c r="E264" i="125"/>
  <c r="E1922" i="130"/>
  <c r="E312" i="125"/>
  <c r="E300" i="125"/>
  <c r="E1739" i="130"/>
  <c r="E553" i="137"/>
  <c r="E202" i="118"/>
  <c r="E408" i="137"/>
  <c r="E194" i="118"/>
  <c r="E287" i="137"/>
  <c r="E187" i="118"/>
  <c r="B1528" i="123"/>
  <c r="B1529" i="123" s="1"/>
  <c r="F837" i="123"/>
  <c r="B1199" i="123"/>
  <c r="B1200" i="123" s="1"/>
  <c r="G134" i="6"/>
  <c r="E294" i="125"/>
  <c r="E1642" i="130"/>
  <c r="E1229" i="130"/>
  <c r="E267" i="125"/>
  <c r="E319" i="125"/>
  <c r="E2027" i="130"/>
  <c r="E322" i="125"/>
  <c r="E2073" i="130"/>
  <c r="E2088" i="130"/>
  <c r="E323" i="125"/>
  <c r="E599" i="137"/>
  <c r="F110" i="126"/>
  <c r="E205" i="118"/>
  <c r="E202" i="137"/>
  <c r="E183" i="118"/>
  <c r="K288" i="81"/>
  <c r="K287" i="81" s="1"/>
  <c r="F288" i="81"/>
  <c r="F296" i="81" s="1"/>
  <c r="G40" i="122"/>
  <c r="G189" i="122"/>
  <c r="B65" i="123"/>
  <c r="B66" i="123" s="1"/>
  <c r="B180" i="123"/>
  <c r="B181" i="123" s="1"/>
  <c r="B1310" i="123"/>
  <c r="B1311" i="123" s="1"/>
  <c r="B1326" i="123"/>
  <c r="B1327" i="123" s="1"/>
  <c r="F310" i="130"/>
  <c r="E700" i="140"/>
  <c r="F700" i="140" s="1"/>
  <c r="F122" i="125"/>
  <c r="E310" i="125"/>
  <c r="E276" i="125"/>
  <c r="E277" i="125"/>
  <c r="E1374" i="130"/>
  <c r="E289" i="125"/>
  <c r="E1561" i="130"/>
  <c r="E1245" i="130"/>
  <c r="E268" i="125"/>
  <c r="E770" i="152"/>
  <c r="F770" i="152" s="1"/>
  <c r="E735" i="113"/>
  <c r="F735" i="113" s="1"/>
  <c r="E770" i="140"/>
  <c r="F770" i="140" s="1"/>
  <c r="E320" i="125"/>
  <c r="E2042" i="130"/>
  <c r="E500" i="137"/>
  <c r="E199" i="118"/>
  <c r="E185" i="137"/>
  <c r="E182" i="118"/>
  <c r="F123" i="126"/>
  <c r="E32" i="137"/>
  <c r="E173" i="118"/>
  <c r="E168" i="137"/>
  <c r="E181" i="118"/>
  <c r="E209" i="118"/>
  <c r="E662" i="137"/>
  <c r="F185" i="118"/>
  <c r="E654" i="140"/>
  <c r="F654" i="140" s="1"/>
  <c r="F11" i="139"/>
  <c r="F482" i="125"/>
  <c r="E867" i="152"/>
  <c r="F867" i="152" s="1"/>
  <c r="E618" i="113"/>
  <c r="F618" i="113" s="1"/>
  <c r="E867" i="140"/>
  <c r="F867" i="140" s="1"/>
  <c r="E731" i="152"/>
  <c r="F731" i="152" s="1"/>
  <c r="B1553" i="130"/>
  <c r="E288" i="125" s="1"/>
  <c r="E1546" i="130"/>
  <c r="F474" i="125"/>
  <c r="E859" i="140"/>
  <c r="F859" i="140" s="1"/>
  <c r="E859" i="152"/>
  <c r="F859" i="152" s="1"/>
  <c r="E872" i="152"/>
  <c r="F872" i="152" s="1"/>
  <c r="E872" i="140"/>
  <c r="F872" i="140" s="1"/>
  <c r="E623" i="113"/>
  <c r="F623" i="113" s="1"/>
  <c r="F487" i="125"/>
  <c r="E49" i="137"/>
  <c r="E174" i="118"/>
  <c r="F109" i="126"/>
  <c r="E678" i="137"/>
  <c r="E210" i="118"/>
  <c r="E869" i="140"/>
  <c r="F869" i="140" s="1"/>
  <c r="F115" i="126"/>
  <c r="E382" i="124"/>
  <c r="E2293" i="130"/>
  <c r="E485" i="125"/>
  <c r="E763" i="152"/>
  <c r="F763" i="152" s="1"/>
  <c r="E763" i="140"/>
  <c r="F763" i="140" s="1"/>
  <c r="F284" i="125"/>
  <c r="E295" i="125"/>
  <c r="E1659" i="130"/>
  <c r="E863" i="152"/>
  <c r="F863" i="152" s="1"/>
  <c r="E863" i="140"/>
  <c r="F863" i="140" s="1"/>
  <c r="E614" i="113"/>
  <c r="F614" i="113" s="1"/>
  <c r="E690" i="152"/>
  <c r="F690" i="152" s="1"/>
  <c r="F66" i="86"/>
  <c r="E690" i="140"/>
  <c r="F690" i="140" s="1"/>
  <c r="E687" i="152"/>
  <c r="F687" i="152" s="1"/>
  <c r="E687" i="140"/>
  <c r="F687" i="140" s="1"/>
  <c r="F63" i="86"/>
  <c r="F62" i="86"/>
  <c r="E686" i="140"/>
  <c r="F686" i="140" s="1"/>
  <c r="E686" i="152"/>
  <c r="F686" i="152" s="1"/>
  <c r="E1610" i="130"/>
  <c r="E292" i="125"/>
  <c r="F198" i="118"/>
  <c r="E204" i="118"/>
  <c r="F478" i="125"/>
  <c r="F30" i="139"/>
  <c r="F496" i="81"/>
  <c r="E299" i="124"/>
  <c r="F108" i="126"/>
  <c r="F113" i="126"/>
  <c r="E346" i="124"/>
  <c r="F124" i="126"/>
  <c r="E516" i="124"/>
  <c r="E259" i="125"/>
  <c r="E1102" i="130"/>
  <c r="E919" i="140"/>
  <c r="F919" i="140" s="1"/>
  <c r="F772" i="137"/>
  <c r="B772" i="137" s="1"/>
  <c r="B773" i="137" s="1"/>
  <c r="E12" i="118" s="1"/>
  <c r="F12" i="118" s="1"/>
  <c r="F881" i="137"/>
  <c r="E860" i="140"/>
  <c r="F860" i="140" s="1"/>
  <c r="E860" i="152"/>
  <c r="F860" i="152" s="1"/>
  <c r="E868" i="140"/>
  <c r="F868" i="140" s="1"/>
  <c r="F483" i="125"/>
  <c r="F111" i="126"/>
  <c r="E314" i="124"/>
  <c r="F119" i="126"/>
  <c r="E452" i="124"/>
  <c r="F356" i="81"/>
  <c r="E689" i="152"/>
  <c r="F689" i="152" s="1"/>
  <c r="E689" i="140"/>
  <c r="F689" i="140" s="1"/>
  <c r="F65" i="86"/>
  <c r="E660" i="140"/>
  <c r="F660" i="140" s="1"/>
  <c r="F7" i="9"/>
  <c r="G122" i="126"/>
  <c r="F125" i="126"/>
  <c r="E484" i="124"/>
  <c r="F121" i="126"/>
  <c r="E685" i="140"/>
  <c r="F685" i="140" s="1"/>
  <c r="E685" i="152"/>
  <c r="F685" i="152" s="1"/>
  <c r="E886" i="140"/>
  <c r="F886" i="140" s="1"/>
  <c r="E883" i="152"/>
  <c r="F883" i="152" s="1"/>
  <c r="F132" i="86"/>
  <c r="I797" i="81"/>
  <c r="F107" i="126" l="1"/>
  <c r="E152" i="137"/>
  <c r="E180" i="118"/>
  <c r="I29" i="145"/>
  <c r="I31" i="145" s="1"/>
  <c r="F111" i="86"/>
  <c r="E451" i="152"/>
  <c r="F451" i="152" s="1"/>
  <c r="E451" i="140"/>
  <c r="F451" i="140" s="1"/>
  <c r="E427" i="113"/>
  <c r="F427" i="113" s="1"/>
  <c r="F126" i="126"/>
  <c r="E549" i="124"/>
  <c r="E273" i="125"/>
  <c r="J31" i="145"/>
  <c r="E70" i="86"/>
  <c r="E497" i="81"/>
  <c r="E2057" i="130"/>
  <c r="E321" i="125"/>
  <c r="E800" i="140" s="1"/>
  <c r="F800" i="140" s="1"/>
  <c r="E785" i="152"/>
  <c r="F785" i="152" s="1"/>
  <c r="E785" i="140"/>
  <c r="F785" i="140" s="1"/>
  <c r="E751" i="113"/>
  <c r="F751" i="113" s="1"/>
  <c r="F306" i="125"/>
  <c r="F388" i="125"/>
  <c r="E394" i="140"/>
  <c r="F394" i="140" s="1"/>
  <c r="E394" i="152"/>
  <c r="F394" i="152" s="1"/>
  <c r="E200" i="118"/>
  <c r="E519" i="137"/>
  <c r="H31" i="145"/>
  <c r="E915" i="152"/>
  <c r="F915" i="152" s="1"/>
  <c r="G114" i="126"/>
  <c r="Q37" i="128"/>
  <c r="Q36" i="128"/>
  <c r="I33" i="145"/>
  <c r="J45" i="144"/>
  <c r="E275" i="125"/>
  <c r="E1342" i="130"/>
  <c r="B196" i="142"/>
  <c r="K197" i="142" s="1"/>
  <c r="O197" i="142" s="1"/>
  <c r="G268" i="146"/>
  <c r="I268" i="146" s="1"/>
  <c r="E823" i="152"/>
  <c r="F823" i="152" s="1"/>
  <c r="F822" i="152" s="1"/>
  <c r="F407" i="125"/>
  <c r="E823" i="140"/>
  <c r="F823" i="140" s="1"/>
  <c r="F822" i="140" s="1"/>
  <c r="M8" i="142"/>
  <c r="L8" i="142"/>
  <c r="O8" i="142" s="1"/>
  <c r="M45" i="128"/>
  <c r="F135" i="86"/>
  <c r="E418" i="124"/>
  <c r="E874" i="140"/>
  <c r="F874" i="140" s="1"/>
  <c r="E177" i="118"/>
  <c r="F177" i="118" s="1"/>
  <c r="E746" i="113"/>
  <c r="F746" i="113" s="1"/>
  <c r="E662" i="152"/>
  <c r="F662" i="152" s="1"/>
  <c r="E281" i="125"/>
  <c r="E211" i="118"/>
  <c r="E680" i="140" s="1"/>
  <c r="F680" i="140" s="1"/>
  <c r="E315" i="125"/>
  <c r="E706" i="152"/>
  <c r="F706" i="152" s="1"/>
  <c r="G14" i="126"/>
  <c r="E140" i="86"/>
  <c r="E891" i="152" s="1"/>
  <c r="F891" i="152" s="1"/>
  <c r="E1015" i="130"/>
  <c r="E933" i="152"/>
  <c r="F933" i="152" s="1"/>
  <c r="E797" i="152"/>
  <c r="F797" i="152" s="1"/>
  <c r="E884" i="152"/>
  <c r="F884" i="152" s="1"/>
  <c r="E1982" i="130"/>
  <c r="F489" i="125"/>
  <c r="E119" i="137"/>
  <c r="E615" i="130"/>
  <c r="E542" i="152"/>
  <c r="F542" i="152" s="1"/>
  <c r="E153" i="113"/>
  <c r="F153" i="113" s="1"/>
  <c r="F152" i="113" s="1"/>
  <c r="H33" i="145"/>
  <c r="E331" i="125"/>
  <c r="E951" i="140"/>
  <c r="F70" i="126"/>
  <c r="M55" i="128"/>
  <c r="E72" i="86"/>
  <c r="F129" i="126"/>
  <c r="E215" i="86"/>
  <c r="E493" i="125"/>
  <c r="E155" i="125"/>
  <c r="E144" i="86"/>
  <c r="E117" i="118"/>
  <c r="E213" i="118"/>
  <c r="D318" i="146"/>
  <c r="L45" i="128"/>
  <c r="E442" i="125"/>
  <c r="E951" i="152"/>
  <c r="E805" i="140"/>
  <c r="F805" i="140" s="1"/>
  <c r="F803" i="140" s="1"/>
  <c r="E805" i="152"/>
  <c r="F805" i="152" s="1"/>
  <c r="F326" i="125"/>
  <c r="F324" i="125" s="1"/>
  <c r="E807" i="140"/>
  <c r="F807" i="140" s="1"/>
  <c r="F328" i="125"/>
  <c r="E807" i="152"/>
  <c r="F807" i="152" s="1"/>
  <c r="F30" i="86"/>
  <c r="E120" i="152"/>
  <c r="F120" i="152" s="1"/>
  <c r="E120" i="140"/>
  <c r="F120" i="140" s="1"/>
  <c r="E631" i="152"/>
  <c r="F631" i="152" s="1"/>
  <c r="F109" i="118"/>
  <c r="E631" i="140"/>
  <c r="F631" i="140" s="1"/>
  <c r="F78" i="118"/>
  <c r="E600" i="152"/>
  <c r="F600" i="152" s="1"/>
  <c r="E600" i="140"/>
  <c r="F600" i="140" s="1"/>
  <c r="F599" i="140" s="1"/>
  <c r="E637" i="152"/>
  <c r="F637" i="152" s="1"/>
  <c r="F636" i="152" s="1"/>
  <c r="F115" i="118"/>
  <c r="E637" i="140"/>
  <c r="F637" i="140" s="1"/>
  <c r="F636" i="140" s="1"/>
  <c r="E601" i="152"/>
  <c r="F601" i="152" s="1"/>
  <c r="F79" i="118"/>
  <c r="E601" i="140"/>
  <c r="F601" i="140" s="1"/>
  <c r="F628" i="152"/>
  <c r="B603" i="139"/>
  <c r="E387" i="125"/>
  <c r="F101" i="118"/>
  <c r="E623" i="152"/>
  <c r="F623" i="152" s="1"/>
  <c r="E623" i="140"/>
  <c r="F623" i="140" s="1"/>
  <c r="E592" i="140"/>
  <c r="F592" i="140" s="1"/>
  <c r="E592" i="152"/>
  <c r="F592" i="152" s="1"/>
  <c r="F70" i="118"/>
  <c r="F116" i="118" s="1"/>
  <c r="G266" i="146"/>
  <c r="I266" i="146" s="1"/>
  <c r="B192" i="142"/>
  <c r="K193" i="142" s="1"/>
  <c r="O193" i="142" s="1"/>
  <c r="F838" i="140"/>
  <c r="E314" i="125"/>
  <c r="E1952" i="130"/>
  <c r="B253" i="142"/>
  <c r="G299" i="146"/>
  <c r="I299" i="146" s="1"/>
  <c r="E139" i="125"/>
  <c r="E828" i="130"/>
  <c r="G275" i="146"/>
  <c r="I275" i="146" s="1"/>
  <c r="B210" i="142"/>
  <c r="K211" i="142" s="1"/>
  <c r="O211" i="142" s="1"/>
  <c r="E815" i="152"/>
  <c r="F815" i="152" s="1"/>
  <c r="E815" i="140"/>
  <c r="F815" i="140" s="1"/>
  <c r="F399" i="125"/>
  <c r="E189" i="118"/>
  <c r="E323" i="137"/>
  <c r="E820" i="152"/>
  <c r="F820" i="152" s="1"/>
  <c r="F819" i="152" s="1"/>
  <c r="E820" i="140"/>
  <c r="F820" i="140" s="1"/>
  <c r="F819" i="140" s="1"/>
  <c r="F404" i="125"/>
  <c r="F441" i="125" s="1"/>
  <c r="B245" i="142"/>
  <c r="G295" i="146"/>
  <c r="I295" i="146" s="1"/>
  <c r="E1818" i="115"/>
  <c r="I1818" i="115" s="1"/>
  <c r="I1819" i="115" s="1"/>
  <c r="B1819" i="115" s="1"/>
  <c r="E424" i="140"/>
  <c r="F424" i="140" s="1"/>
  <c r="E361" i="113"/>
  <c r="F361" i="113" s="1"/>
  <c r="F852" i="140"/>
  <c r="E691" i="140"/>
  <c r="F691" i="140" s="1"/>
  <c r="E691" i="152"/>
  <c r="F691" i="152" s="1"/>
  <c r="F67" i="86"/>
  <c r="E935" i="140"/>
  <c r="F935" i="140" s="1"/>
  <c r="E858" i="113"/>
  <c r="F858" i="113" s="1"/>
  <c r="F202" i="86"/>
  <c r="E935" i="152"/>
  <c r="F935" i="152" s="1"/>
  <c r="J48" i="128"/>
  <c r="M26" i="132"/>
  <c r="M14" i="142"/>
  <c r="L14" i="142"/>
  <c r="L30" i="142"/>
  <c r="M30" i="142"/>
  <c r="O12" i="142"/>
  <c r="E452" i="152"/>
  <c r="F452" i="152" s="1"/>
  <c r="F112" i="86"/>
  <c r="E452" i="140"/>
  <c r="F452" i="140" s="1"/>
  <c r="D187" i="140"/>
  <c r="D187" i="152"/>
  <c r="E553" i="152"/>
  <c r="F553" i="152" s="1"/>
  <c r="E553" i="140"/>
  <c r="F553" i="140" s="1"/>
  <c r="F167" i="86"/>
  <c r="F29" i="86"/>
  <c r="E119" i="152"/>
  <c r="F119" i="152" s="1"/>
  <c r="E119" i="140"/>
  <c r="F119" i="140" s="1"/>
  <c r="F95" i="118"/>
  <c r="E617" i="140"/>
  <c r="F617" i="140" s="1"/>
  <c r="E617" i="152"/>
  <c r="F617" i="152" s="1"/>
  <c r="F90" i="118"/>
  <c r="E612" i="140"/>
  <c r="F612" i="140" s="1"/>
  <c r="F611" i="140" s="1"/>
  <c r="E612" i="152"/>
  <c r="F612" i="152" s="1"/>
  <c r="F611" i="152" s="1"/>
  <c r="F94" i="118"/>
  <c r="E616" i="152"/>
  <c r="F616" i="152" s="1"/>
  <c r="E616" i="140"/>
  <c r="F616" i="140" s="1"/>
  <c r="E813" i="152"/>
  <c r="F813" i="152" s="1"/>
  <c r="E813" i="140"/>
  <c r="F813" i="140" s="1"/>
  <c r="F397" i="125"/>
  <c r="B781" i="137"/>
  <c r="E780" i="137"/>
  <c r="I780" i="137" s="1"/>
  <c r="I781" i="137" s="1"/>
  <c r="M32" i="142"/>
  <c r="L32" i="142"/>
  <c r="E341" i="137"/>
  <c r="F66" i="126"/>
  <c r="E731" i="140"/>
  <c r="F731" i="140" s="1"/>
  <c r="F301" i="125"/>
  <c r="E274" i="125"/>
  <c r="E753" i="152" s="1"/>
  <c r="F753" i="152" s="1"/>
  <c r="E706" i="140"/>
  <c r="F706" i="140" s="1"/>
  <c r="E213" i="86"/>
  <c r="E445" i="113"/>
  <c r="F445" i="113" s="1"/>
  <c r="E905" i="81"/>
  <c r="E933" i="140"/>
  <c r="F933" i="140" s="1"/>
  <c r="E797" i="140"/>
  <c r="F797" i="140" s="1"/>
  <c r="B22" i="130"/>
  <c r="B23" i="130" s="1"/>
  <c r="B2396" i="130"/>
  <c r="B2397" i="130" s="1"/>
  <c r="E491" i="125" s="1"/>
  <c r="F491" i="125" s="1"/>
  <c r="E661" i="152"/>
  <c r="F661" i="152" s="1"/>
  <c r="E874" i="152"/>
  <c r="F874" i="152" s="1"/>
  <c r="F166" i="125"/>
  <c r="F30" i="125"/>
  <c r="F29" i="125" s="1"/>
  <c r="E358" i="137"/>
  <c r="F729" i="152"/>
  <c r="H29" i="145"/>
  <c r="J27" i="147"/>
  <c r="J29" i="147" s="1"/>
  <c r="J45" i="147" s="1"/>
  <c r="E450" i="152"/>
  <c r="F450" i="152" s="1"/>
  <c r="F110" i="86"/>
  <c r="E426" i="113"/>
  <c r="F426" i="113" s="1"/>
  <c r="E450" i="140"/>
  <c r="F450" i="140" s="1"/>
  <c r="F731" i="81"/>
  <c r="D469" i="140"/>
  <c r="D469" i="152"/>
  <c r="E214" i="152"/>
  <c r="F214" i="152" s="1"/>
  <c r="F76" i="125"/>
  <c r="E214" i="140"/>
  <c r="F214" i="140" s="1"/>
  <c r="E598" i="140"/>
  <c r="F598" i="140" s="1"/>
  <c r="E598" i="152"/>
  <c r="F598" i="152" s="1"/>
  <c r="F76" i="118"/>
  <c r="F75" i="118"/>
  <c r="E597" i="140"/>
  <c r="F597" i="140" s="1"/>
  <c r="F596" i="140" s="1"/>
  <c r="E597" i="152"/>
  <c r="F597" i="152" s="1"/>
  <c r="F596" i="152" s="1"/>
  <c r="E621" i="140"/>
  <c r="F621" i="140" s="1"/>
  <c r="E621" i="152"/>
  <c r="F621" i="152" s="1"/>
  <c r="F620" i="152" s="1"/>
  <c r="F99" i="118"/>
  <c r="F71" i="118"/>
  <c r="E593" i="140"/>
  <c r="F593" i="140" s="1"/>
  <c r="F590" i="140" s="1"/>
  <c r="E593" i="152"/>
  <c r="F593" i="152" s="1"/>
  <c r="B212" i="142"/>
  <c r="K213" i="142" s="1"/>
  <c r="O213" i="142" s="1"/>
  <c r="G276" i="146"/>
  <c r="I276" i="146" s="1"/>
  <c r="E609" i="140"/>
  <c r="F609" i="140" s="1"/>
  <c r="F608" i="140" s="1"/>
  <c r="F87" i="118"/>
  <c r="E609" i="152"/>
  <c r="F609" i="152" s="1"/>
  <c r="F608" i="152" s="1"/>
  <c r="F811" i="140"/>
  <c r="G262" i="146"/>
  <c r="I262" i="146" s="1"/>
  <c r="B184" i="142"/>
  <c r="F811" i="152"/>
  <c r="B239" i="142"/>
  <c r="G292" i="146"/>
  <c r="I292" i="146" s="1"/>
  <c r="E713" i="152"/>
  <c r="F713" i="152" s="1"/>
  <c r="E713" i="140"/>
  <c r="F713" i="140" s="1"/>
  <c r="E678" i="113"/>
  <c r="F678" i="113" s="1"/>
  <c r="F135" i="125"/>
  <c r="F846" i="140"/>
  <c r="D728" i="152"/>
  <c r="D728" i="140"/>
  <c r="B841" i="115"/>
  <c r="G1876" i="115"/>
  <c r="B1876" i="115" s="1"/>
  <c r="O36" i="40"/>
  <c r="O37" i="40"/>
  <c r="M6" i="142"/>
  <c r="L6" i="142"/>
  <c r="O6" i="142" s="1"/>
  <c r="B4" i="142"/>
  <c r="F852" i="152"/>
  <c r="G1810" i="115"/>
  <c r="B1810" i="115" s="1"/>
  <c r="B859" i="115"/>
  <c r="M16" i="142"/>
  <c r="L16" i="142"/>
  <c r="O16" i="142" s="1"/>
  <c r="B125" i="116"/>
  <c r="E547" i="152"/>
  <c r="F547" i="152" s="1"/>
  <c r="F161" i="86"/>
  <c r="G267" i="146"/>
  <c r="I267" i="146" s="1"/>
  <c r="B194" i="142"/>
  <c r="K195" i="142" s="1"/>
  <c r="O195" i="142" s="1"/>
  <c r="E217" i="146"/>
  <c r="I218" i="146" s="1"/>
  <c r="B112" i="142"/>
  <c r="F153" i="125"/>
  <c r="E780" i="152"/>
  <c r="F780" i="152" s="1"/>
  <c r="E270" i="125"/>
  <c r="F737" i="140"/>
  <c r="E542" i="140"/>
  <c r="F542" i="140" s="1"/>
  <c r="E259" i="140"/>
  <c r="F259" i="140" s="1"/>
  <c r="E454" i="140"/>
  <c r="F454" i="140" s="1"/>
  <c r="E454" i="152"/>
  <c r="F454" i="152" s="1"/>
  <c r="F114" i="86"/>
  <c r="E2368" i="130"/>
  <c r="E490" i="125"/>
  <c r="K24" i="145"/>
  <c r="J29" i="145"/>
  <c r="J33" i="145"/>
  <c r="E660" i="152"/>
  <c r="F660" i="152" s="1"/>
  <c r="F191" i="118"/>
  <c r="E851" i="140"/>
  <c r="F851" i="140" s="1"/>
  <c r="F850" i="140" s="1"/>
  <c r="F435" i="125"/>
  <c r="E851" i="152"/>
  <c r="F851" i="152" s="1"/>
  <c r="F850" i="152" s="1"/>
  <c r="E77" i="125"/>
  <c r="E516" i="130"/>
  <c r="E184" i="118"/>
  <c r="E219" i="137"/>
  <c r="E618" i="140"/>
  <c r="F618" i="140" s="1"/>
  <c r="F96" i="118"/>
  <c r="E618" i="152"/>
  <c r="F618" i="152" s="1"/>
  <c r="F628" i="140"/>
  <c r="F73" i="118"/>
  <c r="E595" i="152"/>
  <c r="F595" i="152" s="1"/>
  <c r="E595" i="140"/>
  <c r="F595" i="140" s="1"/>
  <c r="E835" i="140"/>
  <c r="F835" i="140" s="1"/>
  <c r="F834" i="140" s="1"/>
  <c r="E835" i="152"/>
  <c r="F835" i="152" s="1"/>
  <c r="F834" i="152" s="1"/>
  <c r="F419" i="125"/>
  <c r="E136" i="86"/>
  <c r="E732" i="81"/>
  <c r="M18" i="132"/>
  <c r="H48" i="128"/>
  <c r="F590" i="152"/>
  <c r="M10" i="142"/>
  <c r="L10" i="142"/>
  <c r="O22" i="142"/>
  <c r="L26" i="142"/>
  <c r="M26" i="142"/>
  <c r="L28" i="142"/>
  <c r="M28" i="142"/>
  <c r="L20" i="142"/>
  <c r="M20" i="142"/>
  <c r="F272" i="125"/>
  <c r="E717" i="113"/>
  <c r="F717" i="113" s="1"/>
  <c r="E766" i="113"/>
  <c r="F766" i="113" s="1"/>
  <c r="G120" i="126"/>
  <c r="F207" i="118"/>
  <c r="E672" i="113"/>
  <c r="F672" i="113" s="1"/>
  <c r="E724" i="113"/>
  <c r="F724" i="113" s="1"/>
  <c r="E676" i="140"/>
  <c r="F676" i="140" s="1"/>
  <c r="E702" i="140"/>
  <c r="F702" i="140" s="1"/>
  <c r="G687" i="152"/>
  <c r="G689" i="152" s="1"/>
  <c r="E776" i="152"/>
  <c r="F776" i="152" s="1"/>
  <c r="E915" i="140"/>
  <c r="F915" i="140" s="1"/>
  <c r="F127" i="126"/>
  <c r="E569" i="124"/>
  <c r="E921" i="140"/>
  <c r="F921" i="140" s="1"/>
  <c r="E869" i="152"/>
  <c r="F869" i="152" s="1"/>
  <c r="E647" i="152"/>
  <c r="F647" i="152" s="1"/>
  <c r="F124" i="125"/>
  <c r="E710" i="140"/>
  <c r="F710" i="140" s="1"/>
  <c r="E776" i="140"/>
  <c r="F776" i="140" s="1"/>
  <c r="E707" i="140"/>
  <c r="F707" i="140" s="1"/>
  <c r="E756" i="113"/>
  <c r="F756" i="113" s="1"/>
  <c r="E718" i="140"/>
  <c r="F718" i="140" s="1"/>
  <c r="F279" i="125"/>
  <c r="D11" i="121"/>
  <c r="D14" i="1"/>
  <c r="G112" i="126"/>
  <c r="E913" i="140"/>
  <c r="F913" i="140" s="1"/>
  <c r="E913" i="152"/>
  <c r="F913" i="152" s="1"/>
  <c r="F479" i="125"/>
  <c r="E864" i="140"/>
  <c r="F864" i="140" s="1"/>
  <c r="E864" i="152"/>
  <c r="F864" i="152" s="1"/>
  <c r="E615" i="113"/>
  <c r="F615" i="113" s="1"/>
  <c r="D12" i="121"/>
  <c r="D15" i="1"/>
  <c r="F206" i="118"/>
  <c r="E675" i="140"/>
  <c r="F675" i="140" s="1"/>
  <c r="E775" i="152"/>
  <c r="F775" i="152" s="1"/>
  <c r="F296" i="125"/>
  <c r="E741" i="113"/>
  <c r="F741" i="113" s="1"/>
  <c r="E775" i="140"/>
  <c r="F775" i="140" s="1"/>
  <c r="E620" i="113"/>
  <c r="F620" i="113" s="1"/>
  <c r="E647" i="140"/>
  <c r="F647" i="140" s="1"/>
  <c r="E702" i="152"/>
  <c r="F702" i="152" s="1"/>
  <c r="E710" i="152"/>
  <c r="F710" i="152" s="1"/>
  <c r="E136" i="139"/>
  <c r="F297" i="125"/>
  <c r="E707" i="152"/>
  <c r="F707" i="152" s="1"/>
  <c r="F311" i="125"/>
  <c r="E718" i="152"/>
  <c r="F718" i="152" s="1"/>
  <c r="E758" i="140"/>
  <c r="F758" i="140" s="1"/>
  <c r="E645" i="140"/>
  <c r="F645" i="140" s="1"/>
  <c r="E645" i="152"/>
  <c r="F645" i="152" s="1"/>
  <c r="F176" i="118"/>
  <c r="E757" i="152"/>
  <c r="F757" i="152" s="1"/>
  <c r="E723" i="113"/>
  <c r="F723" i="113" s="1"/>
  <c r="E757" i="140"/>
  <c r="F757" i="140" s="1"/>
  <c r="F278" i="125"/>
  <c r="E187" i="146"/>
  <c r="I187" i="146" s="1"/>
  <c r="B54" i="142"/>
  <c r="C55" i="142" s="1"/>
  <c r="O55" i="142" s="1"/>
  <c r="E865" i="152"/>
  <c r="F865" i="152" s="1"/>
  <c r="F480" i="125"/>
  <c r="E865" i="140"/>
  <c r="F865" i="140" s="1"/>
  <c r="E616" i="113"/>
  <c r="F616" i="113" s="1"/>
  <c r="E641" i="152"/>
  <c r="F641" i="152" s="1"/>
  <c r="F172" i="118"/>
  <c r="E641" i="140"/>
  <c r="F641" i="140" s="1"/>
  <c r="E648" i="140"/>
  <c r="F648" i="140" s="1"/>
  <c r="E648" i="152"/>
  <c r="F648" i="152" s="1"/>
  <c r="F179" i="118"/>
  <c r="E761" i="113"/>
  <c r="F761" i="113" s="1"/>
  <c r="F316" i="125"/>
  <c r="E795" i="152"/>
  <c r="F795" i="152" s="1"/>
  <c r="E795" i="140"/>
  <c r="F795" i="140" s="1"/>
  <c r="B136" i="139"/>
  <c r="B137" i="139" s="1"/>
  <c r="E348" i="125" s="1"/>
  <c r="E677" i="152"/>
  <c r="F677" i="152" s="1"/>
  <c r="F208" i="118"/>
  <c r="E677" i="140"/>
  <c r="F677" i="140" s="1"/>
  <c r="E153" i="86"/>
  <c r="E81" i="86"/>
  <c r="E14" i="86"/>
  <c r="E927" i="152"/>
  <c r="F927" i="152" s="1"/>
  <c r="G126" i="126"/>
  <c r="E927" i="140"/>
  <c r="F927" i="140" s="1"/>
  <c r="E651" i="152"/>
  <c r="F651" i="152" s="1"/>
  <c r="F182" i="118"/>
  <c r="E651" i="140"/>
  <c r="F651" i="140" s="1"/>
  <c r="E668" i="140"/>
  <c r="F668" i="140" s="1"/>
  <c r="E668" i="152"/>
  <c r="F668" i="152" s="1"/>
  <c r="F199" i="118"/>
  <c r="F205" i="118"/>
  <c r="E674" i="152"/>
  <c r="F674" i="152" s="1"/>
  <c r="E674" i="140"/>
  <c r="F674" i="140" s="1"/>
  <c r="E663" i="140"/>
  <c r="F663" i="140" s="1"/>
  <c r="F194" i="118"/>
  <c r="E663" i="152"/>
  <c r="F663" i="152" s="1"/>
  <c r="E861" i="152"/>
  <c r="F861" i="152" s="1"/>
  <c r="E612" i="113"/>
  <c r="F612" i="113" s="1"/>
  <c r="F476" i="125"/>
  <c r="E861" i="140"/>
  <c r="F861" i="140" s="1"/>
  <c r="E739" i="152"/>
  <c r="F739" i="152" s="1"/>
  <c r="F260" i="125"/>
  <c r="E739" i="140"/>
  <c r="F739" i="140" s="1"/>
  <c r="E704" i="113"/>
  <c r="F704" i="113" s="1"/>
  <c r="F287" i="125"/>
  <c r="E766" i="140"/>
  <c r="F766" i="140" s="1"/>
  <c r="E766" i="152"/>
  <c r="F766" i="152" s="1"/>
  <c r="E732" i="113"/>
  <c r="F732" i="113" s="1"/>
  <c r="E715" i="113"/>
  <c r="F715" i="113" s="1"/>
  <c r="F270" i="125"/>
  <c r="E749" i="140"/>
  <c r="F749" i="140" s="1"/>
  <c r="E749" i="152"/>
  <c r="F749" i="152" s="1"/>
  <c r="E712" i="152"/>
  <c r="F712" i="152" s="1"/>
  <c r="E712" i="140"/>
  <c r="F712" i="140" s="1"/>
  <c r="F134" i="125"/>
  <c r="E677" i="113"/>
  <c r="F677" i="113" s="1"/>
  <c r="E716" i="140"/>
  <c r="F716" i="140" s="1"/>
  <c r="F138" i="125"/>
  <c r="E716" i="152"/>
  <c r="F716" i="152" s="1"/>
  <c r="E681" i="113"/>
  <c r="F681" i="113" s="1"/>
  <c r="F142" i="86"/>
  <c r="E893" i="140"/>
  <c r="F893" i="140" s="1"/>
  <c r="E658" i="113"/>
  <c r="F658" i="113" s="1"/>
  <c r="E824" i="113"/>
  <c r="F824" i="113" s="1"/>
  <c r="E893" i="152"/>
  <c r="F893" i="152" s="1"/>
  <c r="F299" i="125"/>
  <c r="E778" i="152"/>
  <c r="F778" i="152" s="1"/>
  <c r="E744" i="113"/>
  <c r="F744" i="113" s="1"/>
  <c r="E778" i="140"/>
  <c r="F778" i="140" s="1"/>
  <c r="E725" i="152"/>
  <c r="F725" i="152" s="1"/>
  <c r="E725" i="140"/>
  <c r="F725" i="140" s="1"/>
  <c r="F147" i="125"/>
  <c r="E690" i="113"/>
  <c r="F690" i="113" s="1"/>
  <c r="E723" i="152"/>
  <c r="F723" i="152" s="1"/>
  <c r="E723" i="140"/>
  <c r="F723" i="140" s="1"/>
  <c r="F145" i="125"/>
  <c r="E186" i="152"/>
  <c r="F186" i="152" s="1"/>
  <c r="E186" i="140"/>
  <c r="F186" i="140" s="1"/>
  <c r="F48" i="125"/>
  <c r="E657" i="152"/>
  <c r="F657" i="152" s="1"/>
  <c r="F188" i="118"/>
  <c r="E657" i="140"/>
  <c r="F657" i="140" s="1"/>
  <c r="F143" i="125"/>
  <c r="E721" i="152"/>
  <c r="F721" i="152" s="1"/>
  <c r="E686" i="113"/>
  <c r="F686" i="113" s="1"/>
  <c r="E721" i="140"/>
  <c r="F721" i="140" s="1"/>
  <c r="F140" i="86"/>
  <c r="F68" i="86"/>
  <c r="E692" i="140"/>
  <c r="F692" i="140" s="1"/>
  <c r="E692" i="152"/>
  <c r="F692" i="152" s="1"/>
  <c r="I281" i="123"/>
  <c r="E270" i="123"/>
  <c r="I270" i="123" s="1"/>
  <c r="E784" i="152"/>
  <c r="F784" i="152" s="1"/>
  <c r="E750" i="113"/>
  <c r="F750" i="113" s="1"/>
  <c r="E784" i="140"/>
  <c r="F784" i="140" s="1"/>
  <c r="F305" i="125"/>
  <c r="E753" i="113"/>
  <c r="F753" i="113" s="1"/>
  <c r="E787" i="152"/>
  <c r="F787" i="152" s="1"/>
  <c r="F308" i="125"/>
  <c r="E787" i="140"/>
  <c r="F787" i="140" s="1"/>
  <c r="G67" i="126"/>
  <c r="E904" i="140"/>
  <c r="F904" i="140" s="1"/>
  <c r="E850" i="113"/>
  <c r="F850" i="113" s="1"/>
  <c r="E904" i="152"/>
  <c r="F904" i="152" s="1"/>
  <c r="G687" i="140"/>
  <c r="G689" i="140" s="1"/>
  <c r="E900" i="140"/>
  <c r="F900" i="140" s="1"/>
  <c r="G63" i="126"/>
  <c r="E900" i="152"/>
  <c r="F900" i="152" s="1"/>
  <c r="G16" i="126"/>
  <c r="E473" i="152"/>
  <c r="F473" i="152" s="1"/>
  <c r="E473" i="140"/>
  <c r="F473" i="140" s="1"/>
  <c r="E447" i="113"/>
  <c r="F447" i="113" s="1"/>
  <c r="E876" i="152"/>
  <c r="F876" i="152" s="1"/>
  <c r="E673" i="152"/>
  <c r="F673" i="152" s="1"/>
  <c r="F204" i="118"/>
  <c r="E673" i="140"/>
  <c r="F673" i="140" s="1"/>
  <c r="G121" i="126"/>
  <c r="E922" i="152"/>
  <c r="F922" i="152" s="1"/>
  <c r="E922" i="140"/>
  <c r="F922" i="140" s="1"/>
  <c r="G119" i="126"/>
  <c r="E920" i="152"/>
  <c r="F920" i="152" s="1"/>
  <c r="E920" i="140"/>
  <c r="F920" i="140" s="1"/>
  <c r="E738" i="152"/>
  <c r="F738" i="152" s="1"/>
  <c r="E703" i="113"/>
  <c r="F703" i="113" s="1"/>
  <c r="E738" i="140"/>
  <c r="F738" i="140" s="1"/>
  <c r="F259" i="125"/>
  <c r="E925" i="152"/>
  <c r="F925" i="152" s="1"/>
  <c r="G124" i="126"/>
  <c r="E925" i="140"/>
  <c r="F925" i="140" s="1"/>
  <c r="E914" i="152"/>
  <c r="F914" i="152" s="1"/>
  <c r="G113" i="126"/>
  <c r="E914" i="140"/>
  <c r="F914" i="140" s="1"/>
  <c r="G115" i="126"/>
  <c r="E916" i="152"/>
  <c r="F916" i="152" s="1"/>
  <c r="E916" i="140"/>
  <c r="F916" i="140" s="1"/>
  <c r="E679" i="152"/>
  <c r="F679" i="152" s="1"/>
  <c r="F210" i="118"/>
  <c r="E679" i="140"/>
  <c r="F679" i="140" s="1"/>
  <c r="E649" i="140"/>
  <c r="F649" i="140" s="1"/>
  <c r="E649" i="152"/>
  <c r="F649" i="152" s="1"/>
  <c r="F180" i="118"/>
  <c r="E642" i="152"/>
  <c r="F642" i="152" s="1"/>
  <c r="F173" i="118"/>
  <c r="E642" i="140"/>
  <c r="F642" i="140" s="1"/>
  <c r="F276" i="125"/>
  <c r="E721" i="113"/>
  <c r="F721" i="113" s="1"/>
  <c r="E755" i="140"/>
  <c r="F755" i="140" s="1"/>
  <c r="E755" i="152"/>
  <c r="F755" i="152" s="1"/>
  <c r="G110" i="126"/>
  <c r="E911" i="140"/>
  <c r="F911" i="140" s="1"/>
  <c r="E911" i="152"/>
  <c r="F911" i="152" s="1"/>
  <c r="E801" i="152"/>
  <c r="F801" i="152" s="1"/>
  <c r="E801" i="140"/>
  <c r="F801" i="140" s="1"/>
  <c r="E768" i="113"/>
  <c r="F768" i="113" s="1"/>
  <c r="F322" i="125"/>
  <c r="F294" i="125"/>
  <c r="E773" i="140"/>
  <c r="F773" i="140" s="1"/>
  <c r="E738" i="113"/>
  <c r="F738" i="113" s="1"/>
  <c r="E773" i="152"/>
  <c r="F773" i="152" s="1"/>
  <c r="E779" i="152"/>
  <c r="F779" i="152" s="1"/>
  <c r="E779" i="140"/>
  <c r="F779" i="140" s="1"/>
  <c r="E745" i="113"/>
  <c r="F745" i="113" s="1"/>
  <c r="F300" i="125"/>
  <c r="E765" i="152"/>
  <c r="F765" i="152" s="1"/>
  <c r="F286" i="125"/>
  <c r="E765" i="140"/>
  <c r="F765" i="140" s="1"/>
  <c r="E731" i="113"/>
  <c r="F731" i="113" s="1"/>
  <c r="E823" i="113"/>
  <c r="F823" i="113" s="1"/>
  <c r="E892" i="152"/>
  <c r="F892" i="152" s="1"/>
  <c r="E657" i="113"/>
  <c r="F657" i="113" s="1"/>
  <c r="E892" i="140"/>
  <c r="F892" i="140" s="1"/>
  <c r="F141" i="86"/>
  <c r="F212" i="86"/>
  <c r="E945" i="152"/>
  <c r="F945" i="152" s="1"/>
  <c r="E945" i="140"/>
  <c r="F945" i="140" s="1"/>
  <c r="E672" i="152"/>
  <c r="F672" i="152" s="1"/>
  <c r="E672" i="140"/>
  <c r="F672" i="140" s="1"/>
  <c r="F203" i="118"/>
  <c r="E792" i="140"/>
  <c r="F792" i="140" s="1"/>
  <c r="E792" i="152"/>
  <c r="F792" i="152" s="1"/>
  <c r="F313" i="125"/>
  <c r="E758" i="113"/>
  <c r="F758" i="113" s="1"/>
  <c r="E727" i="113"/>
  <c r="F727" i="113" s="1"/>
  <c r="E761" i="140"/>
  <c r="F761" i="140" s="1"/>
  <c r="F282" i="125"/>
  <c r="E761" i="152"/>
  <c r="F761" i="152" s="1"/>
  <c r="F213" i="86"/>
  <c r="E946" i="140"/>
  <c r="F946" i="140" s="1"/>
  <c r="E946" i="152"/>
  <c r="F946" i="152" s="1"/>
  <c r="F27" i="126"/>
  <c r="E163" i="86"/>
  <c r="E93" i="86"/>
  <c r="E25" i="86"/>
  <c r="E69" i="125"/>
  <c r="E522" i="113"/>
  <c r="F522" i="113" s="1"/>
  <c r="E467" i="152"/>
  <c r="F467" i="152" s="1"/>
  <c r="E467" i="140"/>
  <c r="F467" i="140" s="1"/>
  <c r="E441" i="113"/>
  <c r="F441" i="113" s="1"/>
  <c r="G10" i="126"/>
  <c r="E354" i="152"/>
  <c r="F354" i="152" s="1"/>
  <c r="E354" i="140"/>
  <c r="F354" i="140" s="1"/>
  <c r="F348" i="125"/>
  <c r="E664" i="152"/>
  <c r="F664" i="152" s="1"/>
  <c r="F195" i="118"/>
  <c r="E664" i="140"/>
  <c r="F664" i="140" s="1"/>
  <c r="E781" i="152"/>
  <c r="F781" i="152" s="1"/>
  <c r="E747" i="113"/>
  <c r="F747" i="113" s="1"/>
  <c r="E781" i="140"/>
  <c r="F781" i="140" s="1"/>
  <c r="F302" i="125"/>
  <c r="E705" i="140"/>
  <c r="F705" i="140" s="1"/>
  <c r="E670" i="113"/>
  <c r="F670" i="113" s="1"/>
  <c r="E705" i="152"/>
  <c r="F705" i="152" s="1"/>
  <c r="F127" i="125"/>
  <c r="F152" i="125"/>
  <c r="E730" i="152"/>
  <c r="F730" i="152" s="1"/>
  <c r="E730" i="140"/>
  <c r="F730" i="140" s="1"/>
  <c r="E692" i="113"/>
  <c r="F692" i="113" s="1"/>
  <c r="E898" i="152"/>
  <c r="F898" i="152" s="1"/>
  <c r="F897" i="152" s="1"/>
  <c r="E898" i="140"/>
  <c r="F898" i="140" s="1"/>
  <c r="F897" i="140" s="1"/>
  <c r="G61" i="126"/>
  <c r="G60" i="126" s="1"/>
  <c r="E831" i="113"/>
  <c r="F831" i="113" s="1"/>
  <c r="F830" i="113" s="1"/>
  <c r="E796" i="140"/>
  <c r="F796" i="140" s="1"/>
  <c r="F317" i="125"/>
  <c r="E762" i="113"/>
  <c r="F762" i="113" s="1"/>
  <c r="E796" i="152"/>
  <c r="F796" i="152" s="1"/>
  <c r="E728" i="113"/>
  <c r="F728" i="113" s="1"/>
  <c r="E762" i="152"/>
  <c r="F762" i="152" s="1"/>
  <c r="F283" i="125"/>
  <c r="E762" i="140"/>
  <c r="F762" i="140" s="1"/>
  <c r="F303" i="125"/>
  <c r="E782" i="140"/>
  <c r="F782" i="140" s="1"/>
  <c r="E748" i="113"/>
  <c r="F748" i="113" s="1"/>
  <c r="E782" i="152"/>
  <c r="F782" i="152" s="1"/>
  <c r="E917" i="152"/>
  <c r="F917" i="152" s="1"/>
  <c r="E917" i="140"/>
  <c r="F917" i="140" s="1"/>
  <c r="G116" i="126"/>
  <c r="H148" i="142"/>
  <c r="G148" i="142"/>
  <c r="E646" i="152"/>
  <c r="F646" i="152" s="1"/>
  <c r="E767" i="140"/>
  <c r="F767" i="140" s="1"/>
  <c r="F288" i="125"/>
  <c r="E767" i="152"/>
  <c r="F767" i="152" s="1"/>
  <c r="E756" i="140"/>
  <c r="F756" i="140" s="1"/>
  <c r="F277" i="125"/>
  <c r="E722" i="113"/>
  <c r="F722" i="113" s="1"/>
  <c r="E756" i="152"/>
  <c r="F756" i="152" s="1"/>
  <c r="E267" i="81"/>
  <c r="D16" i="1"/>
  <c r="D13" i="121"/>
  <c r="G111" i="126"/>
  <c r="E912" i="152"/>
  <c r="F912" i="152" s="1"/>
  <c r="E912" i="140"/>
  <c r="F912" i="140" s="1"/>
  <c r="G108" i="126"/>
  <c r="E909" i="152"/>
  <c r="F909" i="152" s="1"/>
  <c r="E909" i="140"/>
  <c r="F909" i="140" s="1"/>
  <c r="G66" i="126"/>
  <c r="G65" i="126" s="1"/>
  <c r="E903" i="140"/>
  <c r="F903" i="140" s="1"/>
  <c r="F902" i="140" s="1"/>
  <c r="E903" i="152"/>
  <c r="F903" i="152" s="1"/>
  <c r="E771" i="152"/>
  <c r="F771" i="152" s="1"/>
  <c r="E771" i="140"/>
  <c r="F771" i="140" s="1"/>
  <c r="E736" i="113"/>
  <c r="F736" i="113" s="1"/>
  <c r="F292" i="125"/>
  <c r="E774" i="152"/>
  <c r="F774" i="152" s="1"/>
  <c r="F295" i="125"/>
  <c r="E774" i="140"/>
  <c r="F774" i="140" s="1"/>
  <c r="E740" i="113"/>
  <c r="F740" i="113" s="1"/>
  <c r="F485" i="125"/>
  <c r="E870" i="140"/>
  <c r="F870" i="140" s="1"/>
  <c r="E621" i="113"/>
  <c r="F621" i="113" s="1"/>
  <c r="E870" i="152"/>
  <c r="F870" i="152" s="1"/>
  <c r="E643" i="140"/>
  <c r="F643" i="140" s="1"/>
  <c r="F174" i="118"/>
  <c r="E643" i="152"/>
  <c r="F643" i="152" s="1"/>
  <c r="E678" i="140"/>
  <c r="F678" i="140" s="1"/>
  <c r="F209" i="118"/>
  <c r="E678" i="152"/>
  <c r="F678" i="152" s="1"/>
  <c r="F289" i="125"/>
  <c r="E768" i="140"/>
  <c r="F768" i="140" s="1"/>
  <c r="E733" i="113"/>
  <c r="F733" i="113" s="1"/>
  <c r="E768" i="152"/>
  <c r="F768" i="152" s="1"/>
  <c r="F310" i="125"/>
  <c r="E789" i="140"/>
  <c r="F789" i="140" s="1"/>
  <c r="E755" i="113"/>
  <c r="F755" i="113" s="1"/>
  <c r="E789" i="152"/>
  <c r="F789" i="152" s="1"/>
  <c r="F183" i="118"/>
  <c r="E652" i="140"/>
  <c r="F652" i="140" s="1"/>
  <c r="E652" i="152"/>
  <c r="F652" i="152" s="1"/>
  <c r="E802" i="152"/>
  <c r="F802" i="152" s="1"/>
  <c r="E769" i="113"/>
  <c r="F769" i="113" s="1"/>
  <c r="E802" i="140"/>
  <c r="F802" i="140" s="1"/>
  <c r="F323" i="125"/>
  <c r="E746" i="152"/>
  <c r="F746" i="152" s="1"/>
  <c r="E712" i="113"/>
  <c r="F712" i="113" s="1"/>
  <c r="E746" i="140"/>
  <c r="F746" i="140" s="1"/>
  <c r="F267" i="125"/>
  <c r="E656" i="152"/>
  <c r="F656" i="152" s="1"/>
  <c r="F187" i="118"/>
  <c r="E656" i="140"/>
  <c r="F656" i="140" s="1"/>
  <c r="E671" i="140"/>
  <c r="F671" i="140" s="1"/>
  <c r="E671" i="152"/>
  <c r="F671" i="152" s="1"/>
  <c r="F202" i="118"/>
  <c r="E791" i="140"/>
  <c r="F791" i="140" s="1"/>
  <c r="E757" i="113"/>
  <c r="F757" i="113" s="1"/>
  <c r="E791" i="152"/>
  <c r="F791" i="152" s="1"/>
  <c r="F312" i="125"/>
  <c r="E699" i="152"/>
  <c r="F699" i="152" s="1"/>
  <c r="E699" i="140"/>
  <c r="F699" i="140" s="1"/>
  <c r="F121" i="125"/>
  <c r="E664" i="113"/>
  <c r="F664" i="113" s="1"/>
  <c r="E714" i="152"/>
  <c r="F714" i="152" s="1"/>
  <c r="E679" i="113"/>
  <c r="F679" i="113" s="1"/>
  <c r="E714" i="140"/>
  <c r="F714" i="140" s="1"/>
  <c r="F136" i="125"/>
  <c r="F144" i="125"/>
  <c r="E722" i="152"/>
  <c r="F722" i="152" s="1"/>
  <c r="E687" i="113"/>
  <c r="F687" i="113" s="1"/>
  <c r="E722" i="140"/>
  <c r="F722" i="140" s="1"/>
  <c r="F69" i="86"/>
  <c r="E693" i="140"/>
  <c r="F693" i="140" s="1"/>
  <c r="E693" i="152"/>
  <c r="F693" i="152" s="1"/>
  <c r="E726" i="113"/>
  <c r="F726" i="113" s="1"/>
  <c r="F281" i="125"/>
  <c r="E760" i="152"/>
  <c r="F760" i="152" s="1"/>
  <c r="E760" i="140"/>
  <c r="F760" i="140" s="1"/>
  <c r="E700" i="113"/>
  <c r="F700" i="113" s="1"/>
  <c r="F256" i="125"/>
  <c r="E735" i="152"/>
  <c r="F735" i="152" s="1"/>
  <c r="E735" i="140"/>
  <c r="F735" i="140" s="1"/>
  <c r="E769" i="140"/>
  <c r="F769" i="140" s="1"/>
  <c r="F290" i="125"/>
  <c r="E734" i="113"/>
  <c r="F734" i="113" s="1"/>
  <c r="E769" i="152"/>
  <c r="F769" i="152" s="1"/>
  <c r="E726" i="152"/>
  <c r="F726" i="152" s="1"/>
  <c r="E691" i="113"/>
  <c r="F691" i="113" s="1"/>
  <c r="E726" i="140"/>
  <c r="F726" i="140" s="1"/>
  <c r="F148" i="125"/>
  <c r="F175" i="118"/>
  <c r="E644" i="152"/>
  <c r="F644" i="152" s="1"/>
  <c r="E644" i="140"/>
  <c r="F644" i="140" s="1"/>
  <c r="E701" i="140"/>
  <c r="F701" i="140" s="1"/>
  <c r="E666" i="113"/>
  <c r="F666" i="113" s="1"/>
  <c r="E701" i="152"/>
  <c r="F701" i="152" s="1"/>
  <c r="F123" i="125"/>
  <c r="E724" i="152"/>
  <c r="F724" i="152" s="1"/>
  <c r="E689" i="113"/>
  <c r="F689" i="113" s="1"/>
  <c r="F146" i="125"/>
  <c r="E724" i="140"/>
  <c r="F724" i="140" s="1"/>
  <c r="E941" i="152"/>
  <c r="F941" i="152" s="1"/>
  <c r="F208" i="86"/>
  <c r="E941" i="140"/>
  <c r="F941" i="140" s="1"/>
  <c r="E866" i="113"/>
  <c r="F866" i="113" s="1"/>
  <c r="E256" i="152"/>
  <c r="F256" i="152" s="1"/>
  <c r="E256" i="140"/>
  <c r="F256" i="140" s="1"/>
  <c r="F163" i="125"/>
  <c r="E209" i="113"/>
  <c r="E669" i="140"/>
  <c r="F669" i="140" s="1"/>
  <c r="F200" i="118"/>
  <c r="E669" i="152"/>
  <c r="F669" i="152" s="1"/>
  <c r="E720" i="140"/>
  <c r="F720" i="140" s="1"/>
  <c r="E720" i="152"/>
  <c r="F720" i="152" s="1"/>
  <c r="F142" i="125"/>
  <c r="E685" i="113"/>
  <c r="F685" i="113" s="1"/>
  <c r="E859" i="113"/>
  <c r="F859" i="113" s="1"/>
  <c r="E936" i="140"/>
  <c r="F936" i="140" s="1"/>
  <c r="E936" i="152"/>
  <c r="F936" i="152" s="1"/>
  <c r="F203" i="86"/>
  <c r="F269" i="125"/>
  <c r="E714" i="113"/>
  <c r="F714" i="113" s="1"/>
  <c r="E748" i="152"/>
  <c r="F748" i="152" s="1"/>
  <c r="E748" i="140"/>
  <c r="F748" i="140" s="1"/>
  <c r="E673" i="113"/>
  <c r="F673" i="113" s="1"/>
  <c r="E708" i="152"/>
  <c r="F708" i="152" s="1"/>
  <c r="E708" i="140"/>
  <c r="F708" i="140" s="1"/>
  <c r="F130" i="125"/>
  <c r="E937" i="152"/>
  <c r="F937" i="152" s="1"/>
  <c r="E860" i="113"/>
  <c r="F860" i="113" s="1"/>
  <c r="E937" i="140"/>
  <c r="F937" i="140" s="1"/>
  <c r="F204" i="86"/>
  <c r="E901" i="152"/>
  <c r="F901" i="152" s="1"/>
  <c r="E901" i="140"/>
  <c r="F901" i="140" s="1"/>
  <c r="G64" i="126"/>
  <c r="E939" i="152"/>
  <c r="F939" i="152" s="1"/>
  <c r="E939" i="140"/>
  <c r="F939" i="140" s="1"/>
  <c r="E864" i="113"/>
  <c r="F864" i="113" s="1"/>
  <c r="F206" i="86"/>
  <c r="E430" i="152"/>
  <c r="F430" i="152" s="1"/>
  <c r="E367" i="113"/>
  <c r="F367" i="113" s="1"/>
  <c r="F366" i="113" s="1"/>
  <c r="E430" i="140"/>
  <c r="F430" i="140" s="1"/>
  <c r="F90" i="86"/>
  <c r="F207" i="86"/>
  <c r="E940" i="140"/>
  <c r="F940" i="140" s="1"/>
  <c r="E940" i="152"/>
  <c r="F940" i="152" s="1"/>
  <c r="E926" i="152"/>
  <c r="F926" i="152" s="1"/>
  <c r="G125" i="126"/>
  <c r="E926" i="140"/>
  <c r="F926" i="140" s="1"/>
  <c r="E918" i="152"/>
  <c r="F918" i="152" s="1"/>
  <c r="G117" i="126"/>
  <c r="E918" i="140"/>
  <c r="F918" i="140" s="1"/>
  <c r="E752" i="140"/>
  <c r="F752" i="140" s="1"/>
  <c r="E752" i="152"/>
  <c r="F752" i="152" s="1"/>
  <c r="E718" i="113"/>
  <c r="F718" i="113" s="1"/>
  <c r="F273" i="125"/>
  <c r="E910" i="152"/>
  <c r="F910" i="152" s="1"/>
  <c r="E910" i="140"/>
  <c r="F910" i="140" s="1"/>
  <c r="G109" i="126"/>
  <c r="F181" i="118"/>
  <c r="E650" i="140"/>
  <c r="F650" i="140" s="1"/>
  <c r="E650" i="152"/>
  <c r="F650" i="152" s="1"/>
  <c r="G123" i="126"/>
  <c r="E924" i="140"/>
  <c r="F924" i="140" s="1"/>
  <c r="E924" i="152"/>
  <c r="F924" i="152" s="1"/>
  <c r="E799" i="152"/>
  <c r="F799" i="152" s="1"/>
  <c r="E799" i="140"/>
  <c r="F799" i="140" s="1"/>
  <c r="E765" i="113"/>
  <c r="F765" i="113" s="1"/>
  <c r="F320" i="125"/>
  <c r="E713" i="113"/>
  <c r="F713" i="113" s="1"/>
  <c r="E747" i="152"/>
  <c r="F747" i="152" s="1"/>
  <c r="F268" i="125"/>
  <c r="E747" i="140"/>
  <c r="F747" i="140" s="1"/>
  <c r="E798" i="152"/>
  <c r="F798" i="152" s="1"/>
  <c r="E764" i="113"/>
  <c r="F764" i="113" s="1"/>
  <c r="F319" i="125"/>
  <c r="E798" i="140"/>
  <c r="F798" i="140" s="1"/>
  <c r="E743" i="152"/>
  <c r="F743" i="152" s="1"/>
  <c r="F264" i="125"/>
  <c r="E743" i="140"/>
  <c r="F743" i="140" s="1"/>
  <c r="E709" i="113"/>
  <c r="F709" i="113" s="1"/>
  <c r="F150" i="125"/>
  <c r="E728" i="152"/>
  <c r="F728" i="152" s="1"/>
  <c r="E728" i="140"/>
  <c r="F728" i="140" s="1"/>
  <c r="F190" i="118"/>
  <c r="E659" i="152"/>
  <c r="F659" i="152" s="1"/>
  <c r="E659" i="140"/>
  <c r="F659" i="140" s="1"/>
  <c r="E788" i="140"/>
  <c r="F788" i="140" s="1"/>
  <c r="E754" i="113"/>
  <c r="F754" i="113" s="1"/>
  <c r="E788" i="152"/>
  <c r="F788" i="152" s="1"/>
  <c r="F309" i="125"/>
  <c r="E719" i="113"/>
  <c r="F719" i="113" s="1"/>
  <c r="E736" i="140"/>
  <c r="F736" i="140" s="1"/>
  <c r="E736" i="152"/>
  <c r="F736" i="152" s="1"/>
  <c r="F257" i="125"/>
  <c r="E701" i="113"/>
  <c r="F701" i="113" s="1"/>
  <c r="E750" i="152"/>
  <c r="F750" i="152" s="1"/>
  <c r="F271" i="125"/>
  <c r="E750" i="140"/>
  <c r="F750" i="140" s="1"/>
  <c r="E716" i="113"/>
  <c r="F716" i="113" s="1"/>
  <c r="E1065" i="81"/>
  <c r="B1074" i="81"/>
  <c r="E944" i="152"/>
  <c r="F944" i="152" s="1"/>
  <c r="F211" i="86"/>
  <c r="E944" i="140"/>
  <c r="F944" i="140" s="1"/>
  <c r="E665" i="152"/>
  <c r="F665" i="152" s="1"/>
  <c r="F196" i="118"/>
  <c r="E665" i="140"/>
  <c r="F665" i="140" s="1"/>
  <c r="F315" i="125"/>
  <c r="E760" i="113"/>
  <c r="F760" i="113" s="1"/>
  <c r="E794" i="152"/>
  <c r="F794" i="152" s="1"/>
  <c r="E794" i="140"/>
  <c r="F794" i="140" s="1"/>
  <c r="E868" i="113"/>
  <c r="F868" i="113" s="1"/>
  <c r="E943" i="140"/>
  <c r="F943" i="140" s="1"/>
  <c r="E943" i="152"/>
  <c r="F943" i="152" s="1"/>
  <c r="F210" i="86"/>
  <c r="E938" i="140"/>
  <c r="F938" i="140" s="1"/>
  <c r="E938" i="152"/>
  <c r="F938" i="152" s="1"/>
  <c r="F205" i="86"/>
  <c r="E861" i="113"/>
  <c r="F861" i="113" s="1"/>
  <c r="F10" i="125"/>
  <c r="E148" i="140"/>
  <c r="F148" i="140" s="1"/>
  <c r="E148" i="152"/>
  <c r="F148" i="152" s="1"/>
  <c r="E132" i="113"/>
  <c r="E670" i="152"/>
  <c r="F670" i="152" s="1"/>
  <c r="F201" i="118"/>
  <c r="E670" i="140"/>
  <c r="F670" i="140" s="1"/>
  <c r="F186" i="118"/>
  <c r="E655" i="152"/>
  <c r="F655" i="152" s="1"/>
  <c r="E655" i="140"/>
  <c r="F655" i="140" s="1"/>
  <c r="E674" i="113"/>
  <c r="F674" i="113" s="1"/>
  <c r="E709" i="152"/>
  <c r="F709" i="152" s="1"/>
  <c r="E709" i="140"/>
  <c r="F709" i="140" s="1"/>
  <c r="F131" i="125"/>
  <c r="F126" i="125"/>
  <c r="E669" i="113"/>
  <c r="F669" i="113" s="1"/>
  <c r="E704" i="152"/>
  <c r="F704" i="152" s="1"/>
  <c r="E704" i="140"/>
  <c r="F704" i="140" s="1"/>
  <c r="E867" i="113"/>
  <c r="F867" i="113" s="1"/>
  <c r="E942" i="152"/>
  <c r="F942" i="152" s="1"/>
  <c r="F209" i="86"/>
  <c r="E942" i="140"/>
  <c r="F942" i="140" s="1"/>
  <c r="E764" i="152"/>
  <c r="F764" i="152" s="1"/>
  <c r="E730" i="113"/>
  <c r="F730" i="113" s="1"/>
  <c r="E764" i="140"/>
  <c r="F764" i="140" s="1"/>
  <c r="F285" i="125"/>
  <c r="E706" i="113"/>
  <c r="F706" i="113" s="1"/>
  <c r="F262" i="125"/>
  <c r="E741" i="152"/>
  <c r="F741" i="152" s="1"/>
  <c r="E741" i="140"/>
  <c r="F741" i="140" s="1"/>
  <c r="E759" i="140"/>
  <c r="F759" i="140" s="1"/>
  <c r="E759" i="152"/>
  <c r="F759" i="152" s="1"/>
  <c r="F280" i="125"/>
  <c r="E725" i="113"/>
  <c r="F725" i="113" s="1"/>
  <c r="E749" i="113"/>
  <c r="F749" i="113" s="1"/>
  <c r="E783" i="140"/>
  <c r="F783" i="140" s="1"/>
  <c r="E783" i="152"/>
  <c r="F783" i="152" s="1"/>
  <c r="F304" i="125"/>
  <c r="E742" i="152"/>
  <c r="F742" i="152" s="1"/>
  <c r="E742" i="140"/>
  <c r="F742" i="140" s="1"/>
  <c r="F263" i="125"/>
  <c r="E707" i="113"/>
  <c r="F707" i="113" s="1"/>
  <c r="F261" i="125"/>
  <c r="E740" i="152"/>
  <c r="F740" i="152" s="1"/>
  <c r="E740" i="140"/>
  <c r="F740" i="140" s="1"/>
  <c r="E705" i="113"/>
  <c r="F705" i="113" s="1"/>
  <c r="F139" i="86"/>
  <c r="E890" i="152"/>
  <c r="F890" i="152" s="1"/>
  <c r="E655" i="113"/>
  <c r="F655" i="113" s="1"/>
  <c r="E821" i="113"/>
  <c r="F821" i="113" s="1"/>
  <c r="E890" i="140"/>
  <c r="F890" i="140" s="1"/>
  <c r="E666" i="152"/>
  <c r="F666" i="152" s="1"/>
  <c r="E666" i="140"/>
  <c r="F666" i="140" s="1"/>
  <c r="F197" i="118"/>
  <c r="G263" i="146" l="1"/>
  <c r="I263" i="146" s="1"/>
  <c r="B186" i="142"/>
  <c r="K187" i="142" s="1"/>
  <c r="O187" i="142" s="1"/>
  <c r="G587" i="140"/>
  <c r="G588" i="140"/>
  <c r="F119" i="118"/>
  <c r="G588" i="152"/>
  <c r="G116" i="118"/>
  <c r="J48" i="147"/>
  <c r="J49" i="147"/>
  <c r="G441" i="125"/>
  <c r="G812" i="140"/>
  <c r="G812" i="152"/>
  <c r="B1820" i="115"/>
  <c r="B1821" i="115" s="1"/>
  <c r="E215" i="152"/>
  <c r="F215" i="152" s="1"/>
  <c r="E215" i="140"/>
  <c r="F215" i="140" s="1"/>
  <c r="F77" i="125"/>
  <c r="F615" i="140"/>
  <c r="F442" i="125"/>
  <c r="F444" i="125" s="1"/>
  <c r="Q40" i="128"/>
  <c r="M40" i="128"/>
  <c r="F879" i="140"/>
  <c r="G308" i="146" s="1"/>
  <c r="I308" i="146" s="1"/>
  <c r="F211" i="118"/>
  <c r="E753" i="140"/>
  <c r="F753" i="140" s="1"/>
  <c r="O148" i="142"/>
  <c r="E876" i="140"/>
  <c r="F876" i="140" s="1"/>
  <c r="E822" i="113"/>
  <c r="F822" i="113" s="1"/>
  <c r="O20" i="142"/>
  <c r="O26" i="142"/>
  <c r="G300" i="146"/>
  <c r="I300" i="146" s="1"/>
  <c r="B255" i="142"/>
  <c r="G274" i="146"/>
  <c r="I274" i="146" s="1"/>
  <c r="B208" i="142"/>
  <c r="K209" i="142" s="1"/>
  <c r="O209" i="142" s="1"/>
  <c r="M113" i="142"/>
  <c r="N113" i="142"/>
  <c r="G264" i="146"/>
  <c r="I264" i="146" s="1"/>
  <c r="B188" i="142"/>
  <c r="K189" i="142" s="1"/>
  <c r="O189" i="142" s="1"/>
  <c r="F615" i="152"/>
  <c r="G293" i="146"/>
  <c r="I293" i="146" s="1"/>
  <c r="B241" i="142"/>
  <c r="E793" i="140"/>
  <c r="F793" i="140" s="1"/>
  <c r="F314" i="125"/>
  <c r="E759" i="113"/>
  <c r="F759" i="113" s="1"/>
  <c r="E793" i="152"/>
  <c r="F793" i="152" s="1"/>
  <c r="G277" i="146"/>
  <c r="I277" i="146" s="1"/>
  <c r="B214" i="142"/>
  <c r="K215" i="142" s="1"/>
  <c r="O215" i="142" s="1"/>
  <c r="F599" i="152"/>
  <c r="G587" i="152" s="1"/>
  <c r="F803" i="152"/>
  <c r="E754" i="152"/>
  <c r="F754" i="152" s="1"/>
  <c r="F275" i="125"/>
  <c r="E754" i="140"/>
  <c r="F754" i="140" s="1"/>
  <c r="E720" i="113"/>
  <c r="F720" i="113" s="1"/>
  <c r="K26" i="145"/>
  <c r="F137" i="125"/>
  <c r="G291" i="146"/>
  <c r="I291" i="146" s="1"/>
  <c r="B237" i="142"/>
  <c r="G811" i="140"/>
  <c r="G270" i="146"/>
  <c r="I270" i="146" s="1"/>
  <c r="B200" i="142"/>
  <c r="K201" i="142" s="1"/>
  <c r="O201" i="142" s="1"/>
  <c r="B263" i="142"/>
  <c r="G304" i="146"/>
  <c r="I304" i="146" s="1"/>
  <c r="F274" i="125"/>
  <c r="F330" i="125" s="1"/>
  <c r="E646" i="140"/>
  <c r="F646" i="140" s="1"/>
  <c r="E627" i="113"/>
  <c r="F627" i="113" s="1"/>
  <c r="E656" i="113"/>
  <c r="F656" i="113" s="1"/>
  <c r="E653" i="152"/>
  <c r="F653" i="152" s="1"/>
  <c r="E653" i="140"/>
  <c r="F653" i="140" s="1"/>
  <c r="F184" i="118"/>
  <c r="F212" i="118" s="1"/>
  <c r="E626" i="113"/>
  <c r="F626" i="113" s="1"/>
  <c r="E875" i="140"/>
  <c r="F875" i="140" s="1"/>
  <c r="F490" i="125"/>
  <c r="E875" i="152"/>
  <c r="F875" i="152" s="1"/>
  <c r="F858" i="152" s="1"/>
  <c r="G858" i="152" s="1"/>
  <c r="K38" i="40"/>
  <c r="O41" i="40"/>
  <c r="K185" i="142"/>
  <c r="O185" i="142" s="1"/>
  <c r="O30" i="142"/>
  <c r="L254" i="142"/>
  <c r="M254" i="142"/>
  <c r="G301" i="146"/>
  <c r="I301" i="146" s="1"/>
  <c r="B257" i="142"/>
  <c r="B234" i="142"/>
  <c r="E235" i="142" s="1"/>
  <c r="O235" i="142" s="1"/>
  <c r="G289" i="146"/>
  <c r="I289" i="146" s="1"/>
  <c r="B243" i="142"/>
  <c r="G294" i="146"/>
  <c r="I294" i="146" s="1"/>
  <c r="J47" i="144"/>
  <c r="J46" i="144"/>
  <c r="I4" i="133"/>
  <c r="H58" i="128"/>
  <c r="E90" i="119"/>
  <c r="F90" i="119" s="1"/>
  <c r="I4" i="132"/>
  <c r="K48" i="128"/>
  <c r="I16" i="132"/>
  <c r="I13" i="132"/>
  <c r="G811" i="152"/>
  <c r="B782" i="137"/>
  <c r="B783" i="137" s="1"/>
  <c r="F189" i="118"/>
  <c r="E658" i="152"/>
  <c r="F658" i="152" s="1"/>
  <c r="E658" i="140"/>
  <c r="F658" i="140" s="1"/>
  <c r="G265" i="146"/>
  <c r="I265" i="146" s="1"/>
  <c r="B190" i="142"/>
  <c r="K191" i="142" s="1"/>
  <c r="O191" i="142" s="1"/>
  <c r="F117" i="118"/>
  <c r="F118" i="118" s="1"/>
  <c r="E680" i="152"/>
  <c r="F680" i="152" s="1"/>
  <c r="F772" i="113"/>
  <c r="E891" i="140"/>
  <c r="F891" i="140" s="1"/>
  <c r="F321" i="125"/>
  <c r="E800" i="152"/>
  <c r="F800" i="152" s="1"/>
  <c r="O28" i="142"/>
  <c r="O10" i="142"/>
  <c r="E652" i="113"/>
  <c r="F652" i="113" s="1"/>
  <c r="E820" i="113"/>
  <c r="F820" i="113" s="1"/>
  <c r="E887" i="140"/>
  <c r="F887" i="140" s="1"/>
  <c r="E887" i="152"/>
  <c r="F887" i="152" s="1"/>
  <c r="F136" i="86"/>
  <c r="F143" i="86" s="1"/>
  <c r="G303" i="146"/>
  <c r="I303" i="146" s="1"/>
  <c r="B261" i="142"/>
  <c r="G302" i="146"/>
  <c r="I302" i="146" s="1"/>
  <c r="B259" i="142"/>
  <c r="M240" i="142"/>
  <c r="L240" i="142"/>
  <c r="O240" i="142" s="1"/>
  <c r="G269" i="146"/>
  <c r="I269" i="146" s="1"/>
  <c r="B198" i="142"/>
  <c r="K199" i="142" s="1"/>
  <c r="O199" i="142" s="1"/>
  <c r="F620" i="140"/>
  <c r="O32" i="142"/>
  <c r="O14" i="142"/>
  <c r="L246" i="142"/>
  <c r="O246" i="142" s="1"/>
  <c r="M246" i="142"/>
  <c r="E717" i="140"/>
  <c r="F717" i="140" s="1"/>
  <c r="F715" i="140" s="1"/>
  <c r="E682" i="113"/>
  <c r="F682" i="113" s="1"/>
  <c r="F680" i="113" s="1"/>
  <c r="E717" i="152"/>
  <c r="F717" i="152" s="1"/>
  <c r="F715" i="152" s="1"/>
  <c r="F139" i="125"/>
  <c r="E393" i="152"/>
  <c r="F393" i="152" s="1"/>
  <c r="F392" i="152" s="1"/>
  <c r="F387" i="125"/>
  <c r="E393" i="140"/>
  <c r="F393" i="140" s="1"/>
  <c r="F392" i="140" s="1"/>
  <c r="E694" i="140"/>
  <c r="F694" i="140" s="1"/>
  <c r="E694" i="152"/>
  <c r="F694" i="152" s="1"/>
  <c r="F683" i="152" s="1"/>
  <c r="G683" i="152" s="1"/>
  <c r="F70" i="86"/>
  <c r="F71" i="86" s="1"/>
  <c r="E908" i="140"/>
  <c r="F908" i="140" s="1"/>
  <c r="F907" i="140" s="1"/>
  <c r="E908" i="152"/>
  <c r="F908" i="152" s="1"/>
  <c r="G107" i="126"/>
  <c r="F492" i="125"/>
  <c r="F879" i="152"/>
  <c r="G879" i="152" s="1"/>
  <c r="G127" i="126"/>
  <c r="G128" i="126" s="1"/>
  <c r="E928" i="140"/>
  <c r="F928" i="140" s="1"/>
  <c r="E928" i="152"/>
  <c r="F928" i="152" s="1"/>
  <c r="F907" i="152" s="1"/>
  <c r="G907" i="152" s="1"/>
  <c r="F683" i="140"/>
  <c r="E104" i="152"/>
  <c r="F104" i="152" s="1"/>
  <c r="F103" i="152" s="1"/>
  <c r="E50" i="113"/>
  <c r="F50" i="113" s="1"/>
  <c r="F49" i="113" s="1"/>
  <c r="E104" i="140"/>
  <c r="F104" i="140" s="1"/>
  <c r="F103" i="140" s="1"/>
  <c r="F14" i="86"/>
  <c r="F13" i="86" s="1"/>
  <c r="F931" i="140"/>
  <c r="F858" i="140"/>
  <c r="G858" i="140" s="1"/>
  <c r="E421" i="140"/>
  <c r="F421" i="140" s="1"/>
  <c r="F420" i="140" s="1"/>
  <c r="E358" i="113"/>
  <c r="F358" i="113" s="1"/>
  <c r="F357" i="113" s="1"/>
  <c r="E421" i="152"/>
  <c r="F421" i="152" s="1"/>
  <c r="F420" i="152" s="1"/>
  <c r="F81" i="86"/>
  <c r="F80" i="86" s="1"/>
  <c r="E570" i="81"/>
  <c r="H570" i="81" s="1"/>
  <c r="E148" i="130"/>
  <c r="H148" i="130" s="1"/>
  <c r="E2350" i="130"/>
  <c r="H2350" i="130" s="1"/>
  <c r="H2352" i="130" s="1"/>
  <c r="E2351" i="130" s="1"/>
  <c r="I2351" i="130" s="1"/>
  <c r="I2352" i="130" s="1"/>
  <c r="B2352" i="130" s="1"/>
  <c r="B2353" i="130" s="1"/>
  <c r="E465" i="125" s="1"/>
  <c r="E2305" i="130"/>
  <c r="H2305" i="130" s="1"/>
  <c r="H2307" i="130" s="1"/>
  <c r="E2241" i="130"/>
  <c r="H2241" i="130" s="1"/>
  <c r="H2243" i="130" s="1"/>
  <c r="E2179" i="130"/>
  <c r="H2179" i="130" s="1"/>
  <c r="H2181" i="130" s="1"/>
  <c r="E2180" i="130" s="1"/>
  <c r="I2180" i="130" s="1"/>
  <c r="I2181" i="130" s="1"/>
  <c r="B2181" i="130" s="1"/>
  <c r="B2182" i="130" s="1"/>
  <c r="E454" i="125" s="1"/>
  <c r="E2149" i="130"/>
  <c r="H2149" i="130" s="1"/>
  <c r="H2151" i="130" s="1"/>
  <c r="E2150" i="130" s="1"/>
  <c r="I2150" i="130" s="1"/>
  <c r="I2151" i="130" s="1"/>
  <c r="B2151" i="130" s="1"/>
  <c r="B2152" i="130" s="1"/>
  <c r="E451" i="125" s="1"/>
  <c r="E904" i="130"/>
  <c r="H904" i="130" s="1"/>
  <c r="E597" i="130"/>
  <c r="H597" i="130" s="1"/>
  <c r="E566" i="124"/>
  <c r="H566" i="124" s="1"/>
  <c r="E546" i="124"/>
  <c r="H546" i="124" s="1"/>
  <c r="E431" i="124"/>
  <c r="H431" i="124" s="1"/>
  <c r="E413" i="124"/>
  <c r="H413" i="124" s="1"/>
  <c r="E327" i="124"/>
  <c r="H327" i="124" s="1"/>
  <c r="E311" i="124"/>
  <c r="H311" i="124" s="1"/>
  <c r="E181" i="137"/>
  <c r="H181" i="137" s="1"/>
  <c r="E79" i="137"/>
  <c r="H79" i="137" s="1"/>
  <c r="E675" i="137"/>
  <c r="H675" i="137" s="1"/>
  <c r="E658" i="137"/>
  <c r="H658" i="137" s="1"/>
  <c r="E513" i="137"/>
  <c r="H513" i="137" s="1"/>
  <c r="E405" i="137"/>
  <c r="H405" i="137" s="1"/>
  <c r="E300" i="137"/>
  <c r="H300" i="137" s="1"/>
  <c r="E199" i="137"/>
  <c r="H199" i="137" s="1"/>
  <c r="E1008" i="81"/>
  <c r="H1008" i="81" s="1"/>
  <c r="E280" i="81"/>
  <c r="H280" i="81" s="1"/>
  <c r="E978" i="81"/>
  <c r="H978" i="81" s="1"/>
  <c r="E268" i="81"/>
  <c r="H268" i="81" s="1"/>
  <c r="E395" i="81"/>
  <c r="H395" i="81" s="1"/>
  <c r="E2385" i="130"/>
  <c r="H2385" i="130" s="1"/>
  <c r="E2320" i="130"/>
  <c r="H2320" i="130" s="1"/>
  <c r="H2322" i="130" s="1"/>
  <c r="E2256" i="130"/>
  <c r="H2256" i="130" s="1"/>
  <c r="H2258" i="130" s="1"/>
  <c r="E2255" i="130" s="1"/>
  <c r="I2255" i="130" s="1"/>
  <c r="I2258" i="130" s="1"/>
  <c r="B2258" i="130" s="1"/>
  <c r="B2259" i="130" s="1"/>
  <c r="E459" i="125" s="1"/>
  <c r="E612" i="130"/>
  <c r="H612" i="130" s="1"/>
  <c r="E276" i="124"/>
  <c r="H276" i="124" s="1"/>
  <c r="E530" i="124"/>
  <c r="H530" i="124" s="1"/>
  <c r="E296" i="124"/>
  <c r="H296" i="124" s="1"/>
  <c r="E283" i="137"/>
  <c r="H283" i="137" s="1"/>
  <c r="E45" i="137"/>
  <c r="H45" i="137" s="1"/>
  <c r="H48" i="137" s="1"/>
  <c r="E47" i="137" s="1"/>
  <c r="I47" i="137" s="1"/>
  <c r="I48" i="137" s="1"/>
  <c r="B48" i="137" s="1"/>
  <c r="B49" i="137" s="1"/>
  <c r="E127" i="118" s="1"/>
  <c r="F127" i="118" s="1"/>
  <c r="E690" i="137"/>
  <c r="H690" i="137" s="1"/>
  <c r="E590" i="81"/>
  <c r="H590" i="81" s="1"/>
  <c r="E354" i="81"/>
  <c r="H354" i="81" s="1"/>
  <c r="E627" i="130"/>
  <c r="H627" i="130" s="1"/>
  <c r="E465" i="124"/>
  <c r="H465" i="124" s="1"/>
  <c r="E449" i="124"/>
  <c r="H449" i="124" s="1"/>
  <c r="E172" i="130"/>
  <c r="H172" i="130" s="1"/>
  <c r="E165" i="137"/>
  <c r="H165" i="137" s="1"/>
  <c r="E266" i="137"/>
  <c r="H266" i="137" s="1"/>
  <c r="E334" i="81"/>
  <c r="H334" i="81" s="1"/>
  <c r="E2226" i="130"/>
  <c r="H2226" i="130" s="1"/>
  <c r="H2228" i="130" s="1"/>
  <c r="E2227" i="130" s="1"/>
  <c r="I2227" i="130" s="1"/>
  <c r="I2228" i="130" s="1"/>
  <c r="B2228" i="130" s="1"/>
  <c r="B2229" i="130" s="1"/>
  <c r="E457" i="125" s="1"/>
  <c r="E1145" i="130"/>
  <c r="H1145" i="130" s="1"/>
  <c r="E260" i="124"/>
  <c r="H260" i="124" s="1"/>
  <c r="E359" i="124"/>
  <c r="H359" i="124" s="1"/>
  <c r="E96" i="137"/>
  <c r="H96" i="137" s="1"/>
  <c r="E582" i="137"/>
  <c r="H582" i="137" s="1"/>
  <c r="E549" i="137"/>
  <c r="H549" i="137" s="1"/>
  <c r="E497" i="137"/>
  <c r="H497" i="137" s="1"/>
  <c r="E216" i="137"/>
  <c r="H216" i="137" s="1"/>
  <c r="E27" i="137"/>
  <c r="H27" i="137" s="1"/>
  <c r="E90" i="6"/>
  <c r="H90" i="6" s="1"/>
  <c r="E1043" i="81"/>
  <c r="H1043" i="81" s="1"/>
  <c r="E1061" i="81"/>
  <c r="H1061" i="81" s="1"/>
  <c r="E104" i="6"/>
  <c r="H104" i="6" s="1"/>
  <c r="E853" i="81"/>
  <c r="H853" i="81" s="1"/>
  <c r="E779" i="81"/>
  <c r="H779" i="81" s="1"/>
  <c r="E34" i="6"/>
  <c r="H34" i="6" s="1"/>
  <c r="E20" i="6"/>
  <c r="H20" i="6" s="1"/>
  <c r="E165" i="139"/>
  <c r="H165" i="139" s="1"/>
  <c r="E473" i="81"/>
  <c r="H473" i="81" s="1"/>
  <c r="E147" i="6"/>
  <c r="H147" i="6" s="1"/>
  <c r="E48" i="6"/>
  <c r="H48" i="6" s="1"/>
  <c r="E544" i="81"/>
  <c r="H544" i="81" s="1"/>
  <c r="E932" i="81"/>
  <c r="H932" i="81" s="1"/>
  <c r="E243" i="124"/>
  <c r="H243" i="124" s="1"/>
  <c r="H245" i="124" s="1"/>
  <c r="E2421" i="130"/>
  <c r="H2421" i="130" s="1"/>
  <c r="E2477" i="130"/>
  <c r="H2477" i="130" s="1"/>
  <c r="E180" i="130"/>
  <c r="H180" i="130" s="1"/>
  <c r="E87" i="130"/>
  <c r="H87" i="130" s="1"/>
  <c r="E76" i="130"/>
  <c r="H76" i="130" s="1"/>
  <c r="E234" i="81"/>
  <c r="H234" i="81" s="1"/>
  <c r="E117" i="123"/>
  <c r="H117" i="123" s="1"/>
  <c r="E1580" i="123"/>
  <c r="H1580" i="123" s="1"/>
  <c r="E1594" i="123"/>
  <c r="H1594" i="123" s="1"/>
  <c r="E1168" i="123"/>
  <c r="H1168" i="123" s="1"/>
  <c r="E989" i="123"/>
  <c r="H989" i="123" s="1"/>
  <c r="E1349" i="123"/>
  <c r="H1349" i="123" s="1"/>
  <c r="E921" i="123"/>
  <c r="H921" i="123" s="1"/>
  <c r="E104" i="123"/>
  <c r="H104" i="123" s="1"/>
  <c r="E815" i="123"/>
  <c r="H815" i="123" s="1"/>
  <c r="E1550" i="123"/>
  <c r="H1550" i="123" s="1"/>
  <c r="E1380" i="123"/>
  <c r="H1380" i="123" s="1"/>
  <c r="E1052" i="123"/>
  <c r="H1052" i="123" s="1"/>
  <c r="E871" i="123"/>
  <c r="H871" i="123" s="1"/>
  <c r="E384" i="123"/>
  <c r="H384" i="123" s="1"/>
  <c r="E140" i="122"/>
  <c r="H140" i="122" s="1"/>
  <c r="E579" i="123"/>
  <c r="H579" i="123" s="1"/>
  <c r="E76" i="123"/>
  <c r="H76" i="123" s="1"/>
  <c r="E1534" i="123"/>
  <c r="H1534" i="123" s="1"/>
  <c r="E1627" i="123"/>
  <c r="H1627" i="123" s="1"/>
  <c r="E1022" i="123"/>
  <c r="H1022" i="123" s="1"/>
  <c r="E1471" i="123"/>
  <c r="H1471" i="123" s="1"/>
  <c r="E1179" i="123"/>
  <c r="H1179" i="123" s="1"/>
  <c r="E955" i="123"/>
  <c r="H955" i="123" s="1"/>
  <c r="E368" i="123"/>
  <c r="H368" i="123" s="1"/>
  <c r="H370" i="123" s="1"/>
  <c r="E123" i="122"/>
  <c r="H123" i="122" s="1"/>
  <c r="E273" i="123"/>
  <c r="H273" i="123" s="1"/>
  <c r="E1094" i="123"/>
  <c r="H1094" i="123" s="1"/>
  <c r="E846" i="123"/>
  <c r="H846" i="123" s="1"/>
  <c r="E1217" i="123"/>
  <c r="H1217" i="123" s="1"/>
  <c r="H1218" i="123" s="1"/>
  <c r="E1487" i="123"/>
  <c r="H1487" i="123" s="1"/>
  <c r="E1124" i="123"/>
  <c r="H1124" i="123" s="1"/>
  <c r="E1032" i="123"/>
  <c r="H1032" i="123" s="1"/>
  <c r="E1042" i="123"/>
  <c r="H1042" i="123" s="1"/>
  <c r="E1564" i="123"/>
  <c r="H1564" i="123" s="1"/>
  <c r="E314" i="81"/>
  <c r="H314" i="81" s="1"/>
  <c r="E2335" i="130"/>
  <c r="H2335" i="130" s="1"/>
  <c r="H2337" i="130" s="1"/>
  <c r="E481" i="124"/>
  <c r="H481" i="124" s="1"/>
  <c r="E377" i="124"/>
  <c r="H377" i="124" s="1"/>
  <c r="E489" i="81"/>
  <c r="H489" i="81" s="1"/>
  <c r="E132" i="137"/>
  <c r="H132" i="137" s="1"/>
  <c r="E643" i="137"/>
  <c r="H643" i="137" s="1"/>
  <c r="H645" i="137" s="1"/>
  <c r="E628" i="137"/>
  <c r="H628" i="137" s="1"/>
  <c r="E439" i="137"/>
  <c r="H439" i="137" s="1"/>
  <c r="E371" i="137"/>
  <c r="H371" i="137" s="1"/>
  <c r="E336" i="137"/>
  <c r="H336" i="137" s="1"/>
  <c r="E148" i="137"/>
  <c r="H148" i="137" s="1"/>
  <c r="E759" i="81"/>
  <c r="H759" i="81" s="1"/>
  <c r="E134" i="81"/>
  <c r="H134" i="81" s="1"/>
  <c r="H135" i="81" s="1"/>
  <c r="E555" i="81"/>
  <c r="H555" i="81" s="1"/>
  <c r="E185" i="139"/>
  <c r="H185" i="139" s="1"/>
  <c r="E453" i="81"/>
  <c r="H453" i="81" s="1"/>
  <c r="E837" i="81"/>
  <c r="H837" i="81" s="1"/>
  <c r="E229" i="124"/>
  <c r="H229" i="124" s="1"/>
  <c r="H231" i="124" s="1"/>
  <c r="E841" i="130"/>
  <c r="H841" i="130" s="1"/>
  <c r="E2447" i="130"/>
  <c r="H2447" i="130" s="1"/>
  <c r="E109" i="130"/>
  <c r="H109" i="130" s="1"/>
  <c r="E65" i="130"/>
  <c r="H65" i="130" s="1"/>
  <c r="E234" i="130"/>
  <c r="H234" i="130" s="1"/>
  <c r="E1426" i="123"/>
  <c r="H1426" i="123" s="1"/>
  <c r="E834" i="123"/>
  <c r="H834" i="123" s="1"/>
  <c r="E419" i="123"/>
  <c r="H419" i="123" s="1"/>
  <c r="E215" i="123"/>
  <c r="H215" i="123" s="1"/>
  <c r="E89" i="122"/>
  <c r="H89" i="122" s="1"/>
  <c r="E335" i="123"/>
  <c r="H335" i="123" s="1"/>
  <c r="E29" i="123"/>
  <c r="H29" i="123" s="1"/>
  <c r="E1410" i="123"/>
  <c r="H1410" i="123" s="1"/>
  <c r="E1072" i="123"/>
  <c r="H1072" i="123" s="1"/>
  <c r="H1075" i="123" s="1"/>
  <c r="E1074" i="123" s="1"/>
  <c r="I1074" i="123" s="1"/>
  <c r="I1075" i="123" s="1"/>
  <c r="B1075" i="123" s="1"/>
  <c r="B1076" i="123" s="1"/>
  <c r="E171" i="123"/>
  <c r="H171" i="123" s="1"/>
  <c r="H172" i="123" s="1"/>
  <c r="E187" i="122"/>
  <c r="H187" i="122" s="1"/>
  <c r="E1267" i="123"/>
  <c r="H1267" i="123" s="1"/>
  <c r="E1396" i="123"/>
  <c r="H1396" i="123" s="1"/>
  <c r="E859" i="123"/>
  <c r="H859" i="123" s="1"/>
  <c r="E162" i="123"/>
  <c r="H162" i="123" s="1"/>
  <c r="E19" i="123"/>
  <c r="H19" i="123" s="1"/>
  <c r="E354" i="123" s="1"/>
  <c r="I354" i="123" s="1"/>
  <c r="I355" i="123" s="1"/>
  <c r="E21" i="122"/>
  <c r="H21" i="122" s="1"/>
  <c r="E72" i="122"/>
  <c r="H72" i="122" s="1"/>
  <c r="E881" i="123"/>
  <c r="H881" i="123" s="1"/>
  <c r="E63" i="124"/>
  <c r="H63" i="124" s="1"/>
  <c r="E106" i="122"/>
  <c r="H106" i="122" s="1"/>
  <c r="E563" i="123"/>
  <c r="H563" i="123" s="1"/>
  <c r="E1318" i="123"/>
  <c r="H1318" i="123" s="1"/>
  <c r="E1456" i="123"/>
  <c r="H1456" i="123" s="1"/>
  <c r="E255" i="123"/>
  <c r="H255" i="123" s="1"/>
  <c r="E415" i="81"/>
  <c r="H415" i="81" s="1"/>
  <c r="E2164" i="130"/>
  <c r="H2164" i="130" s="1"/>
  <c r="H2166" i="130" s="1"/>
  <c r="E497" i="124"/>
  <c r="H497" i="124" s="1"/>
  <c r="E224" i="130"/>
  <c r="H224" i="130" s="1"/>
  <c r="H225" i="130" s="1"/>
  <c r="E114" i="137"/>
  <c r="H114" i="137" s="1"/>
  <c r="E611" i="137"/>
  <c r="H611" i="137" s="1"/>
  <c r="E566" i="137"/>
  <c r="H566" i="137" s="1"/>
  <c r="E458" i="137"/>
  <c r="H458" i="137" s="1"/>
  <c r="E388" i="137"/>
  <c r="H388" i="137" s="1"/>
  <c r="E318" i="137"/>
  <c r="H318" i="137" s="1"/>
  <c r="E248" i="137"/>
  <c r="H248" i="137" s="1"/>
  <c r="E993" i="81"/>
  <c r="H993" i="81" s="1"/>
  <c r="E961" i="81"/>
  <c r="H961" i="81" s="1"/>
  <c r="E118" i="6"/>
  <c r="H118" i="6" s="1"/>
  <c r="E888" i="81"/>
  <c r="H888" i="81" s="1"/>
  <c r="E173" i="6"/>
  <c r="H173" i="6" s="1"/>
  <c r="E902" i="81"/>
  <c r="H902" i="81" s="1"/>
  <c r="E400" i="130"/>
  <c r="H400" i="130" s="1"/>
  <c r="E647" i="139"/>
  <c r="H647" i="139" s="1"/>
  <c r="E290" i="139"/>
  <c r="H290" i="139" s="1"/>
  <c r="E232" i="137"/>
  <c r="H232" i="137" s="1"/>
  <c r="H234" i="137" s="1"/>
  <c r="E233" i="137" s="1"/>
  <c r="I233" i="137" s="1"/>
  <c r="I234" i="137" s="1"/>
  <c r="B234" i="137" s="1"/>
  <c r="B235" i="137" s="1"/>
  <c r="E435" i="81"/>
  <c r="H435" i="81" s="1"/>
  <c r="E160" i="6"/>
  <c r="H160" i="6" s="1"/>
  <c r="E76" i="6"/>
  <c r="H76" i="6" s="1"/>
  <c r="E206" i="81"/>
  <c r="H206" i="81" s="1"/>
  <c r="E729" i="81"/>
  <c r="H729" i="81" s="1"/>
  <c r="E869" i="81"/>
  <c r="H869" i="81" s="1"/>
  <c r="E43" i="130"/>
  <c r="H43" i="130" s="1"/>
  <c r="E808" i="130"/>
  <c r="H808" i="130" s="1"/>
  <c r="E131" i="130"/>
  <c r="H131" i="130" s="1"/>
  <c r="E98" i="130"/>
  <c r="H98" i="130" s="1"/>
  <c r="E824" i="130"/>
  <c r="H824" i="130" s="1"/>
  <c r="E54" i="130"/>
  <c r="H54" i="130" s="1"/>
  <c r="E132" i="6"/>
  <c r="H132" i="6" s="1"/>
  <c r="E23" i="124"/>
  <c r="H23" i="124" s="1"/>
  <c r="E1761" i="123"/>
  <c r="H1761" i="123" s="1"/>
  <c r="E1302" i="123"/>
  <c r="H1302" i="123" s="1"/>
  <c r="E1084" i="123"/>
  <c r="H1084" i="123" s="1"/>
  <c r="E1519" i="123"/>
  <c r="H1519" i="123" s="1"/>
  <c r="E1000" i="123"/>
  <c r="H1000" i="123" s="1"/>
  <c r="E1234" i="123"/>
  <c r="H1234" i="123" s="1"/>
  <c r="E1746" i="123"/>
  <c r="H1746" i="123" s="1"/>
  <c r="E1732" i="123"/>
  <c r="H1732" i="123" s="1"/>
  <c r="E1292" i="123"/>
  <c r="H1292" i="123" s="1"/>
  <c r="E912" i="123"/>
  <c r="H912" i="123" s="1"/>
  <c r="E969" i="123"/>
  <c r="H969" i="123" s="1"/>
  <c r="E802" i="123"/>
  <c r="H802" i="123" s="1"/>
  <c r="E95" i="123"/>
  <c r="H95" i="123" s="1"/>
  <c r="H96" i="123" s="1"/>
  <c r="E92" i="123" s="1"/>
  <c r="I92" i="123" s="1"/>
  <c r="I96" i="123" s="1"/>
  <c r="B96" i="123" s="1"/>
  <c r="B97" i="123" s="1"/>
  <c r="E55" i="122"/>
  <c r="H55" i="122" s="1"/>
  <c r="E136" i="123"/>
  <c r="H136" i="123" s="1"/>
  <c r="E213" i="124"/>
  <c r="H213" i="124" s="1"/>
  <c r="E1114" i="123"/>
  <c r="H1114" i="123" s="1"/>
  <c r="E1062" i="123"/>
  <c r="H1062" i="123" s="1"/>
  <c r="E594" i="123"/>
  <c r="H594" i="123" s="1"/>
  <c r="E1134" i="123"/>
  <c r="H1134" i="123" s="1"/>
  <c r="E1642" i="123"/>
  <c r="H1642" i="123" s="1"/>
  <c r="E1365" i="123"/>
  <c r="H1365" i="123" s="1"/>
  <c r="E224" i="123"/>
  <c r="H224" i="123" s="1"/>
  <c r="H225" i="123" s="1"/>
  <c r="B225" i="123" s="1"/>
  <c r="B226" i="123" s="1"/>
  <c r="E434" i="123"/>
  <c r="H434" i="123" s="1"/>
  <c r="E937" i="123"/>
  <c r="H937" i="123" s="1"/>
  <c r="E1011" i="123"/>
  <c r="H1011" i="123" s="1"/>
  <c r="E149" i="123"/>
  <c r="H149" i="123" s="1"/>
  <c r="E353" i="123"/>
  <c r="H353" i="123" s="1"/>
  <c r="E2134" i="130"/>
  <c r="H2134" i="130" s="1"/>
  <c r="H2136" i="130" s="1"/>
  <c r="E343" i="124"/>
  <c r="H343" i="124" s="1"/>
  <c r="E421" i="137"/>
  <c r="H421" i="137" s="1"/>
  <c r="E62" i="137"/>
  <c r="H62" i="137" s="1"/>
  <c r="E799" i="81"/>
  <c r="H799" i="81" s="1"/>
  <c r="E2431" i="130"/>
  <c r="H2431" i="130" s="1"/>
  <c r="E2462" i="130"/>
  <c r="H2462" i="130" s="1"/>
  <c r="E75" i="124"/>
  <c r="H75" i="124" s="1"/>
  <c r="E1104" i="123"/>
  <c r="H1104" i="123" s="1"/>
  <c r="E1250" i="123"/>
  <c r="H1250" i="123" s="1"/>
  <c r="E1656" i="123"/>
  <c r="H1656" i="123" s="1"/>
  <c r="H1658" i="123" s="1"/>
  <c r="E1657" i="123" s="1"/>
  <c r="I1657" i="123" s="1"/>
  <c r="I1658" i="123" s="1"/>
  <c r="B1658" i="123" s="1"/>
  <c r="B1659" i="123" s="1"/>
  <c r="E892" i="123"/>
  <c r="H892" i="123" s="1"/>
  <c r="E240" i="123"/>
  <c r="H240" i="123" s="1"/>
  <c r="H241" i="123" s="1"/>
  <c r="E375" i="81"/>
  <c r="H375" i="81" s="1"/>
  <c r="E212" i="130"/>
  <c r="H212" i="130" s="1"/>
  <c r="E354" i="137"/>
  <c r="H354" i="137" s="1"/>
  <c r="E10" i="137"/>
  <c r="H10" i="137" s="1"/>
  <c r="E1023" i="81"/>
  <c r="H1023" i="81" s="1"/>
  <c r="E1082" i="130"/>
  <c r="H1082" i="130" s="1"/>
  <c r="E120" i="130"/>
  <c r="H120" i="130" s="1"/>
  <c r="E157" i="122"/>
  <c r="H157" i="122" s="1"/>
  <c r="E1157" i="123"/>
  <c r="H1157" i="123" s="1"/>
  <c r="E1674" i="123"/>
  <c r="H1674" i="123" s="1"/>
  <c r="C40" i="108"/>
  <c r="F40" i="108" s="1"/>
  <c r="F44" i="108" s="1"/>
  <c r="E32" i="108" s="1"/>
  <c r="F32" i="108" s="1"/>
  <c r="F37" i="108" s="1"/>
  <c r="F52" i="108" s="1"/>
  <c r="E395" i="124"/>
  <c r="H395" i="124" s="1"/>
  <c r="E476" i="137"/>
  <c r="H476" i="137" s="1"/>
  <c r="E917" i="81"/>
  <c r="H917" i="81" s="1"/>
  <c r="E62" i="6"/>
  <c r="H62" i="6" s="1"/>
  <c r="E38" i="122"/>
  <c r="H38" i="122" s="1"/>
  <c r="E272" i="123"/>
  <c r="H272" i="123" s="1"/>
  <c r="E463" i="123"/>
  <c r="H463" i="123" s="1"/>
  <c r="E402" i="123"/>
  <c r="H402" i="123" s="1"/>
  <c r="E172" i="122"/>
  <c r="H172" i="122" s="1"/>
  <c r="E512" i="124"/>
  <c r="H512" i="124" s="1"/>
  <c r="E532" i="137"/>
  <c r="H532" i="137" s="1"/>
  <c r="E294" i="81"/>
  <c r="H294" i="81" s="1"/>
  <c r="E947" i="81"/>
  <c r="H947" i="81" s="1"/>
  <c r="E29" i="130"/>
  <c r="H29" i="130" s="1"/>
  <c r="E495" i="123"/>
  <c r="H495" i="123" s="1"/>
  <c r="E1147" i="123"/>
  <c r="H1147" i="123" s="1"/>
  <c r="E480" i="123"/>
  <c r="H480" i="123" s="1"/>
  <c r="E303" i="123"/>
  <c r="H303" i="123" s="1"/>
  <c r="E1332" i="123"/>
  <c r="H1332" i="123" s="1"/>
  <c r="E1279" i="123"/>
  <c r="H1279" i="123" s="1"/>
  <c r="E203" i="124"/>
  <c r="H203" i="124" s="1"/>
  <c r="E147" i="81"/>
  <c r="H147" i="81" s="1"/>
  <c r="E188" i="130"/>
  <c r="H188" i="130" s="1"/>
  <c r="E1440" i="123"/>
  <c r="H1440" i="123" s="1"/>
  <c r="E294" i="123"/>
  <c r="H294" i="123" s="1"/>
  <c r="E1503" i="123"/>
  <c r="H1503" i="123" s="1"/>
  <c r="E448" i="123"/>
  <c r="H448" i="123" s="1"/>
  <c r="E1609" i="123"/>
  <c r="H1609" i="123" s="1"/>
  <c r="G106" i="126"/>
  <c r="H106" i="126" s="1"/>
  <c r="F854" i="113"/>
  <c r="F473" i="125"/>
  <c r="E539" i="140"/>
  <c r="F539" i="140" s="1"/>
  <c r="F538" i="140" s="1"/>
  <c r="E510" i="113"/>
  <c r="F510" i="113" s="1"/>
  <c r="F509" i="113" s="1"/>
  <c r="E539" i="152"/>
  <c r="F539" i="152" s="1"/>
  <c r="F538" i="152" s="1"/>
  <c r="F153" i="86"/>
  <c r="F152" i="86" s="1"/>
  <c r="E313" i="81"/>
  <c r="H313" i="81" s="1"/>
  <c r="E1703" i="130"/>
  <c r="H1703" i="130" s="1"/>
  <c r="E2270" i="130"/>
  <c r="H2270" i="130" s="1"/>
  <c r="E545" i="124"/>
  <c r="H545" i="124" s="1"/>
  <c r="E480" i="124"/>
  <c r="H480" i="124" s="1"/>
  <c r="E376" i="124"/>
  <c r="H376" i="124" s="1"/>
  <c r="E358" i="124"/>
  <c r="H358" i="124" s="1"/>
  <c r="E2502" i="130"/>
  <c r="H2502" i="130" s="1"/>
  <c r="E610" i="137"/>
  <c r="H610" i="137" s="1"/>
  <c r="E581" i="137"/>
  <c r="H581" i="137" s="1"/>
  <c r="E475" i="137"/>
  <c r="H475" i="137" s="1"/>
  <c r="H479" i="137" s="1"/>
  <c r="E404" i="137"/>
  <c r="H404" i="137" s="1"/>
  <c r="H407" i="137" s="1"/>
  <c r="E335" i="137"/>
  <c r="H335" i="137" s="1"/>
  <c r="E282" i="137"/>
  <c r="H282" i="137" s="1"/>
  <c r="E147" i="137"/>
  <c r="H147" i="137" s="1"/>
  <c r="H151" i="137" s="1"/>
  <c r="E78" i="137"/>
  <c r="H78" i="137" s="1"/>
  <c r="E61" i="137"/>
  <c r="H61" i="137" s="1"/>
  <c r="E470" i="130"/>
  <c r="H470" i="130" s="1"/>
  <c r="E365" i="130"/>
  <c r="H365" i="130" s="1"/>
  <c r="E421" i="130"/>
  <c r="H421" i="130" s="1"/>
  <c r="E1542" i="130"/>
  <c r="H1542" i="130" s="1"/>
  <c r="E918" i="137"/>
  <c r="H918" i="137" s="1"/>
  <c r="E79" i="81"/>
  <c r="H79" i="81" s="1"/>
  <c r="H80" i="81" s="1"/>
  <c r="E77" i="81" s="1"/>
  <c r="I77" i="81" s="1"/>
  <c r="I80" i="81" s="1"/>
  <c r="B80" i="81" s="1"/>
  <c r="B81" i="81" s="1"/>
  <c r="E2123" i="130"/>
  <c r="H2123" i="130" s="1"/>
  <c r="E1933" i="130"/>
  <c r="H1933" i="130" s="1"/>
  <c r="E2540" i="130"/>
  <c r="H2540" i="130" s="1"/>
  <c r="E1306" i="130"/>
  <c r="H1306" i="130" s="1"/>
  <c r="E1415" i="130"/>
  <c r="H1415" i="130" s="1"/>
  <c r="E1780" i="130"/>
  <c r="H1780" i="130" s="1"/>
  <c r="E1606" i="130"/>
  <c r="H1606" i="130" s="1"/>
  <c r="E2510" i="130"/>
  <c r="H2510" i="130" s="1"/>
  <c r="E1622" i="130"/>
  <c r="H1622" i="130" s="1"/>
  <c r="E1257" i="130"/>
  <c r="H1257" i="130" s="1"/>
  <c r="E675" i="130"/>
  <c r="H675" i="130" s="1"/>
  <c r="E626" i="130"/>
  <c r="H626" i="130" s="1"/>
  <c r="E2476" i="130"/>
  <c r="H2476" i="130" s="1"/>
  <c r="E280" i="130"/>
  <c r="H280" i="130" s="1"/>
  <c r="E74" i="124"/>
  <c r="H74" i="124" s="1"/>
  <c r="E1518" i="123"/>
  <c r="H1518" i="123" s="1"/>
  <c r="H1521" i="123" s="1"/>
  <c r="E1579" i="123"/>
  <c r="H1579" i="123" s="1"/>
  <c r="E845" i="123"/>
  <c r="H845" i="123" s="1"/>
  <c r="E1010" i="123"/>
  <c r="H1010" i="123" s="1"/>
  <c r="E1425" i="123"/>
  <c r="H1425" i="123" s="1"/>
  <c r="E282" i="123"/>
  <c r="H282" i="123" s="1"/>
  <c r="H285" i="123" s="1"/>
  <c r="E279" i="123" s="1"/>
  <c r="I279" i="123" s="1"/>
  <c r="I285" i="123" s="1"/>
  <c r="B285" i="123" s="1"/>
  <c r="B286" i="123" s="1"/>
  <c r="E464" i="123"/>
  <c r="H464" i="123" s="1"/>
  <c r="E271" i="123"/>
  <c r="H271" i="123" s="1"/>
  <c r="E1486" i="123"/>
  <c r="H1486" i="123" s="1"/>
  <c r="H1490" i="123" s="1"/>
  <c r="B1490" i="123" s="1"/>
  <c r="B1491" i="123" s="1"/>
  <c r="E1167" i="123"/>
  <c r="H1167" i="123" s="1"/>
  <c r="H1171" i="123" s="1"/>
  <c r="E858" i="123"/>
  <c r="H858" i="123" s="1"/>
  <c r="E870" i="123"/>
  <c r="H870" i="123" s="1"/>
  <c r="E103" i="123"/>
  <c r="H103" i="123" s="1"/>
  <c r="E569" i="81"/>
  <c r="H569" i="81" s="1"/>
  <c r="H572" i="81" s="1"/>
  <c r="E571" i="81" s="1"/>
  <c r="I571" i="81" s="1"/>
  <c r="I572" i="81" s="1"/>
  <c r="B572" i="81" s="1"/>
  <c r="B573" i="81" s="1"/>
  <c r="E394" i="81"/>
  <c r="H394" i="81" s="1"/>
  <c r="E1655" i="130"/>
  <c r="H1655" i="130" s="1"/>
  <c r="E2364" i="130"/>
  <c r="H2364" i="130" s="1"/>
  <c r="E529" i="124"/>
  <c r="H529" i="124" s="1"/>
  <c r="E464" i="124"/>
  <c r="H464" i="124" s="1"/>
  <c r="H467" i="124" s="1"/>
  <c r="E466" i="124" s="1"/>
  <c r="I466" i="124" s="1"/>
  <c r="I467" i="124" s="1"/>
  <c r="B467" i="124" s="1"/>
  <c r="B468" i="124" s="1"/>
  <c r="F92" i="126" s="1"/>
  <c r="E342" i="124"/>
  <c r="H342" i="124" s="1"/>
  <c r="H345" i="124" s="1"/>
  <c r="E344" i="124" s="1"/>
  <c r="I344" i="124" s="1"/>
  <c r="I345" i="124" s="1"/>
  <c r="B345" i="124" s="1"/>
  <c r="B346" i="124" s="1"/>
  <c r="F85" i="126" s="1"/>
  <c r="E326" i="124"/>
  <c r="H326" i="124" s="1"/>
  <c r="H329" i="124" s="1"/>
  <c r="E548" i="137"/>
  <c r="H548" i="137" s="1"/>
  <c r="E387" i="137"/>
  <c r="H387" i="137" s="1"/>
  <c r="E265" i="137"/>
  <c r="H265" i="137" s="1"/>
  <c r="H269" i="137" s="1"/>
  <c r="E198" i="137"/>
  <c r="H198" i="137" s="1"/>
  <c r="E113" i="137"/>
  <c r="H113" i="137" s="1"/>
  <c r="H118" i="137" s="1"/>
  <c r="E117" i="137" s="1"/>
  <c r="I117" i="137" s="1"/>
  <c r="I118" i="137" s="1"/>
  <c r="B118" i="137" s="1"/>
  <c r="B119" i="137" s="1"/>
  <c r="E131" i="118" s="1"/>
  <c r="F131" i="118" s="1"/>
  <c r="E44" i="137"/>
  <c r="H44" i="137" s="1"/>
  <c r="E554" i="81"/>
  <c r="H554" i="81" s="1"/>
  <c r="H557" i="81" s="1"/>
  <c r="E512" i="130"/>
  <c r="H512" i="130" s="1"/>
  <c r="E430" i="130"/>
  <c r="H430" i="130" s="1"/>
  <c r="E457" i="130"/>
  <c r="H457" i="130" s="1"/>
  <c r="E1065" i="130"/>
  <c r="H1065" i="130" s="1"/>
  <c r="E289" i="139"/>
  <c r="H289" i="139" s="1"/>
  <c r="H291" i="139" s="1"/>
  <c r="E2069" i="130"/>
  <c r="H2069" i="130" s="1"/>
  <c r="E1873" i="130"/>
  <c r="H1873" i="130" s="1"/>
  <c r="E1241" i="130"/>
  <c r="H1241" i="130" s="1"/>
  <c r="E1978" i="130"/>
  <c r="H1978" i="130" s="1"/>
  <c r="E1353" i="130"/>
  <c r="H1353" i="130" s="1"/>
  <c r="E1385" i="130"/>
  <c r="H1385" i="130" s="1"/>
  <c r="E1175" i="130"/>
  <c r="H1175" i="130" s="1"/>
  <c r="E1081" i="130"/>
  <c r="H1081" i="130" s="1"/>
  <c r="E1160" i="130"/>
  <c r="H1160" i="130" s="1"/>
  <c r="E339" i="130"/>
  <c r="H339" i="130" s="1"/>
  <c r="E823" i="130"/>
  <c r="H823" i="130" s="1"/>
  <c r="E903" i="130"/>
  <c r="H903" i="130" s="1"/>
  <c r="E920" i="130"/>
  <c r="H920" i="130" s="1"/>
  <c r="E116" i="123"/>
  <c r="H116" i="123" s="1"/>
  <c r="E108" i="124"/>
  <c r="H108" i="124" s="1"/>
  <c r="E1348" i="123"/>
  <c r="H1348" i="123" s="1"/>
  <c r="H1351" i="123" s="1"/>
  <c r="B1351" i="123" s="1"/>
  <c r="B1352" i="123" s="1"/>
  <c r="E1301" i="123"/>
  <c r="H1301" i="123" s="1"/>
  <c r="E161" i="123"/>
  <c r="H161" i="123" s="1"/>
  <c r="E578" i="123"/>
  <c r="H578" i="123" s="1"/>
  <c r="H581" i="123" s="1"/>
  <c r="E580" i="123" s="1"/>
  <c r="I580" i="123" s="1"/>
  <c r="I581" i="123" s="1"/>
  <c r="B581" i="123" s="1"/>
  <c r="B582" i="123" s="1"/>
  <c r="E1278" i="123"/>
  <c r="H1278" i="123" s="1"/>
  <c r="H1281" i="123" s="1"/>
  <c r="E393" i="123"/>
  <c r="H393" i="123" s="1"/>
  <c r="H394" i="123" s="1"/>
  <c r="B394" i="123" s="1"/>
  <c r="B395" i="123" s="1"/>
  <c r="E1731" i="123"/>
  <c r="H1731" i="123" s="1"/>
  <c r="E1093" i="123"/>
  <c r="H1093" i="123" s="1"/>
  <c r="E1470" i="123"/>
  <c r="H1470" i="123" s="1"/>
  <c r="E449" i="123"/>
  <c r="H449" i="123" s="1"/>
  <c r="E95" i="124"/>
  <c r="H95" i="124" s="1"/>
  <c r="E988" i="123"/>
  <c r="H988" i="123" s="1"/>
  <c r="E833" i="123"/>
  <c r="H833" i="123" s="1"/>
  <c r="E887" i="81"/>
  <c r="H887" i="81" s="1"/>
  <c r="E994" i="81"/>
  <c r="H994" i="81" s="1"/>
  <c r="E962" i="81"/>
  <c r="H962" i="81" s="1"/>
  <c r="E916" i="81"/>
  <c r="H916" i="81" s="1"/>
  <c r="E760" i="81"/>
  <c r="H760" i="81" s="1"/>
  <c r="E223" i="81"/>
  <c r="H223" i="81" s="1"/>
  <c r="E146" i="81"/>
  <c r="H146" i="81" s="1"/>
  <c r="E275" i="124"/>
  <c r="H275" i="124" s="1"/>
  <c r="H278" i="124" s="1"/>
  <c r="E277" i="124" s="1"/>
  <c r="I277" i="124" s="1"/>
  <c r="I278" i="124" s="1"/>
  <c r="B278" i="124" s="1"/>
  <c r="B279" i="124" s="1"/>
  <c r="F52" i="126" s="1"/>
  <c r="E509" i="140" s="1"/>
  <c r="F509" i="140" s="1"/>
  <c r="E430" i="124"/>
  <c r="H430" i="124" s="1"/>
  <c r="E596" i="137"/>
  <c r="H596" i="137" s="1"/>
  <c r="H598" i="137" s="1"/>
  <c r="E597" i="137" s="1"/>
  <c r="I597" i="137" s="1"/>
  <c r="I598" i="137" s="1"/>
  <c r="B598" i="137" s="1"/>
  <c r="B599" i="137" s="1"/>
  <c r="E512" i="137"/>
  <c r="H512" i="137" s="1"/>
  <c r="E457" i="137"/>
  <c r="H457" i="137" s="1"/>
  <c r="H461" i="137" s="1"/>
  <c r="E460" i="137" s="1"/>
  <c r="I460" i="137" s="1"/>
  <c r="I461" i="137" s="1"/>
  <c r="B461" i="137" s="1"/>
  <c r="B462" i="137" s="1"/>
  <c r="E150" i="118" s="1"/>
  <c r="E353" i="137"/>
  <c r="H353" i="137" s="1"/>
  <c r="E215" i="137"/>
  <c r="H215" i="137" s="1"/>
  <c r="E131" i="137"/>
  <c r="H131" i="137" s="1"/>
  <c r="E26" i="137"/>
  <c r="H26" i="137" s="1"/>
  <c r="H31" i="137" s="1"/>
  <c r="E1993" i="130"/>
  <c r="H1993" i="130" s="1"/>
  <c r="E1461" i="130"/>
  <c r="H1461" i="130" s="1"/>
  <c r="E1493" i="130"/>
  <c r="H1493" i="130" s="1"/>
  <c r="E691" i="130"/>
  <c r="H691" i="130" s="1"/>
  <c r="E580" i="130"/>
  <c r="H580" i="130" s="1"/>
  <c r="E1051" i="130"/>
  <c r="H1051" i="130" s="1"/>
  <c r="E249" i="130"/>
  <c r="H249" i="130" s="1"/>
  <c r="E302" i="123"/>
  <c r="H302" i="123" s="1"/>
  <c r="H305" i="123" s="1"/>
  <c r="E301" i="123" s="1"/>
  <c r="I301" i="123" s="1"/>
  <c r="I305" i="123" s="1"/>
  <c r="B305" i="123" s="1"/>
  <c r="B306" i="123" s="1"/>
  <c r="E75" i="123"/>
  <c r="H75" i="123" s="1"/>
  <c r="E1103" i="123"/>
  <c r="H1103" i="123" s="1"/>
  <c r="E1249" i="123"/>
  <c r="H1249" i="123" s="1"/>
  <c r="E1641" i="123"/>
  <c r="H1641" i="123" s="1"/>
  <c r="H1644" i="123" s="1"/>
  <c r="E1331" i="123"/>
  <c r="H1331" i="123" s="1"/>
  <c r="E401" i="123"/>
  <c r="H401" i="123" s="1"/>
  <c r="E1021" i="123"/>
  <c r="H1021" i="123" s="1"/>
  <c r="H1025" i="123" s="1"/>
  <c r="E239" i="123"/>
  <c r="E1593" i="123"/>
  <c r="H1593" i="123" s="1"/>
  <c r="H1596" i="123" s="1"/>
  <c r="E1233" i="123"/>
  <c r="H1233" i="123" s="1"/>
  <c r="H1236" i="123" s="1"/>
  <c r="E1231" i="123" s="1"/>
  <c r="I1231" i="123" s="1"/>
  <c r="I1236" i="123" s="1"/>
  <c r="E496" i="123"/>
  <c r="H496" i="123" s="1"/>
  <c r="E1009" i="81"/>
  <c r="H1009" i="81" s="1"/>
  <c r="E836" i="81"/>
  <c r="H836" i="81" s="1"/>
  <c r="E946" i="81"/>
  <c r="H946" i="81" s="1"/>
  <c r="H949" i="81" s="1"/>
  <c r="E948" i="81" s="1"/>
  <c r="I948" i="81" s="1"/>
  <c r="I949" i="81" s="1"/>
  <c r="B949" i="81" s="1"/>
  <c r="B950" i="81" s="1"/>
  <c r="E185" i="86" s="1"/>
  <c r="E178" i="81"/>
  <c r="H178" i="81" s="1"/>
  <c r="E434" i="81"/>
  <c r="H434" i="81" s="1"/>
  <c r="E235" i="81"/>
  <c r="H235" i="81" s="1"/>
  <c r="E269" i="81"/>
  <c r="H269" i="81" s="1"/>
  <c r="E2384" i="130"/>
  <c r="H2384" i="130" s="1"/>
  <c r="H2387" i="130" s="1"/>
  <c r="E966" i="130"/>
  <c r="H966" i="130" s="1"/>
  <c r="E259" i="124"/>
  <c r="H259" i="124" s="1"/>
  <c r="H262" i="124" s="1"/>
  <c r="E496" i="124"/>
  <c r="H496" i="124" s="1"/>
  <c r="E394" i="124"/>
  <c r="H394" i="124" s="1"/>
  <c r="H399" i="124" s="1"/>
  <c r="E398" i="124" s="1"/>
  <c r="I398" i="124" s="1"/>
  <c r="I399" i="124" s="1"/>
  <c r="B399" i="124" s="1"/>
  <c r="B400" i="124" s="1"/>
  <c r="F88" i="126" s="1"/>
  <c r="E295" i="124"/>
  <c r="H295" i="124" s="1"/>
  <c r="E531" i="137"/>
  <c r="H531" i="137" s="1"/>
  <c r="E420" i="137"/>
  <c r="H420" i="137" s="1"/>
  <c r="E317" i="137"/>
  <c r="H317" i="137" s="1"/>
  <c r="H322" i="137" s="1"/>
  <c r="E247" i="137"/>
  <c r="H247" i="137" s="1"/>
  <c r="H251" i="137" s="1"/>
  <c r="E9" i="137"/>
  <c r="H9" i="137" s="1"/>
  <c r="H13" i="137" s="1"/>
  <c r="E399" i="130"/>
  <c r="H399" i="130" s="1"/>
  <c r="E2023" i="130"/>
  <c r="H2023" i="130" s="1"/>
  <c r="E1765" i="130"/>
  <c r="H1765" i="130" s="1"/>
  <c r="E1430" i="130"/>
  <c r="H1430" i="130" s="1"/>
  <c r="E563" i="130"/>
  <c r="H563" i="130" s="1"/>
  <c r="E2461" i="130"/>
  <c r="H2461" i="130" s="1"/>
  <c r="E807" i="130"/>
  <c r="H807" i="130" s="1"/>
  <c r="E62" i="124"/>
  <c r="H62" i="124" s="1"/>
  <c r="E1031" i="123"/>
  <c r="H1031" i="123" s="1"/>
  <c r="H1035" i="123" s="1"/>
  <c r="E814" i="123"/>
  <c r="H814" i="123" s="1"/>
  <c r="E1317" i="123"/>
  <c r="H1317" i="123" s="1"/>
  <c r="E1533" i="123"/>
  <c r="H1533" i="123" s="1"/>
  <c r="E901" i="123"/>
  <c r="H901" i="123" s="1"/>
  <c r="E1051" i="123"/>
  <c r="H1051" i="123" s="1"/>
  <c r="E148" i="123"/>
  <c r="H148" i="123" s="1"/>
  <c r="E1395" i="123"/>
  <c r="H1395" i="123" s="1"/>
  <c r="E562" i="123"/>
  <c r="H562" i="123" s="1"/>
  <c r="H566" i="123" s="1"/>
  <c r="E1156" i="123"/>
  <c r="H1156" i="123" s="1"/>
  <c r="E1113" i="123"/>
  <c r="H1113" i="123" s="1"/>
  <c r="E891" i="123"/>
  <c r="H891" i="123" s="1"/>
  <c r="E1062" i="81"/>
  <c r="H1062" i="81" s="1"/>
  <c r="E901" i="81"/>
  <c r="H901" i="81" s="1"/>
  <c r="E780" i="81"/>
  <c r="H780" i="81" s="1"/>
  <c r="E728" i="81"/>
  <c r="H728" i="81" s="1"/>
  <c r="E293" i="81"/>
  <c r="H293" i="81" s="1"/>
  <c r="E170" i="81"/>
  <c r="H170" i="81" s="1"/>
  <c r="E511" i="124"/>
  <c r="H511" i="124" s="1"/>
  <c r="E310" i="124"/>
  <c r="H310" i="124" s="1"/>
  <c r="E565" i="137"/>
  <c r="H565" i="137" s="1"/>
  <c r="E370" i="137"/>
  <c r="H370" i="137" s="1"/>
  <c r="E164" i="137"/>
  <c r="H164" i="137" s="1"/>
  <c r="E527" i="130"/>
  <c r="H527" i="130" s="1"/>
  <c r="E896" i="137"/>
  <c r="H896" i="137" s="1"/>
  <c r="E2053" i="130"/>
  <c r="H2053" i="130" s="1"/>
  <c r="E1827" i="130"/>
  <c r="H1827" i="130" s="1"/>
  <c r="E1338" i="130"/>
  <c r="H1338" i="130" s="1"/>
  <c r="E321" i="130"/>
  <c r="H321" i="130" s="1"/>
  <c r="E920" i="123"/>
  <c r="H920" i="123" s="1"/>
  <c r="E936" i="123"/>
  <c r="H936" i="123" s="1"/>
  <c r="E1502" i="123"/>
  <c r="H1502" i="123" s="1"/>
  <c r="H1505" i="123" s="1"/>
  <c r="B1505" i="123" s="1"/>
  <c r="B1506" i="123" s="1"/>
  <c r="E593" i="123"/>
  <c r="H593" i="123" s="1"/>
  <c r="E1608" i="123"/>
  <c r="H1608" i="123" s="1"/>
  <c r="E968" i="123"/>
  <c r="H968" i="123" s="1"/>
  <c r="E383" i="123"/>
  <c r="H383" i="123" s="1"/>
  <c r="E1455" i="123"/>
  <c r="H1455" i="123" s="1"/>
  <c r="E1044" i="81"/>
  <c r="H1044" i="81" s="1"/>
  <c r="E1024" i="81"/>
  <c r="H1024" i="81" s="1"/>
  <c r="E454" i="81"/>
  <c r="H454" i="81" s="1"/>
  <c r="E448" i="124"/>
  <c r="H448" i="124" s="1"/>
  <c r="E689" i="137"/>
  <c r="H689" i="137" s="1"/>
  <c r="H694" i="137" s="1"/>
  <c r="E693" i="137" s="1"/>
  <c r="I693" i="137" s="1"/>
  <c r="I694" i="137" s="1"/>
  <c r="B694" i="137" s="1"/>
  <c r="B695" i="137" s="1"/>
  <c r="E164" i="118" s="1"/>
  <c r="E496" i="137"/>
  <c r="H496" i="137" s="1"/>
  <c r="E299" i="137"/>
  <c r="H299" i="137" s="1"/>
  <c r="H303" i="137" s="1"/>
  <c r="E302" i="137" s="1"/>
  <c r="I302" i="137" s="1"/>
  <c r="I303" i="137" s="1"/>
  <c r="B303" i="137" s="1"/>
  <c r="B304" i="137" s="1"/>
  <c r="E141" i="118" s="1"/>
  <c r="E95" i="137"/>
  <c r="H95" i="137" s="1"/>
  <c r="E110" i="136"/>
  <c r="H110" i="136" s="1"/>
  <c r="E1857" i="130"/>
  <c r="H1857" i="130" s="1"/>
  <c r="E1011" i="130"/>
  <c r="H1011" i="130" s="1"/>
  <c r="E2430" i="130"/>
  <c r="H2430" i="130" s="1"/>
  <c r="E418" i="123"/>
  <c r="H418" i="123" s="1"/>
  <c r="E1626" i="123"/>
  <c r="H1626" i="123" s="1"/>
  <c r="E913" i="123"/>
  <c r="H913" i="123" s="1"/>
  <c r="E254" i="123"/>
  <c r="H254" i="123" s="1"/>
  <c r="H256" i="123" s="1"/>
  <c r="E124" i="124"/>
  <c r="H124" i="124" s="1"/>
  <c r="E433" i="123"/>
  <c r="H433" i="123" s="1"/>
  <c r="H436" i="123" s="1"/>
  <c r="E435" i="123" s="1"/>
  <c r="I435" i="123" s="1"/>
  <c r="I436" i="123" s="1"/>
  <c r="B436" i="123" s="1"/>
  <c r="B437" i="123" s="1"/>
  <c r="E800" i="81"/>
  <c r="H800" i="81" s="1"/>
  <c r="E868" i="81"/>
  <c r="H868" i="81" s="1"/>
  <c r="E543" i="81"/>
  <c r="H543" i="81" s="1"/>
  <c r="E474" i="81"/>
  <c r="H474" i="81" s="1"/>
  <c r="E2209" i="130"/>
  <c r="H2209" i="130" s="1"/>
  <c r="E412" i="124"/>
  <c r="H412" i="124" s="1"/>
  <c r="H417" i="124" s="1"/>
  <c r="E416" i="124" s="1"/>
  <c r="I416" i="124" s="1"/>
  <c r="I417" i="124" s="1"/>
  <c r="B417" i="124" s="1"/>
  <c r="B418" i="124" s="1"/>
  <c r="F89" i="126" s="1"/>
  <c r="E657" i="137"/>
  <c r="H657" i="137" s="1"/>
  <c r="H661" i="137" s="1"/>
  <c r="E438" i="137"/>
  <c r="H438" i="137" s="1"/>
  <c r="E489" i="130"/>
  <c r="H489" i="130" s="1"/>
  <c r="E1557" i="130"/>
  <c r="H1557" i="130" s="1"/>
  <c r="E1687" i="130"/>
  <c r="H1687" i="130" s="1"/>
  <c r="E935" i="130"/>
  <c r="H935" i="130" s="1"/>
  <c r="E1291" i="123"/>
  <c r="H1291" i="123" s="1"/>
  <c r="E1178" i="123"/>
  <c r="H1178" i="123" s="1"/>
  <c r="E139" i="124"/>
  <c r="H139" i="124" s="1"/>
  <c r="E999" i="123"/>
  <c r="H999" i="123" s="1"/>
  <c r="E1266" i="123"/>
  <c r="H1266" i="123" s="1"/>
  <c r="E154" i="124"/>
  <c r="H154" i="124" s="1"/>
  <c r="E216" i="123"/>
  <c r="H216" i="123" s="1"/>
  <c r="E352" i="123"/>
  <c r="H352" i="123" s="1"/>
  <c r="H355" i="123" s="1"/>
  <c r="B355" i="123" s="1"/>
  <c r="B356" i="123" s="1"/>
  <c r="E852" i="81"/>
  <c r="H852" i="81" s="1"/>
  <c r="H855" i="81" s="1"/>
  <c r="E854" i="81" s="1"/>
  <c r="I854" i="81" s="1"/>
  <c r="I855" i="81" s="1"/>
  <c r="B855" i="81" s="1"/>
  <c r="B856" i="81" s="1"/>
  <c r="E179" i="86" s="1"/>
  <c r="E195" i="81"/>
  <c r="H195" i="81" s="1"/>
  <c r="E279" i="81"/>
  <c r="H279" i="81" s="1"/>
  <c r="E1224" i="130"/>
  <c r="H1224" i="130" s="1"/>
  <c r="E1041" i="123"/>
  <c r="H1041" i="123" s="1"/>
  <c r="E166" i="124"/>
  <c r="H166" i="124" s="1"/>
  <c r="E189" i="123"/>
  <c r="H189" i="123" s="1"/>
  <c r="H192" i="123" s="1"/>
  <c r="E190" i="123" s="1"/>
  <c r="I190" i="123" s="1"/>
  <c r="I192" i="123" s="1"/>
  <c r="B192" i="123" s="1"/>
  <c r="B193" i="123" s="1"/>
  <c r="E180" i="137"/>
  <c r="H180" i="137" s="1"/>
  <c r="E1888" i="130"/>
  <c r="H1888" i="130" s="1"/>
  <c r="E931" i="81"/>
  <c r="H931" i="81" s="1"/>
  <c r="E739" i="130"/>
  <c r="H739" i="130" s="1"/>
  <c r="E1133" i="123"/>
  <c r="H1133" i="123" s="1"/>
  <c r="H1137" i="123" s="1"/>
  <c r="E1136" i="123" s="1"/>
  <c r="I1136" i="123" s="1"/>
  <c r="I1137" i="123" s="1"/>
  <c r="B1137" i="123" s="1"/>
  <c r="B1138" i="123" s="1"/>
  <c r="E565" i="124"/>
  <c r="H565" i="124" s="1"/>
  <c r="H568" i="124" s="1"/>
  <c r="E567" i="124" s="1"/>
  <c r="I567" i="124" s="1"/>
  <c r="I568" i="124" s="1"/>
  <c r="B568" i="124" s="1"/>
  <c r="B569" i="124" s="1"/>
  <c r="F99" i="126" s="1"/>
  <c r="E533" i="140" s="1"/>
  <c r="F533" i="140" s="1"/>
  <c r="E788" i="130"/>
  <c r="H788" i="130" s="1"/>
  <c r="E589" i="81"/>
  <c r="H589" i="81" s="1"/>
  <c r="H592" i="81" s="1"/>
  <c r="E591" i="81" s="1"/>
  <c r="I591" i="81" s="1"/>
  <c r="I592" i="81" s="1"/>
  <c r="B592" i="81" s="1"/>
  <c r="B593" i="81" s="1"/>
  <c r="E109" i="86" s="1"/>
  <c r="F109" i="86" s="1"/>
  <c r="E414" i="81"/>
  <c r="H414" i="81" s="1"/>
  <c r="E996" i="130"/>
  <c r="H996" i="130" s="1"/>
  <c r="E2193" i="130"/>
  <c r="H2193" i="130" s="1"/>
  <c r="E646" i="139"/>
  <c r="H646" i="139" s="1"/>
  <c r="E388" i="130"/>
  <c r="H388" i="130" s="1"/>
  <c r="E411" i="130"/>
  <c r="H411" i="130" s="1"/>
  <c r="E1336" i="137"/>
  <c r="H1336" i="137" s="1"/>
  <c r="E2038" i="130"/>
  <c r="H2038" i="130" s="1"/>
  <c r="E1963" i="130"/>
  <c r="H1963" i="130" s="1"/>
  <c r="E1370" i="130"/>
  <c r="H1370" i="130" s="1"/>
  <c r="E2008" i="130"/>
  <c r="H2008" i="130" s="1"/>
  <c r="E1511" i="130"/>
  <c r="H1511" i="130" s="1"/>
  <c r="E1795" i="130"/>
  <c r="H1795" i="130" s="1"/>
  <c r="E1527" i="130"/>
  <c r="H1527" i="130" s="1"/>
  <c r="E1671" i="130"/>
  <c r="H1671" i="130" s="1"/>
  <c r="E1129" i="130"/>
  <c r="H1129" i="130" s="1"/>
  <c r="E641" i="130"/>
  <c r="H641" i="130" s="1"/>
  <c r="E888" i="130"/>
  <c r="H888" i="130" s="1"/>
  <c r="E2488" i="130"/>
  <c r="H2488" i="130" s="1"/>
  <c r="E2446" i="130"/>
  <c r="H2446" i="130" s="1"/>
  <c r="E295" i="130"/>
  <c r="H295" i="130" s="1"/>
  <c r="E1563" i="123"/>
  <c r="H1563" i="123" s="1"/>
  <c r="E1439" i="123"/>
  <c r="H1439" i="123" s="1"/>
  <c r="E1146" i="123"/>
  <c r="H1146" i="123" s="1"/>
  <c r="E1673" i="123"/>
  <c r="H1673" i="123" s="1"/>
  <c r="E1745" i="123"/>
  <c r="H1745" i="123" s="1"/>
  <c r="E178" i="124"/>
  <c r="H178" i="124" s="1"/>
  <c r="E439" i="130"/>
  <c r="H439" i="130" s="1"/>
  <c r="E88" i="136"/>
  <c r="H88" i="136" s="1"/>
  <c r="E1400" i="130"/>
  <c r="H1400" i="130" s="1"/>
  <c r="E1207" i="130"/>
  <c r="H1207" i="130" s="1"/>
  <c r="E951" i="130"/>
  <c r="H951" i="130" s="1"/>
  <c r="E840" i="130"/>
  <c r="H840" i="130" s="1"/>
  <c r="E954" i="123"/>
  <c r="H954" i="123" s="1"/>
  <c r="H956" i="123" s="1"/>
  <c r="E951" i="123" s="1"/>
  <c r="I951" i="123" s="1"/>
  <c r="I956" i="123" s="1"/>
  <c r="B956" i="123" s="1"/>
  <c r="B957" i="123" s="1"/>
  <c r="E334" i="123"/>
  <c r="H334" i="123" s="1"/>
  <c r="H337" i="123" s="1"/>
  <c r="E374" i="81"/>
  <c r="H374" i="81" s="1"/>
  <c r="H377" i="81" s="1"/>
  <c r="E376" i="81" s="1"/>
  <c r="I376" i="81" s="1"/>
  <c r="I377" i="81" s="1"/>
  <c r="B377" i="81" s="1"/>
  <c r="B378" i="81" s="1"/>
  <c r="E47" i="86" s="1"/>
  <c r="E137" i="140" s="1"/>
  <c r="F137" i="140" s="1"/>
  <c r="E1098" i="130"/>
  <c r="H1098" i="130" s="1"/>
  <c r="E981" i="130"/>
  <c r="H981" i="130" s="1"/>
  <c r="E488" i="81"/>
  <c r="H488" i="81" s="1"/>
  <c r="H496" i="81" s="1"/>
  <c r="E544" i="130"/>
  <c r="H544" i="130" s="1"/>
  <c r="E355" i="130"/>
  <c r="H355" i="130" s="1"/>
  <c r="E375" i="130"/>
  <c r="H375" i="130" s="1"/>
  <c r="E569" i="139"/>
  <c r="H569" i="139" s="1"/>
  <c r="E2099" i="130"/>
  <c r="H2099" i="130" s="1"/>
  <c r="E1903" i="130"/>
  <c r="H1903" i="130" s="1"/>
  <c r="E1918" i="130"/>
  <c r="H1918" i="130" s="1"/>
  <c r="E1948" i="130"/>
  <c r="H1948" i="130" s="1"/>
  <c r="E1322" i="130"/>
  <c r="H1322" i="130" s="1"/>
  <c r="E773" i="130"/>
  <c r="H773" i="130" s="1"/>
  <c r="E1273" i="130"/>
  <c r="H1273" i="130" s="1"/>
  <c r="E1573" i="130"/>
  <c r="H1573" i="130" s="1"/>
  <c r="E659" i="130"/>
  <c r="H659" i="130" s="1"/>
  <c r="E723" i="130"/>
  <c r="H723" i="130" s="1"/>
  <c r="E307" i="130"/>
  <c r="H307" i="130" s="1"/>
  <c r="E2420" i="130"/>
  <c r="H2420" i="130" s="1"/>
  <c r="E265" i="130"/>
  <c r="H265" i="130" s="1"/>
  <c r="E979" i="81"/>
  <c r="H979" i="81" s="1"/>
  <c r="H981" i="81" s="1"/>
  <c r="E980" i="81" s="1"/>
  <c r="I980" i="81" s="1"/>
  <c r="I981" i="81" s="1"/>
  <c r="B981" i="81" s="1"/>
  <c r="B982" i="81" s="1"/>
  <c r="E186" i="86" s="1"/>
  <c r="E572" i="152" s="1"/>
  <c r="F572" i="152" s="1"/>
  <c r="E1409" i="123"/>
  <c r="H1409" i="123" s="1"/>
  <c r="E1083" i="123"/>
  <c r="H1083" i="123" s="1"/>
  <c r="E479" i="123"/>
  <c r="H479" i="123" s="1"/>
  <c r="H482" i="123" s="1"/>
  <c r="E1061" i="123"/>
  <c r="H1061" i="123" s="1"/>
  <c r="H1065" i="123" s="1"/>
  <c r="E1064" i="123" s="1"/>
  <c r="I1064" i="123" s="1"/>
  <c r="I1065" i="123" s="1"/>
  <c r="B1065" i="123" s="1"/>
  <c r="B1066" i="123" s="1"/>
  <c r="E1760" i="123"/>
  <c r="H1760" i="123" s="1"/>
  <c r="H1763" i="123" s="1"/>
  <c r="E1762" i="123" s="1"/>
  <c r="I1762" i="123" s="1"/>
  <c r="I1763" i="123" s="1"/>
  <c r="B1763" i="123" s="1"/>
  <c r="B1764" i="123" s="1"/>
  <c r="E333" i="81"/>
  <c r="H333" i="81" s="1"/>
  <c r="E627" i="137"/>
  <c r="H627" i="137" s="1"/>
  <c r="E960" i="137"/>
  <c r="H960" i="137" s="1"/>
  <c r="E1590" i="130"/>
  <c r="H1590" i="130" s="1"/>
  <c r="E1750" i="130"/>
  <c r="H1750" i="130" s="1"/>
  <c r="E1191" i="130"/>
  <c r="H1191" i="130" s="1"/>
  <c r="E873" i="130"/>
  <c r="H873" i="130" s="1"/>
  <c r="E1549" i="123"/>
  <c r="H1549" i="123" s="1"/>
  <c r="E135" i="123"/>
  <c r="H135" i="123" s="1"/>
  <c r="E353" i="81"/>
  <c r="H353" i="81" s="1"/>
  <c r="E1476" i="130"/>
  <c r="H1476" i="130" s="1"/>
  <c r="E2288" i="130"/>
  <c r="H2288" i="130" s="1"/>
  <c r="E674" i="137"/>
  <c r="H674" i="137" s="1"/>
  <c r="E497" i="130"/>
  <c r="H497" i="130" s="1"/>
  <c r="E480" i="130"/>
  <c r="H480" i="130" s="1"/>
  <c r="E1026" i="130"/>
  <c r="H1026" i="130" s="1"/>
  <c r="E141" i="139"/>
  <c r="H141" i="139" s="1"/>
  <c r="E2084" i="130"/>
  <c r="H2084" i="130" s="1"/>
  <c r="E1842" i="130"/>
  <c r="H1842" i="130" s="1"/>
  <c r="E1718" i="130"/>
  <c r="H1718" i="130" s="1"/>
  <c r="E2525" i="130"/>
  <c r="H2525" i="130" s="1"/>
  <c r="E1811" i="130"/>
  <c r="H1811" i="130" s="1"/>
  <c r="E758" i="130"/>
  <c r="H758" i="130" s="1"/>
  <c r="E1144" i="130"/>
  <c r="H1144" i="130" s="1"/>
  <c r="E1289" i="130"/>
  <c r="H1289" i="130" s="1"/>
  <c r="E611" i="130"/>
  <c r="H611" i="130" s="1"/>
  <c r="E596" i="130"/>
  <c r="H596" i="130" s="1"/>
  <c r="H599" i="130" s="1"/>
  <c r="E598" i="130" s="1"/>
  <c r="I598" i="130" s="1"/>
  <c r="I599" i="130" s="1"/>
  <c r="B599" i="130" s="1"/>
  <c r="B600" i="130" s="1"/>
  <c r="E83" i="125" s="1"/>
  <c r="E174" i="113" s="1"/>
  <c r="F174" i="113" s="1"/>
  <c r="E330" i="130"/>
  <c r="H330" i="130" s="1"/>
  <c r="E1114" i="130"/>
  <c r="H1114" i="130" s="1"/>
  <c r="E233" i="130"/>
  <c r="H233" i="130" s="1"/>
  <c r="E212" i="124"/>
  <c r="H212" i="124" s="1"/>
  <c r="H215" i="124" s="1"/>
  <c r="E214" i="124" s="1"/>
  <c r="I214" i="124" s="1"/>
  <c r="I215" i="124" s="1"/>
  <c r="B215" i="124" s="1"/>
  <c r="B216" i="124" s="1"/>
  <c r="F46" i="126" s="1"/>
  <c r="E503" i="152" s="1"/>
  <c r="F503" i="152" s="1"/>
  <c r="F502" i="152" s="1"/>
  <c r="E1123" i="123"/>
  <c r="H1123" i="123" s="1"/>
  <c r="H1127" i="123" s="1"/>
  <c r="E1126" i="123" s="1"/>
  <c r="I1126" i="123" s="1"/>
  <c r="I1127" i="123" s="1"/>
  <c r="B1127" i="123" s="1"/>
  <c r="B1128" i="123" s="1"/>
  <c r="E801" i="123"/>
  <c r="H801" i="123" s="1"/>
  <c r="E293" i="123"/>
  <c r="H293" i="123" s="1"/>
  <c r="E1364" i="123"/>
  <c r="H1364" i="123" s="1"/>
  <c r="H1367" i="123" s="1"/>
  <c r="E1379" i="123"/>
  <c r="H1379" i="123" s="1"/>
  <c r="H1382" i="123" s="1"/>
  <c r="E160" i="81"/>
  <c r="H160" i="81" s="1"/>
  <c r="E448" i="130"/>
  <c r="H448" i="130" s="1"/>
  <c r="E1734" i="130"/>
  <c r="H1734" i="130" s="1"/>
  <c r="E1445" i="130"/>
  <c r="H1445" i="130" s="1"/>
  <c r="E1638" i="130"/>
  <c r="H1638" i="130" s="1"/>
  <c r="E707" i="130"/>
  <c r="H707" i="130" s="1"/>
  <c r="E858" i="130"/>
  <c r="H858" i="130" s="1"/>
  <c r="E201" i="123"/>
  <c r="H201" i="123" s="1"/>
  <c r="F816" i="113"/>
  <c r="F198" i="86"/>
  <c r="G198" i="86" s="1"/>
  <c r="F931" i="152"/>
  <c r="G931" i="152" s="1"/>
  <c r="F214" i="86"/>
  <c r="G10" i="133" s="1"/>
  <c r="F902" i="152"/>
  <c r="E523" i="152"/>
  <c r="F523" i="152" s="1"/>
  <c r="E523" i="140"/>
  <c r="F523" i="140" s="1"/>
  <c r="G89" i="126"/>
  <c r="E449" i="152"/>
  <c r="F449" i="152" s="1"/>
  <c r="G281" i="146"/>
  <c r="I281" i="146" s="1"/>
  <c r="G683" i="140"/>
  <c r="B220" i="142"/>
  <c r="E571" i="152"/>
  <c r="F571" i="152" s="1"/>
  <c r="F185" i="86"/>
  <c r="E571" i="140"/>
  <c r="F571" i="140" s="1"/>
  <c r="E546" i="113"/>
  <c r="F546" i="113" s="1"/>
  <c r="G931" i="140"/>
  <c r="B278" i="142"/>
  <c r="G314" i="146"/>
  <c r="I314" i="146" s="1"/>
  <c r="F141" i="118"/>
  <c r="E75" i="152"/>
  <c r="F75" i="152" s="1"/>
  <c r="E75" i="140"/>
  <c r="F75" i="140" s="1"/>
  <c r="E501" i="113"/>
  <c r="F501" i="113" s="1"/>
  <c r="G879" i="140"/>
  <c r="E221" i="140"/>
  <c r="F221" i="140" s="1"/>
  <c r="F215" i="86"/>
  <c r="G932" i="140"/>
  <c r="G20" i="129"/>
  <c r="F186" i="86"/>
  <c r="F132" i="113"/>
  <c r="I132" i="113"/>
  <c r="F826" i="113"/>
  <c r="F684" i="113"/>
  <c r="F697" i="113"/>
  <c r="F663" i="113"/>
  <c r="F255" i="125"/>
  <c r="F698" i="152"/>
  <c r="F493" i="125"/>
  <c r="F495" i="125" s="1"/>
  <c r="G17" i="129"/>
  <c r="E207" i="152"/>
  <c r="F207" i="152" s="1"/>
  <c r="F69" i="125"/>
  <c r="E207" i="140"/>
  <c r="F207" i="140" s="1"/>
  <c r="E459" i="113"/>
  <c r="F459" i="113" s="1"/>
  <c r="E484" i="152"/>
  <c r="F484" i="152" s="1"/>
  <c r="F483" i="152" s="1"/>
  <c r="E484" i="140"/>
  <c r="F484" i="140" s="1"/>
  <c r="F483" i="140" s="1"/>
  <c r="G27" i="126"/>
  <c r="G26" i="126" s="1"/>
  <c r="F171" i="118"/>
  <c r="F899" i="140"/>
  <c r="F711" i="140"/>
  <c r="F660" i="113"/>
  <c r="F609" i="113"/>
  <c r="F141" i="125"/>
  <c r="F154" i="125"/>
  <c r="F699" i="113"/>
  <c r="F771" i="113" s="1"/>
  <c r="E1543" i="130"/>
  <c r="H1543" i="130" s="1"/>
  <c r="E296" i="130"/>
  <c r="H296" i="130" s="1"/>
  <c r="E281" i="130"/>
  <c r="H281" i="130" s="1"/>
  <c r="H283" i="130" s="1"/>
  <c r="E275" i="130" s="1"/>
  <c r="I275" i="130" s="1"/>
  <c r="I283" i="130" s="1"/>
  <c r="E1656" i="130"/>
  <c r="H1656" i="130" s="1"/>
  <c r="E2365" i="130"/>
  <c r="H2365" i="130" s="1"/>
  <c r="E2210" i="130"/>
  <c r="H2210" i="130" s="1"/>
  <c r="H2212" i="130" s="1"/>
  <c r="E86" i="124"/>
  <c r="H86" i="124" s="1"/>
  <c r="H87" i="124" s="1"/>
  <c r="E179" i="81"/>
  <c r="H179" i="81" s="1"/>
  <c r="E161" i="81"/>
  <c r="H161" i="81" s="1"/>
  <c r="H162" i="81" s="1"/>
  <c r="E159" i="81" s="1"/>
  <c r="I159" i="81" s="1"/>
  <c r="I162" i="81" s="1"/>
  <c r="E545" i="130"/>
  <c r="H545" i="130" s="1"/>
  <c r="E498" i="130"/>
  <c r="H498" i="130" s="1"/>
  <c r="E458" i="130"/>
  <c r="H458" i="130" s="1"/>
  <c r="E412" i="130"/>
  <c r="H412" i="130" s="1"/>
  <c r="H414" i="130" s="1"/>
  <c r="E413" i="130" s="1"/>
  <c r="I413" i="130" s="1"/>
  <c r="I414" i="130" s="1"/>
  <c r="E431" i="130"/>
  <c r="H431" i="130" s="1"/>
  <c r="H433" i="130" s="1"/>
  <c r="E432" i="130" s="1"/>
  <c r="I432" i="130" s="1"/>
  <c r="I433" i="130" s="1"/>
  <c r="E356" i="130"/>
  <c r="H356" i="130" s="1"/>
  <c r="E583" i="139"/>
  <c r="H583" i="139" s="1"/>
  <c r="H585" i="139" s="1"/>
  <c r="E1179" i="137"/>
  <c r="H1179" i="137" s="1"/>
  <c r="H1181" i="137" s="1"/>
  <c r="E1274" i="137"/>
  <c r="H1274" i="137" s="1"/>
  <c r="H1276" i="137" s="1"/>
  <c r="E1034" i="137"/>
  <c r="H1034" i="137" s="1"/>
  <c r="H1035" i="137" s="1"/>
  <c r="E838" i="137"/>
  <c r="H838" i="137" s="1"/>
  <c r="H840" i="137" s="1"/>
  <c r="E1289" i="137"/>
  <c r="H1289" i="137" s="1"/>
  <c r="H1291" i="137" s="1"/>
  <c r="E940" i="137"/>
  <c r="H940" i="137" s="1"/>
  <c r="H943" i="137" s="1"/>
  <c r="E485" i="139"/>
  <c r="H485" i="139" s="1"/>
  <c r="H487" i="139" s="1"/>
  <c r="E72" i="139"/>
  <c r="H72" i="139" s="1"/>
  <c r="H76" i="139" s="1"/>
  <c r="E241" i="139"/>
  <c r="H241" i="139" s="1"/>
  <c r="H243" i="139" s="1"/>
  <c r="E186" i="139"/>
  <c r="H186" i="139" s="1"/>
  <c r="E520" i="139"/>
  <c r="H520" i="139" s="1"/>
  <c r="H522" i="139" s="1"/>
  <c r="E393" i="139"/>
  <c r="H393" i="139" s="1"/>
  <c r="H395" i="139" s="1"/>
  <c r="E274" i="139"/>
  <c r="H274" i="139" s="1"/>
  <c r="H276" i="139" s="1"/>
  <c r="E100" i="139"/>
  <c r="H100" i="139" s="1"/>
  <c r="H104" i="139" s="1"/>
  <c r="E446" i="136"/>
  <c r="H446" i="136" s="1"/>
  <c r="H448" i="136" s="1"/>
  <c r="E496" i="136"/>
  <c r="H496" i="136" s="1"/>
  <c r="H498" i="136" s="1"/>
  <c r="E307" i="136"/>
  <c r="H307" i="136" s="1"/>
  <c r="H309" i="136" s="1"/>
  <c r="E258" i="136"/>
  <c r="H258" i="136" s="1"/>
  <c r="H259" i="136" s="1"/>
  <c r="E210" i="136"/>
  <c r="H210" i="136" s="1"/>
  <c r="H211" i="136" s="1"/>
  <c r="E172" i="136"/>
  <c r="H172" i="136" s="1"/>
  <c r="H173" i="136" s="1"/>
  <c r="E24" i="136"/>
  <c r="H24" i="136" s="1"/>
  <c r="H26" i="136" s="1"/>
  <c r="E148" i="6"/>
  <c r="H148" i="6" s="1"/>
  <c r="E35" i="6"/>
  <c r="H35" i="6" s="1"/>
  <c r="E119" i="6"/>
  <c r="H119" i="6" s="1"/>
  <c r="E545" i="81"/>
  <c r="H545" i="81" s="1"/>
  <c r="H546" i="81" s="1"/>
  <c r="E2039" i="130"/>
  <c r="H2039" i="130" s="1"/>
  <c r="E2054" i="130"/>
  <c r="H2054" i="130" s="1"/>
  <c r="E1735" i="130"/>
  <c r="H1735" i="130" s="1"/>
  <c r="E1919" i="130"/>
  <c r="H1919" i="130" s="1"/>
  <c r="H1921" i="130" s="1"/>
  <c r="E2526" i="130"/>
  <c r="H2526" i="130" s="1"/>
  <c r="E1401" i="130"/>
  <c r="H1401" i="130" s="1"/>
  <c r="H1403" i="130" s="1"/>
  <c r="E1307" i="130"/>
  <c r="H1307" i="130" s="1"/>
  <c r="H1309" i="130" s="1"/>
  <c r="E1964" i="130"/>
  <c r="H1964" i="130" s="1"/>
  <c r="E1904" i="130"/>
  <c r="H1904" i="130" s="1"/>
  <c r="E1462" i="130"/>
  <c r="H1462" i="130" s="1"/>
  <c r="E1751" i="130"/>
  <c r="H1751" i="130" s="1"/>
  <c r="H1753" i="130" s="1"/>
  <c r="E1639" i="130"/>
  <c r="H1639" i="130" s="1"/>
  <c r="H1641" i="130" s="1"/>
  <c r="E1672" i="130"/>
  <c r="H1672" i="130" s="1"/>
  <c r="H1674" i="130" s="1"/>
  <c r="E1574" i="130"/>
  <c r="H1574" i="130" s="1"/>
  <c r="H1576" i="130" s="1"/>
  <c r="E1290" i="130"/>
  <c r="H1290" i="130" s="1"/>
  <c r="H1292" i="130" s="1"/>
  <c r="E1192" i="130"/>
  <c r="H1192" i="130" s="1"/>
  <c r="H1194" i="130" s="1"/>
  <c r="E676" i="130"/>
  <c r="H676" i="130" s="1"/>
  <c r="E1099" i="130"/>
  <c r="H1099" i="130" s="1"/>
  <c r="E167" i="124"/>
  <c r="H167" i="124" s="1"/>
  <c r="H170" i="124" s="1"/>
  <c r="E162" i="124" s="1"/>
  <c r="I162" i="124" s="1"/>
  <c r="I170" i="124" s="1"/>
  <c r="E125" i="124"/>
  <c r="H125" i="124" s="1"/>
  <c r="H127" i="124" s="1"/>
  <c r="E119" i="124" s="1"/>
  <c r="I119" i="124" s="1"/>
  <c r="I127" i="124" s="1"/>
  <c r="E266" i="130"/>
  <c r="H266" i="130" s="1"/>
  <c r="E250" i="130"/>
  <c r="H250" i="130" s="1"/>
  <c r="E322" i="130"/>
  <c r="H322" i="130" s="1"/>
  <c r="E109" i="124"/>
  <c r="H109" i="124" s="1"/>
  <c r="H112" i="124" s="1"/>
  <c r="E104" i="124" s="1"/>
  <c r="I104" i="124" s="1"/>
  <c r="I112" i="124" s="1"/>
  <c r="E196" i="81"/>
  <c r="H196" i="81" s="1"/>
  <c r="E2289" i="130"/>
  <c r="H2289" i="130" s="1"/>
  <c r="H2292" i="130" s="1"/>
  <c r="E2194" i="130"/>
  <c r="H2194" i="130" s="1"/>
  <c r="H2196" i="130" s="1"/>
  <c r="E171" i="81"/>
  <c r="H171" i="81" s="1"/>
  <c r="H172" i="81" s="1"/>
  <c r="E169" i="81" s="1"/>
  <c r="I169" i="81" s="1"/>
  <c r="I172" i="81" s="1"/>
  <c r="E49" i="6"/>
  <c r="H49" i="6" s="1"/>
  <c r="H50" i="6" s="1"/>
  <c r="E48" i="81"/>
  <c r="H48" i="81" s="1"/>
  <c r="H49" i="81" s="1"/>
  <c r="E77" i="6"/>
  <c r="H77" i="6" s="1"/>
  <c r="H78" i="6" s="1"/>
  <c r="E521" i="81"/>
  <c r="H521" i="81" s="1"/>
  <c r="H522" i="81" s="1"/>
  <c r="E513" i="130"/>
  <c r="H513" i="130" s="1"/>
  <c r="E481" i="130"/>
  <c r="H481" i="130" s="1"/>
  <c r="E449" i="130"/>
  <c r="H449" i="130" s="1"/>
  <c r="E1027" i="130"/>
  <c r="H1027" i="130" s="1"/>
  <c r="H1029" i="130" s="1"/>
  <c r="E1320" i="137"/>
  <c r="H1320" i="137" s="1"/>
  <c r="H1322" i="137" s="1"/>
  <c r="E1081" i="137"/>
  <c r="H1081" i="137" s="1"/>
  <c r="H1082" i="137" s="1"/>
  <c r="E997" i="137"/>
  <c r="H997" i="137" s="1"/>
  <c r="H998" i="137" s="1"/>
  <c r="E712" i="137"/>
  <c r="H712" i="137" s="1"/>
  <c r="H714" i="137" s="1"/>
  <c r="E1146" i="137"/>
  <c r="H1146" i="137" s="1"/>
  <c r="H1148" i="137" s="1"/>
  <c r="E1066" i="137"/>
  <c r="H1066" i="137" s="1"/>
  <c r="H1067" i="137" s="1"/>
  <c r="E1018" i="137"/>
  <c r="H1018" i="137" s="1"/>
  <c r="H1019" i="137" s="1"/>
  <c r="E814" i="137"/>
  <c r="H814" i="137" s="1"/>
  <c r="H816" i="137" s="1"/>
  <c r="E205" i="139"/>
  <c r="H205" i="139" s="1"/>
  <c r="H207" i="139" s="1"/>
  <c r="E505" i="139"/>
  <c r="H505" i="139" s="1"/>
  <c r="H507" i="139" s="1"/>
  <c r="E410" i="139"/>
  <c r="H410" i="139" s="1"/>
  <c r="H412" i="139" s="1"/>
  <c r="E328" i="139"/>
  <c r="H328" i="139" s="1"/>
  <c r="H330" i="139" s="1"/>
  <c r="E26" i="139"/>
  <c r="H26" i="139" s="1"/>
  <c r="H30" i="139" s="1"/>
  <c r="E21" i="6"/>
  <c r="H21" i="6" s="1"/>
  <c r="H22" i="6" s="1"/>
  <c r="E1528" i="130"/>
  <c r="H1528" i="130" s="1"/>
  <c r="H1530" i="130" s="1"/>
  <c r="E155" i="124"/>
  <c r="H155" i="124" s="1"/>
  <c r="H157" i="124" s="1"/>
  <c r="E149" i="124" s="1"/>
  <c r="I149" i="124" s="1"/>
  <c r="I157" i="124" s="1"/>
  <c r="E140" i="124"/>
  <c r="H140" i="124" s="1"/>
  <c r="E1052" i="130"/>
  <c r="H1052" i="130" s="1"/>
  <c r="H1054" i="130" s="1"/>
  <c r="E1047" i="130" s="1"/>
  <c r="I1047" i="130" s="1"/>
  <c r="I1054" i="130" s="1"/>
  <c r="E2271" i="130"/>
  <c r="H2271" i="130" s="1"/>
  <c r="H2275" i="130" s="1"/>
  <c r="E95" i="81"/>
  <c r="E56" i="81"/>
  <c r="H56" i="81" s="1"/>
  <c r="H57" i="81" s="1"/>
  <c r="E674" i="139"/>
  <c r="H674" i="139" s="1"/>
  <c r="H676" i="139" s="1"/>
  <c r="E422" i="130"/>
  <c r="H422" i="130" s="1"/>
  <c r="H424" i="130" s="1"/>
  <c r="E423" i="130" s="1"/>
  <c r="I423" i="130" s="1"/>
  <c r="I424" i="130" s="1"/>
  <c r="E366" i="130"/>
  <c r="H366" i="130" s="1"/>
  <c r="E1066" i="130"/>
  <c r="H1066" i="130" s="1"/>
  <c r="E1115" i="137"/>
  <c r="H1115" i="137" s="1"/>
  <c r="H1117" i="137" s="1"/>
  <c r="E917" i="137"/>
  <c r="H917" i="137" s="1"/>
  <c r="E1162" i="137"/>
  <c r="H1162" i="137" s="1"/>
  <c r="H1164" i="137" s="1"/>
  <c r="E1196" i="137"/>
  <c r="H1196" i="137" s="1"/>
  <c r="H1198" i="137" s="1"/>
  <c r="E980" i="137"/>
  <c r="H980" i="137" s="1"/>
  <c r="H981" i="137" s="1"/>
  <c r="E854" i="137"/>
  <c r="H854" i="137" s="1"/>
  <c r="H856" i="137" s="1"/>
  <c r="E166" i="139"/>
  <c r="H166" i="139" s="1"/>
  <c r="E535" i="139"/>
  <c r="H535" i="139" s="1"/>
  <c r="H537" i="139" s="1"/>
  <c r="E568" i="139"/>
  <c r="H568" i="139" s="1"/>
  <c r="H570" i="139" s="1"/>
  <c r="E466" i="136"/>
  <c r="H466" i="136" s="1"/>
  <c r="H468" i="136" s="1"/>
  <c r="E388" i="136"/>
  <c r="H388" i="136" s="1"/>
  <c r="H390" i="136" s="1"/>
  <c r="E354" i="136"/>
  <c r="H354" i="136" s="1"/>
  <c r="H356" i="136" s="1"/>
  <c r="E49" i="136"/>
  <c r="H49" i="136" s="1"/>
  <c r="H51" i="136" s="1"/>
  <c r="E2085" i="130"/>
  <c r="H2085" i="130" s="1"/>
  <c r="E1558" i="130"/>
  <c r="H1558" i="130" s="1"/>
  <c r="H1560" i="130" s="1"/>
  <c r="E1446" i="130"/>
  <c r="H1446" i="130" s="1"/>
  <c r="H1449" i="130" s="1"/>
  <c r="E1874" i="130"/>
  <c r="H1874" i="130" s="1"/>
  <c r="H1876" i="130" s="1"/>
  <c r="E2541" i="130"/>
  <c r="H2541" i="130" s="1"/>
  <c r="E1512" i="130"/>
  <c r="H1512" i="130" s="1"/>
  <c r="H1514" i="130" s="1"/>
  <c r="E1242" i="130"/>
  <c r="H1242" i="130" s="1"/>
  <c r="E1796" i="130"/>
  <c r="H1796" i="130" s="1"/>
  <c r="E1225" i="130"/>
  <c r="H1225" i="130" s="1"/>
  <c r="H1228" i="130" s="1"/>
  <c r="E1688" i="130"/>
  <c r="H1688" i="130" s="1"/>
  <c r="H1690" i="130" s="1"/>
  <c r="E1176" i="130"/>
  <c r="H1176" i="130" s="1"/>
  <c r="E1083" i="130"/>
  <c r="H1083" i="130" s="1"/>
  <c r="E1623" i="130"/>
  <c r="H1623" i="130" s="1"/>
  <c r="H1625" i="130" s="1"/>
  <c r="E1161" i="130"/>
  <c r="H1161" i="130" s="1"/>
  <c r="H1163" i="130" s="1"/>
  <c r="E708" i="130"/>
  <c r="H708" i="130" s="1"/>
  <c r="E581" i="130"/>
  <c r="H581" i="130" s="1"/>
  <c r="H583" i="130" s="1"/>
  <c r="E724" i="130"/>
  <c r="H724" i="130" s="1"/>
  <c r="H726" i="130" s="1"/>
  <c r="E1012" i="130"/>
  <c r="H1012" i="130" s="1"/>
  <c r="H1014" i="130" s="1"/>
  <c r="E789" i="130"/>
  <c r="H789" i="130" s="1"/>
  <c r="E809" i="130"/>
  <c r="H809" i="130" s="1"/>
  <c r="E2463" i="130"/>
  <c r="H2463" i="130" s="1"/>
  <c r="E340" i="130"/>
  <c r="H340" i="130" s="1"/>
  <c r="E179" i="130"/>
  <c r="H179" i="130" s="1"/>
  <c r="E130" i="130"/>
  <c r="H130" i="130" s="1"/>
  <c r="E108" i="130"/>
  <c r="H108" i="130" s="1"/>
  <c r="H110" i="130" s="1"/>
  <c r="E104" i="130" s="1"/>
  <c r="I104" i="130" s="1"/>
  <c r="I110" i="130" s="1"/>
  <c r="E71" i="81"/>
  <c r="H71" i="81" s="1"/>
  <c r="H72" i="81" s="1"/>
  <c r="E118" i="123"/>
  <c r="H118" i="123" s="1"/>
  <c r="E1206" i="123"/>
  <c r="H1206" i="123" s="1"/>
  <c r="H1208" i="123" s="1"/>
  <c r="E1293" i="123"/>
  <c r="H1293" i="123" s="1"/>
  <c r="H1294" i="123" s="1"/>
  <c r="E1268" i="123"/>
  <c r="H1268" i="123" s="1"/>
  <c r="E1191" i="123"/>
  <c r="H1191" i="123" s="1"/>
  <c r="H1192" i="123" s="1"/>
  <c r="E39" i="122"/>
  <c r="H39" i="122" s="1"/>
  <c r="H40" i="122" s="1"/>
  <c r="E200" i="123"/>
  <c r="H200" i="123" s="1"/>
  <c r="E18" i="123"/>
  <c r="H18" i="123" s="1"/>
  <c r="E1225" i="123"/>
  <c r="H1225" i="123" s="1"/>
  <c r="H1226" i="123" s="1"/>
  <c r="E90" i="122"/>
  <c r="H90" i="122" s="1"/>
  <c r="H91" i="122" s="1"/>
  <c r="E792" i="123"/>
  <c r="H792" i="123" s="1"/>
  <c r="H794" i="123" s="1"/>
  <c r="E1704" i="130"/>
  <c r="H1704" i="130" s="1"/>
  <c r="H1706" i="130" s="1"/>
  <c r="E997" i="130"/>
  <c r="H997" i="130" s="1"/>
  <c r="H999" i="130" s="1"/>
  <c r="E111" i="81"/>
  <c r="H111" i="81" s="1"/>
  <c r="H112" i="81" s="1"/>
  <c r="E691" i="139"/>
  <c r="H691" i="139" s="1"/>
  <c r="H693" i="139" s="1"/>
  <c r="E528" i="130"/>
  <c r="H528" i="130" s="1"/>
  <c r="H530" i="130" s="1"/>
  <c r="E376" i="130"/>
  <c r="H376" i="130" s="1"/>
  <c r="H378" i="130" s="1"/>
  <c r="E377" i="130" s="1"/>
  <c r="I377" i="130" s="1"/>
  <c r="I378" i="130" s="1"/>
  <c r="E1352" i="137"/>
  <c r="H1352" i="137" s="1"/>
  <c r="H1354" i="137" s="1"/>
  <c r="E740" i="137"/>
  <c r="H740" i="137" s="1"/>
  <c r="H742" i="137" s="1"/>
  <c r="E895" i="137"/>
  <c r="H895" i="137" s="1"/>
  <c r="H897" i="137" s="1"/>
  <c r="E1233" i="137"/>
  <c r="H1233" i="137" s="1"/>
  <c r="H1235" i="137" s="1"/>
  <c r="E959" i="137"/>
  <c r="H959" i="137" s="1"/>
  <c r="E464" i="139"/>
  <c r="H464" i="139" s="1"/>
  <c r="H466" i="139" s="1"/>
  <c r="E221" i="139"/>
  <c r="H221" i="139" s="1"/>
  <c r="H223" i="139" s="1"/>
  <c r="E444" i="139"/>
  <c r="H444" i="139" s="1"/>
  <c r="H446" i="139" s="1"/>
  <c r="E551" i="139"/>
  <c r="H551" i="139" s="1"/>
  <c r="H553" i="139" s="1"/>
  <c r="E405" i="136"/>
  <c r="H405" i="136" s="1"/>
  <c r="H407" i="136" s="1"/>
  <c r="E242" i="136"/>
  <c r="H242" i="136" s="1"/>
  <c r="H243" i="136" s="1"/>
  <c r="E226" i="136"/>
  <c r="H226" i="136" s="1"/>
  <c r="H227" i="136" s="1"/>
  <c r="E132" i="136"/>
  <c r="H132" i="136" s="1"/>
  <c r="H135" i="136" s="1"/>
  <c r="E151" i="136"/>
  <c r="H151" i="136" s="1"/>
  <c r="H154" i="136" s="1"/>
  <c r="E8" i="136"/>
  <c r="H8" i="136" s="1"/>
  <c r="H10" i="136" s="1"/>
  <c r="E224" i="81"/>
  <c r="H224" i="81" s="1"/>
  <c r="D22" i="1"/>
  <c r="E161" i="6"/>
  <c r="H161" i="6" s="1"/>
  <c r="H162" i="6" s="1"/>
  <c r="E207" i="81"/>
  <c r="H207" i="81" s="1"/>
  <c r="H209" i="81" s="1"/>
  <c r="E204" i="81" s="1"/>
  <c r="I204" i="81" s="1"/>
  <c r="I209" i="81" s="1"/>
  <c r="E2070" i="130"/>
  <c r="H2070" i="130" s="1"/>
  <c r="H2072" i="130" s="1"/>
  <c r="E2009" i="130"/>
  <c r="H2009" i="130" s="1"/>
  <c r="E1949" i="130"/>
  <c r="H1949" i="130" s="1"/>
  <c r="E1858" i="130"/>
  <c r="H1858" i="130" s="1"/>
  <c r="E1354" i="130"/>
  <c r="H1354" i="130" s="1"/>
  <c r="H1357" i="130" s="1"/>
  <c r="E1843" i="130"/>
  <c r="H1843" i="130" s="1"/>
  <c r="E1416" i="130"/>
  <c r="H1416" i="130" s="1"/>
  <c r="H1418" i="130" s="1"/>
  <c r="E1781" i="130"/>
  <c r="H1781" i="130" s="1"/>
  <c r="H1783" i="130" s="1"/>
  <c r="E1607" i="130"/>
  <c r="H1607" i="130" s="1"/>
  <c r="E1431" i="130"/>
  <c r="H1431" i="130" s="1"/>
  <c r="H1433" i="130" s="1"/>
  <c r="E1386" i="130"/>
  <c r="H1386" i="130" s="1"/>
  <c r="H1388" i="130" s="1"/>
  <c r="E774" i="130"/>
  <c r="H774" i="130" s="1"/>
  <c r="E740" i="130"/>
  <c r="H740" i="130" s="1"/>
  <c r="E642" i="130"/>
  <c r="H642" i="130" s="1"/>
  <c r="E692" i="130"/>
  <c r="H692" i="130" s="1"/>
  <c r="H694" i="130" s="1"/>
  <c r="E28" i="130"/>
  <c r="H28" i="130" s="1"/>
  <c r="H30" i="130" s="1"/>
  <c r="E2478" i="130"/>
  <c r="H2478" i="130" s="1"/>
  <c r="H2480" i="130" s="1"/>
  <c r="E2472" i="130" s="1"/>
  <c r="I2472" i="130" s="1"/>
  <c r="I2480" i="130" s="1"/>
  <c r="E2432" i="130"/>
  <c r="H2432" i="130" s="1"/>
  <c r="H2434" i="130" s="1"/>
  <c r="E2429" i="130" s="1"/>
  <c r="I2429" i="130" s="1"/>
  <c r="I2434" i="130" s="1"/>
  <c r="E187" i="130"/>
  <c r="H187" i="130" s="1"/>
  <c r="E86" i="130"/>
  <c r="H86" i="130" s="1"/>
  <c r="E42" i="130"/>
  <c r="H42" i="130" s="1"/>
  <c r="H44" i="130" s="1"/>
  <c r="E38" i="130" s="1"/>
  <c r="I38" i="130" s="1"/>
  <c r="I44" i="130" s="1"/>
  <c r="E859" i="130"/>
  <c r="H859" i="130" s="1"/>
  <c r="E140" i="130"/>
  <c r="H140" i="130" s="1"/>
  <c r="H141" i="130" s="1"/>
  <c r="E53" i="130"/>
  <c r="H53" i="130" s="1"/>
  <c r="H55" i="130" s="1"/>
  <c r="E49" i="130" s="1"/>
  <c r="I49" i="130" s="1"/>
  <c r="I55" i="130" s="1"/>
  <c r="E872" i="123"/>
  <c r="H872" i="123" s="1"/>
  <c r="E141" i="122"/>
  <c r="H141" i="122" s="1"/>
  <c r="H142" i="122" s="1"/>
  <c r="E204" i="124"/>
  <c r="H204" i="124" s="1"/>
  <c r="H205" i="124" s="1"/>
  <c r="E1251" i="123"/>
  <c r="H1251" i="123" s="1"/>
  <c r="E57" i="123"/>
  <c r="H57" i="123" s="1"/>
  <c r="H58" i="123" s="1"/>
  <c r="E73" i="122"/>
  <c r="H73" i="122" s="1"/>
  <c r="H74" i="122" s="1"/>
  <c r="E295" i="123"/>
  <c r="H295" i="123" s="1"/>
  <c r="E28" i="123"/>
  <c r="H28" i="123" s="1"/>
  <c r="H30" i="123" s="1"/>
  <c r="E137" i="123"/>
  <c r="H137" i="123" s="1"/>
  <c r="E158" i="122"/>
  <c r="H158" i="122" s="1"/>
  <c r="H159" i="122" s="1"/>
  <c r="E133" i="6"/>
  <c r="H133" i="6" s="1"/>
  <c r="E25" i="81"/>
  <c r="H25" i="81" s="1"/>
  <c r="H26" i="81" s="1"/>
  <c r="E389" i="130"/>
  <c r="H389" i="130" s="1"/>
  <c r="E1131" i="137"/>
  <c r="H1131" i="137" s="1"/>
  <c r="H1133" i="137" s="1"/>
  <c r="E1254" i="137"/>
  <c r="H1254" i="137" s="1"/>
  <c r="H1256" i="137" s="1"/>
  <c r="E54" i="139"/>
  <c r="H54" i="139" s="1"/>
  <c r="H58" i="139" s="1"/>
  <c r="E257" i="139"/>
  <c r="H257" i="139" s="1"/>
  <c r="H259" i="139" s="1"/>
  <c r="E371" i="136"/>
  <c r="H371" i="136" s="1"/>
  <c r="H373" i="136" s="1"/>
  <c r="E273" i="136"/>
  <c r="H273" i="136" s="1"/>
  <c r="H274" i="136" s="1"/>
  <c r="E87" i="136"/>
  <c r="H87" i="136" s="1"/>
  <c r="E109" i="136"/>
  <c r="H109" i="136" s="1"/>
  <c r="E40" i="81"/>
  <c r="H40" i="81" s="1"/>
  <c r="H41" i="81" s="1"/>
  <c r="E2124" i="130"/>
  <c r="H2124" i="130" s="1"/>
  <c r="H2125" i="130" s="1"/>
  <c r="E1591" i="130"/>
  <c r="H1591" i="130" s="1"/>
  <c r="H1593" i="130" s="1"/>
  <c r="E1828" i="130"/>
  <c r="H1828" i="130" s="1"/>
  <c r="E759" i="130"/>
  <c r="H759" i="130" s="1"/>
  <c r="E1274" i="130"/>
  <c r="H1274" i="130" s="1"/>
  <c r="H1276" i="130" s="1"/>
  <c r="E1146" i="130"/>
  <c r="H1146" i="130" s="1"/>
  <c r="H1148" i="130" s="1"/>
  <c r="E660" i="130"/>
  <c r="H660" i="130" s="1"/>
  <c r="E842" i="130"/>
  <c r="H842" i="130" s="1"/>
  <c r="E156" i="130"/>
  <c r="H156" i="130" s="1"/>
  <c r="H157" i="130" s="1"/>
  <c r="E936" i="130"/>
  <c r="H936" i="130" s="1"/>
  <c r="E2422" i="130"/>
  <c r="H2422" i="130" s="1"/>
  <c r="H2424" i="130" s="1"/>
  <c r="E2416" i="130" s="1"/>
  <c r="I2416" i="130" s="1"/>
  <c r="I2424" i="130" s="1"/>
  <c r="E119" i="130"/>
  <c r="H119" i="130" s="1"/>
  <c r="E22" i="124"/>
  <c r="H22" i="124" s="1"/>
  <c r="H24" i="124" s="1"/>
  <c r="E784" i="123"/>
  <c r="H784" i="123" s="1"/>
  <c r="H786" i="123" s="1"/>
  <c r="E816" i="123"/>
  <c r="H816" i="123" s="1"/>
  <c r="E1001" i="123"/>
  <c r="H1001" i="123" s="1"/>
  <c r="E96" i="124"/>
  <c r="H96" i="124" s="1"/>
  <c r="H98" i="124" s="1"/>
  <c r="E94" i="124" s="1"/>
  <c r="I94" i="124" s="1"/>
  <c r="I98" i="124" s="1"/>
  <c r="E967" i="130"/>
  <c r="H967" i="130" s="1"/>
  <c r="E2503" i="130"/>
  <c r="H2503" i="130" s="1"/>
  <c r="H2505" i="130" s="1"/>
  <c r="E63" i="6"/>
  <c r="H63" i="6" s="1"/>
  <c r="E471" i="130"/>
  <c r="H471" i="130" s="1"/>
  <c r="E1337" i="137"/>
  <c r="H1337" i="137" s="1"/>
  <c r="H1339" i="137" s="1"/>
  <c r="E1304" i="137"/>
  <c r="H1304" i="137" s="1"/>
  <c r="H1306" i="137" s="1"/>
  <c r="E1213" i="137"/>
  <c r="H1213" i="137" s="1"/>
  <c r="H1215" i="137" s="1"/>
  <c r="E344" i="139"/>
  <c r="H344" i="139" s="1"/>
  <c r="H346" i="139" s="1"/>
  <c r="E360" i="139"/>
  <c r="H360" i="139" s="1"/>
  <c r="H362" i="139" s="1"/>
  <c r="E2024" i="130"/>
  <c r="H2024" i="130" s="1"/>
  <c r="E1979" i="130"/>
  <c r="H1979" i="130" s="1"/>
  <c r="E1339" i="130"/>
  <c r="H1339" i="130" s="1"/>
  <c r="H1341" i="130" s="1"/>
  <c r="E1208" i="130"/>
  <c r="H1208" i="130" s="1"/>
  <c r="H1210" i="130" s="1"/>
  <c r="E1130" i="130"/>
  <c r="H1130" i="130" s="1"/>
  <c r="E564" i="130"/>
  <c r="H564" i="130" s="1"/>
  <c r="H567" i="130" s="1"/>
  <c r="E2448" i="130"/>
  <c r="H2448" i="130" s="1"/>
  <c r="E171" i="130"/>
  <c r="H171" i="130" s="1"/>
  <c r="E1115" i="130"/>
  <c r="H1115" i="130" s="1"/>
  <c r="H1117" i="130" s="1"/>
  <c r="E905" i="130"/>
  <c r="H905" i="130" s="1"/>
  <c r="E921" i="130"/>
  <c r="H921" i="130" s="1"/>
  <c r="H923" i="130" s="1"/>
  <c r="E75" i="130"/>
  <c r="H75" i="130" s="1"/>
  <c r="H77" i="130" s="1"/>
  <c r="E71" i="130" s="1"/>
  <c r="I71" i="130" s="1"/>
  <c r="I77" i="130" s="1"/>
  <c r="E889" i="130"/>
  <c r="H889" i="130" s="1"/>
  <c r="H891" i="130" s="1"/>
  <c r="E84" i="123"/>
  <c r="H84" i="123" s="1"/>
  <c r="H86" i="123" s="1"/>
  <c r="E1012" i="123"/>
  <c r="H1012" i="123" s="1"/>
  <c r="E882" i="123"/>
  <c r="H882" i="123" s="1"/>
  <c r="H883" i="123" s="1"/>
  <c r="E776" i="123"/>
  <c r="H776" i="123" s="1"/>
  <c r="H777" i="123" s="1"/>
  <c r="E902" i="123"/>
  <c r="H902" i="123" s="1"/>
  <c r="D20" i="121"/>
  <c r="E308" i="130"/>
  <c r="H308" i="130" s="1"/>
  <c r="H310" i="130" s="1"/>
  <c r="E306" i="130" s="1"/>
  <c r="I306" i="130" s="1"/>
  <c r="I310" i="130" s="1"/>
  <c r="E427" i="139"/>
  <c r="H427" i="139" s="1"/>
  <c r="H429" i="139" s="1"/>
  <c r="E425" i="136"/>
  <c r="H425" i="136" s="1"/>
  <c r="H427" i="136" s="1"/>
  <c r="E323" i="136"/>
  <c r="H323" i="136" s="1"/>
  <c r="H325" i="136" s="1"/>
  <c r="E64" i="136"/>
  <c r="H64" i="136" s="1"/>
  <c r="H66" i="136" s="1"/>
  <c r="E91" i="6"/>
  <c r="H91" i="6" s="1"/>
  <c r="H92" i="6" s="1"/>
  <c r="E2100" i="130"/>
  <c r="H2100" i="130" s="1"/>
  <c r="E1812" i="130"/>
  <c r="H1812" i="130" s="1"/>
  <c r="E2511" i="130"/>
  <c r="H2511" i="130" s="1"/>
  <c r="E874" i="130"/>
  <c r="H874" i="130" s="1"/>
  <c r="E211" i="130"/>
  <c r="H211" i="130" s="1"/>
  <c r="E952" i="130"/>
  <c r="H952" i="130" s="1"/>
  <c r="E835" i="123"/>
  <c r="H835" i="123" s="1"/>
  <c r="E56" i="122"/>
  <c r="H56" i="122" s="1"/>
  <c r="E173" i="122"/>
  <c r="H173" i="122" s="1"/>
  <c r="H174" i="122" s="1"/>
  <c r="E179" i="124"/>
  <c r="H179" i="124" s="1"/>
  <c r="H182" i="124" s="1"/>
  <c r="E175" i="124" s="1"/>
  <c r="I175" i="124" s="1"/>
  <c r="I182" i="124" s="1"/>
  <c r="E1477" i="130"/>
  <c r="H1477" i="130" s="1"/>
  <c r="E788" i="137"/>
  <c r="H788" i="137" s="1"/>
  <c r="H790" i="137" s="1"/>
  <c r="E376" i="139"/>
  <c r="H376" i="139" s="1"/>
  <c r="H378" i="139" s="1"/>
  <c r="E481" i="136"/>
  <c r="H481" i="136" s="1"/>
  <c r="H483" i="136" s="1"/>
  <c r="E189" i="136"/>
  <c r="H189" i="136" s="1"/>
  <c r="H190" i="136" s="1"/>
  <c r="D24" i="121"/>
  <c r="E1766" i="130"/>
  <c r="H1766" i="130" s="1"/>
  <c r="E1258" i="130"/>
  <c r="H1258" i="130" s="1"/>
  <c r="E2489" i="130"/>
  <c r="H2489" i="130" s="1"/>
  <c r="H2491" i="130" s="1"/>
  <c r="E825" i="130"/>
  <c r="H825" i="130" s="1"/>
  <c r="E97" i="130"/>
  <c r="H97" i="130" s="1"/>
  <c r="E982" i="130"/>
  <c r="H982" i="130" s="1"/>
  <c r="H984" i="130" s="1"/>
  <c r="E490" i="130"/>
  <c r="H490" i="130" s="1"/>
  <c r="H492" i="130" s="1"/>
  <c r="E491" i="130" s="1"/>
  <c r="I491" i="130" s="1"/>
  <c r="I492" i="130" s="1"/>
  <c r="E1050" i="137"/>
  <c r="H1050" i="137" s="1"/>
  <c r="H1051" i="137" s="1"/>
  <c r="E142" i="139"/>
  <c r="E174" i="6"/>
  <c r="H174" i="6" s="1"/>
  <c r="H175" i="6" s="1"/>
  <c r="E1719" i="130"/>
  <c r="H1719" i="130" s="1"/>
  <c r="E1934" i="130"/>
  <c r="H1934" i="130" s="1"/>
  <c r="H1936" i="130" s="1"/>
  <c r="E1371" i="130"/>
  <c r="H1371" i="130" s="1"/>
  <c r="H1373" i="130" s="1"/>
  <c r="E331" i="130"/>
  <c r="H331" i="130" s="1"/>
  <c r="H333" i="130" s="1"/>
  <c r="E329" i="130" s="1"/>
  <c r="I329" i="130" s="1"/>
  <c r="I333" i="130" s="1"/>
  <c r="E879" i="137"/>
  <c r="H879" i="137" s="1"/>
  <c r="H881" i="137" s="1"/>
  <c r="E338" i="136"/>
  <c r="H338" i="136" s="1"/>
  <c r="H340" i="136" s="1"/>
  <c r="E1994" i="130"/>
  <c r="H1994" i="130" s="1"/>
  <c r="H1996" i="130" s="1"/>
  <c r="E164" i="130"/>
  <c r="H164" i="130" s="1"/>
  <c r="H165" i="130" s="1"/>
  <c r="E990" i="123"/>
  <c r="H990" i="123" s="1"/>
  <c r="H993" i="123" s="1"/>
  <c r="E22" i="122"/>
  <c r="H22" i="122" s="1"/>
  <c r="H23" i="122" s="1"/>
  <c r="E6" i="139"/>
  <c r="H6" i="139" s="1"/>
  <c r="H11" i="139" s="1"/>
  <c r="E64" i="130"/>
  <c r="H64" i="130" s="1"/>
  <c r="E847" i="123"/>
  <c r="H847" i="123" s="1"/>
  <c r="H850" i="123" s="1"/>
  <c r="E842" i="123" s="1"/>
  <c r="I842" i="123" s="1"/>
  <c r="I850" i="123" s="1"/>
  <c r="E105" i="6"/>
  <c r="H105" i="6" s="1"/>
  <c r="H106" i="6" s="1"/>
  <c r="E1494" i="130"/>
  <c r="H1494" i="130" s="1"/>
  <c r="E150" i="123"/>
  <c r="H150" i="123" s="1"/>
  <c r="E124" i="122"/>
  <c r="H124" i="122" s="1"/>
  <c r="H125" i="122" s="1"/>
  <c r="E440" i="130"/>
  <c r="H440" i="130" s="1"/>
  <c r="E1323" i="130"/>
  <c r="H1323" i="130" s="1"/>
  <c r="E107" i="122"/>
  <c r="H107" i="122" s="1"/>
  <c r="H108" i="122" s="1"/>
  <c r="E188" i="122"/>
  <c r="H188" i="122" s="1"/>
  <c r="H189" i="122" s="1"/>
  <c r="E1889" i="130"/>
  <c r="H1889" i="130" s="1"/>
  <c r="H1891" i="130" s="1"/>
  <c r="E147" i="130"/>
  <c r="H147" i="130" s="1"/>
  <c r="H149" i="130" s="1"/>
  <c r="E115" i="152"/>
  <c r="F115" i="152" s="1"/>
  <c r="F25" i="86"/>
  <c r="E63" i="113"/>
  <c r="F63" i="113" s="1"/>
  <c r="E115" i="140"/>
  <c r="F115" i="140" s="1"/>
  <c r="F640" i="152"/>
  <c r="G640" i="152" s="1"/>
  <c r="F871" i="113"/>
  <c r="F873" i="113" s="1"/>
  <c r="F711" i="152"/>
  <c r="G15" i="129"/>
  <c r="G684" i="140"/>
  <c r="G14" i="132"/>
  <c r="F72" i="86"/>
  <c r="F73" i="86" s="1"/>
  <c r="G684" i="152"/>
  <c r="F719" i="152"/>
  <c r="F734" i="140"/>
  <c r="F120" i="125"/>
  <c r="E433" i="152"/>
  <c r="F433" i="152" s="1"/>
  <c r="E433" i="140"/>
  <c r="F433" i="140" s="1"/>
  <c r="F93" i="86"/>
  <c r="E371" i="113"/>
  <c r="F371" i="113" s="1"/>
  <c r="F899" i="152"/>
  <c r="F676" i="113"/>
  <c r="F719" i="140"/>
  <c r="I209" i="113"/>
  <c r="F209" i="113"/>
  <c r="F734" i="152"/>
  <c r="G734" i="152" s="1"/>
  <c r="F698" i="140"/>
  <c r="G859" i="152"/>
  <c r="G473" i="125"/>
  <c r="G859" i="140"/>
  <c r="H267" i="81"/>
  <c r="G267" i="81"/>
  <c r="F896" i="140"/>
  <c r="F163" i="86"/>
  <c r="E549" i="152"/>
  <c r="F549" i="152" s="1"/>
  <c r="E549" i="140"/>
  <c r="F549" i="140" s="1"/>
  <c r="F640" i="140"/>
  <c r="G62" i="126"/>
  <c r="G69" i="126" s="1"/>
  <c r="F133" i="125"/>
  <c r="G907" i="140" l="1"/>
  <c r="B275" i="142"/>
  <c r="G18" i="129"/>
  <c r="F144" i="86"/>
  <c r="F145" i="86" s="1"/>
  <c r="G17" i="132"/>
  <c r="G285" i="146"/>
  <c r="I285" i="146" s="1"/>
  <c r="B227" i="142"/>
  <c r="E228" i="142" s="1"/>
  <c r="O228" i="142" s="1"/>
  <c r="G129" i="126"/>
  <c r="G131" i="126" s="1"/>
  <c r="G908" i="140"/>
  <c r="G908" i="152"/>
  <c r="G272" i="146"/>
  <c r="I272" i="146" s="1"/>
  <c r="B204" i="142"/>
  <c r="K205" i="142" s="1"/>
  <c r="O205" i="142" s="1"/>
  <c r="F954" i="152"/>
  <c r="H954" i="152" s="1"/>
  <c r="K50" i="147"/>
  <c r="F954" i="140"/>
  <c r="H954" i="140" s="1"/>
  <c r="H1768" i="130"/>
  <c r="H907" i="130"/>
  <c r="E906" i="130" s="1"/>
  <c r="I906" i="130" s="1"/>
  <c r="I907" i="130" s="1"/>
  <c r="B907" i="130" s="1"/>
  <c r="B908" i="130" s="1"/>
  <c r="E105" i="125" s="1"/>
  <c r="H64" i="6"/>
  <c r="H843" i="130"/>
  <c r="H861" i="130"/>
  <c r="H962" i="137"/>
  <c r="E957" i="137" s="1"/>
  <c r="I957" i="137" s="1"/>
  <c r="I962" i="137" s="1"/>
  <c r="B962" i="137" s="1"/>
  <c r="B963" i="137" s="1"/>
  <c r="E24" i="118" s="1"/>
  <c r="F24" i="118" s="1"/>
  <c r="H810" i="130"/>
  <c r="H1798" i="130"/>
  <c r="H483" i="130"/>
  <c r="E482" i="130" s="1"/>
  <c r="I482" i="130" s="1"/>
  <c r="I483" i="130" s="1"/>
  <c r="H1101" i="130"/>
  <c r="E1100" i="130" s="1"/>
  <c r="I1100" i="130" s="1"/>
  <c r="I1101" i="130" s="1"/>
  <c r="B1101" i="130" s="1"/>
  <c r="B1102" i="130" s="1"/>
  <c r="E179" i="125" s="1"/>
  <c r="H36" i="6"/>
  <c r="H358" i="130"/>
  <c r="E572" i="140"/>
  <c r="F572" i="140" s="1"/>
  <c r="G52" i="126"/>
  <c r="G306" i="146"/>
  <c r="I306" i="146" s="1"/>
  <c r="H235" i="130"/>
  <c r="B235" i="130" s="1"/>
  <c r="B236" i="130" s="1"/>
  <c r="H614" i="130"/>
  <c r="E613" i="130" s="1"/>
  <c r="I613" i="130" s="1"/>
  <c r="I614" i="130" s="1"/>
  <c r="B614" i="130" s="1"/>
  <c r="B615" i="130" s="1"/>
  <c r="E84" i="125" s="1"/>
  <c r="H356" i="81"/>
  <c r="E355" i="81" s="1"/>
  <c r="I355" i="81" s="1"/>
  <c r="I356" i="81" s="1"/>
  <c r="B356" i="81" s="1"/>
  <c r="B357" i="81" s="1"/>
  <c r="E46" i="86" s="1"/>
  <c r="H631" i="137"/>
  <c r="E630" i="137" s="1"/>
  <c r="I630" i="137" s="1"/>
  <c r="I631" i="137" s="1"/>
  <c r="B631" i="137" s="1"/>
  <c r="B632" i="137" s="1"/>
  <c r="E160" i="118" s="1"/>
  <c r="H1150" i="123"/>
  <c r="E1149" i="123" s="1"/>
  <c r="I1149" i="123" s="1"/>
  <c r="I1150" i="123" s="1"/>
  <c r="B1150" i="123" s="1"/>
  <c r="B1151" i="123" s="1"/>
  <c r="H648" i="139"/>
  <c r="H1612" i="123"/>
  <c r="H518" i="137"/>
  <c r="H286" i="137"/>
  <c r="H381" i="124"/>
  <c r="E380" i="124" s="1"/>
  <c r="I380" i="124" s="1"/>
  <c r="I381" i="124" s="1"/>
  <c r="B381" i="124" s="1"/>
  <c r="B382" i="124" s="1"/>
  <c r="F87" i="126" s="1"/>
  <c r="I24" i="132"/>
  <c r="K16" i="132"/>
  <c r="E948" i="152"/>
  <c r="E124" i="86"/>
  <c r="H4" i="129"/>
  <c r="A143" i="122"/>
  <c r="B1745" i="115"/>
  <c r="A160" i="122"/>
  <c r="H4" i="133"/>
  <c r="B824" i="115"/>
  <c r="B825" i="115" s="1"/>
  <c r="B1030" i="115"/>
  <c r="B1031" i="115" s="1"/>
  <c r="A109" i="122"/>
  <c r="B761" i="123"/>
  <c r="B762" i="123" s="1"/>
  <c r="A75" i="122"/>
  <c r="E391" i="125"/>
  <c r="E60" i="118"/>
  <c r="F101" i="126"/>
  <c r="C3" i="121"/>
  <c r="H4" i="132"/>
  <c r="A136" i="81"/>
  <c r="B538" i="116"/>
  <c r="B539" i="116" s="1"/>
  <c r="A761" i="123"/>
  <c r="B190" i="116"/>
  <c r="B191" i="116" s="1"/>
  <c r="B1689" i="115"/>
  <c r="B1690" i="115" s="1"/>
  <c r="F54" i="126"/>
  <c r="H5" i="132"/>
  <c r="B1778" i="115"/>
  <c r="B1779" i="115" s="1"/>
  <c r="E948" i="140"/>
  <c r="E55" i="86"/>
  <c r="A41" i="122"/>
  <c r="A175" i="122"/>
  <c r="A24" i="122"/>
  <c r="E166" i="118"/>
  <c r="B374" i="116"/>
  <c r="B375" i="116" s="1"/>
  <c r="A92" i="122"/>
  <c r="B343" i="116"/>
  <c r="B344" i="116" s="1"/>
  <c r="B1629" i="115"/>
  <c r="B1630" i="115" s="1"/>
  <c r="B1753" i="115"/>
  <c r="E251" i="125"/>
  <c r="E469" i="125"/>
  <c r="E115" i="125"/>
  <c r="D254" i="146"/>
  <c r="A126" i="122"/>
  <c r="A149" i="81"/>
  <c r="B1736" i="115"/>
  <c r="B1251" i="115"/>
  <c r="B1252" i="115" s="1"/>
  <c r="H8" i="132"/>
  <c r="E194" i="86"/>
  <c r="B1170" i="115"/>
  <c r="B1171" i="115" s="1"/>
  <c r="B1090" i="115"/>
  <c r="B1091" i="115" s="1"/>
  <c r="A190" i="122"/>
  <c r="A58" i="122"/>
  <c r="B1936" i="115"/>
  <c r="B1937" i="115" s="1"/>
  <c r="B1531" i="115"/>
  <c r="B1532" i="115" s="1"/>
  <c r="K676" i="115"/>
  <c r="B1118" i="115"/>
  <c r="B1119" i="115" s="1"/>
  <c r="K730" i="137"/>
  <c r="B942" i="115"/>
  <c r="B943" i="115" s="1"/>
  <c r="E89" i="119"/>
  <c r="F89" i="119" s="1"/>
  <c r="F91" i="119" s="1"/>
  <c r="F93" i="119" s="1"/>
  <c r="B1680" i="115"/>
  <c r="B1681" i="115" s="1"/>
  <c r="B39" i="116"/>
  <c r="B40" i="116" s="1"/>
  <c r="B1558" i="115"/>
  <c r="B1559" i="115" s="1"/>
  <c r="B1505" i="115"/>
  <c r="B1506" i="115" s="1"/>
  <c r="B1203" i="115"/>
  <c r="B1204" i="115" s="1"/>
  <c r="B888" i="115"/>
  <c r="B889" i="115" s="1"/>
  <c r="B1308" i="115"/>
  <c r="B1309" i="115" s="1"/>
  <c r="B366" i="116"/>
  <c r="B367" i="116" s="1"/>
  <c r="B1411" i="115"/>
  <c r="B1412" i="115" s="1"/>
  <c r="B255" i="116"/>
  <c r="B256" i="116" s="1"/>
  <c r="B67" i="116"/>
  <c r="B68" i="116" s="1"/>
  <c r="B1368" i="115"/>
  <c r="B1369" i="115" s="1"/>
  <c r="B1522" i="115"/>
  <c r="B1523" i="115" s="1"/>
  <c r="B1152" i="115"/>
  <c r="B1153" i="115" s="1"/>
  <c r="B471" i="116"/>
  <c r="B472" i="116" s="1"/>
  <c r="B1497" i="115"/>
  <c r="B1498" i="115" s="1"/>
  <c r="B103" i="116"/>
  <c r="B104" i="116" s="1"/>
  <c r="B75" i="116"/>
  <c r="B76" i="116" s="1"/>
  <c r="B706" i="115"/>
  <c r="B707" i="115" s="1"/>
  <c r="B1865" i="115"/>
  <c r="B1866" i="115" s="1"/>
  <c r="B995" i="115"/>
  <c r="B996" i="115" s="1"/>
  <c r="B1514" i="115"/>
  <c r="B1515" i="115" s="1"/>
  <c r="B166" i="116"/>
  <c r="B167" i="116" s="1"/>
  <c r="B1844" i="115"/>
  <c r="B1845" i="115" s="1"/>
  <c r="B786" i="115"/>
  <c r="B787" i="115" s="1"/>
  <c r="B142" i="116"/>
  <c r="B143" i="116" s="1"/>
  <c r="B1143" i="115"/>
  <c r="B1144" i="115" s="1"/>
  <c r="B1360" i="115"/>
  <c r="B1361" i="115" s="1"/>
  <c r="B1351" i="115"/>
  <c r="B1352" i="115" s="1"/>
  <c r="B1211" i="115"/>
  <c r="B1212" i="115" s="1"/>
  <c r="B1271" i="115"/>
  <c r="B1272" i="115" s="1"/>
  <c r="B1663" i="115"/>
  <c r="B1664" i="115" s="1"/>
  <c r="B686" i="115"/>
  <c r="B687" i="115" s="1"/>
  <c r="B765" i="115"/>
  <c r="B766" i="115" s="1"/>
  <c r="B1013" i="115"/>
  <c r="B1014" i="115" s="1"/>
  <c r="B1343" i="115"/>
  <c r="B1344" i="115" s="1"/>
  <c r="B1428" i="115"/>
  <c r="B1429" i="115" s="1"/>
  <c r="B283" i="116"/>
  <c r="B284" i="116" s="1"/>
  <c r="B414" i="116"/>
  <c r="B415" i="116" s="1"/>
  <c r="B924" i="115"/>
  <c r="B925" i="115" s="1"/>
  <c r="B1135" i="115"/>
  <c r="B1136" i="115" s="1"/>
  <c r="B1099" i="115"/>
  <c r="B1100" i="115" s="1"/>
  <c r="B870" i="115"/>
  <c r="B871" i="115" s="1"/>
  <c r="B1316" i="115"/>
  <c r="B1317" i="115" s="1"/>
  <c r="B852" i="115"/>
  <c r="B853" i="115" s="1"/>
  <c r="B1719" i="115"/>
  <c r="B1720" i="115" s="1"/>
  <c r="B47" i="116"/>
  <c r="B48" i="116" s="1"/>
  <c r="B1920" i="115"/>
  <c r="B1921" i="115" s="1"/>
  <c r="B1598" i="115"/>
  <c r="B1599" i="115" s="1"/>
  <c r="B1160" i="115"/>
  <c r="B1161" i="115" s="1"/>
  <c r="B985" i="115"/>
  <c r="B986" i="115" s="1"/>
  <c r="B389" i="116"/>
  <c r="B390" i="116" s="1"/>
  <c r="B746" i="115"/>
  <c r="B747" i="115" s="1"/>
  <c r="B878" i="115"/>
  <c r="B879" i="115" s="1"/>
  <c r="B174" i="116"/>
  <c r="B175" i="116" s="1"/>
  <c r="B335" i="116"/>
  <c r="B336" i="116" s="1"/>
  <c r="B1402" i="115"/>
  <c r="B1403" i="115" s="1"/>
  <c r="B1039" i="115"/>
  <c r="B1040" i="115" s="1"/>
  <c r="B352" i="116"/>
  <c r="B353" i="116" s="1"/>
  <c r="B1609" i="115"/>
  <c r="B1610" i="115" s="1"/>
  <c r="B1227" i="115"/>
  <c r="B1228" i="115" s="1"/>
  <c r="B815" i="115"/>
  <c r="B816" i="115" s="1"/>
  <c r="B1706" i="115"/>
  <c r="B1707" i="115" s="1"/>
  <c r="B1549" i="115"/>
  <c r="B1550" i="115" s="1"/>
  <c r="B1194" i="115"/>
  <c r="B1195" i="115" s="1"/>
  <c r="B967" i="115"/>
  <c r="B968" i="115" s="1"/>
  <c r="B1697" i="115"/>
  <c r="B1698" i="115" s="1"/>
  <c r="B1048" i="115"/>
  <c r="B1049" i="115" s="1"/>
  <c r="B214" i="116"/>
  <c r="B215" i="116" s="1"/>
  <c r="B1377" i="115"/>
  <c r="B1378" i="115" s="1"/>
  <c r="B1445" i="115"/>
  <c r="B1446" i="115" s="1"/>
  <c r="B311" i="116"/>
  <c r="B312" i="116" s="1"/>
  <c r="B1637" i="115"/>
  <c r="B1638" i="115" s="1"/>
  <c r="B444" i="116"/>
  <c r="B445" i="116" s="1"/>
  <c r="B530" i="116"/>
  <c r="B531" i="116" s="1"/>
  <c r="B1082" i="115"/>
  <c r="B1083" i="115" s="1"/>
  <c r="B1219" i="115"/>
  <c r="B1220" i="115" s="1"/>
  <c r="B1279" i="115"/>
  <c r="B1280" i="115" s="1"/>
  <c r="B182" i="116"/>
  <c r="B183" i="116" s="1"/>
  <c r="B738" i="115"/>
  <c r="B739" i="115" s="1"/>
  <c r="B1065" i="115"/>
  <c r="B1066" i="115" s="1"/>
  <c r="B1671" i="115"/>
  <c r="B1672" i="115" s="1"/>
  <c r="B263" i="116"/>
  <c r="B264" i="116" s="1"/>
  <c r="B1480" i="115"/>
  <c r="B1481" i="115" s="1"/>
  <c r="B1243" i="115"/>
  <c r="B1244" i="115" s="1"/>
  <c r="B1727" i="115"/>
  <c r="B1728" i="115" s="1"/>
  <c r="B1299" i="115"/>
  <c r="B1300" i="115" s="1"/>
  <c r="B1539" i="115"/>
  <c r="B1540" i="115" s="1"/>
  <c r="B678" i="115"/>
  <c r="B679" i="115" s="1"/>
  <c r="B1291" i="115"/>
  <c r="B1292" i="115" s="1"/>
  <c r="B718" i="115"/>
  <c r="B719" i="115" s="1"/>
  <c r="B1569" i="115"/>
  <c r="B1570" i="115" s="1"/>
  <c r="B1646" i="115"/>
  <c r="B1647" i="115" s="1"/>
  <c r="B1235" i="115"/>
  <c r="B1236" i="115" s="1"/>
  <c r="B521" i="116"/>
  <c r="B522" i="116" s="1"/>
  <c r="B1929" i="115"/>
  <c r="B1930" i="115" s="1"/>
  <c r="B1003" i="115"/>
  <c r="B1004" i="115" s="1"/>
  <c r="B228" i="116"/>
  <c r="B229" i="116" s="1"/>
  <c r="B1589" i="115"/>
  <c r="B1590" i="115" s="1"/>
  <c r="B1419" i="115"/>
  <c r="B1420" i="115" s="1"/>
  <c r="B23" i="116"/>
  <c r="B24" i="116" s="1"/>
  <c r="B1898" i="115"/>
  <c r="B1899" i="115" s="1"/>
  <c r="B1578" i="115"/>
  <c r="B1579" i="115" s="1"/>
  <c r="B422" i="116"/>
  <c r="B423" i="116" s="1"/>
  <c r="B1385" i="115"/>
  <c r="B1386" i="115" s="1"/>
  <c r="B236" i="116"/>
  <c r="B237" i="116" s="1"/>
  <c r="B1259" i="115"/>
  <c r="B1260" i="115" s="1"/>
  <c r="B158" i="116"/>
  <c r="B159" i="116" s="1"/>
  <c r="B1126" i="115"/>
  <c r="B1127" i="115" s="1"/>
  <c r="B1394" i="115"/>
  <c r="B1395" i="115" s="1"/>
  <c r="B513" i="116"/>
  <c r="B514" i="116" s="1"/>
  <c r="B1178" i="115"/>
  <c r="B1179" i="115" s="1"/>
  <c r="B206" i="116"/>
  <c r="B207" i="116" s="1"/>
  <c r="B1618" i="115"/>
  <c r="B1619" i="115" s="1"/>
  <c r="B1654" i="115"/>
  <c r="B1655" i="115" s="1"/>
  <c r="B1886" i="115"/>
  <c r="B1887" i="115" s="1"/>
  <c r="B1471" i="115"/>
  <c r="B1472" i="115" s="1"/>
  <c r="B95" i="116"/>
  <c r="B96" i="116" s="1"/>
  <c r="B484" i="116"/>
  <c r="B485" i="116" s="1"/>
  <c r="B1107" i="115"/>
  <c r="B1108" i="115" s="1"/>
  <c r="B977" i="115"/>
  <c r="B978" i="115" s="1"/>
  <c r="B1453" i="115"/>
  <c r="B1454" i="115" s="1"/>
  <c r="B950" i="115"/>
  <c r="B951" i="115" s="1"/>
  <c r="B198" i="116"/>
  <c r="B199" i="116" s="1"/>
  <c r="B1856" i="115"/>
  <c r="B1857" i="115" s="1"/>
  <c r="B150" i="116"/>
  <c r="B151" i="116" s="1"/>
  <c r="B134" i="116"/>
  <c r="B135" i="116" s="1"/>
  <c r="B1021" i="115"/>
  <c r="B1022" i="115" s="1"/>
  <c r="B319" i="116"/>
  <c r="B320" i="116" s="1"/>
  <c r="B698" i="115"/>
  <c r="B699" i="115" s="1"/>
  <c r="B834" i="115"/>
  <c r="B835" i="115" s="1"/>
  <c r="B1463" i="115"/>
  <c r="B1464" i="115" s="1"/>
  <c r="B932" i="115"/>
  <c r="B933" i="115" s="1"/>
  <c r="B778" i="115"/>
  <c r="B779" i="115" s="1"/>
  <c r="B291" i="116"/>
  <c r="B292" i="116" s="1"/>
  <c r="B756" i="115"/>
  <c r="B757" i="115" s="1"/>
  <c r="B1186" i="115"/>
  <c r="B1187" i="115" s="1"/>
  <c r="B1799" i="115"/>
  <c r="B1800" i="115" s="1"/>
  <c r="B1770" i="115"/>
  <c r="B1771" i="115" s="1"/>
  <c r="B397" i="116"/>
  <c r="B398" i="116" s="1"/>
  <c r="B497" i="116"/>
  <c r="B498" i="116" s="1"/>
  <c r="B1762" i="115"/>
  <c r="B805" i="115"/>
  <c r="B806" i="115" s="1"/>
  <c r="B914" i="115"/>
  <c r="B915" i="115" s="1"/>
  <c r="B1436" i="115"/>
  <c r="B1437" i="115" s="1"/>
  <c r="B1790" i="115"/>
  <c r="B1791" i="115" s="1"/>
  <c r="B1073" i="115"/>
  <c r="B1074" i="115" s="1"/>
  <c r="B463" i="116"/>
  <c r="B464" i="116" s="1"/>
  <c r="B796" i="115"/>
  <c r="B797" i="115" s="1"/>
  <c r="B31" i="116"/>
  <c r="B32" i="116" s="1"/>
  <c r="B1056" i="115"/>
  <c r="B1057" i="115" s="1"/>
  <c r="B1334" i="115"/>
  <c r="B1335" i="115" s="1"/>
  <c r="B1488" i="115"/>
  <c r="B1489" i="115" s="1"/>
  <c r="B896" i="115"/>
  <c r="B897" i="115" s="1"/>
  <c r="B959" i="115"/>
  <c r="B960" i="115" s="1"/>
  <c r="B1326" i="115"/>
  <c r="B1327" i="115" s="1"/>
  <c r="B1835" i="115"/>
  <c r="B1836" i="115" s="1"/>
  <c r="B436" i="116"/>
  <c r="B437" i="116" s="1"/>
  <c r="B1907" i="115"/>
  <c r="B1908" i="115" s="1"/>
  <c r="B906" i="115"/>
  <c r="B907" i="115" s="1"/>
  <c r="B726" i="115"/>
  <c r="B727" i="115" s="1"/>
  <c r="J48" i="144"/>
  <c r="J49" i="144" s="1"/>
  <c r="J50" i="144" s="1"/>
  <c r="B1811" i="115"/>
  <c r="B1812" i="115" s="1"/>
  <c r="F59" i="86"/>
  <c r="G59" i="86" s="1"/>
  <c r="O113" i="142"/>
  <c r="M256" i="142"/>
  <c r="L256" i="142"/>
  <c r="K27" i="145"/>
  <c r="F443" i="125"/>
  <c r="E218" i="146"/>
  <c r="B114" i="142"/>
  <c r="I19" i="132"/>
  <c r="K13" i="132"/>
  <c r="K19" i="132" s="1"/>
  <c r="I21" i="132"/>
  <c r="I27" i="132" s="1"/>
  <c r="H99" i="130"/>
  <c r="E93" i="130" s="1"/>
  <c r="I93" i="130" s="1"/>
  <c r="I99" i="130" s="1"/>
  <c r="H1004" i="123"/>
  <c r="H761" i="130"/>
  <c r="H646" i="130"/>
  <c r="E645" i="130" s="1"/>
  <c r="I645" i="130" s="1"/>
  <c r="I646" i="130" s="1"/>
  <c r="B646" i="130" s="1"/>
  <c r="B647" i="130" s="1"/>
  <c r="E86" i="125" s="1"/>
  <c r="H1845" i="130"/>
  <c r="H876" i="130"/>
  <c r="H1830" i="130"/>
  <c r="H391" i="130"/>
  <c r="E390" i="130" s="1"/>
  <c r="I390" i="130" s="1"/>
  <c r="I391" i="130" s="1"/>
  <c r="H515" i="130"/>
  <c r="H1906" i="130"/>
  <c r="H149" i="6"/>
  <c r="H188" i="139"/>
  <c r="H298" i="130"/>
  <c r="E290" i="130" s="1"/>
  <c r="I290" i="130" s="1"/>
  <c r="I298" i="130" s="1"/>
  <c r="G932" i="152"/>
  <c r="B269" i="142"/>
  <c r="E509" i="152"/>
  <c r="F509" i="152" s="1"/>
  <c r="E503" i="140"/>
  <c r="F503" i="140" s="1"/>
  <c r="F502" i="140" s="1"/>
  <c r="H804" i="123"/>
  <c r="E799" i="123" s="1"/>
  <c r="I799" i="123" s="1"/>
  <c r="I804" i="123" s="1"/>
  <c r="H1442" i="123"/>
  <c r="E1441" i="123" s="1"/>
  <c r="I1441" i="123" s="1"/>
  <c r="I1442" i="123" s="1"/>
  <c r="B1442" i="123" s="1"/>
  <c r="B1443" i="123" s="1"/>
  <c r="H1182" i="123"/>
  <c r="E1181" i="123" s="1"/>
  <c r="I1181" i="123" s="1"/>
  <c r="I1182" i="123" s="1"/>
  <c r="B1182" i="123" s="1"/>
  <c r="B1183" i="123" s="1"/>
  <c r="H100" i="137"/>
  <c r="H569" i="137"/>
  <c r="E568" i="137" s="1"/>
  <c r="I568" i="137" s="1"/>
  <c r="I569" i="137" s="1"/>
  <c r="B569" i="137" s="1"/>
  <c r="B570" i="137" s="1"/>
  <c r="E156" i="118" s="1"/>
  <c r="H296" i="81"/>
  <c r="H499" i="124"/>
  <c r="H218" i="137"/>
  <c r="H397" i="81"/>
  <c r="E396" i="81" s="1"/>
  <c r="I396" i="81" s="1"/>
  <c r="I397" i="81" s="1"/>
  <c r="B397" i="81" s="1"/>
  <c r="B398" i="81" s="1"/>
  <c r="E48" i="86" s="1"/>
  <c r="M262" i="142"/>
  <c r="L262" i="142"/>
  <c r="O262" i="142" s="1"/>
  <c r="O254" i="142"/>
  <c r="B842" i="115"/>
  <c r="B843" i="115" s="1"/>
  <c r="B860" i="115"/>
  <c r="B861" i="115" s="1"/>
  <c r="M264" i="142"/>
  <c r="L264" i="142"/>
  <c r="L238" i="142"/>
  <c r="O238" i="142" s="1"/>
  <c r="M238" i="142"/>
  <c r="B236" i="142"/>
  <c r="M242" i="142"/>
  <c r="L242" i="142"/>
  <c r="O242" i="142" s="1"/>
  <c r="F445" i="125"/>
  <c r="F120" i="118"/>
  <c r="M260" i="142"/>
  <c r="L260" i="142"/>
  <c r="O260" i="142" s="1"/>
  <c r="L244" i="142"/>
  <c r="M244" i="142"/>
  <c r="H1981" i="130"/>
  <c r="H121" i="130"/>
  <c r="E115" i="130" s="1"/>
  <c r="I115" i="130" s="1"/>
  <c r="I121" i="130" s="1"/>
  <c r="H1479" i="130"/>
  <c r="H2513" i="130"/>
  <c r="E2512" i="130" s="1"/>
  <c r="I2512" i="130" s="1"/>
  <c r="I2513" i="130" s="1"/>
  <c r="B2513" i="130" s="1"/>
  <c r="B2514" i="130" s="1"/>
  <c r="H173" i="130"/>
  <c r="H969" i="130"/>
  <c r="H938" i="130"/>
  <c r="H89" i="136"/>
  <c r="E86" i="136" s="1"/>
  <c r="I86" i="136" s="1"/>
  <c r="I89" i="136" s="1"/>
  <c r="B89" i="136" s="1"/>
  <c r="B90" i="136" s="1"/>
  <c r="H88" i="130"/>
  <c r="E82" i="130" s="1"/>
  <c r="I82" i="130" s="1"/>
  <c r="I88" i="130" s="1"/>
  <c r="H776" i="130"/>
  <c r="H1860" i="130"/>
  <c r="H20" i="123"/>
  <c r="H1270" i="123"/>
  <c r="E1260" i="123" s="1"/>
  <c r="I1260" i="123" s="1"/>
  <c r="I1270" i="123" s="1"/>
  <c r="H368" i="130"/>
  <c r="E367" i="130" s="1"/>
  <c r="I367" i="130" s="1"/>
  <c r="I368" i="130" s="1"/>
  <c r="H1966" i="130"/>
  <c r="H2367" i="130"/>
  <c r="E2366" i="130" s="1"/>
  <c r="I2366" i="130" s="1"/>
  <c r="I2367" i="130" s="1"/>
  <c r="B2367" i="130" s="1"/>
  <c r="B2368" i="130" s="1"/>
  <c r="E466" i="125" s="1"/>
  <c r="F128" i="86"/>
  <c r="G128" i="86" s="1"/>
  <c r="E221" i="152"/>
  <c r="F221" i="152" s="1"/>
  <c r="H1551" i="123"/>
  <c r="H1412" i="123"/>
  <c r="H1566" i="123"/>
  <c r="E1565" i="123" s="1"/>
  <c r="I1565" i="123" s="1"/>
  <c r="I1566" i="123" s="1"/>
  <c r="B1566" i="123" s="1"/>
  <c r="B1567" i="123" s="1"/>
  <c r="H386" i="123"/>
  <c r="E385" i="123" s="1"/>
  <c r="I385" i="123" s="1"/>
  <c r="I386" i="123" s="1"/>
  <c r="B386" i="123" s="1"/>
  <c r="B387" i="123" s="1"/>
  <c r="H894" i="123"/>
  <c r="H64" i="124"/>
  <c r="E57" i="124" s="1"/>
  <c r="I57" i="124" s="1"/>
  <c r="I64" i="124" s="1"/>
  <c r="B64" i="124" s="1"/>
  <c r="B65" i="124" s="1"/>
  <c r="F20" i="126" s="1"/>
  <c r="H357" i="137"/>
  <c r="H435" i="124"/>
  <c r="H890" i="81"/>
  <c r="E889" i="81" s="1"/>
  <c r="I889" i="81" s="1"/>
  <c r="I890" i="81" s="1"/>
  <c r="B890" i="81" s="1"/>
  <c r="B891" i="81" s="1"/>
  <c r="E181" i="86" s="1"/>
  <c r="H1581" i="123"/>
  <c r="E1578" i="123" s="1"/>
  <c r="I1578" i="123" s="1"/>
  <c r="I1581" i="123" s="1"/>
  <c r="B1581" i="123" s="1"/>
  <c r="B1582" i="123" s="1"/>
  <c r="B206" i="142"/>
  <c r="K207" i="142" s="1"/>
  <c r="O207" i="142" s="1"/>
  <c r="G273" i="146"/>
  <c r="I273" i="146" s="1"/>
  <c r="L258" i="142"/>
  <c r="M258" i="142"/>
  <c r="B126" i="116"/>
  <c r="B127" i="116" s="1"/>
  <c r="B1877" i="115"/>
  <c r="B1878" i="115" s="1"/>
  <c r="H237" i="81"/>
  <c r="E236" i="81" s="1"/>
  <c r="I236" i="81" s="1"/>
  <c r="I237" i="81" s="1"/>
  <c r="H1427" i="123"/>
  <c r="H57" i="122"/>
  <c r="H225" i="81"/>
  <c r="E214" i="81" s="1"/>
  <c r="I214" i="81" s="1"/>
  <c r="I225" i="81" s="1"/>
  <c r="H198" i="81"/>
  <c r="E193" i="81" s="1"/>
  <c r="I193" i="81" s="1"/>
  <c r="I198" i="81" s="1"/>
  <c r="H1335" i="123"/>
  <c r="B1335" i="123" s="1"/>
  <c r="B1336" i="123" s="1"/>
  <c r="H466" i="123"/>
  <c r="E465" i="123" s="1"/>
  <c r="I465" i="123" s="1"/>
  <c r="I466" i="123" s="1"/>
  <c r="B466" i="123" s="1"/>
  <c r="B467" i="123" s="1"/>
  <c r="H973" i="123"/>
  <c r="E970" i="123" s="1"/>
  <c r="I970" i="123" s="1"/>
  <c r="I973" i="123" s="1"/>
  <c r="B973" i="123" s="1"/>
  <c r="B974" i="123" s="1"/>
  <c r="H782" i="81"/>
  <c r="E781" i="81" s="1"/>
  <c r="I781" i="81" s="1"/>
  <c r="I782" i="81" s="1"/>
  <c r="B782" i="81" s="1"/>
  <c r="B783" i="81" s="1"/>
  <c r="H313" i="124"/>
  <c r="E312" i="124" s="1"/>
  <c r="I312" i="124" s="1"/>
  <c r="I313" i="124" s="1"/>
  <c r="B313" i="124" s="1"/>
  <c r="B314" i="124" s="1"/>
  <c r="F83" i="126" s="1"/>
  <c r="E517" i="140" s="1"/>
  <c r="F517" i="140" s="1"/>
  <c r="H837" i="123"/>
  <c r="E827" i="123" s="1"/>
  <c r="I827" i="123" s="1"/>
  <c r="I837" i="123" s="1"/>
  <c r="H342" i="130"/>
  <c r="E341" i="130" s="1"/>
  <c r="I341" i="130" s="1"/>
  <c r="I342" i="130" s="1"/>
  <c r="H1107" i="123"/>
  <c r="H1260" i="130"/>
  <c r="E1259" i="130" s="1"/>
  <c r="I1259" i="130" s="1"/>
  <c r="I1260" i="130" s="1"/>
  <c r="B1260" i="130" s="1"/>
  <c r="B1261" i="130" s="1"/>
  <c r="E189" i="125" s="1"/>
  <c r="H204" i="123"/>
  <c r="H324" i="130"/>
  <c r="E316" i="130" s="1"/>
  <c r="I316" i="130" s="1"/>
  <c r="I324" i="130" s="1"/>
  <c r="H1303" i="123"/>
  <c r="H82" i="137"/>
  <c r="H903" i="123"/>
  <c r="H1464" i="130"/>
  <c r="E533" i="152"/>
  <c r="F533" i="152" s="1"/>
  <c r="H791" i="130"/>
  <c r="E790" i="130" s="1"/>
  <c r="I790" i="130" s="1"/>
  <c r="I791" i="130" s="1"/>
  <c r="B791" i="130" s="1"/>
  <c r="B792" i="130" s="1"/>
  <c r="E96" i="125" s="1"/>
  <c r="G99" i="126"/>
  <c r="H451" i="123"/>
  <c r="E450" i="123" s="1"/>
  <c r="I450" i="123" s="1"/>
  <c r="I451" i="123" s="1"/>
  <c r="B451" i="123" s="1"/>
  <c r="B452" i="123" s="1"/>
  <c r="H1721" i="130"/>
  <c r="H1253" i="123"/>
  <c r="E1243" i="123" s="1"/>
  <c r="I1243" i="123" s="1"/>
  <c r="I1253" i="123" s="1"/>
  <c r="H168" i="139"/>
  <c r="H1545" i="130"/>
  <c r="H677" i="137"/>
  <c r="E676" i="137" s="1"/>
  <c r="I676" i="137" s="1"/>
  <c r="I677" i="137" s="1"/>
  <c r="B677" i="137" s="1"/>
  <c r="B678" i="137" s="1"/>
  <c r="E163" i="118" s="1"/>
  <c r="H316" i="81"/>
  <c r="E315" i="81" s="1"/>
  <c r="I315" i="81" s="1"/>
  <c r="I316" i="81" s="1"/>
  <c r="B316" i="81" s="1"/>
  <c r="B317" i="81" s="1"/>
  <c r="E44" i="86" s="1"/>
  <c r="H1951" i="130"/>
  <c r="H460" i="130"/>
  <c r="E481" i="113"/>
  <c r="F481" i="113" s="1"/>
  <c r="F480" i="113" s="1"/>
  <c r="H1397" i="123"/>
  <c r="E1394" i="123" s="1"/>
  <c r="I1394" i="123" s="1"/>
  <c r="I1397" i="123" s="1"/>
  <c r="B1397" i="123" s="1"/>
  <c r="B1398" i="123" s="1"/>
  <c r="H552" i="137"/>
  <c r="E551" i="137" s="1"/>
  <c r="I551" i="137" s="1"/>
  <c r="I552" i="137" s="1"/>
  <c r="B552" i="137" s="1"/>
  <c r="B553" i="137" s="1"/>
  <c r="E155" i="118" s="1"/>
  <c r="F950" i="152"/>
  <c r="F951" i="152" s="1"/>
  <c r="F952" i="152" s="1"/>
  <c r="H2011" i="130"/>
  <c r="H417" i="81"/>
  <c r="E416" i="81" s="1"/>
  <c r="I416" i="81" s="1"/>
  <c r="I417" i="81" s="1"/>
  <c r="B417" i="81" s="1"/>
  <c r="B418" i="81" s="1"/>
  <c r="E49" i="86" s="1"/>
  <c r="H939" i="123"/>
  <c r="E938" i="123" s="1"/>
  <c r="I938" i="123" s="1"/>
  <c r="I939" i="123" s="1"/>
  <c r="B939" i="123" s="1"/>
  <c r="B940" i="123" s="1"/>
  <c r="H515" i="124"/>
  <c r="H271" i="81"/>
  <c r="E270" i="81" s="1"/>
  <c r="I270" i="81" s="1"/>
  <c r="I271" i="81" s="1"/>
  <c r="F74" i="86"/>
  <c r="H2528" i="130"/>
  <c r="H148" i="81"/>
  <c r="E141" i="81" s="1"/>
  <c r="I141" i="81" s="1"/>
  <c r="I148" i="81" s="1"/>
  <c r="B148" i="81" s="1"/>
  <c r="H584" i="137"/>
  <c r="E645" i="139"/>
  <c r="I645" i="139" s="1"/>
  <c r="I648" i="139" s="1"/>
  <c r="B648" i="139" s="1"/>
  <c r="B649" i="139" s="1"/>
  <c r="E246" i="125" s="1"/>
  <c r="F164" i="118"/>
  <c r="E98" i="140"/>
  <c r="F98" i="140" s="1"/>
  <c r="E98" i="152"/>
  <c r="F98" i="152" s="1"/>
  <c r="G88" i="126"/>
  <c r="E522" i="140"/>
  <c r="F522" i="140" s="1"/>
  <c r="E522" i="152"/>
  <c r="F522" i="152" s="1"/>
  <c r="E1024" i="123"/>
  <c r="I1024" i="123" s="1"/>
  <c r="I1025" i="123" s="1"/>
  <c r="B1025" i="123" s="1"/>
  <c r="B1026" i="123" s="1"/>
  <c r="E556" i="81"/>
  <c r="I556" i="81" s="1"/>
  <c r="I557" i="81" s="1"/>
  <c r="B557" i="81" s="1"/>
  <c r="B558" i="81" s="1"/>
  <c r="E268" i="137"/>
  <c r="I268" i="137" s="1"/>
  <c r="I269" i="137" s="1"/>
  <c r="B269" i="137" s="1"/>
  <c r="B270" i="137" s="1"/>
  <c r="E139" i="118" s="1"/>
  <c r="E521" i="140"/>
  <c r="F521" i="140" s="1"/>
  <c r="E521" i="152"/>
  <c r="F521" i="152" s="1"/>
  <c r="G87" i="126"/>
  <c r="E644" i="137"/>
  <c r="I644" i="137" s="1"/>
  <c r="I645" i="137" s="1"/>
  <c r="B645" i="137" s="1"/>
  <c r="B646" i="137" s="1"/>
  <c r="E161" i="118" s="1"/>
  <c r="H1046" i="81"/>
  <c r="E401" i="113"/>
  <c r="F401" i="113" s="1"/>
  <c r="E413" i="152"/>
  <c r="F413" i="152" s="1"/>
  <c r="E413" i="140"/>
  <c r="F413" i="140" s="1"/>
  <c r="F465" i="125"/>
  <c r="H153" i="123"/>
  <c r="E144" i="123" s="1"/>
  <c r="I144" i="123" s="1"/>
  <c r="I153" i="123" s="1"/>
  <c r="H66" i="130"/>
  <c r="E60" i="130" s="1"/>
  <c r="I60" i="130" s="1"/>
  <c r="I66" i="130" s="1"/>
  <c r="H954" i="130"/>
  <c r="H1814" i="130"/>
  <c r="E1813" i="130" s="1"/>
  <c r="I1813" i="130" s="1"/>
  <c r="I1814" i="130" s="1"/>
  <c r="B1814" i="130" s="1"/>
  <c r="B1815" i="130" s="1"/>
  <c r="E225" i="125" s="1"/>
  <c r="H1015" i="123"/>
  <c r="H2450" i="130"/>
  <c r="E2441" i="130" s="1"/>
  <c r="I2441" i="130" s="1"/>
  <c r="I2450" i="130" s="1"/>
  <c r="H473" i="130"/>
  <c r="E472" i="130" s="1"/>
  <c r="I472" i="130" s="1"/>
  <c r="I473" i="130" s="1"/>
  <c r="H134" i="6"/>
  <c r="E126" i="6" s="1"/>
  <c r="I126" i="6" s="1"/>
  <c r="I134" i="6" s="1"/>
  <c r="B134" i="6" s="1"/>
  <c r="H296" i="123"/>
  <c r="H189" i="130"/>
  <c r="H2465" i="130"/>
  <c r="E2457" i="130" s="1"/>
  <c r="I2457" i="130" s="1"/>
  <c r="I2465" i="130" s="1"/>
  <c r="H2543" i="130"/>
  <c r="E2542" i="130" s="1"/>
  <c r="I2542" i="130" s="1"/>
  <c r="I2543" i="130" s="1"/>
  <c r="B2543" i="130" s="1"/>
  <c r="B2544" i="130" s="1"/>
  <c r="H2087" i="130"/>
  <c r="H919" i="137"/>
  <c r="H451" i="130"/>
  <c r="H1738" i="130"/>
  <c r="E1737" i="130" s="1"/>
  <c r="I1737" i="130" s="1"/>
  <c r="I1738" i="130" s="1"/>
  <c r="B1738" i="130" s="1"/>
  <c r="B1739" i="130" s="1"/>
  <c r="E220" i="125" s="1"/>
  <c r="H120" i="6"/>
  <c r="E112" i="6" s="1"/>
  <c r="I112" i="6" s="1"/>
  <c r="I120" i="6" s="1"/>
  <c r="B120" i="6" s="1"/>
  <c r="H188" i="81"/>
  <c r="E177" i="81" s="1"/>
  <c r="I177" i="81" s="1"/>
  <c r="I188" i="81" s="1"/>
  <c r="H1658" i="130"/>
  <c r="E547" i="113"/>
  <c r="F547" i="113" s="1"/>
  <c r="F83" i="125"/>
  <c r="E222" i="140"/>
  <c r="F222" i="140" s="1"/>
  <c r="G312" i="146"/>
  <c r="I312" i="146" s="1"/>
  <c r="F47" i="86"/>
  <c r="B266" i="142"/>
  <c r="F267" i="142" s="1"/>
  <c r="O267" i="142" s="1"/>
  <c r="E94" i="152"/>
  <c r="F94" i="152" s="1"/>
  <c r="E449" i="140"/>
  <c r="F449" i="140" s="1"/>
  <c r="G46" i="126"/>
  <c r="G45" i="126" s="1"/>
  <c r="H336" i="81"/>
  <c r="H1087" i="123"/>
  <c r="E495" i="81"/>
  <c r="I495" i="81" s="1"/>
  <c r="I496" i="81" s="1"/>
  <c r="B496" i="81" s="1"/>
  <c r="B497" i="81" s="1"/>
  <c r="E53" i="86" s="1"/>
  <c r="E336" i="123"/>
  <c r="I336" i="123" s="1"/>
  <c r="I337" i="123" s="1"/>
  <c r="B337" i="123" s="1"/>
  <c r="B338" i="123" s="1"/>
  <c r="H934" i="81"/>
  <c r="E933" i="81" s="1"/>
  <c r="I933" i="81" s="1"/>
  <c r="I934" i="81" s="1"/>
  <c r="B934" i="81" s="1"/>
  <c r="B935" i="81" s="1"/>
  <c r="E184" i="86" s="1"/>
  <c r="E253" i="123"/>
  <c r="I253" i="123" s="1"/>
  <c r="I256" i="123" s="1"/>
  <c r="B256" i="123" s="1"/>
  <c r="B257" i="123" s="1"/>
  <c r="E99" i="137"/>
  <c r="I99" i="137" s="1"/>
  <c r="I100" i="137" s="1"/>
  <c r="B100" i="137"/>
  <c r="B101" i="137" s="1"/>
  <c r="H451" i="124"/>
  <c r="H596" i="123"/>
  <c r="E595" i="123" s="1"/>
  <c r="I595" i="123" s="1"/>
  <c r="I596" i="123" s="1"/>
  <c r="B596" i="123" s="1"/>
  <c r="B597" i="123" s="1"/>
  <c r="E90" i="140"/>
  <c r="F90" i="140" s="1"/>
  <c r="E90" i="152"/>
  <c r="F90" i="152" s="1"/>
  <c r="F156" i="118"/>
  <c r="E295" i="81"/>
  <c r="I295" i="81" s="1"/>
  <c r="I296" i="81" s="1"/>
  <c r="B296" i="81" s="1"/>
  <c r="B297" i="81" s="1"/>
  <c r="E43" i="86" s="1"/>
  <c r="E564" i="123"/>
  <c r="I564" i="123" s="1"/>
  <c r="I566" i="123" s="1"/>
  <c r="B566" i="123" s="1"/>
  <c r="B567" i="123" s="1"/>
  <c r="B1035" i="123"/>
  <c r="B1036" i="123" s="1"/>
  <c r="E1034" i="123"/>
  <c r="I1034" i="123" s="1"/>
  <c r="I1035" i="123" s="1"/>
  <c r="H402" i="130"/>
  <c r="E401" i="130" s="1"/>
  <c r="I401" i="130" s="1"/>
  <c r="I402" i="130" s="1"/>
  <c r="H425" i="137"/>
  <c r="E498" i="124"/>
  <c r="I498" i="124" s="1"/>
  <c r="I499" i="124" s="1"/>
  <c r="B499" i="124" s="1"/>
  <c r="B500" i="124" s="1"/>
  <c r="F94" i="126" s="1"/>
  <c r="E1106" i="123"/>
  <c r="I1106" i="123" s="1"/>
  <c r="I1107" i="123" s="1"/>
  <c r="B1107" i="123" s="1"/>
  <c r="B1108" i="123" s="1"/>
  <c r="E217" i="137"/>
  <c r="I217" i="137" s="1"/>
  <c r="I218" i="137" s="1"/>
  <c r="B218" i="137" s="1"/>
  <c r="B219" i="137" s="1"/>
  <c r="E137" i="118" s="1"/>
  <c r="F82" i="126"/>
  <c r="E158" i="118"/>
  <c r="H164" i="123"/>
  <c r="E158" i="123" s="1"/>
  <c r="I158" i="123" s="1"/>
  <c r="I164" i="123" s="1"/>
  <c r="B164" i="123" s="1"/>
  <c r="B165" i="123" s="1"/>
  <c r="E526" i="140"/>
  <c r="F526" i="140" s="1"/>
  <c r="E526" i="152"/>
  <c r="F526" i="152" s="1"/>
  <c r="G92" i="126"/>
  <c r="F48" i="86"/>
  <c r="E138" i="152"/>
  <c r="F138" i="152" s="1"/>
  <c r="E138" i="140"/>
  <c r="F138" i="140" s="1"/>
  <c r="H340" i="137"/>
  <c r="H615" i="137"/>
  <c r="H483" i="124"/>
  <c r="E246" i="146"/>
  <c r="I246" i="146" s="1"/>
  <c r="B165" i="142"/>
  <c r="H1160" i="123"/>
  <c r="H1026" i="81"/>
  <c r="E1025" i="81" s="1"/>
  <c r="I1025" i="81" s="1"/>
  <c r="I1026" i="81" s="1"/>
  <c r="B1026" i="81" s="1"/>
  <c r="B1027" i="81" s="1"/>
  <c r="E190" i="86" s="1"/>
  <c r="H915" i="123"/>
  <c r="E908" i="123" s="1"/>
  <c r="I908" i="123" s="1"/>
  <c r="I915" i="123" s="1"/>
  <c r="H904" i="81"/>
  <c r="H964" i="81"/>
  <c r="H391" i="137"/>
  <c r="E390" i="137" s="1"/>
  <c r="I390" i="137" s="1"/>
  <c r="I391" i="137" s="1"/>
  <c r="B391" i="137" s="1"/>
  <c r="B392" i="137" s="1"/>
  <c r="E146" i="118" s="1"/>
  <c r="H861" i="123"/>
  <c r="E169" i="123"/>
  <c r="I169" i="123" s="1"/>
  <c r="I172" i="123" s="1"/>
  <c r="B172" i="123" s="1"/>
  <c r="B173" i="123" s="1"/>
  <c r="H839" i="81"/>
  <c r="E131" i="81"/>
  <c r="I131" i="81" s="1"/>
  <c r="I135" i="81" s="1"/>
  <c r="B135" i="81" s="1"/>
  <c r="B136" i="81" s="1"/>
  <c r="B137" i="81" s="1"/>
  <c r="H374" i="137"/>
  <c r="H134" i="137"/>
  <c r="E133" i="137" s="1"/>
  <c r="I133" i="137" s="1"/>
  <c r="I134" i="137" s="1"/>
  <c r="B134" i="137" s="1"/>
  <c r="B135" i="137" s="1"/>
  <c r="E132" i="118" s="1"/>
  <c r="F132" i="118" s="1"/>
  <c r="E2336" i="130"/>
  <c r="I2336" i="130" s="1"/>
  <c r="I2337" i="130" s="1"/>
  <c r="B2337" i="130" s="1"/>
  <c r="B2338" i="130" s="1"/>
  <c r="E464" i="125" s="1"/>
  <c r="B370" i="123"/>
  <c r="B371" i="123" s="1"/>
  <c r="E369" i="123"/>
  <c r="I369" i="123" s="1"/>
  <c r="I370" i="123" s="1"/>
  <c r="H1055" i="123"/>
  <c r="E1054" i="123" s="1"/>
  <c r="I1054" i="123" s="1"/>
  <c r="I1055" i="123" s="1"/>
  <c r="B1055" i="123" s="1"/>
  <c r="B1056" i="123" s="1"/>
  <c r="H106" i="123"/>
  <c r="E101" i="123" s="1"/>
  <c r="I101" i="123" s="1"/>
  <c r="I106" i="123" s="1"/>
  <c r="H532" i="124"/>
  <c r="E2321" i="130"/>
  <c r="I2321" i="130" s="1"/>
  <c r="I2322" i="130" s="1"/>
  <c r="B2322" i="130" s="1"/>
  <c r="B2323" i="130" s="1"/>
  <c r="E463" i="125" s="1"/>
  <c r="E402" i="140"/>
  <c r="F402" i="140" s="1"/>
  <c r="F454" i="125"/>
  <c r="E390" i="113"/>
  <c r="F390" i="113" s="1"/>
  <c r="E402" i="152"/>
  <c r="F402" i="152" s="1"/>
  <c r="E660" i="137"/>
  <c r="I660" i="137" s="1"/>
  <c r="I661" i="137" s="1"/>
  <c r="B661" i="137" s="1"/>
  <c r="B662" i="137" s="1"/>
  <c r="E162" i="118" s="1"/>
  <c r="E321" i="137"/>
  <c r="I321" i="137" s="1"/>
  <c r="I322" i="137" s="1"/>
  <c r="B322" i="137" s="1"/>
  <c r="B323" i="137" s="1"/>
  <c r="E142" i="118" s="1"/>
  <c r="E2386" i="130"/>
  <c r="I2386" i="130" s="1"/>
  <c r="I2387" i="130" s="1"/>
  <c r="B2387" i="130" s="1"/>
  <c r="B2388" i="130" s="1"/>
  <c r="E467" i="125" s="1"/>
  <c r="E517" i="137"/>
  <c r="I517" i="137" s="1"/>
  <c r="I518" i="137" s="1"/>
  <c r="B518" i="137"/>
  <c r="B519" i="137" s="1"/>
  <c r="E153" i="118" s="1"/>
  <c r="E519" i="152"/>
  <c r="F519" i="152" s="1"/>
  <c r="E519" i="140"/>
  <c r="F519" i="140" s="1"/>
  <c r="G85" i="126"/>
  <c r="E285" i="137"/>
  <c r="I285" i="137" s="1"/>
  <c r="I286" i="137" s="1"/>
  <c r="B286" i="137" s="1"/>
  <c r="B287" i="137" s="1"/>
  <c r="E140" i="118" s="1"/>
  <c r="E583" i="137"/>
  <c r="I583" i="137" s="1"/>
  <c r="I584" i="137" s="1"/>
  <c r="B584" i="137" s="1"/>
  <c r="B585" i="137" s="1"/>
  <c r="E157" i="118" s="1"/>
  <c r="H497" i="123"/>
  <c r="E494" i="123" s="1"/>
  <c r="I494" i="123" s="1"/>
  <c r="I497" i="123" s="1"/>
  <c r="B497" i="123" s="1"/>
  <c r="B498" i="123" s="1"/>
  <c r="E2165" i="130"/>
  <c r="I2165" i="130" s="1"/>
  <c r="I2166" i="130" s="1"/>
  <c r="B2166" i="130" s="1"/>
  <c r="B2167" i="130" s="1"/>
  <c r="E453" i="125" s="1"/>
  <c r="H421" i="123"/>
  <c r="E230" i="124"/>
  <c r="I230" i="124" s="1"/>
  <c r="I231" i="124" s="1"/>
  <c r="B231" i="124" s="1"/>
  <c r="B232" i="124" s="1"/>
  <c r="F48" i="126" s="1"/>
  <c r="E1214" i="123"/>
  <c r="I1214" i="123" s="1"/>
  <c r="I1218" i="123" s="1"/>
  <c r="B1218" i="123" s="1"/>
  <c r="B1219" i="123" s="1"/>
  <c r="E120" i="86"/>
  <c r="E188" i="86"/>
  <c r="E407" i="140"/>
  <c r="F407" i="140" s="1"/>
  <c r="E395" i="113"/>
  <c r="F395" i="113" s="1"/>
  <c r="E407" i="152"/>
  <c r="F407" i="152" s="1"/>
  <c r="F459" i="125"/>
  <c r="F451" i="125"/>
  <c r="E399" i="140"/>
  <c r="F399" i="140" s="1"/>
  <c r="E387" i="113"/>
  <c r="F387" i="113" s="1"/>
  <c r="E399" i="152"/>
  <c r="F399" i="152" s="1"/>
  <c r="H950" i="140"/>
  <c r="H1325" i="130"/>
  <c r="H1496" i="130"/>
  <c r="E1495" i="130" s="1"/>
  <c r="I1495" i="130" s="1"/>
  <c r="I1496" i="130" s="1"/>
  <c r="B1496" i="130" s="1"/>
  <c r="B1497" i="130" s="1"/>
  <c r="E205" i="125" s="1"/>
  <c r="H213" i="130"/>
  <c r="E210" i="130" s="1"/>
  <c r="I210" i="130" s="1"/>
  <c r="I213" i="130" s="1"/>
  <c r="H2102" i="130"/>
  <c r="H132" i="130"/>
  <c r="E126" i="130" s="1"/>
  <c r="I126" i="130" s="1"/>
  <c r="I132" i="130" s="1"/>
  <c r="H1090" i="130"/>
  <c r="E1080" i="130" s="1"/>
  <c r="I1080" i="130" s="1"/>
  <c r="I1090" i="130" s="1"/>
  <c r="H252" i="130"/>
  <c r="E244" i="130" s="1"/>
  <c r="I244" i="130" s="1"/>
  <c r="I252" i="130" s="1"/>
  <c r="H2056" i="130"/>
  <c r="E2055" i="130" s="1"/>
  <c r="I2055" i="130" s="1"/>
  <c r="I2056" i="130" s="1"/>
  <c r="B2056" i="130" s="1"/>
  <c r="B2057" i="130" s="1"/>
  <c r="E241" i="125" s="1"/>
  <c r="H500" i="130"/>
  <c r="F494" i="125"/>
  <c r="F496" i="125" s="1"/>
  <c r="E175" i="113"/>
  <c r="F175" i="113" s="1"/>
  <c r="E137" i="152"/>
  <c r="F137" i="152" s="1"/>
  <c r="E425" i="113"/>
  <c r="F425" i="113" s="1"/>
  <c r="E1381" i="123"/>
  <c r="I1381" i="123" s="1"/>
  <c r="I1382" i="123" s="1"/>
  <c r="B1382" i="123" s="1"/>
  <c r="B1383" i="123" s="1"/>
  <c r="E1548" i="123"/>
  <c r="I1548" i="123" s="1"/>
  <c r="I1551" i="123" s="1"/>
  <c r="B1551" i="123" s="1"/>
  <c r="B1552" i="123" s="1"/>
  <c r="E1411" i="123"/>
  <c r="I1411" i="123" s="1"/>
  <c r="I1412" i="123" s="1"/>
  <c r="B1412" i="123" s="1"/>
  <c r="B1413" i="123" s="1"/>
  <c r="H1748" i="123"/>
  <c r="H1045" i="123"/>
  <c r="E1044" i="123" s="1"/>
  <c r="I1044" i="123" s="1"/>
  <c r="I1045" i="123" s="1"/>
  <c r="B1045" i="123" s="1"/>
  <c r="B1046" i="123" s="1"/>
  <c r="E538" i="113"/>
  <c r="F538" i="113" s="1"/>
  <c r="F179" i="86"/>
  <c r="E565" i="140"/>
  <c r="F565" i="140" s="1"/>
  <c r="E565" i="152"/>
  <c r="F565" i="152" s="1"/>
  <c r="H731" i="81"/>
  <c r="E893" i="123"/>
  <c r="I893" i="123" s="1"/>
  <c r="I894" i="123" s="1"/>
  <c r="B894" i="123" s="1"/>
  <c r="B895" i="123" s="1"/>
  <c r="B13" i="137"/>
  <c r="B14" i="137" s="1"/>
  <c r="E125" i="118" s="1"/>
  <c r="F125" i="118" s="1"/>
  <c r="E12" i="137"/>
  <c r="I12" i="137" s="1"/>
  <c r="I13" i="137" s="1"/>
  <c r="H535" i="137"/>
  <c r="E534" i="137" s="1"/>
  <c r="I534" i="137" s="1"/>
  <c r="I535" i="137" s="1"/>
  <c r="B535" i="137" s="1"/>
  <c r="B536" i="137" s="1"/>
  <c r="E154" i="118" s="1"/>
  <c r="E261" i="124"/>
  <c r="I261" i="124" s="1"/>
  <c r="I262" i="124" s="1"/>
  <c r="B262" i="124" s="1"/>
  <c r="B263" i="124" s="1"/>
  <c r="F51" i="126" s="1"/>
  <c r="E1595" i="123"/>
  <c r="I1595" i="123" s="1"/>
  <c r="I1596" i="123" s="1"/>
  <c r="B1596" i="123" s="1"/>
  <c r="B1597" i="123" s="1"/>
  <c r="H77" i="123"/>
  <c r="E70" i="123" s="1"/>
  <c r="I70" i="123" s="1"/>
  <c r="I77" i="123" s="1"/>
  <c r="B77" i="123" s="1"/>
  <c r="B78" i="123" s="1"/>
  <c r="E356" i="137"/>
  <c r="I356" i="137" s="1"/>
  <c r="I357" i="137" s="1"/>
  <c r="B357" i="137" s="1"/>
  <c r="B358" i="137" s="1"/>
  <c r="E144" i="118" s="1"/>
  <c r="E434" i="124"/>
  <c r="I434" i="124" s="1"/>
  <c r="I435" i="124" s="1"/>
  <c r="B435" i="124" s="1"/>
  <c r="B436" i="124" s="1"/>
  <c r="F90" i="126" s="1"/>
  <c r="F181" i="86"/>
  <c r="E567" i="152"/>
  <c r="F567" i="152" s="1"/>
  <c r="E540" i="113"/>
  <c r="F540" i="113" s="1"/>
  <c r="E567" i="140"/>
  <c r="F567" i="140" s="1"/>
  <c r="E1299" i="123"/>
  <c r="I1299" i="123" s="1"/>
  <c r="I1303" i="123" s="1"/>
  <c r="B1303" i="123" s="1"/>
  <c r="B1304" i="123" s="1"/>
  <c r="E89" i="140"/>
  <c r="F89" i="140" s="1"/>
  <c r="E89" i="152"/>
  <c r="F89" i="152" s="1"/>
  <c r="F155" i="118"/>
  <c r="E1170" i="123"/>
  <c r="I1170" i="123" s="1"/>
  <c r="I1171" i="123" s="1"/>
  <c r="B1171" i="123" s="1"/>
  <c r="B1172" i="123" s="1"/>
  <c r="E81" i="137"/>
  <c r="I81" i="137" s="1"/>
  <c r="I82" i="137" s="1"/>
  <c r="B82" i="137" s="1"/>
  <c r="B83" i="137" s="1"/>
  <c r="E129" i="118" s="1"/>
  <c r="F129" i="118" s="1"/>
  <c r="E406" i="137"/>
  <c r="I406" i="137" s="1"/>
  <c r="I407" i="137" s="1"/>
  <c r="B407" i="137" s="1"/>
  <c r="B408" i="137" s="1"/>
  <c r="E147" i="118" s="1"/>
  <c r="H548" i="124"/>
  <c r="E547" i="124" s="1"/>
  <c r="I547" i="124" s="1"/>
  <c r="I548" i="124" s="1"/>
  <c r="B548" i="124" s="1"/>
  <c r="B549" i="124" s="1"/>
  <c r="E238" i="123"/>
  <c r="I238" i="123" s="1"/>
  <c r="I241" i="123" s="1"/>
  <c r="B241" i="123" s="1"/>
  <c r="B242" i="123" s="1"/>
  <c r="H802" i="81"/>
  <c r="E801" i="81" s="1"/>
  <c r="I801" i="81" s="1"/>
  <c r="I802" i="81" s="1"/>
  <c r="B802" i="81" s="1"/>
  <c r="B803" i="81" s="1"/>
  <c r="E2135" i="130"/>
  <c r="I2135" i="130" s="1"/>
  <c r="I2136" i="130" s="1"/>
  <c r="B2136" i="130" s="1"/>
  <c r="B2137" i="130" s="1"/>
  <c r="E450" i="125" s="1"/>
  <c r="H1117" i="123"/>
  <c r="E1116" i="123" s="1"/>
  <c r="I1116" i="123" s="1"/>
  <c r="I1117" i="123" s="1"/>
  <c r="B1117" i="123" s="1"/>
  <c r="B1118" i="123" s="1"/>
  <c r="H996" i="81"/>
  <c r="E995" i="81" s="1"/>
  <c r="I995" i="81" s="1"/>
  <c r="I996" i="81" s="1"/>
  <c r="B996" i="81" s="1"/>
  <c r="B997" i="81" s="1"/>
  <c r="E187" i="86" s="1"/>
  <c r="E223" i="130"/>
  <c r="I223" i="130" s="1"/>
  <c r="I225" i="130" s="1"/>
  <c r="B225" i="130" s="1"/>
  <c r="B226" i="130" s="1"/>
  <c r="E34" i="125" s="1"/>
  <c r="H456" i="81"/>
  <c r="E455" i="81" s="1"/>
  <c r="I455" i="81" s="1"/>
  <c r="I456" i="81" s="1"/>
  <c r="B456" i="81" s="1"/>
  <c r="B457" i="81" s="1"/>
  <c r="E51" i="86" s="1"/>
  <c r="H762" i="81"/>
  <c r="H444" i="137"/>
  <c r="H1097" i="123"/>
  <c r="E1096" i="123" s="1"/>
  <c r="I1096" i="123" s="1"/>
  <c r="I1097" i="123" s="1"/>
  <c r="B1097" i="123" s="1"/>
  <c r="B1098" i="123" s="1"/>
  <c r="H1629" i="123"/>
  <c r="H924" i="123"/>
  <c r="B924" i="123" s="1"/>
  <c r="B925" i="123" s="1"/>
  <c r="H167" i="137"/>
  <c r="H629" i="130"/>
  <c r="H281" i="81"/>
  <c r="B281" i="81" s="1"/>
  <c r="B282" i="81" s="1"/>
  <c r="E2242" i="130"/>
  <c r="I2242" i="130" s="1"/>
  <c r="I2243" i="130" s="1"/>
  <c r="B2243" i="130" s="1"/>
  <c r="B2244" i="130" s="1"/>
  <c r="E458" i="125" s="1"/>
  <c r="E222" i="146"/>
  <c r="I222" i="146" s="1"/>
  <c r="B120" i="142"/>
  <c r="E481" i="123"/>
  <c r="B482" i="123"/>
  <c r="B483" i="123" s="1"/>
  <c r="F75" i="86"/>
  <c r="H442" i="130"/>
  <c r="H827" i="130"/>
  <c r="H1132" i="130"/>
  <c r="H2026" i="130"/>
  <c r="E2025" i="130" s="1"/>
  <c r="I2025" i="130" s="1"/>
  <c r="I2026" i="130" s="1"/>
  <c r="H820" i="123"/>
  <c r="E810" i="123" s="1"/>
  <c r="I810" i="123" s="1"/>
  <c r="I820" i="123" s="1"/>
  <c r="H662" i="130"/>
  <c r="H111" i="136"/>
  <c r="H139" i="123"/>
  <c r="E129" i="123" s="1"/>
  <c r="I129" i="123" s="1"/>
  <c r="I139" i="123" s="1"/>
  <c r="H873" i="123"/>
  <c r="E867" i="123" s="1"/>
  <c r="I867" i="123" s="1"/>
  <c r="I873" i="123" s="1"/>
  <c r="H742" i="130"/>
  <c r="H1609" i="130"/>
  <c r="H122" i="123"/>
  <c r="E112" i="123" s="1"/>
  <c r="I112" i="123" s="1"/>
  <c r="I122" i="123" s="1"/>
  <c r="H181" i="130"/>
  <c r="H710" i="130"/>
  <c r="H1178" i="130"/>
  <c r="H1244" i="130"/>
  <c r="E1243" i="130" s="1"/>
  <c r="I1243" i="130" s="1"/>
  <c r="I1244" i="130" s="1"/>
  <c r="B1244" i="130" s="1"/>
  <c r="B1245" i="130" s="1"/>
  <c r="E188" i="125" s="1"/>
  <c r="H1073" i="130"/>
  <c r="E1060" i="130" s="1"/>
  <c r="I1060" i="130" s="1"/>
  <c r="I1073" i="130" s="1"/>
  <c r="H142" i="124"/>
  <c r="H268" i="130"/>
  <c r="E259" i="130" s="1"/>
  <c r="I259" i="130" s="1"/>
  <c r="I268" i="130" s="1"/>
  <c r="H678" i="130"/>
  <c r="E677" i="130" s="1"/>
  <c r="I677" i="130" s="1"/>
  <c r="I678" i="130" s="1"/>
  <c r="H2041" i="130"/>
  <c r="E2040" i="130" s="1"/>
  <c r="I2040" i="130" s="1"/>
  <c r="I2041" i="130" s="1"/>
  <c r="B2041" i="130" s="1"/>
  <c r="B2042" i="130" s="1"/>
  <c r="E240" i="125" s="1"/>
  <c r="H547" i="130"/>
  <c r="F950" i="140"/>
  <c r="F951" i="140" s="1"/>
  <c r="L47" i="128" s="1"/>
  <c r="B1367" i="123"/>
  <c r="B1368" i="123" s="1"/>
  <c r="E1363" i="123"/>
  <c r="I1363" i="123" s="1"/>
  <c r="I1367" i="123" s="1"/>
  <c r="H1675" i="123"/>
  <c r="H476" i="81"/>
  <c r="E475" i="81" s="1"/>
  <c r="I475" i="81" s="1"/>
  <c r="I476" i="81" s="1"/>
  <c r="B476" i="81" s="1"/>
  <c r="B477" i="81" s="1"/>
  <c r="E52" i="86" s="1"/>
  <c r="H499" i="137"/>
  <c r="E498" i="137" s="1"/>
  <c r="I498" i="137" s="1"/>
  <c r="I499" i="137" s="1"/>
  <c r="B499" i="137" s="1"/>
  <c r="B500" i="137" s="1"/>
  <c r="E152" i="118" s="1"/>
  <c r="E514" i="124"/>
  <c r="I514" i="124" s="1"/>
  <c r="I515" i="124" s="1"/>
  <c r="B515" i="124" s="1"/>
  <c r="B516" i="124" s="1"/>
  <c r="F96" i="126" s="1"/>
  <c r="H1319" i="123"/>
  <c r="E1315" i="123" s="1"/>
  <c r="I1315" i="123" s="1"/>
  <c r="I1319" i="123" s="1"/>
  <c r="B1319" i="123" s="1"/>
  <c r="B1320" i="123" s="1"/>
  <c r="E250" i="137"/>
  <c r="I250" i="137" s="1"/>
  <c r="I251" i="137" s="1"/>
  <c r="B251" i="137" s="1"/>
  <c r="B252" i="137" s="1"/>
  <c r="E138" i="118" s="1"/>
  <c r="H298" i="124"/>
  <c r="H437" i="81"/>
  <c r="E436" i="81" s="1"/>
  <c r="I436" i="81" s="1"/>
  <c r="I437" i="81" s="1"/>
  <c r="B437" i="81" s="1"/>
  <c r="B438" i="81" s="1"/>
  <c r="E50" i="86" s="1"/>
  <c r="E1643" i="123"/>
  <c r="I1643" i="123" s="1"/>
  <c r="I1644" i="123" s="1"/>
  <c r="B1644" i="123" s="1"/>
  <c r="B1645" i="123" s="1"/>
  <c r="E30" i="137"/>
  <c r="I30" i="137" s="1"/>
  <c r="I31" i="137" s="1"/>
  <c r="B31" i="137" s="1"/>
  <c r="B32" i="137" s="1"/>
  <c r="E126" i="118" s="1"/>
  <c r="F126" i="118" s="1"/>
  <c r="E84" i="140"/>
  <c r="F84" i="140" s="1"/>
  <c r="E84" i="152"/>
  <c r="F84" i="152" s="1"/>
  <c r="F150" i="118"/>
  <c r="H919" i="81"/>
  <c r="H1474" i="123"/>
  <c r="E1275" i="123"/>
  <c r="I1275" i="123" s="1"/>
  <c r="I1281" i="123" s="1"/>
  <c r="B1281" i="123" s="1"/>
  <c r="B1282" i="123" s="1"/>
  <c r="E288" i="139"/>
  <c r="I288" i="139" s="1"/>
  <c r="I291" i="139" s="1"/>
  <c r="B291" i="139" s="1"/>
  <c r="B292" i="139" s="1"/>
  <c r="E365" i="125" s="1"/>
  <c r="H201" i="137"/>
  <c r="E200" i="137" s="1"/>
  <c r="I200" i="137" s="1"/>
  <c r="I201" i="137" s="1"/>
  <c r="B201" i="137" s="1"/>
  <c r="B202" i="137" s="1"/>
  <c r="E136" i="118" s="1"/>
  <c r="E328" i="124"/>
  <c r="I328" i="124" s="1"/>
  <c r="I329" i="124" s="1"/>
  <c r="B329" i="124" s="1"/>
  <c r="B330" i="124" s="1"/>
  <c r="F84" i="126" s="1"/>
  <c r="E1424" i="123"/>
  <c r="I1424" i="123" s="1"/>
  <c r="I1427" i="123" s="1"/>
  <c r="B1427" i="123" s="1"/>
  <c r="B1428" i="123" s="1"/>
  <c r="E1517" i="123"/>
  <c r="I1517" i="123" s="1"/>
  <c r="I1521" i="123" s="1"/>
  <c r="B1521" i="123" s="1"/>
  <c r="B1522" i="123" s="1"/>
  <c r="E162" i="86"/>
  <c r="E92" i="86"/>
  <c r="F18" i="126"/>
  <c r="E521" i="113"/>
  <c r="F521" i="113" s="1"/>
  <c r="E24" i="86"/>
  <c r="E150" i="137"/>
  <c r="I150" i="137" s="1"/>
  <c r="I151" i="137" s="1"/>
  <c r="B151" i="137" s="1"/>
  <c r="B152" i="137" s="1"/>
  <c r="E478" i="137"/>
  <c r="I478" i="137" s="1"/>
  <c r="I479" i="137" s="1"/>
  <c r="B479" i="137" s="1"/>
  <c r="B480" i="137" s="1"/>
  <c r="E151" i="118" s="1"/>
  <c r="H363" i="124"/>
  <c r="H404" i="123"/>
  <c r="H76" i="124"/>
  <c r="H65" i="137"/>
  <c r="H1733" i="123"/>
  <c r="E1729" i="123" s="1"/>
  <c r="I1729" i="123" s="1"/>
  <c r="I1733" i="123" s="1"/>
  <c r="B1733" i="123" s="1"/>
  <c r="B1734" i="123" s="1"/>
  <c r="H871" i="81"/>
  <c r="H1458" i="123"/>
  <c r="H217" i="123"/>
  <c r="H274" i="123"/>
  <c r="E268" i="123" s="1"/>
  <c r="I268" i="123" s="1"/>
  <c r="I274" i="123" s="1"/>
  <c r="B274" i="123" s="1"/>
  <c r="B275" i="123" s="1"/>
  <c r="H1536" i="123"/>
  <c r="E244" i="124"/>
  <c r="I244" i="124" s="1"/>
  <c r="I245" i="124" s="1"/>
  <c r="B245" i="124" s="1"/>
  <c r="H1064" i="81"/>
  <c r="E405" i="152"/>
  <c r="F405" i="152" s="1"/>
  <c r="E405" i="140"/>
  <c r="F405" i="140" s="1"/>
  <c r="E393" i="113"/>
  <c r="F393" i="113" s="1"/>
  <c r="F457" i="125"/>
  <c r="H1011" i="81"/>
  <c r="H184" i="137"/>
  <c r="E2306" i="130"/>
  <c r="I2306" i="130" s="1"/>
  <c r="I2307" i="130" s="1"/>
  <c r="B2307" i="130"/>
  <c r="B2308" i="130" s="1"/>
  <c r="E462" i="125" s="1"/>
  <c r="B39" i="142"/>
  <c r="E179" i="146"/>
  <c r="I179" i="146" s="1"/>
  <c r="G9" i="133"/>
  <c r="G897" i="152"/>
  <c r="G70" i="126"/>
  <c r="G897" i="140"/>
  <c r="I69" i="126"/>
  <c r="G19" i="129"/>
  <c r="G130" i="126"/>
  <c r="G734" i="140"/>
  <c r="G288" i="146"/>
  <c r="I288" i="146" s="1"/>
  <c r="B232" i="142"/>
  <c r="E146" i="130"/>
  <c r="I146" i="130" s="1"/>
  <c r="I149" i="130" s="1"/>
  <c r="B149" i="130" s="1"/>
  <c r="B150" i="130" s="1"/>
  <c r="E1324" i="130"/>
  <c r="I1324" i="130" s="1"/>
  <c r="I1325" i="130" s="1"/>
  <c r="B1325" i="130" s="1"/>
  <c r="B1326" i="130" s="1"/>
  <c r="E194" i="125" s="1"/>
  <c r="E10" i="139"/>
  <c r="I10" i="139" s="1"/>
  <c r="I11" i="139" s="1"/>
  <c r="B11" i="139" s="1"/>
  <c r="B12" i="139" s="1"/>
  <c r="E343" i="125" s="1"/>
  <c r="E1995" i="130"/>
  <c r="I1995" i="130" s="1"/>
  <c r="I1996" i="130" s="1"/>
  <c r="B1996" i="130" s="1"/>
  <c r="B1997" i="130" s="1"/>
  <c r="E237" i="125" s="1"/>
  <c r="E1372" i="130"/>
  <c r="I1372" i="130" s="1"/>
  <c r="I1373" i="130" s="1"/>
  <c r="B1373" i="130" s="1"/>
  <c r="B1374" i="130" s="1"/>
  <c r="E197" i="125" s="1"/>
  <c r="H142" i="139"/>
  <c r="H144" i="139" s="1"/>
  <c r="E1767" i="130"/>
  <c r="I1767" i="130" s="1"/>
  <c r="I1768" i="130" s="1"/>
  <c r="B1768" i="130" s="1"/>
  <c r="B1769" i="130" s="1"/>
  <c r="E222" i="125" s="1"/>
  <c r="E375" i="139"/>
  <c r="I375" i="139" s="1"/>
  <c r="I378" i="139" s="1"/>
  <c r="B378" i="139" s="1"/>
  <c r="B379" i="139" s="1"/>
  <c r="E167" i="122"/>
  <c r="I167" i="122" s="1"/>
  <c r="I174" i="122" s="1"/>
  <c r="B174" i="122" s="1"/>
  <c r="E2101" i="130"/>
  <c r="I2101" i="130" s="1"/>
  <c r="I2102" i="130" s="1"/>
  <c r="B2102" i="130" s="1"/>
  <c r="B2103" i="130" s="1"/>
  <c r="E426" i="136"/>
  <c r="B427" i="136"/>
  <c r="B428" i="136" s="1"/>
  <c r="E900" i="123"/>
  <c r="I900" i="123" s="1"/>
  <c r="I903" i="123" s="1"/>
  <c r="B903" i="123" s="1"/>
  <c r="B904" i="123" s="1"/>
  <c r="E83" i="123"/>
  <c r="I83" i="123" s="1"/>
  <c r="I86" i="123" s="1"/>
  <c r="B86" i="123" s="1"/>
  <c r="B87" i="123" s="1"/>
  <c r="E566" i="130"/>
  <c r="I566" i="130" s="1"/>
  <c r="I567" i="130" s="1"/>
  <c r="B567" i="130" s="1"/>
  <c r="B568" i="130" s="1"/>
  <c r="E81" i="125" s="1"/>
  <c r="E1980" i="130"/>
  <c r="I1980" i="130" s="1"/>
  <c r="I1981" i="130" s="1"/>
  <c r="B1981" i="130" s="1"/>
  <c r="B1982" i="130" s="1"/>
  <c r="E236" i="125" s="1"/>
  <c r="B1215" i="137"/>
  <c r="B1216" i="137" s="1"/>
  <c r="E46" i="118" s="1"/>
  <c r="F46" i="118" s="1"/>
  <c r="E1214" i="137"/>
  <c r="E56" i="6"/>
  <c r="I56" i="6" s="1"/>
  <c r="I64" i="6" s="1"/>
  <c r="B64" i="6" s="1"/>
  <c r="E1003" i="123"/>
  <c r="I1003" i="123" s="1"/>
  <c r="I1004" i="123" s="1"/>
  <c r="B1004" i="123" s="1"/>
  <c r="B1005" i="123" s="1"/>
  <c r="E839" i="130"/>
  <c r="I839" i="130" s="1"/>
  <c r="I843" i="130" s="1"/>
  <c r="B843" i="130" s="1"/>
  <c r="B844" i="130" s="1"/>
  <c r="E100" i="125" s="1"/>
  <c r="E760" i="130"/>
  <c r="I760" i="130" s="1"/>
  <c r="I761" i="130" s="1"/>
  <c r="B761" i="130" s="1"/>
  <c r="B762" i="130" s="1"/>
  <c r="E39" i="81"/>
  <c r="I39" i="81" s="1"/>
  <c r="I41" i="81" s="1"/>
  <c r="B41" i="81" s="1"/>
  <c r="B42" i="81" s="1"/>
  <c r="E372" i="136"/>
  <c r="B373" i="136"/>
  <c r="B374" i="136" s="1"/>
  <c r="B1133" i="137"/>
  <c r="B1134" i="137" s="1"/>
  <c r="E40" i="118" s="1"/>
  <c r="F40" i="118" s="1"/>
  <c r="E1132" i="137"/>
  <c r="E152" i="122"/>
  <c r="I152" i="122" s="1"/>
  <c r="I159" i="122" s="1"/>
  <c r="B159" i="122" s="1"/>
  <c r="E64" i="122"/>
  <c r="I64" i="122" s="1"/>
  <c r="I74" i="122" s="1"/>
  <c r="B74" i="122" s="1"/>
  <c r="E132" i="122"/>
  <c r="I132" i="122" s="1"/>
  <c r="I142" i="122" s="1"/>
  <c r="B142" i="122" s="1"/>
  <c r="E860" i="130"/>
  <c r="I860" i="130" s="1"/>
  <c r="I861" i="130" s="1"/>
  <c r="B861" i="130" s="1"/>
  <c r="B862" i="130" s="1"/>
  <c r="E102" i="125" s="1"/>
  <c r="E1432" i="130"/>
  <c r="I1432" i="130" s="1"/>
  <c r="I1433" i="130" s="1"/>
  <c r="B1433" i="130" s="1"/>
  <c r="B1434" i="130" s="1"/>
  <c r="E201" i="125" s="1"/>
  <c r="E1844" i="130"/>
  <c r="I1844" i="130" s="1"/>
  <c r="I1845" i="130" s="1"/>
  <c r="B1845" i="130" s="1"/>
  <c r="B1846" i="130" s="1"/>
  <c r="E227" i="125" s="1"/>
  <c r="E2010" i="130"/>
  <c r="I2010" i="130" s="1"/>
  <c r="I2011" i="130" s="1"/>
  <c r="B2011" i="130" s="1"/>
  <c r="B2012" i="130" s="1"/>
  <c r="E238" i="125" s="1"/>
  <c r="E130" i="136"/>
  <c r="I130" i="136" s="1"/>
  <c r="I135" i="136" s="1"/>
  <c r="B135" i="136" s="1"/>
  <c r="B136" i="136" s="1"/>
  <c r="E550" i="139"/>
  <c r="I550" i="139" s="1"/>
  <c r="I553" i="139" s="1"/>
  <c r="B553" i="139" s="1"/>
  <c r="B554" i="139" s="1"/>
  <c r="E380" i="125" s="1"/>
  <c r="B1354" i="137"/>
  <c r="B1355" i="137" s="1"/>
  <c r="E56" i="118" s="1"/>
  <c r="F56" i="118" s="1"/>
  <c r="E1353" i="137"/>
  <c r="E109" i="81"/>
  <c r="I109" i="81" s="1"/>
  <c r="I112" i="81" s="1"/>
  <c r="B112" i="81" s="1"/>
  <c r="B113" i="81" s="1"/>
  <c r="E81" i="122"/>
  <c r="I81" i="122" s="1"/>
  <c r="I91" i="122" s="1"/>
  <c r="B91" i="122" s="1"/>
  <c r="E30" i="122"/>
  <c r="I30" i="122" s="1"/>
  <c r="I40" i="122" s="1"/>
  <c r="B40" i="122" s="1"/>
  <c r="E1205" i="123"/>
  <c r="I1205" i="123" s="1"/>
  <c r="I1208" i="123" s="1"/>
  <c r="B1208" i="123" s="1"/>
  <c r="B1209" i="123" s="1"/>
  <c r="E806" i="130"/>
  <c r="I806" i="130" s="1"/>
  <c r="I810" i="130" s="1"/>
  <c r="B810" i="130" s="1"/>
  <c r="B811" i="130" s="1"/>
  <c r="E98" i="125" s="1"/>
  <c r="E582" i="130"/>
  <c r="I582" i="130" s="1"/>
  <c r="I583" i="130" s="1"/>
  <c r="B583" i="130" s="1"/>
  <c r="B584" i="130" s="1"/>
  <c r="E82" i="125" s="1"/>
  <c r="E1797" i="130"/>
  <c r="I1797" i="130" s="1"/>
  <c r="I1798" i="130" s="1"/>
  <c r="B1798" i="130" s="1"/>
  <c r="B1799" i="130" s="1"/>
  <c r="E224" i="125" s="1"/>
  <c r="E1875" i="130"/>
  <c r="I1875" i="130" s="1"/>
  <c r="I1876" i="130" s="1"/>
  <c r="B1876" i="130" s="1"/>
  <c r="B1877" i="130" s="1"/>
  <c r="E229" i="125" s="1"/>
  <c r="E46" i="136"/>
  <c r="I46" i="136" s="1"/>
  <c r="I51" i="136" s="1"/>
  <c r="B51" i="136" s="1"/>
  <c r="B52" i="136" s="1"/>
  <c r="E567" i="139"/>
  <c r="I567" i="139" s="1"/>
  <c r="I570" i="139" s="1"/>
  <c r="B570" i="139" s="1"/>
  <c r="B571" i="139" s="1"/>
  <c r="E381" i="125" s="1"/>
  <c r="E978" i="137"/>
  <c r="I978" i="137" s="1"/>
  <c r="I981" i="137" s="1"/>
  <c r="B981" i="137" s="1"/>
  <c r="B982" i="137" s="1"/>
  <c r="E26" i="118" s="1"/>
  <c r="F26" i="118" s="1"/>
  <c r="E1116" i="137"/>
  <c r="B1117" i="137"/>
  <c r="B1118" i="137" s="1"/>
  <c r="E39" i="118" s="1"/>
  <c r="F39" i="118" s="1"/>
  <c r="E673" i="139"/>
  <c r="I673" i="139" s="1"/>
  <c r="I676" i="139" s="1"/>
  <c r="B676" i="139" s="1"/>
  <c r="B677" i="139" s="1"/>
  <c r="E248" i="125" s="1"/>
  <c r="E14" i="6"/>
  <c r="I14" i="6" s="1"/>
  <c r="I22" i="6" s="1"/>
  <c r="B22" i="6" s="1"/>
  <c r="E504" i="139"/>
  <c r="I504" i="139" s="1"/>
  <c r="I507" i="139" s="1"/>
  <c r="B507" i="139" s="1"/>
  <c r="B508" i="139" s="1"/>
  <c r="E376" i="125" s="1"/>
  <c r="E1063" i="137"/>
  <c r="I1063" i="137" s="1"/>
  <c r="I1067" i="137" s="1"/>
  <c r="B1067" i="137" s="1"/>
  <c r="B1068" i="137" s="1"/>
  <c r="E35" i="118" s="1"/>
  <c r="F35" i="118" s="1"/>
  <c r="E1079" i="137"/>
  <c r="I1079" i="137" s="1"/>
  <c r="I1082" i="137" s="1"/>
  <c r="B1082" i="137" s="1"/>
  <c r="B1083" i="137" s="1"/>
  <c r="E37" i="118" s="1"/>
  <c r="F37" i="118" s="1"/>
  <c r="E47" i="81"/>
  <c r="I47" i="81" s="1"/>
  <c r="I49" i="81" s="1"/>
  <c r="B49" i="81" s="1"/>
  <c r="B50" i="81" s="1"/>
  <c r="E2291" i="130"/>
  <c r="I2291" i="130" s="1"/>
  <c r="I2292" i="130" s="1"/>
  <c r="B2292" i="130" s="1"/>
  <c r="B2293" i="130" s="1"/>
  <c r="E461" i="125" s="1"/>
  <c r="E1575" i="130"/>
  <c r="I1575" i="130" s="1"/>
  <c r="I1576" i="130" s="1"/>
  <c r="B1576" i="130" s="1"/>
  <c r="B1577" i="130" s="1"/>
  <c r="E210" i="125" s="1"/>
  <c r="E1463" i="130"/>
  <c r="I1463" i="130" s="1"/>
  <c r="I1464" i="130" s="1"/>
  <c r="B1464" i="130" s="1"/>
  <c r="B1465" i="130" s="1"/>
  <c r="E203" i="125" s="1"/>
  <c r="E1402" i="130"/>
  <c r="I1402" i="130" s="1"/>
  <c r="I1403" i="130" s="1"/>
  <c r="B1403" i="130" s="1"/>
  <c r="B1404" i="130" s="1"/>
  <c r="E199" i="125" s="1"/>
  <c r="E28" i="6"/>
  <c r="I28" i="6" s="1"/>
  <c r="I36" i="6" s="1"/>
  <c r="B36" i="6" s="1"/>
  <c r="E208" i="136"/>
  <c r="I208" i="136" s="1"/>
  <c r="I211" i="136" s="1"/>
  <c r="B211" i="136" s="1"/>
  <c r="B212" i="136" s="1"/>
  <c r="B448" i="136"/>
  <c r="B449" i="136" s="1"/>
  <c r="E447" i="136"/>
  <c r="E519" i="139"/>
  <c r="I519" i="139" s="1"/>
  <c r="I522" i="139" s="1"/>
  <c r="B522" i="139" s="1"/>
  <c r="B523" i="139" s="1"/>
  <c r="E377" i="125" s="1"/>
  <c r="E484" i="139"/>
  <c r="I484" i="139" s="1"/>
  <c r="I487" i="139" s="1"/>
  <c r="B487" i="139" s="1"/>
  <c r="B488" i="139" s="1"/>
  <c r="E375" i="125" s="1"/>
  <c r="E1032" i="137"/>
  <c r="I1032" i="137" s="1"/>
  <c r="I1035" i="137" s="1"/>
  <c r="B1035" i="137" s="1"/>
  <c r="B1036" i="137" s="1"/>
  <c r="E32" i="118" s="1"/>
  <c r="F32" i="118" s="1"/>
  <c r="E357" i="130"/>
  <c r="I357" i="130" s="1"/>
  <c r="I358" i="130" s="1"/>
  <c r="B358" i="130" s="1"/>
  <c r="B359" i="130" s="1"/>
  <c r="E51" i="125" s="1"/>
  <c r="E84" i="124"/>
  <c r="I84" i="124" s="1"/>
  <c r="I87" i="124" s="1"/>
  <c r="B87" i="124" s="1"/>
  <c r="B88" i="124" s="1"/>
  <c r="F25" i="126" s="1"/>
  <c r="G880" i="140"/>
  <c r="G880" i="152"/>
  <c r="F896" i="152"/>
  <c r="G330" i="125"/>
  <c r="F331" i="125"/>
  <c r="G735" i="140"/>
  <c r="G735" i="152"/>
  <c r="F216" i="86"/>
  <c r="F217" i="86"/>
  <c r="I270" i="142"/>
  <c r="H270" i="142"/>
  <c r="B268" i="142"/>
  <c r="J270" i="142"/>
  <c r="E240" i="146"/>
  <c r="I240" i="146" s="1"/>
  <c r="B155" i="142"/>
  <c r="H156" i="142" s="1"/>
  <c r="O156" i="142" s="1"/>
  <c r="E1890" i="130"/>
  <c r="I1890" i="130" s="1"/>
  <c r="I1891" i="130" s="1"/>
  <c r="B1891" i="130" s="1"/>
  <c r="B1892" i="130" s="1"/>
  <c r="E230" i="125" s="1"/>
  <c r="E441" i="130"/>
  <c r="I441" i="130" s="1"/>
  <c r="I442" i="130" s="1"/>
  <c r="B442" i="130" s="1"/>
  <c r="B443" i="130" s="1"/>
  <c r="E60" i="125" s="1"/>
  <c r="E98" i="6"/>
  <c r="I98" i="6" s="1"/>
  <c r="I106" i="6" s="1"/>
  <c r="B106" i="6" s="1"/>
  <c r="E13" i="122"/>
  <c r="I13" i="122" s="1"/>
  <c r="I23" i="122" s="1"/>
  <c r="B23" i="122" s="1"/>
  <c r="B340" i="136"/>
  <c r="B341" i="136" s="1"/>
  <c r="E339" i="136"/>
  <c r="E1935" i="130"/>
  <c r="I1935" i="130" s="1"/>
  <c r="I1936" i="130" s="1"/>
  <c r="B1936" i="130" s="1"/>
  <c r="B1937" i="130" s="1"/>
  <c r="E233" i="125" s="1"/>
  <c r="E1048" i="137"/>
  <c r="I1048" i="137" s="1"/>
  <c r="I1051" i="137" s="1"/>
  <c r="B1051" i="137" s="1"/>
  <c r="B1052" i="137" s="1"/>
  <c r="E33" i="118" s="1"/>
  <c r="F33" i="118" s="1"/>
  <c r="E822" i="130"/>
  <c r="I822" i="130" s="1"/>
  <c r="I827" i="130" s="1"/>
  <c r="B827" i="130" s="1"/>
  <c r="B828" i="130" s="1"/>
  <c r="E99" i="125" s="1"/>
  <c r="E789" i="137"/>
  <c r="I789" i="137" s="1"/>
  <c r="I790" i="137" s="1"/>
  <c r="B790" i="137" s="1"/>
  <c r="B791" i="137" s="1"/>
  <c r="E14" i="118" s="1"/>
  <c r="F14" i="118" s="1"/>
  <c r="E47" i="122"/>
  <c r="I47" i="122" s="1"/>
  <c r="I57" i="122" s="1"/>
  <c r="B57" i="122" s="1"/>
  <c r="E875" i="130"/>
  <c r="I875" i="130" s="1"/>
  <c r="I876" i="130" s="1"/>
  <c r="B876" i="130" s="1"/>
  <c r="B877" i="130" s="1"/>
  <c r="E103" i="125" s="1"/>
  <c r="E84" i="6"/>
  <c r="I84" i="6" s="1"/>
  <c r="I92" i="6" s="1"/>
  <c r="B92" i="6" s="1"/>
  <c r="B429" i="139"/>
  <c r="B430" i="139" s="1"/>
  <c r="E372" i="125" s="1"/>
  <c r="E426" i="139"/>
  <c r="I426" i="139" s="1"/>
  <c r="I429" i="139" s="1"/>
  <c r="E775" i="123"/>
  <c r="I775" i="123" s="1"/>
  <c r="I777" i="123" s="1"/>
  <c r="B777" i="123" s="1"/>
  <c r="B778" i="123" s="1"/>
  <c r="E890" i="130"/>
  <c r="I890" i="130" s="1"/>
  <c r="I891" i="130" s="1"/>
  <c r="B891" i="130" s="1"/>
  <c r="B892" i="130" s="1"/>
  <c r="E104" i="125" s="1"/>
  <c r="E1116" i="130"/>
  <c r="I1116" i="130" s="1"/>
  <c r="I1117" i="130" s="1"/>
  <c r="B1117" i="130" s="1"/>
  <c r="B1118" i="130" s="1"/>
  <c r="E180" i="125" s="1"/>
  <c r="E1131" i="130"/>
  <c r="I1131" i="130" s="1"/>
  <c r="I1132" i="130" s="1"/>
  <c r="B1132" i="130" s="1"/>
  <c r="B1133" i="130" s="1"/>
  <c r="E181" i="125" s="1"/>
  <c r="E1305" i="137"/>
  <c r="B1306" i="137"/>
  <c r="B1307" i="137" s="1"/>
  <c r="E52" i="118" s="1"/>
  <c r="F52" i="118" s="1"/>
  <c r="E2504" i="130"/>
  <c r="I2504" i="130" s="1"/>
  <c r="I2505" i="130" s="1"/>
  <c r="B2505" i="130" s="1"/>
  <c r="B2506" i="130" s="1"/>
  <c r="E661" i="130"/>
  <c r="I661" i="130" s="1"/>
  <c r="I662" i="130" s="1"/>
  <c r="B662" i="130" s="1"/>
  <c r="B663" i="130" s="1"/>
  <c r="E87" i="125" s="1"/>
  <c r="E1829" i="130"/>
  <c r="I1829" i="130" s="1"/>
  <c r="I1830" i="130" s="1"/>
  <c r="B1830" i="130" s="1"/>
  <c r="B1831" i="130" s="1"/>
  <c r="E226" i="125" s="1"/>
  <c r="E108" i="136"/>
  <c r="I108" i="136" s="1"/>
  <c r="I111" i="136" s="1"/>
  <c r="B111" i="136" s="1"/>
  <c r="B112" i="136" s="1"/>
  <c r="E256" i="139"/>
  <c r="I256" i="139" s="1"/>
  <c r="I259" i="139" s="1"/>
  <c r="B259" i="139" s="1"/>
  <c r="B260" i="139" s="1"/>
  <c r="E361" i="125" s="1"/>
  <c r="E56" i="123"/>
  <c r="I56" i="123" s="1"/>
  <c r="I58" i="123" s="1"/>
  <c r="B58" i="123" s="1"/>
  <c r="B59" i="123" s="1"/>
  <c r="B742" i="130"/>
  <c r="B743" i="130" s="1"/>
  <c r="E92" i="125" s="1"/>
  <c r="E741" i="130"/>
  <c r="I741" i="130" s="1"/>
  <c r="I742" i="130" s="1"/>
  <c r="E1608" i="130"/>
  <c r="I1608" i="130" s="1"/>
  <c r="I1609" i="130" s="1"/>
  <c r="B1609" i="130" s="1"/>
  <c r="B1610" i="130" s="1"/>
  <c r="E212" i="125" s="1"/>
  <c r="E1356" i="130"/>
  <c r="I1356" i="130" s="1"/>
  <c r="I1357" i="130" s="1"/>
  <c r="B1357" i="130" s="1"/>
  <c r="B1358" i="130" s="1"/>
  <c r="E196" i="125" s="1"/>
  <c r="E2071" i="130"/>
  <c r="I2071" i="130" s="1"/>
  <c r="I2072" i="130" s="1"/>
  <c r="B2072" i="130" s="1"/>
  <c r="B2073" i="130" s="1"/>
  <c r="E242" i="125" s="1"/>
  <c r="E224" i="136"/>
  <c r="I224" i="136" s="1"/>
  <c r="I227" i="136" s="1"/>
  <c r="B227" i="136" s="1"/>
  <c r="B228" i="136" s="1"/>
  <c r="E443" i="139"/>
  <c r="I443" i="139" s="1"/>
  <c r="I446" i="139" s="1"/>
  <c r="B446" i="139" s="1"/>
  <c r="B447" i="139" s="1"/>
  <c r="E373" i="125" s="1"/>
  <c r="E1234" i="137"/>
  <c r="B1235" i="137"/>
  <c r="B1236" i="137" s="1"/>
  <c r="E47" i="118" s="1"/>
  <c r="F47" i="118" s="1"/>
  <c r="E998" i="130"/>
  <c r="I998" i="130" s="1"/>
  <c r="I999" i="130" s="1"/>
  <c r="B999" i="130"/>
  <c r="B1000" i="130" s="1"/>
  <c r="E111" i="125" s="1"/>
  <c r="E1223" i="123"/>
  <c r="I1223" i="123" s="1"/>
  <c r="I1226" i="123" s="1"/>
  <c r="B1226" i="123" s="1"/>
  <c r="B1227" i="123" s="1"/>
  <c r="E1190" i="123"/>
  <c r="I1190" i="123" s="1"/>
  <c r="I1192" i="123" s="1"/>
  <c r="B1192" i="123" s="1"/>
  <c r="B1193" i="123" s="1"/>
  <c r="E178" i="130"/>
  <c r="I178" i="130" s="1"/>
  <c r="I181" i="130" s="1"/>
  <c r="B181" i="130" s="1"/>
  <c r="B182" i="130" s="1"/>
  <c r="E27" i="125" s="1"/>
  <c r="E709" i="130"/>
  <c r="I709" i="130" s="1"/>
  <c r="I710" i="130" s="1"/>
  <c r="B710" i="130" s="1"/>
  <c r="B711" i="130" s="1"/>
  <c r="E90" i="125" s="1"/>
  <c r="E1177" i="130"/>
  <c r="I1177" i="130" s="1"/>
  <c r="I1178" i="130" s="1"/>
  <c r="B1178" i="130" s="1"/>
  <c r="B1179" i="130" s="1"/>
  <c r="E1448" i="130"/>
  <c r="I1448" i="130" s="1"/>
  <c r="I1449" i="130" s="1"/>
  <c r="B1449" i="130" s="1"/>
  <c r="B1450" i="130" s="1"/>
  <c r="E202" i="125" s="1"/>
  <c r="B356" i="136"/>
  <c r="B357" i="136" s="1"/>
  <c r="E355" i="136"/>
  <c r="E534" i="139"/>
  <c r="I534" i="139" s="1"/>
  <c r="I537" i="139" s="1"/>
  <c r="B537" i="139" s="1"/>
  <c r="B538" i="139" s="1"/>
  <c r="E379" i="125" s="1"/>
  <c r="B1198" i="137"/>
  <c r="B1199" i="137" s="1"/>
  <c r="E45" i="118" s="1"/>
  <c r="F45" i="118" s="1"/>
  <c r="E1197" i="137"/>
  <c r="E55" i="81"/>
  <c r="I55" i="81" s="1"/>
  <c r="I57" i="81" s="1"/>
  <c r="B57" i="81" s="1"/>
  <c r="B58" i="81" s="1"/>
  <c r="E133" i="124"/>
  <c r="I133" i="124" s="1"/>
  <c r="E29" i="139"/>
  <c r="I29" i="139" s="1"/>
  <c r="I30" i="139" s="1"/>
  <c r="B30" i="139" s="1"/>
  <c r="B31" i="139" s="1"/>
  <c r="E344" i="125" s="1"/>
  <c r="E204" i="139"/>
  <c r="I204" i="139" s="1"/>
  <c r="I207" i="139" s="1"/>
  <c r="B207" i="139" s="1"/>
  <c r="B208" i="139" s="1"/>
  <c r="E355" i="125" s="1"/>
  <c r="E1147" i="137"/>
  <c r="B1148" i="137"/>
  <c r="B1149" i="137" s="1"/>
  <c r="E41" i="118" s="1"/>
  <c r="F41" i="118" s="1"/>
  <c r="E1321" i="137"/>
  <c r="B1322" i="137"/>
  <c r="B1323" i="137" s="1"/>
  <c r="E53" i="118" s="1"/>
  <c r="F53" i="118" s="1"/>
  <c r="E514" i="130"/>
  <c r="I514" i="130" s="1"/>
  <c r="I515" i="130" s="1"/>
  <c r="B515" i="130"/>
  <c r="B516" i="130" s="1"/>
  <c r="E72" i="125" s="1"/>
  <c r="E42" i="6"/>
  <c r="I42" i="6" s="1"/>
  <c r="I50" i="6" s="1"/>
  <c r="B50" i="6" s="1"/>
  <c r="E1673" i="130"/>
  <c r="I1673" i="130" s="1"/>
  <c r="I1674" i="130" s="1"/>
  <c r="B1674" i="130" s="1"/>
  <c r="B1675" i="130" s="1"/>
  <c r="E216" i="125" s="1"/>
  <c r="E1905" i="130"/>
  <c r="I1905" i="130" s="1"/>
  <c r="I1906" i="130" s="1"/>
  <c r="B1906" i="130" s="1"/>
  <c r="B1907" i="130" s="1"/>
  <c r="E231" i="125" s="1"/>
  <c r="E2527" i="130"/>
  <c r="I2527" i="130" s="1"/>
  <c r="I2528" i="130" s="1"/>
  <c r="B2528" i="130" s="1"/>
  <c r="B2529" i="130" s="1"/>
  <c r="E143" i="6"/>
  <c r="I143" i="6" s="1"/>
  <c r="I149" i="6" s="1"/>
  <c r="B149" i="6" s="1"/>
  <c r="E255" i="136"/>
  <c r="I255" i="136" s="1"/>
  <c r="I259" i="136" s="1"/>
  <c r="B259" i="136" s="1"/>
  <c r="B260" i="136" s="1"/>
  <c r="E103" i="139"/>
  <c r="I103" i="139" s="1"/>
  <c r="I104" i="139" s="1"/>
  <c r="B104" i="139" s="1"/>
  <c r="B105" i="139" s="1"/>
  <c r="E347" i="125" s="1"/>
  <c r="E183" i="139"/>
  <c r="I183" i="139" s="1"/>
  <c r="I188" i="139" s="1"/>
  <c r="B188" i="139" s="1"/>
  <c r="B189" i="139" s="1"/>
  <c r="E353" i="125" s="1"/>
  <c r="E938" i="137"/>
  <c r="I938" i="137" s="1"/>
  <c r="I943" i="137" s="1"/>
  <c r="B943" i="137" s="1"/>
  <c r="B944" i="137" s="1"/>
  <c r="E23" i="118" s="1"/>
  <c r="F23" i="118" s="1"/>
  <c r="E1275" i="137"/>
  <c r="B1276" i="137"/>
  <c r="B1277" i="137" s="1"/>
  <c r="E49" i="118" s="1"/>
  <c r="F49" i="118" s="1"/>
  <c r="E546" i="130"/>
  <c r="I546" i="130" s="1"/>
  <c r="I547" i="130" s="1"/>
  <c r="B547" i="130" s="1"/>
  <c r="B548" i="130" s="1"/>
  <c r="E74" i="125" s="1"/>
  <c r="E2211" i="130"/>
  <c r="I2211" i="130" s="1"/>
  <c r="I2212" i="130" s="1"/>
  <c r="B2212" i="130" s="1"/>
  <c r="B2213" i="130" s="1"/>
  <c r="E456" i="125" s="1"/>
  <c r="G154" i="125"/>
  <c r="G699" i="152"/>
  <c r="G16" i="129"/>
  <c r="G15" i="132"/>
  <c r="G699" i="140"/>
  <c r="F155" i="125"/>
  <c r="F156" i="125" s="1"/>
  <c r="G284" i="146"/>
  <c r="I284" i="146" s="1"/>
  <c r="B225" i="142"/>
  <c r="E226" i="142" s="1"/>
  <c r="O226" i="142" s="1"/>
  <c r="B141" i="142"/>
  <c r="E233" i="146"/>
  <c r="I233" i="146" s="1"/>
  <c r="I17" i="132"/>
  <c r="I25" i="132" s="1"/>
  <c r="B223" i="142"/>
  <c r="G283" i="146"/>
  <c r="I283" i="146" s="1"/>
  <c r="G698" i="140"/>
  <c r="B229" i="142"/>
  <c r="E230" i="142" s="1"/>
  <c r="O230" i="142" s="1"/>
  <c r="G286" i="146"/>
  <c r="I286" i="146" s="1"/>
  <c r="G132" i="126"/>
  <c r="I15" i="129"/>
  <c r="I24" i="129" s="1"/>
  <c r="E11" i="145"/>
  <c r="G11" i="145" s="1"/>
  <c r="E182" i="122"/>
  <c r="I182" i="122" s="1"/>
  <c r="I189" i="122" s="1"/>
  <c r="B189" i="122" s="1"/>
  <c r="E115" i="122"/>
  <c r="I115" i="122" s="1"/>
  <c r="I125" i="122" s="1"/>
  <c r="B125" i="122" s="1"/>
  <c r="E992" i="123"/>
  <c r="I992" i="123" s="1"/>
  <c r="I993" i="123" s="1"/>
  <c r="B993" i="123" s="1"/>
  <c r="B994" i="123" s="1"/>
  <c r="E876" i="137"/>
  <c r="I876" i="137" s="1"/>
  <c r="I881" i="137" s="1"/>
  <c r="B881" i="137" s="1"/>
  <c r="B882" i="137" s="1"/>
  <c r="E18" i="118" s="1"/>
  <c r="F18" i="118" s="1"/>
  <c r="E1720" i="130"/>
  <c r="I1720" i="130" s="1"/>
  <c r="I1721" i="130" s="1"/>
  <c r="B1721" i="130" s="1"/>
  <c r="B1722" i="130" s="1"/>
  <c r="E219" i="125" s="1"/>
  <c r="E2490" i="130"/>
  <c r="I2490" i="130" s="1"/>
  <c r="I2491" i="130" s="1"/>
  <c r="B2491" i="130" s="1"/>
  <c r="B2492" i="130" s="1"/>
  <c r="E187" i="136"/>
  <c r="I187" i="136" s="1"/>
  <c r="I190" i="136" s="1"/>
  <c r="B190" i="136" s="1"/>
  <c r="B191" i="136" s="1"/>
  <c r="E1478" i="130"/>
  <c r="I1478" i="130" s="1"/>
  <c r="I1479" i="130" s="1"/>
  <c r="B1479" i="130" s="1"/>
  <c r="B1480" i="130" s="1"/>
  <c r="E204" i="125" s="1"/>
  <c r="E63" i="136"/>
  <c r="I63" i="136" s="1"/>
  <c r="I66" i="136" s="1"/>
  <c r="B66" i="136" s="1"/>
  <c r="B67" i="136" s="1"/>
  <c r="E878" i="123"/>
  <c r="I878" i="123" s="1"/>
  <c r="I883" i="123" s="1"/>
  <c r="B883" i="123" s="1"/>
  <c r="B884" i="123" s="1"/>
  <c r="E170" i="130"/>
  <c r="I170" i="130" s="1"/>
  <c r="I173" i="130" s="1"/>
  <c r="B173" i="130" s="1"/>
  <c r="B174" i="130" s="1"/>
  <c r="E26" i="125" s="1"/>
  <c r="E1209" i="130"/>
  <c r="I1209" i="130" s="1"/>
  <c r="I1210" i="130" s="1"/>
  <c r="B1210" i="130" s="1"/>
  <c r="B1211" i="130" s="1"/>
  <c r="E186" i="125" s="1"/>
  <c r="E359" i="139"/>
  <c r="I359" i="139" s="1"/>
  <c r="I362" i="139" s="1"/>
  <c r="B362" i="139" s="1"/>
  <c r="B363" i="139" s="1"/>
  <c r="E369" i="125" s="1"/>
  <c r="E1338" i="137"/>
  <c r="I1338" i="137" s="1"/>
  <c r="I1339" i="137" s="1"/>
  <c r="B1339" i="137" s="1"/>
  <c r="B1340" i="137" s="1"/>
  <c r="E54" i="118" s="1"/>
  <c r="F54" i="118" s="1"/>
  <c r="E968" i="130"/>
  <c r="I968" i="130" s="1"/>
  <c r="I969" i="130" s="1"/>
  <c r="B969" i="130" s="1"/>
  <c r="B970" i="130" s="1"/>
  <c r="E109" i="125" s="1"/>
  <c r="E783" i="123"/>
  <c r="I783" i="123" s="1"/>
  <c r="I786" i="123" s="1"/>
  <c r="B786" i="123" s="1"/>
  <c r="B787" i="123" s="1"/>
  <c r="E937" i="130"/>
  <c r="I937" i="130" s="1"/>
  <c r="I938" i="130" s="1"/>
  <c r="B938" i="130" s="1"/>
  <c r="B939" i="130" s="1"/>
  <c r="E107" i="125" s="1"/>
  <c r="E1147" i="130"/>
  <c r="I1147" i="130" s="1"/>
  <c r="I1148" i="130" s="1"/>
  <c r="B1148" i="130" s="1"/>
  <c r="B1149" i="130" s="1"/>
  <c r="E182" i="125" s="1"/>
  <c r="E1592" i="130"/>
  <c r="I1592" i="130" s="1"/>
  <c r="I1593" i="130" s="1"/>
  <c r="B1593" i="130" s="1"/>
  <c r="B1594" i="130" s="1"/>
  <c r="E211" i="125" s="1"/>
  <c r="E57" i="139"/>
  <c r="I57" i="139" s="1"/>
  <c r="I58" i="139" s="1"/>
  <c r="B58" i="139" s="1"/>
  <c r="B59" i="139" s="1"/>
  <c r="E345" i="125" s="1"/>
  <c r="E24" i="81"/>
  <c r="I24" i="81" s="1"/>
  <c r="I26" i="81" s="1"/>
  <c r="B26" i="81" s="1"/>
  <c r="B27" i="81" s="1"/>
  <c r="E27" i="123"/>
  <c r="I27" i="123" s="1"/>
  <c r="I30" i="123" s="1"/>
  <c r="B30" i="123" s="1"/>
  <c r="B31" i="123" s="1"/>
  <c r="E27" i="130"/>
  <c r="I27" i="130" s="1"/>
  <c r="I30" i="130" s="1"/>
  <c r="B30" i="130" s="1"/>
  <c r="B31" i="130" s="1"/>
  <c r="E775" i="130"/>
  <c r="I775" i="130" s="1"/>
  <c r="I776" i="130" s="1"/>
  <c r="B776" i="130" s="1"/>
  <c r="B777" i="130" s="1"/>
  <c r="E95" i="125" s="1"/>
  <c r="E1782" i="130"/>
  <c r="I1782" i="130" s="1"/>
  <c r="I1783" i="130" s="1"/>
  <c r="B1783" i="130"/>
  <c r="B1784" i="130" s="1"/>
  <c r="E223" i="125" s="1"/>
  <c r="E1859" i="130"/>
  <c r="I1859" i="130" s="1"/>
  <c r="I1860" i="130" s="1"/>
  <c r="B1860" i="130" s="1"/>
  <c r="B1861" i="130" s="1"/>
  <c r="E228" i="125" s="1"/>
  <c r="E7" i="136"/>
  <c r="I7" i="136" s="1"/>
  <c r="I10" i="136" s="1"/>
  <c r="B10" i="136" s="1"/>
  <c r="B11" i="136" s="1"/>
  <c r="B243" i="136"/>
  <c r="B244" i="136" s="1"/>
  <c r="E240" i="136"/>
  <c r="I240" i="136" s="1"/>
  <c r="I243" i="136" s="1"/>
  <c r="E220" i="139"/>
  <c r="I220" i="139" s="1"/>
  <c r="I223" i="139" s="1"/>
  <c r="B223" i="139" s="1"/>
  <c r="B224" i="139" s="1"/>
  <c r="E357" i="125" s="1"/>
  <c r="E894" i="137"/>
  <c r="I894" i="137" s="1"/>
  <c r="I897" i="137" s="1"/>
  <c r="B897" i="137" s="1"/>
  <c r="B898" i="137" s="1"/>
  <c r="E20" i="118" s="1"/>
  <c r="F20" i="118" s="1"/>
  <c r="E529" i="130"/>
  <c r="I529" i="130" s="1"/>
  <c r="I530" i="130" s="1"/>
  <c r="B530" i="130" s="1"/>
  <c r="B531" i="130" s="1"/>
  <c r="E73" i="125" s="1"/>
  <c r="E1705" i="130"/>
  <c r="I1705" i="130" s="1"/>
  <c r="I1706" i="130" s="1"/>
  <c r="B1706" i="130" s="1"/>
  <c r="B1707" i="130" s="1"/>
  <c r="E218" i="125" s="1"/>
  <c r="E17" i="123"/>
  <c r="I17" i="123" s="1"/>
  <c r="I20" i="123" s="1"/>
  <c r="B20" i="123" s="1"/>
  <c r="B21" i="123" s="1"/>
  <c r="E70" i="81"/>
  <c r="I70" i="81" s="1"/>
  <c r="I72" i="81" s="1"/>
  <c r="B72" i="81" s="1"/>
  <c r="B73" i="81" s="1"/>
  <c r="E1013" i="130"/>
  <c r="I1013" i="130" s="1"/>
  <c r="I1014" i="130" s="1"/>
  <c r="B1014" i="130" s="1"/>
  <c r="B1015" i="130" s="1"/>
  <c r="E112" i="125" s="1"/>
  <c r="E1162" i="130"/>
  <c r="I1162" i="130" s="1"/>
  <c r="I1163" i="130" s="1"/>
  <c r="B1163" i="130" s="1"/>
  <c r="B1164" i="130" s="1"/>
  <c r="E183" i="125" s="1"/>
  <c r="E1689" i="130"/>
  <c r="I1689" i="130" s="1"/>
  <c r="I1690" i="130" s="1"/>
  <c r="B1690" i="130" s="1"/>
  <c r="B1691" i="130" s="1"/>
  <c r="E217" i="125" s="1"/>
  <c r="E1513" i="130"/>
  <c r="I1513" i="130" s="1"/>
  <c r="I1514" i="130" s="1"/>
  <c r="B1514" i="130" s="1"/>
  <c r="B1515" i="130" s="1"/>
  <c r="E206" i="125" s="1"/>
  <c r="E1559" i="130"/>
  <c r="I1559" i="130" s="1"/>
  <c r="I1560" i="130" s="1"/>
  <c r="B1560" i="130" s="1"/>
  <c r="B1561" i="130" s="1"/>
  <c r="E209" i="125" s="1"/>
  <c r="E389" i="136"/>
  <c r="B390" i="136"/>
  <c r="B391" i="136" s="1"/>
  <c r="E163" i="139"/>
  <c r="I163" i="139" s="1"/>
  <c r="I168" i="139" s="1"/>
  <c r="B168" i="139" s="1"/>
  <c r="B169" i="139" s="1"/>
  <c r="E352" i="125" s="1"/>
  <c r="E1163" i="137"/>
  <c r="B1164" i="137"/>
  <c r="B1165" i="137" s="1"/>
  <c r="E42" i="118" s="1"/>
  <c r="F42" i="118" s="1"/>
  <c r="H95" i="81"/>
  <c r="H96" i="81" s="1"/>
  <c r="E103" i="81"/>
  <c r="H103" i="81" s="1"/>
  <c r="H104" i="81" s="1"/>
  <c r="E327" i="139"/>
  <c r="I327" i="139" s="1"/>
  <c r="I330" i="139" s="1"/>
  <c r="B330" i="139" s="1"/>
  <c r="B331" i="139" s="1"/>
  <c r="E367" i="125" s="1"/>
  <c r="E815" i="137"/>
  <c r="I815" i="137" s="1"/>
  <c r="I816" i="137" s="1"/>
  <c r="B816" i="137" s="1"/>
  <c r="B817" i="137" s="1"/>
  <c r="E15" i="118" s="1"/>
  <c r="F15" i="118" s="1"/>
  <c r="E713" i="137"/>
  <c r="I713" i="137" s="1"/>
  <c r="I714" i="137" s="1"/>
  <c r="B714" i="137" s="1"/>
  <c r="B715" i="137" s="1"/>
  <c r="E10" i="118" s="1"/>
  <c r="F10" i="118" s="1"/>
  <c r="E1028" i="130"/>
  <c r="I1028" i="130" s="1"/>
  <c r="I1029" i="130" s="1"/>
  <c r="B1029" i="130" s="1"/>
  <c r="B1030" i="130" s="1"/>
  <c r="E113" i="125" s="1"/>
  <c r="E520" i="81"/>
  <c r="I520" i="81" s="1"/>
  <c r="I522" i="81" s="1"/>
  <c r="B522" i="81" s="1"/>
  <c r="B523" i="81" s="1"/>
  <c r="E88" i="86" s="1"/>
  <c r="E1193" i="130"/>
  <c r="I1193" i="130" s="1"/>
  <c r="I1194" i="130" s="1"/>
  <c r="B1194" i="130" s="1"/>
  <c r="B1195" i="130" s="1"/>
  <c r="E185" i="125" s="1"/>
  <c r="E1640" i="130"/>
  <c r="I1640" i="130" s="1"/>
  <c r="I1641" i="130" s="1"/>
  <c r="B1641" i="130" s="1"/>
  <c r="B1642" i="130" s="1"/>
  <c r="E214" i="125" s="1"/>
  <c r="E1965" i="130"/>
  <c r="I1965" i="130" s="1"/>
  <c r="I1966" i="130" s="1"/>
  <c r="B1966" i="130" s="1"/>
  <c r="B1967" i="130" s="1"/>
  <c r="E235" i="125" s="1"/>
  <c r="E1920" i="130"/>
  <c r="I1920" i="130" s="1"/>
  <c r="I1921" i="130" s="1"/>
  <c r="B1921" i="130" s="1"/>
  <c r="B1922" i="130" s="1"/>
  <c r="E232" i="125" s="1"/>
  <c r="E539" i="81"/>
  <c r="I539" i="81" s="1"/>
  <c r="I546" i="81" s="1"/>
  <c r="B546" i="81" s="1"/>
  <c r="B547" i="81" s="1"/>
  <c r="E105" i="86" s="1"/>
  <c r="E23" i="136"/>
  <c r="I23" i="136" s="1"/>
  <c r="I26" i="136" s="1"/>
  <c r="B26" i="136" s="1"/>
  <c r="B27" i="136" s="1"/>
  <c r="B309" i="136"/>
  <c r="B310" i="136" s="1"/>
  <c r="E308" i="136"/>
  <c r="E272" i="139"/>
  <c r="I272" i="139" s="1"/>
  <c r="I276" i="139" s="1"/>
  <c r="B276" i="139" s="1"/>
  <c r="B277" i="139" s="1"/>
  <c r="E363" i="125" s="1"/>
  <c r="E240" i="139"/>
  <c r="I240" i="139" s="1"/>
  <c r="I243" i="139" s="1"/>
  <c r="B243" i="139" s="1"/>
  <c r="B244" i="139" s="1"/>
  <c r="E359" i="125" s="1"/>
  <c r="B1291" i="137"/>
  <c r="B1292" i="137" s="1"/>
  <c r="E50" i="118" s="1"/>
  <c r="F50" i="118" s="1"/>
  <c r="E1290" i="137"/>
  <c r="B1181" i="137"/>
  <c r="B1182" i="137" s="1"/>
  <c r="E44" i="118" s="1"/>
  <c r="F44" i="118" s="1"/>
  <c r="E1180" i="137"/>
  <c r="E1544" i="130"/>
  <c r="I1544" i="130" s="1"/>
  <c r="I1545" i="130" s="1"/>
  <c r="B1545" i="130" s="1"/>
  <c r="B1546" i="130" s="1"/>
  <c r="E208" i="125" s="1"/>
  <c r="G153" i="125"/>
  <c r="G14" i="129"/>
  <c r="F213" i="118"/>
  <c r="F214" i="118" s="1"/>
  <c r="G641" i="140"/>
  <c r="G641" i="152"/>
  <c r="I17" i="129"/>
  <c r="I26" i="129" s="1"/>
  <c r="E13" i="145"/>
  <c r="G13" i="145" s="1"/>
  <c r="G698" i="152"/>
  <c r="L276" i="142"/>
  <c r="O276" i="142" s="1"/>
  <c r="B274" i="142"/>
  <c r="G279" i="146"/>
  <c r="G640" i="140"/>
  <c r="B217" i="142"/>
  <c r="G896" i="140"/>
  <c r="G310" i="146"/>
  <c r="I310" i="146" s="1"/>
  <c r="B272" i="142"/>
  <c r="I14" i="132"/>
  <c r="I22" i="132" s="1"/>
  <c r="F874" i="113"/>
  <c r="F876" i="113" s="1"/>
  <c r="F878" i="113"/>
  <c r="E98" i="122"/>
  <c r="I98" i="122" s="1"/>
  <c r="I108" i="122" s="1"/>
  <c r="B108" i="122" s="1"/>
  <c r="E162" i="130"/>
  <c r="I162" i="130" s="1"/>
  <c r="I165" i="130" s="1"/>
  <c r="B165" i="130" s="1"/>
  <c r="B166" i="130" s="1"/>
  <c r="E25" i="125" s="1"/>
  <c r="E169" i="6"/>
  <c r="I169" i="6" s="1"/>
  <c r="I175" i="6" s="1"/>
  <c r="B175" i="6" s="1"/>
  <c r="E983" i="130"/>
  <c r="I983" i="130" s="1"/>
  <c r="I984" i="130" s="1"/>
  <c r="B984" i="130" s="1"/>
  <c r="B985" i="130" s="1"/>
  <c r="E110" i="125" s="1"/>
  <c r="E482" i="136"/>
  <c r="B483" i="136"/>
  <c r="B484" i="136" s="1"/>
  <c r="E953" i="130"/>
  <c r="I953" i="130" s="1"/>
  <c r="I954" i="130" s="1"/>
  <c r="B954" i="130" s="1"/>
  <c r="B955" i="130" s="1"/>
  <c r="E108" i="125" s="1"/>
  <c r="B325" i="136"/>
  <c r="B326" i="136" s="1"/>
  <c r="E324" i="136"/>
  <c r="E1014" i="123"/>
  <c r="I1014" i="123" s="1"/>
  <c r="I1015" i="123" s="1"/>
  <c r="B1015" i="123" s="1"/>
  <c r="B1016" i="123" s="1"/>
  <c r="E922" i="130"/>
  <c r="I922" i="130" s="1"/>
  <c r="I923" i="130" s="1"/>
  <c r="B923" i="130" s="1"/>
  <c r="B924" i="130" s="1"/>
  <c r="E106" i="125" s="1"/>
  <c r="E1340" i="130"/>
  <c r="I1340" i="130" s="1"/>
  <c r="I1341" i="130" s="1"/>
  <c r="B1341" i="130" s="1"/>
  <c r="B1342" i="130" s="1"/>
  <c r="E195" i="125" s="1"/>
  <c r="B346" i="139"/>
  <c r="B347" i="139" s="1"/>
  <c r="E368" i="125" s="1"/>
  <c r="E343" i="139"/>
  <c r="I343" i="139" s="1"/>
  <c r="I346" i="139" s="1"/>
  <c r="E21" i="124"/>
  <c r="I21" i="124" s="1"/>
  <c r="I24" i="124" s="1"/>
  <c r="B24" i="124" s="1"/>
  <c r="B25" i="124" s="1"/>
  <c r="F12" i="126" s="1"/>
  <c r="B157" i="130"/>
  <c r="B158" i="130" s="1"/>
  <c r="E24" i="125" s="1"/>
  <c r="E154" i="130"/>
  <c r="I154" i="130" s="1"/>
  <c r="I157" i="130" s="1"/>
  <c r="E1275" i="130"/>
  <c r="I1275" i="130" s="1"/>
  <c r="I1276" i="130" s="1"/>
  <c r="B1276" i="130" s="1"/>
  <c r="B1277" i="130" s="1"/>
  <c r="E271" i="136"/>
  <c r="I271" i="136" s="1"/>
  <c r="I274" i="136" s="1"/>
  <c r="B274" i="136" s="1"/>
  <c r="B275" i="136" s="1"/>
  <c r="B1256" i="137"/>
  <c r="B1257" i="137" s="1"/>
  <c r="E48" i="118" s="1"/>
  <c r="F48" i="118" s="1"/>
  <c r="E1255" i="137"/>
  <c r="E290" i="123"/>
  <c r="I290" i="123" s="1"/>
  <c r="I296" i="123" s="1"/>
  <c r="B296" i="123" s="1"/>
  <c r="B297" i="123" s="1"/>
  <c r="E200" i="124"/>
  <c r="I200" i="124" s="1"/>
  <c r="I205" i="124" s="1"/>
  <c r="B205" i="124" s="1"/>
  <c r="B206" i="124" s="1"/>
  <c r="F41" i="126" s="1"/>
  <c r="E137" i="130"/>
  <c r="I137" i="130" s="1"/>
  <c r="I141" i="130" s="1"/>
  <c r="B141" i="130" s="1"/>
  <c r="B142" i="130" s="1"/>
  <c r="E22" i="125" s="1"/>
  <c r="E186" i="130"/>
  <c r="I186" i="130" s="1"/>
  <c r="I189" i="130" s="1"/>
  <c r="B189" i="130" s="1"/>
  <c r="B190" i="130" s="1"/>
  <c r="E28" i="125" s="1"/>
  <c r="E693" i="130"/>
  <c r="I693" i="130" s="1"/>
  <c r="I694" i="130" s="1"/>
  <c r="B694" i="130"/>
  <c r="B695" i="130" s="1"/>
  <c r="E89" i="125" s="1"/>
  <c r="E1387" i="130"/>
  <c r="I1387" i="130" s="1"/>
  <c r="I1388" i="130" s="1"/>
  <c r="B1388" i="130" s="1"/>
  <c r="B1389" i="130" s="1"/>
  <c r="E198" i="125" s="1"/>
  <c r="E1417" i="130"/>
  <c r="I1417" i="130" s="1"/>
  <c r="I1418" i="130" s="1"/>
  <c r="B1418" i="130" s="1"/>
  <c r="B1419" i="130" s="1"/>
  <c r="E200" i="125" s="1"/>
  <c r="E1950" i="130"/>
  <c r="I1950" i="130" s="1"/>
  <c r="I1951" i="130" s="1"/>
  <c r="B1951" i="130" s="1"/>
  <c r="B1952" i="130" s="1"/>
  <c r="E234" i="125" s="1"/>
  <c r="E156" i="6"/>
  <c r="I156" i="6" s="1"/>
  <c r="I162" i="6" s="1"/>
  <c r="B162" i="6" s="1"/>
  <c r="E149" i="136"/>
  <c r="I149" i="136" s="1"/>
  <c r="I154" i="136" s="1"/>
  <c r="B154" i="136" s="1"/>
  <c r="B155" i="136" s="1"/>
  <c r="E406" i="136"/>
  <c r="B407" i="136"/>
  <c r="B408" i="136" s="1"/>
  <c r="E463" i="139"/>
  <c r="I463" i="139" s="1"/>
  <c r="I466" i="139" s="1"/>
  <c r="B466" i="139" s="1"/>
  <c r="B467" i="139" s="1"/>
  <c r="E374" i="125" s="1"/>
  <c r="E741" i="137"/>
  <c r="I741" i="137" s="1"/>
  <c r="I742" i="137" s="1"/>
  <c r="B742" i="137"/>
  <c r="B743" i="137" s="1"/>
  <c r="E11" i="118" s="1"/>
  <c r="F11" i="118" s="1"/>
  <c r="E690" i="139"/>
  <c r="I690" i="139" s="1"/>
  <c r="I693" i="139" s="1"/>
  <c r="B693" i="139" s="1"/>
  <c r="B694" i="139" s="1"/>
  <c r="E249" i="125" s="1"/>
  <c r="E793" i="123"/>
  <c r="I793" i="123" s="1"/>
  <c r="I794" i="123" s="1"/>
  <c r="B794" i="123" s="1"/>
  <c r="B795" i="123" s="1"/>
  <c r="E202" i="123"/>
  <c r="I202" i="123" s="1"/>
  <c r="I204" i="123" s="1"/>
  <c r="B204" i="123" s="1"/>
  <c r="B205" i="123" s="1"/>
  <c r="E1288" i="123"/>
  <c r="I1288" i="123" s="1"/>
  <c r="I1294" i="123" s="1"/>
  <c r="B1294" i="123" s="1"/>
  <c r="B1295" i="123" s="1"/>
  <c r="E725" i="130"/>
  <c r="I725" i="130" s="1"/>
  <c r="I726" i="130" s="1"/>
  <c r="B726" i="130" s="1"/>
  <c r="B727" i="130" s="1"/>
  <c r="E91" i="125" s="1"/>
  <c r="E1624" i="130"/>
  <c r="I1624" i="130" s="1"/>
  <c r="I1625" i="130" s="1"/>
  <c r="B1625" i="130" s="1"/>
  <c r="B1626" i="130" s="1"/>
  <c r="E213" i="125" s="1"/>
  <c r="E1227" i="130"/>
  <c r="I1227" i="130" s="1"/>
  <c r="I1228" i="130" s="1"/>
  <c r="B1228" i="130" s="1"/>
  <c r="B1229" i="130" s="1"/>
  <c r="E187" i="125" s="1"/>
  <c r="E2086" i="130"/>
  <c r="I2086" i="130" s="1"/>
  <c r="I2087" i="130" s="1"/>
  <c r="B2087" i="130" s="1"/>
  <c r="B2088" i="130" s="1"/>
  <c r="E243" i="125" s="1"/>
  <c r="B468" i="136"/>
  <c r="B469" i="136" s="1"/>
  <c r="E467" i="136"/>
  <c r="E853" i="137"/>
  <c r="I853" i="137" s="1"/>
  <c r="I856" i="137" s="1"/>
  <c r="B856" i="137" s="1"/>
  <c r="B857" i="137" s="1"/>
  <c r="E17" i="118" s="1"/>
  <c r="F17" i="118" s="1"/>
  <c r="E916" i="137"/>
  <c r="I916" i="137" s="1"/>
  <c r="I919" i="137" s="1"/>
  <c r="B919" i="137" s="1"/>
  <c r="B920" i="137" s="1"/>
  <c r="E21" i="118" s="1"/>
  <c r="F21" i="118" s="1"/>
  <c r="E2274" i="130"/>
  <c r="I2274" i="130" s="1"/>
  <c r="I2275" i="130" s="1"/>
  <c r="B2275" i="130" s="1"/>
  <c r="B2276" i="130" s="1"/>
  <c r="E460" i="125" s="1"/>
  <c r="E1529" i="130"/>
  <c r="I1529" i="130" s="1"/>
  <c r="I1530" i="130" s="1"/>
  <c r="B1530" i="130" s="1"/>
  <c r="B1531" i="130" s="1"/>
  <c r="E207" i="125" s="1"/>
  <c r="E409" i="139"/>
  <c r="I409" i="139" s="1"/>
  <c r="I412" i="139" s="1"/>
  <c r="B412" i="139" s="1"/>
  <c r="B413" i="139" s="1"/>
  <c r="E371" i="125" s="1"/>
  <c r="E1016" i="137"/>
  <c r="I1016" i="137" s="1"/>
  <c r="I1019" i="137" s="1"/>
  <c r="B1019" i="137" s="1"/>
  <c r="B1020" i="137" s="1"/>
  <c r="E30" i="118" s="1"/>
  <c r="F30" i="118" s="1"/>
  <c r="E995" i="137"/>
  <c r="I995" i="137" s="1"/>
  <c r="I998" i="137" s="1"/>
  <c r="B998" i="137" s="1"/>
  <c r="B999" i="137" s="1"/>
  <c r="E28" i="118" s="1"/>
  <c r="F28" i="118" s="1"/>
  <c r="E450" i="130"/>
  <c r="I450" i="130" s="1"/>
  <c r="I451" i="130" s="1"/>
  <c r="B451" i="130" s="1"/>
  <c r="B452" i="130" s="1"/>
  <c r="E61" i="125" s="1"/>
  <c r="E70" i="6"/>
  <c r="I70" i="6" s="1"/>
  <c r="I78" i="6" s="1"/>
  <c r="B78" i="6" s="1"/>
  <c r="E2195" i="130"/>
  <c r="I2195" i="130" s="1"/>
  <c r="I2196" i="130" s="1"/>
  <c r="B2196" i="130" s="1"/>
  <c r="B2197" i="130" s="1"/>
  <c r="E455" i="125" s="1"/>
  <c r="E1291" i="130"/>
  <c r="I1291" i="130" s="1"/>
  <c r="I1292" i="130" s="1"/>
  <c r="B1292" i="130" s="1"/>
  <c r="B1293" i="130" s="1"/>
  <c r="E191" i="125" s="1"/>
  <c r="E1752" i="130"/>
  <c r="I1752" i="130" s="1"/>
  <c r="I1753" i="130" s="1"/>
  <c r="B1753" i="130" s="1"/>
  <c r="B1754" i="130" s="1"/>
  <c r="E221" i="125" s="1"/>
  <c r="E1308" i="130"/>
  <c r="I1308" i="130" s="1"/>
  <c r="I1309" i="130" s="1"/>
  <c r="B1309" i="130" s="1"/>
  <c r="B1310" i="130" s="1"/>
  <c r="E192" i="125" s="1"/>
  <c r="E170" i="136"/>
  <c r="I170" i="136" s="1"/>
  <c r="I173" i="136" s="1"/>
  <c r="B173" i="136" s="1"/>
  <c r="B174" i="136" s="1"/>
  <c r="B498" i="136"/>
  <c r="B499" i="136" s="1"/>
  <c r="E497" i="136"/>
  <c r="E392" i="139"/>
  <c r="I392" i="139" s="1"/>
  <c r="I395" i="139" s="1"/>
  <c r="B395" i="139" s="1"/>
  <c r="B396" i="139" s="1"/>
  <c r="E75" i="139"/>
  <c r="I75" i="139" s="1"/>
  <c r="I76" i="139" s="1"/>
  <c r="B76" i="139" s="1"/>
  <c r="B77" i="139" s="1"/>
  <c r="E346" i="125" s="1"/>
  <c r="E837" i="137"/>
  <c r="I837" i="137" s="1"/>
  <c r="I840" i="137" s="1"/>
  <c r="B840" i="137" s="1"/>
  <c r="B841" i="137" s="1"/>
  <c r="E16" i="118" s="1"/>
  <c r="F16" i="118" s="1"/>
  <c r="B585" i="139"/>
  <c r="B586" i="139" s="1"/>
  <c r="E383" i="125" s="1"/>
  <c r="E584" i="139"/>
  <c r="E459" i="130"/>
  <c r="I459" i="130" s="1"/>
  <c r="I460" i="130" s="1"/>
  <c r="B460" i="130" s="1"/>
  <c r="B461" i="130" s="1"/>
  <c r="E62" i="125" s="1"/>
  <c r="E1657" i="130"/>
  <c r="I1657" i="130" s="1"/>
  <c r="I1658" i="130" s="1"/>
  <c r="B1658" i="130" s="1"/>
  <c r="B1659" i="130" s="1"/>
  <c r="E215" i="125" s="1"/>
  <c r="I20" i="129"/>
  <c r="I29" i="129" s="1"/>
  <c r="E16" i="145"/>
  <c r="G16" i="145" s="1"/>
  <c r="I10" i="133"/>
  <c r="I14" i="133" s="1"/>
  <c r="B265" i="142"/>
  <c r="J279" i="142"/>
  <c r="K279" i="142"/>
  <c r="B277" i="142"/>
  <c r="I279" i="142"/>
  <c r="D221" i="142"/>
  <c r="F221" i="142"/>
  <c r="E221" i="142"/>
  <c r="B219" i="142"/>
  <c r="I18" i="129"/>
  <c r="I27" i="129" s="1"/>
  <c r="E14" i="145"/>
  <c r="G14" i="145" s="1"/>
  <c r="D256" i="146" l="1"/>
  <c r="E56" i="86"/>
  <c r="E116" i="125"/>
  <c r="E392" i="125"/>
  <c r="E61" i="118"/>
  <c r="F55" i="126"/>
  <c r="E470" i="125"/>
  <c r="E167" i="118"/>
  <c r="F102" i="126"/>
  <c r="E195" i="86"/>
  <c r="E252" i="125"/>
  <c r="E125" i="86"/>
  <c r="K14" i="132"/>
  <c r="G83" i="126"/>
  <c r="E1610" i="123"/>
  <c r="I1610" i="123" s="1"/>
  <c r="I1612" i="123" s="1"/>
  <c r="B1612" i="123" s="1"/>
  <c r="B1613" i="123" s="1"/>
  <c r="O258" i="142"/>
  <c r="O244" i="142"/>
  <c r="F84" i="125"/>
  <c r="E222" i="152"/>
  <c r="F222" i="152" s="1"/>
  <c r="F146" i="86"/>
  <c r="F147" i="86" s="1"/>
  <c r="E403" i="123"/>
  <c r="I403" i="123" s="1"/>
  <c r="I404" i="123" s="1"/>
  <c r="B404" i="123"/>
  <c r="B405" i="123" s="1"/>
  <c r="E517" i="152"/>
  <c r="F517" i="152" s="1"/>
  <c r="K33" i="145"/>
  <c r="K28" i="145"/>
  <c r="K29" i="145" s="1"/>
  <c r="K31" i="145" s="1"/>
  <c r="K8" i="132"/>
  <c r="H24" i="132"/>
  <c r="E420" i="123"/>
  <c r="I420" i="123" s="1"/>
  <c r="I421" i="123" s="1"/>
  <c r="B421" i="123"/>
  <c r="B422" i="123" s="1"/>
  <c r="O264" i="142"/>
  <c r="M115" i="142"/>
  <c r="N115" i="142"/>
  <c r="O256" i="142"/>
  <c r="H11" i="132"/>
  <c r="H19" i="132" s="1"/>
  <c r="K5" i="132"/>
  <c r="H21" i="132"/>
  <c r="H27" i="132" s="1"/>
  <c r="K24" i="132"/>
  <c r="F160" i="118"/>
  <c r="E94" i="140"/>
  <c r="F94" i="140" s="1"/>
  <c r="B183" i="142"/>
  <c r="B873" i="123"/>
  <c r="B874" i="123" s="1"/>
  <c r="J18" i="129"/>
  <c r="E134" i="140"/>
  <c r="F134" i="140" s="1"/>
  <c r="E134" i="152"/>
  <c r="F134" i="152" s="1"/>
  <c r="F44" i="86"/>
  <c r="E97" i="140"/>
  <c r="F97" i="140" s="1"/>
  <c r="E97" i="152"/>
  <c r="F97" i="152" s="1"/>
  <c r="F163" i="118"/>
  <c r="F875" i="113"/>
  <c r="E406" i="140"/>
  <c r="F406" i="140" s="1"/>
  <c r="F458" i="125"/>
  <c r="E406" i="152"/>
  <c r="F406" i="152" s="1"/>
  <c r="E394" i="113"/>
  <c r="F394" i="113" s="1"/>
  <c r="G20" i="126"/>
  <c r="E477" i="140"/>
  <c r="F477" i="140" s="1"/>
  <c r="E477" i="152"/>
  <c r="F477" i="152" s="1"/>
  <c r="E451" i="113"/>
  <c r="F451" i="113" s="1"/>
  <c r="E401" i="152"/>
  <c r="F401" i="152" s="1"/>
  <c r="E389" i="113"/>
  <c r="F389" i="113" s="1"/>
  <c r="F453" i="125"/>
  <c r="E401" i="140"/>
  <c r="F401" i="140" s="1"/>
  <c r="F137" i="118"/>
  <c r="E71" i="140"/>
  <c r="F71" i="140" s="1"/>
  <c r="E71" i="152"/>
  <c r="F71" i="152" s="1"/>
  <c r="F46" i="86"/>
  <c r="E136" i="152"/>
  <c r="F136" i="152" s="1"/>
  <c r="E136" i="140"/>
  <c r="F136" i="140" s="1"/>
  <c r="E107" i="86"/>
  <c r="E176" i="86"/>
  <c r="E518" i="140"/>
  <c r="F518" i="140" s="1"/>
  <c r="G84" i="126"/>
  <c r="E518" i="152"/>
  <c r="F518" i="152" s="1"/>
  <c r="E81" i="152"/>
  <c r="F81" i="152" s="1"/>
  <c r="F147" i="118"/>
  <c r="E81" i="140"/>
  <c r="F81" i="140" s="1"/>
  <c r="F464" i="125"/>
  <c r="E412" i="140"/>
  <c r="F412" i="140" s="1"/>
  <c r="E400" i="113"/>
  <c r="F400" i="113" s="1"/>
  <c r="E412" i="152"/>
  <c r="F412" i="152" s="1"/>
  <c r="E172" i="152"/>
  <c r="F172" i="152" s="1"/>
  <c r="F171" i="152" s="1"/>
  <c r="F34" i="125"/>
  <c r="F33" i="125" s="1"/>
  <c r="E172" i="140"/>
  <c r="F172" i="140" s="1"/>
  <c r="F171" i="140" s="1"/>
  <c r="E158" i="113"/>
  <c r="F158" i="113" s="1"/>
  <c r="F157" i="113" s="1"/>
  <c r="G48" i="126"/>
  <c r="E505" i="152"/>
  <c r="F505" i="152" s="1"/>
  <c r="E505" i="140"/>
  <c r="F505" i="140" s="1"/>
  <c r="E118" i="113"/>
  <c r="F118" i="113" s="1"/>
  <c r="F43" i="86"/>
  <c r="E133" i="152"/>
  <c r="F133" i="152" s="1"/>
  <c r="E133" i="140"/>
  <c r="F133" i="140" s="1"/>
  <c r="E122" i="113"/>
  <c r="F122" i="113" s="1"/>
  <c r="E143" i="152"/>
  <c r="F143" i="152" s="1"/>
  <c r="F53" i="86"/>
  <c r="E143" i="140"/>
  <c r="F143" i="140" s="1"/>
  <c r="B149" i="81"/>
  <c r="B150" i="81" s="1"/>
  <c r="F49" i="126"/>
  <c r="B246" i="124"/>
  <c r="E398" i="140"/>
  <c r="F398" i="140" s="1"/>
  <c r="F450" i="125"/>
  <c r="E386" i="113"/>
  <c r="F386" i="113" s="1"/>
  <c r="E398" i="152"/>
  <c r="F398" i="152" s="1"/>
  <c r="F151" i="118"/>
  <c r="E85" i="152"/>
  <c r="F85" i="152" s="1"/>
  <c r="E85" i="140"/>
  <c r="F85" i="140" s="1"/>
  <c r="E371" i="140"/>
  <c r="F371" i="140" s="1"/>
  <c r="F370" i="140" s="1"/>
  <c r="E371" i="152"/>
  <c r="F371" i="152" s="1"/>
  <c r="F370" i="152" s="1"/>
  <c r="F365" i="125"/>
  <c r="F49" i="86"/>
  <c r="E139" i="140"/>
  <c r="F139" i="140" s="1"/>
  <c r="E139" i="152"/>
  <c r="F139" i="152" s="1"/>
  <c r="F144" i="118"/>
  <c r="E78" i="140"/>
  <c r="F78" i="140" s="1"/>
  <c r="E78" i="152"/>
  <c r="F78" i="152" s="1"/>
  <c r="E91" i="140"/>
  <c r="F91" i="140" s="1"/>
  <c r="E91" i="152"/>
  <c r="F91" i="152" s="1"/>
  <c r="F157" i="118"/>
  <c r="E403" i="113"/>
  <c r="F403" i="113" s="1"/>
  <c r="E415" i="140"/>
  <c r="F415" i="140" s="1"/>
  <c r="F467" i="125"/>
  <c r="E415" i="152"/>
  <c r="F415" i="152" s="1"/>
  <c r="E475" i="140"/>
  <c r="F475" i="140" s="1"/>
  <c r="F472" i="140" s="1"/>
  <c r="E449" i="113"/>
  <c r="F449" i="113" s="1"/>
  <c r="F446" i="113" s="1"/>
  <c r="G18" i="126"/>
  <c r="G15" i="126" s="1"/>
  <c r="E475" i="152"/>
  <c r="F475" i="152" s="1"/>
  <c r="F472" i="152" s="1"/>
  <c r="E297" i="124"/>
  <c r="I297" i="124" s="1"/>
  <c r="I298" i="124" s="1"/>
  <c r="B298" i="124" s="1"/>
  <c r="B299" i="124" s="1"/>
  <c r="F80" i="126" s="1"/>
  <c r="E761" i="81"/>
  <c r="I761" i="81" s="1"/>
  <c r="I762" i="81" s="1"/>
  <c r="B762" i="81" s="1"/>
  <c r="B763" i="81" s="1"/>
  <c r="E119" i="86" s="1"/>
  <c r="E191" i="86"/>
  <c r="E122" i="86"/>
  <c r="E88" i="140"/>
  <c r="F88" i="140" s="1"/>
  <c r="F154" i="118"/>
  <c r="E88" i="152"/>
  <c r="F88" i="152" s="1"/>
  <c r="E87" i="140"/>
  <c r="F87" i="140" s="1"/>
  <c r="E87" i="152"/>
  <c r="F87" i="152" s="1"/>
  <c r="F153" i="118"/>
  <c r="E96" i="152"/>
  <c r="F96" i="152" s="1"/>
  <c r="E96" i="140"/>
  <c r="F96" i="140" s="1"/>
  <c r="F162" i="118"/>
  <c r="E531" i="124"/>
  <c r="I531" i="124" s="1"/>
  <c r="I532" i="124" s="1"/>
  <c r="B532" i="124" s="1"/>
  <c r="B533" i="124" s="1"/>
  <c r="F97" i="126" s="1"/>
  <c r="E1159" i="123"/>
  <c r="I1159" i="123" s="1"/>
  <c r="I1160" i="123" s="1"/>
  <c r="B1160" i="123" s="1"/>
  <c r="B1161" i="123" s="1"/>
  <c r="E614" i="137"/>
  <c r="I614" i="137" s="1"/>
  <c r="I615" i="137" s="1"/>
  <c r="B615" i="137" s="1"/>
  <c r="B616" i="137" s="1"/>
  <c r="E159" i="118" s="1"/>
  <c r="E73" i="140"/>
  <c r="F73" i="140" s="1"/>
  <c r="E73" i="152"/>
  <c r="F73" i="152" s="1"/>
  <c r="F139" i="118"/>
  <c r="J17" i="129"/>
  <c r="F215" i="118"/>
  <c r="F216" i="118" s="1"/>
  <c r="G700" i="140"/>
  <c r="B2026" i="130"/>
  <c r="B2027" i="130" s="1"/>
  <c r="E239" i="125" s="1"/>
  <c r="F218" i="86"/>
  <c r="E499" i="130"/>
  <c r="I499" i="130" s="1"/>
  <c r="I500" i="130" s="1"/>
  <c r="B500" i="130" s="1"/>
  <c r="B501" i="130" s="1"/>
  <c r="E71" i="125" s="1"/>
  <c r="F71" i="125" s="1"/>
  <c r="F462" i="125"/>
  <c r="E410" i="152"/>
  <c r="F410" i="152" s="1"/>
  <c r="E410" i="140"/>
  <c r="F410" i="140" s="1"/>
  <c r="E398" i="113"/>
  <c r="F398" i="113" s="1"/>
  <c r="E1063" i="81"/>
  <c r="I1063" i="81" s="1"/>
  <c r="I1064" i="81" s="1"/>
  <c r="B1064" i="81" s="1"/>
  <c r="B1065" i="81" s="1"/>
  <c r="E362" i="124"/>
  <c r="I362" i="124" s="1"/>
  <c r="I363" i="124" s="1"/>
  <c r="B363" i="124" s="1"/>
  <c r="B364" i="124" s="1"/>
  <c r="F86" i="126" s="1"/>
  <c r="E432" i="152"/>
  <c r="F432" i="152" s="1"/>
  <c r="F92" i="86"/>
  <c r="E370" i="113"/>
  <c r="F370" i="113" s="1"/>
  <c r="E432" i="140"/>
  <c r="F432" i="140" s="1"/>
  <c r="E70" i="140"/>
  <c r="F70" i="140" s="1"/>
  <c r="F136" i="118"/>
  <c r="E70" i="152"/>
  <c r="F70" i="152" s="1"/>
  <c r="F138" i="118"/>
  <c r="E72" i="152"/>
  <c r="F72" i="152" s="1"/>
  <c r="E72" i="140"/>
  <c r="F72" i="140" s="1"/>
  <c r="I121" i="142"/>
  <c r="G121" i="142"/>
  <c r="H121" i="142"/>
  <c r="F37" i="126"/>
  <c r="E36" i="125"/>
  <c r="E41" i="86"/>
  <c r="E173" i="125"/>
  <c r="E1628" i="123"/>
  <c r="I1628" i="123" s="1"/>
  <c r="I1629" i="123" s="1"/>
  <c r="B1629" i="123" s="1"/>
  <c r="B1630" i="123" s="1"/>
  <c r="F51" i="86"/>
  <c r="E120" i="113"/>
  <c r="F120" i="113" s="1"/>
  <c r="E141" i="152"/>
  <c r="F141" i="152" s="1"/>
  <c r="E141" i="140"/>
  <c r="F141" i="140" s="1"/>
  <c r="E1747" i="123"/>
  <c r="I1747" i="123" s="1"/>
  <c r="I1748" i="123" s="1"/>
  <c r="B1748" i="123" s="1"/>
  <c r="B1749" i="123" s="1"/>
  <c r="E549" i="113"/>
  <c r="F549" i="113" s="1"/>
  <c r="F188" i="86"/>
  <c r="E574" i="140"/>
  <c r="F574" i="140" s="1"/>
  <c r="E574" i="152"/>
  <c r="F574" i="152" s="1"/>
  <c r="E903" i="81"/>
  <c r="I903" i="81" s="1"/>
  <c r="I904" i="81" s="1"/>
  <c r="B904" i="81"/>
  <c r="B905" i="81" s="1"/>
  <c r="E182" i="86" s="1"/>
  <c r="J166" i="142"/>
  <c r="I166" i="142"/>
  <c r="H166" i="142"/>
  <c r="E339" i="137"/>
  <c r="I339" i="137" s="1"/>
  <c r="I340" i="137" s="1"/>
  <c r="B340" i="137" s="1"/>
  <c r="B341" i="137" s="1"/>
  <c r="E143" i="118" s="1"/>
  <c r="F158" i="118"/>
  <c r="E92" i="140"/>
  <c r="F92" i="140" s="1"/>
  <c r="E92" i="152"/>
  <c r="F92" i="152" s="1"/>
  <c r="E424" i="137"/>
  <c r="I424" i="137" s="1"/>
  <c r="I425" i="137" s="1"/>
  <c r="B425" i="137" s="1"/>
  <c r="B426" i="137" s="1"/>
  <c r="E148" i="118" s="1"/>
  <c r="E450" i="124"/>
  <c r="I450" i="124" s="1"/>
  <c r="I451" i="124" s="1"/>
  <c r="B451" i="124"/>
  <c r="B452" i="124" s="1"/>
  <c r="F91" i="126" s="1"/>
  <c r="E1045" i="81"/>
  <c r="I1045" i="81" s="1"/>
  <c r="I1046" i="81" s="1"/>
  <c r="B1046" i="81" s="1"/>
  <c r="B1047" i="81" s="1"/>
  <c r="E192" i="86" s="1"/>
  <c r="F246" i="125"/>
  <c r="E339" i="140"/>
  <c r="F339" i="140" s="1"/>
  <c r="E339" i="152"/>
  <c r="F339" i="152" s="1"/>
  <c r="E40" i="142"/>
  <c r="D40" i="142"/>
  <c r="C40" i="142"/>
  <c r="E1010" i="81"/>
  <c r="I1010" i="81" s="1"/>
  <c r="I1011" i="81" s="1"/>
  <c r="B1011" i="81"/>
  <c r="B1012" i="81" s="1"/>
  <c r="E189" i="86" s="1"/>
  <c r="E1535" i="123"/>
  <c r="I1535" i="123" s="1"/>
  <c r="I1536" i="123" s="1"/>
  <c r="B1536" i="123" s="1"/>
  <c r="B1537" i="123" s="1"/>
  <c r="E870" i="81"/>
  <c r="I870" i="81" s="1"/>
  <c r="I871" i="81" s="1"/>
  <c r="B871" i="81"/>
  <c r="B872" i="81" s="1"/>
  <c r="E180" i="86" s="1"/>
  <c r="F79" i="126"/>
  <c r="E133" i="118"/>
  <c r="F133" i="118" s="1"/>
  <c r="E530" i="152"/>
  <c r="F530" i="152" s="1"/>
  <c r="G96" i="126"/>
  <c r="E530" i="140"/>
  <c r="F530" i="140" s="1"/>
  <c r="E548" i="113"/>
  <c r="F548" i="113" s="1"/>
  <c r="F187" i="86"/>
  <c r="E573" i="152"/>
  <c r="F573" i="152" s="1"/>
  <c r="E573" i="140"/>
  <c r="F573" i="140" s="1"/>
  <c r="E524" i="152"/>
  <c r="F524" i="152" s="1"/>
  <c r="G90" i="126"/>
  <c r="E524" i="140"/>
  <c r="F524" i="140" s="1"/>
  <c r="E74" i="140"/>
  <c r="F74" i="140" s="1"/>
  <c r="F140" i="118"/>
  <c r="E74" i="152"/>
  <c r="F74" i="152" s="1"/>
  <c r="E76" i="152"/>
  <c r="F76" i="152" s="1"/>
  <c r="E76" i="140"/>
  <c r="F76" i="140" s="1"/>
  <c r="F142" i="118"/>
  <c r="E373" i="137"/>
  <c r="I373" i="137" s="1"/>
  <c r="I374" i="137" s="1"/>
  <c r="B374" i="137" s="1"/>
  <c r="B375" i="137" s="1"/>
  <c r="E145" i="118" s="1"/>
  <c r="E963" i="81"/>
  <c r="I963" i="81" s="1"/>
  <c r="I964" i="81" s="1"/>
  <c r="B964" i="81" s="1"/>
  <c r="B965" i="81" s="1"/>
  <c r="E528" i="140"/>
  <c r="F528" i="140" s="1"/>
  <c r="G94" i="126"/>
  <c r="E528" i="152"/>
  <c r="F528" i="152" s="1"/>
  <c r="E335" i="81"/>
  <c r="I335" i="81" s="1"/>
  <c r="I336" i="81" s="1"/>
  <c r="B336" i="81" s="1"/>
  <c r="B337" i="81" s="1"/>
  <c r="E45" i="86" s="1"/>
  <c r="K18" i="129"/>
  <c r="K10" i="133"/>
  <c r="L10" i="133" s="1"/>
  <c r="K17" i="129"/>
  <c r="F157" i="125"/>
  <c r="F158" i="125" s="1"/>
  <c r="B678" i="130"/>
  <c r="B679" i="130" s="1"/>
  <c r="E88" i="125" s="1"/>
  <c r="E210" i="123"/>
  <c r="I210" i="123" s="1"/>
  <c r="I217" i="123" s="1"/>
  <c r="B217" i="123" s="1"/>
  <c r="B218" i="123" s="1"/>
  <c r="E64" i="137"/>
  <c r="I64" i="137" s="1"/>
  <c r="I65" i="137" s="1"/>
  <c r="B65" i="137"/>
  <c r="B66" i="137" s="1"/>
  <c r="E128" i="118" s="1"/>
  <c r="F128" i="118" s="1"/>
  <c r="E114" i="140"/>
  <c r="F114" i="140" s="1"/>
  <c r="E62" i="113"/>
  <c r="F62" i="113" s="1"/>
  <c r="F24" i="86"/>
  <c r="E114" i="152"/>
  <c r="F114" i="152" s="1"/>
  <c r="E548" i="140"/>
  <c r="F548" i="140" s="1"/>
  <c r="F162" i="86"/>
  <c r="E548" i="152"/>
  <c r="F548" i="152" s="1"/>
  <c r="E1472" i="123"/>
  <c r="I1472" i="123" s="1"/>
  <c r="I1474" i="123" s="1"/>
  <c r="B1474" i="123" s="1"/>
  <c r="B1475" i="123" s="1"/>
  <c r="F152" i="118"/>
  <c r="E86" i="152"/>
  <c r="F86" i="152" s="1"/>
  <c r="E86" i="140"/>
  <c r="F86" i="140" s="1"/>
  <c r="E1671" i="123"/>
  <c r="I1671" i="123" s="1"/>
  <c r="I1675" i="123" s="1"/>
  <c r="B1675" i="123" s="1"/>
  <c r="B1676" i="123" s="1"/>
  <c r="E628" i="130"/>
  <c r="I628" i="130" s="1"/>
  <c r="I629" i="130" s="1"/>
  <c r="B629" i="130" s="1"/>
  <c r="B630" i="130" s="1"/>
  <c r="E85" i="125" s="1"/>
  <c r="F120" i="86"/>
  <c r="E432" i="113"/>
  <c r="F432" i="113" s="1"/>
  <c r="E855" i="123"/>
  <c r="I855" i="123" s="1"/>
  <c r="I861" i="123" s="1"/>
  <c r="B861" i="123" s="1"/>
  <c r="B862" i="123" s="1"/>
  <c r="E516" i="152"/>
  <c r="F516" i="152" s="1"/>
  <c r="G82" i="126"/>
  <c r="E516" i="140"/>
  <c r="F516" i="140" s="1"/>
  <c r="E130" i="118"/>
  <c r="F130" i="118" s="1"/>
  <c r="F81" i="126"/>
  <c r="E543" i="113"/>
  <c r="F543" i="113" s="1"/>
  <c r="E570" i="152"/>
  <c r="F570" i="152" s="1"/>
  <c r="F184" i="86"/>
  <c r="E570" i="140"/>
  <c r="F570" i="140" s="1"/>
  <c r="E95" i="140"/>
  <c r="F95" i="140" s="1"/>
  <c r="F161" i="118"/>
  <c r="E95" i="152"/>
  <c r="F95" i="152" s="1"/>
  <c r="E183" i="137"/>
  <c r="I183" i="137" s="1"/>
  <c r="I184" i="137" s="1"/>
  <c r="B184" i="137" s="1"/>
  <c r="B185" i="137" s="1"/>
  <c r="E1454" i="123"/>
  <c r="I1454" i="123" s="1"/>
  <c r="I1458" i="123" s="1"/>
  <c r="B1458" i="123" s="1"/>
  <c r="B1459" i="123" s="1"/>
  <c r="E69" i="124"/>
  <c r="I69" i="124" s="1"/>
  <c r="I76" i="124" s="1"/>
  <c r="B76" i="124" s="1"/>
  <c r="B77" i="124" s="1"/>
  <c r="F21" i="126" s="1"/>
  <c r="E918" i="81"/>
  <c r="I918" i="81" s="1"/>
  <c r="I919" i="81" s="1"/>
  <c r="B919" i="81" s="1"/>
  <c r="B920" i="81" s="1"/>
  <c r="E183" i="86" s="1"/>
  <c r="E140" i="152"/>
  <c r="F140" i="152" s="1"/>
  <c r="E140" i="140"/>
  <c r="F140" i="140" s="1"/>
  <c r="F50" i="86"/>
  <c r="E119" i="113"/>
  <c r="F119" i="113" s="1"/>
  <c r="E121" i="113"/>
  <c r="F121" i="113" s="1"/>
  <c r="E142" i="152"/>
  <c r="F142" i="152" s="1"/>
  <c r="F52" i="86"/>
  <c r="E142" i="140"/>
  <c r="F142" i="140" s="1"/>
  <c r="E166" i="137"/>
  <c r="I166" i="137" s="1"/>
  <c r="I167" i="137" s="1"/>
  <c r="B167" i="137" s="1"/>
  <c r="B168" i="137" s="1"/>
  <c r="E134" i="118" s="1"/>
  <c r="F134" i="118" s="1"/>
  <c r="E443" i="137"/>
  <c r="I443" i="137" s="1"/>
  <c r="I444" i="137" s="1"/>
  <c r="B444" i="137"/>
  <c r="B445" i="137" s="1"/>
  <c r="E149" i="118" s="1"/>
  <c r="E193" i="125"/>
  <c r="F98" i="126"/>
  <c r="E508" i="152"/>
  <c r="F508" i="152" s="1"/>
  <c r="F507" i="152" s="1"/>
  <c r="E500" i="113"/>
  <c r="F500" i="113" s="1"/>
  <c r="G51" i="126"/>
  <c r="G50" i="126" s="1"/>
  <c r="E508" i="140"/>
  <c r="F508" i="140" s="1"/>
  <c r="F507" i="140" s="1"/>
  <c r="E730" i="81"/>
  <c r="I730" i="81" s="1"/>
  <c r="I731" i="81" s="1"/>
  <c r="B731" i="81" s="1"/>
  <c r="B732" i="81" s="1"/>
  <c r="F463" i="125"/>
  <c r="E411" i="140"/>
  <c r="F411" i="140" s="1"/>
  <c r="E411" i="152"/>
  <c r="F411" i="152" s="1"/>
  <c r="E399" i="113"/>
  <c r="F399" i="113" s="1"/>
  <c r="E838" i="81"/>
  <c r="I838" i="81" s="1"/>
  <c r="I839" i="81" s="1"/>
  <c r="B839" i="81" s="1"/>
  <c r="B840" i="81" s="1"/>
  <c r="E178" i="86" s="1"/>
  <c r="E80" i="152"/>
  <c r="F80" i="152" s="1"/>
  <c r="E80" i="140"/>
  <c r="F80" i="140" s="1"/>
  <c r="F146" i="118"/>
  <c r="E576" i="152"/>
  <c r="F576" i="152" s="1"/>
  <c r="E551" i="113"/>
  <c r="F551" i="113" s="1"/>
  <c r="F190" i="86"/>
  <c r="E576" i="140"/>
  <c r="F576" i="140" s="1"/>
  <c r="E482" i="124"/>
  <c r="I482" i="124" s="1"/>
  <c r="I483" i="124" s="1"/>
  <c r="B483" i="124" s="1"/>
  <c r="B484" i="124" s="1"/>
  <c r="F93" i="126" s="1"/>
  <c r="E1086" i="123"/>
  <c r="I1086" i="123" s="1"/>
  <c r="I1087" i="123" s="1"/>
  <c r="B1087" i="123" s="1"/>
  <c r="B1088" i="123" s="1"/>
  <c r="E265" i="113"/>
  <c r="F265" i="113" s="1"/>
  <c r="E313" i="152"/>
  <c r="F313" i="152" s="1"/>
  <c r="E313" i="140"/>
  <c r="F313" i="140" s="1"/>
  <c r="F220" i="125"/>
  <c r="F371" i="125"/>
  <c r="E377" i="140"/>
  <c r="F377" i="140" s="1"/>
  <c r="E377" i="152"/>
  <c r="F377" i="152" s="1"/>
  <c r="E306" i="152"/>
  <c r="F306" i="152" s="1"/>
  <c r="E306" i="140"/>
  <c r="F306" i="140" s="1"/>
  <c r="E257" i="113"/>
  <c r="F257" i="113" s="1"/>
  <c r="F213" i="125"/>
  <c r="E293" i="152"/>
  <c r="F293" i="152" s="1"/>
  <c r="E293" i="140"/>
  <c r="F293" i="140" s="1"/>
  <c r="F200" i="125"/>
  <c r="E245" i="113"/>
  <c r="F245" i="113" s="1"/>
  <c r="E166" i="140"/>
  <c r="F166" i="140" s="1"/>
  <c r="F28" i="125"/>
  <c r="E166" i="152"/>
  <c r="F166" i="152" s="1"/>
  <c r="E151" i="113"/>
  <c r="F151" i="113" s="1"/>
  <c r="F225" i="125"/>
  <c r="E270" i="113"/>
  <c r="F270" i="113" s="1"/>
  <c r="E318" i="152"/>
  <c r="F318" i="152" s="1"/>
  <c r="E318" i="140"/>
  <c r="F318" i="140" s="1"/>
  <c r="D49" i="121"/>
  <c r="D48" i="1"/>
  <c r="B176" i="6"/>
  <c r="F466" i="125"/>
  <c r="E414" i="152"/>
  <c r="F414" i="152" s="1"/>
  <c r="E414" i="140"/>
  <c r="F414" i="140" s="1"/>
  <c r="E402" i="113"/>
  <c r="F402" i="113" s="1"/>
  <c r="E373" i="152"/>
  <c r="F373" i="152" s="1"/>
  <c r="F367" i="125"/>
  <c r="E373" i="140"/>
  <c r="F373" i="140" s="1"/>
  <c r="E302" i="152"/>
  <c r="F302" i="152" s="1"/>
  <c r="E253" i="113"/>
  <c r="F253" i="113" s="1"/>
  <c r="E302" i="140"/>
  <c r="F302" i="140" s="1"/>
  <c r="F209" i="125"/>
  <c r="E50" i="125"/>
  <c r="E23" i="86"/>
  <c r="E91" i="86"/>
  <c r="E64" i="125"/>
  <c r="E211" i="140"/>
  <c r="F211" i="140" s="1"/>
  <c r="E211" i="152"/>
  <c r="F211" i="152" s="1"/>
  <c r="F73" i="125"/>
  <c r="E16" i="86"/>
  <c r="E155" i="86"/>
  <c r="E83" i="86"/>
  <c r="E361" i="152"/>
  <c r="F361" i="152" s="1"/>
  <c r="F360" i="152" s="1"/>
  <c r="F355" i="125"/>
  <c r="E361" i="140"/>
  <c r="F361" i="140" s="1"/>
  <c r="F360" i="140" s="1"/>
  <c r="E87" i="86"/>
  <c r="E159" i="86"/>
  <c r="E20" i="86"/>
  <c r="F242" i="125"/>
  <c r="E335" i="140"/>
  <c r="F335" i="140" s="1"/>
  <c r="E335" i="152"/>
  <c r="F335" i="152" s="1"/>
  <c r="E288" i="113"/>
  <c r="F288" i="113" s="1"/>
  <c r="B58" i="122"/>
  <c r="B59" i="122" s="1"/>
  <c r="E334" i="140"/>
  <c r="F334" i="140" s="1"/>
  <c r="E286" i="113"/>
  <c r="F286" i="113" s="1"/>
  <c r="E334" i="152"/>
  <c r="F334" i="152" s="1"/>
  <c r="F241" i="125"/>
  <c r="E303" i="140"/>
  <c r="F303" i="140" s="1"/>
  <c r="F210" i="125"/>
  <c r="E303" i="152"/>
  <c r="F303" i="152" s="1"/>
  <c r="E254" i="113"/>
  <c r="F254" i="113" s="1"/>
  <c r="E382" i="152"/>
  <c r="F382" i="152" s="1"/>
  <c r="E382" i="140"/>
  <c r="F382" i="140" s="1"/>
  <c r="F376" i="125"/>
  <c r="E96" i="86"/>
  <c r="E28" i="86"/>
  <c r="E166" i="86"/>
  <c r="B143" i="122"/>
  <c r="B144" i="122" s="1"/>
  <c r="E219" i="152"/>
  <c r="F219" i="152" s="1"/>
  <c r="F81" i="125"/>
  <c r="E219" i="140"/>
  <c r="F219" i="140" s="1"/>
  <c r="E172" i="113"/>
  <c r="F172" i="113" s="1"/>
  <c r="E290" i="152"/>
  <c r="F290" i="152" s="1"/>
  <c r="E242" i="113"/>
  <c r="F242" i="113" s="1"/>
  <c r="E290" i="140"/>
  <c r="F290" i="140" s="1"/>
  <c r="F197" i="125"/>
  <c r="E298" i="152"/>
  <c r="F298" i="152" s="1"/>
  <c r="E250" i="113"/>
  <c r="F250" i="113" s="1"/>
  <c r="E298" i="140"/>
  <c r="F298" i="140" s="1"/>
  <c r="F205" i="125"/>
  <c r="E252" i="113"/>
  <c r="F252" i="113" s="1"/>
  <c r="E300" i="152"/>
  <c r="F300" i="152" s="1"/>
  <c r="F207" i="125"/>
  <c r="E300" i="140"/>
  <c r="F300" i="140" s="1"/>
  <c r="E229" i="152"/>
  <c r="F229" i="152" s="1"/>
  <c r="E229" i="140"/>
  <c r="F229" i="140" s="1"/>
  <c r="E182" i="113"/>
  <c r="F182" i="113" s="1"/>
  <c r="F91" i="125"/>
  <c r="F198" i="125"/>
  <c r="E291" i="152"/>
  <c r="F291" i="152" s="1"/>
  <c r="E243" i="113"/>
  <c r="F243" i="113" s="1"/>
  <c r="E291" i="140"/>
  <c r="F291" i="140" s="1"/>
  <c r="B135" i="6"/>
  <c r="D37" i="121"/>
  <c r="E288" i="152"/>
  <c r="F288" i="152" s="1"/>
  <c r="E288" i="140"/>
  <c r="F288" i="140" s="1"/>
  <c r="F195" i="125"/>
  <c r="E240" i="113"/>
  <c r="F240" i="113" s="1"/>
  <c r="E365" i="152"/>
  <c r="F365" i="152" s="1"/>
  <c r="F364" i="152" s="1"/>
  <c r="F359" i="125"/>
  <c r="E365" i="140"/>
  <c r="F365" i="140" s="1"/>
  <c r="F364" i="140" s="1"/>
  <c r="F59" i="118"/>
  <c r="F352" i="125"/>
  <c r="E358" i="152"/>
  <c r="F358" i="152" s="1"/>
  <c r="E358" i="140"/>
  <c r="F358" i="140" s="1"/>
  <c r="E351" i="152"/>
  <c r="F351" i="152" s="1"/>
  <c r="E351" i="140"/>
  <c r="F351" i="140" s="1"/>
  <c r="F345" i="125"/>
  <c r="E375" i="152"/>
  <c r="F375" i="152" s="1"/>
  <c r="F369" i="125"/>
  <c r="E375" i="140"/>
  <c r="F375" i="140" s="1"/>
  <c r="E324" i="152"/>
  <c r="F324" i="152" s="1"/>
  <c r="F231" i="125"/>
  <c r="E324" i="140"/>
  <c r="F324" i="140" s="1"/>
  <c r="E276" i="113"/>
  <c r="F276" i="113" s="1"/>
  <c r="B51" i="6"/>
  <c r="D42" i="1"/>
  <c r="D43" i="121"/>
  <c r="E234" i="140"/>
  <c r="F234" i="140" s="1"/>
  <c r="E234" i="152"/>
  <c r="F234" i="152" s="1"/>
  <c r="F96" i="125"/>
  <c r="E187" i="113"/>
  <c r="F187" i="113" s="1"/>
  <c r="E379" i="152"/>
  <c r="F379" i="152" s="1"/>
  <c r="F373" i="125"/>
  <c r="E379" i="140"/>
  <c r="F379" i="140" s="1"/>
  <c r="E241" i="113"/>
  <c r="F241" i="113" s="1"/>
  <c r="E289" i="140"/>
  <c r="F289" i="140" s="1"/>
  <c r="E289" i="152"/>
  <c r="F289" i="152" s="1"/>
  <c r="F196" i="125"/>
  <c r="E367" i="152"/>
  <c r="F367" i="152" s="1"/>
  <c r="F366" i="152" s="1"/>
  <c r="F361" i="125"/>
  <c r="E367" i="140"/>
  <c r="F367" i="140" s="1"/>
  <c r="F366" i="140" s="1"/>
  <c r="F377" i="125"/>
  <c r="E383" i="152"/>
  <c r="F383" i="152" s="1"/>
  <c r="E383" i="140"/>
  <c r="F383" i="140" s="1"/>
  <c r="E272" i="152"/>
  <c r="F272" i="152" s="1"/>
  <c r="E272" i="140"/>
  <c r="F272" i="140" s="1"/>
  <c r="E223" i="113"/>
  <c r="F223" i="113" s="1"/>
  <c r="F179" i="125"/>
  <c r="B23" i="6"/>
  <c r="D45" i="121"/>
  <c r="D44" i="1"/>
  <c r="F100" i="125"/>
  <c r="E238" i="152"/>
  <c r="F238" i="152" s="1"/>
  <c r="E238" i="140"/>
  <c r="F238" i="140" s="1"/>
  <c r="E191" i="113"/>
  <c r="F191" i="113" s="1"/>
  <c r="E330" i="152"/>
  <c r="F330" i="152" s="1"/>
  <c r="F237" i="125"/>
  <c r="E330" i="140"/>
  <c r="F330" i="140" s="1"/>
  <c r="E282" i="113"/>
  <c r="F282" i="113" s="1"/>
  <c r="F194" i="125"/>
  <c r="E287" i="140"/>
  <c r="F287" i="140" s="1"/>
  <c r="E287" i="152"/>
  <c r="F287" i="152" s="1"/>
  <c r="E239" i="113"/>
  <c r="F239" i="113" s="1"/>
  <c r="E314" i="152"/>
  <c r="F314" i="152" s="1"/>
  <c r="E266" i="113"/>
  <c r="F266" i="113" s="1"/>
  <c r="F221" i="125"/>
  <c r="E314" i="140"/>
  <c r="F314" i="140" s="1"/>
  <c r="F460" i="125"/>
  <c r="E408" i="152"/>
  <c r="F408" i="152" s="1"/>
  <c r="E396" i="113"/>
  <c r="F396" i="113" s="1"/>
  <c r="E408" i="140"/>
  <c r="F408" i="140" s="1"/>
  <c r="F214" i="125"/>
  <c r="E307" i="140"/>
  <c r="F307" i="140" s="1"/>
  <c r="E307" i="152"/>
  <c r="F307" i="152" s="1"/>
  <c r="E258" i="113"/>
  <c r="F258" i="113" s="1"/>
  <c r="E279" i="140"/>
  <c r="F279" i="140" s="1"/>
  <c r="F186" i="125"/>
  <c r="E231" i="113"/>
  <c r="F231" i="113" s="1"/>
  <c r="E279" i="152"/>
  <c r="F279" i="152" s="1"/>
  <c r="B126" i="122"/>
  <c r="B127" i="122" s="1"/>
  <c r="E359" i="152"/>
  <c r="F359" i="152" s="1"/>
  <c r="F353" i="125"/>
  <c r="E359" i="140"/>
  <c r="F359" i="140" s="1"/>
  <c r="D46" i="1"/>
  <c r="D47" i="121"/>
  <c r="E2119" i="130" s="1"/>
  <c r="G2119" i="130" s="1"/>
  <c r="B150" i="6"/>
  <c r="E261" i="113"/>
  <c r="F261" i="113" s="1"/>
  <c r="E309" i="152"/>
  <c r="F309" i="152" s="1"/>
  <c r="F216" i="125"/>
  <c r="E309" i="140"/>
  <c r="F309" i="140" s="1"/>
  <c r="E184" i="125"/>
  <c r="E452" i="125"/>
  <c r="E150" i="113"/>
  <c r="F150" i="113" s="1"/>
  <c r="E165" i="140"/>
  <c r="F165" i="140" s="1"/>
  <c r="F27" i="125"/>
  <c r="E165" i="152"/>
  <c r="F165" i="152" s="1"/>
  <c r="E224" i="113"/>
  <c r="F224" i="113" s="1"/>
  <c r="F180" i="125"/>
  <c r="E273" i="152"/>
  <c r="F273" i="152" s="1"/>
  <c r="E273" i="140"/>
  <c r="F273" i="140" s="1"/>
  <c r="E237" i="140"/>
  <c r="F237" i="140" s="1"/>
  <c r="F99" i="125"/>
  <c r="E237" i="152"/>
  <c r="F237" i="152" s="1"/>
  <c r="E190" i="113"/>
  <c r="F190" i="113" s="1"/>
  <c r="E275" i="113"/>
  <c r="F275" i="113" s="1"/>
  <c r="E323" i="140"/>
  <c r="F323" i="140" s="1"/>
  <c r="E323" i="152"/>
  <c r="F323" i="152" s="1"/>
  <c r="F230" i="125"/>
  <c r="E397" i="113"/>
  <c r="F397" i="113" s="1"/>
  <c r="E409" i="152"/>
  <c r="F409" i="152" s="1"/>
  <c r="E409" i="140"/>
  <c r="F409" i="140" s="1"/>
  <c r="F461" i="125"/>
  <c r="F248" i="125"/>
  <c r="E341" i="152"/>
  <c r="F341" i="152" s="1"/>
  <c r="E341" i="140"/>
  <c r="F341" i="140" s="1"/>
  <c r="E236" i="152"/>
  <c r="F236" i="152" s="1"/>
  <c r="F98" i="125"/>
  <c r="E189" i="113"/>
  <c r="F189" i="113" s="1"/>
  <c r="E236" i="140"/>
  <c r="F236" i="140" s="1"/>
  <c r="K149" i="130"/>
  <c r="E23" i="125"/>
  <c r="E285" i="152"/>
  <c r="F285" i="152" s="1"/>
  <c r="E285" i="140"/>
  <c r="F285" i="140" s="1"/>
  <c r="E237" i="113"/>
  <c r="F237" i="113" s="1"/>
  <c r="F192" i="125"/>
  <c r="E403" i="152"/>
  <c r="F403" i="152" s="1"/>
  <c r="E403" i="140"/>
  <c r="F403" i="140" s="1"/>
  <c r="E391" i="113"/>
  <c r="F391" i="113" s="1"/>
  <c r="F455" i="125"/>
  <c r="B79" i="6"/>
  <c r="E2433" i="130" s="1"/>
  <c r="G2433" i="130" s="1"/>
  <c r="G2434" i="130" s="1"/>
  <c r="B2434" i="130" s="1"/>
  <c r="B2435" i="130" s="1"/>
  <c r="D41" i="121"/>
  <c r="D40" i="1"/>
  <c r="D37" i="1"/>
  <c r="D38" i="121"/>
  <c r="B121" i="6"/>
  <c r="E280" i="152"/>
  <c r="F280" i="152" s="1"/>
  <c r="E280" i="140"/>
  <c r="F280" i="140" s="1"/>
  <c r="F187" i="125"/>
  <c r="E232" i="113"/>
  <c r="F232" i="113" s="1"/>
  <c r="E327" i="152"/>
  <c r="F327" i="152" s="1"/>
  <c r="E327" i="140"/>
  <c r="F327" i="140" s="1"/>
  <c r="F234" i="125"/>
  <c r="E279" i="113"/>
  <c r="F279" i="113" s="1"/>
  <c r="E473" i="113"/>
  <c r="F473" i="113" s="1"/>
  <c r="F472" i="113" s="1"/>
  <c r="E498" i="152"/>
  <c r="F498" i="152" s="1"/>
  <c r="F497" i="152" s="1"/>
  <c r="E498" i="140"/>
  <c r="F498" i="140" s="1"/>
  <c r="F497" i="140" s="1"/>
  <c r="G41" i="126"/>
  <c r="G40" i="126" s="1"/>
  <c r="E248" i="152"/>
  <c r="F248" i="152" s="1"/>
  <c r="E248" i="140"/>
  <c r="F248" i="140" s="1"/>
  <c r="F110" i="125"/>
  <c r="E201" i="113"/>
  <c r="F201" i="113" s="1"/>
  <c r="B109" i="122"/>
  <c r="B110" i="122" s="1"/>
  <c r="E250" i="140"/>
  <c r="F250" i="140" s="1"/>
  <c r="E250" i="152"/>
  <c r="F250" i="152" s="1"/>
  <c r="F112" i="125"/>
  <c r="E203" i="113"/>
  <c r="F203" i="113" s="1"/>
  <c r="E363" i="152"/>
  <c r="F363" i="152" s="1"/>
  <c r="F362" i="152" s="1"/>
  <c r="F357" i="125"/>
  <c r="E363" i="140"/>
  <c r="F363" i="140" s="1"/>
  <c r="F362" i="140" s="1"/>
  <c r="E233" i="152"/>
  <c r="F233" i="152" s="1"/>
  <c r="E233" i="140"/>
  <c r="F233" i="140" s="1"/>
  <c r="E186" i="113"/>
  <c r="F186" i="113" s="1"/>
  <c r="F95" i="125"/>
  <c r="E304" i="152"/>
  <c r="F304" i="152" s="1"/>
  <c r="E304" i="140"/>
  <c r="F304" i="140" s="1"/>
  <c r="F211" i="125"/>
  <c r="E255" i="113"/>
  <c r="F255" i="113" s="1"/>
  <c r="F26" i="125"/>
  <c r="E149" i="113"/>
  <c r="F149" i="113" s="1"/>
  <c r="E164" i="140"/>
  <c r="F164" i="140" s="1"/>
  <c r="E164" i="152"/>
  <c r="F164" i="152" s="1"/>
  <c r="E264" i="113"/>
  <c r="F264" i="113" s="1"/>
  <c r="E312" i="152"/>
  <c r="F312" i="152" s="1"/>
  <c r="F219" i="125"/>
  <c r="E312" i="140"/>
  <c r="F312" i="140" s="1"/>
  <c r="E353" i="140"/>
  <c r="F353" i="140" s="1"/>
  <c r="E353" i="152"/>
  <c r="F353" i="152" s="1"/>
  <c r="F347" i="125"/>
  <c r="E333" i="140"/>
  <c r="F333" i="140" s="1"/>
  <c r="F240" i="125"/>
  <c r="E333" i="152"/>
  <c r="F333" i="152" s="1"/>
  <c r="E285" i="113"/>
  <c r="F285" i="113" s="1"/>
  <c r="E295" i="140"/>
  <c r="F295" i="140" s="1"/>
  <c r="E295" i="152"/>
  <c r="F295" i="152" s="1"/>
  <c r="F202" i="125"/>
  <c r="E247" i="113"/>
  <c r="F247" i="113" s="1"/>
  <c r="E319" i="152"/>
  <c r="F319" i="152" s="1"/>
  <c r="E271" i="113"/>
  <c r="F271" i="113" s="1"/>
  <c r="E319" i="140"/>
  <c r="F319" i="140" s="1"/>
  <c r="F226" i="125"/>
  <c r="E241" i="140"/>
  <c r="F241" i="140" s="1"/>
  <c r="E194" i="113"/>
  <c r="F194" i="113" s="1"/>
  <c r="E241" i="152"/>
  <c r="F241" i="152" s="1"/>
  <c r="F103" i="125"/>
  <c r="D39" i="121"/>
  <c r="E208" i="81" s="1"/>
  <c r="G208" i="81" s="1"/>
  <c r="G209" i="81" s="1"/>
  <c r="B209" i="81" s="1"/>
  <c r="B210" i="81" s="1"/>
  <c r="B107" i="6"/>
  <c r="D38" i="1"/>
  <c r="E296" i="140"/>
  <c r="F296" i="140" s="1"/>
  <c r="E296" i="152"/>
  <c r="F296" i="152" s="1"/>
  <c r="F203" i="125"/>
  <c r="E248" i="113"/>
  <c r="F248" i="113" s="1"/>
  <c r="E158" i="86"/>
  <c r="E19" i="86"/>
  <c r="E86" i="86"/>
  <c r="E317" i="152"/>
  <c r="F317" i="152" s="1"/>
  <c r="E269" i="113"/>
  <c r="F269" i="113" s="1"/>
  <c r="E317" i="140"/>
  <c r="F317" i="140" s="1"/>
  <c r="F224" i="125"/>
  <c r="E240" i="152"/>
  <c r="F240" i="152" s="1"/>
  <c r="E240" i="140"/>
  <c r="F240" i="140" s="1"/>
  <c r="E193" i="113"/>
  <c r="F193" i="113" s="1"/>
  <c r="F102" i="125"/>
  <c r="D41" i="1"/>
  <c r="D42" i="121"/>
  <c r="B65" i="6"/>
  <c r="E97" i="124" s="1"/>
  <c r="G97" i="124" s="1"/>
  <c r="G98" i="124" s="1"/>
  <c r="B98" i="124" s="1"/>
  <c r="B99" i="124" s="1"/>
  <c r="F29" i="126" s="1"/>
  <c r="B175" i="122"/>
  <c r="B176" i="122" s="1"/>
  <c r="E260" i="113"/>
  <c r="F260" i="113" s="1"/>
  <c r="E308" i="140"/>
  <c r="F308" i="140" s="1"/>
  <c r="E308" i="152"/>
  <c r="F308" i="152" s="1"/>
  <c r="F215" i="125"/>
  <c r="F24" i="125"/>
  <c r="E162" i="152"/>
  <c r="F162" i="152" s="1"/>
  <c r="E162" i="140"/>
  <c r="F162" i="140" s="1"/>
  <c r="E147" i="113"/>
  <c r="F147" i="113" s="1"/>
  <c r="F368" i="125"/>
  <c r="E374" i="152"/>
  <c r="F374" i="152" s="1"/>
  <c r="E374" i="140"/>
  <c r="F374" i="140" s="1"/>
  <c r="E244" i="140"/>
  <c r="F244" i="140" s="1"/>
  <c r="F106" i="125"/>
  <c r="E244" i="152"/>
  <c r="F244" i="152" s="1"/>
  <c r="E197" i="113"/>
  <c r="F197" i="113" s="1"/>
  <c r="F108" i="125"/>
  <c r="E246" i="140"/>
  <c r="F246" i="140" s="1"/>
  <c r="E199" i="113"/>
  <c r="F199" i="113" s="1"/>
  <c r="E246" i="152"/>
  <c r="F246" i="152" s="1"/>
  <c r="E282" i="140"/>
  <c r="F282" i="140" s="1"/>
  <c r="E234" i="113"/>
  <c r="F234" i="113" s="1"/>
  <c r="E282" i="152"/>
  <c r="F282" i="152" s="1"/>
  <c r="F189" i="125"/>
  <c r="J218" i="142"/>
  <c r="O218" i="142" s="1"/>
  <c r="B216" i="142"/>
  <c r="K15" i="129"/>
  <c r="G11" i="133"/>
  <c r="I9" i="133"/>
  <c r="K9" i="133" s="1"/>
  <c r="E284" i="152"/>
  <c r="F284" i="152" s="1"/>
  <c r="E284" i="140"/>
  <c r="F284" i="140" s="1"/>
  <c r="F191" i="125"/>
  <c r="E236" i="113"/>
  <c r="F236" i="113" s="1"/>
  <c r="E200" i="152"/>
  <c r="F200" i="152" s="1"/>
  <c r="E200" i="140"/>
  <c r="F200" i="140" s="1"/>
  <c r="F62" i="125"/>
  <c r="B163" i="6"/>
  <c r="E419" i="130" s="1"/>
  <c r="G419" i="130" s="1"/>
  <c r="G424" i="130" s="1"/>
  <c r="B424" i="130" s="1"/>
  <c r="B425" i="130" s="1"/>
  <c r="E58" i="125" s="1"/>
  <c r="D48" i="121"/>
  <c r="D47" i="1"/>
  <c r="E180" i="113"/>
  <c r="F180" i="113" s="1"/>
  <c r="E227" i="152"/>
  <c r="F227" i="152" s="1"/>
  <c r="E227" i="140"/>
  <c r="F227" i="140" s="1"/>
  <c r="F89" i="125"/>
  <c r="F22" i="125"/>
  <c r="E145" i="113"/>
  <c r="F145" i="113" s="1"/>
  <c r="E160" i="152"/>
  <c r="F160" i="152" s="1"/>
  <c r="E160" i="140"/>
  <c r="F160" i="140" s="1"/>
  <c r="E121" i="86"/>
  <c r="E190" i="125"/>
  <c r="E443" i="113"/>
  <c r="F443" i="113" s="1"/>
  <c r="G12" i="126"/>
  <c r="E469" i="152"/>
  <c r="F469" i="152" s="1"/>
  <c r="E469" i="140"/>
  <c r="F469" i="140" s="1"/>
  <c r="E163" i="140"/>
  <c r="F163" i="140" s="1"/>
  <c r="F25" i="125"/>
  <c r="E163" i="152"/>
  <c r="F163" i="152" s="1"/>
  <c r="E148" i="113"/>
  <c r="F148" i="113" s="1"/>
  <c r="B271" i="142"/>
  <c r="L273" i="142"/>
  <c r="O273" i="142" s="1"/>
  <c r="I14" i="129"/>
  <c r="E10" i="145"/>
  <c r="G21" i="129"/>
  <c r="E369" i="140"/>
  <c r="F369" i="140" s="1"/>
  <c r="F368" i="140" s="1"/>
  <c r="E369" i="152"/>
  <c r="F369" i="152" s="1"/>
  <c r="F368" i="152" s="1"/>
  <c r="F363" i="125"/>
  <c r="E325" i="140"/>
  <c r="F325" i="140" s="1"/>
  <c r="E325" i="152"/>
  <c r="F325" i="152" s="1"/>
  <c r="F232" i="125"/>
  <c r="E277" i="113"/>
  <c r="F277" i="113" s="1"/>
  <c r="E428" i="152"/>
  <c r="F428" i="152" s="1"/>
  <c r="F88" i="86"/>
  <c r="E428" i="140"/>
  <c r="F428" i="140" s="1"/>
  <c r="E365" i="113"/>
  <c r="F365" i="113" s="1"/>
  <c r="F206" i="125"/>
  <c r="E299" i="140"/>
  <c r="F299" i="140" s="1"/>
  <c r="E251" i="113"/>
  <c r="F251" i="113" s="1"/>
  <c r="E299" i="152"/>
  <c r="F299" i="152" s="1"/>
  <c r="E276" i="152"/>
  <c r="F276" i="152" s="1"/>
  <c r="E276" i="140"/>
  <c r="F276" i="140" s="1"/>
  <c r="F183" i="125"/>
  <c r="E227" i="113"/>
  <c r="F227" i="113" s="1"/>
  <c r="E311" i="152"/>
  <c r="F311" i="152" s="1"/>
  <c r="E311" i="140"/>
  <c r="F311" i="140" s="1"/>
  <c r="F218" i="125"/>
  <c r="E263" i="113"/>
  <c r="F263" i="113" s="1"/>
  <c r="E321" i="152"/>
  <c r="F321" i="152" s="1"/>
  <c r="E321" i="140"/>
  <c r="F321" i="140" s="1"/>
  <c r="F228" i="125"/>
  <c r="E273" i="113"/>
  <c r="F273" i="113" s="1"/>
  <c r="E245" i="152"/>
  <c r="F245" i="152" s="1"/>
  <c r="F107" i="125"/>
  <c r="E245" i="140"/>
  <c r="F245" i="140" s="1"/>
  <c r="E198" i="113"/>
  <c r="F198" i="113" s="1"/>
  <c r="F109" i="125"/>
  <c r="E247" i="140"/>
  <c r="F247" i="140" s="1"/>
  <c r="E247" i="152"/>
  <c r="F247" i="152" s="1"/>
  <c r="E200" i="113"/>
  <c r="F200" i="113" s="1"/>
  <c r="F204" i="125"/>
  <c r="E297" i="152"/>
  <c r="F297" i="152" s="1"/>
  <c r="E297" i="140"/>
  <c r="F297" i="140" s="1"/>
  <c r="E249" i="113"/>
  <c r="F249" i="113" s="1"/>
  <c r="J15" i="129"/>
  <c r="L15" i="129" s="1"/>
  <c r="E224" i="142"/>
  <c r="O224" i="142" s="1"/>
  <c r="B222" i="142"/>
  <c r="K17" i="132"/>
  <c r="L17" i="132" s="1"/>
  <c r="M17" i="132" s="1"/>
  <c r="E142" i="142"/>
  <c r="G142" i="142"/>
  <c r="F142" i="142"/>
  <c r="F74" i="125"/>
  <c r="E212" i="152"/>
  <c r="F212" i="152" s="1"/>
  <c r="E212" i="140"/>
  <c r="F212" i="140" s="1"/>
  <c r="E281" i="152"/>
  <c r="F281" i="152" s="1"/>
  <c r="F188" i="125"/>
  <c r="E281" i="140"/>
  <c r="F281" i="140" s="1"/>
  <c r="E233" i="113"/>
  <c r="F233" i="113" s="1"/>
  <c r="E228" i="152"/>
  <c r="F228" i="152" s="1"/>
  <c r="E181" i="113"/>
  <c r="F181" i="113" s="1"/>
  <c r="F90" i="125"/>
  <c r="E228" i="140"/>
  <c r="F228" i="140" s="1"/>
  <c r="E230" i="140"/>
  <c r="F230" i="140" s="1"/>
  <c r="F92" i="125"/>
  <c r="E230" i="152"/>
  <c r="F230" i="152" s="1"/>
  <c r="E183" i="113"/>
  <c r="F183" i="113" s="1"/>
  <c r="E225" i="140"/>
  <c r="F225" i="140" s="1"/>
  <c r="E225" i="152"/>
  <c r="F225" i="152" s="1"/>
  <c r="F87" i="125"/>
  <c r="E178" i="113"/>
  <c r="F178" i="113" s="1"/>
  <c r="E274" i="152"/>
  <c r="F274" i="152" s="1"/>
  <c r="E225" i="113"/>
  <c r="F225" i="113" s="1"/>
  <c r="F181" i="125"/>
  <c r="E274" i="140"/>
  <c r="F274" i="140" s="1"/>
  <c r="E242" i="152"/>
  <c r="F242" i="152" s="1"/>
  <c r="E242" i="140"/>
  <c r="F242" i="140" s="1"/>
  <c r="E195" i="113"/>
  <c r="F195" i="113" s="1"/>
  <c r="F104" i="125"/>
  <c r="E378" i="140"/>
  <c r="F378" i="140" s="1"/>
  <c r="E378" i="152"/>
  <c r="F378" i="152" s="1"/>
  <c r="F372" i="125"/>
  <c r="E387" i="152"/>
  <c r="F387" i="152" s="1"/>
  <c r="F381" i="125"/>
  <c r="E387" i="140"/>
  <c r="F387" i="140" s="1"/>
  <c r="E274" i="113"/>
  <c r="F274" i="113" s="1"/>
  <c r="E322" i="152"/>
  <c r="F322" i="152" s="1"/>
  <c r="E322" i="140"/>
  <c r="F322" i="140" s="1"/>
  <c r="F229" i="125"/>
  <c r="F82" i="125"/>
  <c r="E173" i="113"/>
  <c r="F173" i="113" s="1"/>
  <c r="E220" i="152"/>
  <c r="F220" i="152" s="1"/>
  <c r="E220" i="140"/>
  <c r="F220" i="140" s="1"/>
  <c r="B92" i="122"/>
  <c r="B93" i="122" s="1"/>
  <c r="F380" i="125"/>
  <c r="E386" i="140"/>
  <c r="F386" i="140" s="1"/>
  <c r="E386" i="152"/>
  <c r="F386" i="152" s="1"/>
  <c r="E331" i="152"/>
  <c r="F331" i="152" s="1"/>
  <c r="E283" i="113"/>
  <c r="F283" i="113" s="1"/>
  <c r="E331" i="140"/>
  <c r="F331" i="140" s="1"/>
  <c r="F238" i="125"/>
  <c r="E294" i="152"/>
  <c r="F294" i="152" s="1"/>
  <c r="F201" i="125"/>
  <c r="E294" i="140"/>
  <c r="F294" i="140" s="1"/>
  <c r="E246" i="113"/>
  <c r="F246" i="113" s="1"/>
  <c r="B75" i="122"/>
  <c r="B76" i="122" s="1"/>
  <c r="E85" i="86"/>
  <c r="E18" i="86"/>
  <c r="E157" i="86"/>
  <c r="E329" i="140"/>
  <c r="F329" i="140" s="1"/>
  <c r="E329" i="152"/>
  <c r="F329" i="152" s="1"/>
  <c r="E281" i="113"/>
  <c r="F281" i="113" s="1"/>
  <c r="F236" i="125"/>
  <c r="E243" i="152"/>
  <c r="F243" i="152" s="1"/>
  <c r="E243" i="140"/>
  <c r="F243" i="140" s="1"/>
  <c r="E196" i="113"/>
  <c r="F196" i="113" s="1"/>
  <c r="F105" i="125"/>
  <c r="E143" i="139"/>
  <c r="E15" i="145"/>
  <c r="G15" i="145" s="1"/>
  <c r="I19" i="129"/>
  <c r="I28" i="129" s="1"/>
  <c r="G71" i="126"/>
  <c r="I71" i="126" s="1"/>
  <c r="I70" i="126"/>
  <c r="E389" i="140"/>
  <c r="F389" i="140" s="1"/>
  <c r="F388" i="140" s="1"/>
  <c r="F383" i="125"/>
  <c r="E389" i="152"/>
  <c r="F389" i="152" s="1"/>
  <c r="F388" i="152" s="1"/>
  <c r="F249" i="125"/>
  <c r="E342" i="152"/>
  <c r="F342" i="152" s="1"/>
  <c r="E342" i="140"/>
  <c r="F342" i="140" s="1"/>
  <c r="O221" i="142"/>
  <c r="K20" i="129"/>
  <c r="O279" i="142"/>
  <c r="E301" i="152"/>
  <c r="F301" i="152" s="1"/>
  <c r="E301" i="140"/>
  <c r="F301" i="140" s="1"/>
  <c r="F208" i="125"/>
  <c r="E445" i="152"/>
  <c r="F445" i="152" s="1"/>
  <c r="F105" i="86"/>
  <c r="E445" i="140"/>
  <c r="F445" i="140" s="1"/>
  <c r="E384" i="113"/>
  <c r="F384" i="113" s="1"/>
  <c r="F185" i="125"/>
  <c r="E278" i="152"/>
  <c r="F278" i="152" s="1"/>
  <c r="E278" i="140"/>
  <c r="F278" i="140" s="1"/>
  <c r="E230" i="113"/>
  <c r="F230" i="113" s="1"/>
  <c r="E102" i="81"/>
  <c r="I102" i="81" s="1"/>
  <c r="I104" i="81" s="1"/>
  <c r="B104" i="81" s="1"/>
  <c r="B105" i="81" s="1"/>
  <c r="E316" i="152"/>
  <c r="F316" i="152" s="1"/>
  <c r="E268" i="113"/>
  <c r="F268" i="113" s="1"/>
  <c r="E316" i="140"/>
  <c r="F316" i="140" s="1"/>
  <c r="F223" i="125"/>
  <c r="F11" i="126"/>
  <c r="E11" i="125"/>
  <c r="E164" i="125"/>
  <c r="E49" i="125"/>
  <c r="E275" i="152"/>
  <c r="F275" i="152" s="1"/>
  <c r="E275" i="140"/>
  <c r="F275" i="140" s="1"/>
  <c r="F182" i="125"/>
  <c r="E226" i="113"/>
  <c r="F226" i="113" s="1"/>
  <c r="B190" i="122"/>
  <c r="B191" i="122" s="1"/>
  <c r="I15" i="132"/>
  <c r="I23" i="132" s="1"/>
  <c r="E404" i="152"/>
  <c r="F404" i="152" s="1"/>
  <c r="E404" i="140"/>
  <c r="F404" i="140" s="1"/>
  <c r="F456" i="125"/>
  <c r="E392" i="113"/>
  <c r="F392" i="113" s="1"/>
  <c r="E179" i="113"/>
  <c r="F179" i="113" s="1"/>
  <c r="E226" i="152"/>
  <c r="F226" i="152" s="1"/>
  <c r="E226" i="140"/>
  <c r="F226" i="140" s="1"/>
  <c r="F88" i="125"/>
  <c r="E210" i="140"/>
  <c r="F210" i="140" s="1"/>
  <c r="E210" i="152"/>
  <c r="F210" i="152" s="1"/>
  <c r="F72" i="125"/>
  <c r="E350" i="152"/>
  <c r="F350" i="152" s="1"/>
  <c r="F344" i="125"/>
  <c r="E350" i="140"/>
  <c r="F350" i="140" s="1"/>
  <c r="E385" i="152"/>
  <c r="F385" i="152" s="1"/>
  <c r="E385" i="140"/>
  <c r="F385" i="140" s="1"/>
  <c r="F379" i="125"/>
  <c r="E202" i="113"/>
  <c r="F202" i="113" s="1"/>
  <c r="E249" i="152"/>
  <c r="F249" i="152" s="1"/>
  <c r="F111" i="125"/>
  <c r="E249" i="140"/>
  <c r="F249" i="140" s="1"/>
  <c r="E305" i="152"/>
  <c r="F305" i="152" s="1"/>
  <c r="E305" i="140"/>
  <c r="F305" i="140" s="1"/>
  <c r="F212" i="125"/>
  <c r="E256" i="113"/>
  <c r="F256" i="113" s="1"/>
  <c r="F239" i="125"/>
  <c r="E332" i="140"/>
  <c r="F332" i="140" s="1"/>
  <c r="E332" i="152"/>
  <c r="F332" i="152" s="1"/>
  <c r="E284" i="113"/>
  <c r="F284" i="113" s="1"/>
  <c r="D39" i="1"/>
  <c r="B93" i="6"/>
  <c r="D40" i="121"/>
  <c r="E326" i="152"/>
  <c r="F326" i="152" s="1"/>
  <c r="E326" i="140"/>
  <c r="F326" i="140" s="1"/>
  <c r="F233" i="125"/>
  <c r="E278" i="113"/>
  <c r="F278" i="113" s="1"/>
  <c r="B24" i="122"/>
  <c r="B25" i="122" s="1"/>
  <c r="F60" i="125"/>
  <c r="E198" i="140"/>
  <c r="F198" i="140" s="1"/>
  <c r="E198" i="152"/>
  <c r="F198" i="152" s="1"/>
  <c r="G896" i="152"/>
  <c r="H950" i="152"/>
  <c r="G25" i="126"/>
  <c r="E482" i="152"/>
  <c r="F482" i="152" s="1"/>
  <c r="E482" i="140"/>
  <c r="F482" i="140" s="1"/>
  <c r="E456" i="113"/>
  <c r="F456" i="113" s="1"/>
  <c r="E189" i="152"/>
  <c r="F189" i="152" s="1"/>
  <c r="E189" i="140"/>
  <c r="F189" i="140" s="1"/>
  <c r="F51" i="125"/>
  <c r="E381" i="152"/>
  <c r="F381" i="152" s="1"/>
  <c r="E381" i="140"/>
  <c r="F381" i="140" s="1"/>
  <c r="F375" i="125"/>
  <c r="D43" i="1"/>
  <c r="D44" i="121"/>
  <c r="B37" i="6"/>
  <c r="E332" i="130" s="1"/>
  <c r="G332" i="130" s="1"/>
  <c r="G333" i="130" s="1"/>
  <c r="B333" i="130" s="1"/>
  <c r="B334" i="130" s="1"/>
  <c r="E44" i="125" s="1"/>
  <c r="E292" i="140"/>
  <c r="F292" i="140" s="1"/>
  <c r="F199" i="125"/>
  <c r="E292" i="152"/>
  <c r="F292" i="152" s="1"/>
  <c r="E244" i="113"/>
  <c r="F244" i="113" s="1"/>
  <c r="B41" i="122"/>
  <c r="B42" i="122" s="1"/>
  <c r="E320" i="152"/>
  <c r="F320" i="152" s="1"/>
  <c r="E320" i="140"/>
  <c r="F320" i="140" s="1"/>
  <c r="F227" i="125"/>
  <c r="E272" i="113"/>
  <c r="F272" i="113" s="1"/>
  <c r="E224" i="152"/>
  <c r="F224" i="152" s="1"/>
  <c r="E177" i="113"/>
  <c r="F177" i="113" s="1"/>
  <c r="F86" i="125"/>
  <c r="E224" i="140"/>
  <c r="F224" i="140" s="1"/>
  <c r="B160" i="122"/>
  <c r="B161" i="122" s="1"/>
  <c r="E177" i="125"/>
  <c r="E94" i="125"/>
  <c r="E178" i="125"/>
  <c r="E176" i="125"/>
  <c r="E315" i="152"/>
  <c r="F315" i="152" s="1"/>
  <c r="E315" i="140"/>
  <c r="F315" i="140" s="1"/>
  <c r="F222" i="125"/>
  <c r="E267" i="113"/>
  <c r="F267" i="113" s="1"/>
  <c r="E349" i="152"/>
  <c r="F349" i="152" s="1"/>
  <c r="F343" i="125"/>
  <c r="E349" i="140"/>
  <c r="F349" i="140" s="1"/>
  <c r="E233" i="142"/>
  <c r="O233" i="142" s="1"/>
  <c r="B231" i="142"/>
  <c r="F346" i="125"/>
  <c r="E352" i="152"/>
  <c r="F352" i="152" s="1"/>
  <c r="E352" i="140"/>
  <c r="F352" i="140" s="1"/>
  <c r="E336" i="140"/>
  <c r="F336" i="140" s="1"/>
  <c r="F243" i="125"/>
  <c r="E289" i="113"/>
  <c r="F289" i="113" s="1"/>
  <c r="E336" i="152"/>
  <c r="F336" i="152" s="1"/>
  <c r="E380" i="140"/>
  <c r="F380" i="140" s="1"/>
  <c r="E380" i="152"/>
  <c r="F380" i="152" s="1"/>
  <c r="F374" i="125"/>
  <c r="E199" i="140"/>
  <c r="F199" i="140" s="1"/>
  <c r="E199" i="152"/>
  <c r="F199" i="152" s="1"/>
  <c r="F61" i="125"/>
  <c r="I279" i="146"/>
  <c r="G317" i="146"/>
  <c r="I317" i="146" s="1"/>
  <c r="E328" i="152"/>
  <c r="F328" i="152" s="1"/>
  <c r="E328" i="140"/>
  <c r="F328" i="140" s="1"/>
  <c r="E280" i="113"/>
  <c r="F280" i="113" s="1"/>
  <c r="F235" i="125"/>
  <c r="E251" i="152"/>
  <c r="F251" i="152" s="1"/>
  <c r="E251" i="140"/>
  <c r="F251" i="140" s="1"/>
  <c r="F113" i="125"/>
  <c r="E204" i="113"/>
  <c r="F204" i="113" s="1"/>
  <c r="E310" i="140"/>
  <c r="F310" i="140" s="1"/>
  <c r="E262" i="113"/>
  <c r="F262" i="113" s="1"/>
  <c r="F217" i="125"/>
  <c r="E310" i="152"/>
  <c r="F310" i="152" s="1"/>
  <c r="L18" i="129"/>
  <c r="B280" i="142"/>
  <c r="J20" i="129"/>
  <c r="L14" i="132"/>
  <c r="M14" i="132" s="1"/>
  <c r="E93" i="81"/>
  <c r="I93" i="81" s="1"/>
  <c r="I96" i="81" s="1"/>
  <c r="B96" i="81"/>
  <c r="B97" i="81" s="1"/>
  <c r="E12" i="145"/>
  <c r="G12" i="145" s="1"/>
  <c r="I16" i="129"/>
  <c r="I25" i="129" s="1"/>
  <c r="G700" i="152"/>
  <c r="O270" i="142"/>
  <c r="F333" i="125"/>
  <c r="F332" i="125"/>
  <c r="G72" i="126"/>
  <c r="I72" i="126" s="1"/>
  <c r="F952" i="140"/>
  <c r="L20" i="129" l="1"/>
  <c r="K11" i="132"/>
  <c r="K21" i="132"/>
  <c r="K27" i="132" s="1"/>
  <c r="O115" i="142"/>
  <c r="K11" i="133"/>
  <c r="L17" i="129"/>
  <c r="O142" i="142"/>
  <c r="F235" i="152"/>
  <c r="E542" i="113"/>
  <c r="F542" i="113" s="1"/>
  <c r="F183" i="86"/>
  <c r="E569" i="140"/>
  <c r="F569" i="140" s="1"/>
  <c r="E569" i="152"/>
  <c r="F569" i="152" s="1"/>
  <c r="E77" i="152"/>
  <c r="F77" i="152" s="1"/>
  <c r="F143" i="118"/>
  <c r="E77" i="140"/>
  <c r="F77" i="140" s="1"/>
  <c r="E578" i="152"/>
  <c r="F578" i="152" s="1"/>
  <c r="E553" i="113"/>
  <c r="F553" i="113" s="1"/>
  <c r="E578" i="140"/>
  <c r="F578" i="140" s="1"/>
  <c r="F192" i="86"/>
  <c r="E537" i="113"/>
  <c r="F537" i="113" s="1"/>
  <c r="E564" i="152"/>
  <c r="F564" i="152" s="1"/>
  <c r="F178" i="86"/>
  <c r="E564" i="140"/>
  <c r="F564" i="140" s="1"/>
  <c r="E135" i="152"/>
  <c r="F135" i="152" s="1"/>
  <c r="F132" i="152" s="1"/>
  <c r="E135" i="140"/>
  <c r="F135" i="140" s="1"/>
  <c r="F45" i="86"/>
  <c r="G86" i="126"/>
  <c r="E520" i="152"/>
  <c r="F520" i="152" s="1"/>
  <c r="E520" i="140"/>
  <c r="F520" i="140" s="1"/>
  <c r="E459" i="152"/>
  <c r="F459" i="152" s="1"/>
  <c r="E459" i="140"/>
  <c r="F459" i="140" s="1"/>
  <c r="E431" i="113"/>
  <c r="F431" i="113" s="1"/>
  <c r="F119" i="86"/>
  <c r="E527" i="152"/>
  <c r="F527" i="152" s="1"/>
  <c r="G93" i="126"/>
  <c r="E527" i="140"/>
  <c r="F527" i="140" s="1"/>
  <c r="E82" i="140"/>
  <c r="F82" i="140" s="1"/>
  <c r="E82" i="152"/>
  <c r="F82" i="152" s="1"/>
  <c r="F148" i="118"/>
  <c r="F95" i="126"/>
  <c r="E135" i="118"/>
  <c r="E79" i="140"/>
  <c r="F79" i="140" s="1"/>
  <c r="F145" i="118"/>
  <c r="E79" i="152"/>
  <c r="F79" i="152" s="1"/>
  <c r="E514" i="152"/>
  <c r="F514" i="152" s="1"/>
  <c r="G80" i="126"/>
  <c r="E514" i="140"/>
  <c r="F514" i="140" s="1"/>
  <c r="E286" i="152"/>
  <c r="F286" i="152" s="1"/>
  <c r="E286" i="140"/>
  <c r="F286" i="140" s="1"/>
  <c r="E238" i="113"/>
  <c r="F238" i="113" s="1"/>
  <c r="F193" i="125"/>
  <c r="G81" i="126"/>
  <c r="E515" i="152"/>
  <c r="F515" i="152" s="1"/>
  <c r="E515" i="140"/>
  <c r="F515" i="140" s="1"/>
  <c r="E525" i="152"/>
  <c r="F525" i="152" s="1"/>
  <c r="G91" i="126"/>
  <c r="E525" i="140"/>
  <c r="F525" i="140" s="1"/>
  <c r="F159" i="118"/>
  <c r="E93" i="140"/>
  <c r="F93" i="140" s="1"/>
  <c r="E93" i="152"/>
  <c r="F93" i="152" s="1"/>
  <c r="E577" i="140"/>
  <c r="F577" i="140" s="1"/>
  <c r="E577" i="152"/>
  <c r="F577" i="152" s="1"/>
  <c r="E552" i="113"/>
  <c r="F191" i="86"/>
  <c r="E230" i="146"/>
  <c r="I230" i="146" s="1"/>
  <c r="B135" i="142"/>
  <c r="E562" i="152"/>
  <c r="F562" i="152" s="1"/>
  <c r="F561" i="152" s="1"/>
  <c r="E562" i="140"/>
  <c r="F562" i="140" s="1"/>
  <c r="F561" i="140" s="1"/>
  <c r="F176" i="86"/>
  <c r="F384" i="140"/>
  <c r="E209" i="152"/>
  <c r="F209" i="152" s="1"/>
  <c r="E117" i="86"/>
  <c r="E118" i="86"/>
  <c r="E116" i="86"/>
  <c r="F499" i="113"/>
  <c r="F505" i="113"/>
  <c r="E83" i="152"/>
  <c r="F83" i="152" s="1"/>
  <c r="F149" i="118"/>
  <c r="E83" i="140"/>
  <c r="F83" i="140" s="1"/>
  <c r="E223" i="140"/>
  <c r="F223" i="140" s="1"/>
  <c r="F218" i="140" s="1"/>
  <c r="E176" i="113"/>
  <c r="F176" i="113" s="1"/>
  <c r="E223" i="152"/>
  <c r="F223" i="152" s="1"/>
  <c r="F85" i="125"/>
  <c r="F80" i="125" s="1"/>
  <c r="E539" i="113"/>
  <c r="F539" i="113" s="1"/>
  <c r="E566" i="152"/>
  <c r="F566" i="152" s="1"/>
  <c r="E566" i="140"/>
  <c r="F566" i="140" s="1"/>
  <c r="F180" i="86"/>
  <c r="F189" i="86"/>
  <c r="E550" i="113"/>
  <c r="F550" i="113" s="1"/>
  <c r="E575" i="140"/>
  <c r="F575" i="140" s="1"/>
  <c r="E575" i="152"/>
  <c r="F575" i="152" s="1"/>
  <c r="O166" i="142"/>
  <c r="E494" i="140"/>
  <c r="F494" i="140" s="1"/>
  <c r="F493" i="140" s="1"/>
  <c r="E494" i="152"/>
  <c r="F494" i="152" s="1"/>
  <c r="F493" i="152" s="1"/>
  <c r="E469" i="113"/>
  <c r="F469" i="113" s="1"/>
  <c r="F468" i="113" s="1"/>
  <c r="G37" i="126"/>
  <c r="G36" i="126" s="1"/>
  <c r="B102" i="142"/>
  <c r="E212" i="146"/>
  <c r="I212" i="146" s="1"/>
  <c r="F107" i="86"/>
  <c r="E447" i="140"/>
  <c r="F447" i="140" s="1"/>
  <c r="F446" i="140" s="1"/>
  <c r="E447" i="152"/>
  <c r="F447" i="152" s="1"/>
  <c r="F446" i="152" s="1"/>
  <c r="E452" i="113"/>
  <c r="F452" i="113" s="1"/>
  <c r="E478" i="152"/>
  <c r="F478" i="152" s="1"/>
  <c r="F476" i="152" s="1"/>
  <c r="G21" i="126"/>
  <c r="E478" i="140"/>
  <c r="F478" i="140" s="1"/>
  <c r="F476" i="140" s="1"/>
  <c r="E513" i="152"/>
  <c r="F513" i="152" s="1"/>
  <c r="E513" i="140"/>
  <c r="F513" i="140" s="1"/>
  <c r="G79" i="126"/>
  <c r="E568" i="152"/>
  <c r="F568" i="152" s="1"/>
  <c r="E568" i="140"/>
  <c r="F568" i="140" s="1"/>
  <c r="F182" i="86"/>
  <c r="E541" i="113"/>
  <c r="F541" i="113" s="1"/>
  <c r="F36" i="125"/>
  <c r="F35" i="125" s="1"/>
  <c r="E160" i="113"/>
  <c r="F160" i="113" s="1"/>
  <c r="F159" i="113" s="1"/>
  <c r="E174" i="152"/>
  <c r="F174" i="152" s="1"/>
  <c r="F173" i="152" s="1"/>
  <c r="E174" i="140"/>
  <c r="F174" i="140" s="1"/>
  <c r="F173" i="140" s="1"/>
  <c r="E531" i="140"/>
  <c r="F531" i="140" s="1"/>
  <c r="E531" i="152"/>
  <c r="F531" i="152" s="1"/>
  <c r="G97" i="126"/>
  <c r="F132" i="140"/>
  <c r="F450" i="113"/>
  <c r="F384" i="152"/>
  <c r="E209" i="140"/>
  <c r="F209" i="140" s="1"/>
  <c r="F188" i="113"/>
  <c r="F173" i="125"/>
  <c r="E266" i="140"/>
  <c r="F266" i="140" s="1"/>
  <c r="E266" i="152"/>
  <c r="F266" i="152" s="1"/>
  <c r="E506" i="140"/>
  <c r="F506" i="140" s="1"/>
  <c r="F504" i="140" s="1"/>
  <c r="E506" i="152"/>
  <c r="F506" i="152" s="1"/>
  <c r="F504" i="152" s="1"/>
  <c r="G49" i="126"/>
  <c r="G47" i="126" s="1"/>
  <c r="E189" i="146"/>
  <c r="I189" i="146" s="1"/>
  <c r="B58" i="142"/>
  <c r="F334" i="125"/>
  <c r="J19" i="129"/>
  <c r="F97" i="125"/>
  <c r="E242" i="146"/>
  <c r="I242" i="146" s="1"/>
  <c r="B159" i="142"/>
  <c r="G98" i="126"/>
  <c r="E532" i="140"/>
  <c r="F532" i="140" s="1"/>
  <c r="E532" i="152"/>
  <c r="F532" i="152" s="1"/>
  <c r="O40" i="142"/>
  <c r="F41" i="86"/>
  <c r="E131" i="152"/>
  <c r="F131" i="152" s="1"/>
  <c r="E131" i="140"/>
  <c r="F131" i="140" s="1"/>
  <c r="O121" i="142"/>
  <c r="E462" i="152"/>
  <c r="F462" i="152" s="1"/>
  <c r="E434" i="113"/>
  <c r="F434" i="113" s="1"/>
  <c r="F122" i="86"/>
  <c r="E462" i="140"/>
  <c r="F462" i="140" s="1"/>
  <c r="F42" i="86"/>
  <c r="G19" i="126"/>
  <c r="E95" i="86"/>
  <c r="F23" i="126"/>
  <c r="E524" i="113"/>
  <c r="F524" i="113" s="1"/>
  <c r="E165" i="86"/>
  <c r="E27" i="86"/>
  <c r="F24" i="126"/>
  <c r="E67" i="125"/>
  <c r="E523" i="113"/>
  <c r="F523" i="113" s="1"/>
  <c r="E167" i="125"/>
  <c r="E94" i="86"/>
  <c r="E26" i="86"/>
  <c r="E53" i="125"/>
  <c r="E164" i="86"/>
  <c r="F348" i="140"/>
  <c r="J16" i="129"/>
  <c r="F348" i="152"/>
  <c r="E270" i="152"/>
  <c r="F270" i="152" s="1"/>
  <c r="F177" i="125"/>
  <c r="E270" i="140"/>
  <c r="F270" i="140" s="1"/>
  <c r="E221" i="113"/>
  <c r="F221" i="113" s="1"/>
  <c r="K15" i="132"/>
  <c r="L15" i="132" s="1"/>
  <c r="M15" i="132" s="1"/>
  <c r="E257" i="152"/>
  <c r="F257" i="152" s="1"/>
  <c r="F255" i="152" s="1"/>
  <c r="F164" i="125"/>
  <c r="F162" i="125" s="1"/>
  <c r="E257" i="140"/>
  <c r="F257" i="140" s="1"/>
  <c r="F255" i="140" s="1"/>
  <c r="E210" i="113"/>
  <c r="F210" i="113" s="1"/>
  <c r="F208" i="113" s="1"/>
  <c r="K19" i="129"/>
  <c r="E543" i="140"/>
  <c r="F543" i="140" s="1"/>
  <c r="E514" i="113"/>
  <c r="F514" i="113" s="1"/>
  <c r="E543" i="152"/>
  <c r="F543" i="152" s="1"/>
  <c r="F157" i="86"/>
  <c r="F171" i="113"/>
  <c r="E211" i="146"/>
  <c r="I211" i="146" s="1"/>
  <c r="B100" i="142"/>
  <c r="G10" i="145"/>
  <c r="G19" i="145" s="1"/>
  <c r="E19" i="145"/>
  <c r="E461" i="140"/>
  <c r="F461" i="140" s="1"/>
  <c r="E433" i="113"/>
  <c r="F433" i="113" s="1"/>
  <c r="E461" i="152"/>
  <c r="F461" i="152" s="1"/>
  <c r="F121" i="86"/>
  <c r="I11" i="133"/>
  <c r="I13" i="133"/>
  <c r="I15" i="133" s="1"/>
  <c r="E486" i="140"/>
  <c r="F486" i="140" s="1"/>
  <c r="G29" i="126"/>
  <c r="E486" i="152"/>
  <c r="F486" i="152" s="1"/>
  <c r="E461" i="113"/>
  <c r="F461" i="113" s="1"/>
  <c r="F192" i="113"/>
  <c r="F205" i="113"/>
  <c r="E109" i="152"/>
  <c r="F109" i="152" s="1"/>
  <c r="E109" i="140"/>
  <c r="F109" i="140" s="1"/>
  <c r="F19" i="86"/>
  <c r="E55" i="113"/>
  <c r="F55" i="113" s="1"/>
  <c r="E65" i="125"/>
  <c r="E37" i="86"/>
  <c r="E102" i="86"/>
  <c r="E172" i="86"/>
  <c r="E208" i="146"/>
  <c r="I208" i="146" s="1"/>
  <c r="B94" i="142"/>
  <c r="G73" i="126"/>
  <c r="I73" i="126" s="1"/>
  <c r="F337" i="152"/>
  <c r="F184" i="125"/>
  <c r="E277" i="140"/>
  <c r="F277" i="140" s="1"/>
  <c r="E277" i="152"/>
  <c r="F277" i="152" s="1"/>
  <c r="E229" i="113"/>
  <c r="F229" i="113" s="1"/>
  <c r="E210" i="146"/>
  <c r="I210" i="146" s="1"/>
  <c r="B98" i="142"/>
  <c r="F357" i="140"/>
  <c r="B96" i="142"/>
  <c r="E209" i="146"/>
  <c r="I209" i="146" s="1"/>
  <c r="E181" i="81"/>
  <c r="G181" i="81" s="1"/>
  <c r="G188" i="81" s="1"/>
  <c r="B188" i="81" s="1"/>
  <c r="B189" i="81" s="1"/>
  <c r="E167" i="81"/>
  <c r="G167" i="81" s="1"/>
  <c r="G172" i="81" s="1"/>
  <c r="B172" i="81" s="1"/>
  <c r="B173" i="81" s="1"/>
  <c r="E34" i="86" s="1"/>
  <c r="E297" i="130"/>
  <c r="G297" i="130" s="1"/>
  <c r="G298" i="130" s="1"/>
  <c r="B298" i="130" s="1"/>
  <c r="B299" i="130" s="1"/>
  <c r="E41" i="125" s="1"/>
  <c r="E2464" i="130"/>
  <c r="G2464" i="130" s="1"/>
  <c r="G2465" i="130" s="1"/>
  <c r="B2465" i="130" s="1"/>
  <c r="B2466" i="130" s="1"/>
  <c r="E251" i="130"/>
  <c r="G251" i="130" s="1"/>
  <c r="G252" i="130" s="1"/>
  <c r="B252" i="130" s="1"/>
  <c r="B253" i="130" s="1"/>
  <c r="E38" i="125" s="1"/>
  <c r="E309" i="130"/>
  <c r="G309" i="130" s="1"/>
  <c r="G310" i="130" s="1"/>
  <c r="B310" i="130" s="1"/>
  <c r="B311" i="130" s="1"/>
  <c r="E42" i="125" s="1"/>
  <c r="E1053" i="130"/>
  <c r="G1053" i="130" s="1"/>
  <c r="G1054" i="130" s="1"/>
  <c r="B1054" i="130" s="1"/>
  <c r="B1055" i="130" s="1"/>
  <c r="E207" i="130"/>
  <c r="G207" i="130" s="1"/>
  <c r="G213" i="130" s="1"/>
  <c r="B213" i="130" s="1"/>
  <c r="B214" i="130" s="1"/>
  <c r="E32" i="125" s="1"/>
  <c r="E2479" i="130"/>
  <c r="G2479" i="130" s="1"/>
  <c r="G2480" i="130" s="1"/>
  <c r="B2480" i="130" s="1"/>
  <c r="B2481" i="130" s="1"/>
  <c r="E267" i="130"/>
  <c r="G267" i="130" s="1"/>
  <c r="G268" i="130" s="1"/>
  <c r="B268" i="130" s="1"/>
  <c r="B269" i="130" s="1"/>
  <c r="E39" i="125" s="1"/>
  <c r="E2423" i="130"/>
  <c r="G2423" i="130" s="1"/>
  <c r="G2424" i="130" s="1"/>
  <c r="B2424" i="130" s="1"/>
  <c r="B2425" i="130" s="1"/>
  <c r="E282" i="130"/>
  <c r="G282" i="130" s="1"/>
  <c r="G283" i="130" s="1"/>
  <c r="B283" i="130" s="1"/>
  <c r="B284" i="130" s="1"/>
  <c r="E40" i="125" s="1"/>
  <c r="F218" i="152"/>
  <c r="E118" i="140"/>
  <c r="F118" i="140" s="1"/>
  <c r="F28" i="86"/>
  <c r="E118" i="152"/>
  <c r="F118" i="152" s="1"/>
  <c r="F159" i="86"/>
  <c r="E545" i="140"/>
  <c r="F545" i="140" s="1"/>
  <c r="E545" i="152"/>
  <c r="F545" i="152" s="1"/>
  <c r="E516" i="113"/>
  <c r="F516" i="113" s="1"/>
  <c r="E431" i="140"/>
  <c r="F431" i="140" s="1"/>
  <c r="E369" i="113"/>
  <c r="F369" i="113" s="1"/>
  <c r="F91" i="86"/>
  <c r="E431" i="152"/>
  <c r="F431" i="152" s="1"/>
  <c r="E269" i="152"/>
  <c r="F269" i="152" s="1"/>
  <c r="E269" i="140"/>
  <c r="F269" i="140" s="1"/>
  <c r="E220" i="113"/>
  <c r="F220" i="113" s="1"/>
  <c r="F176" i="125"/>
  <c r="F44" i="125"/>
  <c r="E182" i="152"/>
  <c r="F182" i="152" s="1"/>
  <c r="E182" i="140"/>
  <c r="F182" i="140" s="1"/>
  <c r="E168" i="113"/>
  <c r="F168" i="113" s="1"/>
  <c r="E215" i="146"/>
  <c r="I215" i="146" s="1"/>
  <c r="B108" i="142"/>
  <c r="E149" i="140"/>
  <c r="F149" i="140" s="1"/>
  <c r="F147" i="140" s="1"/>
  <c r="F11" i="125"/>
  <c r="F9" i="125" s="1"/>
  <c r="E133" i="113"/>
  <c r="F133" i="113" s="1"/>
  <c r="F131" i="113" s="1"/>
  <c r="E149" i="152"/>
  <c r="F149" i="152" s="1"/>
  <c r="F147" i="152" s="1"/>
  <c r="E108" i="152"/>
  <c r="F108" i="152" s="1"/>
  <c r="E108" i="140"/>
  <c r="F108" i="140" s="1"/>
  <c r="E54" i="113"/>
  <c r="F54" i="113" s="1"/>
  <c r="F18" i="86"/>
  <c r="I676" i="86" s="1"/>
  <c r="I21" i="129"/>
  <c r="I23" i="129"/>
  <c r="I30" i="129" s="1"/>
  <c r="E1235" i="123"/>
  <c r="G1235" i="123" s="1"/>
  <c r="G1236" i="123" s="1"/>
  <c r="B1236" i="123" s="1"/>
  <c r="B1237" i="123" s="1"/>
  <c r="E105" i="123"/>
  <c r="G105" i="123" s="1"/>
  <c r="G106" i="123" s="1"/>
  <c r="B106" i="123" s="1"/>
  <c r="B107" i="123" s="1"/>
  <c r="E803" i="123"/>
  <c r="G803" i="123" s="1"/>
  <c r="G804" i="123" s="1"/>
  <c r="B804" i="123" s="1"/>
  <c r="B805" i="123" s="1"/>
  <c r="F239" i="140"/>
  <c r="F158" i="86"/>
  <c r="E544" i="140"/>
  <c r="F544" i="140" s="1"/>
  <c r="E515" i="113"/>
  <c r="F515" i="113" s="1"/>
  <c r="E544" i="152"/>
  <c r="F544" i="152" s="1"/>
  <c r="E169" i="124"/>
  <c r="G169" i="124" s="1"/>
  <c r="G170" i="124" s="1"/>
  <c r="B170" i="124" s="1"/>
  <c r="B171" i="124" s="1"/>
  <c r="F34" i="126" s="1"/>
  <c r="E110" i="124"/>
  <c r="G110" i="124" s="1"/>
  <c r="G112" i="124" s="1"/>
  <c r="B112" i="124" s="1"/>
  <c r="B113" i="124" s="1"/>
  <c r="F30" i="126" s="1"/>
  <c r="E1084" i="130"/>
  <c r="G1084" i="130" s="1"/>
  <c r="G1090" i="130" s="1"/>
  <c r="B1090" i="130" s="1"/>
  <c r="B1091" i="130" s="1"/>
  <c r="E174" i="125" s="1"/>
  <c r="E141" i="124"/>
  <c r="I141" i="124" s="1"/>
  <c r="I142" i="124" s="1"/>
  <c r="B142" i="124" s="1"/>
  <c r="B143" i="124" s="1"/>
  <c r="F32" i="126" s="1"/>
  <c r="E2449" i="130"/>
  <c r="G2449" i="130" s="1"/>
  <c r="G2450" i="130" s="1"/>
  <c r="B2450" i="130" s="1"/>
  <c r="B2451" i="130" s="1"/>
  <c r="E156" i="124"/>
  <c r="G156" i="124" s="1"/>
  <c r="G157" i="124" s="1"/>
  <c r="B157" i="124" s="1"/>
  <c r="B158" i="124" s="1"/>
  <c r="F33" i="126" s="1"/>
  <c r="E126" i="124"/>
  <c r="G126" i="124" s="1"/>
  <c r="G127" i="124" s="1"/>
  <c r="B127" i="124" s="1"/>
  <c r="B128" i="124" s="1"/>
  <c r="F31" i="126" s="1"/>
  <c r="E161" i="140"/>
  <c r="F161" i="140" s="1"/>
  <c r="E161" i="152"/>
  <c r="F161" i="152" s="1"/>
  <c r="F23" i="125"/>
  <c r="E146" i="113"/>
  <c r="F146" i="113" s="1"/>
  <c r="F244" i="125"/>
  <c r="E536" i="130"/>
  <c r="G536" i="130" s="1"/>
  <c r="G539" i="130" s="1"/>
  <c r="B539" i="130" s="1"/>
  <c r="B540" i="130" s="1"/>
  <c r="E479" i="130"/>
  <c r="G479" i="130" s="1"/>
  <c r="G483" i="130" s="1"/>
  <c r="B483" i="130" s="1"/>
  <c r="B484" i="130" s="1"/>
  <c r="E66" i="125" s="1"/>
  <c r="E374" i="130"/>
  <c r="G374" i="130" s="1"/>
  <c r="G378" i="130" s="1"/>
  <c r="B378" i="130" s="1"/>
  <c r="B379" i="130" s="1"/>
  <c r="E54" i="125" s="1"/>
  <c r="E117" i="130"/>
  <c r="G117" i="130" s="1"/>
  <c r="G121" i="130" s="1"/>
  <c r="B121" i="130" s="1"/>
  <c r="B122" i="130" s="1"/>
  <c r="E20" i="125" s="1"/>
  <c r="E95" i="130"/>
  <c r="G95" i="130" s="1"/>
  <c r="G99" i="130" s="1"/>
  <c r="B99" i="130" s="1"/>
  <c r="B100" i="130" s="1"/>
  <c r="E18" i="125" s="1"/>
  <c r="E51" i="130"/>
  <c r="G51" i="130" s="1"/>
  <c r="G55" i="130" s="1"/>
  <c r="B55" i="130" s="1"/>
  <c r="B56" i="130" s="1"/>
  <c r="E14" i="125" s="1"/>
  <c r="E73" i="130"/>
  <c r="G73" i="130" s="1"/>
  <c r="G77" i="130" s="1"/>
  <c r="B77" i="130" s="1"/>
  <c r="B78" i="130" s="1"/>
  <c r="E16" i="125" s="1"/>
  <c r="E106" i="130"/>
  <c r="G106" i="130" s="1"/>
  <c r="G110" i="130" s="1"/>
  <c r="B110" i="130" s="1"/>
  <c r="B111" i="130" s="1"/>
  <c r="E19" i="125" s="1"/>
  <c r="E40" i="130"/>
  <c r="G40" i="130" s="1"/>
  <c r="G44" i="130" s="1"/>
  <c r="B44" i="130" s="1"/>
  <c r="B45" i="130" s="1"/>
  <c r="E13" i="125" s="1"/>
  <c r="E62" i="130"/>
  <c r="G62" i="130" s="1"/>
  <c r="G66" i="130" s="1"/>
  <c r="B66" i="130" s="1"/>
  <c r="B67" i="130" s="1"/>
  <c r="E15" i="125" s="1"/>
  <c r="E84" i="130"/>
  <c r="G84" i="130" s="1"/>
  <c r="G88" i="130" s="1"/>
  <c r="B88" i="130" s="1"/>
  <c r="B89" i="130" s="1"/>
  <c r="E17" i="125" s="1"/>
  <c r="E364" i="130"/>
  <c r="G364" i="130" s="1"/>
  <c r="G368" i="130" s="1"/>
  <c r="B368" i="130" s="1"/>
  <c r="B369" i="130" s="1"/>
  <c r="E52" i="125" s="1"/>
  <c r="E553" i="130"/>
  <c r="G553" i="130" s="1"/>
  <c r="G555" i="130" s="1"/>
  <c r="B555" i="130" s="1"/>
  <c r="B556" i="130" s="1"/>
  <c r="E338" i="130"/>
  <c r="G338" i="130" s="1"/>
  <c r="G342" i="130" s="1"/>
  <c r="B342" i="130" s="1"/>
  <c r="B343" i="130" s="1"/>
  <c r="E45" i="125" s="1"/>
  <c r="E128" i="130"/>
  <c r="G128" i="130" s="1"/>
  <c r="G132" i="130" s="1"/>
  <c r="B132" i="130" s="1"/>
  <c r="B133" i="130" s="1"/>
  <c r="E21" i="125" s="1"/>
  <c r="F357" i="152"/>
  <c r="F96" i="86"/>
  <c r="E436" i="152"/>
  <c r="F436" i="152" s="1"/>
  <c r="E436" i="140"/>
  <c r="F436" i="140" s="1"/>
  <c r="E427" i="140"/>
  <c r="F427" i="140" s="1"/>
  <c r="E427" i="152"/>
  <c r="F427" i="152" s="1"/>
  <c r="F87" i="86"/>
  <c r="E364" i="113"/>
  <c r="F364" i="113" s="1"/>
  <c r="E423" i="152"/>
  <c r="F423" i="152" s="1"/>
  <c r="E423" i="140"/>
  <c r="F423" i="140" s="1"/>
  <c r="E360" i="113"/>
  <c r="F360" i="113" s="1"/>
  <c r="F83" i="86"/>
  <c r="E113" i="152"/>
  <c r="F113" i="152" s="1"/>
  <c r="E113" i="140"/>
  <c r="F113" i="140" s="1"/>
  <c r="E61" i="113"/>
  <c r="F61" i="113" s="1"/>
  <c r="F23" i="86"/>
  <c r="F372" i="152"/>
  <c r="F376" i="152"/>
  <c r="E271" i="152"/>
  <c r="F271" i="152" s="1"/>
  <c r="F178" i="125"/>
  <c r="E222" i="113"/>
  <c r="F222" i="113" s="1"/>
  <c r="E271" i="140"/>
  <c r="F271" i="140" s="1"/>
  <c r="E468" i="152"/>
  <c r="F468" i="152" s="1"/>
  <c r="F466" i="152" s="1"/>
  <c r="E442" i="113"/>
  <c r="F442" i="113" s="1"/>
  <c r="F440" i="113" s="1"/>
  <c r="E468" i="140"/>
  <c r="F468" i="140" s="1"/>
  <c r="F466" i="140" s="1"/>
  <c r="G11" i="126"/>
  <c r="G9" i="126" s="1"/>
  <c r="E216" i="146"/>
  <c r="I216" i="146" s="1"/>
  <c r="B110" i="142"/>
  <c r="E362" i="113"/>
  <c r="F362" i="113" s="1"/>
  <c r="E425" i="140"/>
  <c r="F425" i="140" s="1"/>
  <c r="F85" i="86"/>
  <c r="E425" i="152"/>
  <c r="F425" i="152" s="1"/>
  <c r="K14" i="129"/>
  <c r="F239" i="152"/>
  <c r="E237" i="146"/>
  <c r="I237" i="146" s="1"/>
  <c r="B149" i="142"/>
  <c r="H150" i="142" s="1"/>
  <c r="O150" i="142" s="1"/>
  <c r="E914" i="123"/>
  <c r="G914" i="123" s="1"/>
  <c r="G915" i="123" s="1"/>
  <c r="B915" i="123" s="1"/>
  <c r="B916" i="123" s="1"/>
  <c r="E836" i="123"/>
  <c r="G836" i="123" s="1"/>
  <c r="G837" i="123" s="1"/>
  <c r="B837" i="123" s="1"/>
  <c r="B838" i="123" s="1"/>
  <c r="E151" i="123"/>
  <c r="G151" i="123" s="1"/>
  <c r="G153" i="123" s="1"/>
  <c r="B153" i="123" s="1"/>
  <c r="B154" i="123" s="1"/>
  <c r="E848" i="123"/>
  <c r="G848" i="123" s="1"/>
  <c r="G850" i="123" s="1"/>
  <c r="B850" i="123" s="1"/>
  <c r="B851" i="123" s="1"/>
  <c r="E138" i="123"/>
  <c r="G138" i="123" s="1"/>
  <c r="G139" i="123" s="1"/>
  <c r="B139" i="123" s="1"/>
  <c r="B140" i="123" s="1"/>
  <c r="E1252" i="123"/>
  <c r="G1252" i="123" s="1"/>
  <c r="G1253" i="123" s="1"/>
  <c r="B1253" i="123" s="1"/>
  <c r="B1254" i="123" s="1"/>
  <c r="E2120" i="130"/>
  <c r="G2120" i="130" s="1"/>
  <c r="E817" i="123"/>
  <c r="G817" i="123" s="1"/>
  <c r="G820" i="123" s="1"/>
  <c r="B820" i="123" s="1"/>
  <c r="B821" i="123" s="1"/>
  <c r="E119" i="123"/>
  <c r="G119" i="123" s="1"/>
  <c r="G122" i="123" s="1"/>
  <c r="B122" i="123" s="1"/>
  <c r="B123" i="123" s="1"/>
  <c r="E2115" i="130"/>
  <c r="G2115" i="130" s="1"/>
  <c r="E1269" i="123"/>
  <c r="G1269" i="123" s="1"/>
  <c r="G1270" i="123" s="1"/>
  <c r="B1270" i="123" s="1"/>
  <c r="B1271" i="123" s="1"/>
  <c r="E207" i="146"/>
  <c r="I207" i="146" s="1"/>
  <c r="B92" i="142"/>
  <c r="F155" i="86"/>
  <c r="F154" i="86" s="1"/>
  <c r="E541" i="140"/>
  <c r="F541" i="140" s="1"/>
  <c r="E541" i="152"/>
  <c r="F541" i="152" s="1"/>
  <c r="F540" i="152" s="1"/>
  <c r="E512" i="113"/>
  <c r="F512" i="113" s="1"/>
  <c r="E188" i="152"/>
  <c r="F188" i="152" s="1"/>
  <c r="F50" i="125"/>
  <c r="E188" i="140"/>
  <c r="F188" i="140" s="1"/>
  <c r="F376" i="140"/>
  <c r="K16" i="129"/>
  <c r="E232" i="152"/>
  <c r="F232" i="152" s="1"/>
  <c r="F231" i="152" s="1"/>
  <c r="E185" i="113"/>
  <c r="F185" i="113" s="1"/>
  <c r="F184" i="113" s="1"/>
  <c r="E232" i="140"/>
  <c r="F232" i="140" s="1"/>
  <c r="F231" i="140" s="1"/>
  <c r="F94" i="125"/>
  <c r="F93" i="125" s="1"/>
  <c r="E187" i="152"/>
  <c r="F187" i="152" s="1"/>
  <c r="F49" i="125"/>
  <c r="E187" i="140"/>
  <c r="F187" i="140" s="1"/>
  <c r="L19" i="129"/>
  <c r="I143" i="139"/>
  <c r="I144" i="139" s="1"/>
  <c r="B144" i="139" s="1"/>
  <c r="B145" i="139" s="1"/>
  <c r="E350" i="125" s="1"/>
  <c r="E144" i="139"/>
  <c r="J14" i="129"/>
  <c r="E235" i="113"/>
  <c r="F235" i="113" s="1"/>
  <c r="E283" i="152"/>
  <c r="F283" i="152" s="1"/>
  <c r="F190" i="125"/>
  <c r="E283" i="140"/>
  <c r="F283" i="140" s="1"/>
  <c r="F58" i="125"/>
  <c r="E196" i="140"/>
  <c r="F196" i="140" s="1"/>
  <c r="E196" i="152"/>
  <c r="F196" i="152" s="1"/>
  <c r="L9" i="133"/>
  <c r="F101" i="125"/>
  <c r="E426" i="152"/>
  <c r="F426" i="152" s="1"/>
  <c r="E363" i="113"/>
  <c r="F363" i="113" s="1"/>
  <c r="E426" i="140"/>
  <c r="F426" i="140" s="1"/>
  <c r="F86" i="86"/>
  <c r="E197" i="81"/>
  <c r="G197" i="81" s="1"/>
  <c r="G198" i="81" s="1"/>
  <c r="B198" i="81" s="1"/>
  <c r="B199" i="81" s="1"/>
  <c r="E157" i="81"/>
  <c r="G157" i="81" s="1"/>
  <c r="G162" i="81" s="1"/>
  <c r="B162" i="81" s="1"/>
  <c r="B163" i="81" s="1"/>
  <c r="E1067" i="130"/>
  <c r="G1067" i="130" s="1"/>
  <c r="G1073" i="130" s="1"/>
  <c r="B1073" i="130" s="1"/>
  <c r="B1074" i="130" s="1"/>
  <c r="E221" i="81"/>
  <c r="G221" i="81" s="1"/>
  <c r="G225" i="81" s="1"/>
  <c r="B225" i="81" s="1"/>
  <c r="B226" i="81" s="1"/>
  <c r="E180" i="124"/>
  <c r="G180" i="124" s="1"/>
  <c r="G182" i="124" s="1"/>
  <c r="B182" i="124" s="1"/>
  <c r="B183" i="124" s="1"/>
  <c r="F35" i="126" s="1"/>
  <c r="E408" i="130"/>
  <c r="G408" i="130" s="1"/>
  <c r="G414" i="130" s="1"/>
  <c r="B414" i="130" s="1"/>
  <c r="B415" i="130" s="1"/>
  <c r="E57" i="125" s="1"/>
  <c r="E384" i="130"/>
  <c r="G384" i="130" s="1"/>
  <c r="G391" i="130" s="1"/>
  <c r="B391" i="130" s="1"/>
  <c r="B392" i="130" s="1"/>
  <c r="E55" i="125" s="1"/>
  <c r="E397" i="130"/>
  <c r="G397" i="130" s="1"/>
  <c r="G402" i="130" s="1"/>
  <c r="B402" i="130" s="1"/>
  <c r="B403" i="130" s="1"/>
  <c r="E56" i="125" s="1"/>
  <c r="E242" i="81"/>
  <c r="G242" i="81" s="1"/>
  <c r="G271" i="81" s="1"/>
  <c r="B271" i="81" s="1"/>
  <c r="B272" i="81" s="1"/>
  <c r="E40" i="86" s="1"/>
  <c r="E230" i="81"/>
  <c r="G230" i="81" s="1"/>
  <c r="G237" i="81" s="1"/>
  <c r="B237" i="81" s="1"/>
  <c r="B238" i="81" s="1"/>
  <c r="E466" i="130"/>
  <c r="G466" i="130" s="1"/>
  <c r="G473" i="130" s="1"/>
  <c r="B473" i="130" s="1"/>
  <c r="B474" i="130" s="1"/>
  <c r="E429" i="130"/>
  <c r="G429" i="130" s="1"/>
  <c r="G433" i="130" s="1"/>
  <c r="B433" i="130" s="1"/>
  <c r="B434" i="130" s="1"/>
  <c r="E59" i="125" s="1"/>
  <c r="E488" i="130"/>
  <c r="G488" i="130" s="1"/>
  <c r="G492" i="130" s="1"/>
  <c r="B492" i="130" s="1"/>
  <c r="B493" i="130" s="1"/>
  <c r="E68" i="125" s="1"/>
  <c r="E323" i="130"/>
  <c r="G323" i="130" s="1"/>
  <c r="G324" i="130" s="1"/>
  <c r="B324" i="130" s="1"/>
  <c r="B325" i="130" s="1"/>
  <c r="E43" i="125" s="1"/>
  <c r="F235" i="140"/>
  <c r="F337" i="140"/>
  <c r="E400" i="140"/>
  <c r="F400" i="140" s="1"/>
  <c r="F397" i="140" s="1"/>
  <c r="F452" i="125"/>
  <c r="E400" i="152"/>
  <c r="F400" i="152" s="1"/>
  <c r="F397" i="152" s="1"/>
  <c r="G397" i="152" s="1"/>
  <c r="E388" i="113"/>
  <c r="F388" i="113" s="1"/>
  <c r="F385" i="113" s="1"/>
  <c r="G6" i="140"/>
  <c r="F60" i="118"/>
  <c r="G6" i="152"/>
  <c r="E552" i="152"/>
  <c r="F552" i="152" s="1"/>
  <c r="F166" i="86"/>
  <c r="E552" i="140"/>
  <c r="F552" i="140" s="1"/>
  <c r="F20" i="86"/>
  <c r="E56" i="113"/>
  <c r="F56" i="113" s="1"/>
  <c r="E110" i="152"/>
  <c r="F110" i="152" s="1"/>
  <c r="E110" i="140"/>
  <c r="F110" i="140" s="1"/>
  <c r="E106" i="140"/>
  <c r="F106" i="140" s="1"/>
  <c r="E52" i="113"/>
  <c r="F52" i="113" s="1"/>
  <c r="E106" i="152"/>
  <c r="F106" i="152" s="1"/>
  <c r="F16" i="86"/>
  <c r="F64" i="125"/>
  <c r="E202" i="152"/>
  <c r="F202" i="152" s="1"/>
  <c r="E202" i="140"/>
  <c r="F202" i="140" s="1"/>
  <c r="F372" i="140"/>
  <c r="F105" i="152" l="1"/>
  <c r="B137" i="142"/>
  <c r="E231" i="146"/>
  <c r="I231" i="146" s="1"/>
  <c r="E59" i="142"/>
  <c r="F59" i="142"/>
  <c r="D59" i="142"/>
  <c r="E241" i="146"/>
  <c r="I241" i="146" s="1"/>
  <c r="B157" i="142"/>
  <c r="F556" i="113"/>
  <c r="F536" i="113"/>
  <c r="F511" i="113"/>
  <c r="G78" i="126"/>
  <c r="H78" i="126" s="1"/>
  <c r="E183" i="146"/>
  <c r="I183" i="146" s="1"/>
  <c r="B47" i="142"/>
  <c r="E190" i="146"/>
  <c r="I190" i="146" s="1"/>
  <c r="B60" i="142"/>
  <c r="E456" i="152"/>
  <c r="F456" i="152" s="1"/>
  <c r="E428" i="113"/>
  <c r="F428" i="113" s="1"/>
  <c r="F116" i="86"/>
  <c r="E456" i="140"/>
  <c r="F456" i="140" s="1"/>
  <c r="E136" i="142"/>
  <c r="F136" i="142"/>
  <c r="G136" i="142"/>
  <c r="F563" i="152"/>
  <c r="F105" i="140"/>
  <c r="I160" i="142"/>
  <c r="H160" i="142"/>
  <c r="O160" i="142" s="1"/>
  <c r="B128" i="142"/>
  <c r="E226" i="146"/>
  <c r="I226" i="146" s="1"/>
  <c r="M103" i="142"/>
  <c r="N103" i="142"/>
  <c r="E235" i="146"/>
  <c r="I235" i="146" s="1"/>
  <c r="B145" i="142"/>
  <c r="F118" i="86"/>
  <c r="E458" i="152"/>
  <c r="F458" i="152" s="1"/>
  <c r="E458" i="140"/>
  <c r="F458" i="140" s="1"/>
  <c r="E430" i="113"/>
  <c r="F430" i="113" s="1"/>
  <c r="F563" i="140"/>
  <c r="E69" i="152"/>
  <c r="F69" i="152" s="1"/>
  <c r="F58" i="152" s="1"/>
  <c r="G58" i="152" s="1"/>
  <c r="F135" i="118"/>
  <c r="E69" i="140"/>
  <c r="F69" i="140" s="1"/>
  <c r="F58" i="140" s="1"/>
  <c r="F177" i="86"/>
  <c r="F540" i="140"/>
  <c r="E247" i="146" s="1"/>
  <c r="I247" i="146" s="1"/>
  <c r="G132" i="152"/>
  <c r="G132" i="140"/>
  <c r="E457" i="140"/>
  <c r="F457" i="140" s="1"/>
  <c r="E429" i="113"/>
  <c r="F429" i="113" s="1"/>
  <c r="F117" i="86"/>
  <c r="E457" i="152"/>
  <c r="F457" i="152" s="1"/>
  <c r="E250" i="146"/>
  <c r="I250" i="146" s="1"/>
  <c r="B173" i="142"/>
  <c r="E529" i="152"/>
  <c r="F529" i="152" s="1"/>
  <c r="F512" i="152" s="1"/>
  <c r="G512" i="152" s="1"/>
  <c r="G95" i="126"/>
  <c r="G100" i="126" s="1"/>
  <c r="E529" i="140"/>
  <c r="F529" i="140" s="1"/>
  <c r="F512" i="140" s="1"/>
  <c r="B117" i="142"/>
  <c r="G397" i="140"/>
  <c r="E220" i="146"/>
  <c r="I220" i="146" s="1"/>
  <c r="E206" i="152"/>
  <c r="F206" i="152" s="1"/>
  <c r="E206" i="140"/>
  <c r="F206" i="140" s="1"/>
  <c r="F68" i="125"/>
  <c r="F124" i="113"/>
  <c r="F51" i="113"/>
  <c r="F62" i="118"/>
  <c r="B83" i="142"/>
  <c r="F84" i="142" s="1"/>
  <c r="O84" i="142" s="1"/>
  <c r="E202" i="146"/>
  <c r="I202" i="146" s="1"/>
  <c r="E197" i="140"/>
  <c r="F197" i="140" s="1"/>
  <c r="E197" i="152"/>
  <c r="F197" i="152" s="1"/>
  <c r="F59" i="125"/>
  <c r="E194" i="152"/>
  <c r="F194" i="152" s="1"/>
  <c r="F56" i="125"/>
  <c r="E194" i="140"/>
  <c r="F194" i="140" s="1"/>
  <c r="E173" i="86"/>
  <c r="E38" i="86"/>
  <c r="E103" i="86"/>
  <c r="E214" i="146"/>
  <c r="I214" i="146" s="1"/>
  <c r="B106" i="142"/>
  <c r="M93" i="142"/>
  <c r="N93" i="142"/>
  <c r="G2125" i="130"/>
  <c r="B2125" i="130" s="1"/>
  <c r="B2126" i="130" s="1"/>
  <c r="F436" i="113"/>
  <c r="F359" i="113"/>
  <c r="E183" i="152"/>
  <c r="F183" i="152" s="1"/>
  <c r="E170" i="113"/>
  <c r="F170" i="113" s="1"/>
  <c r="E183" i="140"/>
  <c r="F183" i="140" s="1"/>
  <c r="F45" i="125"/>
  <c r="F15" i="125"/>
  <c r="E153" i="152"/>
  <c r="F153" i="152" s="1"/>
  <c r="E153" i="140"/>
  <c r="F153" i="140" s="1"/>
  <c r="E138" i="113"/>
  <c r="F138" i="113" s="1"/>
  <c r="F14" i="125"/>
  <c r="E137" i="113"/>
  <c r="F137" i="113" s="1"/>
  <c r="E152" i="152"/>
  <c r="F152" i="152" s="1"/>
  <c r="E152" i="140"/>
  <c r="F152" i="140" s="1"/>
  <c r="F66" i="125"/>
  <c r="E204" i="152"/>
  <c r="F204" i="152" s="1"/>
  <c r="E204" i="140"/>
  <c r="F204" i="140" s="1"/>
  <c r="E490" i="140"/>
  <c r="F490" i="140" s="1"/>
  <c r="E465" i="113"/>
  <c r="F465" i="113" s="1"/>
  <c r="G33" i="126"/>
  <c r="E490" i="152"/>
  <c r="F490" i="152" s="1"/>
  <c r="E462" i="113"/>
  <c r="F462" i="113" s="1"/>
  <c r="E487" i="152"/>
  <c r="F487" i="152" s="1"/>
  <c r="E487" i="140"/>
  <c r="F487" i="140" s="1"/>
  <c r="G30" i="126"/>
  <c r="F175" i="125"/>
  <c r="F40" i="125"/>
  <c r="E178" i="152"/>
  <c r="F178" i="152" s="1"/>
  <c r="E164" i="113"/>
  <c r="F164" i="113" s="1"/>
  <c r="E178" i="140"/>
  <c r="F178" i="140" s="1"/>
  <c r="E156" i="113"/>
  <c r="F156" i="113" s="1"/>
  <c r="F155" i="113" s="1"/>
  <c r="E170" i="152"/>
  <c r="F170" i="152" s="1"/>
  <c r="F169" i="152" s="1"/>
  <c r="F32" i="125"/>
  <c r="F31" i="125" s="1"/>
  <c r="E170" i="140"/>
  <c r="F170" i="140" s="1"/>
  <c r="F169" i="140" s="1"/>
  <c r="E203" i="152"/>
  <c r="F203" i="152" s="1"/>
  <c r="E203" i="140"/>
  <c r="F203" i="140" s="1"/>
  <c r="F65" i="125"/>
  <c r="E116" i="152"/>
  <c r="F116" i="152" s="1"/>
  <c r="E116" i="140"/>
  <c r="F116" i="140" s="1"/>
  <c r="F26" i="86"/>
  <c r="E64" i="113"/>
  <c r="F64" i="113" s="1"/>
  <c r="E205" i="140"/>
  <c r="F205" i="140" s="1"/>
  <c r="F67" i="125"/>
  <c r="E205" i="152"/>
  <c r="F205" i="152" s="1"/>
  <c r="F350" i="125"/>
  <c r="F390" i="125" s="1"/>
  <c r="E356" i="152"/>
  <c r="F356" i="152" s="1"/>
  <c r="F355" i="152" s="1"/>
  <c r="E356" i="140"/>
  <c r="F356" i="140" s="1"/>
  <c r="F355" i="140" s="1"/>
  <c r="G347" i="140" s="1"/>
  <c r="E194" i="146"/>
  <c r="I194" i="146" s="1"/>
  <c r="B68" i="142"/>
  <c r="F69" i="142" s="1"/>
  <c r="O69" i="142" s="1"/>
  <c r="K21" i="129"/>
  <c r="B133" i="142"/>
  <c r="E229" i="146"/>
  <c r="I229" i="146" s="1"/>
  <c r="F422" i="140"/>
  <c r="E548" i="130"/>
  <c r="E79" i="125"/>
  <c r="E151" i="140"/>
  <c r="F151" i="140" s="1"/>
  <c r="E136" i="113"/>
  <c r="F136" i="113" s="1"/>
  <c r="E151" i="152"/>
  <c r="F151" i="152" s="1"/>
  <c r="F13" i="125"/>
  <c r="E156" i="152"/>
  <c r="F156" i="152" s="1"/>
  <c r="E156" i="140"/>
  <c r="F156" i="140" s="1"/>
  <c r="E141" i="113"/>
  <c r="F141" i="113" s="1"/>
  <c r="F18" i="125"/>
  <c r="E531" i="130"/>
  <c r="E78" i="125"/>
  <c r="E491" i="152"/>
  <c r="F491" i="152" s="1"/>
  <c r="E491" i="140"/>
  <c r="F491" i="140" s="1"/>
  <c r="E466" i="113"/>
  <c r="F466" i="113" s="1"/>
  <c r="G34" i="126"/>
  <c r="B50" i="142"/>
  <c r="E185" i="146"/>
  <c r="I185" i="146" s="1"/>
  <c r="F219" i="113"/>
  <c r="F312" i="113" s="1"/>
  <c r="E172" i="125"/>
  <c r="E171" i="125"/>
  <c r="E169" i="125"/>
  <c r="E179" i="140"/>
  <c r="F179" i="140" s="1"/>
  <c r="E179" i="152"/>
  <c r="F179" i="152" s="1"/>
  <c r="E165" i="113"/>
  <c r="F165" i="113" s="1"/>
  <c r="F41" i="125"/>
  <c r="N97" i="142"/>
  <c r="M97" i="142"/>
  <c r="E558" i="152"/>
  <c r="F558" i="152" s="1"/>
  <c r="F172" i="86"/>
  <c r="E558" i="140"/>
  <c r="F558" i="140" s="1"/>
  <c r="E531" i="113"/>
  <c r="F531" i="113" s="1"/>
  <c r="M101" i="142"/>
  <c r="N101" i="142"/>
  <c r="B86" i="142"/>
  <c r="E204" i="146"/>
  <c r="I204" i="146" s="1"/>
  <c r="F94" i="86"/>
  <c r="E434" i="140"/>
  <c r="F434" i="140" s="1"/>
  <c r="E372" i="113"/>
  <c r="F372" i="113" s="1"/>
  <c r="E434" i="152"/>
  <c r="F434" i="152" s="1"/>
  <c r="E481" i="152"/>
  <c r="F481" i="152" s="1"/>
  <c r="E481" i="140"/>
  <c r="F481" i="140" s="1"/>
  <c r="E455" i="113"/>
  <c r="F455" i="113" s="1"/>
  <c r="G24" i="126"/>
  <c r="E480" i="140"/>
  <c r="F480" i="140" s="1"/>
  <c r="F479" i="140" s="1"/>
  <c r="E454" i="113"/>
  <c r="F454" i="113" s="1"/>
  <c r="E480" i="152"/>
  <c r="F480" i="152" s="1"/>
  <c r="G23" i="126"/>
  <c r="E193" i="152"/>
  <c r="F193" i="152" s="1"/>
  <c r="F55" i="125"/>
  <c r="E193" i="140"/>
  <c r="F193" i="140" s="1"/>
  <c r="E170" i="125"/>
  <c r="F43" i="126"/>
  <c r="B104" i="142"/>
  <c r="E213" i="146"/>
  <c r="I213" i="146" s="1"/>
  <c r="F15" i="86"/>
  <c r="F61" i="118"/>
  <c r="F63" i="118" s="1"/>
  <c r="F449" i="125"/>
  <c r="H449" i="125" s="1"/>
  <c r="F468" i="125"/>
  <c r="E181" i="140"/>
  <c r="F181" i="140" s="1"/>
  <c r="E167" i="113"/>
  <c r="F167" i="113" s="1"/>
  <c r="E181" i="152"/>
  <c r="F181" i="152" s="1"/>
  <c r="F43" i="125"/>
  <c r="E174" i="86"/>
  <c r="E39" i="86"/>
  <c r="E104" i="86"/>
  <c r="E195" i="140"/>
  <c r="F195" i="140" s="1"/>
  <c r="F57" i="125"/>
  <c r="E195" i="152"/>
  <c r="F195" i="152" s="1"/>
  <c r="E99" i="86"/>
  <c r="E169" i="86"/>
  <c r="E33" i="86"/>
  <c r="L11" i="133"/>
  <c r="M10" i="133" s="1"/>
  <c r="J21" i="129"/>
  <c r="L14" i="129"/>
  <c r="B167" i="142"/>
  <c r="B66" i="142"/>
  <c r="F67" i="142" s="1"/>
  <c r="O67" i="142" s="1"/>
  <c r="E193" i="146"/>
  <c r="I193" i="146" s="1"/>
  <c r="M111" i="142"/>
  <c r="N111" i="142"/>
  <c r="F422" i="152"/>
  <c r="E190" i="152"/>
  <c r="F190" i="152" s="1"/>
  <c r="F52" i="125"/>
  <c r="E190" i="140"/>
  <c r="F190" i="140" s="1"/>
  <c r="E157" i="152"/>
  <c r="F157" i="152" s="1"/>
  <c r="F19" i="125"/>
  <c r="E157" i="140"/>
  <c r="F157" i="140" s="1"/>
  <c r="E142" i="113"/>
  <c r="F142" i="113" s="1"/>
  <c r="E158" i="140"/>
  <c r="F158" i="140" s="1"/>
  <c r="E143" i="113"/>
  <c r="F143" i="113" s="1"/>
  <c r="E158" i="152"/>
  <c r="F158" i="152" s="1"/>
  <c r="F20" i="125"/>
  <c r="E489" i="152"/>
  <c r="F489" i="152" s="1"/>
  <c r="E489" i="140"/>
  <c r="F489" i="140" s="1"/>
  <c r="G32" i="126"/>
  <c r="E464" i="113"/>
  <c r="F464" i="113" s="1"/>
  <c r="E196" i="146"/>
  <c r="I196" i="146" s="1"/>
  <c r="B72" i="142"/>
  <c r="F73" i="142" s="1"/>
  <c r="O73" i="142" s="1"/>
  <c r="N109" i="142"/>
  <c r="M109" i="142"/>
  <c r="F268" i="140"/>
  <c r="F39" i="125"/>
  <c r="E177" i="140"/>
  <c r="F177" i="140" s="1"/>
  <c r="E163" i="113"/>
  <c r="F163" i="113" s="1"/>
  <c r="E177" i="152"/>
  <c r="F177" i="152" s="1"/>
  <c r="E180" i="152"/>
  <c r="F180" i="152" s="1"/>
  <c r="E180" i="140"/>
  <c r="F180" i="140" s="1"/>
  <c r="F42" i="125"/>
  <c r="E166" i="113"/>
  <c r="F166" i="113" s="1"/>
  <c r="F34" i="86"/>
  <c r="E124" i="152"/>
  <c r="F124" i="152" s="1"/>
  <c r="E124" i="140"/>
  <c r="F124" i="140" s="1"/>
  <c r="E70" i="113"/>
  <c r="F70" i="113" s="1"/>
  <c r="E206" i="146"/>
  <c r="I206" i="146" s="1"/>
  <c r="B90" i="142"/>
  <c r="F102" i="86"/>
  <c r="E442" i="140"/>
  <c r="F442" i="140" s="1"/>
  <c r="E380" i="113"/>
  <c r="F380" i="113" s="1"/>
  <c r="E442" i="152"/>
  <c r="F442" i="152" s="1"/>
  <c r="E550" i="152"/>
  <c r="F550" i="152" s="1"/>
  <c r="E550" i="140"/>
  <c r="F550" i="140" s="1"/>
  <c r="F164" i="86"/>
  <c r="E260" i="152"/>
  <c r="F260" i="152" s="1"/>
  <c r="F258" i="152" s="1"/>
  <c r="F167" i="125"/>
  <c r="F165" i="125" s="1"/>
  <c r="E260" i="140"/>
  <c r="F260" i="140" s="1"/>
  <c r="F258" i="140" s="1"/>
  <c r="F27" i="86"/>
  <c r="E117" i="140"/>
  <c r="F117" i="140" s="1"/>
  <c r="E65" i="113"/>
  <c r="F65" i="113" s="1"/>
  <c r="E117" i="152"/>
  <c r="F117" i="152" s="1"/>
  <c r="F111" i="152" s="1"/>
  <c r="E435" i="152"/>
  <c r="F435" i="152" s="1"/>
  <c r="F95" i="86"/>
  <c r="E373" i="113"/>
  <c r="F373" i="113" s="1"/>
  <c r="E435" i="140"/>
  <c r="F435" i="140" s="1"/>
  <c r="F429" i="140" s="1"/>
  <c r="E180" i="146"/>
  <c r="B41" i="142"/>
  <c r="B70" i="142"/>
  <c r="F71" i="142" s="1"/>
  <c r="O71" i="142" s="1"/>
  <c r="E195" i="146"/>
  <c r="I195" i="146" s="1"/>
  <c r="E130" i="140"/>
  <c r="F130" i="140" s="1"/>
  <c r="E130" i="152"/>
  <c r="F130" i="152" s="1"/>
  <c r="F40" i="86"/>
  <c r="E492" i="152"/>
  <c r="F492" i="152" s="1"/>
  <c r="E467" i="113"/>
  <c r="F467" i="113" s="1"/>
  <c r="G35" i="126"/>
  <c r="E492" i="140"/>
  <c r="F492" i="140" s="1"/>
  <c r="E101" i="86"/>
  <c r="E171" i="86"/>
  <c r="E36" i="86"/>
  <c r="F82" i="86"/>
  <c r="E159" i="152"/>
  <c r="F159" i="152" s="1"/>
  <c r="E144" i="113"/>
  <c r="F144" i="113" s="1"/>
  <c r="E159" i="140"/>
  <c r="F159" i="140" s="1"/>
  <c r="F21" i="125"/>
  <c r="E155" i="152"/>
  <c r="F155" i="152" s="1"/>
  <c r="E155" i="140"/>
  <c r="F155" i="140" s="1"/>
  <c r="F17" i="125"/>
  <c r="E140" i="113"/>
  <c r="F140" i="113" s="1"/>
  <c r="E154" i="152"/>
  <c r="F154" i="152" s="1"/>
  <c r="F16" i="125"/>
  <c r="E154" i="140"/>
  <c r="F154" i="140" s="1"/>
  <c r="E139" i="113"/>
  <c r="F139" i="113" s="1"/>
  <c r="F54" i="125"/>
  <c r="E192" i="152"/>
  <c r="F192" i="152" s="1"/>
  <c r="E192" i="140"/>
  <c r="F192" i="140" s="1"/>
  <c r="E488" i="140"/>
  <c r="F488" i="140" s="1"/>
  <c r="E463" i="113"/>
  <c r="F463" i="113" s="1"/>
  <c r="G31" i="126"/>
  <c r="E488" i="152"/>
  <c r="F488" i="152" s="1"/>
  <c r="E267" i="140"/>
  <c r="F267" i="140" s="1"/>
  <c r="E267" i="152"/>
  <c r="F267" i="152" s="1"/>
  <c r="F174" i="125"/>
  <c r="E218" i="113"/>
  <c r="F218" i="113" s="1"/>
  <c r="B281" i="142"/>
  <c r="E22" i="145"/>
  <c r="F268" i="152"/>
  <c r="E176" i="152"/>
  <c r="F176" i="152" s="1"/>
  <c r="F38" i="125"/>
  <c r="E162" i="113"/>
  <c r="F162" i="113" s="1"/>
  <c r="E176" i="140"/>
  <c r="F176" i="140" s="1"/>
  <c r="E100" i="86"/>
  <c r="E35" i="86"/>
  <c r="E170" i="86"/>
  <c r="M99" i="142"/>
  <c r="N99" i="142"/>
  <c r="M95" i="142"/>
  <c r="N95" i="142"/>
  <c r="E127" i="152"/>
  <c r="F127" i="152" s="1"/>
  <c r="E127" i="140"/>
  <c r="F127" i="140" s="1"/>
  <c r="E73" i="113"/>
  <c r="F73" i="113" s="1"/>
  <c r="F37" i="86"/>
  <c r="E198" i="146"/>
  <c r="I198" i="146" s="1"/>
  <c r="B75" i="142"/>
  <c r="G347" i="152"/>
  <c r="L16" i="129"/>
  <c r="E191" i="152"/>
  <c r="F191" i="152" s="1"/>
  <c r="F53" i="125"/>
  <c r="E191" i="140"/>
  <c r="F191" i="140" s="1"/>
  <c r="E551" i="152"/>
  <c r="F551" i="152" s="1"/>
  <c r="E551" i="140"/>
  <c r="F551" i="140" s="1"/>
  <c r="F165" i="86"/>
  <c r="O111" i="142" l="1"/>
  <c r="F453" i="113"/>
  <c r="F485" i="140"/>
  <c r="F460" i="113"/>
  <c r="F108" i="86"/>
  <c r="O95" i="142"/>
  <c r="F111" i="140"/>
  <c r="G22" i="126"/>
  <c r="F21" i="86"/>
  <c r="G101" i="126"/>
  <c r="G513" i="152"/>
  <c r="G513" i="140"/>
  <c r="E61" i="142"/>
  <c r="F61" i="142"/>
  <c r="F175" i="152"/>
  <c r="F429" i="152"/>
  <c r="N174" i="142"/>
  <c r="K174" i="142"/>
  <c r="M174" i="142"/>
  <c r="L174" i="142"/>
  <c r="E251" i="146"/>
  <c r="I251" i="146" s="1"/>
  <c r="B175" i="142"/>
  <c r="O103" i="142"/>
  <c r="G512" i="140"/>
  <c r="E244" i="146"/>
  <c r="I244" i="146" s="1"/>
  <c r="B162" i="142"/>
  <c r="I158" i="142"/>
  <c r="H158" i="142"/>
  <c r="O158" i="142" s="1"/>
  <c r="O99" i="142"/>
  <c r="F175" i="140"/>
  <c r="F485" i="152"/>
  <c r="B36" i="142"/>
  <c r="G58" i="140"/>
  <c r="G165" i="118"/>
  <c r="E177" i="146"/>
  <c r="I177" i="146" s="1"/>
  <c r="H146" i="142"/>
  <c r="G146" i="142"/>
  <c r="O136" i="142"/>
  <c r="F448" i="152"/>
  <c r="F48" i="142"/>
  <c r="D48" i="142"/>
  <c r="G48" i="142"/>
  <c r="E48" i="142"/>
  <c r="O59" i="142"/>
  <c r="G28" i="126"/>
  <c r="F89" i="86"/>
  <c r="F161" i="113"/>
  <c r="O109" i="142"/>
  <c r="F124" i="118"/>
  <c r="F165" i="118"/>
  <c r="N129" i="142"/>
  <c r="L129" i="142"/>
  <c r="M129" i="142"/>
  <c r="K129" i="142"/>
  <c r="F448" i="140"/>
  <c r="E138" i="142"/>
  <c r="G138" i="142"/>
  <c r="F138" i="142"/>
  <c r="E181" i="146"/>
  <c r="I181" i="146" s="1"/>
  <c r="B43" i="142"/>
  <c r="L21" i="129"/>
  <c r="M14" i="129" s="1"/>
  <c r="E129" i="140"/>
  <c r="F129" i="140" s="1"/>
  <c r="F39" i="86"/>
  <c r="E75" i="113"/>
  <c r="F75" i="113" s="1"/>
  <c r="E129" i="152"/>
  <c r="F129" i="152" s="1"/>
  <c r="F150" i="152"/>
  <c r="B56" i="142"/>
  <c r="E188" i="146"/>
  <c r="I188" i="146" s="1"/>
  <c r="B116" i="142"/>
  <c r="G118" i="142"/>
  <c r="F118" i="142"/>
  <c r="O118" i="142" s="1"/>
  <c r="E556" i="140"/>
  <c r="F556" i="140" s="1"/>
  <c r="F170" i="86"/>
  <c r="E556" i="152"/>
  <c r="F556" i="152" s="1"/>
  <c r="E529" i="113"/>
  <c r="F529" i="113" s="1"/>
  <c r="E441" i="152"/>
  <c r="F441" i="152" s="1"/>
  <c r="E441" i="140"/>
  <c r="F441" i="140" s="1"/>
  <c r="E379" i="113"/>
  <c r="F379" i="113" s="1"/>
  <c r="F101" i="86"/>
  <c r="I180" i="146"/>
  <c r="F160" i="86"/>
  <c r="M91" i="142"/>
  <c r="N91" i="142"/>
  <c r="B282" i="142"/>
  <c r="E27" i="145"/>
  <c r="N21" i="129"/>
  <c r="F33" i="86"/>
  <c r="E69" i="113"/>
  <c r="F69" i="113" s="1"/>
  <c r="E123" i="152"/>
  <c r="F123" i="152" s="1"/>
  <c r="E123" i="140"/>
  <c r="F123" i="140" s="1"/>
  <c r="E560" i="140"/>
  <c r="F560" i="140" s="1"/>
  <c r="E533" i="113"/>
  <c r="F533" i="113" s="1"/>
  <c r="F174" i="86"/>
  <c r="E560" i="152"/>
  <c r="F560" i="152" s="1"/>
  <c r="N105" i="142"/>
  <c r="M105" i="142"/>
  <c r="O105" i="142" s="1"/>
  <c r="F479" i="152"/>
  <c r="M87" i="142"/>
  <c r="N87" i="142"/>
  <c r="O101" i="142"/>
  <c r="E262" i="140"/>
  <c r="F262" i="140" s="1"/>
  <c r="E262" i="152"/>
  <c r="F262" i="152" s="1"/>
  <c r="E215" i="113"/>
  <c r="F215" i="113" s="1"/>
  <c r="F169" i="125"/>
  <c r="E216" i="152"/>
  <c r="F216" i="152" s="1"/>
  <c r="E216" i="140"/>
  <c r="F216" i="140" s="1"/>
  <c r="F78" i="125"/>
  <c r="F135" i="113"/>
  <c r="B122" i="142"/>
  <c r="E223" i="146"/>
  <c r="I223" i="146" s="1"/>
  <c r="F134" i="142"/>
  <c r="E134" i="142"/>
  <c r="B124" i="142"/>
  <c r="E224" i="146"/>
  <c r="I224" i="146" s="1"/>
  <c r="E557" i="152"/>
  <c r="F557" i="152" s="1"/>
  <c r="E557" i="140"/>
  <c r="F557" i="140" s="1"/>
  <c r="E530" i="113"/>
  <c r="F530" i="113" s="1"/>
  <c r="F171" i="86"/>
  <c r="D42" i="142"/>
  <c r="C42" i="142"/>
  <c r="E234" i="146"/>
  <c r="I234" i="146" s="1"/>
  <c r="B143" i="142"/>
  <c r="H168" i="142"/>
  <c r="I168" i="142"/>
  <c r="C51" i="142"/>
  <c r="O51" i="142" s="1"/>
  <c r="E559" i="152"/>
  <c r="F559" i="152" s="1"/>
  <c r="E559" i="140"/>
  <c r="F559" i="140" s="1"/>
  <c r="E532" i="113"/>
  <c r="F532" i="113" s="1"/>
  <c r="F173" i="86"/>
  <c r="E125" i="152"/>
  <c r="F125" i="152" s="1"/>
  <c r="E125" i="140"/>
  <c r="F125" i="140" s="1"/>
  <c r="F35" i="86"/>
  <c r="E71" i="113"/>
  <c r="F71" i="113" s="1"/>
  <c r="F37" i="125"/>
  <c r="G22" i="145"/>
  <c r="G24" i="145" s="1"/>
  <c r="E24" i="145"/>
  <c r="E29" i="145" s="1"/>
  <c r="G29" i="145" s="1"/>
  <c r="E199" i="146"/>
  <c r="I199" i="146" s="1"/>
  <c r="B77" i="142"/>
  <c r="D78" i="142" s="1"/>
  <c r="O78" i="142" s="1"/>
  <c r="F546" i="140"/>
  <c r="E555" i="140"/>
  <c r="F555" i="140" s="1"/>
  <c r="F169" i="86"/>
  <c r="E555" i="152"/>
  <c r="F555" i="152" s="1"/>
  <c r="E528" i="113"/>
  <c r="F528" i="113" s="1"/>
  <c r="F469" i="125"/>
  <c r="F470" i="125" s="1"/>
  <c r="F171" i="125"/>
  <c r="E264" i="140"/>
  <c r="F264" i="140" s="1"/>
  <c r="E264" i="152"/>
  <c r="F264" i="152" s="1"/>
  <c r="E217" i="113"/>
  <c r="F217" i="113" s="1"/>
  <c r="F150" i="140"/>
  <c r="E205" i="146"/>
  <c r="I205" i="146" s="1"/>
  <c r="B88" i="142"/>
  <c r="B85" i="142" s="1"/>
  <c r="O93" i="142"/>
  <c r="E443" i="152"/>
  <c r="F443" i="152" s="1"/>
  <c r="F103" i="86"/>
  <c r="E443" i="140"/>
  <c r="F443" i="140" s="1"/>
  <c r="E381" i="113"/>
  <c r="F381" i="113" s="1"/>
  <c r="M16" i="129"/>
  <c r="B62" i="142"/>
  <c r="E191" i="146"/>
  <c r="I191" i="146" s="1"/>
  <c r="E263" i="152"/>
  <c r="F263" i="152" s="1"/>
  <c r="F170" i="125"/>
  <c r="E263" i="140"/>
  <c r="F263" i="140" s="1"/>
  <c r="E216" i="113"/>
  <c r="F216" i="113" s="1"/>
  <c r="G348" i="140"/>
  <c r="F391" i="125"/>
  <c r="F393" i="125" s="1"/>
  <c r="G348" i="152"/>
  <c r="G8" i="129"/>
  <c r="G390" i="125"/>
  <c r="C76" i="142"/>
  <c r="O76" i="142" s="1"/>
  <c r="E440" i="140"/>
  <c r="F440" i="140" s="1"/>
  <c r="F100" i="86"/>
  <c r="E440" i="152"/>
  <c r="F440" i="152" s="1"/>
  <c r="E378" i="113"/>
  <c r="F378" i="113" s="1"/>
  <c r="F281" i="142"/>
  <c r="M281" i="142"/>
  <c r="E281" i="142"/>
  <c r="I281" i="142"/>
  <c r="H281" i="142"/>
  <c r="K281" i="142"/>
  <c r="G318" i="146"/>
  <c r="C281" i="142"/>
  <c r="D281" i="142"/>
  <c r="L281" i="142"/>
  <c r="B283" i="142"/>
  <c r="N281" i="142"/>
  <c r="G281" i="142"/>
  <c r="J281" i="142"/>
  <c r="E126" i="140"/>
  <c r="F126" i="140" s="1"/>
  <c r="E126" i="152"/>
  <c r="F126" i="152" s="1"/>
  <c r="F36" i="86"/>
  <c r="E72" i="113"/>
  <c r="F72" i="113" s="1"/>
  <c r="F546" i="152"/>
  <c r="E201" i="146"/>
  <c r="I201" i="146" s="1"/>
  <c r="B81" i="142"/>
  <c r="E82" i="142" s="1"/>
  <c r="O82" i="142" s="1"/>
  <c r="M9" i="133"/>
  <c r="M11" i="133" s="1"/>
  <c r="E439" i="140"/>
  <c r="F439" i="140" s="1"/>
  <c r="F99" i="86"/>
  <c r="E439" i="152"/>
  <c r="F439" i="152" s="1"/>
  <c r="E377" i="113"/>
  <c r="F377" i="113" s="1"/>
  <c r="E444" i="152"/>
  <c r="F444" i="152" s="1"/>
  <c r="F104" i="86"/>
  <c r="E444" i="140"/>
  <c r="F444" i="140" s="1"/>
  <c r="E382" i="113"/>
  <c r="F382" i="113" s="1"/>
  <c r="G398" i="140"/>
  <c r="G398" i="152"/>
  <c r="E500" i="140"/>
  <c r="F500" i="140" s="1"/>
  <c r="F499" i="140" s="1"/>
  <c r="G466" i="140" s="1"/>
  <c r="E500" i="152"/>
  <c r="F500" i="152" s="1"/>
  <c r="F499" i="152" s="1"/>
  <c r="E475" i="113"/>
  <c r="F475" i="113" s="1"/>
  <c r="F474" i="113" s="1"/>
  <c r="G43" i="126"/>
  <c r="B139" i="142"/>
  <c r="E232" i="146"/>
  <c r="I232" i="146" s="1"/>
  <c r="O97" i="142"/>
  <c r="F172" i="125"/>
  <c r="E265" i="140"/>
  <c r="F265" i="140" s="1"/>
  <c r="E265" i="152"/>
  <c r="F265" i="152" s="1"/>
  <c r="F12" i="125"/>
  <c r="E217" i="152"/>
  <c r="F217" i="152" s="1"/>
  <c r="F184" i="152" s="1"/>
  <c r="E217" i="140"/>
  <c r="F217" i="140" s="1"/>
  <c r="F184" i="140" s="1"/>
  <c r="F79" i="125"/>
  <c r="F46" i="125" s="1"/>
  <c r="F558" i="113"/>
  <c r="N107" i="142"/>
  <c r="M107" i="142"/>
  <c r="E74" i="113"/>
  <c r="F74" i="113" s="1"/>
  <c r="E128" i="152"/>
  <c r="F128" i="152" s="1"/>
  <c r="E128" i="140"/>
  <c r="F128" i="140" s="1"/>
  <c r="F38" i="86"/>
  <c r="F527" i="113" l="1"/>
  <c r="G113" i="125"/>
  <c r="F554" i="152"/>
  <c r="G537" i="152" s="1"/>
  <c r="O138" i="142"/>
  <c r="O61" i="142"/>
  <c r="J37" i="142"/>
  <c r="B35" i="142"/>
  <c r="K37" i="142"/>
  <c r="F438" i="152"/>
  <c r="H419" i="152" s="1"/>
  <c r="B130" i="142"/>
  <c r="E227" i="146"/>
  <c r="I227" i="146" s="1"/>
  <c r="F392" i="125"/>
  <c r="F394" i="125" s="1"/>
  <c r="F446" i="125" s="1"/>
  <c r="O91" i="142"/>
  <c r="F166" i="118"/>
  <c r="F167" i="118" s="1"/>
  <c r="G5" i="129"/>
  <c r="G102" i="126"/>
  <c r="O107" i="142"/>
  <c r="F554" i="140"/>
  <c r="G59" i="152"/>
  <c r="G59" i="140"/>
  <c r="O48" i="142"/>
  <c r="O146" i="142"/>
  <c r="L163" i="142"/>
  <c r="O163" i="142" s="1"/>
  <c r="B161" i="142"/>
  <c r="K176" i="142"/>
  <c r="J176" i="142"/>
  <c r="L176" i="142"/>
  <c r="I176" i="142"/>
  <c r="G103" i="126"/>
  <c r="G104" i="126" s="1"/>
  <c r="B64" i="142"/>
  <c r="F65" i="142" s="1"/>
  <c r="O65" i="142" s="1"/>
  <c r="E192" i="146"/>
  <c r="I192" i="146" s="1"/>
  <c r="G42" i="126"/>
  <c r="G53" i="126"/>
  <c r="F168" i="86"/>
  <c r="F193" i="86"/>
  <c r="F114" i="125"/>
  <c r="O42" i="142"/>
  <c r="G123" i="142"/>
  <c r="H123" i="142"/>
  <c r="F261" i="140"/>
  <c r="F122" i="140"/>
  <c r="E57" i="142"/>
  <c r="D57" i="142"/>
  <c r="F57" i="142"/>
  <c r="F559" i="113"/>
  <c r="F560" i="113" s="1"/>
  <c r="F562" i="113"/>
  <c r="F880" i="113" s="1"/>
  <c r="F98" i="86"/>
  <c r="F123" i="86"/>
  <c r="O281" i="142"/>
  <c r="E63" i="142"/>
  <c r="F63" i="142"/>
  <c r="B52" i="142"/>
  <c r="E186" i="146"/>
  <c r="I186" i="146" s="1"/>
  <c r="G146" i="140"/>
  <c r="G114" i="125" s="1"/>
  <c r="F471" i="125"/>
  <c r="F472" i="125" s="1"/>
  <c r="E249" i="146"/>
  <c r="I249" i="146" s="1"/>
  <c r="B171" i="142"/>
  <c r="B169" i="142"/>
  <c r="E248" i="146"/>
  <c r="I248" i="146" s="1"/>
  <c r="G537" i="140"/>
  <c r="G144" i="142"/>
  <c r="H144" i="142"/>
  <c r="F168" i="125"/>
  <c r="F250" i="125"/>
  <c r="G466" i="152"/>
  <c r="F122" i="152"/>
  <c r="G103" i="152" s="1"/>
  <c r="E31" i="145"/>
  <c r="E33" i="145" s="1"/>
  <c r="G33" i="145" s="1"/>
  <c r="G27" i="145"/>
  <c r="G31" i="145" s="1"/>
  <c r="G146" i="152"/>
  <c r="F438" i="140"/>
  <c r="F947" i="140" s="1"/>
  <c r="C283" i="142"/>
  <c r="L283" i="142"/>
  <c r="B284" i="142"/>
  <c r="G283" i="142"/>
  <c r="N283" i="142"/>
  <c r="F283" i="142"/>
  <c r="J283" i="142"/>
  <c r="I283" i="142"/>
  <c r="H283" i="142"/>
  <c r="D283" i="142"/>
  <c r="K283" i="142"/>
  <c r="M283" i="142"/>
  <c r="E283" i="142"/>
  <c r="G319" i="146"/>
  <c r="I318" i="146"/>
  <c r="M89" i="142"/>
  <c r="N89" i="142"/>
  <c r="F68" i="113"/>
  <c r="J282" i="142"/>
  <c r="K282" i="142"/>
  <c r="M282" i="142"/>
  <c r="G282" i="142"/>
  <c r="E282" i="142"/>
  <c r="F282" i="142"/>
  <c r="N282" i="142"/>
  <c r="I282" i="142"/>
  <c r="L282" i="142"/>
  <c r="D282" i="142"/>
  <c r="C282" i="142"/>
  <c r="H282" i="142"/>
  <c r="E44" i="142"/>
  <c r="D44" i="142"/>
  <c r="G44" i="142"/>
  <c r="F44" i="142"/>
  <c r="H140" i="142"/>
  <c r="G140" i="142"/>
  <c r="E238" i="146"/>
  <c r="I238" i="146" s="1"/>
  <c r="B151" i="142"/>
  <c r="H152" i="142" s="1"/>
  <c r="O152" i="142" s="1"/>
  <c r="F376" i="113"/>
  <c r="D13" i="145"/>
  <c r="F13" i="145" s="1"/>
  <c r="H8" i="129"/>
  <c r="H26" i="129" s="1"/>
  <c r="G26" i="129"/>
  <c r="O168" i="142"/>
  <c r="I125" i="142"/>
  <c r="H125" i="142"/>
  <c r="J125" i="142"/>
  <c r="K125" i="142"/>
  <c r="O134" i="142"/>
  <c r="F261" i="152"/>
  <c r="G255" i="152" s="1"/>
  <c r="O87" i="142"/>
  <c r="F32" i="86"/>
  <c r="F54" i="86"/>
  <c r="M18" i="129"/>
  <c r="M15" i="129"/>
  <c r="M17" i="129"/>
  <c r="M20" i="129"/>
  <c r="M19" i="129"/>
  <c r="O44" i="142" l="1"/>
  <c r="F168" i="118"/>
  <c r="M21" i="129"/>
  <c r="F947" i="152"/>
  <c r="H947" i="152" s="1"/>
  <c r="O144" i="142"/>
  <c r="O63" i="142"/>
  <c r="F169" i="118"/>
  <c r="F217" i="118" s="1"/>
  <c r="G23" i="129"/>
  <c r="D10" i="145"/>
  <c r="F10" i="145" s="1"/>
  <c r="H5" i="129"/>
  <c r="H23" i="129" s="1"/>
  <c r="J131" i="142"/>
  <c r="I131" i="142"/>
  <c r="H131" i="142"/>
  <c r="O131" i="142" s="1"/>
  <c r="K131" i="142"/>
  <c r="O176" i="142"/>
  <c r="O37" i="142"/>
  <c r="J8" i="129"/>
  <c r="O283" i="142"/>
  <c r="K172" i="142"/>
  <c r="L172" i="142"/>
  <c r="J172" i="142"/>
  <c r="E182" i="146"/>
  <c r="B45" i="142"/>
  <c r="G103" i="140"/>
  <c r="O123" i="142"/>
  <c r="G11" i="129"/>
  <c r="G538" i="140"/>
  <c r="G6" i="133"/>
  <c r="G538" i="152"/>
  <c r="F194" i="86"/>
  <c r="F195" i="86" s="1"/>
  <c r="G193" i="86"/>
  <c r="F55" i="86"/>
  <c r="F57" i="86" s="1"/>
  <c r="G6" i="129"/>
  <c r="G104" i="152"/>
  <c r="G54" i="86"/>
  <c r="G104" i="140"/>
  <c r="G6" i="132"/>
  <c r="O125" i="142"/>
  <c r="K8" i="129"/>
  <c r="K26" i="129" s="1"/>
  <c r="O89" i="142"/>
  <c r="E225" i="146"/>
  <c r="I225" i="146" s="1"/>
  <c r="B126" i="142"/>
  <c r="H419" i="140"/>
  <c r="C53" i="142"/>
  <c r="B49" i="142"/>
  <c r="H420" i="140"/>
  <c r="G123" i="86"/>
  <c r="H420" i="152"/>
  <c r="G9" i="129"/>
  <c r="F124" i="86"/>
  <c r="F125" i="86" s="1"/>
  <c r="G9" i="132"/>
  <c r="F561" i="113"/>
  <c r="B79" i="142"/>
  <c r="E200" i="146"/>
  <c r="I200" i="146" s="1"/>
  <c r="G255" i="140"/>
  <c r="I319" i="146"/>
  <c r="G320" i="146"/>
  <c r="G321" i="146"/>
  <c r="O140" i="142"/>
  <c r="O282" i="142"/>
  <c r="I170" i="142"/>
  <c r="L170" i="142"/>
  <c r="J170" i="142"/>
  <c r="K170" i="142"/>
  <c r="B164" i="142"/>
  <c r="O57" i="142"/>
  <c r="G256" i="152"/>
  <c r="G250" i="125"/>
  <c r="G256" i="140"/>
  <c r="F251" i="125"/>
  <c r="F252" i="125" s="1"/>
  <c r="F948" i="140"/>
  <c r="J55" i="128"/>
  <c r="J56" i="128" s="1"/>
  <c r="J58" i="128" s="1"/>
  <c r="F949" i="140"/>
  <c r="F953" i="140" s="1"/>
  <c r="H947" i="140"/>
  <c r="H287" i="142"/>
  <c r="F115" i="125"/>
  <c r="F116" i="125" s="1"/>
  <c r="G7" i="132"/>
  <c r="G147" i="152"/>
  <c r="G147" i="140"/>
  <c r="G7" i="129"/>
  <c r="G467" i="152"/>
  <c r="G467" i="140"/>
  <c r="H53" i="126"/>
  <c r="G5" i="133"/>
  <c r="G54" i="126"/>
  <c r="G10" i="129"/>
  <c r="B132" i="142"/>
  <c r="F949" i="152" l="1"/>
  <c r="F953" i="152" s="1"/>
  <c r="F948" i="152"/>
  <c r="F56" i="86"/>
  <c r="F58" i="86" s="1"/>
  <c r="F76" i="86" s="1"/>
  <c r="J5" i="129"/>
  <c r="J23" i="129" s="1"/>
  <c r="K5" i="129"/>
  <c r="K23" i="129" s="1"/>
  <c r="G55" i="126"/>
  <c r="G56" i="126"/>
  <c r="F117" i="125"/>
  <c r="F118" i="125" s="1"/>
  <c r="H9" i="132"/>
  <c r="H25" i="132" s="1"/>
  <c r="G25" i="132"/>
  <c r="H9" i="129"/>
  <c r="H27" i="129" s="1"/>
  <c r="D14" i="145"/>
  <c r="F14" i="145" s="1"/>
  <c r="G27" i="129"/>
  <c r="F196" i="86"/>
  <c r="F197" i="86" s="1"/>
  <c r="F219" i="86" s="1"/>
  <c r="H11" i="129"/>
  <c r="H29" i="129" s="1"/>
  <c r="D16" i="145"/>
  <c r="F16" i="145" s="1"/>
  <c r="G29" i="129"/>
  <c r="I182" i="146"/>
  <c r="E253" i="146"/>
  <c r="H7" i="129"/>
  <c r="H25" i="129" s="1"/>
  <c r="D12" i="145"/>
  <c r="F12" i="145" s="1"/>
  <c r="G25" i="129"/>
  <c r="L7" i="132"/>
  <c r="M7" i="132" s="1"/>
  <c r="H7" i="132"/>
  <c r="H23" i="132" s="1"/>
  <c r="G23" i="132"/>
  <c r="L23" i="132" s="1"/>
  <c r="M23" i="132" s="1"/>
  <c r="F253" i="125"/>
  <c r="F254" i="125" s="1"/>
  <c r="O170" i="142"/>
  <c r="E80" i="142"/>
  <c r="O80" i="142" s="1"/>
  <c r="B74" i="142"/>
  <c r="I127" i="142"/>
  <c r="J127" i="142"/>
  <c r="J287" i="142" s="1"/>
  <c r="K127" i="142"/>
  <c r="K287" i="142" s="1"/>
  <c r="B119" i="142"/>
  <c r="H6" i="132"/>
  <c r="H22" i="132" s="1"/>
  <c r="G22" i="132"/>
  <c r="D11" i="145"/>
  <c r="H6" i="129"/>
  <c r="J6" i="129" s="1"/>
  <c r="G24" i="129"/>
  <c r="G12" i="129"/>
  <c r="H6" i="133"/>
  <c r="H14" i="133" s="1"/>
  <c r="G14" i="133"/>
  <c r="O172" i="142"/>
  <c r="D15" i="145"/>
  <c r="F15" i="145" s="1"/>
  <c r="H10" i="129"/>
  <c r="H28" i="129" s="1"/>
  <c r="G28" i="129"/>
  <c r="H5" i="133"/>
  <c r="K5" i="133" s="1"/>
  <c r="L5" i="133" s="1"/>
  <c r="G7" i="133"/>
  <c r="G13" i="133"/>
  <c r="F955" i="140"/>
  <c r="H953" i="140"/>
  <c r="H321" i="146"/>
  <c r="I321" i="146"/>
  <c r="F126" i="86"/>
  <c r="F127" i="86" s="1"/>
  <c r="F148" i="86" s="1"/>
  <c r="O53" i="142"/>
  <c r="G579" i="152"/>
  <c r="G579" i="140"/>
  <c r="J26" i="129"/>
  <c r="L26" i="129" s="1"/>
  <c r="L8" i="129"/>
  <c r="I320" i="146"/>
  <c r="H320" i="146"/>
  <c r="G46" i="142"/>
  <c r="F46" i="142"/>
  <c r="E46" i="142"/>
  <c r="B38" i="142"/>
  <c r="F955" i="152"/>
  <c r="H953" i="152"/>
  <c r="K6" i="133" l="1"/>
  <c r="K14" i="133" s="1"/>
  <c r="G57" i="126"/>
  <c r="G134" i="126" s="1"/>
  <c r="L23" i="129"/>
  <c r="K9" i="129"/>
  <c r="K27" i="129" s="1"/>
  <c r="L27" i="129" s="1"/>
  <c r="K7" i="129"/>
  <c r="K25" i="129" s="1"/>
  <c r="J9" i="129"/>
  <c r="J27" i="129" s="1"/>
  <c r="K11" i="129"/>
  <c r="K29" i="129" s="1"/>
  <c r="F159" i="125"/>
  <c r="L5" i="129"/>
  <c r="G322" i="146"/>
  <c r="I322" i="146" s="1"/>
  <c r="J10" i="129"/>
  <c r="J28" i="129" s="1"/>
  <c r="K6" i="129"/>
  <c r="K24" i="129" s="1"/>
  <c r="J7" i="129"/>
  <c r="J25" i="129" s="1"/>
  <c r="J24" i="129"/>
  <c r="G30" i="129"/>
  <c r="H7" i="133"/>
  <c r="H11" i="133" s="1"/>
  <c r="H13" i="133"/>
  <c r="H15" i="133" s="1"/>
  <c r="L6" i="133"/>
  <c r="B177" i="142"/>
  <c r="B181" i="142" s="1"/>
  <c r="B285" i="142" s="1"/>
  <c r="L25" i="129"/>
  <c r="L7" i="129"/>
  <c r="K9" i="132"/>
  <c r="K25" i="132" s="1"/>
  <c r="L25" i="132" s="1"/>
  <c r="M25" i="132" s="1"/>
  <c r="G15" i="133"/>
  <c r="K13" i="133"/>
  <c r="K15" i="133" s="1"/>
  <c r="K7" i="133"/>
  <c r="L14" i="133"/>
  <c r="K7" i="132"/>
  <c r="K23" i="132" s="1"/>
  <c r="L7" i="133"/>
  <c r="M5" i="133" s="1"/>
  <c r="F221" i="86"/>
  <c r="E255" i="146"/>
  <c r="I253" i="146"/>
  <c r="O46" i="142"/>
  <c r="K10" i="129"/>
  <c r="H24" i="129"/>
  <c r="H30" i="129" s="1"/>
  <c r="H12" i="129"/>
  <c r="O12" i="129" s="1"/>
  <c r="F11" i="145"/>
  <c r="F19" i="145" s="1"/>
  <c r="D19" i="145"/>
  <c r="K6" i="132"/>
  <c r="K22" i="132" s="1"/>
  <c r="L22" i="132" s="1"/>
  <c r="M22" i="132" s="1"/>
  <c r="O127" i="142"/>
  <c r="I287" i="142"/>
  <c r="F336" i="125"/>
  <c r="F498" i="125"/>
  <c r="J11" i="129"/>
  <c r="L9" i="129" l="1"/>
  <c r="L6" i="129"/>
  <c r="L13" i="133"/>
  <c r="L9" i="132"/>
  <c r="M9" i="132" s="1"/>
  <c r="G323" i="146"/>
  <c r="I323" i="146" s="1"/>
  <c r="K28" i="129"/>
  <c r="L28" i="129" s="1"/>
  <c r="L10" i="129"/>
  <c r="I255" i="146"/>
  <c r="C332" i="146" s="1"/>
  <c r="E258" i="146"/>
  <c r="F882" i="113"/>
  <c r="K30" i="129"/>
  <c r="L15" i="133"/>
  <c r="M13" i="133" s="1"/>
  <c r="L24" i="129"/>
  <c r="J29" i="129"/>
  <c r="L29" i="129" s="1"/>
  <c r="L11" i="129"/>
  <c r="D21" i="145"/>
  <c r="E254" i="146"/>
  <c r="I254" i="146" s="1"/>
  <c r="B178" i="142"/>
  <c r="L6" i="132"/>
  <c r="M6" i="132" s="1"/>
  <c r="J12" i="129"/>
  <c r="K12" i="129"/>
  <c r="M6" i="133"/>
  <c r="M7" i="133" s="1"/>
  <c r="J30" i="129"/>
  <c r="L12" i="129" l="1"/>
  <c r="M7" i="129" s="1"/>
  <c r="M14" i="133"/>
  <c r="M15" i="133" s="1"/>
  <c r="M6" i="129"/>
  <c r="M11" i="129"/>
  <c r="G178" i="142"/>
  <c r="D178" i="142"/>
  <c r="K178" i="142"/>
  <c r="E178" i="142"/>
  <c r="J178" i="142"/>
  <c r="H178" i="142"/>
  <c r="C178" i="142"/>
  <c r="I178" i="142"/>
  <c r="F178" i="142"/>
  <c r="L178" i="142"/>
  <c r="M178" i="142"/>
  <c r="N178" i="142"/>
  <c r="C335" i="146"/>
  <c r="H335" i="146" s="1"/>
  <c r="H332" i="146"/>
  <c r="C341" i="146"/>
  <c r="B179" i="142"/>
  <c r="D26" i="145"/>
  <c r="E256" i="146"/>
  <c r="M5" i="129"/>
  <c r="M8" i="129"/>
  <c r="M10" i="129"/>
  <c r="D24" i="145"/>
  <c r="F21" i="145"/>
  <c r="F24" i="145" s="1"/>
  <c r="D28" i="145"/>
  <c r="F28" i="145" s="1"/>
  <c r="B180" i="142"/>
  <c r="E257" i="146"/>
  <c r="L30" i="129"/>
  <c r="M29" i="129" s="1"/>
  <c r="M9" i="129"/>
  <c r="I258" i="146"/>
  <c r="I325" i="146"/>
  <c r="M24" i="129" l="1"/>
  <c r="M28" i="129"/>
  <c r="C334" i="146"/>
  <c r="H334" i="146" s="1"/>
  <c r="I257" i="146"/>
  <c r="M12" i="129"/>
  <c r="F180" i="142"/>
  <c r="C180" i="142"/>
  <c r="K180" i="142"/>
  <c r="J180" i="142"/>
  <c r="G180" i="142"/>
  <c r="L180" i="142"/>
  <c r="M180" i="142"/>
  <c r="H180" i="142"/>
  <c r="E180" i="142"/>
  <c r="N180" i="142"/>
  <c r="I180" i="142"/>
  <c r="D180" i="142"/>
  <c r="C333" i="146"/>
  <c r="I256" i="146"/>
  <c r="O178" i="142"/>
  <c r="M23" i="129"/>
  <c r="M26" i="129"/>
  <c r="L34" i="129"/>
  <c r="M25" i="129"/>
  <c r="M27" i="129"/>
  <c r="D31" i="145"/>
  <c r="D33" i="145" s="1"/>
  <c r="F26" i="145"/>
  <c r="F31" i="145" s="1"/>
  <c r="H179" i="142"/>
  <c r="E179" i="142"/>
  <c r="K179" i="142"/>
  <c r="C179" i="142"/>
  <c r="J179" i="142"/>
  <c r="G179" i="142"/>
  <c r="G287" i="142" s="1"/>
  <c r="F179" i="142"/>
  <c r="F287" i="142" s="1"/>
  <c r="M179" i="142"/>
  <c r="I179" i="142"/>
  <c r="N179" i="142"/>
  <c r="D179" i="142"/>
  <c r="L179" i="142"/>
  <c r="M287" i="142" l="1"/>
  <c r="N287" i="142"/>
  <c r="D287" i="142"/>
  <c r="F33" i="145"/>
  <c r="D34" i="145"/>
  <c r="M30" i="129"/>
  <c r="L287" i="142"/>
  <c r="O180" i="142"/>
  <c r="O179" i="142"/>
  <c r="C287" i="142"/>
  <c r="H333" i="146"/>
  <c r="C343" i="146"/>
  <c r="E287" i="142"/>
  <c r="C289" i="142" l="1"/>
  <c r="D289" i="142" s="1"/>
  <c r="E289" i="142" s="1"/>
  <c r="F289" i="142" s="1"/>
  <c r="G289" i="142" s="1"/>
  <c r="H289" i="142" s="1"/>
  <c r="I289" i="142" s="1"/>
  <c r="J289" i="142" s="1"/>
  <c r="K289" i="142" s="1"/>
  <c r="L289" i="142" s="1"/>
  <c r="M289" i="142" s="1"/>
  <c r="N289" i="142" s="1"/>
  <c r="O287" i="142"/>
  <c r="C288" i="142"/>
  <c r="C290" i="142" s="1"/>
  <c r="H288" i="142" l="1"/>
  <c r="K288" i="142"/>
  <c r="J288" i="142"/>
  <c r="I288" i="142"/>
  <c r="N288" i="142"/>
  <c r="M288" i="142"/>
  <c r="G288" i="142"/>
  <c r="F288" i="142"/>
  <c r="D288" i="142"/>
  <c r="D290" i="142" s="1"/>
  <c r="E290" i="142" s="1"/>
  <c r="E288" i="142"/>
  <c r="L288" i="142"/>
  <c r="F290" i="142" l="1"/>
  <c r="G290" i="142" s="1"/>
  <c r="H290" i="142" s="1"/>
  <c r="I290" i="142" s="1"/>
  <c r="J290" i="142" s="1"/>
  <c r="K290" i="142" s="1"/>
  <c r="L290" i="142" s="1"/>
  <c r="M290" i="142" s="1"/>
  <c r="N290" i="142" s="1"/>
  <c r="G144" i="136"/>
  <c r="B144" i="136"/>
  <c r="B145" i="136"/>
</calcChain>
</file>

<file path=xl/comments1.xml><?xml version="1.0" encoding="utf-8"?>
<comments xmlns="http://schemas.openxmlformats.org/spreadsheetml/2006/main">
  <authors>
    <author>jgomezz</author>
  </authors>
  <commentList>
    <comment ref="E40" authorId="0" shapeId="0">
      <text>
        <r>
          <rPr>
            <b/>
            <sz val="8"/>
            <color indexed="81"/>
            <rFont val="Tahoma"/>
            <family val="2"/>
          </rPr>
          <t>jgomezz:</t>
        </r>
        <r>
          <rPr>
            <sz val="8"/>
            <color indexed="81"/>
            <rFont val="Tahoma"/>
            <family val="2"/>
          </rPr>
          <t xml:space="preserve">
Dedica medio tiempo a labores de impacto</t>
        </r>
      </text>
    </comment>
  </commentList>
</comments>
</file>

<file path=xl/comments10.xml><?xml version="1.0" encoding="utf-8"?>
<comments xmlns="http://schemas.openxmlformats.org/spreadsheetml/2006/main">
  <authors>
    <author>Usuario de Windows</author>
  </authors>
  <commentList>
    <comment ref="C138" authorId="0" shapeId="0">
      <text>
        <r>
          <rPr>
            <b/>
            <sz val="9"/>
            <color indexed="81"/>
            <rFont val="Tahoma"/>
            <family val="2"/>
          </rPr>
          <t>Usuario de Windows:</t>
        </r>
        <r>
          <rPr>
            <sz val="9"/>
            <color indexed="81"/>
            <rFont val="Tahoma"/>
            <family val="2"/>
          </rPr>
          <t xml:space="preserve">
12 horas por cada m3 demolido</t>
        </r>
      </text>
    </comment>
    <comment ref="B155" authorId="0" shapeId="0">
      <text>
        <r>
          <rPr>
            <b/>
            <sz val="9"/>
            <color indexed="81"/>
            <rFont val="Tahoma"/>
            <family val="2"/>
          </rPr>
          <t>Usuario de Windows:</t>
        </r>
        <r>
          <rPr>
            <sz val="9"/>
            <color indexed="81"/>
            <rFont val="Tahoma"/>
            <family val="2"/>
          </rPr>
          <t xml:space="preserve">
COTIZAR PULIDORA
</t>
        </r>
      </text>
    </comment>
    <comment ref="B163" authorId="0" shapeId="0">
      <text>
        <r>
          <rPr>
            <b/>
            <sz val="9"/>
            <color indexed="81"/>
            <rFont val="Tahoma"/>
            <family val="2"/>
          </rPr>
          <t>Usuario de Windows:</t>
        </r>
        <r>
          <rPr>
            <sz val="9"/>
            <color indexed="81"/>
            <rFont val="Tahoma"/>
            <family val="2"/>
          </rPr>
          <t xml:space="preserve">
COTIZAR PULIDORA
</t>
        </r>
      </text>
    </comment>
  </commentList>
</comments>
</file>

<file path=xl/comments11.xml><?xml version="1.0" encoding="utf-8"?>
<comments xmlns="http://schemas.openxmlformats.org/spreadsheetml/2006/main">
  <authors>
    <author>USER</author>
  </authors>
  <commentList>
    <comment ref="E1556" authorId="0" shapeId="0">
      <text>
        <r>
          <rPr>
            <b/>
            <sz val="8"/>
            <color indexed="81"/>
            <rFont val="Tahoma"/>
            <family val="2"/>
          </rPr>
          <t>USER:</t>
        </r>
        <r>
          <rPr>
            <sz val="8"/>
            <color indexed="81"/>
            <rFont val="Tahoma"/>
            <family val="2"/>
          </rPr>
          <t xml:space="preserve">
CAMBIAR MANUALMENTE</t>
        </r>
      </text>
    </comment>
    <comment ref="E1586" authorId="0" shapeId="0">
      <text>
        <r>
          <rPr>
            <b/>
            <sz val="8"/>
            <color indexed="81"/>
            <rFont val="Tahoma"/>
            <family val="2"/>
          </rPr>
          <t>USER:</t>
        </r>
        <r>
          <rPr>
            <sz val="8"/>
            <color indexed="81"/>
            <rFont val="Tahoma"/>
            <family val="2"/>
          </rPr>
          <t xml:space="preserve">
CAMBIAR MANUALMENTE</t>
        </r>
      </text>
    </comment>
  </commentList>
</comments>
</file>

<file path=xl/comments12.xml><?xml version="1.0" encoding="utf-8"?>
<comments xmlns="http://schemas.openxmlformats.org/spreadsheetml/2006/main">
  <authors>
    <author>Usuario de Windows</author>
  </authors>
  <commentList>
    <comment ref="D10" authorId="0" shapeId="0">
      <text>
        <r>
          <rPr>
            <b/>
            <sz val="9"/>
            <color indexed="81"/>
            <rFont val="Tahoma"/>
            <family val="2"/>
          </rPr>
          <t>Usuario de Windows:</t>
        </r>
        <r>
          <rPr>
            <sz val="9"/>
            <color indexed="81"/>
            <rFont val="Tahoma"/>
            <family val="2"/>
          </rPr>
          <t xml:space="preserve">
AREA FLOCULADOR 
</t>
        </r>
      </text>
    </comment>
    <comment ref="D11" authorId="0" shapeId="0">
      <text>
        <r>
          <rPr>
            <b/>
            <sz val="9"/>
            <color indexed="81"/>
            <rFont val="Tahoma"/>
            <family val="2"/>
          </rPr>
          <t>Usuario de Windows:</t>
        </r>
        <r>
          <rPr>
            <sz val="9"/>
            <color indexed="81"/>
            <rFont val="Tahoma"/>
            <family val="2"/>
          </rPr>
          <t xml:space="preserve">
desmonte y limpieza de los alrededores del floculador</t>
        </r>
      </text>
    </comment>
    <comment ref="D48" authorId="0" shapeId="0">
      <text>
        <r>
          <rPr>
            <b/>
            <sz val="9"/>
            <color indexed="81"/>
            <rFont val="Tahoma"/>
            <family val="2"/>
          </rPr>
          <t>Usuario de Windows:</t>
        </r>
        <r>
          <rPr>
            <sz val="9"/>
            <color indexed="81"/>
            <rFont val="Tahoma"/>
            <family val="2"/>
          </rPr>
          <t xml:space="preserve">
area real de la caseta de bombeo</t>
        </r>
      </text>
    </comment>
    <comment ref="B73" authorId="0" shapeId="0">
      <text>
        <r>
          <rPr>
            <b/>
            <sz val="9"/>
            <color indexed="81"/>
            <rFont val="Tahoma"/>
            <family val="2"/>
          </rPr>
          <t>Usuario de Windows:</t>
        </r>
        <r>
          <rPr>
            <sz val="9"/>
            <color indexed="81"/>
            <rFont val="Tahoma"/>
            <family val="2"/>
          </rPr>
          <t xml:space="preserve">
FALTA MEDIDA, PREGUNTAR A JAVIER</t>
        </r>
      </text>
    </comment>
    <comment ref="E176" authorId="0" shapeId="0">
      <text>
        <r>
          <rPr>
            <b/>
            <sz val="9"/>
            <color indexed="81"/>
            <rFont val="Tahoma"/>
            <family val="2"/>
          </rPr>
          <t>Usuario de Windows:</t>
        </r>
        <r>
          <rPr>
            <sz val="9"/>
            <color indexed="81"/>
            <rFont val="Tahoma"/>
            <family val="2"/>
          </rPr>
          <t xml:space="preserve">
Está barato el metro lineal.</t>
        </r>
      </text>
    </comment>
    <comment ref="D305" authorId="0" shapeId="0">
      <text>
        <r>
          <rPr>
            <b/>
            <sz val="9"/>
            <color indexed="81"/>
            <rFont val="Tahoma"/>
            <family val="2"/>
          </rPr>
          <t>Usuario de Windows:</t>
        </r>
        <r>
          <rPr>
            <sz val="9"/>
            <color indexed="81"/>
            <rFont val="Tahoma"/>
            <family val="2"/>
          </rPr>
          <t xml:space="preserve">
Javier: un niple en pvc de 34.84m???? No existe, se tendria que unir con uniones….. </t>
        </r>
      </text>
    </comment>
  </commentList>
</comments>
</file>

<file path=xl/comments13.xml><?xml version="1.0" encoding="utf-8"?>
<comments xmlns="http://schemas.openxmlformats.org/spreadsheetml/2006/main">
  <authors>
    <author>Usuario de Windows</author>
  </authors>
  <commentList>
    <comment ref="E418" authorId="0" shapeId="0">
      <text>
        <r>
          <rPr>
            <b/>
            <sz val="9"/>
            <color indexed="81"/>
            <rFont val="Tahoma"/>
            <family val="2"/>
          </rPr>
          <t>Usuario de Windows:</t>
        </r>
        <r>
          <rPr>
            <sz val="9"/>
            <color indexed="81"/>
            <rFont val="Tahoma"/>
            <family val="2"/>
          </rPr>
          <t xml:space="preserve">
todo al mismo precio???? 200 siempre??</t>
        </r>
      </text>
    </comment>
    <comment ref="E439" authorId="0" shapeId="0">
      <text>
        <r>
          <rPr>
            <b/>
            <sz val="9"/>
            <color indexed="81"/>
            <rFont val="Tahoma"/>
            <family val="2"/>
          </rPr>
          <t>Usuario de Windows:</t>
        </r>
        <r>
          <rPr>
            <sz val="9"/>
            <color indexed="81"/>
            <rFont val="Tahoma"/>
            <family val="2"/>
          </rPr>
          <t xml:space="preserve">
todo al mismo precio???? 200 siempre??</t>
        </r>
      </text>
    </comment>
    <comment ref="E459" authorId="0" shapeId="0">
      <text>
        <r>
          <rPr>
            <b/>
            <sz val="9"/>
            <color indexed="81"/>
            <rFont val="Tahoma"/>
            <family val="2"/>
          </rPr>
          <t>Usuario de Windows:</t>
        </r>
        <r>
          <rPr>
            <sz val="9"/>
            <color indexed="81"/>
            <rFont val="Tahoma"/>
            <family val="2"/>
          </rPr>
          <t xml:space="preserve">
todo al mismo precio???? 200 siempre??</t>
        </r>
      </text>
    </comment>
    <comment ref="E474" authorId="0" shapeId="0">
      <text>
        <r>
          <rPr>
            <b/>
            <sz val="9"/>
            <color indexed="81"/>
            <rFont val="Tahoma"/>
            <family val="2"/>
          </rPr>
          <t>Usuario de Windows:</t>
        </r>
        <r>
          <rPr>
            <sz val="9"/>
            <color indexed="81"/>
            <rFont val="Tahoma"/>
            <family val="2"/>
          </rPr>
          <t xml:space="preserve">
todo al mismo precio???? 200 siempre??</t>
        </r>
      </text>
    </comment>
  </commentList>
</comments>
</file>

<file path=xl/comments2.xml><?xml version="1.0" encoding="utf-8"?>
<comments xmlns="http://schemas.openxmlformats.org/spreadsheetml/2006/main">
  <authors>
    <author>eleal</author>
  </authors>
  <commentList>
    <comment ref="B165" authorId="0" shapeId="0">
      <text>
        <r>
          <rPr>
            <b/>
            <sz val="8"/>
            <color indexed="81"/>
            <rFont val="Tahoma"/>
            <family val="2"/>
          </rPr>
          <t>eleal:</t>
        </r>
        <r>
          <rPr>
            <sz val="8"/>
            <color indexed="81"/>
            <rFont val="Tahoma"/>
            <family val="2"/>
          </rPr>
          <t xml:space="preserve">
DIAMETRO EXTERNO</t>
        </r>
      </text>
    </comment>
  </commentList>
</comments>
</file>

<file path=xl/comments3.xml><?xml version="1.0" encoding="utf-8"?>
<comments xmlns="http://schemas.openxmlformats.org/spreadsheetml/2006/main">
  <authors>
    <author>Usuario de Windows</author>
  </authors>
  <commentList>
    <comment ref="E69" authorId="0" shapeId="0">
      <text>
        <r>
          <rPr>
            <b/>
            <sz val="9"/>
            <color indexed="81"/>
            <rFont val="Tahoma"/>
            <family val="2"/>
          </rPr>
          <t>Usuario de Windows:</t>
        </r>
        <r>
          <rPr>
            <sz val="9"/>
            <color indexed="81"/>
            <rFont val="Tahoma"/>
            <family val="2"/>
          </rPr>
          <t xml:space="preserve">
LAS REDUCCIONES DEBEN COSTAR MENOS QUE LOS NIPLES
</t>
        </r>
      </text>
    </comment>
    <comment ref="E556" authorId="0" shapeId="0">
      <text>
        <r>
          <rPr>
            <b/>
            <sz val="9"/>
            <color indexed="81"/>
            <rFont val="Tahoma"/>
            <family val="2"/>
          </rPr>
          <t>Usuario de Windows:</t>
        </r>
        <r>
          <rPr>
            <sz val="9"/>
            <color indexed="81"/>
            <rFont val="Tahoma"/>
            <family val="2"/>
          </rPr>
          <t xml:space="preserve">
REVISAR PRECIO CORTACT 
</t>
        </r>
      </text>
    </comment>
    <comment ref="B575" authorId="0" shapeId="0">
      <text>
        <r>
          <rPr>
            <b/>
            <sz val="9"/>
            <color indexed="81"/>
            <rFont val="Tahoma"/>
            <family val="2"/>
          </rPr>
          <t>Usuario de Windows:</t>
        </r>
        <r>
          <rPr>
            <sz val="9"/>
            <color indexed="81"/>
            <rFont val="Tahoma"/>
            <family val="2"/>
          </rPr>
          <t xml:space="preserve">
Preguntar a Javier Numero de valvulas</t>
        </r>
      </text>
    </comment>
    <comment ref="B651" authorId="0" shapeId="0">
      <text>
        <r>
          <rPr>
            <b/>
            <sz val="9"/>
            <color indexed="81"/>
            <rFont val="Tahoma"/>
            <family val="2"/>
          </rPr>
          <t>Usuario de Windows:</t>
        </r>
        <r>
          <rPr>
            <sz val="9"/>
            <color indexed="81"/>
            <rFont val="Tahoma"/>
            <family val="2"/>
          </rPr>
          <t xml:space="preserve">
HACEN FALTA LAS REDUCCIONES PARA ENTRADA Y SALIDA DE BOMBA</t>
        </r>
      </text>
    </comment>
  </commentList>
</comments>
</file>

<file path=xl/comments4.xml><?xml version="1.0" encoding="utf-8"?>
<comments xmlns="http://schemas.openxmlformats.org/spreadsheetml/2006/main">
  <authors>
    <author>Usuario de Windows</author>
  </authors>
  <commentList>
    <comment ref="E69" authorId="0" shapeId="0">
      <text>
        <r>
          <rPr>
            <b/>
            <sz val="9"/>
            <color indexed="81"/>
            <rFont val="Tahoma"/>
            <family val="2"/>
          </rPr>
          <t>Usuario de Windows:</t>
        </r>
        <r>
          <rPr>
            <sz val="9"/>
            <color indexed="81"/>
            <rFont val="Tahoma"/>
            <family val="2"/>
          </rPr>
          <t xml:space="preserve">
LAS REDUCCIONES DEBEN COSTAR MENOS QUE LOS NIPLES
</t>
        </r>
      </text>
    </comment>
    <comment ref="E556" authorId="0" shapeId="0">
      <text>
        <r>
          <rPr>
            <b/>
            <sz val="9"/>
            <color indexed="81"/>
            <rFont val="Tahoma"/>
            <family val="2"/>
          </rPr>
          <t>Usuario de Windows:</t>
        </r>
        <r>
          <rPr>
            <sz val="9"/>
            <color indexed="81"/>
            <rFont val="Tahoma"/>
            <family val="2"/>
          </rPr>
          <t xml:space="preserve">
REVISAR PRECIO CORTACT 
</t>
        </r>
      </text>
    </comment>
    <comment ref="B575" authorId="0" shapeId="0">
      <text>
        <r>
          <rPr>
            <b/>
            <sz val="9"/>
            <color indexed="81"/>
            <rFont val="Tahoma"/>
            <family val="2"/>
          </rPr>
          <t>Usuario de Windows:</t>
        </r>
        <r>
          <rPr>
            <sz val="9"/>
            <color indexed="81"/>
            <rFont val="Tahoma"/>
            <family val="2"/>
          </rPr>
          <t xml:space="preserve">
Preguntar a Javier Numero de valvulas</t>
        </r>
      </text>
    </comment>
    <comment ref="B651" authorId="0" shapeId="0">
      <text>
        <r>
          <rPr>
            <b/>
            <sz val="9"/>
            <color indexed="81"/>
            <rFont val="Tahoma"/>
            <family val="2"/>
          </rPr>
          <t>Usuario de Windows:</t>
        </r>
        <r>
          <rPr>
            <sz val="9"/>
            <color indexed="81"/>
            <rFont val="Tahoma"/>
            <family val="2"/>
          </rPr>
          <t xml:space="preserve">
HACEN FALTA LAS REDUCCIONES PARA ENTRADA Y SALIDA DE BOMBA</t>
        </r>
      </text>
    </comment>
  </commentList>
</comments>
</file>

<file path=xl/comments5.xml><?xml version="1.0" encoding="utf-8"?>
<comments xmlns="http://schemas.openxmlformats.org/spreadsheetml/2006/main">
  <authors>
    <author>eleal</author>
  </authors>
  <commentList>
    <comment ref="B203" authorId="0" shapeId="0">
      <text>
        <r>
          <rPr>
            <b/>
            <sz val="8"/>
            <color indexed="81"/>
            <rFont val="Tahoma"/>
            <family val="2"/>
          </rPr>
          <t>eleal:</t>
        </r>
        <r>
          <rPr>
            <sz val="8"/>
            <color indexed="81"/>
            <rFont val="Tahoma"/>
            <family val="2"/>
          </rPr>
          <t xml:space="preserve">
DIAMETRO EXTERNO</t>
        </r>
      </text>
    </comment>
  </commentList>
</comments>
</file>

<file path=xl/comments6.xml><?xml version="1.0" encoding="utf-8"?>
<comments xmlns="http://schemas.openxmlformats.org/spreadsheetml/2006/main">
  <authors>
    <author>Usuario de Windows</author>
  </authors>
  <commentList>
    <comment ref="E779" authorId="0" shapeId="0">
      <text>
        <r>
          <rPr>
            <b/>
            <sz val="9"/>
            <color indexed="81"/>
            <rFont val="Tahoma"/>
            <family val="2"/>
          </rPr>
          <t>Usuario de Windows:</t>
        </r>
        <r>
          <rPr>
            <sz val="9"/>
            <color indexed="81"/>
            <rFont val="Tahoma"/>
            <family val="2"/>
          </rPr>
          <t xml:space="preserve">
REVISAR TIPO DE AYUDANTE- SI SE PUEDE PONER EL MISMO DE OBRA CIVIL</t>
        </r>
      </text>
    </comment>
    <comment ref="E1226" authorId="0" shapeId="0">
      <text>
        <r>
          <rPr>
            <b/>
            <sz val="9"/>
            <color indexed="81"/>
            <rFont val="Tahoma"/>
            <family val="2"/>
          </rPr>
          <t>Usuario de Windows:</t>
        </r>
        <r>
          <rPr>
            <sz val="9"/>
            <color indexed="81"/>
            <rFont val="Tahoma"/>
            <family val="2"/>
          </rPr>
          <t xml:space="preserve">
todo al mismo precio???? 200 siempre??</t>
        </r>
      </text>
    </comment>
    <comment ref="E1247" authorId="0" shapeId="0">
      <text>
        <r>
          <rPr>
            <b/>
            <sz val="9"/>
            <color indexed="81"/>
            <rFont val="Tahoma"/>
            <family val="2"/>
          </rPr>
          <t>Usuario de Windows:</t>
        </r>
        <r>
          <rPr>
            <sz val="9"/>
            <color indexed="81"/>
            <rFont val="Tahoma"/>
            <family val="2"/>
          </rPr>
          <t xml:space="preserve">
todo al mismo precio???? 200 siempre??</t>
        </r>
      </text>
    </comment>
    <comment ref="E1267" authorId="0" shapeId="0">
      <text>
        <r>
          <rPr>
            <b/>
            <sz val="9"/>
            <color indexed="81"/>
            <rFont val="Tahoma"/>
            <family val="2"/>
          </rPr>
          <t>Usuario de Windows:</t>
        </r>
        <r>
          <rPr>
            <sz val="9"/>
            <color indexed="81"/>
            <rFont val="Tahoma"/>
            <family val="2"/>
          </rPr>
          <t xml:space="preserve">
todo al mismo precio???? 200 siempre??</t>
        </r>
      </text>
    </comment>
  </commentList>
</comments>
</file>

<file path=xl/comments7.xml><?xml version="1.0" encoding="utf-8"?>
<comments xmlns="http://schemas.openxmlformats.org/spreadsheetml/2006/main">
  <authors>
    <author>Usuario de Windows</author>
  </authors>
  <commentList>
    <comment ref="E35" authorId="0" shapeId="0">
      <text>
        <r>
          <rPr>
            <b/>
            <sz val="9"/>
            <color indexed="81"/>
            <rFont val="Tahoma"/>
            <family val="2"/>
          </rPr>
          <t>Usuario de Windows:</t>
        </r>
        <r>
          <rPr>
            <sz val="9"/>
            <color indexed="81"/>
            <rFont val="Tahoma"/>
            <family val="2"/>
          </rPr>
          <t xml:space="preserve">
se debe averiguar con MR
38
</t>
        </r>
      </text>
    </comment>
    <comment ref="E105" authorId="0" shapeId="0">
      <text>
        <r>
          <rPr>
            <b/>
            <sz val="9"/>
            <color indexed="81"/>
            <rFont val="Tahoma"/>
            <family val="2"/>
          </rPr>
          <t>Usuario de Windows:</t>
        </r>
        <r>
          <rPr>
            <sz val="9"/>
            <color indexed="81"/>
            <rFont val="Tahoma"/>
            <family val="2"/>
          </rPr>
          <t xml:space="preserve">
cotizar costo m3 de asfalto</t>
        </r>
      </text>
    </comment>
  </commentList>
</comments>
</file>

<file path=xl/comments8.xml><?xml version="1.0" encoding="utf-8"?>
<comments xmlns="http://schemas.openxmlformats.org/spreadsheetml/2006/main">
  <authors>
    <author>Usuario de Windows</author>
  </authors>
  <commentList>
    <comment ref="B501" authorId="0" shapeId="0">
      <text>
        <r>
          <rPr>
            <b/>
            <sz val="9"/>
            <color indexed="81"/>
            <rFont val="Tahoma"/>
            <family val="2"/>
          </rPr>
          <t>Usuario de Windows:</t>
        </r>
        <r>
          <rPr>
            <sz val="9"/>
            <color indexed="81"/>
            <rFont val="Tahoma"/>
            <family val="2"/>
          </rPr>
          <t xml:space="preserve">
NO SE ENCUENTRA COTIZACIÓN</t>
        </r>
      </text>
    </comment>
  </commentList>
</comments>
</file>

<file path=xl/comments9.xml><?xml version="1.0" encoding="utf-8"?>
<comments xmlns="http://schemas.openxmlformats.org/spreadsheetml/2006/main">
  <authors>
    <author>Usuario de Windows</author>
  </authors>
  <commentList>
    <comment ref="E88" authorId="0" shapeId="0">
      <text>
        <r>
          <rPr>
            <b/>
            <sz val="9"/>
            <color indexed="81"/>
            <rFont val="Tahoma"/>
            <family val="2"/>
          </rPr>
          <t>Usuario de Windows:</t>
        </r>
        <r>
          <rPr>
            <sz val="9"/>
            <color indexed="81"/>
            <rFont val="Tahoma"/>
            <family val="2"/>
          </rPr>
          <t xml:space="preserve">
LAS REDUCCIONES DEBEN COSTAR MENOS QUE LOS NIPLES
</t>
        </r>
      </text>
    </comment>
    <comment ref="E96" authorId="0" shapeId="0">
      <text>
        <r>
          <rPr>
            <b/>
            <sz val="9"/>
            <color indexed="81"/>
            <rFont val="Tahoma"/>
            <family val="2"/>
          </rPr>
          <t>Usuario de Windows:</t>
        </r>
        <r>
          <rPr>
            <sz val="9"/>
            <color indexed="81"/>
            <rFont val="Tahoma"/>
            <family val="2"/>
          </rPr>
          <t xml:space="preserve">
MODIFICAR VALOR
</t>
        </r>
      </text>
    </comment>
    <comment ref="D367" authorId="0" shapeId="0">
      <text>
        <r>
          <rPr>
            <b/>
            <sz val="9"/>
            <color indexed="81"/>
            <rFont val="Tahoma"/>
            <family val="2"/>
          </rPr>
          <t>Usuario de Windows:</t>
        </r>
        <r>
          <rPr>
            <sz val="9"/>
            <color indexed="81"/>
            <rFont val="Tahoma"/>
            <family val="2"/>
          </rPr>
          <t xml:space="preserve">
Colocar formulas </t>
        </r>
      </text>
    </comment>
    <comment ref="B547" authorId="0" shapeId="0">
      <text>
        <r>
          <rPr>
            <b/>
            <sz val="9"/>
            <color indexed="81"/>
            <rFont val="Tahoma"/>
            <family val="2"/>
          </rPr>
          <t>Usuario de Windows:</t>
        </r>
        <r>
          <rPr>
            <sz val="9"/>
            <color indexed="81"/>
            <rFont val="Tahoma"/>
            <family val="2"/>
          </rPr>
          <t xml:space="preserve">
REVISAR APU</t>
        </r>
      </text>
    </comment>
    <comment ref="B550" authorId="0" shapeId="0">
      <text>
        <r>
          <rPr>
            <b/>
            <sz val="9"/>
            <color indexed="81"/>
            <rFont val="Tahoma"/>
            <family val="2"/>
          </rPr>
          <t>Usuario de Windows:</t>
        </r>
        <r>
          <rPr>
            <sz val="9"/>
            <color indexed="81"/>
            <rFont val="Tahoma"/>
            <family val="2"/>
          </rPr>
          <t xml:space="preserve">
Preguntar a Javier Numero de valvulas</t>
        </r>
      </text>
    </comment>
    <comment ref="E777" authorId="0" shapeId="0">
      <text>
        <r>
          <rPr>
            <b/>
            <sz val="9"/>
            <color indexed="81"/>
            <rFont val="Tahoma"/>
            <family val="2"/>
          </rPr>
          <t>Usuario de Windows:</t>
        </r>
        <r>
          <rPr>
            <sz val="9"/>
            <color indexed="81"/>
            <rFont val="Tahoma"/>
            <family val="2"/>
          </rPr>
          <t xml:space="preserve">
REVISAR
</t>
        </r>
      </text>
    </comment>
  </commentList>
</comments>
</file>

<file path=xl/connections.xml><?xml version="1.0" encoding="utf-8"?>
<connections xmlns="http://schemas.openxmlformats.org/spreadsheetml/2006/main">
  <connection id="1" name="APUCING10"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 name="APUCING10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 name="APUCING10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4" name="APUCING10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5" name="APUCING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6" name="APUCING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7" name="APUCING1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8" name="APUCING11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9" name="APUCING12"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0" name="APUCING12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1" name="APUCING12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2" name="APUCING12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3" name="APUCING2"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4" name="APUCING2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5" name="APUCING2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6" name="APUCING2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7" name="APUCING3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8" name="APUCING3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19" name="APUCING3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0" name="APUCING4"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1" name="APUCING4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2" name="APUCING4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3" name="APUCING5"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4" name="APUCING5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5" name="APUCING5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6" name="APUCING5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7" name="APUCING6"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8" name="APUCING6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29" name="APUCING6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0" name="APUCING6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1" name="APUCING7"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2" name="APUCING7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3" name="APUCING7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4" name="APUCING7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5" name="APUCING8"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6" name="APUCING8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7" name="APUCING8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8" name="APUCING8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39" name="APUCING9"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40" name="APUCING9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41" name="APUCING9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 id="42" name="APUCING9111" type="6" refreshedVersion="0" background="1" saveData="1">
    <textPr sourceFile="C:\DATOS\VEGACHI\Acueducto\DISEÑO\CONDUCCION AL INGENIO\APUCING.txt" comma="1">
      <textFields count="9">
        <textField/>
        <textField/>
        <textField type="text"/>
        <textField/>
        <textField/>
        <textField/>
        <textField/>
        <textField/>
        <textField/>
      </textFields>
    </textPr>
  </connection>
</connections>
</file>

<file path=xl/sharedStrings.xml><?xml version="1.0" encoding="utf-8"?>
<sst xmlns="http://schemas.openxmlformats.org/spreadsheetml/2006/main" count="44535" uniqueCount="9139">
  <si>
    <t>TPN1212</t>
  </si>
  <si>
    <t xml:space="preserve">TUB. PEAD PE 100 PN 12,5 RDE-13,6 DE Ø 315mm (12") </t>
  </si>
  <si>
    <t>R108BB</t>
  </si>
  <si>
    <t>REDUCCION HF 10x8 BB CONCENTRICA</t>
  </si>
  <si>
    <t>REDUCCION HF 12x6 BB EXCENNTRICA</t>
  </si>
  <si>
    <t>R126EXBB</t>
  </si>
  <si>
    <t>VCHE12</t>
  </si>
  <si>
    <t>VALV. CHEQUE Ø200mm BXB CON CONTRAPESA</t>
  </si>
  <si>
    <t>Viaducto para cruce sobre quebrada adosando la tubería a la viga del puente, (incluye platinas, pernos expansivos y soldadura)</t>
  </si>
  <si>
    <t>CONMX</t>
  </si>
  <si>
    <t>CONCREMIX GRIS</t>
  </si>
  <si>
    <t>Concreto 245kg/cm2 1:2:2</t>
  </si>
  <si>
    <t>Concreto 210kg/cm2 1:2:3</t>
  </si>
  <si>
    <t>Concreto 180kg/cm2 1:2:4</t>
  </si>
  <si>
    <t>Concreto 140kg/cm2 1:3:4</t>
  </si>
  <si>
    <t>Concreto 110kg/cm2 1:3:5</t>
  </si>
  <si>
    <t>CONCRETO 245Kg/cm²  1:2:2</t>
  </si>
  <si>
    <t>CONCRETO 180kg/cm²  1:2:4</t>
  </si>
  <si>
    <t>CONCRETO 210kg/cm²  1:2:3</t>
  </si>
  <si>
    <t>CONCRETO 140kg/cm²  1:3:4</t>
  </si>
  <si>
    <t>CONCRETO 110kg/cm²  1:3:5</t>
  </si>
  <si>
    <t>MORTEROS</t>
  </si>
  <si>
    <t>ITEM</t>
  </si>
  <si>
    <t>DESCRIPCIÓN</t>
  </si>
  <si>
    <t>ADAPTADOR MACHO PF+UAD 1/2''</t>
  </si>
  <si>
    <t>CYLL2</t>
  </si>
  <si>
    <t>COLLAR Y LLAVE DE INCORPORACION Ø2"X Ø1/2"</t>
  </si>
  <si>
    <t>CYLL3</t>
  </si>
  <si>
    <t>COLLAR Y LLAVE DE INCORPORACION Ø3"X Ø1/2"</t>
  </si>
  <si>
    <t>CYLL4</t>
  </si>
  <si>
    <t xml:space="preserve">VALVULA PVC Ø 25mm (1") </t>
  </si>
  <si>
    <t>VPVC2</t>
  </si>
  <si>
    <t>UNION DESMONTAJE DRESSER 8</t>
  </si>
  <si>
    <t>UDD08</t>
  </si>
  <si>
    <t>1.1</t>
  </si>
  <si>
    <t>2.1</t>
  </si>
  <si>
    <t>3.1</t>
  </si>
  <si>
    <t>COLLAR Y LLAVE DE INCORPORACION Ø6"X Ø1/2"</t>
  </si>
  <si>
    <t>CO904JH</t>
  </si>
  <si>
    <t>CO908JH</t>
  </si>
  <si>
    <t>CODO HF 100 mm 90º JH</t>
  </si>
  <si>
    <t>CODO HF 150 mm 90º JH</t>
  </si>
  <si>
    <t>CODO HF 200 mm 90º JH</t>
  </si>
  <si>
    <t>LUBRICANTE PAVCO (x500gr)</t>
  </si>
  <si>
    <t>gramo</t>
  </si>
  <si>
    <t>ml</t>
  </si>
  <si>
    <t>EQUIPO TERMOFUSION MARCA RITMO D. D. 315</t>
  </si>
  <si>
    <t>ETF315</t>
  </si>
  <si>
    <t>EEF110</t>
  </si>
  <si>
    <t>EQUIPO ELECTROFUSION MARCA RITMO 110</t>
  </si>
  <si>
    <t>dIa</t>
  </si>
  <si>
    <t>PLANTA ELECTRICA A GASOLINA DE 5 Y 10 KVA</t>
  </si>
  <si>
    <t>dÍa</t>
  </si>
  <si>
    <t>PLAELE</t>
  </si>
  <si>
    <t>TEE HF 150x150 mm (6"X6") JH</t>
  </si>
  <si>
    <t>TEE HF 100x100 mm (4"X4") JH</t>
  </si>
  <si>
    <t>TEE HF 150x100 mm (6"X4") JH</t>
  </si>
  <si>
    <t>TEE HF 100x75 mm (4" X3")JH</t>
  </si>
  <si>
    <t>TEE HF 75x75 mm (3"x3") JH</t>
  </si>
  <si>
    <t>Cargue y botada de material proveniente de la excavación a cualquier distancia</t>
  </si>
  <si>
    <t>URAP2</t>
  </si>
  <si>
    <t>UNION RAPIDA DE PVC DE 2" 50 mm</t>
  </si>
  <si>
    <t>TEE HF 100x50 mm (4"x2")  JH</t>
  </si>
  <si>
    <t>TEE HF 50x50 mm (2"x2") JH</t>
  </si>
  <si>
    <t>TEE HF 75x50 mm (3"x2") JH PVC</t>
  </si>
  <si>
    <t>TEE HF 250x250 mm(10"x10") JH</t>
  </si>
  <si>
    <t>TEE HF 300x300 mm (12"x12") JH</t>
  </si>
  <si>
    <t>TEE HF 200x200 mm (8"x8'') EL</t>
  </si>
  <si>
    <t>TPVCP1</t>
  </si>
  <si>
    <t>TAPON EN HF 8 JH</t>
  </si>
  <si>
    <t>THF8JH</t>
  </si>
  <si>
    <t>FORMALETA TIPO 3 CTO A LA VISTA</t>
  </si>
  <si>
    <t>AGUA</t>
  </si>
  <si>
    <t>l</t>
  </si>
  <si>
    <t>CONM2</t>
  </si>
  <si>
    <t>CONCRETADORA ELECTRICA 2 SACOS</t>
  </si>
  <si>
    <t>TZ225</t>
  </si>
  <si>
    <t>COMPRESOR+MARTILLO+MAGUERA+OPERARIO</t>
  </si>
  <si>
    <t>CMMO</t>
  </si>
  <si>
    <t>GEOT</t>
  </si>
  <si>
    <t>CRAS</t>
  </si>
  <si>
    <t>CEMENTO EXPANSIVO (CRAS)(DEMOL) (BOLSA 10KG)</t>
  </si>
  <si>
    <t>TZ3253</t>
  </si>
  <si>
    <t>TZ3254</t>
  </si>
  <si>
    <t>CP903L</t>
  </si>
  <si>
    <t>CP453L</t>
  </si>
  <si>
    <t>ESTAC</t>
  </si>
  <si>
    <t>ESTACÓN INMUNIZADO Ø100 mm, L = 2.4 m</t>
  </si>
  <si>
    <t>GRAPAS</t>
  </si>
  <si>
    <t>ALAMBRE DE PUA  Cal.14</t>
  </si>
  <si>
    <t>GRAP</t>
  </si>
  <si>
    <t>CT140KG</t>
  </si>
  <si>
    <t>Tapa en lámina de alfajor</t>
  </si>
  <si>
    <t>APISONADOR CANGURO</t>
  </si>
  <si>
    <t>m</t>
  </si>
  <si>
    <t>PINTURA BLANCA A BASE DE ACEITE</t>
  </si>
  <si>
    <t>ACERO 60.000PSI (1/4" - 3/8" ) FIG.</t>
  </si>
  <si>
    <t>ACERO 60.000PSI (1/2" - 1" ) FIG.</t>
  </si>
  <si>
    <t>A60FI1</t>
  </si>
  <si>
    <t>TNL27</t>
  </si>
  <si>
    <t>TNL24</t>
  </si>
  <si>
    <t>TNL30</t>
  </si>
  <si>
    <t>UNION DE REPARACION PVC 300 mm</t>
  </si>
  <si>
    <t>UREP12</t>
  </si>
  <si>
    <t>PUERTA TRIPLEX 0.9x2.0m</t>
  </si>
  <si>
    <t>MARCO EN ABARCO</t>
  </si>
  <si>
    <t>PUERTA TRIPLEX 0.8x2.0m</t>
  </si>
  <si>
    <t>ACERO LISO 40000PSI 3/4 Pulg</t>
  </si>
  <si>
    <t>HERRAJE TAPA C.I. d-0.75m</t>
  </si>
  <si>
    <t>TUB. ACERO DE 300mm 12'' (SIN COSTURA)</t>
  </si>
  <si>
    <t>TUAC12</t>
  </si>
  <si>
    <t>CABALLETE LIMATESA-LIMAHOYA ETERNI</t>
  </si>
  <si>
    <t>THF6JH</t>
  </si>
  <si>
    <t>TAPON EN HF 6 JH</t>
  </si>
  <si>
    <t>TZ212</t>
  </si>
  <si>
    <t>TZ213</t>
  </si>
  <si>
    <t>TZ214</t>
  </si>
  <si>
    <t>TZ266</t>
  </si>
  <si>
    <t>TZ2110</t>
  </si>
  <si>
    <t>TZ216</t>
  </si>
  <si>
    <t>TZ218</t>
  </si>
  <si>
    <t>TZ262</t>
  </si>
  <si>
    <t>TZ263</t>
  </si>
  <si>
    <t>TZ264</t>
  </si>
  <si>
    <t>TZ2610</t>
  </si>
  <si>
    <t>TZ2112</t>
  </si>
  <si>
    <t>TZ2612</t>
  </si>
  <si>
    <t>TZ2114</t>
  </si>
  <si>
    <t>TUB. PVC-P RDE-21 14'' 350mm</t>
  </si>
  <si>
    <t>TUB. PVC-P RDE-21 16'' 400mm</t>
  </si>
  <si>
    <t>TZ2116</t>
  </si>
  <si>
    <t>REJILLA ACERO BARRAS 70 x 40</t>
  </si>
  <si>
    <t>REJILLA</t>
  </si>
  <si>
    <t>un</t>
  </si>
  <si>
    <t>TRANSPORTE - UN VIAJE</t>
  </si>
  <si>
    <t>BOTES</t>
  </si>
  <si>
    <t>CARGUE Y BOTADA ESCOMBROS</t>
  </si>
  <si>
    <t>TRANAG</t>
  </si>
  <si>
    <t>TRANSPORTE AGREGADOS ($/m³.km)</t>
  </si>
  <si>
    <t>AIU</t>
  </si>
  <si>
    <t>Rendimiento</t>
  </si>
  <si>
    <t>COD</t>
  </si>
  <si>
    <t>TUB. PVC-P RDE-21 2.5'' 63mm</t>
  </si>
  <si>
    <t>TUB. PVC-P RDE-21 8'' 200mm</t>
  </si>
  <si>
    <t>TUB. PVC-P RDE-21 10'' 250mm</t>
  </si>
  <si>
    <t>TUB. PVC-P RDE-21 12'' 300mm</t>
  </si>
  <si>
    <t>TABLA 2cmx10pulg -mad. común 3mts</t>
  </si>
  <si>
    <t>FIELT</t>
  </si>
  <si>
    <t>FIELTRO</t>
  </si>
  <si>
    <t>CABAL</t>
  </si>
  <si>
    <t>UN</t>
  </si>
  <si>
    <t xml:space="preserve">VALOR UNITARIO </t>
  </si>
  <si>
    <t>TUB. PVC-P RDE-21 2'' 50mm Unión platino</t>
  </si>
  <si>
    <t>TUB. PVC-P RDE-21 3'' 75mm Unión platino</t>
  </si>
  <si>
    <t>TUB. PVC-P RDE-21 4'' 100mm Unión platino</t>
  </si>
  <si>
    <t>TUB. PVC-P RDE-21 6'' 150mm Unión platino</t>
  </si>
  <si>
    <t>CODO PVC-P 50mm 22,5° UNIÓN PLATINO</t>
  </si>
  <si>
    <t>CODO PVC-P 75mm 22,5° UNIÓN PLATINO</t>
  </si>
  <si>
    <t>CODO PVC-P 75mm 45° UNIÓN PLATINO</t>
  </si>
  <si>
    <t>CODO PVC-P 50mm 45° UNIÓN PLATINO</t>
  </si>
  <si>
    <t>CODO PVC-P 50mm 90° UNIÓN PLATINO</t>
  </si>
  <si>
    <t>CODO PVC-P 75 mm 90° UNIÓN PLATINO</t>
  </si>
  <si>
    <t>CODO PVC-P 100 mm 90° UNIÓN PLATINO</t>
  </si>
  <si>
    <t>CINTA SIKA 0.22 1.5kg</t>
  </si>
  <si>
    <t>FORMH</t>
  </si>
  <si>
    <t>FORMALETA CAMARA DE INSPECCION</t>
  </si>
  <si>
    <t>TEE HF 200x50 mm (8"x2'') JH</t>
  </si>
  <si>
    <t>TEE PVC</t>
  </si>
  <si>
    <t>CP902L</t>
  </si>
  <si>
    <t>CP904L</t>
  </si>
  <si>
    <t>Gente</t>
  </si>
  <si>
    <t>Otros</t>
  </si>
  <si>
    <t>HERRA</t>
  </si>
  <si>
    <t>LA124</t>
  </si>
  <si>
    <t>LADRILLO 10x20x40 HORIZ. RAYADO</t>
  </si>
  <si>
    <t>GRAVILLA 1/4''</t>
  </si>
  <si>
    <t>GRAV2</t>
  </si>
  <si>
    <t>TPVCME</t>
  </si>
  <si>
    <t>TUBS6</t>
  </si>
  <si>
    <t>TUB. PVC-S DE 150mm 6''</t>
  </si>
  <si>
    <t>TUBS2</t>
  </si>
  <si>
    <t>TUBS3</t>
  </si>
  <si>
    <t>TUBS4</t>
  </si>
  <si>
    <t>TUB. PVC-S DE 50mm 2''</t>
  </si>
  <si>
    <t>TUB. PVC-S DE 75mm 3''</t>
  </si>
  <si>
    <t>TUB. PVC-S DE 100mm 4''</t>
  </si>
  <si>
    <t>R64BB</t>
  </si>
  <si>
    <t>R63BB</t>
  </si>
  <si>
    <t>THF12</t>
  </si>
  <si>
    <t>HERRAMIENTA MENOR (5% M. DE O.)</t>
  </si>
  <si>
    <t>DIRECTO:</t>
  </si>
  <si>
    <t>Total</t>
  </si>
  <si>
    <t>Entresuelo en piedra Ø4" (100 mm) e=0.2 m</t>
  </si>
  <si>
    <t>EQUIPOS Y MAQUINARIAS</t>
  </si>
  <si>
    <t>TH10J</t>
  </si>
  <si>
    <t>T88EL</t>
  </si>
  <si>
    <t>T88EB</t>
  </si>
  <si>
    <t>CODO 90° Ø 100 mm PVC-S</t>
  </si>
  <si>
    <t>TUBNE</t>
  </si>
  <si>
    <t>TZ268</t>
  </si>
  <si>
    <t>ADAPTADOR MACHO PVC 3''</t>
  </si>
  <si>
    <t>ADM3</t>
  </si>
  <si>
    <t>A40FI</t>
  </si>
  <si>
    <t>ACERO 40.000PSI FIG.</t>
  </si>
  <si>
    <t>CODO PVC-S 2'' 90° CXC</t>
  </si>
  <si>
    <t>CODO PVC-S 3'' 90° CXC</t>
  </si>
  <si>
    <t>CODO PVC-S 4'' 90° CXC</t>
  </si>
  <si>
    <t>ST166</t>
  </si>
  <si>
    <t>SILLA TEE PVC NOVAFORT 16x6'' (400x160mm)</t>
  </si>
  <si>
    <t>URAP6</t>
  </si>
  <si>
    <t>UNION RAPIDA DE PVC DE 6'' 150mm</t>
  </si>
  <si>
    <t>URAP4</t>
  </si>
  <si>
    <t>UNION RAPIDA DE PVC DE 4" 100 mm</t>
  </si>
  <si>
    <t>URAP3</t>
  </si>
  <si>
    <t>UNION RAPIDA DE PVC DE 3" 75 mm</t>
  </si>
  <si>
    <t>TEE1</t>
  </si>
  <si>
    <t>TEE2</t>
  </si>
  <si>
    <t>TEE32</t>
  </si>
  <si>
    <t>TEE33</t>
  </si>
  <si>
    <t>RED32</t>
  </si>
  <si>
    <t>TAP2</t>
  </si>
  <si>
    <t>ADP1</t>
  </si>
  <si>
    <t>UNI32</t>
  </si>
  <si>
    <t>UNR90</t>
  </si>
  <si>
    <t>Tee  de Ø2"x2" (63x63 mm) PEAD, U. Termofusión</t>
  </si>
  <si>
    <t>Tee  de Ø3"x3" (90x90 mm) PEAD, U. Termofusión</t>
  </si>
  <si>
    <t>Reducción de Ø3"x2" (90x63 mm) PEAD PN 10 U. Termofusión</t>
  </si>
  <si>
    <t>Tapón de Ø 2" (63 mm) PEAD PN 10 U. Termofusión</t>
  </si>
  <si>
    <t>SILLA TEE PVC NOVAFORT 8x6'' (200x160mm)</t>
  </si>
  <si>
    <t>ARANA</t>
  </si>
  <si>
    <t>APISONADOR RANA</t>
  </si>
  <si>
    <t>ST106</t>
  </si>
  <si>
    <t>Personal</t>
  </si>
  <si>
    <t>UNION DE REPARACION PVC 150 mm</t>
  </si>
  <si>
    <t>CHAPA</t>
  </si>
  <si>
    <t>CHAPA MARCA GATO</t>
  </si>
  <si>
    <t>ind</t>
  </si>
  <si>
    <t>PINTURA BARNIZ</t>
  </si>
  <si>
    <t>gal</t>
  </si>
  <si>
    <t>TORNI</t>
  </si>
  <si>
    <t>TORNILLOS ACERO INOXIDABLE</t>
  </si>
  <si>
    <t>VIDRI</t>
  </si>
  <si>
    <t>VIDRIO 3mm</t>
  </si>
  <si>
    <t>CUA44</t>
  </si>
  <si>
    <t>CUADRO 4x4'' (madera común 4varas)</t>
  </si>
  <si>
    <t>TABLA</t>
  </si>
  <si>
    <t>VIBGA</t>
  </si>
  <si>
    <t>VIBRADOR A GASOLINA</t>
  </si>
  <si>
    <t>TELEP</t>
  </si>
  <si>
    <t>TELERA 0.90x1.35mts -5 USOS</t>
  </si>
  <si>
    <t>PLAST</t>
  </si>
  <si>
    <t>PLASTOCRETE DM (20kg)</t>
  </si>
  <si>
    <t>Entibado  temporal</t>
  </si>
  <si>
    <t>TPE1701</t>
  </si>
  <si>
    <t xml:space="preserve">TUB. PEAD PE 40 DE Ø 25mm (1") </t>
  </si>
  <si>
    <t xml:space="preserve">TUB. PEAD PE 100 PN 10 RDE-17 DE Ø 63mm (2") </t>
  </si>
  <si>
    <t>TACOM</t>
  </si>
  <si>
    <t>TACO METALICO LARGO 1.8-2.8</t>
  </si>
  <si>
    <t>VIBRE</t>
  </si>
  <si>
    <t>VIBRADOR ELECTRICO A 110VTS</t>
  </si>
  <si>
    <t>2</t>
  </si>
  <si>
    <t>TACOR</t>
  </si>
  <si>
    <t>TACO REDONDO MADERA 4 VARAS</t>
  </si>
  <si>
    <t>PUNTI</t>
  </si>
  <si>
    <t>PUNTILLAS</t>
  </si>
  <si>
    <t>CODO PVC-S 6'' 90° CXC</t>
  </si>
  <si>
    <t>AYUDANTE ENTENDIDO</t>
  </si>
  <si>
    <t>Concepto</t>
  </si>
  <si>
    <t>Porcentaje</t>
  </si>
  <si>
    <t>Prima de servicios</t>
  </si>
  <si>
    <t>Vacaciones</t>
  </si>
  <si>
    <t>Aporte de Salud</t>
  </si>
  <si>
    <t>Aporte a Pensión</t>
  </si>
  <si>
    <t>Sena</t>
  </si>
  <si>
    <t>I.C.B.F.</t>
  </si>
  <si>
    <t>Caja de Compensación Familiar</t>
  </si>
  <si>
    <t>CALCULO DE PORCENTAJE DE PRESTACIONES SOCIALES</t>
  </si>
  <si>
    <t>CANAL</t>
  </si>
  <si>
    <t>Concreto 70kg/cm2 1:4:8</t>
  </si>
  <si>
    <t>Concreto 80kg/cm2 1:4:7</t>
  </si>
  <si>
    <t>CONCRETO 80kg/cm²  1:4:7</t>
  </si>
  <si>
    <t>CT080KG</t>
  </si>
  <si>
    <t>UNION DE REPARACION PVC 200 mm</t>
  </si>
  <si>
    <t>%</t>
  </si>
  <si>
    <t xml:space="preserve">TUB. PEAD PE 100 PN 12,5 RDE-13,6 DE Ø 250mm (10") </t>
  </si>
  <si>
    <t xml:space="preserve">TUB. PEAD PE 80 DE (1/2") </t>
  </si>
  <si>
    <t>TPN1002</t>
  </si>
  <si>
    <t>TPN1003</t>
  </si>
  <si>
    <t>TPN1004</t>
  </si>
  <si>
    <t>TPN1006</t>
  </si>
  <si>
    <t>TPN1008</t>
  </si>
  <si>
    <t>TPN1010</t>
  </si>
  <si>
    <t xml:space="preserve">TUB. PEAD PE 80 DE (1") </t>
  </si>
  <si>
    <t>TPE8016</t>
  </si>
  <si>
    <t>TPE8020</t>
  </si>
  <si>
    <t>TPE8025</t>
  </si>
  <si>
    <t>FORMALETA METALICA</t>
  </si>
  <si>
    <t>DESPE</t>
  </si>
  <si>
    <t>REP42</t>
  </si>
  <si>
    <t>BUJE SOLDADO  PVC-P 4X2''</t>
  </si>
  <si>
    <t>REDUCCION HF 200x100 mm JH</t>
  </si>
  <si>
    <t>R84JH</t>
  </si>
  <si>
    <t>CT245KG</t>
  </si>
  <si>
    <t>REFUERZO</t>
  </si>
  <si>
    <t>PVC</t>
  </si>
  <si>
    <t>TPVCS4</t>
  </si>
  <si>
    <t>TUBERIA NEGRA DE 2'' (PASAMANOS)</t>
  </si>
  <si>
    <t>CT110KG</t>
  </si>
  <si>
    <t>CT210KG</t>
  </si>
  <si>
    <t>PERFIL ACERO 1/4'' 2x2''</t>
  </si>
  <si>
    <t>CODO 45º HF 6" JH</t>
  </si>
  <si>
    <t>CO458JH</t>
  </si>
  <si>
    <t>CODO HF 200 mm 45º  (8") JH</t>
  </si>
  <si>
    <t>UNION PVC NOVALOC 24"</t>
  </si>
  <si>
    <t>UNION PVC NOVALOC 27"</t>
  </si>
  <si>
    <t>LLAP12</t>
  </si>
  <si>
    <t>LLAVE DE PASO LIBRE DE 1/2''</t>
  </si>
  <si>
    <t>LLAC12</t>
  </si>
  <si>
    <t>LLAVE DE CORTE DE 1/2''</t>
  </si>
  <si>
    <t>MEDID</t>
  </si>
  <si>
    <t xml:space="preserve">MEDIDOR </t>
  </si>
  <si>
    <t>CAJMI</t>
  </si>
  <si>
    <t xml:space="preserve">CAJA MICROMEDIDOR </t>
  </si>
  <si>
    <t>TAPAM</t>
  </si>
  <si>
    <t>TAPA METALICA 0.20x0.20LAM.1/2''</t>
  </si>
  <si>
    <t>VALVULAS</t>
  </si>
  <si>
    <t>VCEL6</t>
  </si>
  <si>
    <t>VALV. COMP SELLO BRONCE EL 150 mm</t>
  </si>
  <si>
    <t>CODO HF 100 mm 22.5º JH</t>
  </si>
  <si>
    <t>C2256JH</t>
  </si>
  <si>
    <t>PIEDRA DE 4" - 6"</t>
  </si>
  <si>
    <t>PIE4A6</t>
  </si>
  <si>
    <t>GEOTEXTIL NT 1600</t>
  </si>
  <si>
    <t>ADAPTADOR MACHO PVC 4''</t>
  </si>
  <si>
    <t>ADM4</t>
  </si>
  <si>
    <t>GRAV3</t>
  </si>
  <si>
    <t>SOLDA</t>
  </si>
  <si>
    <t>SOLDADOR (INC EQUIPO Y AYUDANTE</t>
  </si>
  <si>
    <t>SUMIN</t>
  </si>
  <si>
    <t>PINTURA EPOXICA DE 11.1KG</t>
  </si>
  <si>
    <t>BROCH</t>
  </si>
  <si>
    <t>BROCHA</t>
  </si>
  <si>
    <t>MANO DE OBRA</t>
  </si>
  <si>
    <t>Unidad</t>
  </si>
  <si>
    <t>V/Unitario</t>
  </si>
  <si>
    <t>OFICI</t>
  </si>
  <si>
    <t>día</t>
  </si>
  <si>
    <t>AYUDA</t>
  </si>
  <si>
    <t>AYUDR</t>
  </si>
  <si>
    <t>MOTOP</t>
  </si>
  <si>
    <t>M. DE O. COMISIÓN TOPOGRAFÍA</t>
  </si>
  <si>
    <t>MOPRE</t>
  </si>
  <si>
    <t>M. DE O. PREPARACIÓN MEZCLAS</t>
  </si>
  <si>
    <t>MATERIALES  DE PATIO</t>
  </si>
  <si>
    <t>MATPR</t>
  </si>
  <si>
    <t>MATERIAL DE PRESTAMO</t>
  </si>
  <si>
    <t>m³</t>
  </si>
  <si>
    <t>PIEDR</t>
  </si>
  <si>
    <t>PIEDRA DE ENTRESUELO</t>
  </si>
  <si>
    <t>ARENI</t>
  </si>
  <si>
    <t>ARENILLA</t>
  </si>
  <si>
    <t>CAN28</t>
  </si>
  <si>
    <t>CAN 2x8'' MAD. COMUN SIN CEP.(3M)</t>
  </si>
  <si>
    <t>und</t>
  </si>
  <si>
    <t>ARENC</t>
  </si>
  <si>
    <t>ARENA CONCRETO</t>
  </si>
  <si>
    <t>TRITU</t>
  </si>
  <si>
    <t>TRITURADO 3/4''</t>
  </si>
  <si>
    <t>CEMEG</t>
  </si>
  <si>
    <t>CEMENTO GRIS RIO CLARO (50kg)</t>
  </si>
  <si>
    <t>saco</t>
  </si>
  <si>
    <t>MATERIALES</t>
  </si>
  <si>
    <t>CLAVO</t>
  </si>
  <si>
    <t>CLAVO COMÚN 37.5 A 100 mm</t>
  </si>
  <si>
    <t>lb</t>
  </si>
  <si>
    <t>LUPVC</t>
  </si>
  <si>
    <t>REDUCCION HF 6x4 BB EXCENT</t>
  </si>
  <si>
    <t>COMBUSTIBLE</t>
  </si>
  <si>
    <t>GASOLINA CORRIENTE</t>
  </si>
  <si>
    <t>ACPM</t>
  </si>
  <si>
    <t>GASO</t>
  </si>
  <si>
    <t>ESTOPA</t>
  </si>
  <si>
    <t>ESTOP</t>
  </si>
  <si>
    <t>PORCENTAJE DE PRESTACIONES</t>
  </si>
  <si>
    <t>TPN1202</t>
  </si>
  <si>
    <t>TPN1203</t>
  </si>
  <si>
    <t>TPN1204</t>
  </si>
  <si>
    <t>TPN1206</t>
  </si>
  <si>
    <t>TPN1208</t>
  </si>
  <si>
    <t>TPN1210</t>
  </si>
  <si>
    <t>TPN1602</t>
  </si>
  <si>
    <t>TPN1603</t>
  </si>
  <si>
    <t>TPN1604</t>
  </si>
  <si>
    <t>TPN1606</t>
  </si>
  <si>
    <t>TPN1608</t>
  </si>
  <si>
    <t>TPN1610</t>
  </si>
  <si>
    <t xml:space="preserve">TUB. PEAD PE 100 PN 16 RDE-11 DE Ø 63mm (2") </t>
  </si>
  <si>
    <t xml:space="preserve">TUB. PEAD PE 100 PN 16 RDE-11 DE Ø 90mm (3") </t>
  </si>
  <si>
    <t xml:space="preserve">TUB. PEAD PE 100 PN 16 RDE-11 DE Ø 110mm (4") </t>
  </si>
  <si>
    <t xml:space="preserve">TUB. PEAD PE 100 PN 16 RDE-11 DE Ø 160mm (6") </t>
  </si>
  <si>
    <t xml:space="preserve">TUB. PEAD PE 100 PN 16 RDE-11 DE Ø 200mm (8") </t>
  </si>
  <si>
    <t xml:space="preserve">TUB. PEAD PE 100 PN 16 RDE-11 DE Ø 250mm (10") </t>
  </si>
  <si>
    <t xml:space="preserve">TUB. PEAD PE 100 PN 12,5 RDE-13,6 DE Ø 63mm (2") </t>
  </si>
  <si>
    <t xml:space="preserve">TUB. PEAD PE 100 PN 12,5 RDE-13,6 DE Ø 90mm (3") </t>
  </si>
  <si>
    <t xml:space="preserve">TUB. PEAD PE 100 PN 12,5 RDE-13,6 DE Ø 110mm (4") </t>
  </si>
  <si>
    <t xml:space="preserve">TUB. PEAD PE 100 PN 12,5 RDE-13,6 DE Ø 160mm (6") </t>
  </si>
  <si>
    <t xml:space="preserve">TUB. PEAD PE 100 PN 12,5 RDE-13,6 DE Ø 200mm (8") </t>
  </si>
  <si>
    <t>DESPERDICIO DE MATERIALES</t>
  </si>
  <si>
    <t>T84JH</t>
  </si>
  <si>
    <t>CORTADORA ADOBES - SIN DISCO</t>
  </si>
  <si>
    <t>M240K</t>
  </si>
  <si>
    <t>UNION DE REPARACIÓN PVC 50 mm</t>
  </si>
  <si>
    <t>UNION DE REPARACIÓN PVC 75 mm</t>
  </si>
  <si>
    <t>UNION DE REPARACIÓN PVC 100 mm</t>
  </si>
  <si>
    <t>UREP8</t>
  </si>
  <si>
    <t>PERNO</t>
  </si>
  <si>
    <t>PERNOS 1/4'' -1''</t>
  </si>
  <si>
    <t>UALU</t>
  </si>
  <si>
    <t>SOLPVC</t>
  </si>
  <si>
    <t>LIMP</t>
  </si>
  <si>
    <t>LIMPIADOR PVC 300gramos</t>
  </si>
  <si>
    <t>SOLDADURA PVC 1/32 gal</t>
  </si>
  <si>
    <t>ANDAM</t>
  </si>
  <si>
    <t>ANDAMIOS</t>
  </si>
  <si>
    <t>CORTA</t>
  </si>
  <si>
    <t>Y32JH</t>
  </si>
  <si>
    <t>Kg</t>
  </si>
  <si>
    <t>Und</t>
  </si>
  <si>
    <t>Juego de  tornillos , arandelas, tuercas, guasas (todo en acero inoxidable)  y empaque de neopreno e=3 mm</t>
  </si>
  <si>
    <t>VENTOSA DOBLE ACCION 3" BRIDA</t>
  </si>
  <si>
    <t>M. DE O. INSTAL. HIERRO FIG.</t>
  </si>
  <si>
    <t>CSIKA</t>
  </si>
  <si>
    <t xml:space="preserve">TUB. PEAD PE 100 PN 10 RDE-17 DE Ø 90mm (3") </t>
  </si>
  <si>
    <t xml:space="preserve">TUB. PEAD PE 100 PN 10 RDE-17 DE Ø 110mm (4") </t>
  </si>
  <si>
    <t xml:space="preserve">TUB. PEAD PE 100 PN 10 RDE-17 DE Ø 160mm (6") </t>
  </si>
  <si>
    <t>PIECR</t>
  </si>
  <si>
    <t>PIEDRA DE CANTO REDONDA 2 a 2.1/2'</t>
  </si>
  <si>
    <t>MC4CM</t>
  </si>
  <si>
    <t>MALLA DE CERRAMIENTO OJO 4x4mm C12</t>
  </si>
  <si>
    <t>GRAMA</t>
  </si>
  <si>
    <t>GRAMA - INC. TRANSP.</t>
  </si>
  <si>
    <t xml:space="preserve"> </t>
  </si>
  <si>
    <t>KIT SILLA YEE PVC NOVAFORT 12x6'' (315x150mm)</t>
  </si>
  <si>
    <t>SY64</t>
  </si>
  <si>
    <t>SY84</t>
  </si>
  <si>
    <t>SY86</t>
  </si>
  <si>
    <t>SY104</t>
  </si>
  <si>
    <t>SY124</t>
  </si>
  <si>
    <t>SY126</t>
  </si>
  <si>
    <t>SOLDADURA LIQUIDA PVC 1/4 GAL</t>
  </si>
  <si>
    <t>gal/4</t>
  </si>
  <si>
    <t>ACOND</t>
  </si>
  <si>
    <t>ACONDICIONADOR PVC Y CPVC 1/4 GAL</t>
  </si>
  <si>
    <t>TPF12</t>
  </si>
  <si>
    <t>TUBERIA PF+UAD 1/2''</t>
  </si>
  <si>
    <t>ADH12</t>
  </si>
  <si>
    <t>ADAPTADOR HEMBRA PF 1/2''</t>
  </si>
  <si>
    <t>ADM12</t>
  </si>
  <si>
    <t>ENSAY</t>
  </si>
  <si>
    <t>ENSAYO PROCTOR MODIFICADO Y DENSIDAD</t>
  </si>
  <si>
    <t>UNL51</t>
  </si>
  <si>
    <t>UNL54</t>
  </si>
  <si>
    <t>UNL60</t>
  </si>
  <si>
    <t>TRANSPORTE LIMO-ARENILLA ($/m³)</t>
  </si>
  <si>
    <t>TRANS</t>
  </si>
  <si>
    <t>TPE12</t>
  </si>
  <si>
    <t>TUB. PE 80 1/2" (PF ACOMETIDA) RDE 9</t>
  </si>
  <si>
    <t>TASH2</t>
  </si>
  <si>
    <t>TUBERÍA ACERO SHEDULLE 40 Ø 50 mm (2")</t>
  </si>
  <si>
    <t>CR33JH</t>
  </si>
  <si>
    <t>CRUZ HF 75 mm JH</t>
  </si>
  <si>
    <t>CR32JH</t>
  </si>
  <si>
    <t>CRUZ HF 75X50 mm JH</t>
  </si>
  <si>
    <t>CR62JH</t>
  </si>
  <si>
    <t>CRUZ HF 150X50 mm JH</t>
  </si>
  <si>
    <t xml:space="preserve">TUB. PEAD PE 100 PN 8 RDE 21 DE Ø 110mm (4") </t>
  </si>
  <si>
    <t>viaje</t>
  </si>
  <si>
    <t>PINBLA</t>
  </si>
  <si>
    <t>VALVULA MARIPOSA 4"</t>
  </si>
  <si>
    <t>VALVULA MARIPOSA 3"</t>
  </si>
  <si>
    <t>VALMA4</t>
  </si>
  <si>
    <t>VALMA3</t>
  </si>
  <si>
    <t>Equipo</t>
  </si>
  <si>
    <t>Material</t>
  </si>
  <si>
    <t>MOTONIVELADORA 120G</t>
  </si>
  <si>
    <t>MOTON</t>
  </si>
  <si>
    <t>VIBRCOM</t>
  </si>
  <si>
    <t>CARGADOR CATEPILLA</t>
  </si>
  <si>
    <t>BULLDOZEN CATEPILLA</t>
  </si>
  <si>
    <t>VOLQUETA CHEVROLET KODIAT</t>
  </si>
  <si>
    <t>CARGAD</t>
  </si>
  <si>
    <t>BULLDOZ</t>
  </si>
  <si>
    <t>ST126</t>
  </si>
  <si>
    <t>ST146</t>
  </si>
  <si>
    <t>SILLA TEE PVC-RIB LOC 14x6''</t>
  </si>
  <si>
    <t>ST186</t>
  </si>
  <si>
    <t>ST206</t>
  </si>
  <si>
    <t>SILLA TEE PVC NOVAFORT 20x6'' (500x160mm)</t>
  </si>
  <si>
    <t>SILLA TEE PVC NOVAFORT 10x6'' (250x160mm)</t>
  </si>
  <si>
    <t>SILLA TEE PVC NOVAFORT 12x6'' (300x160mm)</t>
  </si>
  <si>
    <t>SILLA TEE PVC NOVAFORT 18x6'' (450x160mm)</t>
  </si>
  <si>
    <t>TNL33</t>
  </si>
  <si>
    <t>TNL36</t>
  </si>
  <si>
    <t>TNL39</t>
  </si>
  <si>
    <t>TUB. PVC NOVALOC 24''  (TRAMOS 6.5m)</t>
  </si>
  <si>
    <t>TNL42</t>
  </si>
  <si>
    <t>TNL45</t>
  </si>
  <si>
    <t>TNL48</t>
  </si>
  <si>
    <t>TNL51</t>
  </si>
  <si>
    <t>TNL54</t>
  </si>
  <si>
    <t>TNL60</t>
  </si>
  <si>
    <t>TUB. PVC NOVALOC 27''  (TRAMOS 6.5m)</t>
  </si>
  <si>
    <t>TUB. PVC NOVALOC 30''  (TRAMOS 6.5m)</t>
  </si>
  <si>
    <t>TUB. PVC NOVALOC 33''  (TRAMOS 6.5m)</t>
  </si>
  <si>
    <t>TUB. PVC NOVALOC 36"  (TRAMOS 6.5m)</t>
  </si>
  <si>
    <t>TUB. PVC NOVALOC 39''  (TRAMOS 6.5m)</t>
  </si>
  <si>
    <t>TUB. PVC NOVALOC 42''  (TRAMOS 6.5m)</t>
  </si>
  <si>
    <t>TUB. PVC NOVALOC 45''  (TRAMOS 6.0m)</t>
  </si>
  <si>
    <t>TUB. PVC NOVALOC 48''  (TRAMOS 6.0m)</t>
  </si>
  <si>
    <t>TUB. PVC NOVALOC 51''  (TRAMOS 6.0m)</t>
  </si>
  <si>
    <t>TUB. PVC NOVALOC 54''  (TRAMOS 6.0m)</t>
  </si>
  <si>
    <t>TUB. PVC NOVALOC 60''  (TRAMOS 6.0m)</t>
  </si>
  <si>
    <t>UDD06</t>
  </si>
  <si>
    <t>URAP8</t>
  </si>
  <si>
    <t>SILLA YEE PVC NOVAFORT 16x6'' (400x160mm)</t>
  </si>
  <si>
    <t>SY166</t>
  </si>
  <si>
    <t>SILLA YEE PVC NOVAFORT 16x4'' (400x110mm)</t>
  </si>
  <si>
    <t>SY164</t>
  </si>
  <si>
    <t>SILLA YEE PVC NOVAFORT 18x6'' (450x160mm)</t>
  </si>
  <si>
    <t>SY106</t>
  </si>
  <si>
    <t>SILLA TEE PVC NOVAFORT 20x6'' (300x160mm)</t>
  </si>
  <si>
    <t>SY206</t>
  </si>
  <si>
    <t>SY186</t>
  </si>
  <si>
    <t>KIT SILLA YEE PVC NOVAFORT 6x4'' (150x110mm)</t>
  </si>
  <si>
    <t>KIT SILLA YEE PVC NOVAFORT 8x4'' (200x110mm)</t>
  </si>
  <si>
    <t>KIT SILLA YEE PVC NOVAFORT 8x6'' (200x150mm)</t>
  </si>
  <si>
    <t>KIT SILLA YEE PVC NOVAFORT 10x4'' (250x110mm)</t>
  </si>
  <si>
    <t>KIT SILLA YEE PVC NOVAFORT 10x6'' (250x150mm)</t>
  </si>
  <si>
    <t>KIT SILLA YEE PVC NOVAFORT 12x4'' (315x110mm)</t>
  </si>
  <si>
    <t>CANT</t>
  </si>
  <si>
    <t>VALOR 
TOTAL</t>
  </si>
  <si>
    <t>Dotación obligatoria</t>
  </si>
  <si>
    <t>Cajas de inspección de 1.0m x 1.0m x1.0 m  en bloque de concreto (incluye tapa en lámina de alfajor de e=1/4" y angulo de 1"x 3/16"). (para válvulas ventosas y purgas).</t>
  </si>
  <si>
    <t>CP1090PN10</t>
  </si>
  <si>
    <t>Codo  de Ø10"x90º (250mm x 90º) PEAD PN10. Termofusión</t>
  </si>
  <si>
    <t>CP1045PN10</t>
  </si>
  <si>
    <t>Codo  de Ø10"x45º (250mm x 45º) PEAD PN10. Termofusión</t>
  </si>
  <si>
    <t>YEE HF 3x3 JH</t>
  </si>
  <si>
    <t>Y33JH</t>
  </si>
  <si>
    <t>YEE HF 2x2 EL</t>
  </si>
  <si>
    <t>Y22JH</t>
  </si>
  <si>
    <t>YEE HF 4X4 EL</t>
  </si>
  <si>
    <t>Y44JH</t>
  </si>
  <si>
    <t>Y42JH</t>
  </si>
  <si>
    <t>YEE HF 4x2 JH</t>
  </si>
  <si>
    <t>ANTRA</t>
  </si>
  <si>
    <t>ANTRACITA PARA LECHO FILTRANTE</t>
  </si>
  <si>
    <t>TRITM</t>
  </si>
  <si>
    <t>TRITURADO 1.1/2''-2.1/2''</t>
  </si>
  <si>
    <t>ARELF</t>
  </si>
  <si>
    <t>ARENA LECHO FILTRANTE</t>
  </si>
  <si>
    <t>CAJAC</t>
  </si>
  <si>
    <t>UNION PVC NOVALOC 30"</t>
  </si>
  <si>
    <t>UNION PVC NOVALOC 33"</t>
  </si>
  <si>
    <t>UNION PVC NOVALOC 36"</t>
  </si>
  <si>
    <t>UNION PVC NOVALOC 39"</t>
  </si>
  <si>
    <t>UNION PVC NOVALOC 42"</t>
  </si>
  <si>
    <t>UNION PVC NOVALOC 45"</t>
  </si>
  <si>
    <t>UNION PVC NOVALOC 48"</t>
  </si>
  <si>
    <t>UNION PVC NOVALOC 51"</t>
  </si>
  <si>
    <t>UNION PVC NOVALOC 54"</t>
  </si>
  <si>
    <t>UNION PVC NOVALOC 60"</t>
  </si>
  <si>
    <t>UNL24</t>
  </si>
  <si>
    <t>UNL27</t>
  </si>
  <si>
    <t>UNL30</t>
  </si>
  <si>
    <t>UNL33</t>
  </si>
  <si>
    <t>UNL36</t>
  </si>
  <si>
    <t>UNL39</t>
  </si>
  <si>
    <t>UNL42</t>
  </si>
  <si>
    <t>UNL45</t>
  </si>
  <si>
    <t>UNL48</t>
  </si>
  <si>
    <t>Viaje</t>
  </si>
  <si>
    <t>TRANSPORTE MATERIALES</t>
  </si>
  <si>
    <t>pesos</t>
  </si>
  <si>
    <t>VIAJE</t>
  </si>
  <si>
    <t>Impuesto de Timbre</t>
  </si>
  <si>
    <t>REDUCCION HF 150x75 mm JH</t>
  </si>
  <si>
    <t>R63JH</t>
  </si>
  <si>
    <t>REDUCCION HF 200x75 mm JH</t>
  </si>
  <si>
    <t>R83JH</t>
  </si>
  <si>
    <t>TPN16012</t>
  </si>
  <si>
    <t xml:space="preserve">TUB. PEAD PE 100 PN 16 RDE-9 DE Ø 20mm (1/2") </t>
  </si>
  <si>
    <t>YEE HF 3x2 JH</t>
  </si>
  <si>
    <t>YEE HF 4x3 JH</t>
  </si>
  <si>
    <t>Y43JH</t>
  </si>
  <si>
    <t>CP452L</t>
  </si>
  <si>
    <t>TEE HF 200x200 mm (8"x8") BB</t>
  </si>
  <si>
    <t>TEE HF 200x100 mm (8"x4'') JH</t>
  </si>
  <si>
    <t>TEE HF 200x75 mm (8"x3'') JH</t>
  </si>
  <si>
    <t>T83JH</t>
  </si>
  <si>
    <t>T82JH</t>
  </si>
  <si>
    <t>TUB. PVC-P RDE-26 2'' 50mm</t>
  </si>
  <si>
    <t>TUB. PVC-P RDE-26 3'' 75mm</t>
  </si>
  <si>
    <t>TUB. PVC-P RDE-26 4'' 100mm</t>
  </si>
  <si>
    <t>TUB. PVC-P RDE-26 6'' 150mm</t>
  </si>
  <si>
    <t>TUB. PVC-P RDE-26 8'' 200mm</t>
  </si>
  <si>
    <t>TUB. PVC-P RDE-26 10'' 250mm</t>
  </si>
  <si>
    <t>TUB. PVC-P RDE-26 12'' 300mm</t>
  </si>
  <si>
    <t>TUB. PVC-P RDE-32.5  3'' 75mm</t>
  </si>
  <si>
    <t>TUB. PVC-P RDE-32.5  4'' 100mm</t>
  </si>
  <si>
    <t>TUB. PVC-P RDE-32.5 6'' 150mm</t>
  </si>
  <si>
    <t>TUB. PVC-P RDE-32.5 8'' 200mm</t>
  </si>
  <si>
    <t>TUB. PVC-P RDE-32.5 10'' 250mm</t>
  </si>
  <si>
    <t>TUB. PVC-P RDE-32.5 12'' 300mm</t>
  </si>
  <si>
    <t>TUB. PVC-P RDE-41 4'' 100mm</t>
  </si>
  <si>
    <t>TUB. PVC-P RDE-41 6'' 150mm</t>
  </si>
  <si>
    <t>TUB. PVC-P RDE-41 8'' 200mm</t>
  </si>
  <si>
    <t>TUB. PVC-P RDE-41 10'' 250mm</t>
  </si>
  <si>
    <t>TUB. PVC-P RDE-41 12'' 300mm</t>
  </si>
  <si>
    <t>UREP3</t>
  </si>
  <si>
    <t>CO45S4</t>
  </si>
  <si>
    <t>CLAVO COMÚN 11/2 A 4''</t>
  </si>
  <si>
    <t>1</t>
  </si>
  <si>
    <r>
      <t>m</t>
    </r>
    <r>
      <rPr>
        <vertAlign val="superscript"/>
        <sz val="11"/>
        <rFont val="Gill Sans MT"/>
        <family val="2"/>
      </rPr>
      <t>2</t>
    </r>
  </si>
  <si>
    <t>VALV. COMP SELLO BRONCE BB 200 mm</t>
  </si>
  <si>
    <t>VCBB8</t>
  </si>
  <si>
    <t>M. DE O. CARGUE EN VOLQUETA Y BOTADA</t>
  </si>
  <si>
    <t>MOCARG</t>
  </si>
  <si>
    <t>Tee  de Ø1"x1" (32x32 mm) PEAD U. Termofusión</t>
  </si>
  <si>
    <t>Tee  de Ø3"x2" (90x63 mm) PEAD, U. Termofusión</t>
  </si>
  <si>
    <t>PA14X</t>
  </si>
  <si>
    <t>VIBRO COMPACTADOR SD70</t>
  </si>
  <si>
    <t>CO90S2</t>
  </si>
  <si>
    <t>CO90S3</t>
  </si>
  <si>
    <t>CODO PVC-S 4'' 45° CXC</t>
  </si>
  <si>
    <t>CODO PVC-S 6'' 45° CXC</t>
  </si>
  <si>
    <t>BUJE SOLDADO  PVC-P 2''</t>
  </si>
  <si>
    <t>ACERO 60.000PSI FIG.</t>
  </si>
  <si>
    <t>CO90P4</t>
  </si>
  <si>
    <t>CODO PVC-P 4'' 90° JH</t>
  </si>
  <si>
    <t>CO90S4</t>
  </si>
  <si>
    <t>CO90S6</t>
  </si>
  <si>
    <t>BASEG</t>
  </si>
  <si>
    <t>BASE GRANULAR 1.1/2''</t>
  </si>
  <si>
    <t>M280K</t>
  </si>
  <si>
    <t>SIKAD</t>
  </si>
  <si>
    <t>ADITIVO SIKADUR 32</t>
  </si>
  <si>
    <t>kg</t>
  </si>
  <si>
    <t>IMPRI</t>
  </si>
  <si>
    <t>IMPRIMACIÓN</t>
  </si>
  <si>
    <t>m²</t>
  </si>
  <si>
    <t>RLIGA</t>
  </si>
  <si>
    <t>RIEGO DE LIGA</t>
  </si>
  <si>
    <t>TRANSPORTE AGREGADOS ($/m³)</t>
  </si>
  <si>
    <t>FORMM</t>
  </si>
  <si>
    <t>TEE PVC-P 100 mm (4")</t>
  </si>
  <si>
    <t>TEP44</t>
  </si>
  <si>
    <t>CO456JH</t>
  </si>
  <si>
    <t>TAPON EN HF 6 ROSCADO</t>
  </si>
  <si>
    <t>THF6RO</t>
  </si>
  <si>
    <t xml:space="preserve">TUB. PEAD PE 100 PN 10 RDE-17 DE Ø 200mm (8") </t>
  </si>
  <si>
    <t xml:space="preserve">TUB. PEAD PE 100 PN 10 RDE-17 DE Ø 250mm (10") </t>
  </si>
  <si>
    <t>Otros gastos</t>
  </si>
  <si>
    <t>A40LI</t>
  </si>
  <si>
    <t>HT75MH</t>
  </si>
  <si>
    <t>HC78MH</t>
  </si>
  <si>
    <t>RETIRO Y BOTADA TIERRA (incluye derecho botada)</t>
  </si>
  <si>
    <t>TAPON SOLDADO PVC-P 1''</t>
  </si>
  <si>
    <t>TASP1</t>
  </si>
  <si>
    <t>FORMA</t>
  </si>
  <si>
    <t>FORMALETA DE MADERA</t>
  </si>
  <si>
    <t>CT180KG</t>
  </si>
  <si>
    <t>FYB02</t>
  </si>
  <si>
    <t>FILRO EN YEE 2" BB</t>
  </si>
  <si>
    <t>FYB03</t>
  </si>
  <si>
    <t>FILRO EN YEE 3" BB</t>
  </si>
  <si>
    <t>FYB04</t>
  </si>
  <si>
    <t>FILRO EN YEE 4" BB</t>
  </si>
  <si>
    <t>FYB08</t>
  </si>
  <si>
    <t>CO45S2</t>
  </si>
  <si>
    <t>CO45S3</t>
  </si>
  <si>
    <t>CO45S6</t>
  </si>
  <si>
    <t>CODO PVC-S 2'' 45° CXC</t>
  </si>
  <si>
    <t>CODO PVC-S 3'' 45° CXC</t>
  </si>
  <si>
    <t>VEN02</t>
  </si>
  <si>
    <t>VENTOSA DOBLE ACCION 2" BRIDA</t>
  </si>
  <si>
    <t>TUHG1</t>
  </si>
  <si>
    <t>VCBB2</t>
  </si>
  <si>
    <t>VALV. COMP SELLO BRONCE BB 50 mm</t>
  </si>
  <si>
    <t>Duración</t>
  </si>
  <si>
    <t>REDUCCION HF 200x150 mm JH</t>
  </si>
  <si>
    <t>REDUCCION HF 300x250 mm JH</t>
  </si>
  <si>
    <t>HERRAJE CUELLO C.I. d-0.78m</t>
  </si>
  <si>
    <t>BOMBA</t>
  </si>
  <si>
    <t>BOMBA A GASOLINA 2'' (SUCCION)</t>
  </si>
  <si>
    <t>FORM3</t>
  </si>
  <si>
    <t xml:space="preserve">REDUCCION HF 2"x1" </t>
  </si>
  <si>
    <t>HM3JH</t>
  </si>
  <si>
    <t>HIDRANTE TIPO MILAN JH DE 3''</t>
  </si>
  <si>
    <t>HM3EB</t>
  </si>
  <si>
    <t>VALV. COMP SELLO BRONCE EL 75 mm</t>
  </si>
  <si>
    <t>VCEL3</t>
  </si>
  <si>
    <t>VCELA2</t>
  </si>
  <si>
    <t>VCELA6</t>
  </si>
  <si>
    <t>VCELA4</t>
  </si>
  <si>
    <t>VCELA3</t>
  </si>
  <si>
    <t>VALV. COMPUERTA ELASTICA EL 150 mm</t>
  </si>
  <si>
    <t>VALV. COMPUERTA ELASTICA EL 100 mm</t>
  </si>
  <si>
    <t>VALV. COMPUERTA ELASTICA EL 75 mm</t>
  </si>
  <si>
    <t>VALV. COMP SELLO BRONCE EL 50 mm</t>
  </si>
  <si>
    <t>CONCRETOS Y MORTEROS</t>
  </si>
  <si>
    <t>CANALETA PARSHALL FIB VIDRIO 3''</t>
  </si>
  <si>
    <t>REDUCCION HF 6x3 BB EXCENTR</t>
  </si>
  <si>
    <t xml:space="preserve">VALOR COSTOS INDIRECTOS </t>
  </si>
  <si>
    <t>3.1.2</t>
  </si>
  <si>
    <t>CONM1</t>
  </si>
  <si>
    <t>CONCRETADORA ELECTRICA 1 SACO</t>
  </si>
  <si>
    <t>dia</t>
  </si>
  <si>
    <t>TRANSPORTES</t>
  </si>
  <si>
    <t>BOTAD</t>
  </si>
  <si>
    <t>RETIRO Y BOTADA TIERRA</t>
  </si>
  <si>
    <t>TRANAR</t>
  </si>
  <si>
    <t>UNION RAPIDA DE PVC DE 8'' 200 mm</t>
  </si>
  <si>
    <t>TGALV</t>
  </si>
  <si>
    <t>TUBERIA GALVANIZADA 1.1/2'' PESADA</t>
  </si>
  <si>
    <t>BLOQUE #20</t>
  </si>
  <si>
    <t>ALPUA</t>
  </si>
  <si>
    <t>CAJA DE CERVEZA VACIA</t>
  </si>
  <si>
    <t>GRAVA GRADADA 6.25 mm</t>
  </si>
  <si>
    <t>ST86</t>
  </si>
  <si>
    <t>FILRO EN YEE 8" BB</t>
  </si>
  <si>
    <t>FYB10</t>
  </si>
  <si>
    <t>FILRO EN YEE 10" BB</t>
  </si>
  <si>
    <t>COMPR</t>
  </si>
  <si>
    <t>COMPRESOR</t>
  </si>
  <si>
    <t>hora</t>
  </si>
  <si>
    <t>RETRO</t>
  </si>
  <si>
    <t>RETRO S/LL C:76m³ JCB-214S</t>
  </si>
  <si>
    <t>CANGU</t>
  </si>
  <si>
    <t>COMPACTADOR DE PLACA - CANGURO</t>
  </si>
  <si>
    <t>ARENP</t>
  </si>
  <si>
    <t>ARENA DE PEGA</t>
  </si>
  <si>
    <t>UREP4</t>
  </si>
  <si>
    <t>TAPON SOLDADO PVC-P 3''</t>
  </si>
  <si>
    <t>TASP3</t>
  </si>
  <si>
    <t>TASP4</t>
  </si>
  <si>
    <t>TAPON SOLDADO PVC-P 4''</t>
  </si>
  <si>
    <t>TPN1225</t>
  </si>
  <si>
    <t>Cesantías</t>
  </si>
  <si>
    <t>Intereses a las Cesantías</t>
  </si>
  <si>
    <t>TRI14</t>
  </si>
  <si>
    <t>TUBERIA PVC RIB LOC DE 14''</t>
  </si>
  <si>
    <t>R86JH</t>
  </si>
  <si>
    <t>AYUDANTE ENTENDIDO (INCLUYE 66,28% PRESTACIONES)</t>
  </si>
  <si>
    <t>AYUDANTE ENTENDIDO (INCLUYE 66.28% PRESTACIONES)</t>
  </si>
  <si>
    <t>C452JH</t>
  </si>
  <si>
    <t>CODO 45º HF 2" JH</t>
  </si>
  <si>
    <t>CO22JH</t>
  </si>
  <si>
    <t xml:space="preserve">CODO 50 mm 22.5° HF JH </t>
  </si>
  <si>
    <t>CO23JH</t>
  </si>
  <si>
    <t>CODO 75 mm 22.5° HF JH</t>
  </si>
  <si>
    <t>C2254JH</t>
  </si>
  <si>
    <t>CO906JH</t>
  </si>
  <si>
    <t>CODO HF 150 mm 22.5º JH</t>
  </si>
  <si>
    <t>Y44EL</t>
  </si>
  <si>
    <t>YEE HF 4X4 JH</t>
  </si>
  <si>
    <t>Y22EL</t>
  </si>
  <si>
    <t>YEE HF 2x2 JH</t>
  </si>
  <si>
    <t>TASP2</t>
  </si>
  <si>
    <t>TAPON SOLDADO PVC-P 2''</t>
  </si>
  <si>
    <t>LUBRI</t>
  </si>
  <si>
    <t>LUBRICANTE</t>
  </si>
  <si>
    <t>gl</t>
  </si>
  <si>
    <t>T44JH</t>
  </si>
  <si>
    <t>TEE1010</t>
  </si>
  <si>
    <t>Reducción de Ø10"x4" (250x90 mm) PEAD PN 10 U. Termofusión</t>
  </si>
  <si>
    <t>RED104</t>
  </si>
  <si>
    <t>Reducción de Ø4"x3" (110x90 mm) PEAD PN 10 U. Termofusión</t>
  </si>
  <si>
    <t>REP21</t>
  </si>
  <si>
    <t>TES66</t>
  </si>
  <si>
    <t>TES44</t>
  </si>
  <si>
    <t>TEE PVC-S Ø6 (150 mm)</t>
  </si>
  <si>
    <t>TEE PVC-S Ø4 (150 mm)</t>
  </si>
  <si>
    <t>TEE PVC-S Ø6x4 (150x100 mm)</t>
  </si>
  <si>
    <t>TES64</t>
  </si>
  <si>
    <t>TNOV8</t>
  </si>
  <si>
    <t>COLLAR Y LLAVE DE INCORPORACION Ø4"X Ø1/2"</t>
  </si>
  <si>
    <t>CYLL6</t>
  </si>
  <si>
    <t>TUB. PVC-P RDE-21 1/2"</t>
  </si>
  <si>
    <t xml:space="preserve">TUB. PVC-P RDE-21 1 </t>
  </si>
  <si>
    <t>R1210HJ</t>
  </si>
  <si>
    <t>CO910JH</t>
  </si>
  <si>
    <t>CODO HF 250 mm 90º  (10") JH</t>
  </si>
  <si>
    <t>VALV. COMP SELLO BRONCE 25mm</t>
  </si>
  <si>
    <t>VCEL1</t>
  </si>
  <si>
    <t>UNION PE 32 mm SOCKET</t>
  </si>
  <si>
    <t>Unión rápida PEAD U. Mecánica de 90 mm</t>
  </si>
  <si>
    <t>COSTOS INDIRECTOS: GASTOS GENERALES, ADMINISTRACIÓN, IMPREVISTOS, UTILIDADES</t>
  </si>
  <si>
    <t>Código</t>
  </si>
  <si>
    <t>Nombre</t>
  </si>
  <si>
    <t>Cantidad</t>
  </si>
  <si>
    <t>Valor</t>
  </si>
  <si>
    <t>Subtotal</t>
  </si>
  <si>
    <t>ADMINISTRACIÓN</t>
  </si>
  <si>
    <t/>
  </si>
  <si>
    <t>1.1.1</t>
  </si>
  <si>
    <t>Retención de Obra</t>
  </si>
  <si>
    <t>1.1.2</t>
  </si>
  <si>
    <t>1.1.3</t>
  </si>
  <si>
    <t>Impuesto Estampilla Pro Cultura</t>
  </si>
  <si>
    <t>1.1.4</t>
  </si>
  <si>
    <t>Impuesto Estampilla Por Hospital</t>
  </si>
  <si>
    <t>1.1.5</t>
  </si>
  <si>
    <t>Impuesto de la Publicación del Contrato</t>
  </si>
  <si>
    <t>1.5</t>
  </si>
  <si>
    <t>Personal de Admón. del Contrato</t>
  </si>
  <si>
    <t>1.5.1</t>
  </si>
  <si>
    <t>1.5.2</t>
  </si>
  <si>
    <t>Ingeniero(s) residente(s)</t>
  </si>
  <si>
    <t>1.5.3</t>
  </si>
  <si>
    <t>1.5.4</t>
  </si>
  <si>
    <t>1.5.5</t>
  </si>
  <si>
    <t>1.5.6</t>
  </si>
  <si>
    <t>1.5.7</t>
  </si>
  <si>
    <t>1.5.8</t>
  </si>
  <si>
    <t>Otros costos de admón. (calidad)</t>
  </si>
  <si>
    <t>1.6</t>
  </si>
  <si>
    <t>1.6.1</t>
  </si>
  <si>
    <t>1.6.2</t>
  </si>
  <si>
    <t>Mantenimiento de equipos</t>
  </si>
  <si>
    <t>1.6.3</t>
  </si>
  <si>
    <t>Acometidas provisionales e hidrantes</t>
  </si>
  <si>
    <t>1.6.4</t>
  </si>
  <si>
    <t>Combustible y lubricante vehi.admón</t>
  </si>
  <si>
    <t>1.6.5</t>
  </si>
  <si>
    <t>Transporte del personal de admón.</t>
  </si>
  <si>
    <t>1.6.6</t>
  </si>
  <si>
    <t>Gastos de papelería y permisos</t>
  </si>
  <si>
    <t>1.6.9</t>
  </si>
  <si>
    <t>Medio de comunicacion</t>
  </si>
  <si>
    <t>TOTAL A</t>
  </si>
  <si>
    <t>IMPREVISTOS</t>
  </si>
  <si>
    <t>Imprevisto (diferentes a fza.mayor)</t>
  </si>
  <si>
    <t>TOTAL I</t>
  </si>
  <si>
    <t>3.</t>
  </si>
  <si>
    <t>UTILIDADES</t>
  </si>
  <si>
    <t>Utilidades del contratista</t>
  </si>
  <si>
    <t>TOTAL U</t>
  </si>
  <si>
    <t>TOTAL A.I.U.</t>
  </si>
  <si>
    <t>COSTO TOTAL  DE LAS OBRAS</t>
  </si>
  <si>
    <t>COSTOS DIRECTOS</t>
  </si>
  <si>
    <t>ALCANTARILLADO</t>
  </si>
  <si>
    <t>CONCRETOS</t>
  </si>
  <si>
    <t>SUB ANALISIS DE CONCRETOS Y MORTEROS</t>
  </si>
  <si>
    <t>CUADRO DE JORNALES DEL PROYECTO</t>
  </si>
  <si>
    <t>Mano de Obra</t>
  </si>
  <si>
    <t>Cod</t>
  </si>
  <si>
    <t>Total Porcentaje de Prestaciones Sociales</t>
  </si>
  <si>
    <t xml:space="preserve">Impuestos </t>
  </si>
  <si>
    <t>LUPVT</t>
  </si>
  <si>
    <t>Tarro</t>
  </si>
  <si>
    <t>LUBRICANTE PAVCO ALCANTARILLADO (x4Kg)</t>
  </si>
  <si>
    <t>Concreto 170kg/cm2 1:3:3</t>
  </si>
  <si>
    <t>CT170KG</t>
  </si>
  <si>
    <t>CONCRETO 170kg/cm²  1:3:3</t>
  </si>
  <si>
    <t>ALANR</t>
  </si>
  <si>
    <t>ALAMBRE NEGRO RECOCIDO</t>
  </si>
  <si>
    <t>A60FI</t>
  </si>
  <si>
    <t>MOIHF</t>
  </si>
  <si>
    <t>ADAPTADOR MACHO PVC 1/2''</t>
  </si>
  <si>
    <t>ADMM</t>
  </si>
  <si>
    <t>SLPVC</t>
  </si>
  <si>
    <t>Adaptador macho Ø1" U. Mecánica para PEAD</t>
  </si>
  <si>
    <t>VOLQUET</t>
  </si>
  <si>
    <t>CARRO TANQUE 2500 GLS</t>
  </si>
  <si>
    <t>CARRTA</t>
  </si>
  <si>
    <t>CONCRETO 70kg/cm²  1:4:8</t>
  </si>
  <si>
    <t>CT070KG</t>
  </si>
  <si>
    <t>Mortero 1:3</t>
  </si>
  <si>
    <t>Mortero 1:4</t>
  </si>
  <si>
    <t>TZ3256</t>
  </si>
  <si>
    <t>TZ3258</t>
  </si>
  <si>
    <t>TZ32510</t>
  </si>
  <si>
    <t>TZ32512</t>
  </si>
  <si>
    <t>TZ414</t>
  </si>
  <si>
    <t>TZ416</t>
  </si>
  <si>
    <t>TZ418</t>
  </si>
  <si>
    <t>TZ4110</t>
  </si>
  <si>
    <t>TZ4112</t>
  </si>
  <si>
    <t>UNION RAPIDA DE PVC DE 10'' 250 mm</t>
  </si>
  <si>
    <t>URAP10</t>
  </si>
  <si>
    <t>UREP6</t>
  </si>
  <si>
    <t>CEMENTO GRIS (50kg)</t>
  </si>
  <si>
    <t>VENTOSA DOBLE ACCION 4" BRIDA</t>
  </si>
  <si>
    <t>VÁLVULA COMPUERTA SELLO BRONCE BRIDA Ø4"</t>
  </si>
  <si>
    <t>VEN04</t>
  </si>
  <si>
    <t>TPN1012</t>
  </si>
  <si>
    <t xml:space="preserve">TUB. PEAD PE 100 PN 12 RDE-17 DE Ø 315mm (12") </t>
  </si>
  <si>
    <t>CP1245PN10</t>
  </si>
  <si>
    <t>Codo  de Ø12"x45º (315mm x 45º) PEAD PN10. Termofusión</t>
  </si>
  <si>
    <t>RED1210</t>
  </si>
  <si>
    <t>Reducción de Ø12"x10" (315x250 mm) PEAD PN 10 U. Termofusión</t>
  </si>
  <si>
    <t>RED106</t>
  </si>
  <si>
    <t>Reducción de Ø10"x6" (250x160 mm) PEAD PN 10 U. Termofusión</t>
  </si>
  <si>
    <t>Reducción de Ø4"x2" (110x63 mm) PEAD PN 10 U. Termofusión</t>
  </si>
  <si>
    <t>RED42</t>
  </si>
  <si>
    <t>T66JH</t>
  </si>
  <si>
    <t>T63JH</t>
  </si>
  <si>
    <t>TEE HF 150x75 mm (6"X3") JH</t>
  </si>
  <si>
    <t>T62JH</t>
  </si>
  <si>
    <t>TEE HF 150x50 mm (6"X2") JH</t>
  </si>
  <si>
    <t>T43JH</t>
  </si>
  <si>
    <t>T42JH</t>
  </si>
  <si>
    <t>T33JH</t>
  </si>
  <si>
    <t>T32JH</t>
  </si>
  <si>
    <t>T22JH</t>
  </si>
  <si>
    <t>CR44JH</t>
  </si>
  <si>
    <t>CRUZ HF 100 mm JH</t>
  </si>
  <si>
    <t>CR42JH</t>
  </si>
  <si>
    <t>CRUZ HF 100x50 mm JH</t>
  </si>
  <si>
    <t>CR22JH</t>
  </si>
  <si>
    <t>CRUZ HF 50 mm JH</t>
  </si>
  <si>
    <t>R64JH</t>
  </si>
  <si>
    <t>REDUCCION HF 150x100 mm JH</t>
  </si>
  <si>
    <t>R43JH</t>
  </si>
  <si>
    <t>REDUCCION HF 100x75 mm JH</t>
  </si>
  <si>
    <t>R42JH</t>
  </si>
  <si>
    <t>REDUCCION HF 100x50 mm JH</t>
  </si>
  <si>
    <t>R32JH</t>
  </si>
  <si>
    <t>REDUCCION HF 75x50 mm  JH</t>
  </si>
  <si>
    <t>R32EL</t>
  </si>
  <si>
    <t>C908J</t>
  </si>
  <si>
    <t>CODO 90º HF 4" JH</t>
  </si>
  <si>
    <t>CO903JH</t>
  </si>
  <si>
    <t>CODO HF 75 mm 90º JH</t>
  </si>
  <si>
    <t>CO902JH</t>
  </si>
  <si>
    <t>CODO HF 50 mm 90º JH</t>
  </si>
  <si>
    <t>CD454JH</t>
  </si>
  <si>
    <t>CODO 45° HF 100 mm JH</t>
  </si>
  <si>
    <t>TPN10075</t>
  </si>
  <si>
    <t xml:space="preserve">TUB. PEAD PE 100 PN 10 RDE-17 DE Ø 75mm (2½") </t>
  </si>
  <si>
    <t>VALV. COMP SELLO BRONCE BB 75 mm</t>
  </si>
  <si>
    <t>VCBB3</t>
  </si>
  <si>
    <t>TAP2PN10</t>
  </si>
  <si>
    <t>TAPON de Ø2" (63 mm) PEAD U. Termofusión</t>
  </si>
  <si>
    <t>Mortero 1:7</t>
  </si>
  <si>
    <t>MORTERO 1:3</t>
  </si>
  <si>
    <t>MORTERO 1:4</t>
  </si>
  <si>
    <t>MORTERO 1:7</t>
  </si>
  <si>
    <t>Director(es) de Obra</t>
  </si>
  <si>
    <t>Almacenista(s)</t>
  </si>
  <si>
    <t>Celador(es)</t>
  </si>
  <si>
    <t>Encargado de la obra</t>
  </si>
  <si>
    <t>Secretaria(s)</t>
  </si>
  <si>
    <t>Mensajero(s)</t>
  </si>
  <si>
    <t>Arrendamientos y servicios públicos</t>
  </si>
  <si>
    <t>TASR4</t>
  </si>
  <si>
    <t>TAPÓN ROSCADO PVC-P 4''</t>
  </si>
  <si>
    <t>VENT1</t>
  </si>
  <si>
    <t>VENTANA ALUMINIO 1.2x1.0m</t>
  </si>
  <si>
    <t>P90X200</t>
  </si>
  <si>
    <t>P80X200</t>
  </si>
  <si>
    <t>MARABA</t>
  </si>
  <si>
    <t>PINBAR</t>
  </si>
  <si>
    <t>P150X240</t>
  </si>
  <si>
    <t>OFICIAL</t>
  </si>
  <si>
    <t>AYUDANTE RASO</t>
  </si>
  <si>
    <t>mes</t>
  </si>
  <si>
    <t>T64JH</t>
  </si>
  <si>
    <t>TEE PVC-P 50 mm (2")</t>
  </si>
  <si>
    <t>TEP22</t>
  </si>
  <si>
    <t>TNOV6</t>
  </si>
  <si>
    <t>TNOV10</t>
  </si>
  <si>
    <t>TUB. PVC NOVAFORT 6''  (160mm)</t>
  </si>
  <si>
    <t>TUB. PVC NOVAFORT 8''  (200mm)</t>
  </si>
  <si>
    <t>TUB. PVC NOVAFORT 10''  (250mm)</t>
  </si>
  <si>
    <t>TNOV12</t>
  </si>
  <si>
    <t>TUB. PVC NOVAFORT 12.6''  (315mm)</t>
  </si>
  <si>
    <t>TUB. PVC NOVAFORT 16''  (400mm)</t>
  </si>
  <si>
    <t>TUB. PVC NOVAFORT 18''  (450mm)</t>
  </si>
  <si>
    <t>TUB. PVC NOVAFORT 20''  (500mm)</t>
  </si>
  <si>
    <t>TNOV16</t>
  </si>
  <si>
    <t>TNOV18</t>
  </si>
  <si>
    <t>TNOV20</t>
  </si>
  <si>
    <t>REDUCCION  PVC-S Ø6x4 (150x100 mm)</t>
  </si>
  <si>
    <t>RES64</t>
  </si>
  <si>
    <t>ARELC</t>
  </si>
  <si>
    <t>ARENA CONCRETO LAVADA</t>
  </si>
  <si>
    <t>TEJAJ</t>
  </si>
  <si>
    <t>TEJA TRANSPARENTE AJOVER</t>
  </si>
  <si>
    <t>LAC18</t>
  </si>
  <si>
    <t>LAMINA DE ACERO CAL.1/8'' 1.0x1.0</t>
  </si>
  <si>
    <t>BISCO</t>
  </si>
  <si>
    <t>BISAGRA COBRIZADA 3x3</t>
  </si>
  <si>
    <t>ADM2</t>
  </si>
  <si>
    <t>ADAPTADOR MACHO PVC 2''</t>
  </si>
  <si>
    <t>PERFIL U ALUM. 1/8'' 1/2''x1/2''</t>
  </si>
  <si>
    <t>M120K</t>
  </si>
  <si>
    <t xml:space="preserve">TUB. PVC-S Ø 100 mm </t>
  </si>
  <si>
    <t>C903L</t>
  </si>
  <si>
    <t>TRANSPORTE CAMION 8 ton - L=6,0m</t>
  </si>
  <si>
    <t xml:space="preserve">UNION DESMONTAJE DRESSER 6 </t>
  </si>
  <si>
    <t>m2</t>
  </si>
  <si>
    <t>PEGCO</t>
  </si>
  <si>
    <t>PEGACOR</t>
  </si>
  <si>
    <t>MOENC</t>
  </si>
  <si>
    <t>M. DE O. ENCHAPE CERAMICA</t>
  </si>
  <si>
    <t>TEJAB</t>
  </si>
  <si>
    <t>TEJA DE BARRO</t>
  </si>
  <si>
    <t>MADCJ</t>
  </si>
  <si>
    <t>MADERA CAJONERA EN ROBLE</t>
  </si>
  <si>
    <t>BAZ10</t>
  </si>
  <si>
    <t>BALDOSIN-AZULEJO 10x10</t>
  </si>
  <si>
    <t>MOVOL</t>
  </si>
  <si>
    <t>M. DE O. VOLADURA-todo costo</t>
  </si>
  <si>
    <t>TRANA</t>
  </si>
  <si>
    <t>TPN1232</t>
  </si>
  <si>
    <t xml:space="preserve">TUB. PEAD PE 80 PN 12,5 RDE-11 DE Ø 25mm (3/4") </t>
  </si>
  <si>
    <t xml:space="preserve">TUB. PEAD PE 80 PN 12,5 RDE-11 DE Ø 32mm (1") </t>
  </si>
  <si>
    <t>VCEL4</t>
  </si>
  <si>
    <t>VALV. COMP SELLO BRONCE EL 100 mm</t>
  </si>
  <si>
    <t>VCEL2</t>
  </si>
  <si>
    <t>VALV. COMPUERTA ELASTICA EL 50 mm</t>
  </si>
  <si>
    <t>CAJAV</t>
  </si>
  <si>
    <t xml:space="preserve">CAJA VALVULA </t>
  </si>
  <si>
    <t>HIDRANTES</t>
  </si>
  <si>
    <t>HIDRANTE TIPO MILAN EB DE 3''</t>
  </si>
  <si>
    <t>S.T.I Codo Ø10" x 45º (250mmx45º) en PEAD  PN10</t>
  </si>
  <si>
    <t xml:space="preserve"> Localización y replanteo (Levantamiento topográfico)</t>
  </si>
  <si>
    <t>DESCRIPCION:</t>
  </si>
  <si>
    <t>UNIDAD:</t>
  </si>
  <si>
    <t>ITEM:</t>
  </si>
  <si>
    <t>Impacto Comunitario</t>
  </si>
  <si>
    <t>IMPACTO</t>
  </si>
  <si>
    <t>RECURSOS</t>
  </si>
  <si>
    <t>COSTO UNIT.</t>
  </si>
  <si>
    <t>RENDIMIENTO</t>
  </si>
  <si>
    <t>CANTIDAD</t>
  </si>
  <si>
    <t>V/TOTAL</t>
  </si>
  <si>
    <t>Balisas de señalización</t>
  </si>
  <si>
    <t>Malla de señalización</t>
  </si>
  <si>
    <t>Señales preventivas</t>
  </si>
  <si>
    <t>Señales informativas</t>
  </si>
  <si>
    <t>Señales reglamentarias</t>
  </si>
  <si>
    <t>Barricadas</t>
  </si>
  <si>
    <t>Estacones</t>
  </si>
  <si>
    <t>Cinta reflectiva</t>
  </si>
  <si>
    <t>Roll x 500m</t>
  </si>
  <si>
    <t>Escobas, mangueras</t>
  </si>
  <si>
    <t>Botiquín</t>
  </si>
  <si>
    <t>Escalera de madera</t>
  </si>
  <si>
    <t>Camilla</t>
  </si>
  <si>
    <t>Canecas</t>
  </si>
  <si>
    <t>Extintor</t>
  </si>
  <si>
    <t>Unidad sanitaria</t>
  </si>
  <si>
    <t>Platina para paso provisional</t>
  </si>
  <si>
    <t>Paletas Pare y Siga</t>
  </si>
  <si>
    <t>Dotación completa (personal)</t>
  </si>
  <si>
    <t>juego</t>
  </si>
  <si>
    <t>Subtotal =</t>
  </si>
  <si>
    <t>EQUIPO</t>
  </si>
  <si>
    <t>Herramienta</t>
  </si>
  <si>
    <t>Ayudante</t>
  </si>
  <si>
    <t>jor</t>
  </si>
  <si>
    <t>TRANSPORTE</t>
  </si>
  <si>
    <t>Volqueta</t>
  </si>
  <si>
    <t>Total Costo Directo =</t>
  </si>
  <si>
    <t>7.5 i</t>
  </si>
  <si>
    <t>7.5 s</t>
  </si>
  <si>
    <t>TOTAL  OBRA CIVIL E INSTALACIÓN</t>
  </si>
  <si>
    <t>SUMINISTRO ( INCLUYE TRANSPORTE)</t>
  </si>
  <si>
    <t>TOTAL  SUMINISTRO( INCLUYE TRANSPORTE)</t>
  </si>
  <si>
    <t>COSTO TOTAL OBRA CIVIL, INSTALACION + SUMINISTRO ( INCLUYE TRANSPORTE)</t>
  </si>
  <si>
    <t>7</t>
  </si>
  <si>
    <t>VENTOSA DOBLE ACCION 4" BRIDA HD</t>
  </si>
  <si>
    <t xml:space="preserve">TEE PARTIDA 10" x 4" COMPLETA BRIDA DE ACERO INOXIDABLE </t>
  </si>
  <si>
    <t xml:space="preserve">TEE PARTIDA 10" x 10" COMPLETA BRIDA DE ACERO INOXIDABLE </t>
  </si>
  <si>
    <t>Tee  de Ø10"x10" (250x250 mm) PEAD, U. Termofusión PN 10</t>
  </si>
  <si>
    <t xml:space="preserve">TOTAL </t>
  </si>
  <si>
    <t>TPN1014</t>
  </si>
  <si>
    <t xml:space="preserve">TUB. PEAD PE 100 PN 10 RDE-17 DE Ø 355mm (14") </t>
  </si>
  <si>
    <t>5</t>
  </si>
  <si>
    <t xml:space="preserve">OBRA CIVIL E INSTALACIÓN </t>
  </si>
  <si>
    <t>ACTIVIDADES PRELIMINARES</t>
  </si>
  <si>
    <r>
      <t>m</t>
    </r>
    <r>
      <rPr>
        <vertAlign val="superscript"/>
        <sz val="10"/>
        <rFont val="Gill Sans MT"/>
        <family val="2"/>
      </rPr>
      <t>3</t>
    </r>
  </si>
  <si>
    <r>
      <t>m</t>
    </r>
    <r>
      <rPr>
        <vertAlign val="superscript"/>
        <sz val="10"/>
        <rFont val="Gill Sans MT"/>
        <family val="2"/>
      </rPr>
      <t xml:space="preserve">3 </t>
    </r>
  </si>
  <si>
    <t xml:space="preserve">Localización, trazado y replanteo de tubería </t>
  </si>
  <si>
    <t>DEMOLICIONES</t>
  </si>
  <si>
    <t>Rotura y retiro de pavimento Rigido, incluye botada de escombros</t>
  </si>
  <si>
    <t>Demolición de cordones, incluye botada de escombros</t>
  </si>
  <si>
    <t>Demolición de cunetas, incluye botada de escombros</t>
  </si>
  <si>
    <t>Demolición de andenes, incluye botada de escombros</t>
  </si>
  <si>
    <t>CORTACT</t>
  </si>
  <si>
    <t>Excavación Mecanica en material común seco 0-2 m de profundidad. Medido en sitio</t>
  </si>
  <si>
    <t>Excavación Mecanica en material común humedo 0-2 m de profundidad. Medido en sitio</t>
  </si>
  <si>
    <t>Excavación en roca con cemento demoledor no explosivo.  Incluye desembombe. A cualquier profundidad y bajo cualquier grado de humedad.</t>
  </si>
  <si>
    <t>2.2.1</t>
  </si>
  <si>
    <t>2.2.2</t>
  </si>
  <si>
    <t>2.2.3</t>
  </si>
  <si>
    <t>2.2.4</t>
  </si>
  <si>
    <t>2.2.5</t>
  </si>
  <si>
    <t>Cargue, retiro y botada de material proveniente de la excavación a cualquier distancia, medida en sitio.</t>
  </si>
  <si>
    <t>Llenos en material proveniente de la excavación, compactados mecánicamente hasta obtener una densidad del 80% de la máxima obtenida en el ensayo del Proctor Modificado.</t>
  </si>
  <si>
    <t xml:space="preserve">Llenos con material de préstamo en  arenilla, compactados mecánicamente hasta obtener una densidad del 95% de la máxima obtenida en el ensayo del próctor modificado. </t>
  </si>
  <si>
    <t>EXCAVACIONES Y LLENOS</t>
  </si>
  <si>
    <t>2.2.6</t>
  </si>
  <si>
    <t>OBRAS EN CONCRETO Y ACERO</t>
  </si>
  <si>
    <t>S.T.C de Concreto f'c= 21 Mpa para anclaje de tuberias y accesorios.</t>
  </si>
  <si>
    <t>Corte de pavimento rígido</t>
  </si>
  <si>
    <t>AYUDANTE RASO (INC. 65% PRESTACI.)</t>
  </si>
  <si>
    <t>OFICIAL (INCLUYE 65% PRESTACIONES)</t>
  </si>
  <si>
    <t xml:space="preserve">S.T.C pavimento rígido en concreto de f'c= 28 Mpa, incluye tratamiento de juntas, dovelas, adhesivo epóxico para concreto fresco y endurecido. </t>
  </si>
  <si>
    <t>CT280KG</t>
  </si>
  <si>
    <t>SELLO DE SILICONA SIKASILC O SIMILAR</t>
  </si>
  <si>
    <t>mL</t>
  </si>
  <si>
    <t>DOBELAS (ACERO LISO 30 cm)</t>
  </si>
  <si>
    <t>ACERO DE CANASTILLA (liso)</t>
  </si>
  <si>
    <t>CONCRETO VIEJO CON CONCRETO NUEVO</t>
  </si>
  <si>
    <t>gr</t>
  </si>
  <si>
    <t>CORDON DE SIKAROD DE 6 mm ( 1/4" ) O SIMILAR</t>
  </si>
  <si>
    <t>Reconstrucción de cunetas de concreto</t>
  </si>
  <si>
    <t>Recosntrucción de Cordón de concreto in situ</t>
  </si>
  <si>
    <t>Reconstrucción de Cordón de concreto in situ</t>
  </si>
  <si>
    <t>S.T.C y/o reconstrucción de andén en concreto de 21 Mpa, espesor de 10cm.  incluye piedra entresuelo e=0.15m, arenilla compactada e=0.10 m.</t>
  </si>
  <si>
    <t>BISEL DE MADERA</t>
  </si>
  <si>
    <r>
      <t>m</t>
    </r>
    <r>
      <rPr>
        <vertAlign val="superscript"/>
        <sz val="10"/>
        <rFont val="Gill Sans MT"/>
        <family val="2"/>
      </rPr>
      <t>2</t>
    </r>
  </si>
  <si>
    <t>Tubería  PEAD Ø400mm PN 12.5 RDE 13.6</t>
  </si>
  <si>
    <t xml:space="preserve">INSTALACIÓN DE TUBERÍAS, ACCESORIOS Y EQUIPOS </t>
  </si>
  <si>
    <t>SUMINISTRO INCLUYE TRANSPORTE DE TUBERÍA, ACCESORIOS Y EQUIPOS</t>
  </si>
  <si>
    <t>Rotura y retiro de pavimento asfáltico</t>
  </si>
  <si>
    <t>Construcción de Pavimento Flexible, incluye Imprimacion, Riego de Liga y Mezcla Asfaltica</t>
  </si>
  <si>
    <t>MA34K</t>
  </si>
  <si>
    <t xml:space="preserve">MEZCLA ASFALTICA AGRG 3/4" </t>
  </si>
  <si>
    <t xml:space="preserve">APISONADOR CANGURO </t>
  </si>
  <si>
    <t>IMPRI_</t>
  </si>
  <si>
    <t>OFICI_</t>
  </si>
  <si>
    <t>AYUDA_</t>
  </si>
  <si>
    <t>AYUDR_</t>
  </si>
  <si>
    <t xml:space="preserve">TUB. PEAD PE 100 PN 12,5 RDE-13,6 DE Ø 40mm (16") </t>
  </si>
  <si>
    <t>2.3.1</t>
  </si>
  <si>
    <t>2.3.2</t>
  </si>
  <si>
    <t>2.3.3</t>
  </si>
  <si>
    <t>2.3.4</t>
  </si>
  <si>
    <t>2.3.5</t>
  </si>
  <si>
    <t>2.3.6</t>
  </si>
  <si>
    <t>2.4.1</t>
  </si>
  <si>
    <t>2.4.2</t>
  </si>
  <si>
    <t>2.4.3</t>
  </si>
  <si>
    <t>2.4.4</t>
  </si>
  <si>
    <t>2.4.5</t>
  </si>
  <si>
    <t>2.4.6</t>
  </si>
  <si>
    <t>2.4.7</t>
  </si>
  <si>
    <t>2.4.8</t>
  </si>
  <si>
    <t>2.5 i</t>
  </si>
  <si>
    <t>2.5.2 i</t>
  </si>
  <si>
    <t>2.5.3 i</t>
  </si>
  <si>
    <t>2.5.4 i</t>
  </si>
  <si>
    <t>2.5.5 i</t>
  </si>
  <si>
    <t>.</t>
  </si>
  <si>
    <t>5.5.1</t>
  </si>
  <si>
    <t>5.5.2</t>
  </si>
  <si>
    <t>5.5.3</t>
  </si>
  <si>
    <t>5.5.4</t>
  </si>
  <si>
    <t>5.5.5</t>
  </si>
  <si>
    <t>5.5.6</t>
  </si>
  <si>
    <t>5.3.1</t>
  </si>
  <si>
    <t>5.3.2</t>
  </si>
  <si>
    <t>5.3.3</t>
  </si>
  <si>
    <t>5.3.4</t>
  </si>
  <si>
    <t>5.3.5</t>
  </si>
  <si>
    <t>5.3.6</t>
  </si>
  <si>
    <t>5.4.1</t>
  </si>
  <si>
    <t>5.4.2</t>
  </si>
  <si>
    <t>5.4.3</t>
  </si>
  <si>
    <t>5.4.4</t>
  </si>
  <si>
    <t>5.4.5</t>
  </si>
  <si>
    <t>5.4.6</t>
  </si>
  <si>
    <t>5.4.7</t>
  </si>
  <si>
    <t>5.4.8</t>
  </si>
  <si>
    <t>5.5 i</t>
  </si>
  <si>
    <t>5.5 s</t>
  </si>
  <si>
    <t>5.5.1 s</t>
  </si>
  <si>
    <t>5.5.2 s</t>
  </si>
  <si>
    <t>5.5.3 s</t>
  </si>
  <si>
    <t>5.5.4 s</t>
  </si>
  <si>
    <t>5.5.5 s</t>
  </si>
  <si>
    <t>5.5.6 s</t>
  </si>
  <si>
    <t>Tubería  PEAD Ø160mm PN 16 RDE 11</t>
  </si>
  <si>
    <t>Tubería  PEAD Ø160mm PN 12.5 RDE 14</t>
  </si>
  <si>
    <t>Tubería  PEAD Ø160mm PN 10 RDE 17</t>
  </si>
  <si>
    <t>S.T.I Codo Ø6" x 45º (160mmx45º) en PEAD  PN10</t>
  </si>
  <si>
    <t>Codo Ø6" x 45º (160mmx45º)  PEAD  PN10</t>
  </si>
  <si>
    <t xml:space="preserve">S.T.I Ventosa de Ø2" (50 mm) de doble acción, BXB,  cámara doble (incluye válvula de corte Ø2" HD, BXB y Tee partida de Ø10x4" Extremo brida, HD, Juego de  tornillos de 3"x3/8" , arandelas, tuercas, guasas (todo en acero inoxidable)  y empaque de neopreno e=3 mm). </t>
  </si>
  <si>
    <t xml:space="preserve">Instalación Ventosa de Ø2" (50 mm) camara doble de acción multiple, BXB,  cámara doble (incluye válvula de corte Ø2" HD, BXB y Tee de Ø6x2" Extremo brida, HD, Juego de  tornillos de 2"x3/8" , arandelas, tuercas, guasas (todo en acero inoxidable)  y empaque de neopreno e=3 mm). </t>
  </si>
  <si>
    <t>5.5.7 s</t>
  </si>
  <si>
    <t>S.T.I Válvula de compuerta Ø3" (75 mm)  sello bronce, BxB, JH. (Incluye Tee 6x3" JH HD, juego de  tornillos de 3"x3/8" , arandelas, tuercas, guasas (todo en acero inoxidable)  y empaque de neopreno e=3 mm). ) (para purga).</t>
  </si>
  <si>
    <t>Inatalación Válvula de compuerta Ø3" (75 mm)  sello bronce, BxB, JH. (Incluye Tee 6x3" JH HD, juego de  tornillos de 3"x3/8" , arandelas, tuercas, guasas (todo en acero inoxidable)  y empaque de neopreno e=3 mm). ) (para purga).</t>
  </si>
  <si>
    <t>Válvula de compuerta Ø6" (150 mm)  sello bronce, HD, JH, dos unidades (para control a la entrada a la PTAP y para el by-pass).</t>
  </si>
  <si>
    <t>Instalación Válvula de compuerta Ø6" (150 mm)  sello bronce, HD, JH, dos unidades (para control a la entrada a la PTAP y para el by-pass).</t>
  </si>
  <si>
    <t>Suministro Válvula de compuerta Ø6" (150 mm)  sello bronce, HD, JH, dos unidades (para control a la entrada a la PTAP y para el by-pass).</t>
  </si>
  <si>
    <t>TOTAL CONSTRUCCIÓN LINEA DE IMPULSIÓN LÍNEA DE IMPULSIÓN PTAP TIJERETAS - TANQUE DE PATAGONIA</t>
  </si>
  <si>
    <t xml:space="preserve"> LÍNEA DE IMPULSIÓN RÍO SINÚ - PTAP TIJERETAS</t>
  </si>
  <si>
    <t xml:space="preserve"> LÍNEA DE IMPULSIÓN RÍO SINÚ - PTAP TIJERETAS (tuberia 400 mm PN12.5 RDE 13.6 en PEAD L=10133 Q=120 l/s )</t>
  </si>
  <si>
    <t>COMPONENTE ELECTRICO Y MECANICO DEL SISTEMA DE BOMBEO RÍO SINÚ - PTAP TIJERETAS</t>
  </si>
  <si>
    <t>OPTIMIZACION PLANTA DE TRATAMIENTO DE AGUA POTABLE (Q= 120 l/s)</t>
  </si>
  <si>
    <t>COMPONENTE ELECTRICO Y MECANICO DEL SISTEMA DE BOMBEO PTAP TIJERETAS - TANQUE PATAGONIA</t>
  </si>
  <si>
    <t>LÍNEA DE IMPULSIÓN PTAP TIJERETAS -  (tuberia 160 mm  PEAD L=10368 Q=20 l/s )</t>
  </si>
  <si>
    <t>TANQUE DE ALMACENAMIENTO PATAGONIA V=1000 m3</t>
  </si>
  <si>
    <t>COSTOS DIRECTOS DE OBRA</t>
  </si>
  <si>
    <t xml:space="preserve">PLAZO DE EJECUCION EN DIAS </t>
  </si>
  <si>
    <t xml:space="preserve">Personal impacto ambiental </t>
  </si>
  <si>
    <t>Otros costos de admón (Personal Asesor)</t>
  </si>
  <si>
    <t xml:space="preserve">FACTOR PRESTACIONAL </t>
  </si>
  <si>
    <t>POLIZAS</t>
  </si>
  <si>
    <t>TIPO DE GARANTÍA</t>
  </si>
  <si>
    <t>VALOR ASEGURADO</t>
  </si>
  <si>
    <t>COBERTURA ( Dias )</t>
  </si>
  <si>
    <t>TASA anual</t>
  </si>
  <si>
    <t>PRIMA</t>
  </si>
  <si>
    <t>VALOR</t>
  </si>
  <si>
    <t>ANTICIPO</t>
  </si>
  <si>
    <t>Cumplimiento</t>
  </si>
  <si>
    <t>Buen Manejo y Correcta Inversión del Anticipo</t>
  </si>
  <si>
    <t>100% del anticipo</t>
  </si>
  <si>
    <t>Salarios y Prestaciones Sociales</t>
  </si>
  <si>
    <t>Estabilidad y Calidad de la Obras</t>
  </si>
  <si>
    <t>Responsabilidad Civil</t>
  </si>
  <si>
    <t>Todo Riesgo en Construcción</t>
  </si>
  <si>
    <t>Subtotal Prima</t>
  </si>
  <si>
    <t>Gastos de expedición</t>
  </si>
  <si>
    <t>I.V.A.</t>
  </si>
  <si>
    <t>TOTAL POLIZAS</t>
  </si>
  <si>
    <t>Relación</t>
  </si>
  <si>
    <t>Nota: Debido a que la mayoría de las obras a ejecutar no representan un mayor riesgo para la comunidad, ya que son obras menores, no se considera necesario tener en cuenta la póliza Todo Riesgo en Construcción.</t>
  </si>
  <si>
    <t>PUBLICACION EN LA GACETA</t>
  </si>
  <si>
    <t>TOTAL GASTOS LEGALIZACION</t>
  </si>
  <si>
    <t>SALARIOS BASE AÑO 2015</t>
  </si>
  <si>
    <t xml:space="preserve"> LÍNEA DE CONDUCCIÓN TANQUE DE PATAGONIA AL PORVENIR Y ECOPETROL</t>
  </si>
  <si>
    <t>7.7.1</t>
  </si>
  <si>
    <t>7.7.2</t>
  </si>
  <si>
    <t>7.7.3</t>
  </si>
  <si>
    <t>7.7.4</t>
  </si>
  <si>
    <t>7.7.5</t>
  </si>
  <si>
    <t>7.7.6</t>
  </si>
  <si>
    <t>7.3.1</t>
  </si>
  <si>
    <t>7.3.2</t>
  </si>
  <si>
    <t>7.3.3</t>
  </si>
  <si>
    <t>7.3.4</t>
  </si>
  <si>
    <t>7.3.5</t>
  </si>
  <si>
    <t>7.3.6</t>
  </si>
  <si>
    <t>7.4.1</t>
  </si>
  <si>
    <t>7.4.2</t>
  </si>
  <si>
    <t>7.4.3</t>
  </si>
  <si>
    <t>7.4.4</t>
  </si>
  <si>
    <t>7.4.5</t>
  </si>
  <si>
    <t>7.4.6</t>
  </si>
  <si>
    <t>7.4.7</t>
  </si>
  <si>
    <t>7.4.8</t>
  </si>
  <si>
    <t>7.5.2 i</t>
  </si>
  <si>
    <t>7.5.3 i</t>
  </si>
  <si>
    <t>7.5.4 i</t>
  </si>
  <si>
    <t>7.5.2 s</t>
  </si>
  <si>
    <t>7.5.3 s</t>
  </si>
  <si>
    <t>7.5.4 s</t>
  </si>
  <si>
    <t>Tubería PVC Ø8" (200mm) RDE 21 UM</t>
  </si>
  <si>
    <t>Tubería PVC Ø6" (150mm) RDE 21 UM</t>
  </si>
  <si>
    <t>Codo HD 11.25° 6" JH</t>
  </si>
  <si>
    <t>Codo HD 22.5° 6" JH</t>
  </si>
  <si>
    <t>Codo HD 45° 6" JH</t>
  </si>
  <si>
    <t>Tee 8" x 3" HD, JH</t>
  </si>
  <si>
    <t>Reducción 8" x 6" HD</t>
  </si>
  <si>
    <t>7.5.1 i</t>
  </si>
  <si>
    <t>7.5.9 i</t>
  </si>
  <si>
    <t>7.5.10 i</t>
  </si>
  <si>
    <t>7.5.11 i</t>
  </si>
  <si>
    <t>7.5.12 i</t>
  </si>
  <si>
    <t>7.5.14 i</t>
  </si>
  <si>
    <t>7.5.15 i</t>
  </si>
  <si>
    <t>7.5.16 i</t>
  </si>
  <si>
    <t>7.5.1 s</t>
  </si>
  <si>
    <t>7.5.9 s</t>
  </si>
  <si>
    <t>7.5.10 s</t>
  </si>
  <si>
    <t>7.5.11 s</t>
  </si>
  <si>
    <t>7.5.12 s</t>
  </si>
  <si>
    <t>7.5.14 s</t>
  </si>
  <si>
    <t>7.5.15 s</t>
  </si>
  <si>
    <t>7.5.16 s</t>
  </si>
  <si>
    <t xml:space="preserve">ESTOPA Y LUBRIGANTE </t>
  </si>
  <si>
    <t>Instalación Tubería PVC Ø8" (200mm) RDE 21 UM</t>
  </si>
  <si>
    <t>Suministro Tubería PVC Ø8" (200mm) RDE 21 UM</t>
  </si>
  <si>
    <t>Instalación Tubería PVC Ø6" (150mm) RDE 21 UM</t>
  </si>
  <si>
    <t>Suministro Tubería PVC Ø6" (150mm) RDE 21 UM</t>
  </si>
  <si>
    <t>m3</t>
  </si>
  <si>
    <t xml:space="preserve">TRANSPORTE </t>
  </si>
  <si>
    <t>Excavación sin zanja, para cruzar vias nacional, tuberia de 200 - 250 mm PVC</t>
  </si>
  <si>
    <t>5.3.7</t>
  </si>
  <si>
    <t>Personal de impacto Ambiental</t>
  </si>
  <si>
    <t>1.5.9</t>
  </si>
  <si>
    <r>
      <t xml:space="preserve">CONDUCCIÓN TANQUE DE PATAGONIA - EL PORVENIR Y ECOPETROL (L=7557.6m PVC, </t>
    </r>
    <r>
      <rPr>
        <sz val="11"/>
        <rFont val="Calibri"/>
        <family val="2"/>
      </rPr>
      <t>Ø</t>
    </r>
    <r>
      <rPr>
        <sz val="11"/>
        <rFont val="Gill Sans MT"/>
        <family val="2"/>
      </rPr>
      <t>=10,8,6"</t>
    </r>
  </si>
  <si>
    <t>Impacto comunitario</t>
  </si>
  <si>
    <t>1.6.7</t>
  </si>
  <si>
    <t>2.5.6 i</t>
  </si>
  <si>
    <t>ACERO DE REFUERZO</t>
  </si>
  <si>
    <t>Valvula de mariposa waffer doble excentricidad extremo brida de ø8"</t>
  </si>
  <si>
    <t>Macromedidor 3" Electrónico</t>
  </si>
  <si>
    <t>5.58 s</t>
  </si>
  <si>
    <t>Tubería PEAD  (200mm) PE 100 PN 8 116 PSI</t>
  </si>
  <si>
    <t>Codo PEAD 200 mm 45°</t>
  </si>
  <si>
    <t>Suministro Codo PEAD 200 mm 45°</t>
  </si>
  <si>
    <t>Yee 8 x 8 HD, JH</t>
  </si>
  <si>
    <t xml:space="preserve">Ventosa de Ø2" (75 mm) de doble acción, BXB,  cámara doble (incluye válvula de corte Ø2" HD, BXB y Tee de Ø8x2" Extremo brida, HD, Juego de  tornillos de 2"x3/8" , arandelas, tuercas, guasas (todo en acero inoxidable)  y empaque de neopreno e=3 mm). </t>
  </si>
  <si>
    <t xml:space="preserve">Suministro Ventosa de Ø2" (75 mm) de doble acción, BXB,  cámara doble (incluye válvula de corte Ø2" HD, BXB y Tee de Ø8x2" Extremo brida, HD, Juego de  tornillos de 2"x3/8" , arandelas, tuercas, guasas (todo en acero inoxidable)  y empaque de neopreno e=3 mm). </t>
  </si>
  <si>
    <t xml:space="preserve">Instalación Ventosa de Ø2" (75 mm) de doble acción, BXB,  cámara doble (incluye válvula de corte Ø2" HD, BXB y Tee de Ø8x2" Extremo brida, HD, Juego de  tornillos de 2"x3/8" , arandelas, tuercas, guasas (todo en acero inoxidable)  y empaque de neopreno e=3 mm). </t>
  </si>
  <si>
    <t>VENTOSA DOBLE ACCION 2" BRIDA HD</t>
  </si>
  <si>
    <t>Juego de  tornillos , arandelas, tuercas, guasas (todo en acero inoxidable)  y empaque de neopreno e=2 mm</t>
  </si>
  <si>
    <t>TEE 8" x 2" HD</t>
  </si>
  <si>
    <t>Válvula de compuerta Ø4" (100 mm)  sello bronce, BxB, JH. (Incluye Tee 8x4" JH HD, juego de  tornillos de 4"x3/8" , arandelas, tuercas, guasas (todo en acero inoxidable)  y empaque de neopreno e=3 mm). ) (para purga).</t>
  </si>
  <si>
    <t>Válvula de compuerta Ø3" (75 mm)  sello bronce, BxB, JH. (Incluye Tee 6x3" JH HD, juego de  tornillos de 3"x3/8" , arandelas, tuercas, guasas (todo en acero inoxidable)  y empaque de neopreno e=3 mm). ) (para purga).</t>
  </si>
  <si>
    <t>7.5.17 i</t>
  </si>
  <si>
    <t>7.5.17 s</t>
  </si>
  <si>
    <t>7.5.18 s</t>
  </si>
  <si>
    <t>7.5.18 i</t>
  </si>
  <si>
    <t xml:space="preserve">Válvula de compuerta Ø8" (200 mm)  sello de bronce JH,  para corte del flujo </t>
  </si>
  <si>
    <t>INSTALACIÓN</t>
  </si>
  <si>
    <t xml:space="preserve">Instalación de Micromedidor de velocidad chorro único clase B Ø1/2", calibrado y homologado </t>
  </si>
  <si>
    <t xml:space="preserve">un </t>
  </si>
  <si>
    <t>7.5.19 s</t>
  </si>
  <si>
    <t>7.5.19 i</t>
  </si>
  <si>
    <t>VÁLVULA COMPUERTA SELLO ELASTICO BRIDA Ø2"</t>
  </si>
  <si>
    <t>Suministro Válvula de compuerta Ø3" (75 mm)  sello ELASTICO BxB, JH. (Incluye Tee 6x3" JH HD, juego de  tornillos de 3"x3/8" , arandelas, tuercas, guasas (todo en acero inoxidable)  y empaque de neopreno e=3 mm). ) (para purga).</t>
  </si>
  <si>
    <t xml:space="preserve">VÁLVULA COMPUERTA SELLO ELASTICO HD JH Ø3" VASTAGO ASCENDENTE </t>
  </si>
  <si>
    <t xml:space="preserve">INSTALACIÓN Y PUESTA EN SERVICIO DE ELEMENTOS ELÉCTRICOS </t>
  </si>
  <si>
    <t>PARTE ELECTRICA GENERAL PLANTA DE TRATAMIENTO DE AGUAS RESIDUALES Y BOMBEO</t>
  </si>
  <si>
    <t>Instalación y puesta en servicio de Transformador de 225 KVA, 13200/440/208v, Trifásico, tipo PM radial, 60hz, con sus respectivas protecciones, cajas primarias y pararrayos, barrajes, chequeado y homologado por la Empresa de energía, Electri Caribe. Para instalar en el lugar del existente de 150 kVA.</t>
  </si>
  <si>
    <t xml:space="preserve">Instalación y puesta en servicio de Planta eléctrica de emergencia tipo cerrada, trifásica de 250  KVA, 440/208 voltios, DIESEL, Stand By, con potencia efectiva 250 KVA,  debe contener tanque de combustible con capacidad de 100 gal, baterías, cargador de baterías, sistema con transferencia automática, para instalar a 100 msnm, debe tener representación en Colombia, manuales de operación, catálogos, silenciador, accesorios para el exosto, base y fijación, medidores de carátula, tener breaker totalizador para salida de alimentación. </t>
  </si>
  <si>
    <t>Instalación y puesta en servicio de caja de distribución, RS3-002 norma EPM</t>
  </si>
  <si>
    <t>Instalación y puesta en servicio de Puesta a tierra, RA6-010, norma EPM</t>
  </si>
  <si>
    <t>Instalación y puesta en servicio de acometida secundaria trifásica principal, para alimentar planta de emergencia diesel, en cable THWN, AWG, 600V, 6No 4/0. +  2No.2/0, y tubería Conduit de Ø4" desde el transformador de 225 kVA, hasta breaker principal de 3x400A, y desde este hasta el Gabinete principal de la planta de emergencia diesel  en la caseta para ella.</t>
  </si>
  <si>
    <t>Instalación y puesta en servicio de acometida secundaria trifásica subterránea, para alimentar gabinete en la caseta de bombeo,  desde el transformador de 225 kVA, se alimenta desde el breaker de 3x400A, hasta el gabinete de los variadores, en el breaker de 3x350 A, para los motores, de 250 Hp,  y desde el variador para cada motor,  hasta su respectiva bornera, en cable THWN, AWG, 600V, 6No 4/0. +  2No.2/0, y en tubería Conduit de 4", donde se requiere.</t>
  </si>
  <si>
    <t>Instalación y puesta en servicio de Gabinete metálico para control y medida, tipo intemperie, grado  IP-55, doble puerta según diseño para incluir los elementos eléctricos, debe incluir señalización, fijación, barrajes, cableado y cumplir Retie, se debe construir para contener, dos  variadores, para motores de 200-250Hp,  a 440 voltios, con sus respectivas protecciones, corrección del factor de potencia, control, analizador de redes,  medida de energía con contador electrónico medida indirecta, transformadores de corriente de 400/5 A,  barrajes,  analizador de redes, controles de nivel, según diseño y demás elementos electrónicos según diseño.</t>
  </si>
  <si>
    <t xml:space="preserve">Instalación y puesta en servicio de  Contador electrónico de energía activa y reactiva multifuncional, 3F, 4H, 5/120(A), 120/….480 Vol., calibrado  y homologado por EPM, para medida indirecta, incluye bornera cortocircuitable, tres transformadores de corriente de 400/5 A, calibrados, homologados por EPM </t>
  </si>
  <si>
    <t>Instalación y puesta en servicio de Bomba centrifuga, para agua sin tratar, desde el rio Sinu,  y llevar esta agua a la PTAP en Tijeretas con motor eléctrico  de 200 - 250 HP, a 1800 rpm, 3x440  vol.,  para  120 l/seg,  un HDT de 85 m, con una eficiencia no menor al 72 % Debe incluir base metálica para el equipo, motor bomba, sistema de cebado y medición de presión, con manómetro en glicerina, acople motor bomba si es necesario y demás elementos para su correcto funcionamiento.</t>
  </si>
  <si>
    <t>Instalación y puesta en servicio de Bomba sumergible, con motor de 3-5 Hp, para achique de agua sin tratar, ubicada en el pozo donde se encuentran los equipos de bombeo, incluye  y demás elementos para su correcto funcionamiento. Para reemplazar la existento o para reforzar la existente, incluye cable encauchetado, breaker y arrancador directo</t>
  </si>
  <si>
    <t xml:space="preserve">Inatalación y puesta en servicio de Variador de velocidad Danfos o similar VLT AQUA DRIVE FC10, 440 VOL, para motor de 200-250 Hp, 1800 rpm, debe incluir funciones de reloj tiempo real, controlador de cascada de bombas, puerto USB, Display grafico, Debe incluir botonera para instalar en la planta de tratamiento, para operar desde alli </t>
  </si>
  <si>
    <t>Instalación y puesta en servicio de Banco de capacitores para corrección del factor de potencia  36 kvars,  a 440 vol., con dispositivo de seguridad interno de sobrepresión, sobrecarga admisible en corriente 1.3In, incluye contactor, cableado, selector manual- automatico y   señalización</t>
  </si>
  <si>
    <t>Instalación y puesta en servicio de relé para la corrección del factor de potencia en forma automática, incluye transformadores de corriente, contactores y breakers, para instalar en el  gabinete de control, incluye terminales, borneras, marcación y señalización, cableado y con su plano respectivo de control</t>
  </si>
  <si>
    <t>Instalación y puesta en servicio de analizador de redes electrónico a 440 vol., para instalar en tapa de gabinete metálico, incluye transformadores de corriente, cableado y planos de control, con marcación de los cables.</t>
  </si>
  <si>
    <t>Instalación y puesta en servicio de dispositivo para descargas eléctricas (DPS), 440 voltios, para instalar en gabinete de control, debe cumplir RETIE, e incluir cableado.</t>
  </si>
  <si>
    <t>Instalación y puesta en servicio de  Breaker tipo industrial de 3 x 400 Amp, 20 KA, incluye terminales y fijación</t>
  </si>
  <si>
    <t>Instalación y puesta en servicio de  Breaker tipo industrial de 3 x 350 Amp, 20 KA, incluye terminales y fijación</t>
  </si>
  <si>
    <t>Instalación y puesta en servicio de  Breaker tipo industrial de 3 x 40 Amp, 10 KA, incluye terminales y fijación, para la instalación del DPS</t>
  </si>
  <si>
    <t>Instalación y puesta en servicio de  Breaker tipo industrial de 3 x 63 Amp, 10 KA, incluye terminales y fijación</t>
  </si>
  <si>
    <t xml:space="preserve">Instalación y puesta en servicio de sistema de control de plc marca siemens s7-1200 con cpu 1212c compacta, ac/ dc/ relé, i/o: 8 di 24v dc; 6 do relé 0, 5a;  ai 0 - 10vdc ó 0 - 20ma, alimentación: 85 - 264 v ac @ 47 - 63 hz, memoria de programa / datos 25 kb simatic ktp400 basic mono pn display 3,8”.
(incluye: tablero de instalación con sus respectivos accesorios de operación)
</t>
  </si>
  <si>
    <t>Instalación y puesta en servicio de transmisor de nivel 355-510a-10b - echotel ultrasónico con salida de 4-20 ma con transductor en polipropileno, conexión en npt de 2" para un alcance de 0,3 a 6m marca magnetrón</t>
  </si>
  <si>
    <t>Instalación y puesta en servicio de comunicación de alarma de alto nivel vía gprs (mensaje de texto a celular) que incluye: cpu siemens s7-1200, compacta ac/ dc i/ o: 8 di 24v dc; 6 do relé; 2 ai 0 - 10v dc o 0 - 20ma, alimentación: 85 - 264 v ac, memoria de programa/ datos 25 kb; módulo de comunicación, rs232, 9 pol. sub d (hembra); módulo módem gprs para la transmisión de datos desde y hacia un s7-200, basada en ip a través de redes gsm, establecimiento automático de llamadas vía gprs,gsm,csd,sms; antena de banda cuádruple, omnidireccional con cable de 5 m; cableado eléctrico y programación.</t>
  </si>
  <si>
    <t>PARTE ELECTRICA INSTALACIÓN Y PUESTA EN SERVICIO DE CASETA DE ESTACIÓN DE BOMBEO</t>
  </si>
  <si>
    <t>Instalación y puesta en servicio de Tablero de breaker de 24 circuitos trifásico con tapa, incluye 24 breakers monofásicos de 20 amp, para instalar en gabinete de control</t>
  </si>
  <si>
    <t>Instalación y puesta en servicio de Lámpara para alumbrado exterior, completa de 250w MH, incluye brazo</t>
  </si>
  <si>
    <t xml:space="preserve">Instalación y puesta en servicio  de Bajante para lámpara de alumbrado exterior en poste </t>
  </si>
  <si>
    <t>Instalación y puesta en servicio  de Caja 0.3m x 0.3m con herraje y concreto.</t>
  </si>
  <si>
    <t>Instalación y puesta en servicio de Acometidas para lámparas de alumbrado exterior, en tubería PVC Conduit de 1" y 2 No. 10 + 1No. 12 THHN, según diseño</t>
  </si>
  <si>
    <t>Instalación y puesta en servicio  de lámpara de emergencia de 150w, 110v, completa, incluye salida eléctrica</t>
  </si>
  <si>
    <t>Instalación y puesta en servicio de  toma doble con polo a tierra  GFCI, en tubería pvc conduit,  en cajas pvc, alambre 3No. 12 THHN, aislamiento y cumpliendo RETIE</t>
  </si>
  <si>
    <t xml:space="preserve">Instalación y puesta en servicio de salida para toma doble con polo a tierra, en alambre 3 # 12  THHN por  tubería PVC de 1/2" incluye accesorios, fijación  y todos los elementos necesarios para su correcto funcionamiento. </t>
  </si>
  <si>
    <t xml:space="preserve">Instalación y puesta en servicio  de salida toma pata trabada a 220 V, en alambre 3 # 12  THHN por  tubería PVC de 1/2" incluye accesorios, fijación  y todos los elementos necesarios para su correcto funcionamiento. </t>
  </si>
  <si>
    <t>Instalación y puesta en servicio de  salida para iluminación en alambre 3 # 12  THHN por  tubería PVC de 1/2" incluye accesorios, fijación  y todos los elementos necesarios para su correcto funcionamiento. NO INCLUYE LUMINARIAS.</t>
  </si>
  <si>
    <t xml:space="preserve">Instalación y puesta en servicio de  salida de suiche sencillo o doble, en alambre 3 # 12  THHN por  tubería PVC de 1/2" incluye accesorios, fijación  y todos los elementos necesarios para su correcto funcionamiento. </t>
  </si>
  <si>
    <t xml:space="preserve">Instalación y puesta en servicio  de  salida de teléfono, en alambre neopreno, por  tubería PVC de 3/4"¨ incluye accesorios, fijación  y todos los elementos necesarios para su correcto funcionamiento. </t>
  </si>
  <si>
    <t xml:space="preserve">Instalación y puesta en servicio de  Pararrayos Franklin, para descargas atmosféricas, punta acerada, con cable de descarga, varillas Cooper Weld, en triangulo, soldadura exotérmica y elementos de fijación </t>
  </si>
  <si>
    <t xml:space="preserve">SUBTOTAL INSTALACIÓN Y PUESTA EN SERVICIO PARTE ELECTROMECANICA </t>
  </si>
  <si>
    <t>OBRA CIVIL</t>
  </si>
  <si>
    <t>PLANTA DE TRATAMIENTO DE AGUA POTABLE</t>
  </si>
  <si>
    <t>Preliminares</t>
  </si>
  <si>
    <t>Localizacion y replanteo</t>
  </si>
  <si>
    <t>Desmonte y limpieza</t>
  </si>
  <si>
    <t>Descapote y desenraice</t>
  </si>
  <si>
    <t>Tala de arboles hasta 4 m de altura, incluye extracción  de raíces y botada de material</t>
  </si>
  <si>
    <t>Tala de arboles entre 5 y 10m de altura, incluye extracción  de raíces y botada de material</t>
  </si>
  <si>
    <t>CANAL DE ENTRADA, FLOCULADORES, SEDIMENTADORES Y FILTROS</t>
  </si>
  <si>
    <t>Excavación en material común :</t>
  </si>
  <si>
    <t>Temporal</t>
  </si>
  <si>
    <t>Concreto f'c = 24,5 Mpa para columnas (incluye formaleta y moldura triangular para acabado)</t>
  </si>
  <si>
    <t>Suministro, transporte, figuración y colocación de acero de refuerzo:</t>
  </si>
  <si>
    <t xml:space="preserve">Acero de refuerzo fy = 420 MPa y de 276 MPa </t>
  </si>
  <si>
    <t>Cargue, retiro y botada de Material sobrante de la Excavación</t>
  </si>
  <si>
    <t>S.T.I de placas prefabricadas en concreto de 1.20 m * 1.20 m e=0.03 m (cada tabique lleva 3 placas)</t>
  </si>
  <si>
    <t>Sellamiento de las hendiduras entre placa y placa de los tabiques.con SIKA-FLEX 11-FC o similar (incluye inprimante SIKA DUR 32 PREMIER o similar)</t>
  </si>
  <si>
    <t>S.T.C. de compuerta manual en fibra de vidrio de 10 mm de 0.40 m x 0.80 m; incluye y guias en U en aluminio. Para entrada y salida de floculador</t>
  </si>
  <si>
    <t>S.T.I. material filtrante ARENA; T.E = 0,45 - 0.55 mm  y C.U &lt; 1.7</t>
  </si>
  <si>
    <t xml:space="preserve">INSTALACIÓN </t>
  </si>
  <si>
    <t>Canal de Entrada</t>
  </si>
  <si>
    <t>Sedimentadores</t>
  </si>
  <si>
    <t>Lleno de laterales en material común seleccionado de la excavación, compactado al 80% del ensayo Proctor Modificado</t>
  </si>
  <si>
    <t>Suministro, transporte y colocación de concreto:</t>
  </si>
  <si>
    <t>Solado en concreto pobre (f'c = 14 Mpa) e = 5 cm</t>
  </si>
  <si>
    <t>Grava gradada de  1/4" a 1" para lechos</t>
  </si>
  <si>
    <t>Arena gruesa lavada, retenida en al Malla Nº 10</t>
  </si>
  <si>
    <t>Techo tipo invernadero, inc. Cercha metálica, caballete de eternit, teja transparente con policarbonato resistente a UV &gt; 10 anos</t>
  </si>
  <si>
    <t>SISTEMA ELECTRICO</t>
  </si>
  <si>
    <t>Transformador de 10 KVA , 7600/220/110v, monofásico, refrigerado en aceite, 60 hz, con sus respectivas pretecciones, caja primaria y pararrayo, barrajes y homologado por EPM, norma RA3-026</t>
  </si>
  <si>
    <t>Postes de concreto de 12 m, parada, izada, aplomada y pintada según proyecto para linea primaria</t>
  </si>
  <si>
    <t>Poste de  concreto de 9 m. incluye parada  izada, aplomada y pintada según proyecto para linea primaria</t>
  </si>
  <si>
    <t>Linea aérea primaria monofásica en ACSR 2No.2</t>
  </si>
  <si>
    <t>Terminal con neutro superior, RA3-013, norma EPM</t>
  </si>
  <si>
    <t>Viento primario convencional norma RA6-001 EPM</t>
  </si>
  <si>
    <t>Aisladero monofásico primario y pararrayos</t>
  </si>
  <si>
    <t>Contador ciclometrico residencial, 127/220 v, monofásico, residencial en caja intemperie, calibrado homologado en EPM</t>
  </si>
  <si>
    <t>Acometida secundaria monofásica subterranea en cable THWN, AWG, 600 v, 2No.6+ No. 8, y tuberia pvc conduit de 1" desde la caja 50 x 50 cms al lado del ultimo poste de 12 m hasta tablero de breakers, según diseño</t>
  </si>
  <si>
    <t>Cable antifraude No. 6 incluye bajante galvanizado con capacete de 1 1/4", cinta bandit</t>
  </si>
  <si>
    <t>Caja 50 x 50 con herraje norma RS3 - 015 EPM</t>
  </si>
  <si>
    <t>Tablero de breaker de 6 circuitos monofásico con tapa, incluye 10 breakers monofásicos de 20 amp</t>
  </si>
  <si>
    <t xml:space="preserve">Breaker  2 x 60 amp., monofásicos de enchufar </t>
  </si>
  <si>
    <t>Lampara de alumbrado público de 70 w de sodio, 220 vol, completa con brazo, alimentada en duplex 12 desde caja en piso. Norma RA5-201 EPM</t>
  </si>
  <si>
    <t xml:space="preserve">Cajas de paso de 30 x 30 cms, con herraje </t>
  </si>
  <si>
    <t>Salida eléctrica completa, incluye alambre 3No 12 THHN y tuberia pvc conduit según diseño, tomas, plafones e interruptores</t>
  </si>
  <si>
    <t xml:space="preserve">Lamparas fluorescentes de 2 x 48 w slim line, completa </t>
  </si>
  <si>
    <t>Acometida para lamparas de alumbrado público, en tuberia pvc conduit de 3/4" y 2No. 10,  según diseño</t>
  </si>
  <si>
    <t>Salida telefónica completa, incluye cable de 4 pares y tuberia pvc conduit según diseño</t>
  </si>
  <si>
    <t>RECIRCULACION DE AGUAS DE LAVADO DE FILTROS  Y SEDIMENTADORES</t>
  </si>
  <si>
    <t>Lleno común compactado con material clasificado proveniente de la excavacion al 80% del proctor modificado.</t>
  </si>
  <si>
    <t xml:space="preserve">Llenos con material de prestamo </t>
  </si>
  <si>
    <t>Empradizacion</t>
  </si>
  <si>
    <t>Concreto de f`c = 245 kg/cm2 para losa de fondo</t>
  </si>
  <si>
    <t>Concreto de f`c = 245 kg/cm2 para muros y  incluye impermeabilizante y formaletería</t>
  </si>
  <si>
    <t>10 i</t>
  </si>
  <si>
    <t>Niple pasamuro en acero Sch 80 Ø3" extremo roscado, L=0.45m</t>
  </si>
  <si>
    <t>Universal HG Ø 1 1/2"</t>
  </si>
  <si>
    <t>Valvula de retencion (cheque) Ø2"</t>
  </si>
  <si>
    <t>Bomba centrifuga para recirculacion de aguas de lavado Q=4 l/s, CDT=11 m</t>
  </si>
  <si>
    <t>Bomba centrifuga para trasvase de lodos espesados hacia lechos de secado Q=2 l/s, CDT=6 m</t>
  </si>
  <si>
    <t>Tablero electrico con dos arrancadores termomagnetico</t>
  </si>
  <si>
    <t xml:space="preserve">Instalación y puesta en servcio de Planta eléctrica de emergencia tipo cerrada, trifásica de 75  KVA, 440/208 voltios, DIESEL, Stand By, con potencia efectiva 75 KVA,  debe contener tanque de combustible con capacidad de 100 gal, baterías, cargador de baterías, sistema con transferencia automática, para instalar a 100 msnm, debe tener representación en Colombia, manuales de operación, catálogos, silenciador, accesorios para el exosto, base y fijación, medidores de carátula, tener breaker totalizador para salida de alimentación. </t>
  </si>
  <si>
    <t>Instalación y puesta en servicio de acometida secundaria trifásica principal, para alimentar planta de emergencia diesel, en cable THWN, AWG, 600V, 3No 2/0. + No.1/0, y tubería Conduit de Ø3" desde el transformador de 75 kVA, hasta breaker principal de 3x200A, y desde este hasta el Gabinete principal de la planta de emergencia diesel  en la caseta para ella.</t>
  </si>
  <si>
    <t>Instalación y puesta en servicio de Bajante secundario en tubería galvanizada en 3", incluye  fijación con cinta bandit, capacete de  " y entrada a caja de  3", desde el barraje secundario del trafo de 75 kVA</t>
  </si>
  <si>
    <t>Instalación y puesta en servicio de acometida secundaria trifásica subterránea, para alimentar gabinete en la caseta de bombeo,  desde el transformador de 75 kVA, se alimenta desde el breaker de 3x200A, hasta el gabinete de los variadores, en el breaker de 3x150 A, para los motores, de 70 -75 Hp,  y desde el variador para cada motor,  hasta su respectiva bornera, en cable THWN, AWG, 600V, 3No 1/0. +  No.2, y en tubería Conduit de 2", donde se requiere.</t>
  </si>
  <si>
    <t>Instalación y puesta en servicio de Gabinete metálico para control y medida, tipo intemperie, grado  IP-55, doble puerta según diseño para incluir los elementos eléctricos, debe incluir señalización, fijación, barrajes, cableado y cumplir Retie, se debe construir para contener, tres  variadores, para motores de 70-75 Hp,  a 440 voltios, con sus respectivas protecciones, corrección del factor de potencia, control, analizador de redes,  medida de energía con contador electrónico medida indirecta, transformadores de corriente de 200/5 A,  barrajes,  analizador de redes, controles de nivel, según diseño y demás elementos electrónicos según diseño.</t>
  </si>
  <si>
    <t xml:space="preserve">Instalación y puesta en servicio de  Contador electrónico de energía activa y reactiva multifuncional, 3F, 4H, 5/120(A), 120/….480 Vol., calibrado  y homologado por EPM, para medida indirecta, incluye bornera cortocircuitable, tres transformadores de corriente de 200/5 A, calibrados, homologados por EPM </t>
  </si>
  <si>
    <t>Instalación y puesta en servicio de Bomba centrifuga, para agua sin tratar, desde el rio Sinu,  y llevar esta agua a la PTAP en Tijeretas con motor eléctrico  de 70 - 75 HP, a 1800 rpm, 3x440  vol.,  para  20 l/seg,  un HDT de 146,98 m, con una eficiencia no menor al 72 % Debe incluir base metálica para el equipo, motor bomba, sistema de cebado y medición de presión, con manómetro en glicerina, acople motor bomba si es necesario y demás elementos para su correcto funcionamiento.</t>
  </si>
  <si>
    <t xml:space="preserve">Instalación y puesta en servicio de Variador de velocidad Danfos o similar VLT AQUA DRIVE FC10, 440 VOL, para motor de 70-75 Hp, 1800 rpm, debe incluir funciones de reloj tiempo real, controlador de cascada de bombas, puerto USB, Display grafico, Debe incluir botonera para instalar en la planta de tratamiento, para operar desde alli </t>
  </si>
  <si>
    <t>Instalación y puesta en servicio de  Breaker tipo industrial de 3 x 200 Amp, 20 KA, incluye terminales y fijación</t>
  </si>
  <si>
    <t>Instalación y puesta en servicio de  Breaker tipo industrial de 3 x 150 Amp, 20 KA, incluye terminales y fijación</t>
  </si>
  <si>
    <t>4. COMPONENTE ELECTRICO Y MECANICO DEL SISTEMA DE BOMBEO PTAP TIJERETAS - TANQUE PATAGONIA</t>
  </si>
  <si>
    <t>LOCALIZACION Y REPLANTEO</t>
  </si>
  <si>
    <t>1.2</t>
  </si>
  <si>
    <t>1.3</t>
  </si>
  <si>
    <t>1.4</t>
  </si>
  <si>
    <t>2.2</t>
  </si>
  <si>
    <t>Excavación Mecanica en material común seco 2-4 m de profundidad. Medido en sitio</t>
  </si>
  <si>
    <t xml:space="preserve">Excavación en Roca a cualquier profundidad con voladura </t>
  </si>
  <si>
    <t>3</t>
  </si>
  <si>
    <t>Entibados de madera.</t>
  </si>
  <si>
    <t>3.2</t>
  </si>
  <si>
    <t>Permanente</t>
  </si>
  <si>
    <t xml:space="preserve">Llenos </t>
  </si>
  <si>
    <t>Llenos  con material de préstamo compactado al 90% del ensayo Proctor Modificado</t>
  </si>
  <si>
    <t>Lleno con casacajo lavado o triturado</t>
  </si>
  <si>
    <t>Botada de Sobrantes</t>
  </si>
  <si>
    <t>Regada de material sobrante de la excavación</t>
  </si>
  <si>
    <t>Concreto f'c = 14 MPa para solado e=0.05m</t>
  </si>
  <si>
    <t>Concreto f'c = 24,5 Mpa para losa de fondo, incluye formaleta e impermeabilizante</t>
  </si>
  <si>
    <t>Concreto f'c = 24,5 Mpa para muros y campanas (incluye formaleta y moldura triangular para acabado, e impermeabilizante)</t>
  </si>
  <si>
    <t xml:space="preserve">Concreto para losa de cubierta y viga  f' c = 24.5 Mpa incluye formaleta e impermeabilizante </t>
  </si>
  <si>
    <t>Concreto f'c = 24,5 Mpa para Zapata, incluye formaleta e impermeabilizante</t>
  </si>
  <si>
    <t>Caja de concreto de 1.5m × 2.0m en concreto Prof= 1.0m e=0.1m (incluye tapa de concreto) para macromedidor</t>
  </si>
  <si>
    <t>Acero de refuerzo fy = 60.000 Y  40.000 psi  (incluye figuración)</t>
  </si>
  <si>
    <t>Juntas de construcción</t>
  </si>
  <si>
    <t>Cinta PVC e=22 cm , para juntas de construcción</t>
  </si>
  <si>
    <t>Suministro, transporte y colocación de filtros</t>
  </si>
  <si>
    <t>Suministro, transporte y colocación de filtros  (incluye triturado Ø 25 mm y tubería PVC-Novafort de Ø 160 mm perforada).</t>
  </si>
  <si>
    <t>Suministro, transporte y colocación de MH para desague</t>
  </si>
  <si>
    <t>Base, cañuela y cono en concreto (21 Mpa) concentrico  para cámara de inspección.</t>
  </si>
  <si>
    <t>Cuello en concreto y tapa en polipropileno para MH de diametro 1.20m</t>
  </si>
  <si>
    <t xml:space="preserve">Construcción de cilindro prefabricado en concreto de Ø1.2 m </t>
  </si>
  <si>
    <t>Escalones uña de gato en varilla de Ø 3/4".</t>
  </si>
  <si>
    <t>11 i</t>
  </si>
  <si>
    <t>Suministro, transporte y colocación de tubería</t>
  </si>
  <si>
    <t>11.1 i</t>
  </si>
  <si>
    <t>Tubería de PVC (ASTM F794) alcantarillado de 200 mm</t>
  </si>
  <si>
    <t>12 i</t>
  </si>
  <si>
    <t xml:space="preserve">Suministro, transporte y colocación de tubería, válvulas y accesorios </t>
  </si>
  <si>
    <t>12.1 i</t>
  </si>
  <si>
    <t>Tee Ø 250x250 mm (10"x10") HD JH.</t>
  </si>
  <si>
    <t>12.2 i</t>
  </si>
  <si>
    <t xml:space="preserve">Válvula de compuerta sello elastico de Ø 250mm (10") JH </t>
  </si>
  <si>
    <t>12.3 i</t>
  </si>
  <si>
    <t>Cruz HD 250x250 mm (10"x10") EB.</t>
  </si>
  <si>
    <t>12.4 i</t>
  </si>
  <si>
    <t>Codo 90º  Ø10" (250 mm) HD, EB.</t>
  </si>
  <si>
    <t>12.5 i</t>
  </si>
  <si>
    <t xml:space="preserve">Pasamuros HF Ø 250 mm (10") LxB. L=0.45 m y  Z=0.20m </t>
  </si>
  <si>
    <t>12.6 i</t>
  </si>
  <si>
    <t>Niple HD Ø250 mm, BXB,  L= 0.2 m</t>
  </si>
  <si>
    <t>12.7 i</t>
  </si>
  <si>
    <t>Niple HD Ø250 mm, BXB,  L= 0.3 m</t>
  </si>
  <si>
    <t>12.8 i</t>
  </si>
  <si>
    <t>Niple HD Ø250 mm, BXB,  L= 0.6 m</t>
  </si>
  <si>
    <t>12.9 i</t>
  </si>
  <si>
    <t>Niple HD Ø250 mm, BXB,  L= 1.20 m</t>
  </si>
  <si>
    <t>12.10 i</t>
  </si>
  <si>
    <t>Niple HD Ø250 mm, BXL,  L= 1.70 m</t>
  </si>
  <si>
    <t>12.11 i</t>
  </si>
  <si>
    <t>Niple HD Ø250 mm, EL,  L= 3.10 m</t>
  </si>
  <si>
    <t>12.12 i</t>
  </si>
  <si>
    <t>Niple HD Ø250 mm, EL,  L= 1.40 m</t>
  </si>
  <si>
    <t>12.13 i</t>
  </si>
  <si>
    <t>Coladera  Ø 250  mm (10") HD.</t>
  </si>
  <si>
    <t>12.14 i</t>
  </si>
  <si>
    <t>Tub. PVC-P RDE 21 de Ø 250 mm (10") JH.</t>
  </si>
  <si>
    <t>12.15 i</t>
  </si>
  <si>
    <t>Codo PVC-P Ø 250mm x 90° (10"). Codo gran radio</t>
  </si>
  <si>
    <t>12.16 i</t>
  </si>
  <si>
    <t>Codo PVC-P Ø 250mm x 22.5° (10"). Codo gran radio</t>
  </si>
  <si>
    <t>13 i</t>
  </si>
  <si>
    <t>Obras complementarias</t>
  </si>
  <si>
    <t>13.1 i</t>
  </si>
  <si>
    <t xml:space="preserve">Control de nivel eléctrico para control de rebose  (incluye  monitor, fuente de voltaje de  24 voltios, transductor de presión y cable encauchetado 3*18).    </t>
  </si>
  <si>
    <t>13.2 i</t>
  </si>
  <si>
    <t>Macromedidor de Hélice 10" (incluye unión dresser de Ø10", caja de 0.70 x 0.70 en bloque de concreto de 0.15 x 0.30 x 0.10 y tapa de concreto)</t>
  </si>
  <si>
    <t>Hector Arango Alvarez 2017</t>
  </si>
  <si>
    <t xml:space="preserve">MATERIALES ELECTRICOS </t>
  </si>
  <si>
    <t>REFERENCIA</t>
  </si>
  <si>
    <t>DETALLE</t>
  </si>
  <si>
    <t>VALOR INCLUIDO IVA</t>
  </si>
  <si>
    <t>ACERO</t>
  </si>
  <si>
    <t>ACEREF</t>
  </si>
  <si>
    <t>Acero de refuerzo figurado 60000 psi</t>
  </si>
  <si>
    <t>ACOLA</t>
  </si>
  <si>
    <t>ACOMETIDA PARA LAMPARA COMPLETA 2N0.10 + 1No. 12 THHN</t>
  </si>
  <si>
    <t>AORE-30</t>
  </si>
  <si>
    <t>ACOPLE OMEGA REX E30</t>
  </si>
  <si>
    <t>ADAP-4</t>
  </si>
  <si>
    <t>ADAPTADOR DE 4"</t>
  </si>
  <si>
    <t>ADAP-3</t>
  </si>
  <si>
    <t>ADAPTADOR DE 3"</t>
  </si>
  <si>
    <t>AISPOL</t>
  </si>
  <si>
    <t>AISLADOR POLIMERICO PARA 15 Kv</t>
  </si>
  <si>
    <t>AISPIN</t>
  </si>
  <si>
    <t>AISLADOR DE PORCELANA TIPO PIN PARA 13,2 KV</t>
  </si>
  <si>
    <t>AIS-165</t>
  </si>
  <si>
    <t>AISLADOR DE PORCELANA TIPO SUSPENSION 165 mm</t>
  </si>
  <si>
    <t>AIS-186</t>
  </si>
  <si>
    <t>AISLADOR DE PORCELANA TIPO SUSPENSION 186 mm</t>
  </si>
  <si>
    <t>AISCARR</t>
  </si>
  <si>
    <t>AISLADOR DE PORCELANA TIPO CARRETE DE 81 mm</t>
  </si>
  <si>
    <t>ALABGAL12</t>
  </si>
  <si>
    <t>Alambre galvanizado C 12</t>
  </si>
  <si>
    <t>ALBPUAS</t>
  </si>
  <si>
    <t>Alambre de puas en acero galvanizado C 14 - Rollo 200 m</t>
  </si>
  <si>
    <t>AIS-108</t>
  </si>
  <si>
    <t>AISLADOR TENSOR PORCELANA DE 108 mm</t>
  </si>
  <si>
    <t>ALB-4</t>
  </si>
  <si>
    <t>ALAMBRE DE Cu No. 4</t>
  </si>
  <si>
    <t>ALB-6</t>
  </si>
  <si>
    <t>ALAMBRE DE Cu No. 6</t>
  </si>
  <si>
    <t>ALAM-12</t>
  </si>
  <si>
    <t>ALAMBRE DE Cu No. 12 THW, 600 VOL</t>
  </si>
  <si>
    <t>ALAM-10</t>
  </si>
  <si>
    <t>ALAMBRE DE Cu No. 10 THW, 600 VOL</t>
  </si>
  <si>
    <t>ALAM-8</t>
  </si>
  <si>
    <t>ALAMBRE DE Cu No. 8 THW, 600 VOL</t>
  </si>
  <si>
    <t>ALAM-14</t>
  </si>
  <si>
    <t>ALAMBRE DE Cu No. 14 THW, 600 VOL</t>
  </si>
  <si>
    <t>AMP-100</t>
  </si>
  <si>
    <t>AMPERIMETRO DE 100/5 Amp, MARCO 96 mm</t>
  </si>
  <si>
    <t>ANA-440</t>
  </si>
  <si>
    <t>ANALIZADOR DE REDES 440 VOL</t>
  </si>
  <si>
    <t>ANA-220</t>
  </si>
  <si>
    <t>ANALIZADOR DE REDES 220 VOL</t>
  </si>
  <si>
    <t>ARAN-4</t>
  </si>
  <si>
    <t>ARANDELA CUADRADA 4"X4"</t>
  </si>
  <si>
    <t>ARRDIR</t>
  </si>
  <si>
    <t>Arrancador directo completo para 3-5 Hp 220/440v.</t>
  </si>
  <si>
    <t>ARR-100</t>
  </si>
  <si>
    <t>Arrancador suave para motor de 25 -50 Hp, 220 vol, ref MCD 202-090, corriente 142-170 amperios, con protección térmica, protección IP20, by pass interno, medidas alto240 mm x ancho 202 mm, profundidad 214 mm, para instalar en gabinete metálico, con extractores y termocuplas para control de temperatura, debe incluir sistema de arranque con pulsador start, stop, equipos de medida de corriente y voltaje, horometro y señalización con pilotos</t>
  </si>
  <si>
    <t>ARR-60</t>
  </si>
  <si>
    <t>Arrancador suave para motor de 25 -50 Hp, 220 vol, ref MCD 200, corriente 60 amperios, con protección térmica, protección IP20, by pass interno, medidas alto240 mm x ancho 202 mm, profundidad 214 mm, para instalar en gabinete metálico, con extractores y termocuplas para control de temperatura, debe incluir sistema de arranque con pulsador start, stop, equipos de medida de corriente y voltaje, horometro y señalización con pilotos</t>
  </si>
  <si>
    <t>AYUD. ENTENDIDO (INCLUYE 65.78% PRESTACIONES)</t>
  </si>
  <si>
    <t>AUTOACOP</t>
  </si>
  <si>
    <t>AUTOACOPLAMIENTO PARA BOMBA SUMERGIBLE</t>
  </si>
  <si>
    <t>BANCAP3-220</t>
  </si>
  <si>
    <t>BANCO DE CAPACITORES DE 3 KVAR, 220 VOL</t>
  </si>
  <si>
    <t>BANCAP6-220</t>
  </si>
  <si>
    <t>BANCO DE CAPACITORES DE 6 KVAR, 220 VOL</t>
  </si>
  <si>
    <t>BANCAP6</t>
  </si>
  <si>
    <t>BANCO DE CAPACITORES DE 6 KVAR, 460 VOL</t>
  </si>
  <si>
    <t>BANCAP-36</t>
  </si>
  <si>
    <t>BANCO DE CAPACITORES DE 36 KVAR, 440 VOL</t>
  </si>
  <si>
    <t>BANCAP-12</t>
  </si>
  <si>
    <t>BANCO DE CAPACITORES DE 12 KVAR, 220 VOL</t>
  </si>
  <si>
    <t>BARR-100</t>
  </si>
  <si>
    <t>BARRAJE DE FUERZA PARA 100 Amp</t>
  </si>
  <si>
    <t>BASMET</t>
  </si>
  <si>
    <t>BASE METALICA PARA MOTOBOMBA</t>
  </si>
  <si>
    <t>BASCON</t>
  </si>
  <si>
    <t>BASE DE CONCRETO PARA PLANTA DE EMERGENCIA</t>
  </si>
  <si>
    <t>BAYPORE</t>
  </si>
  <si>
    <t>BAYONETA (POSTE REFERENCIA)</t>
  </si>
  <si>
    <t>BAYPOSU</t>
  </si>
  <si>
    <t>BAYONETA (POSTE SUSPENSION)</t>
  </si>
  <si>
    <t>BLIN-2</t>
  </si>
  <si>
    <t>BLINDAJE PARA No. 2 - 1/0</t>
  </si>
  <si>
    <t>BLOAN</t>
  </si>
  <si>
    <t>BLOQUE DE ANCLAJE O RETENIDA EN CONCRETO</t>
  </si>
  <si>
    <t>BORCOEL</t>
  </si>
  <si>
    <t>BORNERA PARA CONTADOR ELECTRONICO</t>
  </si>
  <si>
    <t>BORCOUN-25</t>
  </si>
  <si>
    <t>BORNERAS PARA CONTROL UNIPOLARES 25 Amp, INCLUYE RIEL</t>
  </si>
  <si>
    <t>BORCOUN-220</t>
  </si>
  <si>
    <t>BORNERAS PARA FUERZA UNIPOLARES 220 Amp, INCLUYE RIEL</t>
  </si>
  <si>
    <t>BOBACH-5</t>
  </si>
  <si>
    <t xml:space="preserve">Bomba de achique autocebante de 5 Hp, 220 vol </t>
  </si>
  <si>
    <t>BLOQCO</t>
  </si>
  <si>
    <t>Bloque en concreto 0,2 x 0,2 x 0,4 m</t>
  </si>
  <si>
    <t>BRAZOFAR</t>
  </si>
  <si>
    <t>BRAZO FAROL PRIMARIO</t>
  </si>
  <si>
    <t>BRE-30</t>
  </si>
  <si>
    <t>BREAKER TIPO INDUSTRIAL DE 3X30Amp, 20KA</t>
  </si>
  <si>
    <t>BRE-40</t>
  </si>
  <si>
    <t>BREAKER TIPO INDUSTRIAL DE 3X40Amp, 20KA</t>
  </si>
  <si>
    <t>BRE-63</t>
  </si>
  <si>
    <t>BREAKER TIPO INDUSTRIAL 3 X 63 Amp, 20 KA, CUMPLIR RETIE</t>
  </si>
  <si>
    <t>BRE-80</t>
  </si>
  <si>
    <t>BREAKER TIPO INDUSTRIAL 3 X 80 Amp, 20 KA, CUMPLIR RETIE</t>
  </si>
  <si>
    <t>BRE-75</t>
  </si>
  <si>
    <t>BREAKER TIPO INDUSTRIAL 3 X 75 Amp, 20 KA, CUMPLIR RETIE</t>
  </si>
  <si>
    <t>BRE-100</t>
  </si>
  <si>
    <t>BREAKER TIPO INDUSTRIAL 3 X 100 Amp, 20 KA, CUMPLIR RETIE</t>
  </si>
  <si>
    <t>BRE-150</t>
  </si>
  <si>
    <t>BREAKER TIPO INDUSTRIAL 3 X 150 Amp, 20 KA, CUMPLIR RETIE</t>
  </si>
  <si>
    <t>BRE-200</t>
  </si>
  <si>
    <t>BREAKER TIPO INDUSTRIAL 3X200 Amp, 20 KA, CUMPLIR RETIE</t>
  </si>
  <si>
    <t>BRE-225</t>
  </si>
  <si>
    <t>BREAKER TIPO INDUSTRIAL 3X225 Amp, 20 KA, CUMPLIR RETIE</t>
  </si>
  <si>
    <t>BRE-250</t>
  </si>
  <si>
    <t>BREAKER TIPO INDUSTRIAL 3 X 250 Amp, 20 KA, CUMPLIR RETIE</t>
  </si>
  <si>
    <t>BRE-400</t>
  </si>
  <si>
    <t>BREAKER TIPO INDUSTRIAL 3 X 400 Amp, 20 KA, CUMPLIR RETIE</t>
  </si>
  <si>
    <t>BRE-350</t>
  </si>
  <si>
    <t>BREAKER TIPO INDUSTRIAL 3 X 350 Amp, 20 KA, CUMPLIR RETIE</t>
  </si>
  <si>
    <t>BRE-500</t>
  </si>
  <si>
    <t>BREAKER TIPO INDUSTRIAL 3 X 500 Amp, 20 KA, CUMPLIR RETIE</t>
  </si>
  <si>
    <t>BRE-500-630</t>
  </si>
  <si>
    <t>BREAKER TIPO INDUSTRIAL 3 X 500-630 Amp, 20 KA, CUMPLIR RETIE</t>
  </si>
  <si>
    <t>BRE-800</t>
  </si>
  <si>
    <t>BREAKER TIPO INDUSTRIAL 3 X 800 Amp, 20 KA, CUMPLIR RETIE</t>
  </si>
  <si>
    <t>BRE-1000-1250</t>
  </si>
  <si>
    <t>BREAKER TIPO INDUSTRIAL DE 3X1000-1200Amp, 20KA</t>
  </si>
  <si>
    <t>BREAKER TIPO INDUSTRIAL DE 3X 150Amp, 20KA</t>
  </si>
  <si>
    <t>BRE-125</t>
  </si>
  <si>
    <t>BREAKER TIPO INDUSTRIAL 3 X 125 Amp, 20 KA, CUMPLIR RETIE</t>
  </si>
  <si>
    <t>BRE-50</t>
  </si>
  <si>
    <t>BREAKER TIPO INDUSTRIAL 3X50 Amp, 20 KA, CUMPLIR RETIE</t>
  </si>
  <si>
    <t>BRE-300</t>
  </si>
  <si>
    <t>BREAKER TIPO INDUSTRIAL DE 3X300Amp, 20KA</t>
  </si>
  <si>
    <t>BRE-20</t>
  </si>
  <si>
    <t>BREAKERS DE 20 AMP MONOFAFICO DE ENCHUFAR</t>
  </si>
  <si>
    <t>BRE-2x30</t>
  </si>
  <si>
    <t>BREAKERS DE 2x30 AMP MONOFAFICO DE ENCHUFAR</t>
  </si>
  <si>
    <t>BRE-2x70</t>
  </si>
  <si>
    <t>BREAKERS DE 2x70 AMP MONOFAFICO DE ENCHUFAR</t>
  </si>
  <si>
    <t>BRE-2x60</t>
  </si>
  <si>
    <t>BREAKERS DE 2x60 AMP MONOFAFICO DE ENCHUFAR</t>
  </si>
  <si>
    <t>BREAKER TIPO INDUSTRIAL DE 3X100Amp, 20KA</t>
  </si>
  <si>
    <t>BUJEPROT</t>
  </si>
  <si>
    <t>BUJE PROTECTOR DE VIDA SILVESTRE - PARA BORNES</t>
  </si>
  <si>
    <t>CABLESEC 1/0</t>
  </si>
  <si>
    <t xml:space="preserve">CABLE SECO No. 1/0,  133%, 15 Kv,  </t>
  </si>
  <si>
    <t>CABANT6</t>
  </si>
  <si>
    <t>CABLE ANTIFRAUDE No. 2No.6 + 6</t>
  </si>
  <si>
    <t>CABNEO</t>
  </si>
  <si>
    <t>CABLE TELEFONICO EN NEOPREN</t>
  </si>
  <si>
    <t>CABLE6AL</t>
  </si>
  <si>
    <t>CABLE DE ALUMINIO RECUBIERTO DE COBRE No. 6, CUBIERTO PARA 15 Kv</t>
  </si>
  <si>
    <t>CAB-DES2</t>
  </si>
  <si>
    <t>CABLE DE COBRE No. 2 DESNUDO</t>
  </si>
  <si>
    <t>CAB-2</t>
  </si>
  <si>
    <t>CABLE DE COBRE No. 2 THW, AWG, 600VOLTIOS</t>
  </si>
  <si>
    <t>CABLE10</t>
  </si>
  <si>
    <t>CABLE DE COBRE No. 10 THW, AWG, 600VOLTIOS</t>
  </si>
  <si>
    <t>CABLE8</t>
  </si>
  <si>
    <t>CABLE DE COBRE No. 8 THW, AWG, 600VOLTIOS</t>
  </si>
  <si>
    <t>CABLE6</t>
  </si>
  <si>
    <t>CABLE DE COBRE No. 6 THW, AWG, 600VOLTIOS</t>
  </si>
  <si>
    <t>CAB-4</t>
  </si>
  <si>
    <t>CABLE DE COBRE No. 4 THW, AWG, 600VOLTIOS</t>
  </si>
  <si>
    <t>CABLE12V</t>
  </si>
  <si>
    <t>CABLE DE COBRE No. 12 THW, AWG, 600VOLTIOS COLOR VERDE</t>
  </si>
  <si>
    <t>CABLE12-3</t>
  </si>
  <si>
    <t>CABLE DE COBRE No. 3X12 THW, AWG, 600VOLTIOS COLOR VERDE</t>
  </si>
  <si>
    <t>CAB-1</t>
  </si>
  <si>
    <t>CABLE No. 1/0 THW, AWG, 600 VOL</t>
  </si>
  <si>
    <t>CAB-2/0</t>
  </si>
  <si>
    <t>CABLE DE COBRE No. 2/0 THW, AWG, 600VOLTIOS</t>
  </si>
  <si>
    <t>CAB-1/0</t>
  </si>
  <si>
    <t>CABLE DE COBRE No. 1/0 THW, AWG, 600VOLTIOS</t>
  </si>
  <si>
    <t>CAB-4/0</t>
  </si>
  <si>
    <t>CABLE DE COBRE No. 4/0 THW, AWG, 600VOLTIOS</t>
  </si>
  <si>
    <t>CAB-6 ENC</t>
  </si>
  <si>
    <t>CABLE  ENCAUCHETADO 3 No. 6 THW, 600 VOL</t>
  </si>
  <si>
    <t>CAB-8 ENC</t>
  </si>
  <si>
    <t>CABLE  ENCAUCHETADO 3 No. 8 THW, 600 VOL</t>
  </si>
  <si>
    <t>CAB-10 ENC4</t>
  </si>
  <si>
    <t>CABLE  ENCAUCHETADO 4 No. 10 THW, 600 VOL</t>
  </si>
  <si>
    <t>CAB-10 ENC</t>
  </si>
  <si>
    <t>CABLE  ENCAUCHETADO 3 No. 10 THW, 600 VOL</t>
  </si>
  <si>
    <t>CAB-12 ENC</t>
  </si>
  <si>
    <t>CABLE  ENCAUCHETADO 3 No. 12 THW, 600 VOL</t>
  </si>
  <si>
    <t>CAB-12-4 ENC</t>
  </si>
  <si>
    <t>CABLE  ENCAUCHETADO 4 No. 12 THW, 600 VOL</t>
  </si>
  <si>
    <t>CABLE  ENCAUCHETADO 4No. 10 THW, 600 VOL</t>
  </si>
  <si>
    <t>CAB2A</t>
  </si>
  <si>
    <t>CABLE ACSR No. 2</t>
  </si>
  <si>
    <t>CAB-1/4</t>
  </si>
  <si>
    <t>CABLE SUPER GX DE 1/4"</t>
  </si>
  <si>
    <t>CAB-14</t>
  </si>
  <si>
    <t>CABLE VEHICULO No. 14</t>
  </si>
  <si>
    <t>CAB-12</t>
  </si>
  <si>
    <t>CABLE VEHICULO No. 12</t>
  </si>
  <si>
    <t>CABCON</t>
  </si>
  <si>
    <t>CABLEADO DE CONTROL</t>
  </si>
  <si>
    <t>CABDES</t>
  </si>
  <si>
    <t>CABLEADO DE DESCARGA</t>
  </si>
  <si>
    <t>CAJACONT</t>
  </si>
  <si>
    <t xml:space="preserve">CAJA PARA CONTADOR TIPO PARRILLA </t>
  </si>
  <si>
    <t>CAJACONTMU</t>
  </si>
  <si>
    <r>
      <t>CAJA PARA CONTADODOR CON PROTECCION TIPO MU</t>
    </r>
    <r>
      <rPr>
        <sz val="10"/>
        <rFont val="Calibri"/>
        <family val="2"/>
      </rPr>
      <t>Ñ</t>
    </r>
    <r>
      <rPr>
        <sz val="10"/>
        <rFont val="Arial"/>
        <family val="2"/>
      </rPr>
      <t>ECO</t>
    </r>
  </si>
  <si>
    <t>CAJA4X4</t>
  </si>
  <si>
    <t>CAJA 4"X4" PVC CONDUIT</t>
  </si>
  <si>
    <t>CAJA-03</t>
  </si>
  <si>
    <t>CAJA 0.3mx0.3m CON HERRAJE VACIADA</t>
  </si>
  <si>
    <t>CAJA-05</t>
  </si>
  <si>
    <t>CAJA 0.5mx0.5m CON HERRAJE RS3-016 EPM INCLUYE VACIADA</t>
  </si>
  <si>
    <t>CARGBAT</t>
  </si>
  <si>
    <t>CARGADOR DE BATERIAS</t>
  </si>
  <si>
    <t>CALIB</t>
  </si>
  <si>
    <t>CALIBRACION ANTE EPM</t>
  </si>
  <si>
    <t>CALIBCONRES</t>
  </si>
  <si>
    <t>CALIBRACION ANTE EPM DE CONTADOR CICLOMETRICO RESIDENCIAL</t>
  </si>
  <si>
    <t>CAPA4</t>
  </si>
  <si>
    <t>CAPACETE PARA BAJANTE DE 4"</t>
  </si>
  <si>
    <t>CAPA3</t>
  </si>
  <si>
    <t>CAPACETE PARA BAJANTE DE 3"</t>
  </si>
  <si>
    <t>CAPAC1 1/2</t>
  </si>
  <si>
    <t>CAPACETE PARA BAJANTE DE 1 1 /2"</t>
  </si>
  <si>
    <t>CAPA2</t>
  </si>
  <si>
    <t>CAPACETE PARA BAJANTE DE 2"</t>
  </si>
  <si>
    <t>CAPAC1</t>
  </si>
  <si>
    <t>CAPACETE PARA BAJANTE DE 1"</t>
  </si>
  <si>
    <t>CER-RETIE</t>
  </si>
  <si>
    <t>CERTIFICACION DEL RETIE DE TODOS LA PARTE ELECTRICA DE INSTALACIONES MAYORES A 10kVA</t>
  </si>
  <si>
    <t>CER-RETIE MEN</t>
  </si>
  <si>
    <t>CERTIFICACION DEL RETIE DE TODOS LA PARTE ELECTRICA DE INSTALACIONES MENORES A 10kVA</t>
  </si>
  <si>
    <t>CELDA175</t>
  </si>
  <si>
    <t>CELDA PARA SECCIONADOR DE 17,5 Kv, TRANSFORMADOR Y MEDIDA</t>
  </si>
  <si>
    <t>CELDAMED132</t>
  </si>
  <si>
    <t>CELDA PARA MEDIDA DE ENERGÍA TIPO INTEMPERIE 13200 V</t>
  </si>
  <si>
    <t>CIN-5/8</t>
  </si>
  <si>
    <t>CINTA BANDIT DE 5/8"</t>
  </si>
  <si>
    <t>CIN-23</t>
  </si>
  <si>
    <t>CINTA SCOTH 23</t>
  </si>
  <si>
    <t>CIN-33</t>
  </si>
  <si>
    <t>CINTA SCOTH 33</t>
  </si>
  <si>
    <t>CIN-PEL</t>
  </si>
  <si>
    <t>CINTA DE PELIGRO PLASTICA PARA CUBRIR TUBERIA</t>
  </si>
  <si>
    <t>COD904ROS</t>
  </si>
  <si>
    <t>CODO HD 90° x 4"  ROSCADO</t>
  </si>
  <si>
    <t>CODHD904</t>
  </si>
  <si>
    <t>CODO HD 90° x 4"  EXTREMO BRIDA (INCLUYE EMPAQUE Y TORNILLOS)</t>
  </si>
  <si>
    <t>COD454</t>
  </si>
  <si>
    <t>CODO HD 45° x 4"  EXTREMO BRIDA</t>
  </si>
  <si>
    <t>COD456</t>
  </si>
  <si>
    <t>CODO HD 45° x 6"  EXTREMO BRIDA</t>
  </si>
  <si>
    <t>COD453</t>
  </si>
  <si>
    <t>CODO HD 45° x 3"  EXTREMO BRIDA</t>
  </si>
  <si>
    <t>COD903</t>
  </si>
  <si>
    <t>CODO HD 90° x 3"  EXTREMO BRIDA</t>
  </si>
  <si>
    <t>CONC-175</t>
  </si>
  <si>
    <t>CONCRETO DE 175 PSI</t>
  </si>
  <si>
    <t>CON210</t>
  </si>
  <si>
    <t>CONCRETO f'c = 210 kg/cm2</t>
  </si>
  <si>
    <t>CONC2500</t>
  </si>
  <si>
    <t>Concreto 2500 psi</t>
  </si>
  <si>
    <t>RA7-030</t>
  </si>
  <si>
    <t>CONECTOR DE COMPRENSION DE Cu TIPO DERIVACION</t>
  </si>
  <si>
    <t>RA7-30</t>
  </si>
  <si>
    <t>CONECTOR DE COMPRESION DE ALUMINIO TIPO DERIVACION  PARA 1/0 ACSR</t>
  </si>
  <si>
    <t>CONECTOR DE COMPRESION DE Cu TIPO DERIVACION 4 - 6</t>
  </si>
  <si>
    <t xml:space="preserve">RA7- </t>
  </si>
  <si>
    <t>CONECTOR DE PUESTA A TIERRA NORMA EPM</t>
  </si>
  <si>
    <t>CONTRANSV</t>
  </si>
  <si>
    <t>CONECTOR TRANSVERSAL UNIVERSAL 2-1/0</t>
  </si>
  <si>
    <t>COBSC</t>
  </si>
  <si>
    <t>CONSTRUCCION BASE DE CONCRETO 210 PSI</t>
  </si>
  <si>
    <t>CONT-140</t>
  </si>
  <si>
    <t xml:space="preserve">CONTACTOR TRIPOLAR CON AC3 = 140 Amp, BOBINA 220 vol, </t>
  </si>
  <si>
    <t>CONT-50</t>
  </si>
  <si>
    <t xml:space="preserve">CONTACTOR TRIPOLAR CON AC3 = 50 Amp, BOBINA 220 vol, </t>
  </si>
  <si>
    <t>CONT-70</t>
  </si>
  <si>
    <t xml:space="preserve">CONTACTOR TRIPOLAR CON AC3 = 70 Amp, BOBINA 220 vol, </t>
  </si>
  <si>
    <t>CONTCICLO</t>
  </si>
  <si>
    <t>CONTADOR CICLOMETRICO RESIDENCIAL, 15(100)AMP, 240/120 V</t>
  </si>
  <si>
    <t>CONELEC</t>
  </si>
  <si>
    <t>CONTADOR ELECTRONICO MULTIFUNCIONAL</t>
  </si>
  <si>
    <t>CONTMEDIREC</t>
  </si>
  <si>
    <t>CONTADOR ELECTRONICO MULTIFUNCIONAL MEDIDA DIRECTA</t>
  </si>
  <si>
    <t>CONTNIV</t>
  </si>
  <si>
    <t>CONTROL, DE NIVEL PARA BOMBAS SUMERGIBLES U OTRO TIPO</t>
  </si>
  <si>
    <t>CCT P</t>
  </si>
  <si>
    <t>CORTA CIRCUITO PRIMARIO 100A-15KV-20KA</t>
  </si>
  <si>
    <t>CRUC-15</t>
  </si>
  <si>
    <t xml:space="preserve">CRUCETA MATALICA DE 1,5 m </t>
  </si>
  <si>
    <t>CRUC-24</t>
  </si>
  <si>
    <t xml:space="preserve">CRUCETA MATALICA DE 2,4 m </t>
  </si>
  <si>
    <t>CUADELE</t>
  </si>
  <si>
    <t>CUADRILLA DE ELECTRICISTAS  (INCLUYE 65.78% PRESTACIONES)</t>
  </si>
  <si>
    <t>CUADINS</t>
  </si>
  <si>
    <t>CUADRILLA DE INSTALADORES (INCLUYE 65.78% PRESTACIONES)</t>
  </si>
  <si>
    <t>CUADMEC</t>
  </si>
  <si>
    <t>CUADRILLA DE INSTALADORES MECANICOS  (INCLUYE 65.78% PRESTACIONES)</t>
  </si>
  <si>
    <t>CUADLIN</t>
  </si>
  <si>
    <t>CUADRILLA DE LINIEROS  (INCLUYE 65.78% PRESTACIONES)</t>
  </si>
  <si>
    <t>CUADCLO</t>
  </si>
  <si>
    <t>CUADRILLA DE CLORACIÓN  (INCLUYE 65.78% PRESTACIONES)</t>
  </si>
  <si>
    <t>CUADMON</t>
  </si>
  <si>
    <t>CUADRILLA DE MONTAJE  (INCLUYE 65.78% PRESTACIONES)</t>
  </si>
  <si>
    <t>CURMT-1/2</t>
  </si>
  <si>
    <t>CURVA EMT CONDUIT DE 1/2"</t>
  </si>
  <si>
    <t>CUR-1/2</t>
  </si>
  <si>
    <t>CURVA PVC CONDUIT DE 1/2"</t>
  </si>
  <si>
    <t>CUR-3/4</t>
  </si>
  <si>
    <t>CURVA PVC CONDUIT DE 3/4"</t>
  </si>
  <si>
    <t>CUR-1</t>
  </si>
  <si>
    <t>CURVA PVC CONDUIT DE 1"</t>
  </si>
  <si>
    <t>CUR-2</t>
  </si>
  <si>
    <t>CURVA PVC CONDUIT DE 2"</t>
  </si>
  <si>
    <t>CUR-4</t>
  </si>
  <si>
    <t>CURVA PVC CONDUIT DE 4"</t>
  </si>
  <si>
    <t>DPSSEC</t>
  </si>
  <si>
    <t>DPS SECUNDARIO</t>
  </si>
  <si>
    <t>DISPELEC</t>
  </si>
  <si>
    <t>DISPOSITIVO PARA DESCARGAS ELECTRICAS CONTROL</t>
  </si>
  <si>
    <t>ESLAB</t>
  </si>
  <si>
    <t>ESLABON</t>
  </si>
  <si>
    <t>ELEFIJ</t>
  </si>
  <si>
    <t>ELEMENTOS DE FIJACION</t>
  </si>
  <si>
    <t>EMPAQTOR</t>
  </si>
  <si>
    <t>EMPAQUETADURA Y TORNILLOS</t>
  </si>
  <si>
    <t>ESP-228</t>
  </si>
  <si>
    <t>ESPIGO PARA 13,2 KV (Le = 228 mm)</t>
  </si>
  <si>
    <t>ESP-38</t>
  </si>
  <si>
    <t>ESPIGO PARA 13,2 KV (Le = 38 mm)</t>
  </si>
  <si>
    <t>ESTR</t>
  </si>
  <si>
    <t>ESTRIBOS</t>
  </si>
  <si>
    <t xml:space="preserve">ENTRCAJ 1 </t>
  </si>
  <si>
    <t>ENTRADA A CAJA DE 1"</t>
  </si>
  <si>
    <t>ENTRCAJ3</t>
  </si>
  <si>
    <t>ENTRADA A CAJA DE 3"</t>
  </si>
  <si>
    <t xml:space="preserve">ENTRCAJ2 </t>
  </si>
  <si>
    <t>ENTRADA A CAJA DE 2"</t>
  </si>
  <si>
    <t xml:space="preserve">ENTRCAJ 1 1/2 </t>
  </si>
  <si>
    <t>ENTRADA A CAJA DE 1 1/2"</t>
  </si>
  <si>
    <t xml:space="preserve">ENTRCAJ1/2 </t>
  </si>
  <si>
    <t>ENTRADA A CAJA DE 1/2"</t>
  </si>
  <si>
    <t>ENTRCAJ3/4</t>
  </si>
  <si>
    <t>ENTRADA A CAJA DE 3/4"</t>
  </si>
  <si>
    <t>EXCBRE</t>
  </si>
  <si>
    <t xml:space="preserve">Excavación de brecha 0,3 m x 0,5 m </t>
  </si>
  <si>
    <t>EXTOJO</t>
  </si>
  <si>
    <t>EXTENSIÓN DE OJO PARA LINEA AEREA 5/8"X10"</t>
  </si>
  <si>
    <t>FLANCHE3</t>
  </si>
  <si>
    <t>FLANCHE O BRIDA DE 3" PARA SOLDAR</t>
  </si>
  <si>
    <t>FLANCHE4</t>
  </si>
  <si>
    <t>FLANCHE O BRIDA DE 4" PARA SOLDAR</t>
  </si>
  <si>
    <t>FLANCHE5</t>
  </si>
  <si>
    <t>FLANCHE O BRIDA DE 6" PARA SOLDAR</t>
  </si>
  <si>
    <t>FORMALETA</t>
  </si>
  <si>
    <t>FT P1T</t>
  </si>
  <si>
    <t xml:space="preserve">FUSIBLE PRIMARIO TIPO T </t>
  </si>
  <si>
    <t>FOSOACE</t>
  </si>
  <si>
    <t>FOSO PARA ACEITE DE TRANSFORMADOR EN CASO DE INCENDIO</t>
  </si>
  <si>
    <t>GABMEDPOS</t>
  </si>
  <si>
    <t>GABINETE PARA MEDIDA DE ENERGIA EN POSTE NORMA RA8-012</t>
  </si>
  <si>
    <t>GABMET</t>
  </si>
  <si>
    <t xml:space="preserve">GABINETE METALICO PARA CONTROL SEGÚN DISEÑO </t>
  </si>
  <si>
    <t>GABMET2</t>
  </si>
  <si>
    <t>GABINETE METALICO PARA CONTROL SEGÚN DISEÑO 2</t>
  </si>
  <si>
    <t>GABPPAL</t>
  </si>
  <si>
    <t>GABINETE METALICO PARA CONTROL SEGÚN DISEÑO 3</t>
  </si>
  <si>
    <t>GABCONRES</t>
  </si>
  <si>
    <r>
      <t>GABINETE PARA CONTADOR TIPO INTERPERIE TIPO MU</t>
    </r>
    <r>
      <rPr>
        <sz val="10"/>
        <rFont val="Calibri"/>
        <family val="2"/>
      </rPr>
      <t>Ñ</t>
    </r>
    <r>
      <rPr>
        <sz val="10"/>
        <rFont val="Arial"/>
        <family val="2"/>
      </rPr>
      <t>ECO</t>
    </r>
  </si>
  <si>
    <t>GPRS</t>
  </si>
  <si>
    <t>COMUNICACIÓN DE ALARMA DE ALTO NIVEL VIA GPRS (MENSAJE DE TEXTO A CELULAR) QUE INCLUYE: CPU SIEMENS S7-1200,</t>
  </si>
  <si>
    <t>GRAPVAR</t>
  </si>
  <si>
    <t>GRAPA PARA VARILLA COOPER WELD</t>
  </si>
  <si>
    <t xml:space="preserve">RA7-02 </t>
  </si>
  <si>
    <t>GRAPA DE SUSPENSION PARA No. 2</t>
  </si>
  <si>
    <t>RA7-024</t>
  </si>
  <si>
    <t>GRAPA DE TERMINAL PARA 1/0</t>
  </si>
  <si>
    <t>GRAV1/2</t>
  </si>
  <si>
    <t>Gravilla Ø 1½" a 2"</t>
  </si>
  <si>
    <t>RA7-023</t>
  </si>
  <si>
    <t>GUARDACABOS</t>
  </si>
  <si>
    <t>GUIABOM2</t>
  </si>
  <si>
    <t>GUÍA PARA ASCENSO Y DESCENSO DE BOMBAS SUMERGIBLES EN TUBERÍA GALVANIZADA Ø 2"</t>
  </si>
  <si>
    <t>HEB-5/8</t>
  </si>
  <si>
    <t>HEBILLA PARA CINTA BANDIT DE 5/8"</t>
  </si>
  <si>
    <t>HER-50</t>
  </si>
  <si>
    <t>HERRAJE PARA CAJA 50 X 50 cms. NORMA EPM</t>
  </si>
  <si>
    <t>HER-30</t>
  </si>
  <si>
    <t>HERRAJE PARA CAJA 30 X 30 cms. NORMA EPM</t>
  </si>
  <si>
    <t>RA6-009</t>
  </si>
  <si>
    <t>INSTALACION DE ESTRIBO</t>
  </si>
  <si>
    <t>JUNTA4</t>
  </si>
  <si>
    <t>JUNTA ELASTOMERICA DE 4" EXTREMO BRIDA</t>
  </si>
  <si>
    <t>JUNTA3</t>
  </si>
  <si>
    <t>JUNTA ELASTOMERICA DE 3" EXTREMO BRIDA</t>
  </si>
  <si>
    <t>JUECONEXT</t>
  </si>
  <si>
    <t>JUEGO DE CONOS PARA CABLE 1/0, TIPO EXTERIOR</t>
  </si>
  <si>
    <t>JUECONINT</t>
  </si>
  <si>
    <t>JUEGO DE CONOS PARA CABLE 1/0, TIPO INTERIOR</t>
  </si>
  <si>
    <t>LAM-2</t>
  </si>
  <si>
    <t>LAMPARA FLUORECENTE DE 2x48W, COMPLETA</t>
  </si>
  <si>
    <t>LAM-70</t>
  </si>
  <si>
    <t>Lámpara para alumbrado público completa de 70w, incluye brazo</t>
  </si>
  <si>
    <t>LAMP-70 CAMP</t>
  </si>
  <si>
    <t>Lámpara completa de 70w, tipo campana para interiores, colgada por tuberia EMT de 3/4"</t>
  </si>
  <si>
    <t>LAMP-250</t>
  </si>
  <si>
    <t xml:space="preserve">LAMPARA MH DE 250 W COMPLETA INCLUYE BRAZO </t>
  </si>
  <si>
    <t>MANOMAR</t>
  </si>
  <si>
    <t>MANÓMETRO CON MEMBRANA PARA AGUAS RESIDUALES - HASTA 50 m.c.a</t>
  </si>
  <si>
    <t>MALLAESL</t>
  </si>
  <si>
    <t xml:space="preserve">Malla eslabonada en alambre galvanizado C12 de 2" x 2"
</t>
  </si>
  <si>
    <t>MINBIP</t>
  </si>
  <si>
    <t>MINIBREAKER BIPOLARES PARA RIEL OMEGA, INCLUYE RIEL 6KA</t>
  </si>
  <si>
    <t>MOTHOR3-5S</t>
  </si>
  <si>
    <t>motobomba sumergible, para achique,  para agua sin tratar,  con motor eléctrico de 3-5 HP, a 1800 rpm, 3x208-230/460  vol.</t>
  </si>
  <si>
    <t>MOTHOR5-10</t>
  </si>
  <si>
    <t>motobomba centrifuga,  para agua cruda,  con motor eléctrico de 5-10 HP, a 1800 rpm, 3x208-230/460  vol.,  para 18 l/seg,  un HDT de 19 m.</t>
  </si>
  <si>
    <t>MOTHOR10-15</t>
  </si>
  <si>
    <t>motobomba centrifuga,  para agua tratada,  con motor eléctrico de 10-15 HP, a 1800 rpm, 3x208-230/460  vol.,  para 10 l/seg,  un HDT de 33,43 m.</t>
  </si>
  <si>
    <t>MOTBOM12-18</t>
  </si>
  <si>
    <t>motobomba centrifuga,  para agua tratada,  con motor eléctrico de 12 - 18 HP, a 1800 rpm, 3x208-230/460  vol.,  para 21 l/seg,  un HDT de 31 m.</t>
  </si>
  <si>
    <t>motobomba sumergible,  para agua sin tratar,  con motor eléctrico de 3-5 HP, a 1800 rpm, 3x208-230/460  vol.,  para 10-12 l/seg,  un HDT de 12-15 m.</t>
  </si>
  <si>
    <t>MOTHOR15-18</t>
  </si>
  <si>
    <t>motobomba centrifuga,  para agua tratada,  con motor eléctrico de 15-18 HP, a 1800 rpm, 3x208-230/460  vol.,  para 10 l/seg,  un HDT de 59 m.</t>
  </si>
  <si>
    <t>MOTBOM20-25</t>
  </si>
  <si>
    <t>motobomba centrifuga,  para agua tratada,  con motor eléctrico de 20-25 HP, a 1800 rpm, 3x208-230/460  vol.,  para 21 l/seg,  un HDT de 31m.</t>
  </si>
  <si>
    <t>MOTHOR40-50</t>
  </si>
  <si>
    <t>motobomba centrifuga,  para agua cruda,  con motor eléctrico de 40-50 HP, a 1800 rpm, 3x208-230/460  vol.,  para 36 l/seg,  un HDT de 45,22 m.</t>
  </si>
  <si>
    <t>MOTBOM70-80</t>
  </si>
  <si>
    <t>motobomba centrifuga,  para agua tratada,  con motor eléctrico de 70 - 80- HP, a 1800 rpm, 3x208-230/460  vol.,  para 22 l/seg,  un HDT de 124 m.</t>
  </si>
  <si>
    <t>MOTHOR70-75</t>
  </si>
  <si>
    <t>motobomba centrifuga,  para agua cruda,  con motor eléctrico de 70-75 HP, a 3600 rpm, 3x208-230/460  vol.,  para 28,1 l/seg,  un HDT de 95 m.</t>
  </si>
  <si>
    <t>MOTBOM70-75</t>
  </si>
  <si>
    <t>motobomba centrifuga,  para agua tratada,  con motor eléctrico de 70-75 HP, a 1800 rpm, 3x208-230/460  vol.,  para 20 l/seg,  un HDT de 146,98m.</t>
  </si>
  <si>
    <t>MOTHOR100-125</t>
  </si>
  <si>
    <t>motobomba centrifuga,  para agua cruda,  con motor eléctrico de 100-125 HP, a 1800 rpm, 3x208-230/460  vol.,  para 60 l/seg,  un HDT de 85 m.</t>
  </si>
  <si>
    <t>MOTHOR200-250</t>
  </si>
  <si>
    <t>motobomba centrifuga,  para agua cruda,  con motor eléctrico de 200-250 HP, a 1800 rpm, 3x208-230/460  vol.,  para 120 l/seg,  un HDT de 85 m.</t>
  </si>
  <si>
    <t>MOTVER10</t>
  </si>
  <si>
    <t>motobomba centrifuga, tipo vertical, para agua tratada,   para instalar en pozo seco, con motor de 10 HP, a 3450 rpm, 3x208-230/460  vol.,  para 10 l/seg,  un HDT de 23 m.</t>
  </si>
  <si>
    <t>MOTLAP15</t>
  </si>
  <si>
    <t>Bomba  sumergible tipo lapicero, para agua sin tratar,  para instalar en pozo húmedo,  en acero inoxidable, con motor encapsulado, y diafragma compensadora de presión. de 15 HP, a 3450 rpm, 3x208-230  vol.,  para 10 l/seg,  un HDT de 55,44 m - 60 m</t>
  </si>
  <si>
    <t>MOT47</t>
  </si>
  <si>
    <t>Motobomba sumergible para aguas residuales Q= 47 l/seg, Altura de 27 m, con motor de  Hp, 220 vol., 1800 rpm, 60 hz, para instalar según diseño</t>
  </si>
  <si>
    <t>MOT25</t>
  </si>
  <si>
    <t>Motobomba sumergible para aguas residuales Q= 25 l/seg, Altura de 21 m, con motor de  Hp, 220 vol., 18000 rpm, 60 hz, para instalar según diseño</t>
  </si>
  <si>
    <t>MOT18</t>
  </si>
  <si>
    <t>Motobomba sumergible para aguas residuales Q= 18 l/seg, Altura de 46 m, con motor de  Hp, 220 vol., 18000 rpm, 60 hz, para instalar según diseño</t>
  </si>
  <si>
    <t>MOT 150</t>
  </si>
  <si>
    <t>Bomba  acoplada a motor de 150 HP, a 1750 rpm, sobre base estructural de hierro de 4"para 115 l/seg, para un HDT de 68 m, para agua cruda</t>
  </si>
  <si>
    <t>MOT 75</t>
  </si>
  <si>
    <t>Bomba IHM acoplada a motor de 75 HP, a 1750 rpm, sobre base estructural de hierro de 4"para 30 l/seg, para un HDT de 105 m, para agua tratada</t>
  </si>
  <si>
    <t>MOT250</t>
  </si>
  <si>
    <t>Bomba  sumergible antibloqueo, para aguas residuales, para trabajo pesado, con motor de 250 HP, a 1750 rpm, con  estructura de hierro  para su instalación, para 270 l/seg,  un HDT de 49,21 m</t>
  </si>
  <si>
    <t>MOT100</t>
  </si>
  <si>
    <t>Bomba  sumergible antibloqueo, para aguas residuales, para trabajo pesado, con motor de 100 HP, a 1750 rpm, con  estructura de hierro  para su instalación, para 170 l/seg,  un HDT de 34,07 m</t>
  </si>
  <si>
    <t>MOT55</t>
  </si>
  <si>
    <t>Bomba  sumergible antibloqueo, para aguas residuales, para trabajo pesado, con motor de 55 HP, a 1750 rpm, con  estructura de hierro  para su instalación, para 75 l/seg,  un HDT de 28,9 m</t>
  </si>
  <si>
    <t>MOT100-1</t>
  </si>
  <si>
    <t>Bomba  sumergible antibloqueo, para aguas residuales, para trabajo pesado, con motor de 100 HP, a 1750 rpm, con  estructura de hierro  para su instalación, para 185 l/seg,  un HDT de 27,9 m</t>
  </si>
  <si>
    <t>MOTSUM5-10</t>
  </si>
  <si>
    <t>Bomba  sumergible antibloqueo, para aguas residuales, para trabajo pesado, con motor de 5-10 HP, a 1750 rpm, con  estructura de hierro  para su instalación, para 12 l/seg,  un HDT de 18 m</t>
  </si>
  <si>
    <t>MOTHOR3-5sur</t>
  </si>
  <si>
    <t>motobomba sumergible,  para agua sin tratar,  con motor eléctrico de 3-5 HP, a 3600 rpm, 3x208-230/460  vol.,  para 10 l/seg,  un HDT de 16,74 m.</t>
  </si>
  <si>
    <t>NIPLE-4</t>
  </si>
  <si>
    <r>
      <t>NIPLE HD Ø 4" L= 1</t>
    </r>
    <r>
      <rPr>
        <sz val="9"/>
        <color indexed="10"/>
        <rFont val="Arial Narrow"/>
        <family val="2"/>
      </rPr>
      <t xml:space="preserve"> </t>
    </r>
    <r>
      <rPr>
        <sz val="9"/>
        <rFont val="Arial Narrow"/>
        <family val="2"/>
      </rPr>
      <t>m</t>
    </r>
    <r>
      <rPr>
        <sz val="9"/>
        <color indexed="10"/>
        <rFont val="Arial Narrow"/>
        <family val="2"/>
      </rPr>
      <t xml:space="preserve"> </t>
    </r>
    <r>
      <rPr>
        <sz val="9"/>
        <color indexed="8"/>
        <rFont val="Arial Narrow"/>
        <family val="2"/>
      </rPr>
      <t>EXTREMOS BRIDA x BRIDA - BRIDAS NORMA ANSI 150 (INCLUYE EMPAQUE Y TORNILLOS)</t>
    </r>
  </si>
  <si>
    <t>NIPLE-6</t>
  </si>
  <si>
    <r>
      <t>NIPLE HD Ø 6" L= 1 m</t>
    </r>
    <r>
      <rPr>
        <sz val="9"/>
        <color indexed="10"/>
        <rFont val="Arial Narrow"/>
        <family val="2"/>
      </rPr>
      <t xml:space="preserve"> </t>
    </r>
    <r>
      <rPr>
        <sz val="9"/>
        <color indexed="8"/>
        <rFont val="Arial Narrow"/>
        <family val="2"/>
      </rPr>
      <t xml:space="preserve">EXTREMOS BRIDA x BRIDA  - BRIDAS NORMA ANSI 150 </t>
    </r>
  </si>
  <si>
    <t>NIPLE-6L</t>
  </si>
  <si>
    <t xml:space="preserve">NIPLE HD Ø 6" L= 1,0 m EXTREMOS LISO x LISO </t>
  </si>
  <si>
    <t>NIPLE-6LB</t>
  </si>
  <si>
    <t>NIPLE HD Ø 6" L= 1,0 m EXTREMOS LISO x BRIDA</t>
  </si>
  <si>
    <t>NIPLE-3EB</t>
  </si>
  <si>
    <r>
      <t>NIPLE HD Ø 3"</t>
    </r>
    <r>
      <rPr>
        <sz val="9"/>
        <color indexed="10"/>
        <rFont val="Arial Narrow"/>
        <family val="2"/>
      </rPr>
      <t xml:space="preserve"> </t>
    </r>
    <r>
      <rPr>
        <sz val="9"/>
        <rFont val="Arial Narrow"/>
        <family val="2"/>
      </rPr>
      <t>L= 0,35 m</t>
    </r>
    <r>
      <rPr>
        <sz val="9"/>
        <color indexed="10"/>
        <rFont val="Arial Narrow"/>
        <family val="2"/>
      </rPr>
      <t xml:space="preserve"> </t>
    </r>
    <r>
      <rPr>
        <sz val="9"/>
        <color indexed="8"/>
        <rFont val="Arial Narrow"/>
        <family val="2"/>
      </rPr>
      <t xml:space="preserve">EXTREMOS BRIDA x BRIDA - BRIDAS NORMA ANSI 150 </t>
    </r>
  </si>
  <si>
    <t>NIPLE-3EBL</t>
  </si>
  <si>
    <r>
      <t>NIPLE HD Ø 3" L= 1,0 m</t>
    </r>
    <r>
      <rPr>
        <sz val="9"/>
        <color indexed="10"/>
        <rFont val="Arial Narrow"/>
        <family val="2"/>
      </rPr>
      <t xml:space="preserve"> </t>
    </r>
    <r>
      <rPr>
        <sz val="9"/>
        <color indexed="8"/>
        <rFont val="Arial Narrow"/>
        <family val="2"/>
      </rPr>
      <t xml:space="preserve">EXTREMOS BRIDA x LISO - BRIDAS NORMA ANSI 150 </t>
    </r>
  </si>
  <si>
    <t>OFICIAL (INCLUYE 65.78% PRESTACIONES)</t>
  </si>
  <si>
    <t>RA7-032</t>
  </si>
  <si>
    <t>OJAL DE SUSPENSION</t>
  </si>
  <si>
    <t>RA7-106</t>
  </si>
  <si>
    <t>PARARRAYOS PRIMARIO OXIDO METALICO</t>
  </si>
  <si>
    <t>PARFRAN</t>
  </si>
  <si>
    <t>PARARRAYOS FRANKLIN PARA DESCARGAS ATMOSFERICAS PUNTA DE ACERO</t>
  </si>
  <si>
    <t>PASMUR4</t>
  </si>
  <si>
    <t xml:space="preserve">PASAMURO HD Ø 4" L=1 m EXTREMOS BRIDA x BRIDA - BRIDAS NORMA ANSI 150 </t>
  </si>
  <si>
    <t>PERCHA1</t>
  </si>
  <si>
    <t xml:space="preserve">PERCHA ACANALADA DE UN PUESTO </t>
  </si>
  <si>
    <t>PEM750CAB</t>
  </si>
  <si>
    <t>PLANTA DE EMERGENCIA TRIFÁSICA DE 750 KVA, 440/220 V, DIESEL, TIPO INTEMPERIE, CABINADA</t>
  </si>
  <si>
    <t>PEM500CAB</t>
  </si>
  <si>
    <t>PLANTA DE EMERGENCIA TRIFÁSICA DE 500 KVA, 440/220 V, DIESEL, TIPO INTEMPERIE, CABINADA</t>
  </si>
  <si>
    <t>PEM300CAB</t>
  </si>
  <si>
    <t>PLANTA DE EMERGENCIA TRIFÁSICA DE 300KVA, 440/220 V, DIESEL, TIPO INTEMPERIE, CABINADA</t>
  </si>
  <si>
    <t>PEM300</t>
  </si>
  <si>
    <t>PLANTA DE EMERGENCIA TRIFÁSICA DE 300KVA, 440/220 V, DIESEL</t>
  </si>
  <si>
    <t>PEM250CAB</t>
  </si>
  <si>
    <t>PLANTA DE EMERGENCIA TRIFÁSICA DE 250KVA, 440/220 V, DIESEL, TIPO INTEMPERIE, CABINADA</t>
  </si>
  <si>
    <t>PEM200</t>
  </si>
  <si>
    <t>PLANTA DE EMERGENCIA TRIFÁSICA DE 200KVA, 440/220 V, DIESEL, TIPO INTEMPERIE, CABINADA</t>
  </si>
  <si>
    <t>PEM150</t>
  </si>
  <si>
    <t>PLANTA DE EMERGENCIA TRIFÁSICA DE 150KVA, 440/220 V, DIESEL</t>
  </si>
  <si>
    <t>PEM150CAB</t>
  </si>
  <si>
    <t>PLANTA DE EMERGENCIA TRIFÁSICA DE 150KVA, 440/220 V, DIESEL, TIPO INTEMPERIE, CABINADA</t>
  </si>
  <si>
    <t>PEM100</t>
  </si>
  <si>
    <t>PLANTA DE EMERGENCIA TRIFÁSICA DE 100KVA, 440/220 V, DIESEL</t>
  </si>
  <si>
    <t>PEM100CAB</t>
  </si>
  <si>
    <t>PLANTA DE EMERGENCIA TRIFÁSICA DE 100KVA, 440/220 V, DIESEL, TIPO INTEMPERIE, CABINADA</t>
  </si>
  <si>
    <t>PEM75</t>
  </si>
  <si>
    <t>PLANTA DE EMERGENCIA TRIFÁSICA DE 75KVA, 440/220 V, DIESEL</t>
  </si>
  <si>
    <t>PEM75CAB</t>
  </si>
  <si>
    <t>PLANTA DE EMERGENCIA TRIFÁSICA DE 75KVA, 440/220 V, DIESEL, TIPO INTEMPERIE, CABINADA</t>
  </si>
  <si>
    <t>PEM50</t>
  </si>
  <si>
    <t>PLANTA DE EMERGENCIA TRIFÁSICA DE 50KVA, 440/220 V, DIESEL, TIPO INTEMPERIE, CABINADA</t>
  </si>
  <si>
    <t>PEM50CAB</t>
  </si>
  <si>
    <t>PLANTA DE EMERGENCIA TRIFÁSICA DE 50KVA, 440/220 V, DIESEL, TIPO ABIERTA</t>
  </si>
  <si>
    <t>PEM30</t>
  </si>
  <si>
    <t>PLANTA DE EMERGENCIA TRIFÁSICA DE 30KVA, 127/220 V, DIESEL, TIPO CERRADA</t>
  </si>
  <si>
    <t>PEM30CAB</t>
  </si>
  <si>
    <t>PLANTA DE EMERGENCIA TRIFÁSICA DE 30KVA, 127/220 V, DIESEL, TIPO ABIERTA</t>
  </si>
  <si>
    <t>PEM20</t>
  </si>
  <si>
    <t>PLANTA DE EMERGENCIA TRIFÁSICA DE 20KVA, 440/220 V, DIESEL, TIPO ABIERTA</t>
  </si>
  <si>
    <t>PEM20CAB</t>
  </si>
  <si>
    <t xml:space="preserve">PLANTA DE EMERGENCIA TRIFÁSICA DE 20KVA, 440/220 V, DIESEL, TIPO INTERPERIE, CABINADA </t>
  </si>
  <si>
    <t>PLAFON</t>
  </si>
  <si>
    <t>PLAFON DE LOZA  RETIE</t>
  </si>
  <si>
    <t>PERF6</t>
  </si>
  <si>
    <t>PERFORACION EN TUBERIA DE 6"</t>
  </si>
  <si>
    <t>PERCHA</t>
  </si>
  <si>
    <t>PERCHA DE 3 1/2" COMPLETA INCLUYE AISLADOR</t>
  </si>
  <si>
    <t>POL1TON</t>
  </si>
  <si>
    <t>POLIPASTO ELECTRICO CAPACIDAD 1 TONELADA CON 7 METROS DE CADENA DE LEVANTE Y CARRO ELECTRICO PARA DESPLAZAMIENTO HORIZONTAL A 220V</t>
  </si>
  <si>
    <t>POSFIB12</t>
  </si>
  <si>
    <t>POSTE DE FIBRA POR SEGMENTOS DE 12 METROS</t>
  </si>
  <si>
    <t>POSFIB9</t>
  </si>
  <si>
    <t>POSTE DE FIBRA POR SEGMENTOS DE 9 METROS</t>
  </si>
  <si>
    <t>P14C</t>
  </si>
  <si>
    <t>POSTE DE CONCRETO DE 750KG/FUERZA DE  14m</t>
  </si>
  <si>
    <t>P12CREF</t>
  </si>
  <si>
    <t>POSTE DE CONCRETO DE 1250KG/FUERZA DE  12m</t>
  </si>
  <si>
    <t>P12C-NOR</t>
  </si>
  <si>
    <t>POSTE DE CONCRETO DE 12m</t>
  </si>
  <si>
    <t>P9C-NOR</t>
  </si>
  <si>
    <t>POSTE DE CONCRETO DE 9m</t>
  </si>
  <si>
    <t>POSMAD9</t>
  </si>
  <si>
    <t>POSTE DE MADERA DE 9 m</t>
  </si>
  <si>
    <t>POSMAD12</t>
  </si>
  <si>
    <t>POSTE DE MADERA DE 12m</t>
  </si>
  <si>
    <t>PULHOG</t>
  </si>
  <si>
    <t>PULSADOR HONGO CON RETENCION PARO EMERGENCIA</t>
  </si>
  <si>
    <t>PULSTA</t>
  </si>
  <si>
    <t>PULSADOR START - STOP</t>
  </si>
  <si>
    <t>PUETMET</t>
  </si>
  <si>
    <t>Puerta reja metálica de acceso doble con marco interior y exterior. 2 m de ancho por 2 m de alto (Incluye portacandado y candado en Acero
Inoxidable)</t>
  </si>
  <si>
    <t>REDHD63</t>
  </si>
  <si>
    <t xml:space="preserve">REDUCCIÓN HD 6" x 3" EXTREMO BRIDA </t>
  </si>
  <si>
    <t>REDHD4-2 1/2</t>
  </si>
  <si>
    <t xml:space="preserve">REDUCCIÓN HD 4" x 2 1/2" EXTREMO BRIDA </t>
  </si>
  <si>
    <t>REDHD3-2</t>
  </si>
  <si>
    <t xml:space="preserve">REDUCCIÓN HD 3" x 2" EXTREMO BRIDA </t>
  </si>
  <si>
    <t>RELTER</t>
  </si>
  <si>
    <t>RELE TERMICO TRIPOLAR 37 - 50 Amp</t>
  </si>
  <si>
    <t>REL-CORR</t>
  </si>
  <si>
    <t>RELE PARA LA CORRECCION DEL FACTOR DE POTENCIA AUTOMATICO</t>
  </si>
  <si>
    <t>REV10</t>
  </si>
  <si>
    <t xml:space="preserve">REVISION DE TRANSFORMADOR </t>
  </si>
  <si>
    <t>SALEL</t>
  </si>
  <si>
    <t>SALIDA ELECTRICA COMPLETA</t>
  </si>
  <si>
    <t>SALTEL</t>
  </si>
  <si>
    <t>SALIDA TELEFONICA COMPLETA INCLUYE CABLE</t>
  </si>
  <si>
    <t>SECCI</t>
  </si>
  <si>
    <t>SECCIONADOR DE 17,5kV, 630 A</t>
  </si>
  <si>
    <t>SELAMP</t>
  </si>
  <si>
    <t>SELECTOR DE AMPERAJE</t>
  </si>
  <si>
    <t>SELVOL</t>
  </si>
  <si>
    <t xml:space="preserve">SELECTOR DE VOLTAJE </t>
  </si>
  <si>
    <t>SEPOL</t>
  </si>
  <si>
    <t>SEÑALES PILOTOS COLOR VERDE O ROJO</t>
  </si>
  <si>
    <t>SEPEL</t>
  </si>
  <si>
    <t xml:space="preserve">SEÑALIZACION DE PELIGRO </t>
  </si>
  <si>
    <t>SISTCONT</t>
  </si>
  <si>
    <t xml:space="preserve">Suministro, instalación y puesta en funcionamiento de SISTEMA DE CONTROL DE PLC MARCA SIEMENS S7-1200 
</t>
  </si>
  <si>
    <t>SOLDEXOT</t>
  </si>
  <si>
    <t>SOLDADURA EXOTERMICA COMPLETA</t>
  </si>
  <si>
    <t>SOPMETBO</t>
  </si>
  <si>
    <t>SOPORTES METALICOS  TREN DE BOMBEO PARA TUBERÍA DE 6"</t>
  </si>
  <si>
    <t>SOPMETBO4</t>
  </si>
  <si>
    <t>SOPORTES METALICOS  TREN DE BOMBEO PARA TUBERÍA DE 4"</t>
  </si>
  <si>
    <t>SOPMETBO3</t>
  </si>
  <si>
    <t>SOPORTES METALICOS  TREN DE BOMBEO PARA TUBERÍA DE 3"</t>
  </si>
  <si>
    <t>ULTRASON</t>
  </si>
  <si>
    <t>Suministro, transporte e instalación de :TRANSMISOR DE NIVEL 355-510A-10B - ECHOTEL ULTRASONICO CON SALIDA DE 4-20 mA CON TRANSDUCTOR EN POLIPROPILENO, CONEXIÓN EN NPT DE 2" PARA UN ALCANCE DE 0,3 A 6m MARCA MAGNETROL</t>
  </si>
  <si>
    <t>SUICHEIL</t>
  </si>
  <si>
    <t>SUICHE SENCILLO O DOBLE PARA ILUMINACIÓN</t>
  </si>
  <si>
    <t>TAB24-3</t>
  </si>
  <si>
    <t>TABLERO DE BREAKERS DE 24 CIRCUITOS 220V TRIFASICO CON TAPA</t>
  </si>
  <si>
    <t>TAB12-3</t>
  </si>
  <si>
    <t>TABLERO DE BREAKERS DE 12 CIRCUITOS 220V TRIFASICO CON TAPA</t>
  </si>
  <si>
    <t>TAB12-1</t>
  </si>
  <si>
    <t>TABLERO DE BREAKERS DE 12 CIRCUITOS MONOFASICO  220V CON TAPA</t>
  </si>
  <si>
    <t>TABMON</t>
  </si>
  <si>
    <t>TABLERO MONOFASICO DE 8 CIRCUITOS CON TAPA</t>
  </si>
  <si>
    <t>TEMELE</t>
  </si>
  <si>
    <t>TEMPORIZADOR 0-30 SEG ELECTRONICO O NEUMATICO</t>
  </si>
  <si>
    <t>TER-XLP</t>
  </si>
  <si>
    <t xml:space="preserve">TERMINAL PARA CABLE XLPE, 1/0 </t>
  </si>
  <si>
    <t>TER-800-950</t>
  </si>
  <si>
    <t>TERMINALES PARA 800-950 AMP, 3M O SIMILAR</t>
  </si>
  <si>
    <t>TER-300</t>
  </si>
  <si>
    <t>TERMINALES PARA 300 AMP, 3M O SIMILAR</t>
  </si>
  <si>
    <t>TER-400-450</t>
  </si>
  <si>
    <t>TERMINALES PARA 400-450 AMP, 3M O SIMILAR</t>
  </si>
  <si>
    <t>TER-90-150</t>
  </si>
  <si>
    <t>TERMINALES PARA 90-150 AMP, 3M O SIMILAR</t>
  </si>
  <si>
    <t>TER-60-80</t>
  </si>
  <si>
    <t>TERMINALES PARA 60-80 AMP, 3M O SIMILAR</t>
  </si>
  <si>
    <t>TER-50</t>
  </si>
  <si>
    <t>TERMINALES PARA 50 AMP, 3M O SIMILAR</t>
  </si>
  <si>
    <t xml:space="preserve">TER-30 </t>
  </si>
  <si>
    <t>TERMINALES PARA 30 AMP, 3M O SIMILAR</t>
  </si>
  <si>
    <t>TIR-1500</t>
  </si>
  <si>
    <t>TIRANTA MATALICA (CRUCETA DE 1500 mm)     d3 36"</t>
  </si>
  <si>
    <t>TIR-2400</t>
  </si>
  <si>
    <t xml:space="preserve">TIRANTA MATALICA (CRUCETA DE 2400 mm)    </t>
  </si>
  <si>
    <t>TIR-36</t>
  </si>
  <si>
    <t xml:space="preserve">TIRANTA MATALICA DE 36    </t>
  </si>
  <si>
    <t>TIR-48</t>
  </si>
  <si>
    <t xml:space="preserve">TIRANTA MATALICA DE 48    </t>
  </si>
  <si>
    <t>TOM220</t>
  </si>
  <si>
    <t>TOMA PATA TRAVADA A 220V EN CAJA</t>
  </si>
  <si>
    <t>TOM120</t>
  </si>
  <si>
    <t>Toma doble con polo a tierra en caja pvc</t>
  </si>
  <si>
    <t>TOMGGCI</t>
  </si>
  <si>
    <t>Toma doble GFCI, 15Amp,125V con LED indicador, incluye tapa irrompible, color blanco, UL498, NEMA 5-15R</t>
  </si>
  <si>
    <t>TOMATEL</t>
  </si>
  <si>
    <t>TOMA TELEFONICO AMERICANO</t>
  </si>
  <si>
    <t>TOR-5/8</t>
  </si>
  <si>
    <t>TORNILLO DE 5/8" X 250 mm</t>
  </si>
  <si>
    <t>TORESP-200</t>
  </si>
  <si>
    <t>TORNILLO DE ESPACIADOR DE 5/8" X 200 mm</t>
  </si>
  <si>
    <t>TORESP-250</t>
  </si>
  <si>
    <t>TORNILLO DE ESPACIADOR DE 5/8" X 250 mm</t>
  </si>
  <si>
    <t>TORESP-300</t>
  </si>
  <si>
    <t>TORNILLO ESPACIADOR DE 5/8" x 300  mm</t>
  </si>
  <si>
    <t>TORESP-38</t>
  </si>
  <si>
    <t>TORNILLO DE ESPACIADOR DE 5/8" X 38 mm</t>
  </si>
  <si>
    <t>TRANSF150</t>
  </si>
  <si>
    <t>TRANSFERENCIA AUTOMATICA PARA PLANTAS DE 150 KVA</t>
  </si>
  <si>
    <t>TRANSFERENCIA AUTOMATICA PARA PLANTAS DE 50 - 150 KVA</t>
  </si>
  <si>
    <t>TRANSF20</t>
  </si>
  <si>
    <t>TRANSFERENCIA AUTOMATICA PARA PLANTAS DE 20KVA</t>
  </si>
  <si>
    <t>TRANS-500SEC</t>
  </si>
  <si>
    <t>TRANSFORMADOR DE 500 KVA, 13200/440/208V. TIPO SECO</t>
  </si>
  <si>
    <t>TRANS-500PDM</t>
  </si>
  <si>
    <t>TRANSFORMADOR DE 500 KVA, 13200/440/208V. TIPO PDM</t>
  </si>
  <si>
    <t>TRANS-750</t>
  </si>
  <si>
    <t>TRANSFORMADOR DE 750 KVA, 13200/440/220V.</t>
  </si>
  <si>
    <t>TRANS-500</t>
  </si>
  <si>
    <t>TRANSFORMADOR DE 400 KVA, 13200/440/220V.</t>
  </si>
  <si>
    <t>TRANS-400</t>
  </si>
  <si>
    <t>TRANS-300</t>
  </si>
  <si>
    <t>TRANSFORMADOR DE 300 KVA, 13200/440/220V.</t>
  </si>
  <si>
    <t>TRANS-225S</t>
  </si>
  <si>
    <t>TRANSFORMADOR DE 225 KVA, 13200/440/208V. TIPO SECO</t>
  </si>
  <si>
    <t>TRANS-225PM</t>
  </si>
  <si>
    <t>TRANSFORMADOR DE 225 KVA, 13200/440/208V. TIPO PM</t>
  </si>
  <si>
    <t>TRANS-225</t>
  </si>
  <si>
    <t>TRANSFORMADOR DE 225 KVA, 13200/440/208V. TIPO CONVENCIONAL EN ACEITE</t>
  </si>
  <si>
    <t>TRANS-150</t>
  </si>
  <si>
    <t>TRANSFORMADOR DE 150 KVA, 13200/440/220V.</t>
  </si>
  <si>
    <t>TRANS-112</t>
  </si>
  <si>
    <t>TRANSFORMADOR DE 112,5 KVA, 13200/440/220V.</t>
  </si>
  <si>
    <t>TRANS-75</t>
  </si>
  <si>
    <t>TRANSFORMADOR DE 75 KVA, 13200/220/120V.</t>
  </si>
  <si>
    <t>TRANS-75-2</t>
  </si>
  <si>
    <t>TRANSFORMADOR DE 75 KVA, 13200/440/120V.</t>
  </si>
  <si>
    <t>TRANS-45</t>
  </si>
  <si>
    <t>TRANSFORMADOR DE 45 KVA, 13200/220/120V.</t>
  </si>
  <si>
    <t>TRANS-30</t>
  </si>
  <si>
    <t>TRANSFORMADOR DE 30 KVA, 13200/220/120V.</t>
  </si>
  <si>
    <t>TRAFO15</t>
  </si>
  <si>
    <t>TRANSFORMADOR DE 15 KVA, 13200/220/127V.</t>
  </si>
  <si>
    <t>TRAN-POT</t>
  </si>
  <si>
    <t>TRANSFORMADORES DE POTENCIAL 13200/120V CON PROTOCOLO</t>
  </si>
  <si>
    <t>TRAN-CORR</t>
  </si>
  <si>
    <t>TRANSFORMADORES DE CORRIENTE TIPO INTERIOR 10/20/5A CON PROTOCOLO</t>
  </si>
  <si>
    <t>TRANS-10</t>
  </si>
  <si>
    <t>TRANSFORMADOR SECO  DE 10KVA TRIFASICO 440/220/110 VOL</t>
  </si>
  <si>
    <t>TRANS-5</t>
  </si>
  <si>
    <t>TRANSFORMADOR SECO  DE 5KVA TRIFASICO 440/220/110 VOL</t>
  </si>
  <si>
    <t>TRANSFORMADORES DE CORRIENTE 300/5 AMP</t>
  </si>
  <si>
    <t>TRANS-200</t>
  </si>
  <si>
    <t>TRANSFORMADORES DE CORRIENTE 200/5 AMP</t>
  </si>
  <si>
    <t>TRANSFORMADORES DE CORRIENTE 150/5 AMP</t>
  </si>
  <si>
    <t>TRANS-100</t>
  </si>
  <si>
    <t>TRANSFORMADORES DE CORRIENTE TIPO VENTANA DE 100/5 Amp</t>
  </si>
  <si>
    <t>TRANSFORMADORES DE CORRIENTE TIPO VENTANA DE 500/5 Amp</t>
  </si>
  <si>
    <t>TRANSGRU</t>
  </si>
  <si>
    <t>TRANSPORTE - EN GRUA</t>
  </si>
  <si>
    <t>TRANSPVIG</t>
  </si>
  <si>
    <t>TRANSPORTE A VIGIA Y EN OBRA</t>
  </si>
  <si>
    <t>TRENZA4</t>
  </si>
  <si>
    <t>TRENZA EN ACSR No. 4 AISLADA</t>
  </si>
  <si>
    <t>TRENZA2</t>
  </si>
  <si>
    <t>TRENZA EN ACSR No. 2 AISLADA</t>
  </si>
  <si>
    <t>TUBAC3</t>
  </si>
  <si>
    <t>TUBO DE ACERO AL CARBON DE 3"x1m</t>
  </si>
  <si>
    <t>TUBAC4</t>
  </si>
  <si>
    <t>TUBO DE ACERO AL CARBON DE 4"x1m</t>
  </si>
  <si>
    <t>TUBAC6</t>
  </si>
  <si>
    <t>TUBO DE ACERO AL CARBON DE 6"x1m</t>
  </si>
  <si>
    <t>TUBGAL2AR</t>
  </si>
  <si>
    <t>Tubería galvanizada Ø 2 pulg, C 14, para arriostramiento diagonal cada 10 m y cada cambio de dirección</t>
  </si>
  <si>
    <t>TUBGALV2</t>
  </si>
  <si>
    <t xml:space="preserve">Tubería galvanizada Ø 2 pulg, C 14, con doblez de 60º en la punta con la horizontal, taponada, L= 4 m
</t>
  </si>
  <si>
    <t>TRAN</t>
  </si>
  <si>
    <t>TRANSPORTE - UN VIAJE INCLUYE SEGUROS</t>
  </si>
  <si>
    <t>TUBGAL-4</t>
  </si>
  <si>
    <t>TUBERIA GALVANIZADA DE 4" CONDUIT</t>
  </si>
  <si>
    <t>TUBGAL-3</t>
  </si>
  <si>
    <t>TUBERIA GALVANIZADA DE 3" CONDUIT</t>
  </si>
  <si>
    <t>TUBGAL-2</t>
  </si>
  <si>
    <t>TUBERIA GALVANIZADA DE 2" CONDUIT</t>
  </si>
  <si>
    <t>TUBGAL-1</t>
  </si>
  <si>
    <t>TUBERIA GALVANIZADA DE 1" CONDUIT</t>
  </si>
  <si>
    <t>TUBGAL-1 1/4</t>
  </si>
  <si>
    <t>TUBERIA PVC CONDUIT DE 1 1/4"</t>
  </si>
  <si>
    <t>TUB-2</t>
  </si>
  <si>
    <t>TUBERIA PVC CONDUIT DE 2"</t>
  </si>
  <si>
    <t>TUB-1 1/2</t>
  </si>
  <si>
    <t>TUBERIA PVC CONDUIT DE 1 1/2"</t>
  </si>
  <si>
    <t>TUB-1COND</t>
  </si>
  <si>
    <t>TUBERIA PVC CONDUIT DE 1"</t>
  </si>
  <si>
    <t>TUB-3</t>
  </si>
  <si>
    <t>TUBERIA PVC CONDUIT DE 3"</t>
  </si>
  <si>
    <t>TUB-4</t>
  </si>
  <si>
    <t>TUBERIA PVC CONDUIT DE 4"</t>
  </si>
  <si>
    <t>TUB-3/4</t>
  </si>
  <si>
    <t>TUBERIA PVC CONDUIT DE 3/4"</t>
  </si>
  <si>
    <t>TUB-1/2</t>
  </si>
  <si>
    <t>TUBERIA PVC CONDUIT DE 1/2"</t>
  </si>
  <si>
    <t>TUBEMT3/4</t>
  </si>
  <si>
    <t>TUBERIA  EMT DE 3/4"</t>
  </si>
  <si>
    <t>TUBCOP1</t>
  </si>
  <si>
    <t>TUBERIA COPEX AMERICANA DE 1"</t>
  </si>
  <si>
    <t>TUB-20</t>
  </si>
  <si>
    <t>TUBO DE PROPILENO 20 mm AMARILLO</t>
  </si>
  <si>
    <t>TUER</t>
  </si>
  <si>
    <t>TUERCA DE OJO ALARGADO</t>
  </si>
  <si>
    <t>UNION4</t>
  </si>
  <si>
    <t>UNION PARA TUBERIA ROSCADA HD DE 4"</t>
  </si>
  <si>
    <t>UNIODRES6</t>
  </si>
  <si>
    <t xml:space="preserve">UNIÓN TIPO DRESSER Ø 6" </t>
  </si>
  <si>
    <t>UNIODRES4</t>
  </si>
  <si>
    <t xml:space="preserve">UNIÓN TIPO DRESSER Ø 4" </t>
  </si>
  <si>
    <t>UNIODRES3</t>
  </si>
  <si>
    <t xml:space="preserve">UNIÓN TIPO DRESSER Ø 3" </t>
  </si>
  <si>
    <t>UNIEMT1/2</t>
  </si>
  <si>
    <t>UNION EMT DE 1/2"</t>
  </si>
  <si>
    <t>UNIEMT3/4</t>
  </si>
  <si>
    <t>UNION EMT DE 3/4"</t>
  </si>
  <si>
    <t>VALRET3EB</t>
  </si>
  <si>
    <t xml:space="preserve">VÁLVULA DE RETENCIÓN (CHEQUE) Ø 3" EXTREMO BRIDA CON CONTRAPESO </t>
  </si>
  <si>
    <t>VALRET4EB</t>
  </si>
  <si>
    <t xml:space="preserve">VÁLVULA DE RETENCIÓN (CHEQUE) Ø 4" EXTREMO BRIDA CON CONTRAPESO </t>
  </si>
  <si>
    <t>VALRET4RS</t>
  </si>
  <si>
    <t>VALVULA DE RETENCIÓN (CHEQUE) DE 4" ROSCADA TIPO VERTICAL EN BRONCE</t>
  </si>
  <si>
    <t>VALCEL3EB</t>
  </si>
  <si>
    <t xml:space="preserve">VÁLVULA DE COMPUERTA ELASTICA VASTAGO  ASCENDENTE Ø 3" EXTREMO BRIDA </t>
  </si>
  <si>
    <t>VALCEL4EB</t>
  </si>
  <si>
    <t xml:space="preserve">VÁLVULA DE COMPUERTA ELASTICA VASTAGO  ASCENDENTE Ø 4" EXTREMO BRIDA </t>
  </si>
  <si>
    <t>VALCEL6EB</t>
  </si>
  <si>
    <t>VÁLVULA DE COMPUERTA ELASTICA VASTAGO  ASCENDENTE Ø 6" EXTREMO BRIDA</t>
  </si>
  <si>
    <t>VÁLVULA DE COMPUERTA ELASTICA VASTAGO  ASCENDENTE Ø 3" EXTREMO BRIDA</t>
  </si>
  <si>
    <t>VALGUA</t>
  </si>
  <si>
    <t>VALVULA DE GUARDA DE BOLA DE 1/4" Y NIPLE  DE 10 cm</t>
  </si>
  <si>
    <t>VAR-5/8</t>
  </si>
  <si>
    <t>VARILLA COOPER WELD DE 5/8" X 2,4 m EPM</t>
  </si>
  <si>
    <t>VAR-1,8</t>
  </si>
  <si>
    <t>VARILLA DE ANCLAJE DE 1,8 m</t>
  </si>
  <si>
    <t>RA7-036-1</t>
  </si>
  <si>
    <t>VARILLA DE ANCLAJE DE 1,5 m</t>
  </si>
  <si>
    <t>VARIADOR FC75</t>
  </si>
  <si>
    <t>Variador de velocidad Danfos o similar VLT AQUA DRIVE FC10, 440 VOL, para motor de 70-75 Hp, 3600 rpm, debe incluir funciones de reloj tiempo real, controlador de cascada de bombas, puerto USB, Display grafico</t>
  </si>
  <si>
    <t>VARIADOR FC75-1800</t>
  </si>
  <si>
    <t>Variador de velocidad Danfos o similar VLT AQUA DRIVE FC10, 440 VOL, para motor de 70-75 Hp, 1800 rpm, debe incluir funciones de reloj tiempo real, controlador de cascada de bombas, puerto USB, Display grafico</t>
  </si>
  <si>
    <t>VARIADOR FC202</t>
  </si>
  <si>
    <t>Variador de velocidad Danfos o similar VLT AQUA DRIVE FC202, 440 VOL, para motor de 50-60 Hp, 1750 rpm, debe incluir funciones de reloj tiempo real, controlador de cascada de bombas, puerto USB, Display grafico</t>
  </si>
  <si>
    <t>VARIADOR FC50</t>
  </si>
  <si>
    <t>Variador de velocidad Danfos o similar VLT AQUA DRIVE FC10, 220 VOL, para motor de 40-50 Hp, 1800 rpm, debe incluir funciones de reloj tiempo real, controlador de cascada de bombas, puerto USB, Display grafico</t>
  </si>
  <si>
    <t>VARIADOR FC80/220</t>
  </si>
  <si>
    <t>Variador de velocidad Danfos o similar VLT AQUA DRIVE FC10, 220 VOL, para motor de 70 - 80 Hp, 3450 rpm, debe incluir funciones de reloj tiempo real, controlador de cascada de bombas, puerto USB, Display grafico</t>
  </si>
  <si>
    <t>VARIADOR FC203</t>
  </si>
  <si>
    <t>Variador de velocidad Danfos o similar VLT AQUA DRIVE FC202, 440 VOL, para motor de 100 - 150 Hp, 1750 rpm, debe incluir funciones de reloj tiempo real, controlador de cascada de bombas, puerto USB, Display grafico</t>
  </si>
  <si>
    <t>VARIADOR FC125</t>
  </si>
  <si>
    <t>Variador de velocidad Danfos o similar VLT AQUA DRIVE FC125, 440 VOL, para motor de 100 - 125 Hp, 1750 rpm, debe incluir funciones de reloj tiempo real, controlador de cascada de bombas, puerto USB, Display grafico</t>
  </si>
  <si>
    <t>VARIADOR FC250</t>
  </si>
  <si>
    <t>Variador de velocidad Danfos o similar VLT AQUA DRIVE FC202, 440 VOL, para motor de 200 - 250 Hp, 1750 rpm, debe incluir funciones de reloj tiempo real, controlador de cascada de bombas, puerto USB, Display grafico</t>
  </si>
  <si>
    <t>VARIADOR FC200</t>
  </si>
  <si>
    <t>Variador de velocidad Danfos o similar VLT AQUA DRIVE FC202, 440 VOL, para motor de  150 Hp, 1750 rpm, debe incluir funciones de reloj tiempo real, controlador de cascada de bombas, puerto USB, Display grafico</t>
  </si>
  <si>
    <t>VARIADOR FC25</t>
  </si>
  <si>
    <t>Variador de velocidad Danfos o similar VLT AQUA DRIVE FC10, 220 VOL, para motor de 25 Hp, 1800 rpm, debe incluir funciones de reloj tiempo real, controlador de cascada de bombas, puerto USB, Display grafico</t>
  </si>
  <si>
    <t>VARIADOR FC10-15</t>
  </si>
  <si>
    <t>Variador de velocidad Danfos o similar VLT AQUA DRIVE FC10, 220 VOL, para motor de 15 Hp, 3450 rpm, debe incluir funciones de reloj tiempo real, controlador de cascada de bombas, puerto USB, Display grafico</t>
  </si>
  <si>
    <t>VARIADOR FC12-18</t>
  </si>
  <si>
    <t>Variador de velocidad Danfos o similar VLT AQUA DRIVE FC10, 220 VOL, para motor de 15 Hp, 1800 rpm, debe incluir funciones de reloj tiempo real, controlador de cascada de bombas, puerto USB, Display grafico</t>
  </si>
  <si>
    <t>VARIADOR FC10/220</t>
  </si>
  <si>
    <t>Variador de velocidad Danfos o similar VLT AQUA DRIVE FC10, 220 VOL, para motor de 10 Hp, 3450 rpm, debe incluir funciones de reloj tiempo real, controlador de cascada de bombas, puerto USB, Display grafico</t>
  </si>
  <si>
    <t>VARIADOR FC5-10</t>
  </si>
  <si>
    <t>Variador de velocidad Danfos o similar VLT AQUA DRIVE FC10, 220 VOL, para motor de 5-10 Hp, 1800 rpm, debe incluir funciones de reloj tiempo real, controlador de cascada de bombas, puerto USB, Display grafico</t>
  </si>
  <si>
    <t>VARIADOR FC10</t>
  </si>
  <si>
    <t>Variador de velocidad Danfos o similar VLT AQUA DRIVE FC10, 220 VOL, para motor de  10 Hp, 1750 rpm, debe incluir funciones de reloj tiempo real, controlador de cascada de bombas, puerto USB, Display grafico</t>
  </si>
  <si>
    <t>VARIADOR FC3-5</t>
  </si>
  <si>
    <t>Variador de velocidad Danfos o similar VLT AQUA DRIVE FC10, 220 VOL, para motor de 3-5 Hp, 1800 rpm, debe incluir funciones de reloj tiempo real, controlador de cascada de bombas, puerto USB, Display grafico</t>
  </si>
  <si>
    <t>VARIADOR FC3-5-36</t>
  </si>
  <si>
    <t>Variador de velocidad Danfos o similar VLT AQUA DRIVE FC10, 220 VOL, para motor de 3-5 Hp, 3600 rpm, debe incluir funciones de reloj tiempo real, controlador de cascada de bombas, puerto USB, Display grafico</t>
  </si>
  <si>
    <t>VOLT</t>
  </si>
  <si>
    <t>VOLTIMETRO DE 0- 600 VOL, MARCO 96 mm</t>
  </si>
  <si>
    <t>YEEHD6EB</t>
  </si>
  <si>
    <t>YEE HD 6" x 4" EXTREMO BRIDA (INCLUYE EMPAQUE Y TORNILLOS)</t>
  </si>
  <si>
    <t>YEEHD4EB</t>
  </si>
  <si>
    <t>YEE HD 4" x 4" EXTREMO BRIDA (INCLUYE EMPAQUE Y TORNILLOS)</t>
  </si>
  <si>
    <t>YEEHD3EB</t>
  </si>
  <si>
    <t>YEE HD 3" x 3" EXTREMO BRIDA (INCLUYE EMPAQUE Y TORNILLOS)</t>
  </si>
  <si>
    <t>HERMEN</t>
  </si>
  <si>
    <t>RELE-6-220</t>
  </si>
  <si>
    <t xml:space="preserve">Relé corrector 6 salidas 220 vac </t>
  </si>
  <si>
    <t>RELE-12-220</t>
  </si>
  <si>
    <t>Relé corrector 12 salidas 220 vac</t>
  </si>
  <si>
    <t>RELE-6-440</t>
  </si>
  <si>
    <t>Relé corrector 6 salidas 440 vac</t>
  </si>
  <si>
    <t>RELE-12-440</t>
  </si>
  <si>
    <t>Relé corrector 12 salidas 440 vac</t>
  </si>
  <si>
    <t>NM1-100S-16</t>
  </si>
  <si>
    <r>
      <t>Interruptores automáticos tripulares industriales</t>
    </r>
    <r>
      <rPr>
        <i/>
        <sz val="10"/>
        <rFont val="Arial"/>
        <family val="2"/>
      </rPr>
      <t xml:space="preserve"> </t>
    </r>
    <r>
      <rPr>
        <sz val="10"/>
        <rFont val="Arial"/>
        <family val="2"/>
      </rPr>
      <t>Amperaje 16 capacidad de ruptura Icu (KA) 220V. 42 Capacidad de ruptura Icu (KA) 440V. 20</t>
    </r>
  </si>
  <si>
    <t>NM1-100S-20</t>
  </si>
  <si>
    <r>
      <t>Interruptores automáticos tripulares industriales</t>
    </r>
    <r>
      <rPr>
        <i/>
        <sz val="10"/>
        <rFont val="Arial"/>
        <family val="2"/>
      </rPr>
      <t xml:space="preserve"> </t>
    </r>
    <r>
      <rPr>
        <sz val="10"/>
        <rFont val="Arial"/>
        <family val="2"/>
      </rPr>
      <t>Amperaje 20 capacidad de ruptura Icu (KA) 220V. 42 Capacidad de ruptura Icu (KA) 440V. 20</t>
    </r>
  </si>
  <si>
    <t>NM1-100S-32</t>
  </si>
  <si>
    <r>
      <t>Interruptores automáticos tripulares industriales</t>
    </r>
    <r>
      <rPr>
        <i/>
        <sz val="10"/>
        <rFont val="Arial"/>
        <family val="2"/>
      </rPr>
      <t xml:space="preserve"> </t>
    </r>
    <r>
      <rPr>
        <sz val="10"/>
        <rFont val="Arial"/>
        <family val="2"/>
      </rPr>
      <t>Amperaje 32 capacidad de ruptura Icu (KA) 220V. 42 Capacidad de ruptura Icu (KA) 440V. 20</t>
    </r>
  </si>
  <si>
    <t>NM1-100S-40</t>
  </si>
  <si>
    <r>
      <t>Interruptores automáticos tripulares industriales</t>
    </r>
    <r>
      <rPr>
        <i/>
        <sz val="10"/>
        <rFont val="Arial"/>
        <family val="2"/>
      </rPr>
      <t xml:space="preserve"> </t>
    </r>
    <r>
      <rPr>
        <sz val="10"/>
        <rFont val="Arial"/>
        <family val="2"/>
      </rPr>
      <t>Amperaje 40capacidad de ruptura Icu (KA) 220V. 42 Capacidad de ruptura Icu (KA) 440V. 20</t>
    </r>
  </si>
  <si>
    <t>NM1-100S-50</t>
  </si>
  <si>
    <r>
      <t>Interruptores automáticos tripulares industriales</t>
    </r>
    <r>
      <rPr>
        <i/>
        <sz val="10"/>
        <rFont val="Arial"/>
        <family val="2"/>
      </rPr>
      <t xml:space="preserve"> </t>
    </r>
    <r>
      <rPr>
        <sz val="10"/>
        <rFont val="Arial"/>
        <family val="2"/>
      </rPr>
      <t>Amperaje 50capacidad de ruptura Icu (KA) 220V. 42 Capacidad de ruptura Icu (KA) 440V. 20</t>
    </r>
  </si>
  <si>
    <t>NM1-100S-63</t>
  </si>
  <si>
    <r>
      <t>Interruptores automáticos tripulares industriales</t>
    </r>
    <r>
      <rPr>
        <i/>
        <sz val="10"/>
        <rFont val="Arial"/>
        <family val="2"/>
      </rPr>
      <t xml:space="preserve"> </t>
    </r>
    <r>
      <rPr>
        <sz val="10"/>
        <rFont val="Arial"/>
        <family val="2"/>
      </rPr>
      <t>Amperaje 63 capacidad de ruptura Icu (KA) 220V. 42 Capacidad de ruptura Icu (KA) 440V. 20</t>
    </r>
  </si>
  <si>
    <t>NM1-100S-80</t>
  </si>
  <si>
    <r>
      <t>Interruptores automáticos tripulares industriales</t>
    </r>
    <r>
      <rPr>
        <i/>
        <sz val="10"/>
        <rFont val="Arial"/>
        <family val="2"/>
      </rPr>
      <t xml:space="preserve"> </t>
    </r>
    <r>
      <rPr>
        <sz val="10"/>
        <rFont val="Arial"/>
        <family val="2"/>
      </rPr>
      <t>Amperaje 80 capacidad de ruptura Icu (KA) 220V. 42 Capacidad de ruptura Icu (KA) 440V. 20</t>
    </r>
  </si>
  <si>
    <t>NM1-100S-100</t>
  </si>
  <si>
    <r>
      <t>Interruptores automáticos tripolares industriales</t>
    </r>
    <r>
      <rPr>
        <i/>
        <sz val="10"/>
        <rFont val="Arial"/>
        <family val="2"/>
      </rPr>
      <t xml:space="preserve"> </t>
    </r>
    <r>
      <rPr>
        <sz val="10"/>
        <rFont val="Arial"/>
        <family val="2"/>
      </rPr>
      <t>Amperaje 100 capacidad de ruptura Icu (KA) 220V. 42 Capacidad de ruptura Icu (KA) 440V. 20</t>
    </r>
  </si>
  <si>
    <t>NM1-225S-125</t>
  </si>
  <si>
    <r>
      <t>Interruptores automáticos tripulares industriales</t>
    </r>
    <r>
      <rPr>
        <i/>
        <sz val="10"/>
        <rFont val="Arial"/>
        <family val="2"/>
      </rPr>
      <t xml:space="preserve"> </t>
    </r>
    <r>
      <rPr>
        <sz val="10"/>
        <rFont val="Arial"/>
        <family val="2"/>
      </rPr>
      <t>Amperaje 125 capacidad de ruptura Icu (KA) 220V. 42 Capacidad de ruptura Icu (KA) 440V. 20</t>
    </r>
  </si>
  <si>
    <t>NM1-225S-160</t>
  </si>
  <si>
    <r>
      <t>Interruptores automáticos tripulares industriales</t>
    </r>
    <r>
      <rPr>
        <i/>
        <sz val="10"/>
        <rFont val="Arial"/>
        <family val="2"/>
      </rPr>
      <t xml:space="preserve"> </t>
    </r>
    <r>
      <rPr>
        <sz val="10"/>
        <rFont val="Arial"/>
        <family val="2"/>
      </rPr>
      <t>Amperaje 160 capacidad de ruptura Icu (KA) 220V. 42 Capacidad de ruptura Icu (KA) 440V. 20</t>
    </r>
  </si>
  <si>
    <t>NM1-225S-180</t>
  </si>
  <si>
    <r>
      <t>Interruptores automáticos tripulares industriales</t>
    </r>
    <r>
      <rPr>
        <i/>
        <sz val="10"/>
        <rFont val="Arial"/>
        <family val="2"/>
      </rPr>
      <t xml:space="preserve"> </t>
    </r>
    <r>
      <rPr>
        <sz val="10"/>
        <rFont val="Arial"/>
        <family val="2"/>
      </rPr>
      <t>Amperaje 180 capacidad de ruptura Icu (KA) 220V. 42 Capacidad de ruptura Icu (KA) 440V. 20</t>
    </r>
  </si>
  <si>
    <t>NM1-225S-200</t>
  </si>
  <si>
    <r>
      <t>Interruptores automáticos tripulares industriales</t>
    </r>
    <r>
      <rPr>
        <i/>
        <sz val="10"/>
        <rFont val="Arial"/>
        <family val="2"/>
      </rPr>
      <t xml:space="preserve"> </t>
    </r>
    <r>
      <rPr>
        <sz val="10"/>
        <rFont val="Arial"/>
        <family val="2"/>
      </rPr>
      <t>Amperaje 200 capacidad de ruptura Icu (KA) 220V. 42 Capacidad de ruptura Icu (KA) 440V. 20</t>
    </r>
  </si>
  <si>
    <t>NM1-225S-225</t>
  </si>
  <si>
    <r>
      <t>Interruptores automáticos tripulares industriales</t>
    </r>
    <r>
      <rPr>
        <i/>
        <sz val="10"/>
        <rFont val="Arial"/>
        <family val="2"/>
      </rPr>
      <t xml:space="preserve"> </t>
    </r>
    <r>
      <rPr>
        <sz val="10"/>
        <rFont val="Arial"/>
        <family val="2"/>
      </rPr>
      <t>Amperaje 225 capacidad de ruptura Icu (KA) 220V. 42 Capacidad de ruptura Icu (KA) 440V. 20</t>
    </r>
  </si>
  <si>
    <t>NM1-225H-250</t>
  </si>
  <si>
    <r>
      <t>Interruptores automáticos tripulares industriales</t>
    </r>
    <r>
      <rPr>
        <i/>
        <sz val="10"/>
        <rFont val="Arial"/>
        <family val="2"/>
      </rPr>
      <t xml:space="preserve"> </t>
    </r>
    <r>
      <rPr>
        <sz val="10"/>
        <rFont val="Arial"/>
        <family val="2"/>
      </rPr>
      <t>Amperaje 250 capacidad de ruptura Icu (KA) 220V. 65 Capacidad de ruptura Icu (KA) 440V. 50</t>
    </r>
  </si>
  <si>
    <t>NM1-400S-250</t>
  </si>
  <si>
    <r>
      <t>Interruptores automáticos tripulares industriales</t>
    </r>
    <r>
      <rPr>
        <i/>
        <sz val="10"/>
        <rFont val="Arial"/>
        <family val="2"/>
      </rPr>
      <t xml:space="preserve"> </t>
    </r>
    <r>
      <rPr>
        <sz val="10"/>
        <rFont val="Arial"/>
        <family val="2"/>
      </rPr>
      <t>Amperaje 250 capacidad de ruptura Icu (KA) 220V. 50 Capacidad de ruptura Icu (KA) 440V. 30</t>
    </r>
  </si>
  <si>
    <t>NM1-400S-315</t>
  </si>
  <si>
    <r>
      <t>Interruptores automáticos tripulares industriales</t>
    </r>
    <r>
      <rPr>
        <i/>
        <sz val="10"/>
        <rFont val="Arial"/>
        <family val="2"/>
      </rPr>
      <t xml:space="preserve"> </t>
    </r>
    <r>
      <rPr>
        <sz val="10"/>
        <rFont val="Arial"/>
        <family val="2"/>
      </rPr>
      <t>Amperaje 315 capacidad de ruptura Icu (KA) 220V. 50 Capacidad de ruptura Icu (KA) 440V. 30</t>
    </r>
  </si>
  <si>
    <t>NM1-400S-350</t>
  </si>
  <si>
    <r>
      <t>Interruptores automáticos tripulares industriales</t>
    </r>
    <r>
      <rPr>
        <i/>
        <sz val="10"/>
        <rFont val="Arial"/>
        <family val="2"/>
      </rPr>
      <t xml:space="preserve"> </t>
    </r>
    <r>
      <rPr>
        <sz val="10"/>
        <rFont val="Arial"/>
        <family val="2"/>
      </rPr>
      <t>Amperaje 350 capacidad de ruptura Icu (KA) 220V. 50 Capacidad de ruptura Icu (KA) 440V. 30</t>
    </r>
  </si>
  <si>
    <t>NM1-400S-400</t>
  </si>
  <si>
    <r>
      <t>Interruptores automáticos tripulares industriales</t>
    </r>
    <r>
      <rPr>
        <i/>
        <sz val="10"/>
        <rFont val="Arial"/>
        <family val="2"/>
      </rPr>
      <t xml:space="preserve"> </t>
    </r>
    <r>
      <rPr>
        <sz val="10"/>
        <rFont val="Arial"/>
        <family val="2"/>
      </rPr>
      <t>Amperaje 400 capacidad de ruptura Icu (KA) 220V. 50 Capacidad de ruptura Icu (KA) 440V. 30</t>
    </r>
  </si>
  <si>
    <t>NM1-630H-500</t>
  </si>
  <si>
    <r>
      <t>Interruptores automáticos tripulares industriales</t>
    </r>
    <r>
      <rPr>
        <i/>
        <sz val="10"/>
        <rFont val="Arial"/>
        <family val="2"/>
      </rPr>
      <t xml:space="preserve"> </t>
    </r>
    <r>
      <rPr>
        <sz val="10"/>
        <rFont val="Arial"/>
        <family val="2"/>
      </rPr>
      <t>Amperaje 500 capacidad de ruptura Icu (KA) 220V. 85 Capacidad de ruptura Icu (KA) 440V. 42</t>
    </r>
  </si>
  <si>
    <t>NM1-630H-630</t>
  </si>
  <si>
    <r>
      <t>Interruptores automáticos tripulares industriales</t>
    </r>
    <r>
      <rPr>
        <i/>
        <sz val="10"/>
        <rFont val="Arial"/>
        <family val="2"/>
      </rPr>
      <t xml:space="preserve"> </t>
    </r>
    <r>
      <rPr>
        <sz val="10"/>
        <rFont val="Arial"/>
        <family val="2"/>
      </rPr>
      <t>Amperaje 630 capacidad de ruptura Icu (KA) 220V. 85 Capacidad de ruptura Icu (KA) 440V. 42</t>
    </r>
  </si>
  <si>
    <t>NM1-800H-700</t>
  </si>
  <si>
    <r>
      <t>Interruptores automáticos tripulares industriales</t>
    </r>
    <r>
      <rPr>
        <i/>
        <sz val="10"/>
        <rFont val="Arial"/>
        <family val="2"/>
      </rPr>
      <t xml:space="preserve"> </t>
    </r>
    <r>
      <rPr>
        <sz val="10"/>
        <rFont val="Arial"/>
        <family val="2"/>
      </rPr>
      <t>Amperaje 700 capacidad de ruptura Icu (KA) 220V. 85 Capacidad de ruptura Icu (KA) 440V. 55</t>
    </r>
  </si>
  <si>
    <t>NM1-800H-800</t>
  </si>
  <si>
    <r>
      <t>Interruptores automáticos tripulares industriales</t>
    </r>
    <r>
      <rPr>
        <i/>
        <sz val="10"/>
        <rFont val="Arial"/>
        <family val="2"/>
      </rPr>
      <t xml:space="preserve"> </t>
    </r>
    <r>
      <rPr>
        <sz val="10"/>
        <rFont val="Arial"/>
        <family val="2"/>
      </rPr>
      <t>Amperaje 800 capacidad de ruptura Icu (KA) 220V. 85 Capacidad de ruptura Icu (KA) 440V. 55</t>
    </r>
  </si>
  <si>
    <t>NM1-1250H-1000</t>
  </si>
  <si>
    <r>
      <t>Interruptores automáticos tripulares industriales</t>
    </r>
    <r>
      <rPr>
        <i/>
        <sz val="10"/>
        <rFont val="Arial"/>
        <family val="2"/>
      </rPr>
      <t xml:space="preserve"> </t>
    </r>
    <r>
      <rPr>
        <sz val="10"/>
        <rFont val="Arial"/>
        <family val="2"/>
      </rPr>
      <t>Amperaje 1000 capacidad de ruptura Icu (KA) 220V. 85 Capacidad de ruptura Icu (KA) 440V. 55</t>
    </r>
  </si>
  <si>
    <t>NM1-1250H-1250</t>
  </si>
  <si>
    <r>
      <t>Interruptores automáticos tripulares industriales</t>
    </r>
    <r>
      <rPr>
        <i/>
        <sz val="10"/>
        <rFont val="Arial"/>
        <family val="2"/>
      </rPr>
      <t xml:space="preserve"> </t>
    </r>
    <r>
      <rPr>
        <sz val="10"/>
        <rFont val="Arial"/>
        <family val="2"/>
      </rPr>
      <t>Amperaje 1250 capacidad de ruptura Icu (KA) 220V. 85 Capacidad de ruptura Icu (KA) 440V. 55</t>
    </r>
  </si>
  <si>
    <t>NM8-125S-100</t>
  </si>
  <si>
    <t xml:space="preserve">Interruptores automáticos regulables  Con certificación RETIE Rango de regulación en Amp. 80A 100 capacidad de rupturaIcu (KA) 220V 85, 440 V 50 </t>
  </si>
  <si>
    <t>NM8-250S-100</t>
  </si>
  <si>
    <t>Interruptores automáticos regulables  Con certificación RETIE Rango de regulación en Amp. 128 A 160 capacidad de rupturaIcu (KA) 220V 85, 440 V 50</t>
  </si>
  <si>
    <t>NM8-250S-160</t>
  </si>
  <si>
    <t>Interruptores automáticos regulables  Con certificación RETIE Rango de regulación en Amp. 80 A 100 capacidad de rupturaIcu (KA) 220V 85, 440 V 50</t>
  </si>
  <si>
    <t>NM8-250S-200</t>
  </si>
  <si>
    <t>Interruptores automáticos regulables  Con certificación RETIE Rango de regulación en Amp. 160 A 200 capacidad de rupturaIcu (KA) 220V 85, 440 V 50</t>
  </si>
  <si>
    <t>NM8-250S-250</t>
  </si>
  <si>
    <t>Interruptores automáticos regulables  Con certificación RETIE Rango de regulación en Amp. 200 A 250 capacidad de rupturaIcu (KA) 220V 85, 440 V 50</t>
  </si>
  <si>
    <t>NM8-400S-315</t>
  </si>
  <si>
    <t>Interruptores automáticos regulables  Con certificación RETIE Rango de regulación en Amp. 250 A 315 capacidad de rupturaIcu (KA) 220V 85, 440 V 50</t>
  </si>
  <si>
    <t>NM8-400S-400</t>
  </si>
  <si>
    <t>Interruptores automáticos regulables  Con certificación RETIE Rango de regulación en Amp. 320 A 400 capacidad de rupturaIcu (KA) 220V 85, 440 V 50</t>
  </si>
  <si>
    <t>NM8-630S-400</t>
  </si>
  <si>
    <t>NM8-630S-500</t>
  </si>
  <si>
    <t>Interruptores automáticos regulables  Con certificación RETIE Rango de regulación en Amp. 400 A 500 capacidad de rupturaIcu (KA) 220V 85, 440 V 50</t>
  </si>
  <si>
    <t>NM8-630S-630</t>
  </si>
  <si>
    <t>Interruptores automáticos regulables  Con certificación RETIE Rango de regulación en Amp. 500 A 630 capacidad de rupturaIcu (KA) 220V 85, 440 V 50</t>
  </si>
  <si>
    <t>NM8-800S-800</t>
  </si>
  <si>
    <t>Interruptores automáticos regulables  Con certificación RETIE Rango de regulación en Amp. 640 A 800  capacidad de rupturaIcu (KA) 220V 65, 440 V 35</t>
  </si>
  <si>
    <t>NM8-1250S-1250</t>
  </si>
  <si>
    <t>Interruptores automáticos regulables  Con certificación RETIE Rango de regulación en Amp. 1000 A 1250 capacidad de rupturaIcu (KA) 220V 65, 440 V 35</t>
  </si>
  <si>
    <t>AUXB-225S</t>
  </si>
  <si>
    <t>Accesorios para interruptores automáticos NM1 Contactos aux.para NM1-225S</t>
  </si>
  <si>
    <t>AUXB-400S</t>
  </si>
  <si>
    <t>Accesorios para interruptores automáticos NM1 Contactos aux.para NM1-400S</t>
  </si>
  <si>
    <t>AUXB-630H</t>
  </si>
  <si>
    <t>Accesorios para interruptores automáticos NM1 Contactos aux.para NM1-630H</t>
  </si>
  <si>
    <t>AUXB-800H</t>
  </si>
  <si>
    <t>Accesorios para interruptores automáticos NM1 Contactos aux.para NM1-800H</t>
  </si>
  <si>
    <t>AUXB-1250H</t>
  </si>
  <si>
    <t>Accesorios para interruptores automáticos NM1 Contactos aux.para NM1-1250H</t>
  </si>
  <si>
    <t>BOBD-225S</t>
  </si>
  <si>
    <t>Accesorios para interruptores automáticos NM1 Bobina de disparo para NM1-225S</t>
  </si>
  <si>
    <t>BOBD-400S</t>
  </si>
  <si>
    <t>Accesorios para interruptores automáticos NM1 Bobina de disparo para NM1-400S</t>
  </si>
  <si>
    <t>BOBD-630H</t>
  </si>
  <si>
    <t>Accesorios para interruptores automáticos NM1 Bobina de disparo para NM1-630H</t>
  </si>
  <si>
    <t>BOBD-800H</t>
  </si>
  <si>
    <t>Accesorios para interruptores automáticos NM1 Bobina de disparo para NM1-800H</t>
  </si>
  <si>
    <t>BOBD-1250H</t>
  </si>
  <si>
    <t>Accesorios para interruptores automáticos NM1 Bobina de disparo para NM1-1250H</t>
  </si>
  <si>
    <t>ROT.HDLE100S</t>
  </si>
  <si>
    <t>Accesorios para interruptores automáticos NM1 Mando rotativo para NM1-100S</t>
  </si>
  <si>
    <t>ROT.HDLE 225S</t>
  </si>
  <si>
    <t>Accesorios para interruptores automáticos NM1 Mando rotativo para NM1-225S</t>
  </si>
  <si>
    <t>ROT.HDLE 400S</t>
  </si>
  <si>
    <t>Accesorios para interruptores automáticos NM1 Mando rotativo para NM1-400S</t>
  </si>
  <si>
    <t>NA1-2000.400</t>
  </si>
  <si>
    <t>Interruptores automáticos de potencia tipo abierto fijos o extraíbles y accesorios. Amperaje 252-630, capacidad de ruptura Icu (KA) 400 VAC 80, capacidad de ruptura Icu (KA) 690 VAC 50</t>
  </si>
  <si>
    <t>NA1-2000.630</t>
  </si>
  <si>
    <t>Interruptores automáticos de potencia tipo abierto fijos o extraíbles y accesorios. Amperaje160-400, capacidad de ruptura Icu (KA) 400 VAC 80, capacidad de ruptura Icu (KA) 690 VAC 50</t>
  </si>
  <si>
    <t>NA1-2000.800</t>
  </si>
  <si>
    <t>Interruptores automáticos de potencia tipo abierto fijos o extraíbles y accesorios. Amperaje 320-800, capacidad de ruptura Icu (KA) 400 VAC 80, capacidad de ruptura Icu (KA) 690 VAC 50</t>
  </si>
  <si>
    <t>NA1-2000.1000</t>
  </si>
  <si>
    <t>Interruptores automáticos de potencia tipo abierto fijos o extraíbles y accesorios. Amperaje 400-1000, capacidad de ruptura Icu (KA) 400 VAC 80, capacidad de ruptura Icu (KA) 690 VAC 50</t>
  </si>
  <si>
    <t>NA1-2000.1250</t>
  </si>
  <si>
    <t>Interruptores automáticos de potencia tipo abierto fijos o extraíbles y accesorios. Amperaje 500-1250, capacidad de ruptura Icu (KA) 400 VAC 80, capacidad de ruptura Icu (KA) 690 VAC 50</t>
  </si>
  <si>
    <t>NA1-2000.1600</t>
  </si>
  <si>
    <t>Interruptores automáticos de potencia tipo abierto fijos o extraíbles y accesorios. Amperaje 640-1600, capacidad de ruptura Icu (KA) 400 VAC 80, capacidad de ruptura Icu (KA) 690 VAC 50</t>
  </si>
  <si>
    <t>NA1-2000.2000</t>
  </si>
  <si>
    <t>Interruptores automáticos de potencia tipo abierto fijos o extraíbles y accesorios. Amperaje 800-2000, capacidad de ruptura Icu (KA) 400 VAC 80, capacidad de ruptura Icu (KA) 690 VAC 50</t>
  </si>
  <si>
    <t xml:space="preserve">NA1-2000.2000 </t>
  </si>
  <si>
    <t>NA1-3200.2500</t>
  </si>
  <si>
    <t>Interruptores automáticos de potencia tipo abierto fijos o extraíbles y accesorios. Amperaje 1000-2500, capacidad de ruptura Icu (KA) 400 VAC 100, capacidad de ruptura Icu (KA) 690 VAC 65</t>
  </si>
  <si>
    <t xml:space="preserve">NA1-3200.2500 </t>
  </si>
  <si>
    <t>NA1-3200.3200</t>
  </si>
  <si>
    <t>Interruptores automáticos de potencia tipo abierto fijos o extraíbles y accesorios. Amperaje 1280-3200, capacidad de ruptura Icu (KA) 400 VAC 100, capacidad de ruptura Icu (KA) 690 VAC 65</t>
  </si>
  <si>
    <t>Interruptores automáticos de potencia tipo abierto fijos o extraíbles y accesorios. Amperaje 1280-3201, capacidad de ruptura Icu (KA) 400 VAC 100, capacidad de ruptura Icu (KA) 690 VAC 65</t>
  </si>
  <si>
    <t>NA1-4000.4000</t>
  </si>
  <si>
    <t>Interruptores automáticos de potencia tipo abierto fijos o extraíbles y accesorios. Amperaje 1600-4000, capacidad de ruptura Icu (KA) 400 VAC 100, capacidad de ruptura Icu (KA) 690 VAC 65</t>
  </si>
  <si>
    <t>NA1-6300.5000</t>
  </si>
  <si>
    <t>Interruptores automáticos de potencia tipo abierto fijos o extraíbles y accesorios. Amperaje 2000-5000, capacidad de ruptura Icu (KA) 400 VAC 120, capacidad de ruptura Icu (KA) 690 VAC 85</t>
  </si>
  <si>
    <t>NA1-6300.6300</t>
  </si>
  <si>
    <t>Interruptores automáticos de potencia tipo abierto fijos o extraíbles y accesorios. Amperaje 2520-6300, capacidad de ruptura Icu (KA) 400 VAC 120, capacidad de ruptura Icu (KA) 690 VAC 85</t>
  </si>
  <si>
    <t>Interruptores automáticos de potencia tipo abierto fijos o extraíbles y accesorios Enclavamiento Mec</t>
  </si>
  <si>
    <t>NC1-09.10</t>
  </si>
  <si>
    <t xml:space="preserve">CONTACTORES TRIPOLARES SERIE NC1 HP 220V 3, HP 440V 5,5 Amp AC3  9, Amp AC1 20, Contactos Auxiliares 1NA </t>
  </si>
  <si>
    <t>NC1-09.01</t>
  </si>
  <si>
    <t>CONTACTORES TRIPOLARES SERIE NC1 HP 220V 3, HP 440V 5,5 Amp AC3  9, Amp AC1 20, Contactos Auxiliares 1NC</t>
  </si>
  <si>
    <t>NC1-12.10</t>
  </si>
  <si>
    <t>CONTACTORES TRIPOLARES SERIE NC1 HP 220V 4, HP 440V 7,5 Amp AC3  12, Amp AC1 20, Contactos Auxiliares 1NA</t>
  </si>
  <si>
    <t>NC1-12.01</t>
  </si>
  <si>
    <t>CONTACTORES TRIPOLARES SERIE NC1 HP 220V 4, HP 440V 7,5 Amp AC3  12, Amp AC1 20, Contactos Auxiliares 1NC</t>
  </si>
  <si>
    <t>NC1-18.10</t>
  </si>
  <si>
    <t>CONTACTORES TRIPOLARES SERIE NC1 HP 220V 5,5, HP 440V 12 Amp AC3  18, Amp AC1 32, Contactos Auxiliares 1NA</t>
  </si>
  <si>
    <t>NC1-25.10</t>
  </si>
  <si>
    <t>CONTACTORES TRIPOLARES SERIE NC1 HP 220V 7,5, HP 440V 15 Amp AC3  25, Amp AC1 40, Contactos Auxiliares 1NA</t>
  </si>
  <si>
    <t>NC1-32.10</t>
  </si>
  <si>
    <t>CONTACTORES TRIPOLARES SERIE NC1 HP 220V 10, HP 440V 20 Amp AC3  32, Amp AC1 50, Contactos Auxiliares 1NA</t>
  </si>
  <si>
    <t>NC1-40.11</t>
  </si>
  <si>
    <t>CONTACTORES TRIPOLARES SERIE NC1 HP 220V 15, HP 440V 30 Amp AC3  40, Amp AC1 60, Contactos Auxiliares 1NA+1NC</t>
  </si>
  <si>
    <t>NC1-50.11</t>
  </si>
  <si>
    <t>CONTACTORES TRIPOLARES SERIE NC1 HP 220V 20, HP 440V 40 Amp AC3  50, Amp AC1 80, Contactos Auxiliares 1NA+1NC</t>
  </si>
  <si>
    <t>NC1-65.11</t>
  </si>
  <si>
    <t>CONTACTORES TRIPOLARES SERIE NC1 HP 220V 25, HP 440V 50 Amp AC3  65, Amp AC1 80, Contactos Auxiliares 1NA+1NC</t>
  </si>
  <si>
    <t>NC1-80.11</t>
  </si>
  <si>
    <t>CONTACTORES TRIPOLARES SERIE NC1 HP 220V 30, HP 440V 61 Amp AC3  80, Amp AC1 110, Contactos Auxiliares 1NA+1NC</t>
  </si>
  <si>
    <t>NC1-95.11</t>
  </si>
  <si>
    <t>CONTACTORES TRIPOLARES SERIE NC1 HP 220V 34, HP 440V 68 Amp AC3  95, Amp AC1 110, Contactos Auxiliares 1NA+1NC</t>
  </si>
  <si>
    <t>NC2-115Nc</t>
  </si>
  <si>
    <t>CONTACTORES TRIPOLARES SERIE NC2 HP 220V 40, HP 440V 80 Amp AC3  115, Amp AC1 200</t>
  </si>
  <si>
    <t>NC2-150Nc</t>
  </si>
  <si>
    <t>CONTACTORES TRIPOLARES SERIE NC2 HP 220V 54, HP 440V 108 Amp AC3  150, Amp AC1 200</t>
  </si>
  <si>
    <t>NC2-185Nc</t>
  </si>
  <si>
    <t>CONTACTORES TRIPOLARES SERIE NC2 HP 220V 74.5, HP 440V 135 Amp AC3  185, Amp AC1 275</t>
  </si>
  <si>
    <t>NC2-225Nc</t>
  </si>
  <si>
    <t>CONTACTORES TRIPOLARES SERIE NC2 HP 220V 84, HP 440V 150, Amp AC3  225, Amp AC1 275</t>
  </si>
  <si>
    <t>NC2-265Nc</t>
  </si>
  <si>
    <t>CONTACTORES TRIPOLARES SERIE NC2 HP 220V 102, HP 440V 190, Amp AC3  265, Amp AC1 315</t>
  </si>
  <si>
    <t>NC2-330Nc</t>
  </si>
  <si>
    <t>CONTACTORES TRIPOLARES SERIE NC2 HP 220V 182, HP 440V 243, Amp AC3  330, Amp AC1 380</t>
  </si>
  <si>
    <t>NC2-400Nc</t>
  </si>
  <si>
    <t>CONTACTORES TRIPOLARES SERIE NC2 HP 220V 148, HP 440V 295, Amp AC3  400, Amp AC1 450</t>
  </si>
  <si>
    <t>NC2-500Nc</t>
  </si>
  <si>
    <t>CONTACTORES TRIPOLARES SERIE NC2 HP 220V 184, HP 440V 369, Amp AC3  500, Amp AC1 630</t>
  </si>
  <si>
    <t>NC2-630Nc</t>
  </si>
  <si>
    <t>CONTACTORES TRIPOLARES SERIE NC2 HP 220V 232, HP 440V 465, Amp AC3  630, Amp AC1 800</t>
  </si>
  <si>
    <t>CJ19-25-11</t>
  </si>
  <si>
    <t>CONTACTORES ESPECIALES PARA CONEXIÓN DE CONDENSADORES Kvar a 220/230 Vac 6, Kvar a 380/400 Vac 12, Contactos Auxiliares 1NA+1NC, Amperios Ie a 400Vac17</t>
  </si>
  <si>
    <t>CJ19-32-11</t>
  </si>
  <si>
    <t>CONTACTORES ESPECIALES PARA CONEXIÓN DE CONDENSADORES Kvar a 220/230 Vac 9, Kvar a 380/400 Vac 18, Contactos Auxiliares 1NA+1NC, Amperios Ie a 400Vac 23</t>
  </si>
  <si>
    <t>CJ19-43-11</t>
  </si>
  <si>
    <t>CONTACTORES ESPECIALES PARA CONEXIÓN DE CONDENSADORES Kvar a 220/230 Vac 10, Kvar a 380/400 Vac 20, Contactos Auxiliares 1NA+1NC, Amperios Ie a 400Vac 29</t>
  </si>
  <si>
    <t>CJ19-63-21</t>
  </si>
  <si>
    <t>CONTACTORES ESPECIALES PARA CONEXIÓN DE CONDENSADORES Kvar a 220/230 Vac 15, Kvar a 380/400 Vac 30, Contactos Auxiliares 2NA+1NC, Amperios Ie a 400Vac 43</t>
  </si>
  <si>
    <t>CJ19-95-21</t>
  </si>
  <si>
    <t>CONTACTORES ESPECIALES PARA CONEXIÓN DE CONDENSADORES Kvar a 220/230 Vac 22, Kvar a 380/400 Vac 40, Contactos Auxiliares 2NA+1NC, Amperios Ie a 400Vac 63</t>
  </si>
  <si>
    <t>NR2-25 - 1</t>
  </si>
  <si>
    <t>Relés tripolares de protección térmica Amperaje 0,63 A 1, Para montaje sobre contactor NC1-9 a NC1-32.</t>
  </si>
  <si>
    <t>NR2-25 - 1.6</t>
  </si>
  <si>
    <t>Relés tripolares de protección térmica Amperaje 1 A 1.6, Para montaje sobre contactor NC1-9 a NC1-32.</t>
  </si>
  <si>
    <t>NR2-25 - 2,5</t>
  </si>
  <si>
    <t>Relés tripolares de protección térmica Amperaje 1.6 a 2.5, Para montaje sobre contactor NC1-9 a NC1-32.</t>
  </si>
  <si>
    <t>NR2-25 - 4</t>
  </si>
  <si>
    <t>Relés tripolares de protección térmica Amperaje 2.5 a 4, Para montaje sobre contactor NC1-9 a NC1-32.</t>
  </si>
  <si>
    <t>NR2-25 - 6</t>
  </si>
  <si>
    <t>Relés tripolares de protección térmica Amperaje 4 a 6, Para montaje sobre contactor NC1-9 a NC1-32.</t>
  </si>
  <si>
    <t>NR2-25 - 8</t>
  </si>
  <si>
    <t>Relés tripolares de protección térmica Amperaje 5.5 a 8, Para montaje sobre contactor NC1-9 a NC1-32.</t>
  </si>
  <si>
    <t>NR2-25 -10</t>
  </si>
  <si>
    <t>Relés tripolares de protección térmica Amperaje 7 a 10, Para montaje sobre contactor NC1-9 a NC1-32.</t>
  </si>
  <si>
    <t>NR2-25 -13</t>
  </si>
  <si>
    <t>Relés tripolares de protección térmica Amperaje 9 a 13, Para montaje sobre contactor NC1-9 a NC1-32.</t>
  </si>
  <si>
    <t>NR2-25 -18</t>
  </si>
  <si>
    <t>Relés tripolares de protección térmica Amperaje 12 a 18, Para montaje sobre contactor NC1-12 a NC1-32..</t>
  </si>
  <si>
    <t>NR2-25 -25</t>
  </si>
  <si>
    <t>Relés tripolares de protección térmica Amperaje 17 a 25, Para montaje sobre contactor NC1-18 a NC1-32</t>
  </si>
  <si>
    <t>NR2-36 -32</t>
  </si>
  <si>
    <t>Relés tripolares de protección térmica Amperaje 23 a 32, Para montaje sobre contactor NC1-12 a NC1-32..</t>
  </si>
  <si>
    <t>NR2-36 -36</t>
  </si>
  <si>
    <t>Relés tripolares de protección térmica Amperaje 28 a 36, Para montaje sobre contactor NC1-32.</t>
  </si>
  <si>
    <t>NR2-93 -32</t>
  </si>
  <si>
    <t>Relés tripolares de protección térmica Amperaje 23 a 32, Para montaje sobre contactor NC1-40 a NC1-95.</t>
  </si>
  <si>
    <t>NR2-93 -40</t>
  </si>
  <si>
    <t>Relés tripolares de protección térmica Amperaje 30 a 40, Para montaje sobre contactor NC1-40 a NC1-95.</t>
  </si>
  <si>
    <t>NR2-93 -50</t>
  </si>
  <si>
    <t>Relés tripolares de protección térmica Amperaje 37 a 50, Para montaje sobre contactor NC1-40 a NC1-95.</t>
  </si>
  <si>
    <t>NR2-93 -65</t>
  </si>
  <si>
    <t>Relés tripolares de protección térmica Amperaje 48 a 65, Para montaje sobre contactor NC1-50 a NC1-95</t>
  </si>
  <si>
    <t>NR2-93 -70</t>
  </si>
  <si>
    <t>Relés tripolares de protección térmica Amperaje 55 a 70, Para montaje sobre contactor NC1-65 a NC1-95.</t>
  </si>
  <si>
    <t>NR2-93 -80</t>
  </si>
  <si>
    <t>Relés tripolares de protección térmica Amperaje 63 a 80, Para montaje sobre contactor NC1-65 a NC1-95.</t>
  </si>
  <si>
    <t>NR2-93 -93</t>
  </si>
  <si>
    <t>Relés tripolares de protección térmica Amperaje 80 a 93, Para montaje sobre contactor NC1-80 a NC1-95</t>
  </si>
  <si>
    <t>NR2-200 -125</t>
  </si>
  <si>
    <t>Relés tripolares de protección térmica Amperaje 80 a 125, Para montaje sobre contactor Montaje independiente</t>
  </si>
  <si>
    <t>NR2-200 -160</t>
  </si>
  <si>
    <t>Relés tripolares de protección térmica Amperaje 100 a 160, Para montaje sobre contactor Montaje independiente</t>
  </si>
  <si>
    <t>NR2-200G</t>
  </si>
  <si>
    <t>Relés tripolares de protección térmica Amperaje 125-200, Para montaje sobre contactor Montaje independiente</t>
  </si>
  <si>
    <t>NR2-630G</t>
  </si>
  <si>
    <t>Relés tripolares de protección térmica Amperaje 160-250, Para montaje sobre contactor Montaje independiente</t>
  </si>
  <si>
    <t>BNR2-25</t>
  </si>
  <si>
    <t>Base de montaje independiente para relé térmico Para relé NR2-25</t>
  </si>
  <si>
    <t>ARR-12CH</t>
  </si>
  <si>
    <t>ARRANCADORES ESTRELLA-DELTA EN COFRE 7 circuito de control a 220 Vac. HP 220V 7.5, HP 440V 15, Regulación del relé térmico en AMP 9 - 13.</t>
  </si>
  <si>
    <t>ARR-18CH</t>
  </si>
  <si>
    <t>ARRANCADORES ESTRELLA-DELTA EN COFRE 7 circuito de control a 220 Vac. HP 220V 10, HP 440V 20, Regulación del relé térmico en AMP 12 - 18..</t>
  </si>
  <si>
    <t>ARR-25CH</t>
  </si>
  <si>
    <t>ARRANCADORES ESTRELLA-DELTA EN COFRE 7 circuito de control a 220 Vac. HP 220V 15, HP 440V 30, Regulación del relé térmico en AMP 17 - 25</t>
  </si>
  <si>
    <t>ARR-32CH</t>
  </si>
  <si>
    <t>ARRANCADORES ESTRELLA-DELTA EN COFRE 7 circuito de control a 220 Vac. HP 220V 20, HP 440V 40, Regulación del relé térmico en AMP 23 - 32.</t>
  </si>
  <si>
    <t>ARR-40CH</t>
  </si>
  <si>
    <t>ARRANCADORES ESTRELLA-DELTA EN COFRE 7 circuito de control a 220 Vac. HP 220V 25, HP 440V 50, Regulación del relé térmico en AMP 30 - 40.</t>
  </si>
  <si>
    <t>ARR-50CH</t>
  </si>
  <si>
    <t>ARRANCADORES ESTRELLA-DELTA EN COFRE 7 circuito de control a 220 Vac. HP 220V 33, HP 440V 66, Regulación del relé térmico en AMP 37 - 50.</t>
  </si>
  <si>
    <t>ARR-65CH</t>
  </si>
  <si>
    <t>ARRANCADORES ESTRELLA-DELTA EN COFRE 7 circuito de control a 220 Vac. HP 220V 40, HP 440V 85, Regulación del relé térmico en AMP 48 - 65.</t>
  </si>
  <si>
    <t>ARR-80CH</t>
  </si>
  <si>
    <t>ARRANCADORES ESTRELLA-DELTA EN COFRE 7 circuito de control a 220 Vac. HP 220V 53, HP 440V 106, Regulación del relé térmico en AMP 63 - 80.</t>
  </si>
  <si>
    <t>ARR-95CH</t>
  </si>
  <si>
    <t>ARRANCADORES ESTRELLA-DELTA EN COFRE 7 circuito de control a 220 Vac. HP 220V 60, HP 440V 125, Regulación del relé térmico en AMP 80 - 93.</t>
  </si>
  <si>
    <t>ARR-115CH</t>
  </si>
  <si>
    <t>ARRANCADORES ESTRELLA-DELTA EN COFRE 7 circuito de control a 220 Vac. HP 220V 75, HP 440V 150, Regulación del relé térmico en AMP 80 - 125.</t>
  </si>
  <si>
    <t>ARR-150CH</t>
  </si>
  <si>
    <t>ARRANCADORES ESTRELLA-DELTA EN COFRE 7 circuito de control a 220 Vac. HP 220V 100, HP 440V 200, Regulación del relé térmico en AMP 100 - 160.</t>
  </si>
  <si>
    <t>F5-T2</t>
  </si>
  <si>
    <t>Accesorios y repuestos para contactores NC1 y NC2, Temporizadores neumáticos montaje frontal Tipo TRABAJO Regulación 0.1-30 seg. Composición 1NA + 1 NC</t>
  </si>
  <si>
    <t>F5-T4</t>
  </si>
  <si>
    <t>Accesorios y repuestos para contactores NC1 y NC2, Temporizadores neumáticos montaje frontal Tipo TRABAJO Regulación 10-180 seg.. Composición 1NA + 1 NC</t>
  </si>
  <si>
    <t>F5-D2</t>
  </si>
  <si>
    <t>Accesorios y repuestos para contactores NC1 y NC2, Temporizadores neumáticos montaje frontal Tipo REPOSO Regulación 0.1-30 seg. Composición 1NA + 1 NC</t>
  </si>
  <si>
    <t>F5-D4</t>
  </si>
  <si>
    <t>Accesorios y repuestos para contactores NC1 y NC2, Temporizadores neumáticos montaje frontal Tipo REPOSO Regulación 10-180 seg Composición 1NA + 1 NC</t>
  </si>
  <si>
    <t>F4-11</t>
  </si>
  <si>
    <t>Bloques de contactos auxiliares montaje frontal Montaje frontal 1(NC1-9--95), Montaje lateral 2(NC2-115—630,  Composición 1NA + 1NC</t>
  </si>
  <si>
    <t>F4-20</t>
  </si>
  <si>
    <t>Bloques de contactos auxiliares montaje frontal Montaje frontal 1(NC1-9-95), Montaje lateral 2(NC2-115--630),  Composición 2NA</t>
  </si>
  <si>
    <t>F4-22</t>
  </si>
  <si>
    <t>Bloques de contactos auxiliares montaje frontal Montaje frontal 1(NC1-9-95), Montaje lateral 2(NC2-115--630),  Composición 2NA + 2NC</t>
  </si>
  <si>
    <t>NCF6-02</t>
  </si>
  <si>
    <t>Bloques de contactos auxiliares montaje frontal Montaje frontal 1(NC6-06 Y 09), Montaje lateral 2(NC2-115--630),  Composición 2NC</t>
  </si>
  <si>
    <t>BOB.9-18</t>
  </si>
  <si>
    <t>Bobinas de repuesto para contactores NC1 y NC2 NC1-9 a NC1-18 A 24,110,220 y 440 Vac</t>
  </si>
  <si>
    <t>BOB.25-32</t>
  </si>
  <si>
    <t>Bobinas de repuesto para contactores NC1 y NC2 NC1-25 a NC1-32 A 24,110,220 y 440 Vac</t>
  </si>
  <si>
    <t>BOB.40-95</t>
  </si>
  <si>
    <t>Bobinas de repuesto para contactores NC1 y NC2 NC2-115 a NC2-150 A 110,220 y 440 Vac</t>
  </si>
  <si>
    <t>BOB.115-150</t>
  </si>
  <si>
    <t>Bobinas de repuesto para contactores NC1 y NC2 NC1-40 a NC1-95 A 24,110,220 y 440 Vac</t>
  </si>
  <si>
    <t>BOB.185-225</t>
  </si>
  <si>
    <t>Bobinas de repuesto para contactores NC1 y NC2 NC2-185 a NC2-225 A 110,220 y 440 Vac</t>
  </si>
  <si>
    <t>BOB.225-330</t>
  </si>
  <si>
    <t>Bobinas de repuesto para contactores NC1 y NC2 NC2-265 a NC2-330 A 110,220 y 440 Vac</t>
  </si>
  <si>
    <t>BOB.400</t>
  </si>
  <si>
    <t>Bobinas de repuesto para contactores NC1 y NC2 NC2-400 A 110,220 y 440 Vac</t>
  </si>
  <si>
    <t>BOB.500</t>
  </si>
  <si>
    <t>Bobinas de repuesto para contactores NC1 y NC2 NC2-500 A 110,220 y 440 Vac</t>
  </si>
  <si>
    <t>BOB.630</t>
  </si>
  <si>
    <t>Bobinas de repuesto para contactores NC1 y NC2 NC2-630 A 110,220 y 440 Vac</t>
  </si>
  <si>
    <t>NCL8-A</t>
  </si>
  <si>
    <t>Enclavamientos mecánicos para contactores para NC1-09 AL NC1-32</t>
  </si>
  <si>
    <t>NCL8-B</t>
  </si>
  <si>
    <t>Enclavamientos mecánicos para contactores para NC1-40 AL NC1-65</t>
  </si>
  <si>
    <t>NCL8-C</t>
  </si>
  <si>
    <t>Enclavamientos mecánicos para contactores para NC1-80 AL NC1-95</t>
  </si>
  <si>
    <t>CJX2-115-150</t>
  </si>
  <si>
    <t>Enclavamientos mecánicos para contactores para NC2-115 AL NC2-150</t>
  </si>
  <si>
    <t>CJX2-185-225</t>
  </si>
  <si>
    <t>Enclavamientos mecánicos para contactores para NC2-185 AL NC2-225</t>
  </si>
  <si>
    <t>CJX2-265-500</t>
  </si>
  <si>
    <t>Enclavamientos mecánicos para contactores para NC2-265 AL NC2-500</t>
  </si>
  <si>
    <t>CJX2-630</t>
  </si>
  <si>
    <t>Enclavamientos mecánicos para contactores para NC2-630</t>
  </si>
  <si>
    <t>NS2-25-1</t>
  </si>
  <si>
    <t>Guardamotores/Disyuntor motor magneto térmico y Accesorios. HP 220V 0,25 HP 440V 0,5 Regulación (A) 0,63 - 1 I corte 415 V 100</t>
  </si>
  <si>
    <t>NS2-25-1,6</t>
  </si>
  <si>
    <t>Guardamotores/Disyuntor motor magneto térmico y Accesorios. HP 220V 0,34, HP 440V 0,75, Regulación (A) 1 - 1,6, I corte 415 V 100</t>
  </si>
  <si>
    <t>NS2-25-2.5</t>
  </si>
  <si>
    <t>Guardamotores/Disyuntor motor magneto térmico y Accesorios. HP 220V 0.5, HP 440V 1.5, Regulación (A) 1,6 - 2.5, I corte 415 V 100</t>
  </si>
  <si>
    <t>NS2-25-4</t>
  </si>
  <si>
    <t>Guardamotores/Disyuntor motor magneto térmico y Accesorios. HP 220V 1, HP 440V 2, Regulación (A) 2,5 - 4, I corte 415 V 100</t>
  </si>
  <si>
    <t>NS2-25-6.3</t>
  </si>
  <si>
    <t>Guardamotores/Disyuntor motor magneto térmico y Accesorios. HP 220V 1.5, HP 440V 2, Regulación (A) 4 - 6.3, I corte 415 V 100</t>
  </si>
  <si>
    <t>NS2-25-10</t>
  </si>
  <si>
    <t>Guardamotores/Disyuntor motor magneto térmico y Accesorios. HP 220V 3, HP 440V 5, Regulación (A) 6 - 10, I corte 415 V 100</t>
  </si>
  <si>
    <t>NS2-25-14</t>
  </si>
  <si>
    <t>Guardamotores/Disyuntor motor magneto térmico y Accesorios. HP 220V 4, HP 440V 10, Regulación (A) 9 - 14, I corte 415 V 15</t>
  </si>
  <si>
    <t>NS2-25-18</t>
  </si>
  <si>
    <t>Guardamotores/Disyuntor motor magneto térmico y Accesorios. HP 220V 5, HP 440V 12, Regulación (A) 13 - 18, I corte 415 V 15</t>
  </si>
  <si>
    <t>NS2-25-23</t>
  </si>
  <si>
    <t>Guardamotores/Disyuntor motor magneto térmico y Accesorios. HP 220V 7, HP 440V 15, Regulación (A) 17 - 23, I corte 415 V 15</t>
  </si>
  <si>
    <t>NS2-25-25</t>
  </si>
  <si>
    <t>Guardamotores/Disyuntor motor magneto térmico y Accesorios. HP 220V 7, HP 440V 15, Regulación (A) 20 - 25, I corte 415 V 15</t>
  </si>
  <si>
    <t>NS2-AU11</t>
  </si>
  <si>
    <t>Accesorios para Guardamotores serie NS2-25 Bloque lateral de contactos auxiliares NA+NC.</t>
  </si>
  <si>
    <t>NS2-AE11</t>
  </si>
  <si>
    <t>Accesorios para Guardamotores serie NS2-25 Bloque frontal de contactos auxiliares NA+NC</t>
  </si>
  <si>
    <t>NS2-SH110</t>
  </si>
  <si>
    <t>Accesorios para Guardamotores serie NS2-25 Bobina de disparo lateral a 110-115 voltios</t>
  </si>
  <si>
    <t>NS2-MC</t>
  </si>
  <si>
    <t>Accesorios para Guardamotores serie NS2-25 Cofre para guardamotor NS2-25 IP65</t>
  </si>
  <si>
    <t>NS2-FA0110</t>
  </si>
  <si>
    <t>Accesorios para Guardamotores serie NS2-25 Contacto lateral de señalización falla NC + aux. NA</t>
  </si>
  <si>
    <t>NS2-FA1001</t>
  </si>
  <si>
    <t>Accesorios para Guardamotores serie NS2-25 Contacto lateral de señalización falla NA + aux. NC</t>
  </si>
  <si>
    <t>NS2-FA0101</t>
  </si>
  <si>
    <t>Accesorios para Guardamotores serie NS2-25 Contacto lateral de señalización falla NC + aux. NC</t>
  </si>
  <si>
    <t>NP2-BA21</t>
  </si>
  <si>
    <t>Unidades de mando y señalización 22 mm. Temporizadores electrónicos Pulsadores de 22mm Botón pulsador rasante negro, marcha NA</t>
  </si>
  <si>
    <t>NP2-BA31</t>
  </si>
  <si>
    <t>Unidades de mando y señalización 22 mm. Temporizadores electrónicos Pulsadores de 22mm Botón pulsador rasante verde, marcha NA</t>
  </si>
  <si>
    <t>NP2-BA42</t>
  </si>
  <si>
    <t>Unidades de mando y señalización 22 mm. Temporizadores electrónicos Pulsadores de 22mm Botón pulsador rasante rojo, parada NC</t>
  </si>
  <si>
    <t>NP2-BL8325</t>
  </si>
  <si>
    <t>Unidades de mando y señalización 22 mm. Temporizadores electrónicos Pulsadores de 22mm Botón pulsador doble rojo verde</t>
  </si>
  <si>
    <t>NP2-BW8465</t>
  </si>
  <si>
    <t>Unidades de mando y señalización 22 mm. Temporizadores electrónicos Pulsadores de 22mm Botón pulsador doble rojo verde con piloto</t>
  </si>
  <si>
    <t>NP2-BS542</t>
  </si>
  <si>
    <t>Unidades de mando y señalización 22 mm. Temporizadores electrónicos Pulsadores de 22mm Pulsador de hongo (seta) 40 mm, rojo, metálico girar para liberar</t>
  </si>
  <si>
    <t>NP2-ES542</t>
  </si>
  <si>
    <t>Unidades de mando y señalización 22 mm. Temporizadores electrónicos Pulsadores de 22mm Pulsador de hongo (seta) 40 mm, rojo plástico girar-liberar</t>
  </si>
  <si>
    <t>NP2-BC42</t>
  </si>
  <si>
    <t>Unidades de mando y señalización 22 mm. Temporizadores electrónicos Pulsadores de 22mm Pulsador de hongo (seta) 40 mm, rojo sin retención</t>
  </si>
  <si>
    <t>NP2-BW3365</t>
  </si>
  <si>
    <t>Unidades de mando y señalización 22 mm. Temporizadores electrónicos Pulsadores de 22mm Pulsador luminoso verde N.A.</t>
  </si>
  <si>
    <t>NP2-BW3465</t>
  </si>
  <si>
    <t>Unidades de mando y señalización 22 mm. Temporizadores electrónicos Pulsadores de 22mm Pulsador luminoso rojo N.C.</t>
  </si>
  <si>
    <t>NP2-BW3565</t>
  </si>
  <si>
    <t>Unidades de mando y señalización 22 mm. Temporizadores electrónicos Pulsadores de 22mm Pulsador luminoso amarillo N.A</t>
  </si>
  <si>
    <t>ND16-22D/4R110</t>
  </si>
  <si>
    <t>Unidades de mando y señalización 22 mm Pilotos de señalización electrónicos tipo led. Piloto de señalización electrónico 110 vac rojo</t>
  </si>
  <si>
    <t>ND16-22D/4V110</t>
  </si>
  <si>
    <t>Unidades de mando y señalización 22 mm Pilotos de señalización electrónicos tipo led. Piloto de señalización electrónico 110 vac verde</t>
  </si>
  <si>
    <t>ND16-22D/4A110</t>
  </si>
  <si>
    <t>Unidades de mando y señalización 22 mm Pilotos de señalización electrónicos tipo led. Piloto de señalización electrónico 110 vac amarillo</t>
  </si>
  <si>
    <t>ND16-22D/4B110</t>
  </si>
  <si>
    <t>Unidades de mando y señalización 22 mm Pilotos de señalización electrónicos tipo led. Piloto de señalización electrónico 110 vac blanco</t>
  </si>
  <si>
    <t>ND16-22D/4R224</t>
  </si>
  <si>
    <t>Unidades de mando y señalización 22 mm Pilotos de señalización electrónicos tipo led. Piloto de señalización electrónico 220 vac rojo</t>
  </si>
  <si>
    <t>ND16-22D/4V220</t>
  </si>
  <si>
    <t>Unidades de mando y señalización 22 mm Pilotos de señalización electrónicos tipo led. Piloto de señalización electrónico 220 vac verde</t>
  </si>
  <si>
    <t>ND16-22D/4A220</t>
  </si>
  <si>
    <t>Unidades de mando y señalización 22 mm Pilotos de señalización electrónicos tipo led. Piloto de señalización electrónico 220 vac amarillo</t>
  </si>
  <si>
    <t>ND16-22D/4B220</t>
  </si>
  <si>
    <t>Unidades de mando y señalización 22 mm Pilotos de señalización electrónicos tipo led. Piloto de señalización electrónico 220 vac blanco</t>
  </si>
  <si>
    <t>NP2-BD21</t>
  </si>
  <si>
    <t>Unidades de mando y señalización 22 mm Conmutadores o selectores Switche selector de manija negra 2 posiciones fijas 1NA</t>
  </si>
  <si>
    <t>NP2-BD33</t>
  </si>
  <si>
    <t>Unidades de mando y señalización 22 mm Conmutadores o selectores Switche selector de manija negra 3 posiciones fijas 2NA</t>
  </si>
  <si>
    <t>NP2-BG21</t>
  </si>
  <si>
    <t>Unidades de mando y señalización 22 mm Conmutadores o selectores Switche selector con llave 2 posiciones fijas 1NA</t>
  </si>
  <si>
    <t>NP2-BD53</t>
  </si>
  <si>
    <t>Unidades de mando y señalización 22 mm Conmutadores o selectores Switche selector de manija negra 3 posiciones con retorno 2NA</t>
  </si>
  <si>
    <t>NP2-BE101</t>
  </si>
  <si>
    <t>Unidades de mando y señalización 22 mm. Bloques auxiliares. Bloque de contactos para pulsadores y selectores 1 NA</t>
  </si>
  <si>
    <t xml:space="preserve">NP2-BE102 </t>
  </si>
  <si>
    <t>Unidades de mando y señalización 22 mm. Bloques auxiliares .Bloque de contactos para pulsadores y selectores 1 NC</t>
  </si>
  <si>
    <t>NTE8-10B</t>
  </si>
  <si>
    <t>Unidades de mando y señalización 22 mm. Temporizadores electrónicos al trabajo. Temporizador tipo riel 0,1-10seg.220VAC 1 NO</t>
  </si>
  <si>
    <t>NTE8-120B</t>
  </si>
  <si>
    <t>Unidades de mando y señalización 22 mm. Temporizadores electrónicos al trabajo. Temporizador tipo riel 10-120seg.220VAC 1 NO</t>
  </si>
  <si>
    <t>JSS48A-11</t>
  </si>
  <si>
    <t>Unidades de mando y señalización 22 mm. Temporizadores electrónicos al trabajo. Temporizador digital, 220 vac, 2 juegos de contactos, pausereset, rangos de tiempo 0.01s-99.99 s; 1s-99min99s; 1min-99h 99min</t>
  </si>
  <si>
    <t>YBLX-K3/20H/B</t>
  </si>
  <si>
    <t>Interruptores de posición IP65, 10 millones de operaciones, 10 Amp 220Vac. Palanca y roldana metálica caja ancha</t>
  </si>
  <si>
    <t>YBLX-K3/20H/L</t>
  </si>
  <si>
    <t>Interruptores de posición IP65, 10 millones de operaciones, 10 Amp 220Vac. Pulsador con roldana metálica, caja ancha</t>
  </si>
  <si>
    <t>YBLX-K3/20H/D</t>
  </si>
  <si>
    <t>Interruptores de posición IP65, 10 millones de operaciones, 10 Amp 220Vac. Varilla flexible resortada en toda la extensión, caja ancha</t>
  </si>
  <si>
    <t>YBLX-K3/20H/J</t>
  </si>
  <si>
    <t>Interruptores de posición IP65, 10 millones de operaciones, 10 Amp 220Vac. Varilla rígida ajustable, caja ancha</t>
  </si>
  <si>
    <t>YBLX-K3/20H/T</t>
  </si>
  <si>
    <t>Interruptores de posición IP65, 10 millones de operaciones, 10 Amp 220Vac. Palanca regulable en altura roldana metálica, caja ancha</t>
  </si>
  <si>
    <t>YBLX-K3/20H/W</t>
  </si>
  <si>
    <t>Interruptores de posición IP65, 10 millones de operaciones, 10 Amp 220Vac. Varilla flexible convencional, caja ancha</t>
  </si>
  <si>
    <t>YBLX-K3/20H/Z</t>
  </si>
  <si>
    <t>Interruptores de posición IP65, 10 millones de operaciones, 10 Amp 220Vac. Pulsador externo en acero, caja ancha</t>
  </si>
  <si>
    <t>YBLX-K3/20S/B</t>
  </si>
  <si>
    <t>Interruptores de posición IP65, 10 millones de operaciones, 10 Amp 220Vac. Palanca y roldana metálica caja angosta</t>
  </si>
  <si>
    <t>YBLX-K3/20S/L</t>
  </si>
  <si>
    <t xml:space="preserve">Interruptores de posición IP65, 10 millones de operaciones, 10 Amp 220Vac. Pulsador roldana metálica, caja angosta </t>
  </si>
  <si>
    <t>YBLX-K3/20S/D</t>
  </si>
  <si>
    <t>Interruptores de posición IP65, 10 millones de operaciones, 10 Amp 220Vac. Varilla flexible resortada en toda la extensión, caja angosta</t>
  </si>
  <si>
    <t>YBLX-K3/20S/J</t>
  </si>
  <si>
    <t>Interruptores de posición IP65, 10 millones de operaciones, 10 Amp 220Vac. Varilla rígida ajustable, caja angosta</t>
  </si>
  <si>
    <t>YBLX-K3/20S/T</t>
  </si>
  <si>
    <t>Interruptores de posición IP65, 10 millones de operaciones, 10 Amp 220Vac. Palanca regulable en altura roldana metálica, caja angosta</t>
  </si>
  <si>
    <t>YBLX-K3/20S/W</t>
  </si>
  <si>
    <t>Interruptores de posición IP65, 10 millones de operaciones, 10 Amp 220Vac. Varilla flexible convencional, caja angosta</t>
  </si>
  <si>
    <t>YBLX-K3/20S/Z</t>
  </si>
  <si>
    <t>Interruptores de posición IP65, 10 millones de operaciones, 10 Amp 220Vac. Pulsador externo en acero, caja angosta</t>
  </si>
  <si>
    <t>MK2P-IDC24</t>
  </si>
  <si>
    <t>Relevos de 8,11 y 14 pines, vida mecánica de 10 millones de operaciones. Relevo de 8 pines 24 VDC, 10 Amp, 2500VA</t>
  </si>
  <si>
    <t>MK2P-IAC24</t>
  </si>
  <si>
    <t xml:space="preserve">Relevos de 8,11 y 14 pines, vida mecánica de 10 millones de operaciones. Relevo de 8 pines 24 VAC, 10 Amp, 2500VA </t>
  </si>
  <si>
    <t>MK2P-IAC110</t>
  </si>
  <si>
    <t>Relevos de 8,11 y 14 pines, vida mecánica de 10 millones de operaciones. Relevo de 8 pines 110 VAC, 10 Amp, 2500VA</t>
  </si>
  <si>
    <t>MK2P-IAC220</t>
  </si>
  <si>
    <t>Relevos de 8,11 y 14 pines, vida mecánica de 10 millones de operaciones. Relevo de 8 pines 220 VAC, 10 Amp, 2500VA</t>
  </si>
  <si>
    <t>MK3P-IIDC24</t>
  </si>
  <si>
    <t>Relevos de 8,11 y 14 pines, vida mecánica de 10 millones de operaciones. Relevo de 11 pines 24 VDC, 10 Amp, 2500VA</t>
  </si>
  <si>
    <t>MK3P-IIAC24</t>
  </si>
  <si>
    <t>Relevos de 8,11 y 14 pines, vida mecánica de 10 millones de operaciones. Relevo de 11 pines 24 VAC, 10 Amp, 2500VA</t>
  </si>
  <si>
    <t>MK3P-IIAC110</t>
  </si>
  <si>
    <t>Relevos de 8,11 y 14 pines, vida mecánica de 10 millones de operaciones. Relevo de 11 pines 110 VAC, 10 Amp, 2500VA</t>
  </si>
  <si>
    <t>MK3P-IIAC220</t>
  </si>
  <si>
    <t>Relevos de 8,11 y 14 pines, vida mecánica de 10 millones de operaciones. Relevo de 11 pines 220 VAC, 10 Amp, 2500VA</t>
  </si>
  <si>
    <t>JZX-22F/4ZDC24</t>
  </si>
  <si>
    <t>Relevos de 8,11 y 14 pines, vida mecánica de 10 millones de operaciones. Relevo de 14 pines 24 VDC, 3 Amp, 750VA</t>
  </si>
  <si>
    <t>JZX-22F/4ZAC24</t>
  </si>
  <si>
    <t>Relevos de 8,11 y 14 pines, vida mecánica de 10 millones de operaciones. Relevo de 14 pines 24 VAC, 3 Amp, 750VA</t>
  </si>
  <si>
    <t>JZX-22F/4ZAC110</t>
  </si>
  <si>
    <t>Relevos de 8,11 y 14 pines, vida mecánica de 10 millones de operaciones. Relevo de 14 pines 110 VAC, 3 Amp, 750VA</t>
  </si>
  <si>
    <t>JZX-22F/4ZAC220</t>
  </si>
  <si>
    <t>Relevos de 8,11 y 14 pines, vida mecánica de 10 millones de operaciones. Relevo de 14 pines 220 VAC, 3 Amp, 750VA</t>
  </si>
  <si>
    <t>PF083A-E</t>
  </si>
  <si>
    <t>Base de 8 pines para montaje en riel omega</t>
  </si>
  <si>
    <t>PF113A-E</t>
  </si>
  <si>
    <t>Base de 11 pines para montaje en riel omega</t>
  </si>
  <si>
    <t>PYF14A</t>
  </si>
  <si>
    <t>Base de 14 pines para montaje en riel omega</t>
  </si>
  <si>
    <t>NP48-V 300 Y 600V</t>
  </si>
  <si>
    <t>Voltímetros 48x48 300 y 600Vac</t>
  </si>
  <si>
    <t xml:space="preserve">NP48 ***/5A  </t>
  </si>
  <si>
    <t>Amperímetros 48x48 200,300,400,500,800,1000,1200 y 2000/5ª</t>
  </si>
  <si>
    <t>NP48HZ</t>
  </si>
  <si>
    <t>Frecuencímetro 55-65Hz 220Vac</t>
  </si>
  <si>
    <t>NP72-V 300</t>
  </si>
  <si>
    <t>Voltímetro marco 72X72 300 voltios AC</t>
  </si>
  <si>
    <t>NP72-V 600</t>
  </si>
  <si>
    <t>Voltímetro marco 72X72 600 voltios AC</t>
  </si>
  <si>
    <t xml:space="preserve">NP96-V 300 </t>
  </si>
  <si>
    <t>Voltímetro marco 96x96 300 voltios AC</t>
  </si>
  <si>
    <t>NP96-V 600</t>
  </si>
  <si>
    <t>Voltímetro marco 96x96 600 voltios AC</t>
  </si>
  <si>
    <t xml:space="preserve">NP72-A-50/5A </t>
  </si>
  <si>
    <t>Amperímetro marco 72X72 relación 50/5A</t>
  </si>
  <si>
    <t xml:space="preserve">NP72-A-100/5A </t>
  </si>
  <si>
    <t>Amperímetro marco 72X72 relación 100/5A</t>
  </si>
  <si>
    <t xml:space="preserve">NP72-A-200/5A </t>
  </si>
  <si>
    <t>Amperímetro marco 72X72 relación 200/5A</t>
  </si>
  <si>
    <t xml:space="preserve">NP72-A-300/5A </t>
  </si>
  <si>
    <t>Amperímetro marco 72X72 relación 300/5A</t>
  </si>
  <si>
    <t>NP72-A-400/5A</t>
  </si>
  <si>
    <t>Amperímetro marco 72X72 relación 400/5A</t>
  </si>
  <si>
    <t xml:space="preserve">NP96-A 100/5A </t>
  </si>
  <si>
    <t>Amperímetro marco 96x96 relación 100/5A</t>
  </si>
  <si>
    <t xml:space="preserve">NP96-A 200/5A </t>
  </si>
  <si>
    <t>Amperímetro marco 96x96 relación 200/5A</t>
  </si>
  <si>
    <t xml:space="preserve">NP96-A 300/5A </t>
  </si>
  <si>
    <t>Amperímetro marco 96x96 relación 300/5A</t>
  </si>
  <si>
    <t xml:space="preserve">NP96-A 400/5A </t>
  </si>
  <si>
    <t>Amperímetro marco 96x96 relación 400/5A</t>
  </si>
  <si>
    <t xml:space="preserve">NP96-A 500/5A </t>
  </si>
  <si>
    <t>Amperímetro marco 96x96 relación 500/5A</t>
  </si>
  <si>
    <t xml:space="preserve">NP96-A 600/5A </t>
  </si>
  <si>
    <t>Amperímetro marco 96x96 relación 600/5A</t>
  </si>
  <si>
    <t xml:space="preserve">NP96-A 800/5A </t>
  </si>
  <si>
    <t>Amperímetro marco 96x96 relación 800/5A</t>
  </si>
  <si>
    <t xml:space="preserve">NP96-A 1000/5A </t>
  </si>
  <si>
    <t>Amperímetro marco 96x96 relación 1000/5A</t>
  </si>
  <si>
    <t xml:space="preserve">NP96-A 1200/5A </t>
  </si>
  <si>
    <t>Amperímetro marco 96x96 relación 1200/5A</t>
  </si>
  <si>
    <t xml:space="preserve">NP96-A 1500/5A </t>
  </si>
  <si>
    <t>Amperímetro marco 96x96 relación 1500/5A</t>
  </si>
  <si>
    <t>NP96-A 2000/5A</t>
  </si>
  <si>
    <t>Amperímetro marco 96x96 relación 2000/5A</t>
  </si>
  <si>
    <t>NP72-HZ</t>
  </si>
  <si>
    <t>Frecuencímetro de tablero 55-65 Hz, 220 voltios AC.</t>
  </si>
  <si>
    <t>NP96-HZ</t>
  </si>
  <si>
    <t>NP96-COS-220</t>
  </si>
  <si>
    <t>Cosenofimetro de tablero 0.5 Ind-1-0.5 Cap.; 220 Vac.</t>
  </si>
  <si>
    <t>BH-066I 50/5.</t>
  </si>
  <si>
    <t>Transformador de corriente tipo ventana 50/5 Amp Ancho 30.4 Alto 11 Diámetro 23</t>
  </si>
  <si>
    <t>BH-066I 100/5.</t>
  </si>
  <si>
    <t>Transformador de corriente tipo ventana 100/5 Amp Ancho 30.5 Alto 11 Diámetro 23</t>
  </si>
  <si>
    <t>BH-066I 200/5.</t>
  </si>
  <si>
    <t>Transformador de corriente tipo ventana 200/5 Amp Ancho 30.5 Alto 11 Diámetro 23</t>
  </si>
  <si>
    <t>BH-066I 300/5.</t>
  </si>
  <si>
    <t>Transformador de corriente tipo ventana 300/5 Amp Ancho 30.5 Alto 11 Diámetro 23</t>
  </si>
  <si>
    <t>BH-066I 400/5.</t>
  </si>
  <si>
    <t>Transformador de corriente tipo ventana 400/5 Amp Ancho 42 Alto 11 Diámetro31</t>
  </si>
  <si>
    <t>BH-066I 500/5.</t>
  </si>
  <si>
    <t>Transformador de corriente tipo ventana 500/5 Amp Ancho 42 Alto 11 Diámetro 31</t>
  </si>
  <si>
    <t>BH-066I 600/5.</t>
  </si>
  <si>
    <t>Transformador de corriente tipo ventana 600/5 Amp Ancho 42 Alto 11 Diámetro 31</t>
  </si>
  <si>
    <t>BH-066I 800/5.</t>
  </si>
  <si>
    <t>Transformador de corriente tipo ventana 800/5 Amp Ancho 51 Alto 16 Diámetro 37</t>
  </si>
  <si>
    <t>BH-066I 1000/5.</t>
  </si>
  <si>
    <t>Transformador de corriente tipo ventana 1000/5 Amp Ancho 51 Alto 16 Diámetro 37</t>
  </si>
  <si>
    <t>BH-066I 1200/5.</t>
  </si>
  <si>
    <t>Transformador de corriente tipo ventana 1200/5 Amp Ancho 51 Alto 16 Diámetro 37</t>
  </si>
  <si>
    <t>BH-066III 1500/5.</t>
  </si>
  <si>
    <t>Transformador de corriente tipo ventana 1500/5 Amp Ancho 41 Alto 21 Diámetro 36</t>
  </si>
  <si>
    <t>BH-066I 2000/5.</t>
  </si>
  <si>
    <t>Transformador de corriente tipo ventana 2000/5 Amp Ancho 62 Alto 21 Diámetro 46</t>
  </si>
  <si>
    <t>JXB-2.5/35.</t>
  </si>
  <si>
    <t>Borneras de conexión unipolares para riel omega. Amperaje 25 Área en mm.  2.5, Calibre del conductor 20 al 12 AWG</t>
  </si>
  <si>
    <t>JXB-4/35.</t>
  </si>
  <si>
    <t>Borneras de conexión unipolares para riel omega. 35 Área en mm.  4, Calibre del conductor 20 al 10 AWG</t>
  </si>
  <si>
    <t>JXB-6/35.</t>
  </si>
  <si>
    <t>Borneras de conexión unipolares para riel omega. Amperaje 50 Área en mm.  6, Calibre del conductor 20 al 8 AWG</t>
  </si>
  <si>
    <t>JXB-10/35.</t>
  </si>
  <si>
    <t>Borneras de conexión unipolares para riel omega. Amperaje 60 Área en mm.  10, Calibre del conductor 20 al 6 AWG</t>
  </si>
  <si>
    <t>JXB-16/35.</t>
  </si>
  <si>
    <t>Borneras de conexión unipolares para riel omega. Amperaje 100 Área en mm.  16, Calibre del conductor 20 al 4 AWG</t>
  </si>
  <si>
    <t>JXB-35/35</t>
  </si>
  <si>
    <t>Borneras de conexión unipolares para riel omega. Amperaje 125 Área en mm.  35, Calibre del conductor 16 al 2 AWG</t>
  </si>
  <si>
    <t>JXB-70/35.</t>
  </si>
  <si>
    <t>Borneras de conexión unipolares para riel omega. Amperaje 220 Área en mm.  70, Calibre del conductor 12 al 4/0 AWG</t>
  </si>
  <si>
    <t>JXB-2.5B/35.</t>
  </si>
  <si>
    <t>Borneras de conexión unipolares para neutro (azul) riel omega. Amperaje 25, Área en mm.  2.5, Calibre del conductor 20 al 12 AWG</t>
  </si>
  <si>
    <t>JXB-4B/35.</t>
  </si>
  <si>
    <t>Borneras de conexión unipolares para neutro (azul) riel omega. Amperaje 35, Área en mm. 4, Calibre del conductor 20 al 10 AWG</t>
  </si>
  <si>
    <t>JXB-6B/35.</t>
  </si>
  <si>
    <t>Borneras de conexión unipolares para neutro (azul) riel omega. Amperaje 50, Área en mm. 6, Calibre del conductor 20 al 8 AWG</t>
  </si>
  <si>
    <t>JXB-10B/35.</t>
  </si>
  <si>
    <t>Borneras de conexión unipolares para neutro (azul) riel omega. Amperaje 60, Área en mm. 10, Calibre del conductor 20 al 6 AWG</t>
  </si>
  <si>
    <t>EK-2.5/35.</t>
  </si>
  <si>
    <t>Borneras de conexión a tierra para riel omega. Amperaje 25, Área en mm.  2.5, Calibre del conductor 20 al 12 AWG</t>
  </si>
  <si>
    <t>EK-4/35.</t>
  </si>
  <si>
    <t>Borneras de conexión a tierra para riel omega. Amperaje 35, Área en mm.  4, Calibre del conductor 20 al 10 AWG</t>
  </si>
  <si>
    <t>EK-6/35.</t>
  </si>
  <si>
    <t>Borneras de conexión a tierra para riel omega. Amperaje 50, Área en mm.  6, Calibre del conductor 20 al 8 AWG</t>
  </si>
  <si>
    <t>EK-10/35.</t>
  </si>
  <si>
    <t>Borneras de conexión a tierra para riel omega. Amperaje 60, Área en mm.  10, Calibre del conductor 20 al 6 AWG</t>
  </si>
  <si>
    <t>EK-16 /35.</t>
  </si>
  <si>
    <t>Borneras de conexión a tierra para riel omega. Amperaje 100, Área en mm.  16, Calibre del conductor 20 al 4 AWG</t>
  </si>
  <si>
    <t>EK-35/35.</t>
  </si>
  <si>
    <t>Borneras de conexión a tierra para riel omega. Amperaje 125, Área en mm.  35, Calibre del conductor 16 al 2 AWG</t>
  </si>
  <si>
    <t xml:space="preserve">BSF4 </t>
  </si>
  <si>
    <t>Bornera porta fusible - fusible</t>
  </si>
  <si>
    <t xml:space="preserve">BCSM6 </t>
  </si>
  <si>
    <t>Bornera cortocircuitable</t>
  </si>
  <si>
    <t>EB1</t>
  </si>
  <si>
    <t>Freno para bornera unipolar</t>
  </si>
  <si>
    <t>AP-2.5</t>
  </si>
  <si>
    <t>Tapa para bornera JXB-2.5</t>
  </si>
  <si>
    <t>AP-10</t>
  </si>
  <si>
    <t>Tapa para bornera JXB-4/6/10</t>
  </si>
  <si>
    <t>AP-16</t>
  </si>
  <si>
    <t>Tapa para bornera JXB16/35</t>
  </si>
  <si>
    <t>AP-35</t>
  </si>
  <si>
    <t>Tapa para bornera JXB-35</t>
  </si>
  <si>
    <t>AP-70</t>
  </si>
  <si>
    <t>Tapa para bornera JXB-70</t>
  </si>
  <si>
    <t>TBSF4</t>
  </si>
  <si>
    <t>Tapa para bornera BSF4</t>
  </si>
  <si>
    <t>TBCSM6</t>
  </si>
  <si>
    <t>Tapa para bornera BCSM6</t>
  </si>
  <si>
    <t>NBCU-*</t>
  </si>
  <si>
    <t>Marcación para bornera(cambiar el asteristico por la letra o</t>
  </si>
  <si>
    <t>PFDB110-2.5</t>
  </si>
  <si>
    <t>Puente de interconexión para 10 borneras JXB-2.5</t>
  </si>
  <si>
    <t>PFDB110-4</t>
  </si>
  <si>
    <t>Puente de interconexión para 10 borneras JXB-4</t>
  </si>
  <si>
    <t>NB1-63 1P 1A</t>
  </si>
  <si>
    <t>Mini interruptores Monopolares para riel omega Amp. 1x1, Cap. de ruptura 220Vac 6KA</t>
  </si>
  <si>
    <t>NB1-63 1P 2A</t>
  </si>
  <si>
    <t>Mini interruptores Monopolares para riel omega Amp. 1x2, Cap. de ruptura 220Vac  6KA</t>
  </si>
  <si>
    <t>NB1-63 1P 3A</t>
  </si>
  <si>
    <t>Mini interruptores Monopolares para riel omega Amp. 1x3, Cap. de ruptura 220Vac  6KA</t>
  </si>
  <si>
    <t>NB1-63 1P 4A</t>
  </si>
  <si>
    <t>Mini interruptores Monopolares para riel omega Amp. 1x4, Cap. de ruptura 220Vac  6KA</t>
  </si>
  <si>
    <t>NB1-63 1P 6A</t>
  </si>
  <si>
    <t>Mini interruptores Monopolares para riel omega Amp. 1x6, Cap. de ruptura 220Vac  6KA</t>
  </si>
  <si>
    <t>NB1-63 1P 10A</t>
  </si>
  <si>
    <t>Mini interruptores Monopolares para riel omega Amp. 1x10, Cap. de ruptura 220Vac 6KA</t>
  </si>
  <si>
    <t>NB1-63 1P 16A</t>
  </si>
  <si>
    <t>Mini interruptores Monopolares para riel omega Amp. 1x16, Cap. de ruptura 220Va  6KA</t>
  </si>
  <si>
    <t>NB1-63 1P 20A</t>
  </si>
  <si>
    <t>Mini interruptores Monopolares para riel omega Amp.  1x20, Cap. de ruptura 220Vac 6KA</t>
  </si>
  <si>
    <t>NB1-63 1P 25A</t>
  </si>
  <si>
    <t>Mini interruptores Monopolares para riel omega Amp. 1x25, Cap. de ruptura 220Vac 6KA</t>
  </si>
  <si>
    <t>NB1-63 1P 32A</t>
  </si>
  <si>
    <t>Mini interruptores Monopolares para riel omega Amp. 1x32, Cap. de ruptura 220Vac 6KA</t>
  </si>
  <si>
    <t>NB1-63 1P 40A</t>
  </si>
  <si>
    <t>Mini interruptores Monopolares para riel omega Amp. 1x40, Cap. de ruptura 220Vac 6KA</t>
  </si>
  <si>
    <t>NB1-63 1P 50A</t>
  </si>
  <si>
    <t>Mini interruptores Monopolares para riel omega Amp. 1x50, Cap. de ruptura 220Vac 6KA</t>
  </si>
  <si>
    <t>NB1-63 1P 63A</t>
  </si>
  <si>
    <t>Mini interruptores Monopolares para riel omega Amp. 1x63, Cap. de ruptura 220Vac 6KA</t>
  </si>
  <si>
    <t>NB1-63 2P 1A</t>
  </si>
  <si>
    <t>Mini interruptores bipolares para riel omega. Amp. 2x1, Cap. de ruptura 220Vac 6KA</t>
  </si>
  <si>
    <t>NB1-63 2P 2A</t>
  </si>
  <si>
    <t>Mini interruptores bipolares para riel omega. Amp.2x2 , Cap. de ruptura 220Vac 6KA</t>
  </si>
  <si>
    <t>NB1-63 2P 3A</t>
  </si>
  <si>
    <t>Mini interruptores bipolares para riel omega. Amp.2x3 , Cap. de ruptura 220Vac 6KA</t>
  </si>
  <si>
    <t>NB1-63 2P 4A</t>
  </si>
  <si>
    <t>Mini interruptores bipolares para riel omega. Amp.2x4 , Cap. de ruptura 220Vac 6KA</t>
  </si>
  <si>
    <t>NB1-63 2P 6A</t>
  </si>
  <si>
    <t>Mini interruptores bipolares para riel omega. Amp.2x6 , Cap. de ruptura 220Vac 6KA</t>
  </si>
  <si>
    <t>NB1-63 2P 10A</t>
  </si>
  <si>
    <t>Mini interruptores bipolares para riel omega. Amp.2x10 , Cap. de ruptura 220Vac 6KA</t>
  </si>
  <si>
    <t>NB1-63 2P 16A</t>
  </si>
  <si>
    <t>Mini interruptores bipolares para riel omega. Amp.2x16, Cap. de ruptura 220Vac 6KA</t>
  </si>
  <si>
    <t>NB1-63 2P 20A</t>
  </si>
  <si>
    <t>Mini interruptores bipolares para riel omega. Amp.2x20 , Cap. de ruptura 220Vac 6KA</t>
  </si>
  <si>
    <t>NB1-63 2P 25A</t>
  </si>
  <si>
    <t>Mini interruptores bipolares para riel omega. Amp.2x25 , Cap. de ruptura 220Vac 6KA</t>
  </si>
  <si>
    <t>NB1-63 2P 32A</t>
  </si>
  <si>
    <t>Mini interruptores bipolares para riel omega. Amp.2x32 , Cap. de ruptura 220Vac 6KA</t>
  </si>
  <si>
    <t>NB1-63 2P 40A</t>
  </si>
  <si>
    <t>Mini interruptores bipolares para riel omega. Amp.2x40 , Cap. de ruptura 220Vac 6KA</t>
  </si>
  <si>
    <t>NB1-63 2P 50A</t>
  </si>
  <si>
    <t>Mini interruptores bipolares para riel omega. Amp.2x50 , Cap. de ruptura 220Vac 6KA</t>
  </si>
  <si>
    <t>NB1-63 2P 63A</t>
  </si>
  <si>
    <t>Mini interruptores bipolares para riel omega. Amp.2x63 , Cap. de ruptura 220Vac 6KA</t>
  </si>
  <si>
    <t>NB1-63 3P 1A</t>
  </si>
  <si>
    <t>Mini interruptores tripolares para riel omega. Amp. 3x1, Cap. de ruptura 220Vac 6KA</t>
  </si>
  <si>
    <t>NB1-63 3P 2A</t>
  </si>
  <si>
    <t>Mini interruptores tripolares para riel omega. Amp. 3x2, Cap. de ruptura 6KA</t>
  </si>
  <si>
    <t>NB1-63 3P 3A</t>
  </si>
  <si>
    <t>Mini interruptores tripolares para riel omega. Amp. 3x3, Cap. de ruptura 6KA</t>
  </si>
  <si>
    <t>NB1-63 3P 4A</t>
  </si>
  <si>
    <t>Mini interruptores tripolares para riel omega. Amp. 3x4, Cap. de ruptura 6KA</t>
  </si>
  <si>
    <t>NB1-63 3P 6A</t>
  </si>
  <si>
    <t>Mini interruptores tripolares para riel omega. Amp. 3x6, Cap. de ruptura 6KA</t>
  </si>
  <si>
    <t>NB1-63 3P 10A</t>
  </si>
  <si>
    <t>Mini interruptores tripolares para riel omega. Amp. 3x10, Cap. de ruptura 6KA</t>
  </si>
  <si>
    <t>NB1-63 3P 16A</t>
  </si>
  <si>
    <t>Mini interruptores tripolares para riel omega. Amp. 3x16, Cap. de ruptura 6KA</t>
  </si>
  <si>
    <t>NB1-63 3P 20A</t>
  </si>
  <si>
    <t>Mini interruptores tripolares para riel omega. Amp. 3x20, Cap. de ruptura 6KA</t>
  </si>
  <si>
    <t>NB1-63 3P 25A</t>
  </si>
  <si>
    <t>Mini interruptores tripolares para riel omega. Amp. 3x25, Cap. de ruptura 6KA</t>
  </si>
  <si>
    <t>NB1-63 3P 32A</t>
  </si>
  <si>
    <t xml:space="preserve">Mini interruptores tripolares para riel omega. Amp. 3x32, Cap. de ruptura 6KA </t>
  </si>
  <si>
    <t>NB1-63 3P 40A</t>
  </si>
  <si>
    <t>Mini interruptores tripolares para riel omega. Amp. 3x40, Cap. de ruptura 6KA</t>
  </si>
  <si>
    <t>NB1-63 3P 50A</t>
  </si>
  <si>
    <t>Mini interruptores tripolares para riel omega. Amp. 3x50, Cap. de ruptura 6KA</t>
  </si>
  <si>
    <t>NB1-63 3P 63A</t>
  </si>
  <si>
    <t>Mini interruptores tripolares para riel omega. Amp. 3x63, Cap. de ruptura 6KA</t>
  </si>
  <si>
    <t>NP2-B102</t>
  </si>
  <si>
    <t xml:space="preserve">ESTACIONES DE MANDO EN CAJA PLASTICA Caja completa con pulsador marcado 1 rasante verde NA </t>
  </si>
  <si>
    <t>NP2-B112</t>
  </si>
  <si>
    <t>ESTACIONES DE MANDO EN CAJA PLASTICA Caja Caja completa con pulsador marcado 0 rasante rojo NC</t>
  </si>
  <si>
    <t>NP2-B213</t>
  </si>
  <si>
    <t>ESTACIONES DE MANDO EN CAJA PLASTICA Caja Caja completa con 2 pulsadores marcados 1-0 rasante verde/rojo NA+NC</t>
  </si>
  <si>
    <t>NP2-B324</t>
  </si>
  <si>
    <t>ESTACIONES DE MANDO EN CAJA PLASTICA Caja Caja completa con 3 pulsadores marcados con flechas+0 rasantes blanco/rojo/negro 2NA+NC</t>
  </si>
  <si>
    <t>NP2-J174</t>
  </si>
  <si>
    <t>ESTACIONES DE MANDO EN CAJA PLASTICA Caja Caja completa. Para de emergencia con enclavamiento tipo hongo 40mm, rojo 1NC</t>
  </si>
  <si>
    <t>YBLT-YDT1/14</t>
  </si>
  <si>
    <t>Estaciones de mando por pedal doble. Puesto de mando por doble pedal, mando adelante-atrás o lento-rápido con protección en cuerpo metálico robusto</t>
  </si>
  <si>
    <t>NQ3-5.5P</t>
  </si>
  <si>
    <t>Arrancadores directos en cofre metalico-plastico sin relé térmico (incluye conexiones para este). Para motor hasta 5,5 HP a 220Vac o 12 HP a 440 Vac</t>
  </si>
  <si>
    <t>NQ3-11P</t>
  </si>
  <si>
    <t>Arrancadores directos en cofre metalico-plastico sin relé térmico (incluye conexiones para este). Para motor hasta 10 HP a 220 Vac o 20 HP a 440Vac</t>
  </si>
  <si>
    <t>5LSA 230</t>
  </si>
  <si>
    <t>RELE CORRECTOR DEL FACTOR DE POTENCIA 230Vac.Rele 5 salidas 230 Vac. Marco 96x96</t>
  </si>
  <si>
    <t>7LSA 230</t>
  </si>
  <si>
    <t>RELE CORRECTOR DEL FACTOR DE POTENCIA 230Vac.Rele 7 salidas 230 Vac. Marco 96x96</t>
  </si>
  <si>
    <t>12BSA 230</t>
  </si>
  <si>
    <t>RELE CORRECTOR DEL FACTOR DE POTENCIA 230Vac.Rele 12 salidas 230 Vac.Marco 144x144</t>
  </si>
  <si>
    <t>5LSA 480</t>
  </si>
  <si>
    <t>RELE CORRECTOR DEL FACTOR DE POTENCIA 480. Relé 5 salidas 440-480 Vac. Marco 96x96</t>
  </si>
  <si>
    <t>7LSA 480</t>
  </si>
  <si>
    <t>RELE CORRECTOR DEL FACTOR DE POTENCIA 480. Relé 7 salidas 440-480 Vac. Marco 96x96</t>
  </si>
  <si>
    <t>CRT-78V - 2.5 - 230</t>
  </si>
  <si>
    <t>CONDENSADORES A 230 VAC. Potencia en Kvar 220V  2.74,  230V  3</t>
  </si>
  <si>
    <t>CRT-80V - 5 - 230</t>
  </si>
  <si>
    <t>CONDENSADORES A 230 VAC. Potencia en Kvar 220V   5.49,  230V  6</t>
  </si>
  <si>
    <t>CRT-E-100208-9-230</t>
  </si>
  <si>
    <t>CONDENSADORES A 230 VAC. Potencia en Kvar 220V  8.23,  230V  9</t>
  </si>
  <si>
    <t>CRT-85V-12.5 - 230</t>
  </si>
  <si>
    <t>CONDENSADORES A 230 VAC. Potencia en Kvar 220V  3.72,  230V  15</t>
  </si>
  <si>
    <t>CRT-E-116208-15-230</t>
  </si>
  <si>
    <t>CRT-82V - 15 - 460</t>
  </si>
  <si>
    <t>CONDENSADORES A 460 VAC. Potencia en Kvar 440V  16.5,  460V  18</t>
  </si>
  <si>
    <t>SRWM150253C2000</t>
  </si>
  <si>
    <t>CONDENSADORES A 460 VAC. Potencia en Kvar 440V  16.5,  460V  18 Tipo modular</t>
  </si>
  <si>
    <t>CRT-E75208-5-525</t>
  </si>
  <si>
    <t>CONDENSADORES A 480 VAC. Potencia en Kvar 440V  5,  480V  6</t>
  </si>
  <si>
    <t xml:space="preserve">CRT-E-75208-5-480 </t>
  </si>
  <si>
    <t>CONDENSADORES A 480 VAC. Potencia en Kvar 440V  4.2  480V  5</t>
  </si>
  <si>
    <t>CRT-E85208-10-525</t>
  </si>
  <si>
    <t>CONDENSADORES A 480 VAC. Potencia en Kvar 440V  10,  480V  12</t>
  </si>
  <si>
    <t xml:space="preserve">CRT-E-85208-10-480 </t>
  </si>
  <si>
    <t>CONDENSADORES A 480 VAC. Potencia en Kvar 440V  8.4,  480V  10</t>
  </si>
  <si>
    <t>CRT-E-100208-15-525</t>
  </si>
  <si>
    <t>CONDENSADORES A 480 VAC. Potencia en Kvar 440V  15,  480V  18</t>
  </si>
  <si>
    <t xml:space="preserve">CRT-E-100208-15-480 </t>
  </si>
  <si>
    <t>CONDENSADORES A 480 VAC. Potencia en Kvar 440V  12.6,  480V  15</t>
  </si>
  <si>
    <t xml:space="preserve">CRT-E-100208-20-480 </t>
  </si>
  <si>
    <t>CONDENSADORES A 480 VAC. Potencia en Kvar 440V  16.8,  480V  20</t>
  </si>
  <si>
    <t xml:space="preserve">CRT-E-116208-25-480 </t>
  </si>
  <si>
    <t>CONDENSADORES A 480 VAC. Potencia en Kvar 440V  21,  480V  25</t>
  </si>
  <si>
    <t xml:space="preserve">CRT-E-116208-30-480 </t>
  </si>
  <si>
    <t>CONDENSADORES A 480 VAC. Potencia en Kvar 440V  25.2,  480V  30</t>
  </si>
  <si>
    <t>24TDMEJ10</t>
  </si>
  <si>
    <t>Fusible 24 HH, 24 Kv, 10 Amperios.</t>
  </si>
  <si>
    <t>24TDMEJ16</t>
  </si>
  <si>
    <t>Fusible 24 HH, 24 Kv, 16 Amperios.</t>
  </si>
  <si>
    <t>24TDMEJ25</t>
  </si>
  <si>
    <t>Fusible 24 HH, 24 Kv, 25 Amperios.</t>
  </si>
  <si>
    <t>24TDMEJ40</t>
  </si>
  <si>
    <t>Fusible 24 HH, 24 Kv, 40 Amperios.</t>
  </si>
  <si>
    <t>24THMEJ63</t>
  </si>
  <si>
    <t>Fusible 24 HH, 24 Kv, 63Amperios.</t>
  </si>
  <si>
    <t>270V</t>
  </si>
  <si>
    <t>Toma doble P/T 15Amp, 125V color crema NEMA 5-15R</t>
  </si>
  <si>
    <t>270W</t>
  </si>
  <si>
    <t>Toma doble P/T 15Amp, 125V color blanco NEMA 5-15R</t>
  </si>
  <si>
    <t>CR20W</t>
  </si>
  <si>
    <t>Toma doble P/T 20Amp, 125V color blanco NEMA 5-20R</t>
  </si>
  <si>
    <t>TOMAGFCI</t>
  </si>
  <si>
    <t>Toma doble GFCI, 15Amp,125V con LED indicador, incluye tapa irrompible</t>
  </si>
  <si>
    <t>IG5262RN</t>
  </si>
  <si>
    <t>Toma doble, tierra aislada, 15A, 125V, color naranja</t>
  </si>
  <si>
    <t>IG5262GY</t>
  </si>
  <si>
    <t>Toma doble, tierra aislada, 15A, 125V, color gris</t>
  </si>
  <si>
    <t>8200HW</t>
  </si>
  <si>
    <t>Toma doble  15A,125V blanca grado hospital</t>
  </si>
  <si>
    <t>8200HRD</t>
  </si>
  <si>
    <t>Toma doble  15A,125V roja grado hospital</t>
  </si>
  <si>
    <t>IG8200RN</t>
  </si>
  <si>
    <t>IG8200W</t>
  </si>
  <si>
    <t>Toma doble, tierra aislada, 15A, 125V, color blanca</t>
  </si>
  <si>
    <t>IG8200V</t>
  </si>
  <si>
    <t>Toma doble, tierra aislada, 15A, 125V, color beige</t>
  </si>
  <si>
    <t>IG8300RN</t>
  </si>
  <si>
    <t>Toma doble, tierra aislada, 20A, 125V, color naranja</t>
  </si>
  <si>
    <t>IG8300W</t>
  </si>
  <si>
    <t>Toma doble, tierra aislada, 20A, 125V, color blanca</t>
  </si>
  <si>
    <t>4409-BOX</t>
  </si>
  <si>
    <t>Clavija recta plástica, color amarillo, para uso residencial y comercial, 20A, 125V,NEMA 5-20P</t>
  </si>
  <si>
    <t>CWL520R</t>
  </si>
  <si>
    <t>Toma y clavija 20 Amp, 125V, 2 polos + tierra, 3 hilos. Toma de incrustar  NEMA  L5-20R</t>
  </si>
  <si>
    <t>CWL520C</t>
  </si>
  <si>
    <t>Toma y clavija 20 Amp, 125V, 2 polos + tierra, 3 hilos. Toma aéreo NEMA L5-20R</t>
  </si>
  <si>
    <t>CWL520P</t>
  </si>
  <si>
    <t>Toma y clavija 20 Amp, 125V, 2 polos + tierra, 3 hilos. Clavija NEMA L5-20P</t>
  </si>
  <si>
    <t>CWL1420R</t>
  </si>
  <si>
    <t>Toma y clavija 20 Amp, 125/250 V, 3 polos + tierra, 4 hilos. Toma de incrustar  NEMA L1420R</t>
  </si>
  <si>
    <t>CWL1420C</t>
  </si>
  <si>
    <t>Toma y clavija 20 Amp, 125/250 V, 3 polos + tierra, 4 hilos. Toma aéreo NEMA L1420R</t>
  </si>
  <si>
    <t>CWL1420P</t>
  </si>
  <si>
    <t>Toma y clavija 20 Amp, 125/250 V, 3 polos + tierra, 4 hilos. Clavija NEMA L1420P</t>
  </si>
  <si>
    <t>CWL620R</t>
  </si>
  <si>
    <t xml:space="preserve">Tomas y clavija 20 Amp, 250V, 2 polos + tierra, 3 hilos. Toma de incrustar  NEMA L6-20R </t>
  </si>
  <si>
    <t>CWL620C</t>
  </si>
  <si>
    <t>Tomas y clavija 20 Amp, 250V, 2 polos + tierra, 3 hilos. Toma aéreo NEMA L6-20R</t>
  </si>
  <si>
    <t>CWL620P</t>
  </si>
  <si>
    <t>Tomas y clavija 20 Amp, 250V, 2 polos + tierra, 3 hilos. Clavija NEMA L6-20P</t>
  </si>
  <si>
    <t>CWL1120R</t>
  </si>
  <si>
    <t>Tomas y clavija 20 Amp, 250V, 3 polos, 3 hilos. Toma de incrustar   NEMA L11-20R</t>
  </si>
  <si>
    <t>CWL1120C</t>
  </si>
  <si>
    <t>Tomas y clavija 20 Amp, 250V, 3 polos, 3 hilos. Toma aéreo NEMA L11-20R</t>
  </si>
  <si>
    <t>CWL1120P</t>
  </si>
  <si>
    <t>Tomas y clavija 20 Amp, 250V, 3 polos, 3 hilos. Clavija NEMA L11-20P</t>
  </si>
  <si>
    <t>CWL1620R</t>
  </si>
  <si>
    <t>Tomas y clavija de 20 Amp, 480V, 3 polos + tierra, 4 hilos. Toma incrustar NEMA L1620R</t>
  </si>
  <si>
    <t>CWL1620C</t>
  </si>
  <si>
    <t>Tomas y clavija de 20 Amp, 480V, 3 polos + tierra, 4 hilos. Toma aéreo NEMA L1620R</t>
  </si>
  <si>
    <t>CWL1620P</t>
  </si>
  <si>
    <t>Tomas y clavija de 20 Amp, 480V, 3 polos + tierra, 4 hilos. Clavija NEMA L1620P</t>
  </si>
  <si>
    <t>CWL2120P</t>
  </si>
  <si>
    <t>Clavija de 20 Amp, 120/208V, 4 polos + tierra 5 hilos. Clavija NEMA L2120P</t>
  </si>
  <si>
    <t>CWL2130P</t>
  </si>
  <si>
    <t>Clavija de 30 Amp, 120/208V, 4 polos + tierra 5 hilos. Clavija NEMA L2130P</t>
  </si>
  <si>
    <t>CWL530R</t>
  </si>
  <si>
    <t xml:space="preserve">Tomas y clavija 30 Amp, 125V, 2 polos + tierra, 3 hilos . Toma de incrustar  NEMA L5-30R </t>
  </si>
  <si>
    <t>CWL530C</t>
  </si>
  <si>
    <t>Tomas y clavija 30 Amp, 125V, 2 polos + tierra, 3 hilos . Toma aéreo NEMA L5-30R</t>
  </si>
  <si>
    <t>CWL530P</t>
  </si>
  <si>
    <t>Tomas y clavija 30 Amp, 125V, 2 polos + tierra, 3 hilos . Clavija NEMA L5-30P</t>
  </si>
  <si>
    <t>CWL1430R</t>
  </si>
  <si>
    <t>Tomas y clavija 30 Amp, 125/250V, 3 polos + tierra, 4 hilos. Toma incrustar NEMA L1430R</t>
  </si>
  <si>
    <t>CWL1430C</t>
  </si>
  <si>
    <t>Tomas y clavija 30 Amp, 125/250V, 3 polos + tierra, 4 hilos. Toma aéreo  NEMA 1430R</t>
  </si>
  <si>
    <t>CWL1430P</t>
  </si>
  <si>
    <t>Tomas y clavija 30 Amp, 125/250V, 3 polos + tierra, 4 hilos. Clavija NEMA L1430P</t>
  </si>
  <si>
    <t>CWL630R</t>
  </si>
  <si>
    <t>Tomas y clavija 30 Amp, 250V, 2 polos + tierra, 3 hilos. Toma de incrustar   NEMA L6-30R</t>
  </si>
  <si>
    <t>CWL630C</t>
  </si>
  <si>
    <t>Tomas y clavija 30 Amp, 250V, 2 polos + tierra, 3 hilos. Toma aéreo  NEMA L6-30R</t>
  </si>
  <si>
    <t>CWL630P</t>
  </si>
  <si>
    <t>Tomas y clavija 30 Amp, 250V, 2 polos + tierra, 3 hilos. Clavija  NEMA L6-30P</t>
  </si>
  <si>
    <t>CWL1530R</t>
  </si>
  <si>
    <t>Tomas y clavija 30 Amp, 250V, 3 polos + tierra, 4 hilos. Toma de incrustar  NEMA L15-30R</t>
  </si>
  <si>
    <t>CWL1530C</t>
  </si>
  <si>
    <t>Tomas y clavija 30 Amp, 250V, 3 polos + tierra, 4 hilos. Toma aéreo NEMA L15-30R</t>
  </si>
  <si>
    <t>CWL1530P</t>
  </si>
  <si>
    <t>Tomas y clavija 30 Amp, 250V, 3 polos + tierra, 4 hilos.  Clavija NEMA L15-30P</t>
  </si>
  <si>
    <t>LC1D09</t>
  </si>
  <si>
    <t>CONTACTORES TRIPOLARES SERIE D, SERIE F, SERIE K Y AUXILIARES CAD.HP 220V 3, HP 440V 5.5, Amperios A3 9, Amperios AC1 25, Contactos Auxiliares 1NA+ 1NC</t>
  </si>
  <si>
    <t>LC1D12</t>
  </si>
  <si>
    <t>CONTACTORES TRIPOLARES SERIE D, SERIE F, SERIE K Y AUXILIARES CAD.HP 220V 4, HP 440V  7,5, Amperios A3 12, Amperios AC1 25, Contactos Auxiliares 1NA+1NC</t>
  </si>
  <si>
    <t>LC1D18</t>
  </si>
  <si>
    <t>CONTACTORES TRIPOLARES SERIE D, SERIE F, SERIE K Y AUXILIARES CAD.HP 220V 5,5, HP 440V  12, Amperios A3 18, Amperios AC1 32, Contactos Auxiliares 1NA+ 1NC</t>
  </si>
  <si>
    <t>LC1D25</t>
  </si>
  <si>
    <t>CONTACTORES TRIPOLARES SERIE D, SERIE F, SERIE K Y AUXILIARES CAD.HP 220V 7,5, HP 440V  15, Amperios A3 25, Amperios AC1 40, Contactos Auxiliares 1NA+ 1NC</t>
  </si>
  <si>
    <t>LC1D32</t>
  </si>
  <si>
    <t>CONTACTORES TRIPOLARES SERIE D, SERIE F, SERIE K Y AUXILIARES CAD.HP 220V 10, HP 440V  20, Amperios A3 32, Amperios AC1 50, Contactos Auxiliares 1NA+ 1NC</t>
  </si>
  <si>
    <t>LC1D38</t>
  </si>
  <si>
    <t>CONTACTORES TRIPOLARES SERIE D, SERIE F, SERIE K Y AUXILIARES CAD.HP 220V 12, HP 440V  25, Amperios A3 38, Amperios AC1 50, Contactos Auxiliares 1NA+ 1NC</t>
  </si>
  <si>
    <t>LC1D40</t>
  </si>
  <si>
    <t>CONTACTORES TRIPOLARES SERIE D, SERIE F, SERIE K Y AUXILIARES CAD.HP 220V 15, HP 440V  30, Amperios A3 40, Amperios AC1 60, Contactos Auxiliares 1NA+ 1NC</t>
  </si>
  <si>
    <t>LC1D50</t>
  </si>
  <si>
    <t>CONTACTORES TRIPOLARES SERIE D, SERIE F, SERIE K Y AUXILIARES CAD.HP 220V 20, HP 440V  40, Amperios A3 50, Amperios AC1 80, Contactos Auxiliares 1NA+ 1NC</t>
  </si>
  <si>
    <t>LC1D65</t>
  </si>
  <si>
    <t>CONTACTORES TRIPOLARES SERIE D, SERIE F, SERIE K Y AUXILIARES CAD.HP 220V 25, HP 440V  50, Amperios A3 65, Amperios AC1 80, Contactos Auxiliares 1NA+ 1NC</t>
  </si>
  <si>
    <t>LC1D80</t>
  </si>
  <si>
    <t>CONTACTORES TRIPOLARES SERIE D, SERIE F, SERIE K Y AUXILIARES CAD.HP 220V 30, HP 440V  61, Amperios A3 80, Amperios AC1 125, Contactos Auxiliares 1NA+ 1NC</t>
  </si>
  <si>
    <t>LC1D95</t>
  </si>
  <si>
    <t>CONTACTORES TRIPOLARES SERIE D, SERIE F, SERIE K Y AUXILIARES CAD.HP 220V 34, HP 440V  68, Amperios A3 95, Amperios AC1 125, Contactos Auxiliares 1NA+ 1NC</t>
  </si>
  <si>
    <t>LC1D115</t>
  </si>
  <si>
    <t>CONTACTORES TRIPOLARES SERIE D, SERIE F, SERIE K Y AUXILIARES CAD.HP 220V 40, HP 440V  80, Amperios A3 115, Amperios AC1 200, Contactos Auxiliares 1NA+ 1NC</t>
  </si>
  <si>
    <t>LC1D150</t>
  </si>
  <si>
    <t>CONTACTORES TRIPOLARES SERIE D, SERIE F, SERIE K Y AUXILIARES CAD.HP 220V 54, HP 440V  108, Amperios A3 150, Amperios AC1 200, Contactos Auxiliares 1NA+ 1NC</t>
  </si>
  <si>
    <t>LC1F115</t>
  </si>
  <si>
    <t>CONTACTORES TRIPOLARES SERIE D, SERIE F, SERIE K Y AUXILIARES CAD.HP 220V 40, HP 440V  80, Amperios A3 115, Amperios AC1 200</t>
  </si>
  <si>
    <t>LC1F150</t>
  </si>
  <si>
    <t>CONTACTORES TRIPOLARES SERIE D, SERIE F, SERIE K Y AUXILIARES CAD.HP 220V 54, HP 440V  108, Amperios A3 150, Amperios AC1 250</t>
  </si>
  <si>
    <t>LC1F185</t>
  </si>
  <si>
    <t>CONTACTORES TRIPOLARES SERIE D, SERIE F, SERIE K Y AUXILIARES CAD.HP 220V 74,5, HP 440V  135, Amperios A3 185, Amperios AC1 275</t>
  </si>
  <si>
    <t>LC1F225</t>
  </si>
  <si>
    <t>CONTACTORES TRIPOLARES SERIE D, SERIE F, SERIE K Y AUXILIARES CAD.HP 220V 84, HP 440V  150, Amperios A3 225, Amperios AC1 315</t>
  </si>
  <si>
    <t>LC1F265</t>
  </si>
  <si>
    <t>CONTACTORES TRIPOLARES SERIE D, SERIE F, SERIE K Y AUXILIARES CAD.HP 220V 102, HP 440V  190, Amperios A3 265, Amperios AC1 350</t>
  </si>
  <si>
    <t>LC1F330</t>
  </si>
  <si>
    <t>CONTACTORES TRIPOLARES SERIE D, SERIE F, SERIE K Y AUXILIARES CAD.HP 220V 135, HP 440V  270, Amperios A3 330, Amperios AC1 400</t>
  </si>
  <si>
    <t>LC1F400</t>
  </si>
  <si>
    <t>CONTACTORES TRIPOLARES SERIE D, SERIE F, SERIE K Y AUXILIARES CAD.HP 220V 150, HP 440V  339, Amperios A3 400, Amperios AC1 500</t>
  </si>
  <si>
    <t>LC1K0910</t>
  </si>
  <si>
    <t>CONTACTORES SERIE K DE CORRIENTE ALTERNA VERSIONES 110 Y 220 VAC. HP 220V 3, HP 440V  5, Amperios A3 9, Amperios AC1 20, Contactos Auxiliares 1NA</t>
  </si>
  <si>
    <t>CAD32</t>
  </si>
  <si>
    <t>CONTACTORES AUXILIARES DE CORRIENTE ALTERNA VERSIONES 110 Y 220 VAC.  3NA + 2NC</t>
  </si>
  <si>
    <t>CAD50</t>
  </si>
  <si>
    <t>CONTACTORES AUXILIARES DE CORRIENTE ALTERNA VERSIONES 110 Y 220 VAC.  5NA</t>
  </si>
  <si>
    <t>LRD03</t>
  </si>
  <si>
    <t>Relés tripolares de protección térmica compensados diferenciales con rearme manual o automático y señalización de disparo, Amperaje 0,25 A 0,40, Para montaje sobre contactor D09 - D38.</t>
  </si>
  <si>
    <t>LRD04</t>
  </si>
  <si>
    <t>Relés tripolares de protección térmica compensados diferenciales con rearme manual o automático y señalización de disparo, Amperaje 0,40 A 0,63, Para montaje sobre contactor D09 - D38.</t>
  </si>
  <si>
    <t>LRD05</t>
  </si>
  <si>
    <t>Relés tripolares de protección térmica compensados diferenciales con rearme manual o automático y señalización de disparo, Amperaje 0,63 A 1, Para montaje sobre contactor D09 - D38.</t>
  </si>
  <si>
    <t>LRD06</t>
  </si>
  <si>
    <t>Relés tripolares de protección térmica compensados diferenciales con rearme manual o automático y señalización de disparo, Amperaje 1 A 1.7, Para montaje sobre contactor D09 - D38.</t>
  </si>
  <si>
    <t>LRD07</t>
  </si>
  <si>
    <t>Relés tripolares de protección térmica compensados diferenciales con rearme manual o automático y señalización de disparo, Amperaje 1.6 a 2.5, Para montaje sobre contactor D09 - D38.</t>
  </si>
  <si>
    <t>LRD08</t>
  </si>
  <si>
    <t>Relés tripolares de protección térmica compensados diferenciales con rearme manual o automático y señalización de disparo, Amperaje 2.5 a 4, Para montaje sobre contactor D09 - D38.</t>
  </si>
  <si>
    <t>LRD10</t>
  </si>
  <si>
    <t>Relés tripolares de protección térmica compensados diferenciales con rearme manual o automático y señalización de disparo, Amperaje 4 a 6, Para montaje sobre contactor D09 - D38.</t>
  </si>
  <si>
    <t>LRD12</t>
  </si>
  <si>
    <t>Relés tripolares de protección térmica compensados diferenciales con rearme manual o automático y señalización de disparo, Amperaje 5.5 a 8, Para montaje sobre contactor D09 - D38.</t>
  </si>
  <si>
    <t>LRD14</t>
  </si>
  <si>
    <t>Relés tripolares de protección térmica compensados diferenciales con rearme manual o automático y señalización de disparo, Amperaje 7 a 10, Para montaje sobre contactor D09 - D38.</t>
  </si>
  <si>
    <t>LRD16</t>
  </si>
  <si>
    <t>Relés tripolares de protección térmica compensados diferenciales con rearme manual o automático y señalización de disparo, Amperaje 9 a 13, Para montaje sobre contactor D12 - D38.</t>
  </si>
  <si>
    <t>LRD21</t>
  </si>
  <si>
    <t>Relés tripolares de protección térmica compensados diferenciales con rearme manual o automático y señalización de disparo, Amperaje12 a 18, Para montaje sobre contactor D18 - D38.</t>
  </si>
  <si>
    <t>LRD22</t>
  </si>
  <si>
    <t>Relés tripolares de protección térmica compensados diferenciales con rearme manual o automático y señalización de disparo, Amperaje16 a 24, Para montaje sobre contactor D25 - D38.</t>
  </si>
  <si>
    <t>LRD32</t>
  </si>
  <si>
    <t>Relés tripolares de protección térmica compensados diferenciales con rearme manual o automático y señalización de disparo, Amperaje 23 a 32, Para montaje sobre contactor D25 - D38.</t>
  </si>
  <si>
    <t>LRD35</t>
  </si>
  <si>
    <t>Relés tripolares de protección térmica compensados diferenciales con rearme manual o automático y señalización de disparo, Amperaje 30 a 38, Para montaje sobre contactor D32 - D38</t>
  </si>
  <si>
    <t>LRD3322</t>
  </si>
  <si>
    <t>LRD3353</t>
  </si>
  <si>
    <t>Relés tripolares de protección térmica compensados diferenciales con rearme manual o automático y señalización de disparo, Amperaje 23 a 32, Para montaje sobre contactor D40 - D95</t>
  </si>
  <si>
    <t>LRD3355</t>
  </si>
  <si>
    <t>Relés tripolares de protección térmica compensados diferenciales con rearme manual o automático y señalización de disparo, Amperaje 30 a 40, Para montaje sobre contactor D40 - D95</t>
  </si>
  <si>
    <t>LRD3357</t>
  </si>
  <si>
    <t>Relés tripolares de protección térmica compensados diferenciales con rearme manual o automático y señalización de disparo, Amperaje 37 a 50, Para montaje sobre contactor D40 - D95</t>
  </si>
  <si>
    <t>LRD3359</t>
  </si>
  <si>
    <t>Relés tripolares de protección térmica compensados diferenciales con rearme manual o automático y señalización de disparo, Amperaje 48 a 65, Para montaje sobre contactor D50 - D95</t>
  </si>
  <si>
    <t>LRD3361</t>
  </si>
  <si>
    <t>Relés tripolares de protección térmica compensados diferenciales con rearme manual o automático y señalización de disparo, Amperaje 55 a 70, Para montaje sobre contactor D50 - D95</t>
  </si>
  <si>
    <t>LRD3363</t>
  </si>
  <si>
    <t>Relés tripolares de protección térmica compensados diferenciales con rearme manual o automático y señalización de disparo, Amperaje 63 A 80, Para montaje sobre contactor D65 - D95</t>
  </si>
  <si>
    <t>LRD3365</t>
  </si>
  <si>
    <t>Relés tripolares de protección térmica compensados diferenciales con rearme manual o automático y señalización de disparo, Amperaje 80 A 104, Para montaje sobre contactor D80 - D95</t>
  </si>
  <si>
    <t>LRD4367</t>
  </si>
  <si>
    <t>Relés tripolares de protección térmica compensados diferenciales con rearme manual o automático y señalización de disparo, Amperaje 95 A 120, Para montaje sobre contactor D115 - D150</t>
  </si>
  <si>
    <t>LRD4369</t>
  </si>
  <si>
    <t>Relés tripolares de protección térmica compensados diferenciales con rearme manual o automático y señalización de disparo, Amperaje 110 A 140, Para montaje sobre contactor D150</t>
  </si>
  <si>
    <t>LAD7B106</t>
  </si>
  <si>
    <t>Base de montaje independiente para relé LRD. Soporte para relé LRD</t>
  </si>
  <si>
    <t>LADT2</t>
  </si>
  <si>
    <t>Temporizadores neumáticos montaje frontal. Tipo TRABAJO, Regulación 0.1-30 seg., Composición 1NA + 1 NC</t>
  </si>
  <si>
    <t>LADT4</t>
  </si>
  <si>
    <t>Temporizadores neumáticos montaje frontal. Tipo TRABAJO, Regulación 10-180 seg. , Composición 1NA + 1 NC</t>
  </si>
  <si>
    <t>LADR2</t>
  </si>
  <si>
    <t>Temporizadores neumáticos montaje frontal. Tipo REPOSO, Regulación 0.1-30 seg. , Composición 1NA + 1 NC</t>
  </si>
  <si>
    <t>LADN11</t>
  </si>
  <si>
    <t>Bloques de contactos auxiliares, montaje frontal 1(D09-D150), Montaje lateral 2(F115-F780), Composición 1NA + 1NC</t>
  </si>
  <si>
    <t>LADN22</t>
  </si>
  <si>
    <t xml:space="preserve">Bloques de contactos auxiliares, montaje frontal 1(D09-D150) , Montaje lateral 2(F115-F780) , Composición 2NA + 2NC </t>
  </si>
  <si>
    <t>LADN04</t>
  </si>
  <si>
    <t xml:space="preserve">Bloques de contactos auxiliares, montaje frontal 1(D09-D150) , Montaje lateral 2(F115-F780) , Composición 4NC </t>
  </si>
  <si>
    <t>LADN40</t>
  </si>
  <si>
    <t>Bloques de contactos auxiliares, montaje frontal 1(D09-D150) , Montaje lateral 2(F115-F780) , Composición 4NA</t>
  </si>
  <si>
    <t>LX1D2/M6/R6</t>
  </si>
  <si>
    <t>Bobinas de repuesto para contactores serie antigua. Para contactor LC1D09 a D18 y CAD. 110V,220V, 440V</t>
  </si>
  <si>
    <t>LXD1B7</t>
  </si>
  <si>
    <t>Bobinas para contactores serie nueva TESYS. Para contactor LC1D09 a D38 y CAD 24 V</t>
  </si>
  <si>
    <t>LXD1F7</t>
  </si>
  <si>
    <t>Bobinas para contactores serie nueva TESYS. Para contactor LC1D09 a D38 y CAD 110 V</t>
  </si>
  <si>
    <t>LXD1M7</t>
  </si>
  <si>
    <t>Bobinas para contactores serie nueva TESYS. Para contactor LC1D09 a D38 y CAD 220 V</t>
  </si>
  <si>
    <t>LXD1R7</t>
  </si>
  <si>
    <t>Bobinas para contactores serie nueva TESYS. Para contactor LC1D09 a D38 y CAD 440 V</t>
  </si>
  <si>
    <t>LX1D6B7</t>
  </si>
  <si>
    <t>Bobinas para contactores serie nueva TESYS. Para contactor LC1D40-95 24V</t>
  </si>
  <si>
    <t>LX1D6F6</t>
  </si>
  <si>
    <t>Bobinas para contactores serie nueva TESYS. Para contactor LC1D40-95 110V.</t>
  </si>
  <si>
    <t>LX1D6M6</t>
  </si>
  <si>
    <t>Bobinas para contactores serie nueva TESYS. Para contactor LC1D40-95 220V</t>
  </si>
  <si>
    <t>LX1D6R6</t>
  </si>
  <si>
    <t>Bobinas para contactores serie nueva TESYS. Para contactor LC1D40-95 440V</t>
  </si>
  <si>
    <t>LAD9R1V</t>
  </si>
  <si>
    <t>Enclavamientos mecánicos para contactores serie TESYS. Para LC1D09 a D38</t>
  </si>
  <si>
    <t>LA9D50978</t>
  </si>
  <si>
    <t>Enclavamientos mecánicos para contactores serie TESYS. Para LC1D40 a D65 165</t>
  </si>
  <si>
    <t>LA9D4002</t>
  </si>
  <si>
    <t>Enclavamientos mecánicos para contactores serie TESYS. Para LC1D40 a D65 con enclavamiento eléctrico</t>
  </si>
  <si>
    <t>LA9D11502</t>
  </si>
  <si>
    <t xml:space="preserve">Enclavamientos mecánicos para contactores serie TESYS. Para LC1D115 y D150  </t>
  </si>
  <si>
    <t>LA9FG970</t>
  </si>
  <si>
    <t xml:space="preserve">Enclavamientos mecánicos para contactores serie TESYS. Para LC1F185 a F225  </t>
  </si>
  <si>
    <t>LA9FJ970</t>
  </si>
  <si>
    <t xml:space="preserve">Enclavamientos mecánicos para contactores serie TESYS. Para LC1F265 a F500  </t>
  </si>
  <si>
    <t>GV2ME03</t>
  </si>
  <si>
    <t>Disyuntor motor magneto-térmicos/ Guardamotores y Accesorios. HP 220V 0,1, HP440V 0,12, Regulación (A) 0,25-0,44, I corte 415 V Prec &gt; 100KA</t>
  </si>
  <si>
    <t>GV2ME04</t>
  </si>
  <si>
    <t>Disyuntor motor magneto-térmicos/ Guardamotores y Accesorios. HP 220V 0,1, HP440V 0,24, Regulación (A) 0,40-,63, I corte 415 V Prec &gt; 100KA</t>
  </si>
  <si>
    <t>GV2ME05</t>
  </si>
  <si>
    <t>Disyuntor motor magneto-térmicos/ Guardamotores y Accesorios. HP 220V 0.25, HP440V 0.5, Regulación (A) 0.63-1, I corte 415 V Prec &gt; 100KA</t>
  </si>
  <si>
    <t>GV2ME06</t>
  </si>
  <si>
    <t xml:space="preserve">Disyuntor motor magneto-térmicos/ Guardamotores y Accesorios. HP 220V 0,34, HP440V 0,75, Regulación (A) 1-1.6, I corte 415 V Prec &gt; 100KA </t>
  </si>
  <si>
    <t>GV2ME07</t>
  </si>
  <si>
    <t>Disyuntor motor magneto-térmicos/ Guardamotores y Accesorios. HP 220V 0,5, HP440V 1,5, Regulación (A) 1.6-2.5, I corte 415 V Prec &gt; 100KA</t>
  </si>
  <si>
    <t>GV2ME08</t>
  </si>
  <si>
    <t>Disyuntor motor magneto-térmicos/ Guardamotores y Accesorios. HP 220V 1, HP440V 2 , Regulación (A)2.5-4, I corte 415 V Prec &gt; 100KA</t>
  </si>
  <si>
    <t>GV2ME10</t>
  </si>
  <si>
    <t>Disyuntor motor magneto-térmicos/ Guardamotores y Accesorios. HP 220V 1,5, HP440V 4, Regulación (A) 4-6.3, I corte 415 V Prec &gt; 100KA</t>
  </si>
  <si>
    <t>GV2ME14</t>
  </si>
  <si>
    <t>Disyuntor motor magneto-térmicos/ Guardamotores y Accesorios. HP 220V 3, HP440V 5, Regulación (A) 6-10. , I corte 415 V Prec &gt; 100KA</t>
  </si>
  <si>
    <t>GV2ME16</t>
  </si>
  <si>
    <t>Disyuntor motor magneto-térmicos/ Guardamotores y Accesorios. HP 220V 4, HP440V 10, Regulación (A) 9-14. , I corte 415 V Prec 15KA</t>
  </si>
  <si>
    <t>GV2ME20</t>
  </si>
  <si>
    <t>Disyuntor motor magneto-térmicos/ Guardamotores y Accesorios. HP 220V 5, HP440V 10, Regulación (A) 13-18, I corte 415 V Prec 15KA</t>
  </si>
  <si>
    <t>GV2ME21</t>
  </si>
  <si>
    <t>Disyuntor motor magneto-térmicos/ Guardamotores y Accesorios. HP 220V 7, HP440V 12, Regulación (A) 17-23, I corte 415 V Prec 15KA</t>
  </si>
  <si>
    <t>GV2ME22</t>
  </si>
  <si>
    <t>Disyuntor motor magneto-térmicos/ Guardamotores y Accesorios. HP 220V 7, HP440V 15, Regulación (A) 20-25, I corte 415 V Prec 15KA</t>
  </si>
  <si>
    <t>GV2ME32</t>
  </si>
  <si>
    <t>Disyuntor motor magneto-térmicos/ Guardamotores y Accesorios. HP 220V 10, HP440V 20, Regulación (A) 24-32, I corte 415 V Prec 15KA</t>
  </si>
  <si>
    <t>GVAN11</t>
  </si>
  <si>
    <t>Accesorios para Guardamotores serie GV2ME. Bloque lateral de contactos auxiliares NA+NC</t>
  </si>
  <si>
    <t>GVAE11</t>
  </si>
  <si>
    <t>Accesorios para Guardamotores serie GV2ME. Bloque frontal de contactos auxiliares NA+NC</t>
  </si>
  <si>
    <t>GV2MC01</t>
  </si>
  <si>
    <t>Accesorios para Guardamotores serie GV2ME. Cofre para guardamotor GV2</t>
  </si>
  <si>
    <t>GVAD0110</t>
  </si>
  <si>
    <t>Accesorios para Guardamotores serie GV2ME. Contacto lateral de señalización falla NC + aux. NA</t>
  </si>
  <si>
    <t>GVAD1001</t>
  </si>
  <si>
    <t>Accesorios para Guardamotores serie GV2ME. Contacto lateral de señalización falla NA + aux. NC</t>
  </si>
  <si>
    <t>GVAD1010</t>
  </si>
  <si>
    <t>Accesorios para Guardamotores serie GV2ME. Contacto lateral de señalización falla NA + aux. NA</t>
  </si>
  <si>
    <t>GV2AF3</t>
  </si>
  <si>
    <t>Accesorios para Guardamotores serie GV2ME. Bloque de asociación GV2ME/GV2P+LC1D</t>
  </si>
  <si>
    <t>XB4BA21</t>
  </si>
  <si>
    <t xml:space="preserve">Unidades de control de 22 mm. Con embellecedor metálico IP65-Nema 4X Pulsadores de 22mm. Botón pulsador rasante negro, marcha NA </t>
  </si>
  <si>
    <t>XB4BA31</t>
  </si>
  <si>
    <t xml:space="preserve">Unidades de control de 22 mm. Con embellecedor metálico IP65-Nema 4X Pulsadores de 22mm. Botón pulsador rasante verde, marcha NA </t>
  </si>
  <si>
    <t>XB4BA42</t>
  </si>
  <si>
    <t xml:space="preserve">Unidades de control de 22 mm. Con embellecedor metálico IP65-Nema 4X Pulsadores de 22mm. Botón pulsador rasante rojo, parada NC </t>
  </si>
  <si>
    <t>XB4BP21</t>
  </si>
  <si>
    <t xml:space="preserve">Unidades de control de 22 mm. Con embellecedor metálico IP65-Nema 4X Pulsadores de 22mm. Botón pulsador con capuchón negro, parada NA </t>
  </si>
  <si>
    <t>XB4BP31</t>
  </si>
  <si>
    <t>Unidades de control de 22 mm. Con embellecedor metálico IP65-Nema 4X Pulsadores de 22mm. Botón pulsador con capuchón verde, parada NA</t>
  </si>
  <si>
    <t>XB4BP42</t>
  </si>
  <si>
    <t xml:space="preserve">Unidades de control de 22 mm. Con embellecedor metálico IP65-Nema 4X Pulsadores de 22mm. Botón pulsador rojo con capuchón, parada NC </t>
  </si>
  <si>
    <t>XB4BL945</t>
  </si>
  <si>
    <t xml:space="preserve">Unidades de control de 22 mm. Con embellecedor metálico IP65-Nema 4X Pulsadores de 22mm. Botón pulsador doble con capuchón, verde rasante+rojo sobresaliente </t>
  </si>
  <si>
    <t>XB4BT42</t>
  </si>
  <si>
    <t xml:space="preserve">Unidades de control de 22 mm. Con embellecedor metálico IP65-Nema 4X Pulsadores de 22mm. Pulsador de hongo (seta) rojo 40 mm, tirar para liberar. </t>
  </si>
  <si>
    <t>XB4BS542</t>
  </si>
  <si>
    <t xml:space="preserve">Unidades de control de 22 mm. Con embellecedor metálico IP65-Nema 4X Pulsadores de 22mm. Pulsador de hongo (seta) 40 mm, rojo girar para liberar </t>
  </si>
  <si>
    <t>XB4BV63</t>
  </si>
  <si>
    <t>Piloto de señalización verde &lt;250 vac conexión directa -2.4w</t>
  </si>
  <si>
    <t>XB4BV64</t>
  </si>
  <si>
    <t>Piloto de señalización rojo &lt;250 vac conexión directa -2. 4w</t>
  </si>
  <si>
    <t>XB4BV65</t>
  </si>
  <si>
    <t>Piloto de señalización amarillo &lt;250 vac conexión directa -2.4w</t>
  </si>
  <si>
    <t>XB4BD21</t>
  </si>
  <si>
    <t>Switche selector de manija negra 2 posiciones fijas 1NA</t>
  </si>
  <si>
    <t>XB4BD33</t>
  </si>
  <si>
    <t>Switche selector de manija negra 3 posiciones fijas 2NA</t>
  </si>
  <si>
    <t>XB4BD53</t>
  </si>
  <si>
    <t>Switche selector de manija negra 3 posiciones con retorno 2NA</t>
  </si>
  <si>
    <t>XB4BG21</t>
  </si>
  <si>
    <t>Switche selector con llave 2 posiciones fijas 1NA</t>
  </si>
  <si>
    <t>XB4BJ21</t>
  </si>
  <si>
    <t>Muletilla 2 posiciones manija larga</t>
  </si>
  <si>
    <t>XB4BJ33</t>
  </si>
  <si>
    <t>Muletilla 3 posiciones manija larga</t>
  </si>
  <si>
    <t>XB4BW3365</t>
  </si>
  <si>
    <t>Pulsador luminoso verde &gt;250 vac conexión directa no incluye bombillo, 2.4 w,</t>
  </si>
  <si>
    <t>XB4BW3465</t>
  </si>
  <si>
    <t>Pulsador luminoso rojo &gt;250 vac conexión directa no incluye bombillo, 2.4 w,</t>
  </si>
  <si>
    <t>XB4BW3565</t>
  </si>
  <si>
    <t xml:space="preserve">Pulsador luminoso amarillo &gt;250 vac conexión directa no incluye bombillo, 2.4 w, </t>
  </si>
  <si>
    <t>XB4BW84G5</t>
  </si>
  <si>
    <r>
      <t xml:space="preserve">Botón pulsador doble con </t>
    </r>
    <r>
      <rPr>
        <b/>
        <sz val="10"/>
        <rFont val="Arial"/>
        <family val="2"/>
      </rPr>
      <t xml:space="preserve">LED </t>
    </r>
    <r>
      <rPr>
        <sz val="10"/>
        <rFont val="Arial"/>
        <family val="2"/>
      </rPr>
      <t>a 120 VAC</t>
    </r>
  </si>
  <si>
    <t>XB4BW84M5</t>
  </si>
  <si>
    <r>
      <t xml:space="preserve">Botón pulsador doble con </t>
    </r>
    <r>
      <rPr>
        <b/>
        <sz val="10"/>
        <rFont val="Arial"/>
        <family val="2"/>
      </rPr>
      <t xml:space="preserve">LED </t>
    </r>
    <r>
      <rPr>
        <sz val="10"/>
        <rFont val="Arial"/>
        <family val="2"/>
      </rPr>
      <t>a 240 VAC</t>
    </r>
  </si>
  <si>
    <t>XB4BW33M5</t>
  </si>
  <si>
    <t>Pulsador luminoso con led verde 220 vac</t>
  </si>
  <si>
    <t>XB4BW34M5</t>
  </si>
  <si>
    <t>Pulsador luminoso con led rojo 220 vac</t>
  </si>
  <si>
    <t>XB4BW35M5</t>
  </si>
  <si>
    <t>Pulsador luminoso con led amarillo 220 vac</t>
  </si>
  <si>
    <t>XB4BW33G5</t>
  </si>
  <si>
    <t>Pulsador luminoso con led verde 120 vac</t>
  </si>
  <si>
    <t>XB4BW34G5</t>
  </si>
  <si>
    <t>Pulsador luminoso con led rojo 120 vac</t>
  </si>
  <si>
    <t>XB4BW35G5</t>
  </si>
  <si>
    <t>Pulsador luminoso con led amarillo 120 vac</t>
  </si>
  <si>
    <t>XB5AL945</t>
  </si>
  <si>
    <t>Botón pulsador doble NA/NC, 1 verde resante mas uno rojo sobresaliente 0- IP66</t>
  </si>
  <si>
    <t>XB5AW3365</t>
  </si>
  <si>
    <t xml:space="preserve">Pulsador luminoso verde &lt;250vac 1NA+1NC no incluye bombillo de 2.4W </t>
  </si>
  <si>
    <t>XB5AW3465</t>
  </si>
  <si>
    <t>Pulsador luminoso rojo &lt;250vac 1NA+1NC no incluye bombillo de 2.4W</t>
  </si>
  <si>
    <t>XB5AS542</t>
  </si>
  <si>
    <t>PAROS DE EMERGENCIA Pulsador de hongo (seta) rojo 40 mm girar para liberar</t>
  </si>
  <si>
    <t>XB5AT42</t>
  </si>
  <si>
    <t>PAROS DE EMERGENCIA Pulsador hongo (seta) rojo 40 mm-1 NC/pulsar-tirar</t>
  </si>
  <si>
    <t>XB5AD21</t>
  </si>
  <si>
    <t>SELECTORES DE MULETILLA Y LLAVE. Switche selector de manija negra 2 posiciones fijas 1NA</t>
  </si>
  <si>
    <t>XB5AD33</t>
  </si>
  <si>
    <t>SELECTORES DE MULETILLA Y LLAVE .Switche selector de manija negra 3 posiciones fijas 2NA</t>
  </si>
  <si>
    <t>XB5AG21</t>
  </si>
  <si>
    <t>SELECTORES DE MULETILLA Y LLAVE. Switche selector con llave 2 posiciones fijas1NA</t>
  </si>
  <si>
    <t>ZBE-101</t>
  </si>
  <si>
    <t>BLOQUES DE CONTACTOS PARA PULSADOR XB4 Y XB5. Bloque de contactos 1 NO</t>
  </si>
  <si>
    <t>ZBE-102</t>
  </si>
  <si>
    <t>BLOQUES DE CONTACTOS PARA PULSADOR XB4 Y XB5. Bloque de contactos 1 NC</t>
  </si>
  <si>
    <t>XCKM110</t>
  </si>
  <si>
    <t>INTERRUPTORES DE POSICION XCKM y KCKJ. Con pulsador externo en acero</t>
  </si>
  <si>
    <t>XCKM102</t>
  </si>
  <si>
    <t>INTERRUPTORES DE POSICION XCKM y KCKJ. Con pulsador de roldana en acero</t>
  </si>
  <si>
    <t>XCKM115</t>
  </si>
  <si>
    <t>INTERRUPTORES DE POSICION XCKM y KCKJ. Con palanca y roldana plástica</t>
  </si>
  <si>
    <t>XCKM121</t>
  </si>
  <si>
    <t>INTERRUPTORES DE POSICION XCKM y KCKJ. Con palanca y roldana plástica un solo sentido de acción</t>
  </si>
  <si>
    <t>XCKM106</t>
  </si>
  <si>
    <t>INTERRUPTORES DE POSICION XCKM y KCKJ. Con varilla flexible</t>
  </si>
  <si>
    <t>XCKJ10513</t>
  </si>
  <si>
    <t>INTERRUPTORES DE POSICION XCKM y KCKJ. Con palanca y roldana de acero</t>
  </si>
  <si>
    <t>XCKJ10559</t>
  </si>
  <si>
    <t>INTERRUPTORES DE POSICION XCKM y KCKJ. Con varilla rígida regulable</t>
  </si>
  <si>
    <t>XCKJ161</t>
  </si>
  <si>
    <t>XALD102</t>
  </si>
  <si>
    <t>Caja completa con pulsador marcado 1 rasante verde NA</t>
  </si>
  <si>
    <t>XALD112</t>
  </si>
  <si>
    <t>Caja completa con pulsador marcado 0 rasante rojo NC</t>
  </si>
  <si>
    <t>XALD213</t>
  </si>
  <si>
    <t>Caja completa con 2 pulsadores marcados 1-0 rasante</t>
  </si>
  <si>
    <t>XALD324</t>
  </si>
  <si>
    <t>Caja completa con 3 pulsadores marcados con flechas+0 rasantes blanco/rojo/negro 2NA+NC</t>
  </si>
  <si>
    <t>XALD363G</t>
  </si>
  <si>
    <t>Caja completa con 2 pulsadores rasantes marcados 1-0 verde/rojo NA+NC con luz piloto led rojo integrado 120VAC</t>
  </si>
  <si>
    <t>XALD363M</t>
  </si>
  <si>
    <t>Caja completa con 2 pulsadores rasantes marcados 1-0 verde/rojo NA+NC con luz piloto led rojo integrado 240VAC</t>
  </si>
  <si>
    <t>XALK174</t>
  </si>
  <si>
    <t>Caja completa. Para de emergencia con enclavamiento tipo hongo 40mm, rojo 1NC</t>
  </si>
  <si>
    <t>XPEM110</t>
  </si>
  <si>
    <t>Estaciones de mando por pedal. 2 contactos "AC" / 1 C/O - metálico</t>
  </si>
  <si>
    <t>XACA271</t>
  </si>
  <si>
    <t>Estaciones de mando colgantes. 2 pulsadores</t>
  </si>
  <si>
    <t>XACA471</t>
  </si>
  <si>
    <t>Estaciones de mando colgantes. 4 pulsadores</t>
  </si>
  <si>
    <t>XACA671</t>
  </si>
  <si>
    <t>Estaciones de mando colgantes. 6 pulsadores</t>
  </si>
  <si>
    <t>XACA871</t>
  </si>
  <si>
    <t>Estaciones de mando colgantes. 8 pulsadores</t>
  </si>
  <si>
    <t>RUN21D21F7</t>
  </si>
  <si>
    <t>Relés _de 8 pines. Relé de 110 VAC/10Amp.</t>
  </si>
  <si>
    <t>RUMC3AB1BD</t>
  </si>
  <si>
    <t>Relés de 11 pines. Relé de 24 VDC/10Amp.</t>
  </si>
  <si>
    <t>RUMC3AB1B7</t>
  </si>
  <si>
    <t>Relés de 11 pines. Relé de 24 VAC/10Amp.</t>
  </si>
  <si>
    <t>RUMC3AB1F7</t>
  </si>
  <si>
    <t>Relés de 11 pines. Relé de 110 VAC/10Amp</t>
  </si>
  <si>
    <t>RUMC3AB1P7</t>
  </si>
  <si>
    <t>Relés de 11 pines. Relé de 220 VAC/10Amp</t>
  </si>
  <si>
    <t>RUZC3M</t>
  </si>
  <si>
    <t>Relés de 11 pines. Base para relé de 11 pines</t>
  </si>
  <si>
    <t>RXM4AB1BD</t>
  </si>
  <si>
    <t>Relés de 14 pines. Relé de 24 VDC/5Amp.</t>
  </si>
  <si>
    <t>RXM4AB1B7</t>
  </si>
  <si>
    <t>Relés de 14 pines. Relé de 24 VAC/5Amp. 54</t>
  </si>
  <si>
    <t>RXM4AB1F7</t>
  </si>
  <si>
    <t>Relés de 14 pines. Relé de 110 VAC/5Amp.</t>
  </si>
  <si>
    <t>RXM4AB1P7</t>
  </si>
  <si>
    <t>Relés de 14 pines. Relé de 230 VAC/5Amp.</t>
  </si>
  <si>
    <t>RXZE2M114M</t>
  </si>
  <si>
    <t>Relés de 14 pines. Base para relé de 14 pines</t>
  </si>
  <si>
    <t>LE1D09M705</t>
  </si>
  <si>
    <t>Arrancador directo en cofre plástico relé 0,63 - 1 Amp</t>
  </si>
  <si>
    <t>LE1D09M706</t>
  </si>
  <si>
    <t>Arrancador directo en cofre plástico relé 1 - 1,6 Amp</t>
  </si>
  <si>
    <t>LE1D09M707</t>
  </si>
  <si>
    <t>Arrancador directo en cofre plástico relé 1,6 - 2,5 Amp</t>
  </si>
  <si>
    <t>LE1D09M708</t>
  </si>
  <si>
    <t>Arrancador directo en cofre plástico relé 2,5 - 4 Amp</t>
  </si>
  <si>
    <t>LE1D09M710</t>
  </si>
  <si>
    <t>Arrancador directo en cofre plástico relé 4 - 6 Amp</t>
  </si>
  <si>
    <t>LE1D09M712</t>
  </si>
  <si>
    <t>Arrancador directo en cofre plástico relé 5,5 - 8 Amp</t>
  </si>
  <si>
    <t>LE1D09M714</t>
  </si>
  <si>
    <t>Arrancador directo en cofre plástico relé 7 - 10 Amp</t>
  </si>
  <si>
    <t>LE1D12M716</t>
  </si>
  <si>
    <t>Arrancador directo en cofre plástico relé 9 - 13 Amp</t>
  </si>
  <si>
    <t>LE1D18M721</t>
  </si>
  <si>
    <t>Arrancador directo en cofre plástico relé 12 - 18 Amp</t>
  </si>
  <si>
    <t>LE1D25M722</t>
  </si>
  <si>
    <t>Arrancador directo en cofre plástico relé 16 - 24 Amp</t>
  </si>
  <si>
    <t>LE1D35M753</t>
  </si>
  <si>
    <t>Arrancador directo en cofre plástico relé 23 - 32 Amp</t>
  </si>
  <si>
    <t>LE1D35M755</t>
  </si>
  <si>
    <t>Arrancador directo en cofre plástico relé 28 - 36 Amp</t>
  </si>
  <si>
    <t>LE1D405M753</t>
  </si>
  <si>
    <t>LE1D405M755</t>
  </si>
  <si>
    <t>Arrancador directo en cofre plástico relé 30 - 40 Amp</t>
  </si>
  <si>
    <t>LE1D505M757</t>
  </si>
  <si>
    <t>Arrancador directo en cofre plástico relé 37 - 50 Amp</t>
  </si>
  <si>
    <t>XS7C40FP260</t>
  </si>
  <si>
    <t>Sensor de proximidad inductivo rectangular 15mm de alcance</t>
  </si>
  <si>
    <t>DF6AB10</t>
  </si>
  <si>
    <t>Porta fusible 10X38 de riel omega</t>
  </si>
  <si>
    <t>SRB261FU</t>
  </si>
  <si>
    <t>Modulo lógico programable 26E/S 110…240 vac</t>
  </si>
  <si>
    <t>CNIVEL 50</t>
  </si>
  <si>
    <t>Control de nivel por ultrasonido y con monitor en sala de control o operación con salida para CPU</t>
  </si>
  <si>
    <t>CABLE-UTP</t>
  </si>
  <si>
    <t>Cable UTP nivel 6 en tuberia pvc conduit de 3/4" por metro</t>
  </si>
  <si>
    <t>MOTBO2HP</t>
  </si>
  <si>
    <t xml:space="preserve">Motobomba centrifuga para cloración con motor de 2 HP, horizontal, monofásica </t>
  </si>
  <si>
    <t>BOTPRIAUX</t>
  </si>
  <si>
    <t>Botiquin de primeros auxilios con gabinete metálico para sobreponer en pared, de la cruz roja</t>
  </si>
  <si>
    <t>MASCLOR</t>
  </si>
  <si>
    <t>Mascara media cara o full face de seguridad para el manejo de cloro, con protección para los ojos y filtros o cartuchos intercambiables</t>
  </si>
  <si>
    <t>GUANQCO</t>
  </si>
  <si>
    <t>Guantes de plastico hasta el codo para manejo de sustancias quimicas</t>
  </si>
  <si>
    <t>OVERCLO</t>
  </si>
  <si>
    <t>Overol de plastico para manejo de cloro, incluye botas plásticas</t>
  </si>
  <si>
    <t>AVICLO</t>
  </si>
  <si>
    <t xml:space="preserve">Avisos de seguridad para manejo de cloro, con pintura reflectiva y medidas </t>
  </si>
  <si>
    <t>CIL900</t>
  </si>
  <si>
    <t>Cilindro o contenedor de tonelada (900 kg) para cloro</t>
  </si>
  <si>
    <t>LLAV200</t>
  </si>
  <si>
    <t>Llave 200 para válvulas de cilindros o contenedores para cloro</t>
  </si>
  <si>
    <t>CARRTON</t>
  </si>
  <si>
    <t>Carrocoche para traslado de cilindros de tonelada para cloro</t>
  </si>
  <si>
    <t>DIF3TON</t>
  </si>
  <si>
    <t>Diferencial de 3 toneladas de cadena, para fijar en burro o puente gruas</t>
  </si>
  <si>
    <t>GAN1000</t>
  </si>
  <si>
    <t>Gancho según diseño para levantar el contenedor o cilindro de tonelada</t>
  </si>
  <si>
    <t>VAL1000</t>
  </si>
  <si>
    <t>Válvula con prensa para cloro</t>
  </si>
  <si>
    <t>AVIELE</t>
  </si>
  <si>
    <t>Aviso en acrilico de 25 x18 x 0,5 cms, color amarillo con letras negras según diseño</t>
  </si>
  <si>
    <t>COR15</t>
  </si>
  <si>
    <t>Correillas plasticas de 15 cms</t>
  </si>
  <si>
    <t>PINAMA</t>
  </si>
  <si>
    <t>Pintura reflectiva de color amarillo tráfico, especial para pintar sobre concreto, metál o plastico, por galón</t>
  </si>
  <si>
    <t>CINANM</t>
  </si>
  <si>
    <t xml:space="preserve">Cinta de enmascarar de 3cms, rollo </t>
  </si>
  <si>
    <t>GALDIS</t>
  </si>
  <si>
    <t>Galón de disolvente para pintura a base de aceite</t>
  </si>
  <si>
    <t>CINAISAUT</t>
  </si>
  <si>
    <t>Cinta aislante autofundente Scoth No. 23 o similar, rollo</t>
  </si>
  <si>
    <t>CINAISL</t>
  </si>
  <si>
    <t>Cinta aislante Scoth No. 33 o similar, rollo</t>
  </si>
  <si>
    <t>CINAMM</t>
  </si>
  <si>
    <t>Cinta aislante de color amarillo, rollo</t>
  </si>
  <si>
    <t>CINAZU</t>
  </si>
  <si>
    <t>Cinta aislante de color azul, rollo</t>
  </si>
  <si>
    <t>CINROJ</t>
  </si>
  <si>
    <t>Cinta aislante de color rojo, rollo</t>
  </si>
  <si>
    <t>ACRICAB</t>
  </si>
  <si>
    <t>Acrilico para cables de 5 x 2 x 0,4 cms, para colocar en cables electricos</t>
  </si>
  <si>
    <t>BASC500</t>
  </si>
  <si>
    <t>Báscula digital para peso de 500 kilos, para piso</t>
  </si>
  <si>
    <t>CLORA100</t>
  </si>
  <si>
    <t>Clorador Regal o similar para cloro gaseoso con rotametro de 0-100 l/día, con su eyector, mangueras y manuales</t>
  </si>
  <si>
    <t>BOMDOSAL</t>
  </si>
  <si>
    <t>Bomba dosificadora para sulfato de 110voltios, con una capacidad máxima de 60 litros/hora</t>
  </si>
  <si>
    <t>TAN500</t>
  </si>
  <si>
    <t>Tanque en fibra de vidrio de 500 litros para sulfato de aluminio</t>
  </si>
  <si>
    <t>BORN50</t>
  </si>
  <si>
    <t>Borneras para cable de furza de 50 Amp, para riel Omega</t>
  </si>
  <si>
    <t>KITLAMP</t>
  </si>
  <si>
    <t xml:space="preserve">Kit para lámpara de alumbrado público de 70 wat, 220v, balasto, capacitor, bombilla, fotocelda y soquet, </t>
  </si>
  <si>
    <t>Pararrayos Franklin con punta en acero inoxidable</t>
  </si>
  <si>
    <t>SOLEXOTE</t>
  </si>
  <si>
    <t>Punto de soldadura exotermica con varilla y cable 1/0</t>
  </si>
  <si>
    <t>EXTMUL</t>
  </si>
  <si>
    <t>Extintores multipropositos tamaño según referencia, con sus respectivas señalizaciones</t>
  </si>
  <si>
    <t>LAMEME</t>
  </si>
  <si>
    <t>S.T.I. lámpara de emergencia de 150w, 110v, completa, incluye salida eléctrica</t>
  </si>
  <si>
    <t>VAL6ONDA</t>
  </si>
  <si>
    <t>Válvula anticipadora de onda de 6'' EB, con pilotos de alta y baja</t>
  </si>
  <si>
    <t>VAL8ONDA</t>
  </si>
  <si>
    <t>Válvula anticipadora de onda de 8'' EB, con pilotos de alta y baja</t>
  </si>
  <si>
    <t>VAL10ONDA</t>
  </si>
  <si>
    <t>Válvula anticipadora de onda de 10'' EB, con pilotos de alta y baja</t>
  </si>
  <si>
    <t>VAL10CEB</t>
  </si>
  <si>
    <t>Válvula compuerta elastica de 10'' EB, con accesorios de ensamble</t>
  </si>
  <si>
    <t>VAL6CEB</t>
  </si>
  <si>
    <t>Válvula compuerta elastica de 6'' EB, con accesorios de ensamble</t>
  </si>
  <si>
    <t>VALCH10EB</t>
  </si>
  <si>
    <t>Válvula cheque de 10" EB y sus repectivos accesorios de ensamble</t>
  </si>
  <si>
    <t>VALCH6EB</t>
  </si>
  <si>
    <t>Válvula cheque de 6" EB y sus repectivos accesorios de ensamble</t>
  </si>
  <si>
    <t>VAL10MAR</t>
  </si>
  <si>
    <t>Válvula mariposa de  10'' EB, con accesorios de ensamble</t>
  </si>
  <si>
    <t>VAL6MAR</t>
  </si>
  <si>
    <t>Válvula mariposa de  6'' EB, con accesorios de ensamble</t>
  </si>
  <si>
    <t>GV3_T_BVM</t>
  </si>
  <si>
    <t>Bomba vertical multietapa</t>
  </si>
  <si>
    <t>GV3_T_SVV</t>
  </si>
  <si>
    <t>Sistema de Velocidad Variable</t>
  </si>
  <si>
    <t>GV3_T_CPCUL</t>
  </si>
  <si>
    <t>Control de presión y certificación por UL 2011-65YF</t>
  </si>
  <si>
    <t>GV2_D_BVM</t>
  </si>
  <si>
    <t>GV2_D_SVV</t>
  </si>
  <si>
    <t>GV2_D_CPCUL</t>
  </si>
  <si>
    <t>P_D_BCM</t>
  </si>
  <si>
    <t>Bombas centrifugas Myers</t>
  </si>
  <si>
    <t>B_Griswold 811L</t>
  </si>
  <si>
    <t>Bomba 954 GPM @ 361 ft TDH *** Griswold 811L</t>
  </si>
  <si>
    <t>B_G&amp;L Model 5BF1M5F0</t>
  </si>
  <si>
    <t>Bomba  80 GPM @ 246 ft TDH *** Goulds G&amp;L Model 5BF1M5F0 End suction centrifugal pump.</t>
  </si>
  <si>
    <t>B_G&amp;L Model 3BF1H5C0</t>
  </si>
  <si>
    <t>Bomba 80 GPM @ 86 ft TDH *** Goulds G&amp;L Model 3BF1H5C0 End suction centrifugal pump.</t>
  </si>
  <si>
    <t>SISTEMA ELECTRICO ANALISIS DE PRECIOS UNITARIOS</t>
  </si>
  <si>
    <t>A.I.U.</t>
  </si>
  <si>
    <t xml:space="preserve">Suministro de Planta eléctrica de emergencia tipo cerrada, trifásica de 250  KVA, 440/208 voltios, DIESEL, Stand By, con potencia efectiva 250 KVA,  debe contener tanque de combustible con capacidad de 100 gal, baterías, cargador de baterías, sistema con transferencia automática, para instalar a 100 msnm, debe tener representación en Colombia, manuales de operación, catálogos, silenciador, accesorios para el exosto, base y fijación, medidores de carátula, tener breaker totalizador para salida de alimentación. </t>
  </si>
  <si>
    <t>TRANSF50</t>
  </si>
  <si>
    <t>25% AIU:</t>
  </si>
  <si>
    <t xml:space="preserve">Suministro de Planta eléctrica de emergencia tipo cerrada, trifásica de 75  KVA, 440/208 voltios, DIESEL, Stand By, con potencia efectiva 75 KVA,  debe contener tanque de combustible con capacidad de 100 gal, baterías, cargador de baterías, sistema con transferencia automática, para instalar a 100 msnm, debe tener representación en Colombia, manuales de operación, catálogos, silenciador, accesorios para el exosto, base y fijación, medidores de carátula, tener breaker totalizador para salida de alimentación. </t>
  </si>
  <si>
    <t xml:space="preserve">Instalación y puesta en servicio de Planta eléctrica de emergencia tipo cerrada, trifásica de 75  KVA, 440/208 voltios, DIESEL, Stand By, con potencia efectiva 75 KVA,  debe contener tanque de combustible con capacidad de 100 gal, baterías, cargador de baterías, sistema con transferencia automática, para instalar a 100 msnm, debe tener representación en Colombia, manuales de operación, catálogos, silenciador, accesorios para el exosto, base y fijación, medidores de carátula, tener breaker totalizador para salida de alimentación. </t>
  </si>
  <si>
    <t>Suministro de Bajante secundario en tubería galvanizada en 3", incluye  fijación con cinta bandit, capacete de  " y entrada a caja de  3", desde el barraje secundario del trafo de 75 kVA</t>
  </si>
  <si>
    <t>CAPAC4</t>
  </si>
  <si>
    <t>CUAD</t>
  </si>
  <si>
    <t>Suministro de Bajante secundario en tubería galvanizada en 3", incluye  fijación con cinta bandit, capacete de  3" y entrada a caja de  3", desde el barraje secundario del trafo de 45 kVA</t>
  </si>
  <si>
    <t>CAPAC2</t>
  </si>
  <si>
    <t>Instalación de Bajante secundario en tubería galvanizada en 2", incluye  fijación con cinta bandit, capacete de 2" y entrada a caja de 2".</t>
  </si>
  <si>
    <t>Suministro de Puesta a tierra, RA6-010, norma EPM</t>
  </si>
  <si>
    <t>CABLE 6</t>
  </si>
  <si>
    <t>RA7-111</t>
  </si>
  <si>
    <t>Suministro de  Contador electrónico de energía activa y reactiva multifuncional, 3F, 4H, 5/120(A), 120/….480 Vol., calibrado  y homologado por EPM, para medida indirecta, incluye bornera cortocircuitable y tres transformadores de corriente de 150/5 A, calibrados y homologados por la empresa de energía de Vigia del Fuerte</t>
  </si>
  <si>
    <t>Instalación y puesta en servicio de  Contador electrónico de energía activa y reactiva multifuncional, 3F, 4H, 5/120(A), 120/….480 Vol., calibrado  y homologado por EPM, para medida indirecta, incluye bornera cortocircuitable y tres transformadores de corriente de 150/5 A, calibrados y homologados por la empresa de energía de Vigia del Fuerte</t>
  </si>
  <si>
    <t>Suministro de Gabinete metálico para control y medida, tipo intemperie, grado  IP-55, doble puerta según diseño para incluir los elementos eléctricos, debe incluir señalización, fijación, barrajes, cableado y cumplir Retie, se debe construir para contener, seis  variadores, para dos  motores  de 3-5 HP,  dos de 15-18 Hp, y dos de 75 Hp, a 220 voltios, con sus respectivas protecciones, corrección del factor de potencia, control, analizador de redes,  medida de energía con contador electrónico medida directa, barrajes,  analizador de redes, controles de nivel, y demás elementos electrónicos según diseño.</t>
  </si>
  <si>
    <t>Instalación y puesta en servicio de Gabinete metálico para control y medida, tipo intemperie, grado  IP-55, doble puerta según diseño para incluir los elementos eléctricos, debe incluir señalización, fijación, barrajes, cableado y cumplir Retie, se debe construir para contener, seis  variadores, para dos  motores  de 3-5 HP,  dos de 15-18 Hp, y dos de 75 Hp, a 220 voltios, con sus respectivas protecciones, corrección del factor de potencia, control, analizador de redes,  medida de energía con contador electrónico medida directa, barrajes,  analizador de redes, controles de nivel, y demás elementos electrónicos según diseño.</t>
  </si>
  <si>
    <t>Suministro de Caja de distribución con herraje RS3-002 NORMA EPM</t>
  </si>
  <si>
    <t>M3</t>
  </si>
  <si>
    <t>Instalación de Caja de distribución con herraje RS3-002 NORMA EPM</t>
  </si>
  <si>
    <t>Suministro de acometida secundaria trifásica principal, para alimentar planta de emergencia diesel, en cable THWN, AWG, 600V, 6No 4/0. +  2No.2/0, y tubería Conduit de Ø4" desde el transformador de 225 kVA, hasta breaker principal de 3x400A, y desde este hasta el Gabinete principal de la planta de emergencia diesel  en la caseta para ella.</t>
  </si>
  <si>
    <t>Suministro de acometida secundaria trifásica principal, para alimentar planta de emergencia diesel, en cable THWN, AWG, 600V, 3No 2/0. + No.1/0, y tubería Conduit de Ø3" desde el transformador de 75 kVA, hasta breaker principal de 3x200A, y desde este hasta el Gabinete principal de la planta de emergencia diesel  en la caseta para ella.</t>
  </si>
  <si>
    <t>Suministro de acometida secundaria trifásica, para el bajante secundario, en cable THWN, AWG, 600V, 6No 4/0. +  2No.2/0, y tubería Conduit de 4" desde el transformador de 112,5 kVA, hasta breaker principal de 3x400A, desde este hasta el Gabinete principal y desde la ´planta de emergencia al gabinete principal en la caseta de laboratorio</t>
  </si>
  <si>
    <t>Instalación y puesta en servicio de acometida secundaria trifásica, para el bajante secundario, en cable THWN, AWG, 600V, 6No 4/0. +  2No.2/0, y tubería Conduit de 4" desde el transformador de 112,5 kVA, hasta breaker principal de 3x400A, desde este hasta el Gabinete principal y desde la ´planta de emergencia al gabinete principal en la caseta de laboratorio</t>
  </si>
  <si>
    <t>Suministro de acometida secundaria trifásica subterránea, para alimentar gabinete en la caseta de bombeo,  desde el transformador de 225 kVA, se alimenta desde el breaker de 3x400A, hasta el gabinete de los variadores, en el breaker de 3x350 A, para los motores, de 250 Hp,  y desde el variador para cada motor,  hasta su respectiva bornera, en cable THWN, AWG, 600V, 6No 4/0. +  2No.2/0, y en tubería Conduit de 4", donde se requiere.</t>
  </si>
  <si>
    <t>Suministro de acometida secundaria trifásica subterránea, para alimentar gabinete en la caseta de bombeo,  desde el transformador de 225 kVA, se alimenta desde el breaker de 3x400A, hasta el gabinete de los variadores, en el breaker de 3x350 A, para los motores, de 100-125 Hp,  y desde el variador para cada motor,  hasta su respectiva bornera, en cable THWN, AWG, 600V, 6No 4/0. +  2No.2/0, y en tubería Conduit de 4", donde se requiere.</t>
  </si>
  <si>
    <t>Instalación y puesta en servicio de acometida secundaria trifásica subterránea, para alimentar gabinete en la caseta de bombeo,  desde el transformador de 225 kVA, se alimenta desde el breaker de 3x400A, hasta el gabinete de los variadores, en el breaker de 3x350 A, para los motores, de 100-125 Hp,  y desde el variador para cada motor,  hasta su respectiva bornera, en cable THWN, AWG, 600V, 6No 4/0. +  2No.2/0, y en tubería Conduit de 4", donde se requiere.</t>
  </si>
  <si>
    <t>Suministro de acometida secundaria trifásica subterránea, para alimentar gabinete en la caseta de bombeo,  desde el transformador de 75 kVA, se alimenta desde el breaker de 3x200A, hasta el gabinete de los variadores, en el breaker de 3x150 A, para los motores, de 70 -75 Hp,  y desde el variador para cada motor,  hasta su respectiva bornera, en cable THWN, AWG, 600V, 3No 1/0. +  No.2, y en tubería Conduit de 2", donde se requiere.</t>
  </si>
  <si>
    <t>Suministro de acometida secundaria trifásica subterranea desde el Gabinete principal, hasta bornera de motores de 15-18 Hp, en 3No. 8 + 1No. 10 THHN, Cu, para cada motor</t>
  </si>
  <si>
    <t>Instalación y puesta en servicio de acometida secundaria trifásica subterranea desde el Gabinete principal, hasta bornera de motores de 15-18 Hp, en 3No. 8 + 1No. 10 THHN, Cu, para cada motor</t>
  </si>
  <si>
    <t>Suministro de acometida secundaria trifásica aérea desde el Gabinete principal, hasta gabinete que contiene los variadores de motores de 5 - 10 Hp, y desde el variador a su respectivo motor,  en 3No. 8 + 1No. 10 THHN, Cu, para cada motor,  se utilizan los postes proyectados y la llegada a la barzaza a un mastil de 3" galvanizado.</t>
  </si>
  <si>
    <t>Instalación y puesta en servicio de acometida secundaria trifásica aérea desde el Gabinete principal, hasta gabinete que contiene los variadores de motores de 5 - 10 Hp, y desde el variador a su respectivo motor,  en 3No. 8 + 1No. 10 THHN, Cu, para cada motor,  se utilizan los postes proyectados y la llegada a la barzaza a un mastil de 3" galvanizado.</t>
  </si>
  <si>
    <t>Suministro de acometida secundaria trifásica subterranea desde el Gabinete principal, desde el variador hasta bornera de motores de 20 - 25 Hp, en 3No. 6 + 1No. 8 THHN, Cu, en tuberia pvc conduit de 1 1/4", para cada motor, en la planta de tratamiento de agua potable</t>
  </si>
  <si>
    <t>Instalación y puesta en servicio de acometida secundaria trifásica subterranea desde el Gabinete principal, desde el variador hasta bornera de motores de 20 - 25 Hp, en 3No. 6 + 1No. 8 THHN, Cu, en tuberia pvc conduit de 1 1/4", para cada motor, en la planta de tratamiento de agua potable</t>
  </si>
  <si>
    <t>Suministro de acometida secundaria trifásica aérea, en 3No. 10 + No. 12, desde el Gabinete principal, para alimentar tomas e iluminación en barcaza, se utilizan los postes proyectados y la llegada a la barzaza a un mastil de 3" galvanizado.</t>
  </si>
  <si>
    <t>Instalación y puesta en servicio de acometida secundaria trifásica aérea, en 3No. 10 + No. 12, desde el Gabinete principal, para alimentar tomas e iluminación en barcaza, se utilizan los postes proyectados y la llegada a la barzaza a un mastil de 3" galvanizado.</t>
  </si>
  <si>
    <t>Suministro de acometida secundaria trifásica subterránea en cable THWN, AWG, 600V, 3No 2. +  No.4, y tubería Conduit de 2" desde el transformador de 30 kVA, hasta breaker principal</t>
  </si>
  <si>
    <t>CABLE2</t>
  </si>
  <si>
    <t>Instalación y puesta en servicio de acometida secundaria trifásica subterránea en cable THWN, AWG, 600V, 3No 2. +  No.4, y tubería Conduit de 2" desde el transformador de 30 kVA, hasta breaker principal</t>
  </si>
  <si>
    <t>Suministro de acometida secundaria trifásica subterránea en cable encauchetado THWN, AWG, 600V, 4No 6.  y tubería Conduit de 1 1/2" desde el variador de velocidad, hasta bornera de  motor de 15 Hp</t>
  </si>
  <si>
    <t>Instalación y puesta en servicio de acometida secundaria trifásica subterránea en cable encauchetado THWN, AWG, 600V, 4No 6.  y tubería Conduit de 1 1/2" desde el variador de velocidad, hasta bornera de  motor de 15 Hp</t>
  </si>
  <si>
    <t>Suministro de acometida secundaria trifásica subterranea desde el Gabinete principal, hasta bornera de motores de 3 - 5 Hp, en 3No. 12 + 1No. 12 THHN, Cu, para cada motor, en tubería pvc conduit de 1"</t>
  </si>
  <si>
    <t>Instalación y puesta en servicio de acometida secundaria trifásica subterranea desde el Gabinete principal, hasta bornera de motores de 3 - 5 Hp, en 3No. 12 + 1No. 12 THHN, Cu, para cada motor, en tubería pvc conduit de 1"</t>
  </si>
  <si>
    <t>Suministro de acometida secundaria trifásica subterránea en cable encauchetado THWN, AWG, 600V, 4No 10.  y tubería Conduit de 1" desde el variador de velocidad, hasta bornera de  motor de 10 -15 Hp, centrifuga tipo horizontal.</t>
  </si>
  <si>
    <t>Instalación y puesta en servicio de acometida secundaria trifásica subterránea en cable encauchetado THWN, AWG, 600V, 4No 10.  y tubería Conduit de 1" desde el variador de velocidad, hasta bornera de  motor de 10 -15 Hp, centrifuga tipo horizontal.</t>
  </si>
  <si>
    <t xml:space="preserve">Suministro de cables para control de nivel, por equipo desde tanques de succión, de agua tratada, hasta gabinete  principal, en forma subterranea en tuberia PVC conduit de 1",  en Cable vehiculo 2(4No. 12) para equipos.  </t>
  </si>
  <si>
    <t xml:space="preserve">Instalación y puesta en servicio de cables para control de nivel, por equipo desde tanques de succión, de agua tratada, hasta gabinete  principal, en forma subterranea en tuberia PVC conduit de 1",  en Cable vehiculo 2(4No. 12) para equipos.  </t>
  </si>
  <si>
    <t xml:space="preserve">Suministro de cables para control de nivel, por equipo desde galeria de filtros, hasta gabinete  principal, en forma subterranea en tuberia PVC conduit de 1",  en Cable vehiculo (4No. 12) por equipo.  </t>
  </si>
  <si>
    <t xml:space="preserve">Instalación y puesta en servicio de cables para control de nivel, por equipo desde galeria de filtros, hasta gabinete  principal, en forma subterranea en tuberia PVC conduit de 1",  en Cable vehiculo (4No. 12) por equipo.  </t>
  </si>
  <si>
    <t>Suministro de Bomba sumergible, con motor de 3-5 Hp, para achique de agua sin tratar, ubicada en el pozo donde se encuentran los equipos de bombeo, incluye  y demás elementos para su correcto funcionamiento. Para reemplazar la existento o para reforzar la existente, incluye cable encauchetado, breaker y arrancador directo</t>
  </si>
  <si>
    <t>ELEM</t>
  </si>
  <si>
    <t>Instalaciónn y pueste en servicio de Bomba sumergible, con motor de 3-5 Hp, para achique de agua sin tratar, ubicada en el pozo donde se encuentran los equipos de bombeo, incluye  y demás elementos para su correcto funcionamiento. Para reemplazar la existento o para reforzar la existente, incluye cable encauchetado, breaker y arrancador directo</t>
  </si>
  <si>
    <t>Suministro de Bomba centrifuga, para agua sin tratar, desde el rio Sinu,  y llevar esta agua a la PTAP en Tijeretas con motor eléctrico  de 200 - 250 HP, a 1800 rpm, 3x440  vol.,  para  120 l/seg,  un HDT de 85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</si>
  <si>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sin tratar, desde el rio Sinu,  y llevar esta agua a la PTAP en Tijeretas con motor eléctrico  de 100 - 125 HP, a 1800 rpm, 3x440  vol.,  para  60 l/seg,  un HDT de 85 m, con una eficiencia no menor al 72 % Debe incluir base metálica para el equipo, motor bomba, sistema de cebado y medición de presión, con manómetro en glicerina, acople motor bomba si es necesario y demás elementos para su correcto funcionamiento.</t>
  </si>
  <si>
    <t>Instalación y puesta en servicio de Bomba centrifuga, para agua sin tratar, desde el rio Sinu,  y llevar esta agua a la PTAP en Tijeretas con motor eléctrico  de 100 - 125 HP, a 1800 rpm, 3x440  vol.,  para  60 l/seg,  un HDT de 85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</si>
  <si>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sin tratar, desde el rio Sinu,  y llevar esta agua a la PTAP en Tijeretas con motor eléctrico  de 70 - 75 HP, a 1800 rpm, 3x440  vol.,  para  20 l/seg,  un HDT de 146,98 m, con una eficiencia no menor al 72 % Debe incluir base metálica para el equipo, motor bomba, sistema de cebado y medición de presión, con manómetro en glicerina, acople motor bomba si es necesario y demás elementos para su correcto funcionamiento.</t>
  </si>
  <si>
    <t xml:space="preserve">Suministro de Variador de velocidad Danfos o similar VLT AQUA DRIVE FC10, 440 VOL, para motor de 200-250 Hp, 1800 rpm, debe incluir funciones de reloj tiempo real, controlador de cascada de bombas, puerto USB, Display grafico, Debe incluir botonera para instalar en la planta de tratamiento, para operar desde alli </t>
  </si>
  <si>
    <t xml:space="preserve">Instalación y puesta en servicio de Variador de velocidad Danfos o similar VLT AQUA DRIVE FC10, 440 VOL, para motor de 200-250 Hp, 1800 rpm, debe incluir funciones de reloj tiempo real, controlador de cascada de bombas, puerto USB, Display grafico, Debe incluir botonera para instalar en la planta de tratamiento, para operar desde alli </t>
  </si>
  <si>
    <t xml:space="preserve">Suministro de Variador de velocidad Danfos o similar VLT AQUA DRIVE FC10, 440 VOL, para motor de 100-125 Hp, 1800 rpm, debe incluir funciones de reloj tiempo real, controlador de cascada de bombas, puerto USB, Display grafico, Debe incluir botonera para instalar en la planta de tratamiento, para operar desde alli </t>
  </si>
  <si>
    <t xml:space="preserve">Instalación y puesta en servicio de Variador de velocidad Danfos o similar VLT AQUA DRIVE FC10, 440 VOL, para motor de 100-125 Hp, 1800 rpm, debe incluir funciones de reloj tiempo real, controlador de cascada de bombas, puerto USB, Display grafico, Debe incluir botonera para instalar en la planta de tratamiento, para operar desde alli </t>
  </si>
  <si>
    <t>Suministro de Variador de velocidad Danfos o similar VLT AQUA DRIVE FC10, 220 VOL, para motor de 3-5 Hp, 3600 rpm, debe incluir funciones de reloj tiempo real, controlador de cascada de bombas, puerto USB, Display grafico</t>
  </si>
  <si>
    <t>Instalación y puesta en servicio de Variador de velocidad Danfos o similar VLT AQUA DRIVE FC10, 220 VOL, para motor de 3-5 Hp, 3600 rpm, debe incluir funciones de reloj tiempo real, controlador de cascada de bombas, puerto USB, Display grafico</t>
  </si>
  <si>
    <t xml:space="preserve">Suministro de Variador de velocidad Danfos o similar VLT AQUA DRIVE FC10, 440 VOL, para motor de 70-75 Hp, 1800 rpm, debe incluir funciones de reloj tiempo real, controlador de cascada de bombas, puerto USB, Display grafico, Debe incluir botonera para instalar en la planta de tratamiento, para operar desde alli </t>
  </si>
  <si>
    <t>Suministro de Variador de velocidad Danfos o similar VLT AQUA DRIVE FC10, 220 VOL, para motor de 70 - 80 Hp, 1800 rpm, debe incluir funciones de reloj tiempo real, controlador de cascada de bombas, puerto USB, Display grafico</t>
  </si>
  <si>
    <t>Instalación y puesta en servicio de Variador de velocidad Danfos o similar VLT AQUA DRIVE FC10, 220 VOL, para motor de 70 - 80 Hp, 1800 rpm, debe incluir funciones de reloj tiempo real, controlador de cascada de bombas, puerto USB, Display grafico</t>
  </si>
  <si>
    <t>Suministro de Banco de capacitores para corrección del factor de potencia  36 kvars,  a 440 vol., con dispositivo de seguridad interno de sobrepresión, sobrecarga admisible en corriente 1.3In, incluye contactor, cableado, selector manual- automatico y   señalización</t>
  </si>
  <si>
    <t>Suministro de Banco de capacitores para corrección del factor de potencia 6 kvars,  a 220 vol., con dispositivo de seguridad interno de sobrepresión, sobrecarga admisible en corriente 1.3In, incluye breaker tipo industrial, cableado y  y señalización</t>
  </si>
  <si>
    <t>Instalación y puesta en servicio de Banco de capacitores para corrección del factor de potencia 6 kvars,  a 220 vol., con dispositivo de seguridad interno de sobrepresión, sobrecarga admisible en corriente 1.3In, incluye breaker tipo industrial, cableado y  y señalización</t>
  </si>
  <si>
    <t>Suministro de relé para la corrección del factor de potencia en forma automática, incluye transformadores de corriente, contactores y breakers, para instalar en el  gabinete de control, incluye terminales, borneras, marcación y señalización, cableado y con su plano respectivo de control</t>
  </si>
  <si>
    <t>Instalación de relé para la corrección del factor de potencia en forma automática, incluye transformadores de corriente, contactores y breakers, para instalar en el  gabinete de control, incluye terminales, borneras, marcación y señalización, cableado y con su plano respectivo de control</t>
  </si>
  <si>
    <t>Suministro de analizador de redes electrónico a 440 vol., para instalar en tapa de gabinete metálico, incluye transformadores de corriente, cableado y planos de control, con marcación de los cables.</t>
  </si>
  <si>
    <t>Suministro de dispositivo para descargas eléctricas (DPS), 440 voltios, para instalar en gabinete de control, debe cumplir RETIE y cableado</t>
  </si>
  <si>
    <t>instalación y puesta en servicio de dispositivo para descargas eléctricas (DPS), 440 voltios, para instalar en gabinete de control, debe cumplir RETIE y cableado</t>
  </si>
  <si>
    <t>Suministro de  Breaker tipo industrial de 3 x 800 Amp, 20 KA, incluye terminales y fijación. Como breaker principal y para la transferencia automática</t>
  </si>
  <si>
    <t>Instalación y puesta en servicio de  Breaker tipo industrial de 3 x 800 Amp, 20 KA, incluye terminales y fijación. Como breaker principal y para la transferencia automática</t>
  </si>
  <si>
    <t>Suministro de  Breaker tipo industrial de 3 x 200 Amp, 20 KA, incluye terminales y fijación</t>
  </si>
  <si>
    <t>Suministro de  Breaker tipo industrial de 3 x 250 Amp, 20 KA, incluye terminales y fijación</t>
  </si>
  <si>
    <t>Instalación y puesta en servicio de  Breaker tipo industrial de 3 x 250 Amp, 20 KA, incluye terminales y fijación</t>
  </si>
  <si>
    <t>Suministro de  Breaker tipo industrial de 3 x 400 Amp, 20 KA, incluye terminales y fijación</t>
  </si>
  <si>
    <t>Instalación y puesta en servicio de  Breaker tipo industrial de 3 x 400 Amp, 10 KA, incluye terminales y fijación</t>
  </si>
  <si>
    <t>Suministro de  Breaker tipo industrial de 3 x 350 Amp, 20 KA, incluye terminales y fijación</t>
  </si>
  <si>
    <t>Suministro de  Breaker tipo industrial de 3 x 75 Amp, 10 KA, incluye terminales y fijación</t>
  </si>
  <si>
    <t>Instalación y puesta en servicio de  Breaker tipo industrial de 3 x 75 Amp, 10 KA, incluye terminales y fijación</t>
  </si>
  <si>
    <t>28% AIU:</t>
  </si>
  <si>
    <t>Suministro de  Breaker tipo industrial de 3 x 150 Amp, 20 KA, incluye terminales y fijación</t>
  </si>
  <si>
    <t>Instalación y puesta en servicio de  Breaker tipo industrial de 3 x 150 Amp, 10 KA, incluye terminales y fijación</t>
  </si>
  <si>
    <t>Suministro de  Breaker tipo industrial de 3 x 50 Amp, 10 KA, incluye terminales y fijación</t>
  </si>
  <si>
    <t>30% AIU:</t>
  </si>
  <si>
    <t>Instalación y puesta en servicio de  Breaker tipo industrial de 3 x 50 Amp, 10 KA, incluye terminales y fijación</t>
  </si>
  <si>
    <t>Suministro de  Breaker tipo industrial de 3 x 63 Amp, 10 KA, incluye terminales y fijación</t>
  </si>
  <si>
    <t>Suministro de  Breaker tipo industrial de 3 x 40 Amp, 10 KA, incluye terminales y fijación</t>
  </si>
  <si>
    <t>Instalación y puesta en servicio de  Breaker tipo industrial de 3 x 40 Amp, 10 KA, incluye terminales y fijación</t>
  </si>
  <si>
    <t>Suministro de  Breaker tipo industrial de 3 x 30 Amp, 10 KA, incluye terminales y fijación</t>
  </si>
  <si>
    <t>Instalación y puesta en servicio de  Breaker tipo industrial de 3 x 30 Amp, 10 KA, incluye terminales y fijación</t>
  </si>
  <si>
    <t>Suministro de Gabinete metálico para  medida, tipo intemperie, grado  IP-55, doble puerta según diseño para incluir los elementos eléctricos, debe incluir señalización, fijación, barrajes, cableado y cumplir Retie, se debe construir para contener, medida de energía con contador electrónico medida indirecta, transformadores de corriente de 150/5 A,  barrajes,  analizador de redes, controles de nivel, según diseño y demás elementos electrónicos según diseño.</t>
  </si>
  <si>
    <t>Instalación y puesta en servicio de Gabinete metálico para  medida, tipo intemperie, grado  IP-55, doble puerta según diseño para incluir los elementos eléctricos, debe incluir señalización, fijación, barrajes, cableado y cumplir Retie, se debe construir para contener, medida de energía con contador electrónico medida indirecta, transformadores de corriente de 150/5 A,  barrajes,  analizador de redes, controles de nivel, según diseño y demás elementos electrónicos según diseño.</t>
  </si>
  <si>
    <t>Suministro de Gabinete metálico para control y medida, tipo intemperie, grado  IP-55, doble puerta según diseño para incluir los elementos eléctricos, debe incluir señalización, fijación, barrajes, cableado y cumplir Retie, se debe construir para contener, dos  variadores, para motores de 200-250Hp,  a 440 voltios, con sus respectivas protecciones, corrección del factor de potencia, control, analizador de redes,  medida de energía con contador electrónico medida indirecta, transformadores de corriente de 400/5 A,  barrajes,  analizador de redes, controles de nivel, según diseño y demás elementos electrónicos según diseño.</t>
  </si>
  <si>
    <t>Suministro de Gabinete metálico para control y medida, tipo intemperie, grado  IP-55, doble puerta según diseño para incluir los elementos eléctricos, debe incluir señalización, fijación, barrajes, cableado y cumplir Retie, se debe construir para contener, tres  variadores, para motores de 70-75 Hp,  a 440 voltios, con sus respectivas protecciones, corrección del factor de potencia, control, analizador de redes,  medida de energía con contador electrónico medida indirecta, transformadores de corriente de 200/5 A,  barrajes,  analizador de redes, controles de nivel, según diseño y demás elementos electrónicos según diseño.</t>
  </si>
  <si>
    <t>Suministro de Gabinete metálico para control y distribución, llamaremos Gabinite Principal, tipo intemperie, grado  IP-55, doble puerta según diseño para incluir los elementos eléctricos, debe incluir señalización, fijación, barrajes, cableado y cumplir Retie, se debe construir para contener, tres  variadores, tres  motores  de 10- 15 HP, a 220 voltios, corrección del factor de potencia, control, analizador de redes,  breakers para los 3 sistemas de bombeo, como son barcaza, galerias de filtros y agua tratada, barrajes,  analizador de redes, controles de nivel, y demás elementos electrónicos según diseño. Este gabinete contiene los controles remotos, de la barcaza y de la galeria de filtros.</t>
  </si>
  <si>
    <t>Instalación y puesta en servicio  de Gabinete metálico para control y distribución, llamaremos Gabinite Principal, tipo intemperie, grado  IP-55, doble puerta según diseño para incluir los elementos eléctricos, debe incluir señalización, fijación, barrajes, cableado y cumplir Retie, se debe construir para contener, tres  variadores, tres  motores  de 10- 15 HP, a 220 voltios, corrección del factor de potencia, control, analizador de redes,  breakers para los 3 sistemas de bombeo, como son barcaza, galerias de filtros y agua tratada, barrajes,  analizador de redes, controles de nivel, y demás elementos electrónicos según diseño. Este gabinete contiene los controles remotos, de la barcaza y de la galeria de filtros.</t>
  </si>
  <si>
    <t xml:space="preserve">Suministro de sistema de control de plc marca siemens s7-1200 con cpu 1212c compacta, ac/ dc/ rele, i/o: 8 di 24v dc; 6 do rele 0, 5a;  ai 0 - 10vdc ó 0 - 20ma, alimentación: 85 - 264 v ac @ 47 - 63 hz, memoria de programa / datos 25 kb simatic ktp400 basic mono pn display 3,8”.
(incluye: tablero de instalación con sus respectivos accesorios de operación)
</t>
  </si>
  <si>
    <t xml:space="preserve">Instalación y puesta en servicio  de sistema de control de plc marca siemens s7-1200 con cpu 1212c compacta, ac/ dc/ rele, i/o: 8 di 24v dc; 6 do rele 0, 5a;  ai 0 - 10vdc ó 0 - 20ma, alimentación: 85 - 264 v ac @ 47 - 63 hz, memoria de programa / datos 25 kb simatic ktp400 basic mono pn display 3,8”.
(incluye: tablero de instalación con sus respectivos accesorios de operación)
</t>
  </si>
  <si>
    <t>Suministro de transmisor de nivel 355-510a-10b - echotel ultrasonico con salida de 4-20 ma con transductor en polipropileno, conexión en npt de 2" para un alcance de 0,3 a 6m marca magnetrol</t>
  </si>
  <si>
    <t>Instalación y puesta en servicio de transmisor de nivel 355-510a-10b - echotel ultrasonico con salida de 4-20 ma con transductor en polipropileno, conexión en npt de 2" para un alcance de 0,3 a 6m marca magnetrol</t>
  </si>
  <si>
    <t>Suministro de comunicación de alarma de alto nivel via gprs (mensaje de texto a celular) que incluye: cpu siemens s7-1200, compacta ac/ dc i/ o: 8 di 24v dc; 6 do relé; 2 ai 0 - 10v dc o 0 - 20ma, alimentación: 85 - 264 v ac, memoria de programa/ datos 25 kb; módulo de comunicación, rs232, 9 pol. sub d (hembra); módulo módem gprs para la transmisión de datos desde y hacia un s7-200, basada en ip a través de redes gsm, establecimiento automático de llamadas vía gprs,gsm,csd,sms; antena de banda cúadruple, omnidireccional con cable de 5 m; cableado eléctrico y programación.</t>
  </si>
  <si>
    <t>Instalación y puesta en servicio de comunicación de alarma de alto nivel via gprs (mensaje de texto a celular) que incluye: cpu siemens s7-1200, compacta ac/ dc i/ o: 8 di 24v dc; 6 do relé; 2 ai 0 - 10v dc o 0 - 20ma, alimentación: 85 - 264 v ac, memoria de programa/ datos 25 kb; módulo de comunicación, rs232, 9 pol. sub d (hembra); módulo módem gprs para la transmisión de datos desde y hacia un s7-200, basada en ip a través de redes gsm, establecimiento automático de llamadas vía gprs,gsm,csd,sms; antena de banda cúadruple, omnidireccional con cable de 5 m; cableado eléctrico y programación.</t>
  </si>
  <si>
    <t>Suministro de Tablero de breaker de 24 circuitos trifásico con tapa, incluye 24 breakers monofásicos de 20 amp, para instalar en gabinete de control</t>
  </si>
  <si>
    <t>Suministro de Lámpara para alumbrado exterior, completa de 250w MH, incluye brazo</t>
  </si>
  <si>
    <t>Instalación de Lámpara para alumbrado exterior, completa de 250w MH, incluye brazo</t>
  </si>
  <si>
    <t xml:space="preserve">Suministro de Bajante para lámpara de alumbrado exterior en poste </t>
  </si>
  <si>
    <t xml:space="preserve">Instalación de Bajante para lámpara de alumbrado exterior en poste </t>
  </si>
  <si>
    <t>Suministro de Caja 0.3m x 0.3m con herraje y concreto.</t>
  </si>
  <si>
    <t>Suministro de Acometidas para lámparas de alumbrado exterior, en tubería PVC Conduit de 1" y 2 No. 10 + 1No. 12 THHN, según diseño</t>
  </si>
  <si>
    <t>Instalación de Acometidas para lámparas de alumbrado exterior, en tubería PVC Conduit de 1" y 2 No. 10 + 1No. 12 THHN, según diseño</t>
  </si>
  <si>
    <t>Suministro de lámpara de emergencia de 150w, 110v, completa, incluye salida eléctrica</t>
  </si>
  <si>
    <t>Instalación de lámpara de emergencia de 150w, 110v, completa, incluye salida eléctrica</t>
  </si>
  <si>
    <t>Suministro de  toma doble con polo a tierra  GFCI, en tubería pvc conduit,  en cajas pvc, alambre 3No. 12 THHN, aislamiento y cumpliendo RETIE</t>
  </si>
  <si>
    <t xml:space="preserve">Suministro de salida para toma doble con polo a tierra, en alambre 3 # 12  THHN por  tubería PVC de 1/2" incluye accesorios, fijación  y todos los elementos necesarios para su correcto funcionamiento. </t>
  </si>
  <si>
    <t xml:space="preserve">Instalación salida para toma doble con polo a tierra, en alambre 3 # 12  THHN por  tubería PVC de 1/2" incluye accesorios, fijación  y todos los elementos necesarios para su correcto funcionamiento. </t>
  </si>
  <si>
    <t xml:space="preserve">Suministro de salida toma pata trabada a 220 V, en alambre 3 # 12  THHN por  tubería PVC de 1/2" incluye accesorios, fijación  y todos los elementos necesarios para su correcto funcionamiento. </t>
  </si>
  <si>
    <t xml:space="preserve">Instalación de salida para  toma pata trabada a 220 V, en alambre 3 # 12  THHN por  tubería PVC de 1/2" incluye accesorios, fijación  y todos los elementos necesarios para su correcto funcionamiento. </t>
  </si>
  <si>
    <t>Suministro de  salida para iluminación en alambre 3 # 12  THHN por  tubería PVC de 1/2" incluye accesorios, fijación  y todos los elementos necesarios para su correcto funcionamiento. NO INCLUYE LUMINARIAS.</t>
  </si>
  <si>
    <t>Instalación salida para iluminación en alambre 3 # 12  THHN por  tubería PVC de 1/2" incluye accesorios, fijación  y todos los elementos necesarios para su correcto funcionamiento. NO INCLUYE LUMINARIAS.</t>
  </si>
  <si>
    <t xml:space="preserve">Suministro de  salida de suiche sencillo o doble, en alambre 3 # 12  THHN por  tubería PVC de 1/2" incluye accesorios, fijación  y todos los elementos necesarios para su correcto funcionamiento. </t>
  </si>
  <si>
    <t xml:space="preserve">Instalación para salida de suiche sencillo o doble, en alambre 3 # 12  THHN por  tubería PVC de 1/2" incluye accesorios, fijación  y todos los elementos necesarios para su correcto funcionamiento. </t>
  </si>
  <si>
    <t xml:space="preserve">Suministro de  salida de teléfono, en alambre neopren, por  tubería PVC de 3/4"¨ incluye accesorios, fijación  y todos los elementos necesarios para su correcto funcionamiento. </t>
  </si>
  <si>
    <t xml:space="preserve">Instalación para salida de teléfono, en alambre neopren, por  tubería PVC de 3/4"¨ incluye accesorios, fijación  y todos los elementos necesarios para su correcto funcionamiento. </t>
  </si>
  <si>
    <t xml:space="preserve">Suministro de  Pararrayos Franklin, para descargas atmosfericas, punta acerada, con cable de descarga, varillas Cooper Weld, en triangulo, soldadura exotermica y elementos de fijación </t>
  </si>
  <si>
    <t xml:space="preserve">Instalación y puesta en servicio  de  Pararrayos Franklin, para descargas atmosfericas, punta acerada, con cable de descarga, varillas Cooper Weld, en triangulo, soldadura exotermica y elementos de fijación </t>
  </si>
  <si>
    <t>Certificación de toda  la parte eléctrica RETIE, por un agente certificador</t>
  </si>
  <si>
    <t>Suministro de Transformador de 225 KVA, 13200/440/208v, Trifásico, tipo PM radial, 60hz, con sus respectivas protecciones, cajas primarias y pararrayos, barrajes, chequeado y homologado por la Empresa de energía, Electri Caribe. Para instalar en el lugar del existente de 150 kVA.</t>
  </si>
  <si>
    <t>RA7-001</t>
  </si>
  <si>
    <t>Retiro de Transformador de 150KVA, 13200/440/208v, Trifásico, existente y ubicarlo en el almacen de Aguas del Sinu</t>
  </si>
  <si>
    <t>Retiro de Transformador de 30KVA, 13200/440/208v, Trifásico, existente y ubicarlo en el almacen de Aguas del Sinu</t>
  </si>
  <si>
    <t>Suministro de Transformador de 75 KVA, 13200/440/227v, Trifásico, refrigerado en aceite, 60hz, con sus respectivas protecciones, cajas primarias y pararrayos, barrajes, chequeado y homologado por EPM, norma RA2-026. Para instalar en poste de concreto de 12 m</t>
  </si>
  <si>
    <t>ALB8</t>
  </si>
  <si>
    <t>Instalación y puesta en servicio  de Transformador de 75 KVA, 13200/440/227v, Trifásico, refrigerado en aceite, 60hz, con sus respectivas protecciones, cajas primarias y pararrayos, barrajes, chequeado y homologado por EPM, norma RA2-026. Para instalar en poste de concreto de 12 m</t>
  </si>
  <si>
    <t>Suministro de Transformador de 112,5 KVA, 13200/240/127v, Trifásico, refrigerado en aceite, 60hz, con sus respectivas protecciones, cajas primarias y pararrayos, barrajes, chequeado y homologado por EPM, norma RA2-026. Para instalar en poste de concreto de 12 m</t>
  </si>
  <si>
    <t>Instalación y puesta en servicio de Transformador de 112,5 KVA, 13200/240/127v, Trifásico, refrigerado en aceite, 60hz, con sus respectivas protecciones, cajas primarias y pararrayos, barrajes, chequeado y homologado por EPM, norma RA2-026. Para instalar en poste de concreto de 12 m</t>
  </si>
  <si>
    <t>Suministro de  Transformador de 30 KVA, 13200/220/127v, Monofásico, refrigerado en aceite, 60hz, con sus respectivas protecciones, cajas primarias y pararrayos, barrajes y homologado por EPM, norma RA2-026</t>
  </si>
  <si>
    <t>Instalación y puesta en servicio  de  Transformador de 30 KVA, 13200/220/127v, Monofásico, refrigerado en aceite, 60hz, con sus respectivas protecciones, cajas primarias y pararrayos, barrajes y homologado por EPM, norma RA2-026</t>
  </si>
  <si>
    <t>Suministro de  Poste de fibra de 12 m, 550 kgr/f, Incluye:  parada, izada, aplomada y pintada, para iluminación exterior</t>
  </si>
  <si>
    <t>Instalación y puesta en servicio  de  Poste de fibra de 12 m, 550 kgr/f, Incluye:  parada, izada, aplomada y pintada, para iluminación exterior</t>
  </si>
  <si>
    <t>Suministro de  Poste de fibra de 9 m, 550 kgr/f, Incluye:  parada, izada, aplomada y pintada, para iluminación exterior</t>
  </si>
  <si>
    <t>Instalación y puesta en servicio de  Poste de fibra de 9 m, 550 kgr/f, Incluye:  parada, izada, aplomada y pintada, para iluminación exterior</t>
  </si>
  <si>
    <t>Suministro de Poste de concreto de 12m, Incluye:  parada, izada, aplomada y pintada según proyectado para primaria</t>
  </si>
  <si>
    <t>RA7-035</t>
  </si>
  <si>
    <t>Instalación y puesta en servicio de Poste de concreto de 12m, Incluye:  parada, izada, aplomada y pintada según proyectado para primaria</t>
  </si>
  <si>
    <t>Suministro de  Poste de concreto de 9 m, 550 kgr/f, Incluye:  parada, izada, aplomada y pintada, para iluminación exterior</t>
  </si>
  <si>
    <t xml:space="preserve">Instalación y puesta en servicio de Poste de concreto de  9 m, Incluye:  parada, izada, aplomada y pintada </t>
  </si>
  <si>
    <t>Suministro de Línea área primaria trifásica en ACSR  4No. 2</t>
  </si>
  <si>
    <t>Instalación y puesta en servicio de Linea áerea primaria trifásica en ACSR 4No. 2</t>
  </si>
  <si>
    <t>Suministro de Terminal con neutro superior, R02-013, norma EPM</t>
  </si>
  <si>
    <t>CRUCETA</t>
  </si>
  <si>
    <t>TIRANTA</t>
  </si>
  <si>
    <t>RA7-011</t>
  </si>
  <si>
    <t>RA7-003</t>
  </si>
  <si>
    <t>Instalación y puesta en servicio de Terminal con neutro superior, R02-013, norma EPM</t>
  </si>
  <si>
    <t>Suministro de  Referencia con neutro superior, R02-014, norma EPM</t>
  </si>
  <si>
    <t>RA7-13</t>
  </si>
  <si>
    <t>RA7-13T</t>
  </si>
  <si>
    <t>RA7-005</t>
  </si>
  <si>
    <t>RA7-013 B</t>
  </si>
  <si>
    <t>Instalación y puesta en servicio de Referencia con neutro superior, R02-014, norma EPM</t>
  </si>
  <si>
    <t>Suministro de Angulo con neutro superior, RA2-012, norma EPM</t>
  </si>
  <si>
    <t>RA7-009</t>
  </si>
  <si>
    <t xml:space="preserve">RA7-024 </t>
  </si>
  <si>
    <t>RA7-024bl</t>
  </si>
  <si>
    <t>Instalación y puesta en servicio de Angulo con neutro superior, RA2-012, norma EPM</t>
  </si>
  <si>
    <t>Suministro de Suspensión con neutro superior, R02-011, norma EPM</t>
  </si>
  <si>
    <t>Instalación y puesta en servicio de Suspensión con neutro superior, R02-011, norma EPM</t>
  </si>
  <si>
    <t>Suministro de  Aisladero trifásico primario RA2-040 NORMA EPM</t>
  </si>
  <si>
    <t>RA8-005</t>
  </si>
  <si>
    <t>Instalación de Aisladero trifásico primario RA2-040 NORMA EPM</t>
  </si>
  <si>
    <t>Retiro de poste de madera de 12m, vestida en referencia RA3-014, dos Vientos primarios RA6-001</t>
  </si>
  <si>
    <t>Suministro de Viento primario convencional, RA6-001, norma EPM</t>
  </si>
  <si>
    <t>AIS 108</t>
  </si>
  <si>
    <t>ASTM A475</t>
  </si>
  <si>
    <t>RA7-036</t>
  </si>
  <si>
    <t>RA7-039</t>
  </si>
  <si>
    <t>RA7-088</t>
  </si>
  <si>
    <t>RA7-099</t>
  </si>
  <si>
    <t>Instalación de Viento primario convencional, RA6-001, norma EPM</t>
  </si>
  <si>
    <t>Suministro de Viento farol, RA6-002, norma EPM</t>
  </si>
  <si>
    <t>Instalación y puesta en sercicio de Viento farol, RA6-002, norma EPM</t>
  </si>
  <si>
    <t>Suministro de  Aisladero monofásico primario RA3-040 NORMA EPM, para 7.620 kV</t>
  </si>
  <si>
    <t>Instalaciónny puesta en servicio de  Aisladero monofásico primario RA3-040 NORMA EPM, para 7.620 kV</t>
  </si>
  <si>
    <t>Suministro de Terminal con neutro superior, R03-013, norma EPM, para 7.62 kV</t>
  </si>
  <si>
    <t>Instalación y puesta en servicio  de Terminal con neutro superior, R03-013, norma EPM, para 7.62 kV</t>
  </si>
  <si>
    <t>Suministro de Referencia con neutro superior, R03-014, norma EPM, para 7.62 kV</t>
  </si>
  <si>
    <t>Instalación y puesta en servico  de Referencia con neutro superior, R03-014, norma EPM, para 7.62 kV</t>
  </si>
  <si>
    <t>Suministro de Suspensión con neutro superior, R03-011, norma EPM, para 7.62 kV</t>
  </si>
  <si>
    <t>Instalación y puesta en servicio de Suspensión con neutro superior, R03-011, norma EPM, para 7.62 kV</t>
  </si>
  <si>
    <t>Suministro de Angulo  con neutro superior, R03-012 de 30 na 60 grados, norma EPM, para 7.62 kV</t>
  </si>
  <si>
    <t>Instalación y puesta en servicio de Angulo  con neutro superior, R03-012 de 30 na 60 grados, norma EPM, para 7.62 kV</t>
  </si>
  <si>
    <t>Suministro de terminal secundaria RA4-003, norma EPM</t>
  </si>
  <si>
    <t>Instalación y puesta en servicio de terminal secundaria RA4-003, norma EPM</t>
  </si>
  <si>
    <t>UNIDAD</t>
  </si>
  <si>
    <t>VALOR UNITARIO($)</t>
  </si>
  <si>
    <t>VALOR TOTAL ($)</t>
  </si>
  <si>
    <t xml:space="preserve">SUMINISTRO DE ELEMENTOS ELÉCTRICOS </t>
  </si>
  <si>
    <t>PARTE ELECTRICA GENERAL SISTEMA DE BOMBEO</t>
  </si>
  <si>
    <t>Suministro de Transformador de 75 KVA, 13200/240/127v, Trifásico, refrigerado en aceite, 60hz, con sus respectivas protecciones, cajas primarias y pararrayos, barrajes, chequeado y homologado por EPM, norma RA2-026. Para instalar en poste de concreto de 12 m</t>
  </si>
  <si>
    <t>Suministro  de caja de distribución, RS3-002 norma EPM</t>
  </si>
  <si>
    <t xml:space="preserve">Suministro de  Contador electrónico de energía activa y reactiva multifuncional, 3F, 4H, 5/120(A), 120/….480 Vol., calibrado  y homologado por EPM, para medida indirecta, incluye bornera cortocircuitable, tres transformadores de corriente de 200/5 A, calibrados, homologados por EPM </t>
  </si>
  <si>
    <r>
      <t>Suministro de Banco de capacitores para corrección del factor de potencia  36 kvars,  a 440 vol., con dispositivo de seguridad interno de sobrepresión, sobrecarga admisible en corriente 1.3In, incluye contactor, cableado, selector manual- automatico y   se</t>
    </r>
    <r>
      <rPr>
        <sz val="11"/>
        <rFont val="Calibri"/>
        <family val="2"/>
      </rPr>
      <t>ñ</t>
    </r>
    <r>
      <rPr>
        <sz val="10"/>
        <rFont val="Gill Sans MT"/>
        <family val="2"/>
      </rPr>
      <t>alización</t>
    </r>
  </si>
  <si>
    <t>Suministro de dispositivo para descargas eléctricas (DPS), 440 voltios, para instalar en gabinete de control, debe cumplir RETIE, e incluir  cableado.</t>
  </si>
  <si>
    <t>Suministro de  Breaker tipo industrial de 3 x 40 Amp, 10 KA, incluye terminales y fijación, para la instalación del DPS</t>
  </si>
  <si>
    <t xml:space="preserve">Suministro de sistema de control de plc marca siemens s7-1200 con cpu 1212c compacta, ac/ dc/ relé, i/o: 8 di 24v dc; 6 do relé 0, 5a;  ai 0 - 10vdc ó 0 - 20ma, alimentación: 85 - 264 v ac @ 47 - 63 hz, memoria de programa / datos 25 kb simatic ktp400 basic mono pn display 3,8”.
(incluye: tablero de instalación con sus respectivos accesorios de operación)
</t>
  </si>
  <si>
    <t>Suministro de transmisor de nivel 355-510a-10b - echotel ultrasónico con salida de 4-20 ma con transductor en polipropileno, conexión en npt de 2" para un alcance de 0,3 a 6m marca magnetrón</t>
  </si>
  <si>
    <t>Suministro de comunicación de alarma de alto nivel vía gprs (mensaje de texto a celular) que incluye: cpu siemens s7-1200, compacta ac/ dc i/ o: 8 di 24v dc; 6 do relé; 2 ai 0 - 10v dc o 0 - 20ma, alimentación: 85 - 264 v ac, memoria de programa/ datos 25 kb; módulo de comunicación, rs232, 9 pol. sub d (hembra); módulo módem gprs para la transmisión de datos desde y hacia un s7-200, basada en ip a través de redes gsm, establecimiento automático de llamadas vía gprs, gsm, csd, sms; antena de banda cuádruple, omnidireccional con cable de 5 m; cableado eléctrico y programación.</t>
  </si>
  <si>
    <t>PARTE ELECTRICA CASETA DE ESTACIÓN DE BOMBEO</t>
  </si>
  <si>
    <t xml:space="preserve">Suministro de  salida de teléfono, en alambre neopreno, por  tubería PVC de 3/4", incluye accesorios, fijación  y todos los elementos necesarios para su correcto funcionamiento. </t>
  </si>
  <si>
    <t xml:space="preserve">Suministro de  Pararrayos Franklin, para descargas atmosféricas, punta acerada, con cable de descarga, varillas Cooper Weld, en triangulo, soldadura exotérmica y elementos de fijación </t>
  </si>
  <si>
    <t>Certificación de toda  la parte eléctrica RETIE, por un agente certificador, transformación, rede primaria, medida y uso final</t>
  </si>
  <si>
    <t xml:space="preserve">SUBTOTAL SUMINISTRO PARTE ELECTROMECANICA </t>
  </si>
  <si>
    <r>
      <t>Instalación y puesta en servicio de Banco de capacitores para corrección del factor de potencia  36 kvars,  a 440 vol., con dispositivo de seguridad interno de sobrepresión, sobrecarga admisible en corriente 1.3In, incluye contactor, cableado, selector manual- automatico y   se</t>
    </r>
    <r>
      <rPr>
        <sz val="11"/>
        <rFont val="Calibri"/>
        <family val="2"/>
      </rPr>
      <t>ñ</t>
    </r>
    <r>
      <rPr>
        <sz val="10"/>
        <rFont val="Gill Sans MT"/>
        <family val="2"/>
      </rPr>
      <t>alización</t>
    </r>
  </si>
  <si>
    <t xml:space="preserve">COSTO DIRECTO OBRA SUMINISTRO ELECTRICOS E INSTALACIÓN  ELEMENTOS ELECTRICOS </t>
  </si>
  <si>
    <t xml:space="preserve">COSTO TOTAL OBRA ELECTROMECANICA E INSTALACIÓN </t>
  </si>
  <si>
    <r>
      <t>Suministro de Planta eléctrica de emergencia tipo cerrada, trifásica de 250  KVA, 440/208 voltios, DIESEL, Stand By, con potencia efectiva 250 KVA,  debe contener tanque de combustible con capacidad de 100 gal, baterías, cargador de baterías, sistema con transferencia automática,</t>
    </r>
    <r>
      <rPr>
        <sz val="10"/>
        <color rgb="FFFF0000"/>
        <rFont val="Gill Sans MT"/>
        <family val="2"/>
      </rPr>
      <t xml:space="preserve"> </t>
    </r>
    <r>
      <rPr>
        <sz val="10"/>
        <rFont val="Gill Sans MT"/>
        <family val="2"/>
      </rPr>
      <t xml:space="preserve">para instalar a 100 msnm, debe tener representación en Colombia, manuales de operación, catálogos, silenciador, accesorios para el exosto, base y fijación, medidores de carátula, tener breaker totalizador para salida de alimentación. </t>
    </r>
  </si>
  <si>
    <t xml:space="preserve">Suministro de  Contador electrónico de energía activa y reactiva multifuncional, 3F, 4H, 5/120(A), 120/….480 Vol., calibrado  y homologado por EPM, para medida indirecta, incluye bornera cortocircuitable, tres transformadores de corriente de 400/5 A, calibrados, homologados por EPM </t>
  </si>
  <si>
    <r>
      <t>Instalación y puesta en servicio de Planta eléctrica de emergencia tipo cerrada, trifásica de 250  KVA, 440/208 voltios, DIESEL, Stand By, con potencia efectiva 250 KVA,  debe contener tanque de combustible con capacidad de 100 gal, baterías, cargador de baterías, sistema con transferencia automática,</t>
    </r>
    <r>
      <rPr>
        <sz val="10"/>
        <color rgb="FFFF0000"/>
        <rFont val="Gill Sans MT"/>
        <family val="2"/>
      </rPr>
      <t xml:space="preserve"> </t>
    </r>
    <r>
      <rPr>
        <sz val="10"/>
        <rFont val="Gill Sans MT"/>
        <family val="2"/>
      </rPr>
      <t xml:space="preserve">para instalar a 100 msnm, debe tener representación en Colombia, manuales de operación, catálogos, silenciador, accesorios para el exosto, base y fijación, medidores de carátula, tener breaker totalizador para salida de alimentación. </t>
    </r>
  </si>
  <si>
    <t xml:space="preserve">ADMINISTRACIÓN </t>
  </si>
  <si>
    <t>1. COMPONENTE ELECTRICO Y MECANICO DEL SISTEMA DE BOMBEO RÍO SINÚ - PTAP TIJERETAS ALTERNATIVA 2 (tres bombas, dos funcionando en paralelo y una tercera en stand by)</t>
  </si>
  <si>
    <t>Suministro de Gabinete metálico para control y medida, tipo intemperie, grado  IP-55, doble puerta según diseño para incluir los elementos eléctricos, debe incluir señalización, fijación, barrajes, cableado y cumplir Retie, se debe construir para contener, tres  variadores, para motores de 100-125 Hp,  a 440 voltios, con sus respectivas protecciones, corrección del factor de potencia, control, analizador de redes,  medida de energía con contador electrónico medida indirecta, transformadores de corriente de 400/5 A,  barrajes,  analizador de redes, controles de nivel, según diseño y demás elementos electrónicos según diseño.</t>
  </si>
  <si>
    <r>
      <t>Suministro de Bomba centrifuga, para agua sin tratar, desde el rio Sinu,  y llevar esta agua a la PTAP en Tijeretas con motor eléctrico  de 100 - 125 HP, a 1800 rpm, 3x440  vol.,  para  60 l/seg,  un HDT de 85 m, con una eficiencia no menor al 72 %</t>
    </r>
    <r>
      <rPr>
        <sz val="10"/>
        <rFont val="Arial"/>
        <family val="2"/>
      </rPr>
      <t xml:space="preserve"> </t>
    </r>
    <r>
      <rPr>
        <sz val="10"/>
        <rFont val="Gill Sans MT"/>
        <family val="2"/>
      </rPr>
      <t>Debe incluir base metálica para el equipo, motor bomba, sistema de cebado y medición de presión, con manómetro en glicerina, acople motor bomba si es necesario y demás elementos para su correcto funcionamiento.</t>
    </r>
  </si>
  <si>
    <t>Instalación y puesta en servicio de Gabinete metálico para control y medida, tipo intemperie, grado  IP-55, doble puerta según diseño para incluir los elementos eléctricos, debe incluir señalización, fijación, barrajes, cableado y cumplir Retie, se debe construir para contener, tres  variadores, para motores de 100-125 Hp,  a 440 voltios, con sus respectivas protecciones, corrección del factor de potencia, control, analizador de redes,  medida de energía con contador electrónico medida indirecta, transformadores de corriente de 400/5 A,  barrajes,  analizador de redes, controles de nivel, según diseño y demás elementos electrónicos según diseño.</t>
  </si>
  <si>
    <r>
      <t>Instalación y puesta en servicio de Bomba centrifuga, para agua sin tratar, desde el rio Sinu,  y llevar esta agua a la PTAP en Tijeretas con motor eléctrico  de 100 - 125 HP, a 1800 rpm, 3x440  vol.,  para  60 l/seg,  un HDT de 85 m, con una eficiencia no menor al 72 %</t>
    </r>
    <r>
      <rPr>
        <sz val="10"/>
        <rFont val="Arial"/>
        <family val="2"/>
      </rPr>
      <t xml:space="preserve"> </t>
    </r>
    <r>
      <rPr>
        <sz val="10"/>
        <rFont val="Gill Sans MT"/>
        <family val="2"/>
      </rPr>
      <t>Debe incluir base metálica para el equipo, motor bomba, sistema de cebado y medición de presión, con manómetro en glicerina, acople motor bomba si es necesario y demás elementos para su correcto funcionamiento.</t>
    </r>
  </si>
  <si>
    <t>COSTO TOTAL SISTEMA ELECTRICO BOMBEO ALTERNATIVA 2</t>
  </si>
  <si>
    <r>
      <t>m</t>
    </r>
    <r>
      <rPr>
        <vertAlign val="superscript"/>
        <sz val="11"/>
        <color indexed="8"/>
        <rFont val="Gill Sans MT"/>
        <family val="2"/>
      </rPr>
      <t>2</t>
    </r>
  </si>
  <si>
    <r>
      <t>m</t>
    </r>
    <r>
      <rPr>
        <vertAlign val="superscript"/>
        <sz val="11"/>
        <color indexed="8"/>
        <rFont val="Gill Sans MT"/>
        <family val="2"/>
      </rPr>
      <t>3</t>
    </r>
  </si>
  <si>
    <r>
      <t>m</t>
    </r>
    <r>
      <rPr>
        <vertAlign val="superscript"/>
        <sz val="12"/>
        <rFont val="Gill Sans MT"/>
        <family val="2"/>
      </rPr>
      <t>3</t>
    </r>
  </si>
  <si>
    <t>SUMINISTRO (INLCUYE TRANSPORTE)</t>
  </si>
  <si>
    <t>SUMINISTRO (INCLUYE TRANSPORTE)</t>
  </si>
  <si>
    <t>10 s</t>
  </si>
  <si>
    <t>TOTAL CONSTRUCCIÓN PLANTA DE TRATAMIENTO DE AGUA POTABLE</t>
  </si>
  <si>
    <t>LADRILLO 15x20x40 HORIZ. RAYADO</t>
  </si>
  <si>
    <t>SILLA YEE PVC NOVAFORT 20x6'' (500x160mm)</t>
  </si>
  <si>
    <t>CONS-074-IPE</t>
  </si>
  <si>
    <t xml:space="preserve">APU  PLANTA DE TRATAMIENTO DE AGUA POTABLE </t>
  </si>
  <si>
    <t>Localización y replanteo</t>
  </si>
  <si>
    <r>
      <t>m</t>
    </r>
    <r>
      <rPr>
        <vertAlign val="superscript"/>
        <sz val="10"/>
        <rFont val="Arial"/>
        <family val="2"/>
      </rPr>
      <t>2</t>
    </r>
  </si>
  <si>
    <t>Cargue y botada del material (incluye botadero)</t>
  </si>
  <si>
    <r>
      <t>m</t>
    </r>
    <r>
      <rPr>
        <vertAlign val="superscript"/>
        <sz val="10"/>
        <rFont val="Arial"/>
        <family val="2"/>
      </rPr>
      <t>3</t>
    </r>
  </si>
  <si>
    <t>M.O. TALA DE ARBOLES</t>
  </si>
  <si>
    <t xml:space="preserve">Moto sierra </t>
  </si>
  <si>
    <t>Excavación en Material Común seco de 0 - 2 m</t>
  </si>
  <si>
    <t>Excavación en roca a cualquier profundidad</t>
  </si>
  <si>
    <t>Llenos compactados con material selecto de excavación</t>
  </si>
  <si>
    <t>CONCRETO 140kg/cm² 1:4:7</t>
  </si>
  <si>
    <t>Concreto f´c = 24.5 Mpa para losa de fondo (Incluye formaleta e impermeabilizante)</t>
  </si>
  <si>
    <t>CONCRETO 245Kg/cm23500PSI</t>
  </si>
  <si>
    <t>Concreto f'c=24.5 Mpa muros y cajas (Incluye formaleta e impermeabilizante)</t>
  </si>
  <si>
    <t>Concreto f´c = 24.5 Mpa para columnas  (Incluye formaleta e impermeabilizante)</t>
  </si>
  <si>
    <t>OFICIAL (INC. 60% PRESTACIONES)</t>
  </si>
  <si>
    <t>AYUDANTE ENTENDIDO(INC.60% PRESTA)</t>
  </si>
  <si>
    <t>AYUDANTE RASO (INC. 60% PRESTACI.)</t>
  </si>
  <si>
    <t>Cinta PVC de e=22 cm</t>
  </si>
  <si>
    <t>CINTA SIKA 0.15 1.5kg</t>
  </si>
  <si>
    <t xml:space="preserve">Cargue, ret. y botada del mat. Sobrante </t>
  </si>
  <si>
    <t>Floculadores</t>
  </si>
  <si>
    <t>PLCAC</t>
  </si>
  <si>
    <t>PLACA PREF DE CTO 1.2x1.2x0.03m</t>
  </si>
  <si>
    <t>GUIAS EN ALUMINIO</t>
  </si>
  <si>
    <t>AYUDANTE RASO (INC. 70% PRESTACI.)</t>
  </si>
  <si>
    <t>OFICIAL (INC. 70% PRESTACIONES)</t>
  </si>
  <si>
    <t>SIKA FLEX 11-FC</t>
  </si>
  <si>
    <t>8</t>
  </si>
  <si>
    <t>LAF46</t>
  </si>
  <si>
    <t>COMPTA 0.4x0.8x0.01 (F.DE V)</t>
  </si>
  <si>
    <t>AYUDANTE ENTENDIDO(INC.70% PRESTA)</t>
  </si>
  <si>
    <t>Instalacion Válvula de fondo Ø6"  con vástago, columna de maniobra y rueda de manejo.</t>
  </si>
  <si>
    <t>Suministro Válvula de fondo Ø6"  con vástago, columna de maniobra y rueda de manejo.</t>
  </si>
  <si>
    <t>VACR8</t>
  </si>
  <si>
    <t>VALV.FONDO Ø6"</t>
  </si>
  <si>
    <t>Filtros</t>
  </si>
  <si>
    <t>suministro  Válvula de fondo Ø6"  con vástago, columna de maniobra y rueda de manejo.</t>
  </si>
  <si>
    <t>Instalación Compuerta lateral deslizante Ø10"  con vástago, columna de maniobra y rueda de manejo.</t>
  </si>
  <si>
    <t>Suministro Compuerta lateral deslizante Ø10"  con vástago, columna de maniobra y rueda de manejo.</t>
  </si>
  <si>
    <t>VALV. LATERAL DESLIZANTE Ø10"</t>
  </si>
  <si>
    <t>S.T.I. material filtrante ANTRACITA; T.E = 0,90 - 0.11 mm  y C.U &lt; 1.7</t>
  </si>
  <si>
    <t>ANTRACITA LECHO FILTRANTE</t>
  </si>
  <si>
    <r>
      <t>m</t>
    </r>
    <r>
      <rPr>
        <sz val="10"/>
        <rFont val="Arial"/>
        <family val="2"/>
      </rPr>
      <t>³</t>
    </r>
  </si>
  <si>
    <t xml:space="preserve">S.T.I Grava de soporte Ø1/2" a 1.5" </t>
  </si>
  <si>
    <t>GRAVA DE Ø1/2" A 1.5"</t>
  </si>
  <si>
    <t xml:space="preserve">Instalacion Válvula  de bola cuerpo en bronce  Ø 100mm (4") </t>
  </si>
  <si>
    <t xml:space="preserve">Suministro Válvula  de bola cuerpo en bronce  Ø 100mm (4") </t>
  </si>
  <si>
    <t>VALV. DE BOLA Ø4"</t>
  </si>
  <si>
    <t>Instalación de compuertas manuales en fibra de vidrio de  0.75 x 0.40 m, para colocar en vertederos individuales de los filtros (incluye guias en "U" en aluminio)</t>
  </si>
  <si>
    <t>500</t>
  </si>
  <si>
    <t>1/5</t>
  </si>
  <si>
    <t>Suministro de compuertas manuales en fibra de vidrio de  0.75 x 0.40 m, para colocar en vertederos individuales de los filtros (incluye guias en "U" en aluminio)</t>
  </si>
  <si>
    <t>1.8</t>
  </si>
  <si>
    <t>LAF47</t>
  </si>
  <si>
    <t>COMPTA 0.4x0.75x0.01m (F DE V)</t>
  </si>
  <si>
    <t>1/100</t>
  </si>
  <si>
    <t xml:space="preserve">Instalacion Canaleta recolectora en lamina de 1/4" de  0.50m*0.45m y L= 3.40 m tipo (incluye pintura epóxica) </t>
  </si>
  <si>
    <t xml:space="preserve">Suministro Canaleta recolectora en lamina de 1/4" de  0.50m*0.45m y L= 3.40 m tipo (incluye pintura epóxica) </t>
  </si>
  <si>
    <t>CANR1</t>
  </si>
  <si>
    <t xml:space="preserve">Canaleta de lavado en lamina de 1/4" </t>
  </si>
  <si>
    <t xml:space="preserve">PERNOS </t>
  </si>
  <si>
    <t xml:space="preserve">Instalacion Canaleta Parshall de garganta W=3" en PRFV (fibra de vidrio) </t>
  </si>
  <si>
    <t xml:space="preserve">Suministro Canaleta Parshall de garganta W=3" en PRFV (fibra de vidrio) </t>
  </si>
  <si>
    <t xml:space="preserve">Instalacion Regleta en acrilico </t>
  </si>
  <si>
    <t xml:space="preserve">Suministro Regleta en acrilico </t>
  </si>
  <si>
    <t xml:space="preserve">REGLETA EN ACRILICO </t>
  </si>
  <si>
    <t>Instalacion Canaleta recolectora tipo diente de sierra en lamina 1/4</t>
  </si>
  <si>
    <t>Suministro Canaleta recolectora tipo diente de sierra en lamina 1/4</t>
  </si>
  <si>
    <t>C. RECOLECTOR DIENTE SIERRA LAMINA 1/4</t>
  </si>
  <si>
    <t>Instalacion Tubería PVC RDE 21 Ø10" perforada, para distribución de flujo.</t>
  </si>
  <si>
    <t>PERFO</t>
  </si>
  <si>
    <t>PERFORACION DE TUBERIA</t>
  </si>
  <si>
    <t>Suministro Tubería PVC RDE 21 Ø10" perforada, para distribución de flujo.</t>
  </si>
  <si>
    <t>TUZ20</t>
  </si>
  <si>
    <t xml:space="preserve">TUB. PVC-UP RDE-21 10 </t>
  </si>
  <si>
    <t>Instalacion de tubería PVC RDE 26  Ø8" con perforaciones de Ø2 1/2", para extracción de lodos (incluye abrazaderas y pernos de fijación)</t>
  </si>
  <si>
    <t>Suministro de tubería PVC RDE 26  Ø8" con perforaciones de Ø2 1/2", para extracción de lodos (incluye abrazaderas y pernos de fijación)</t>
  </si>
  <si>
    <t>TUZ68</t>
  </si>
  <si>
    <t xml:space="preserve">TUB. PVC-UP RDE-26 8 </t>
  </si>
  <si>
    <t>Instalacion Tee en HF JH de Ø8"</t>
  </si>
  <si>
    <t>Suministro Tee en HF JH de Ø8"</t>
  </si>
  <si>
    <t>TEE HF 8x8'' EL</t>
  </si>
  <si>
    <t>Instalacion Tapón HF Ø 200 mm para estractor de lodos</t>
  </si>
  <si>
    <t>Suministro Tapón HF Ø 200 mm para estractor de lodos</t>
  </si>
  <si>
    <t>TAHF8</t>
  </si>
  <si>
    <t>TAPON EN HF 8 EL</t>
  </si>
  <si>
    <t xml:space="preserve">Instalacion de placas prefabricadas en asbesto cemento de 1.20 m * 2.40 m e=0.01 m </t>
  </si>
  <si>
    <t xml:space="preserve">Suministro de placas prefabricadas en asbesto cemento de 1.20 m * 2.40 m e=0.01 m </t>
  </si>
  <si>
    <t>PLACAS A-C 1.2x2.4x0.01m</t>
  </si>
  <si>
    <t xml:space="preserve">Instalacion de tubería cuadrada en aluminio </t>
  </si>
  <si>
    <t xml:space="preserve">Suministro de tubería cuadrada en aluminio </t>
  </si>
  <si>
    <t>TUB. CUADRADA EN ALUMINIO</t>
  </si>
  <si>
    <t xml:space="preserve">Instalacion Válvula de apertura y cierre rápido Ø 10" Sello bronce </t>
  </si>
  <si>
    <t xml:space="preserve">Suministro Válvula de apertura y cierre rápido Ø 10" Sello bronce </t>
  </si>
  <si>
    <t>VALV. APERT. Y CIER. RAPIDO 10</t>
  </si>
  <si>
    <t>Sistema de desinfección</t>
  </si>
  <si>
    <t>Instalacion Motobomba sumergible , para un caudal de 1 l/seg, Hdt 12 m, de 1 Hp, 220 voltios, acero inoxidable</t>
  </si>
  <si>
    <t>MDEO</t>
  </si>
  <si>
    <t>Suministro Motobomba sumergible , para un caudal de 1 l/seg, Hdt 12 m, de 1 Hp, 220 voltios, acero inoxidable</t>
  </si>
  <si>
    <t>CONTA</t>
  </si>
  <si>
    <t>MOTOBOMBA, Q=1 L/S , 1 HP, Hdt =12m en acero.</t>
  </si>
  <si>
    <t>Instalacion Instalación eléctrica ( Incluye arrancador y protección termica)</t>
  </si>
  <si>
    <t>ARRAN</t>
  </si>
  <si>
    <t>ARRANCADOR CON COFRE Y PROT TERM 2.8 A 40amp</t>
  </si>
  <si>
    <t>Suministro Instalación eléctrica ( Incluye arrancador y protección termica)</t>
  </si>
  <si>
    <t>TC12</t>
  </si>
  <si>
    <t>TUBERIA CONDUIT Ø1/2"</t>
  </si>
  <si>
    <t>CAB12</t>
  </si>
  <si>
    <t xml:space="preserve">CABLE No 12 </t>
  </si>
  <si>
    <t>Suministro de Clorador</t>
  </si>
  <si>
    <t>CLOR</t>
  </si>
  <si>
    <t xml:space="preserve">Clorador </t>
  </si>
  <si>
    <t>Suministro Cilindro de cloro de 68kg</t>
  </si>
  <si>
    <t>CILINDRO DE CLORO DE 68Kg</t>
  </si>
  <si>
    <t>Suministro Bascula mecánica 500kg x 250gr</t>
  </si>
  <si>
    <t>TKH01</t>
  </si>
  <si>
    <t>BASCULA MECANICA 500Kg X 250gr</t>
  </si>
  <si>
    <t>Instalacion Tub. PVC-P RDE 21 de Ø 25 mm (1")</t>
  </si>
  <si>
    <t>Suministro Tub. PVC-P RDE 21 de Ø 25 mm (1")</t>
  </si>
  <si>
    <t xml:space="preserve">TUB. PVC-UP RDE-21 DE Ø 25mm (1") </t>
  </si>
  <si>
    <t>Instalacion Codo PVC-P Ø 25mm x 90° (1") soldado.</t>
  </si>
  <si>
    <t>Suministro Codo PVC-P Ø 25mm x 90° (1") soldado.</t>
  </si>
  <si>
    <t>C45P1</t>
  </si>
  <si>
    <t>CODO PVC-P 25mm 90° SOLDADO</t>
  </si>
  <si>
    <t>Instalacion Codo PVC-P Ø 25mm x 45° (1") soldado.</t>
  </si>
  <si>
    <t>Suministro Codo PVC-P Ø 25mm x 45° (1") soldado.</t>
  </si>
  <si>
    <t>CODO PVC-P 25mm 45° SOLDADO</t>
  </si>
  <si>
    <t>Laboratorio</t>
  </si>
  <si>
    <t>Suministro Turbidimetro digital marca ORBECO - HELLIGE o similar</t>
  </si>
  <si>
    <t>TURBI</t>
  </si>
  <si>
    <t>TURBIDIMETRO DIGITAL (ORBECO)</t>
  </si>
  <si>
    <t>Suministro Colorimetro marca AQUATESTER - ORBECO</t>
  </si>
  <si>
    <t>COLMT</t>
  </si>
  <si>
    <t>COLORIMETRO (AQUATESTER)</t>
  </si>
  <si>
    <t>Suministro PHmetro con electrodo de vidrio marca HANNA - HL8014V</t>
  </si>
  <si>
    <t>PHM01</t>
  </si>
  <si>
    <t>PHMETRO CON ELECTRODO DE VIDRIO</t>
  </si>
  <si>
    <t>Suministro Kit de cloro</t>
  </si>
  <si>
    <t>TKC01</t>
  </si>
  <si>
    <t>TEST KIT CLORIMETRO II (HACH)</t>
  </si>
  <si>
    <t xml:space="preserve">Suministro Kit de hierro </t>
  </si>
  <si>
    <t>TEST KIT HIERRO IR-18 (HACH)</t>
  </si>
  <si>
    <t>Suministro  Ensayo de jarras 4 puestos JLT4 potencia 40 watts, 10-300 RPM con display (incluye jarras cuadradas plasticas 1000 ml, PHYSIS o similar)</t>
  </si>
  <si>
    <t xml:space="preserve">Ensayo de jarras 4 puestos JLT4 </t>
  </si>
  <si>
    <t>jarras cuadradas plasticas 1000 ml, PHYSIS</t>
  </si>
  <si>
    <t>Suministro Pipeta volumétrica 1ml. Clase B</t>
  </si>
  <si>
    <t>Pipeta volumétrica 1ml. Clase B</t>
  </si>
  <si>
    <t>Suministro Pipeta volumétrica 10ml. Clase B</t>
  </si>
  <si>
    <t>Pipeta volumétrica 10ml. Clase B</t>
  </si>
  <si>
    <t>Suministro Bureta Schellb 25 ml. Llave recta  PTFE Clase B, con pinza plástica doble y soporte con varilla</t>
  </si>
  <si>
    <t>Bureta Schellb 25 ml. Llave recta  PTFE Clase B, con pinza plástica doble y soporte con varilla</t>
  </si>
  <si>
    <t xml:space="preserve">Suministro Erlenmeyer 250 ml. cuello angosto </t>
  </si>
  <si>
    <t xml:space="preserve">Erlenmeyer 250 ml. cuello angosto </t>
  </si>
  <si>
    <t>Suministro Beaker de 500 ml</t>
  </si>
  <si>
    <t>Beaker de 500 ml</t>
  </si>
  <si>
    <t>Suministro Beaker de 250 ml</t>
  </si>
  <si>
    <t>Beaker de 250 ml</t>
  </si>
  <si>
    <t>Suministro Probeta grad. 50ml base hexagonal</t>
  </si>
  <si>
    <t>Probeta grad. 50ml base hexagonal</t>
  </si>
  <si>
    <t>Suministro Probeta grad. 100ml base hexagonal</t>
  </si>
  <si>
    <t>Probeta grad. 100ml base hexagonal</t>
  </si>
  <si>
    <t xml:space="preserve">Suministro Soporte Universal </t>
  </si>
  <si>
    <t xml:space="preserve">Soporte Universal </t>
  </si>
  <si>
    <t>Suministro Balón Volumetrico Vidrio 250 mL clase A</t>
  </si>
  <si>
    <t>Balón Volumetrico Vidrio 250 mL clase A</t>
  </si>
  <si>
    <t xml:space="preserve">Suministro Pera pipeteadora universal </t>
  </si>
  <si>
    <t xml:space="preserve">Pera pipeteadora universal </t>
  </si>
  <si>
    <t>Suministro balanza electronica de  500gr setra bl410 o similar</t>
  </si>
  <si>
    <t>balanza electronica de  500gr setra bl410 o similar</t>
  </si>
  <si>
    <t>Suministro Acido Sulfurico Sln. 0,1N, 1Litro</t>
  </si>
  <si>
    <t>Acido Sulfurico Sln. 0,1N, 1Litro</t>
  </si>
  <si>
    <t>L</t>
  </si>
  <si>
    <t xml:space="preserve">Suministro Cromato de potasio </t>
  </si>
  <si>
    <t xml:space="preserve">Cromato de potasio </t>
  </si>
  <si>
    <t>Suministro REACTIVO E.D.TA.</t>
  </si>
  <si>
    <t>REACTIVO E.D.TA.</t>
  </si>
  <si>
    <t>Suministro Indicador mixto</t>
  </si>
  <si>
    <t>Indicador mixto.</t>
  </si>
  <si>
    <t xml:space="preserve">Suministro Nitrato de plata </t>
  </si>
  <si>
    <t xml:space="preserve">Nitrato de plata </t>
  </si>
  <si>
    <t>Suministro ortotodilina</t>
  </si>
  <si>
    <t>ortotodilina</t>
  </si>
  <si>
    <t>4.25</t>
  </si>
  <si>
    <t>Suministro Tisulfato de sodio</t>
  </si>
  <si>
    <t>Tisulfato de sodio</t>
  </si>
  <si>
    <t>LECHOS DE SECADO</t>
  </si>
  <si>
    <t>CERC</t>
  </si>
  <si>
    <t>CERCHA METÁLICA</t>
  </si>
  <si>
    <t>CABALLETE  ACRILICO PERFIL 7</t>
  </si>
  <si>
    <t>Cajas en concreto de21 MPa de 60 x 60cm h&lt;1m (Incluye acero y marco en angulo de 2"x3/16", pan y cañuela)</t>
  </si>
  <si>
    <t>CAJA 60x60 h&lt;1m (Incluye acero y marco en angulo de 2"x3/16", pan y cañuela)</t>
  </si>
  <si>
    <t>S.T.I. Tapas de concreto para cajas de 60 cm X 60 cm para salida aguas filtradas de lechos de secado</t>
  </si>
  <si>
    <t>HERRAJE DE TAPA</t>
  </si>
  <si>
    <t>Instalacion Suministro e instalación tubería PVC - P Ø4" Extremo Junta Hidráulica</t>
  </si>
  <si>
    <t>Suministro Suministro e instalación tubería PVC - P Ø4" Extremo Junta Hidráulica</t>
  </si>
  <si>
    <t xml:space="preserve">TUB. PVC-P RDE-21 4'' 100mm </t>
  </si>
  <si>
    <t>Instalacion Tee PVC-P Ø100mm (4") Soldada.</t>
  </si>
  <si>
    <t>Suministro Tee PVC-P Ø100mm (4") Soldada.</t>
  </si>
  <si>
    <t>Instalacion Válvulas de bola  Ø4" Acero Inoxidable (Incluye accesorios)</t>
  </si>
  <si>
    <t>ACARREO EN OBRA</t>
  </si>
  <si>
    <t>ADAPTADOR ROSCADO Ø 100 mm (4")</t>
  </si>
  <si>
    <t>Suministro Válvulas de bola  Ø4" Acero Inoxidable (Incluye accesorios)</t>
  </si>
  <si>
    <t>VB4HR</t>
  </si>
  <si>
    <t>VALV BOLA 100 mm ACERO INOXIDABLE</t>
  </si>
  <si>
    <t>Instalacion Codo PVC-P Ø 100mm x 90° (4").</t>
  </si>
  <si>
    <t>Suministro Codo PVC-P Ø 100mm x 90° (4").</t>
  </si>
  <si>
    <t>CODO PVC-P 100mm 90°</t>
  </si>
  <si>
    <t>S.T.I. Transformador de 10KVA, 7600/220/110v, monofásico, refrigerado en aceite, 60hz, con sus respectivas protecciones, caja primaria y pararrayo, barrajes y homologado por EPM, norma RA3-026</t>
  </si>
  <si>
    <t>TRANSFORMADOR DE 10KVA, 7600/220/110V.</t>
  </si>
  <si>
    <t>S.T.I. Poste de concreto de 12m, Incluye:  parada, izada, aplomada y pintada según proyectado para primaria</t>
  </si>
  <si>
    <t>S.T.I. Poste de concreto de 9m, Incluye: parada, izada, aplomada y pintada según proyectado para primaria</t>
  </si>
  <si>
    <t>10.4</t>
  </si>
  <si>
    <t>S.T.I. Linea aerea primaria monofásica en ACSR 2No. 4</t>
  </si>
  <si>
    <t>LINEA AEREA PRIM MONOFASICA EN ACSR 2No. 4</t>
  </si>
  <si>
    <t>S.T.I. Terminal con neutro superior, RA3-0133, norma EPM</t>
  </si>
  <si>
    <t>TERMINAL CON NEUTRO SUPERIOR RA3-0133</t>
  </si>
  <si>
    <t>S.T.I. Viento primario convencional, RA6-001, norma EPM</t>
  </si>
  <si>
    <t>VIENTO PRIMARIO CONVENCIONAL</t>
  </si>
  <si>
    <t>S.T.I. Aisladero monofásico primario</t>
  </si>
  <si>
    <t>AISLADERO MONOFASICO PRIMARIO</t>
  </si>
  <si>
    <t>S.T.I. Contador ciclometrico residencial, 127/220V, monofásico, residencial en caja interperie, calibrado y homologado por EPM</t>
  </si>
  <si>
    <t>CONTADOR RESIDENCIAL 127/220V</t>
  </si>
  <si>
    <t>S.T.I. Acometida secundaria monofasica subterranea en cable THWN, AWG, 600V, 2 No. 6 + No. 8, y tubería Conduit de 1" desde la caja 0.5mx0.5m al lado del ultimo poste de 12m hasta el tablero de breakers, según diseño.</t>
  </si>
  <si>
    <t>ACOMETIDA SECUNDARIA MONOFASICA</t>
  </si>
  <si>
    <t>COND</t>
  </si>
  <si>
    <t>TUBERÍA CONDUIT DE 1"</t>
  </si>
  <si>
    <t>S.T.I. Cable antifraude No.6 incluye bajante galvanizado con capacete de 1 1/4", cinta Bandit</t>
  </si>
  <si>
    <t>CABLE ANTIFRAUDE No6 (INC. BAJAN CON CAPA)</t>
  </si>
  <si>
    <t>BAJANTE</t>
  </si>
  <si>
    <t>BAJANTE GALVANIZADO DE 1¼"</t>
  </si>
  <si>
    <t>CINTA</t>
  </si>
  <si>
    <t>CINTA BANDIT</t>
  </si>
  <si>
    <t>S.T.I. Caja 0.5m x 0.5m con herraje RS3-015 EPM</t>
  </si>
  <si>
    <t>CAJA 0.5mx0.5m CON HERRAJE RS3-015 EPM</t>
  </si>
  <si>
    <t>S.T.I. Tablero de breaker de 6 circuitos monofásico con tapa, incluye 10 breakers monofásicos de 20 amp</t>
  </si>
  <si>
    <t>TABLERO DE BREAKERS DE 12CIRCUITOS</t>
  </si>
  <si>
    <t xml:space="preserve">S.T.I.Breaker  2 x 60 amp., monofásicos de enchufar </t>
  </si>
  <si>
    <t>BREAKER DE 2X20amp, MONOFASICO</t>
  </si>
  <si>
    <t>S.T.I. Lampara de alumbrado publico de 70W de sodio, 220V, completa con brazo, alimentada en duplex 12 desde caja en piso. 
Norma RA5-201 EPM</t>
  </si>
  <si>
    <t>LAMPARA DE 70W DE SODIO 220V COMPLETA</t>
  </si>
  <si>
    <t xml:space="preserve">S.T.I. Caja 0.3m x 0.3m con herraje </t>
  </si>
  <si>
    <t xml:space="preserve">CAJA 0.3mx0.3m CON HERRAJE </t>
  </si>
  <si>
    <t>S.T.I. Salida eléctrica completa, incluye alambre 3No 12 THHN y tuberia PVC Conduit según diseño, tomas e interruptores</t>
  </si>
  <si>
    <t>ALAMBRE 3 Nº 12 THHN</t>
  </si>
  <si>
    <t>TOMAS</t>
  </si>
  <si>
    <t>TOMACORRIENTE DOBLE CON POLO A TIERRA</t>
  </si>
  <si>
    <t>INTERR</t>
  </si>
  <si>
    <t>INTERRUPTOR SENCILLO CON LUZ PILOTO</t>
  </si>
  <si>
    <t>S.T.I. Lamparas fluorecentes de 2 x 48W Slim Line, completa.</t>
  </si>
  <si>
    <t>S.T.I. Acometidas para lamparas de alumbrado público, en tubería PVC Conduit de 3/4" y 2 No. 10, según diseño</t>
  </si>
  <si>
    <t>ACOMETIDA PARA LAMPARA COMPLETA</t>
  </si>
  <si>
    <t>S.T.I. Salida telefónica completa, incluye cable de 4 pares y tuberia pvc conduit según diseño</t>
  </si>
  <si>
    <t>Excavación manual o mecánica en Material Común de 0 - 2 m</t>
  </si>
  <si>
    <t>CESPEDONES EN GRAMALOTE MANI FORRAGERO</t>
  </si>
  <si>
    <t>Solado en concreto de f`c = 140 kg/cm2 para apoyo de la caja de derivación, e = 5cm</t>
  </si>
  <si>
    <t>Acero de refuerzo fy = 60.000 psi (incluye figuración)</t>
  </si>
  <si>
    <t>S.T.I. Filtro perimetral (incluye triturado Ø 25 mm y tubería PVC-Novafort de Ø 160 mm).</t>
  </si>
  <si>
    <t>Instalacion Tubería PVC-S de Ø4" (100 mm) para sistema desagüe</t>
  </si>
  <si>
    <t>OFICIAL (INCLUYE 66,28% PRESTACIONES)</t>
  </si>
  <si>
    <t>AYUD. ENTENDIDO (INCLUYE 66,28% PRESTACIONES)</t>
  </si>
  <si>
    <t>Suministro Tubería PVC-S de Ø4" (100 mm) para sistema desagüe</t>
  </si>
  <si>
    <t>TUB. PVC-S DE 150mm 4''</t>
  </si>
  <si>
    <t>Instalacion Tuberia PVC-S Ø 100 mm (3").</t>
  </si>
  <si>
    <t>Suministro Tuberia PVC-S Ø 100 mm (3").</t>
  </si>
  <si>
    <t>TUB. PVC-S 75mm</t>
  </si>
  <si>
    <t>Instalacion Tub. PVC-P RDE 26 de Ø 75 mm (3") Unión Platino.</t>
  </si>
  <si>
    <t>Suministro Tub. PVC-P RDE 26 de Ø 75 mm (3") Unión Platino.</t>
  </si>
  <si>
    <t xml:space="preserve">TUB. PVC-P RDE-26 3'' 75mm </t>
  </si>
  <si>
    <t>Instalacion Niple pasamuro en acero Sch 80 Ø3" extremo roscado, L=0.45m</t>
  </si>
  <si>
    <t>Suministro Niple pasamuro en acero Sch 80 Ø3" extremo roscado, L=0.45m</t>
  </si>
  <si>
    <t>TASH3</t>
  </si>
  <si>
    <t xml:space="preserve">Instalacion Válvula de compuerta sello en bronce Ø3" (75 mm) </t>
  </si>
  <si>
    <t xml:space="preserve">Suministro Válvula de compuerta sello en bronce Ø3" (75 mm) </t>
  </si>
  <si>
    <t>Instalacion Reduccion excentrica en acero 3"x1 1/2"</t>
  </si>
  <si>
    <t>Suministro Reduccion excentrica en acero 3"x1 1/2"</t>
  </si>
  <si>
    <t>REDUCCION EXCENTRICA EN ACERO 3"x1 1/2"</t>
  </si>
  <si>
    <t>Instalacion Universal HG Ø 1 1/2"</t>
  </si>
  <si>
    <t>Suministro Universal HG Ø 1 1/2"</t>
  </si>
  <si>
    <t>Instalacion Niple HG Ø1 1/2", L=10 cm</t>
  </si>
  <si>
    <t>Suministro Niple HG Ø1 1/2", L=10 cm</t>
  </si>
  <si>
    <t xml:space="preserve">Niple HG Ø1 1/2", L=10 cm </t>
  </si>
  <si>
    <t xml:space="preserve">Instalacion Reducción HF Ø2"x1 1/2" </t>
  </si>
  <si>
    <t xml:space="preserve">Suministro Reducción HF Ø2"x1 1/2" </t>
  </si>
  <si>
    <t>Instalacion Valvula de retencion (cheque) Ø2"</t>
  </si>
  <si>
    <t>Suministro Valvula de retencion (cheque) Ø2"</t>
  </si>
  <si>
    <t>Instalacion Tub. PVC-P RDE 26 de Ø 50 mm (2") Unión Platino.</t>
  </si>
  <si>
    <t>Suministro Tub. PVC-P RDE 26 de Ø 50 mm (2") Unión Platino.</t>
  </si>
  <si>
    <t>TUB. PVC-UP RDE-26 2 50mm</t>
  </si>
  <si>
    <t>INSTALACION UNIVERSAL DE PVC Ø1 1/2"</t>
  </si>
  <si>
    <t>SUMINISTRO UNIVERSAL DE PVC Ø1 1/2"</t>
  </si>
  <si>
    <t>UNIVERSAL DE PVC Ø1 1/2"</t>
  </si>
  <si>
    <t>Instalacion UNIVERSAL DE PVC Ø1 1/2"</t>
  </si>
  <si>
    <t>Suministro UNIVERSAL DE PVC Ø1 1/2"</t>
  </si>
  <si>
    <t>Instalacion Tee PVC-P Ø 50mm (2") soldada.</t>
  </si>
  <si>
    <t>Suministro Tee PVC-P Ø 50mm (2") soldada.</t>
  </si>
  <si>
    <t>Instalacion Codo PVC-P Ø 50mm x 90° (2") soldado.</t>
  </si>
  <si>
    <t>Suministro Codo PVC-P Ø 50mm x 90° (2") soldado.</t>
  </si>
  <si>
    <t>CODO PVC-P 50mm 90° SOLDADO</t>
  </si>
  <si>
    <t>Instalacion  Adaptador macho PVC (2")</t>
  </si>
  <si>
    <t>Suministro  Adaptador macho PVC (2")</t>
  </si>
  <si>
    <t>Adaptador macho PVC 2"</t>
  </si>
  <si>
    <t>Instalacion Válvula de bola de Ø 2"</t>
  </si>
  <si>
    <t>Suministro Válvula de bola de Ø 2"</t>
  </si>
  <si>
    <t>VB1HR</t>
  </si>
  <si>
    <t>VALVULA DE BOLA Ø2"</t>
  </si>
  <si>
    <t>Instalacion Bomba centrifuga para recirculacion de aguas de lavado Q=4 l/s, CDT=11 m</t>
  </si>
  <si>
    <t>MANO DE OBRA INSTALACION</t>
  </si>
  <si>
    <t>Suministro Bomba centrifuga para recirculacion de aguas de lavado Q=4 l/s, CDT=11 m</t>
  </si>
  <si>
    <t>Instalacion Bomba centrifuga para trasvase de lodos espesados hacia lechos de secado Q=2 l/s, CDT=6 m</t>
  </si>
  <si>
    <t>Suministro Bomba centrifuga para trasvase de lodos espesados hacia lechos de secado Q=2 l/s, CDT=6 m</t>
  </si>
  <si>
    <t>Instalacion Tablero electrico con dos arrancadores termomagnetico</t>
  </si>
  <si>
    <t>Suministro Tablero electrico con dos arrancadores termomagnetico</t>
  </si>
  <si>
    <t>Instalacion Tub. de PVC-S  de 150 mm (6")</t>
  </si>
  <si>
    <t>sUMINISTRo Tub. de PVC-S  de 150 mm (6")</t>
  </si>
  <si>
    <t>Instalacion Tub. PVC Novafort o similar 200 mm (8").</t>
  </si>
  <si>
    <t>Suministro Tub. PVC Novafort o similar 200 mm (8").</t>
  </si>
  <si>
    <t>TUB. PVC NOVAFORT 200 mm</t>
  </si>
  <si>
    <t>Instalacion Tub. PVC Novafort o similar 250 mm (10").</t>
  </si>
  <si>
    <t>Suministro Tub. PVC Novafort o similar 250 mm (10").</t>
  </si>
  <si>
    <t>TUB. PVC NOVAFORT 250 mm</t>
  </si>
  <si>
    <r>
      <t>m</t>
    </r>
    <r>
      <rPr>
        <vertAlign val="superscript"/>
        <sz val="9"/>
        <rFont val="Arial"/>
        <family val="2"/>
      </rPr>
      <t>3</t>
    </r>
  </si>
  <si>
    <t xml:space="preserve">Excavación mecánica en Material Común seco  2 - 4 m </t>
  </si>
  <si>
    <t>Entibado permanente</t>
  </si>
  <si>
    <t>Concreto f'c=24.5 Mpa muros (incluye formaleta y moldura triangular para acabado)</t>
  </si>
  <si>
    <r>
      <t>m</t>
    </r>
    <r>
      <rPr>
        <sz val="9"/>
        <rFont val="Arial"/>
        <family val="2"/>
      </rPr>
      <t>³</t>
    </r>
  </si>
  <si>
    <t>TAPA</t>
  </si>
  <si>
    <t>C210K</t>
  </si>
  <si>
    <t>CONCRETO 3000PSI (210kg/cm² 3/4)</t>
  </si>
  <si>
    <t>Escalones uña de gato en varilla de Ø 3/4"</t>
  </si>
  <si>
    <t>Suministro Tubería de PVC (ASTM F794) alcantarillado de 200 mm</t>
  </si>
  <si>
    <t>C66EL</t>
  </si>
  <si>
    <t>M.O. ensablado niple brida</t>
  </si>
  <si>
    <t>SUMINISTRO</t>
  </si>
  <si>
    <t>11 s</t>
  </si>
  <si>
    <t>11.1 s</t>
  </si>
  <si>
    <t>12 s</t>
  </si>
  <si>
    <t>12.1 s</t>
  </si>
  <si>
    <t>12.2 s</t>
  </si>
  <si>
    <t>12.3 s</t>
  </si>
  <si>
    <t>12.4 s</t>
  </si>
  <si>
    <t>12.5 s</t>
  </si>
  <si>
    <t>12.6 s</t>
  </si>
  <si>
    <t>12.7 s</t>
  </si>
  <si>
    <t>12.8 s</t>
  </si>
  <si>
    <t>12.9 s</t>
  </si>
  <si>
    <t>12.10 s</t>
  </si>
  <si>
    <t>12.11 s</t>
  </si>
  <si>
    <t>12.12 s</t>
  </si>
  <si>
    <t>12.13 s</t>
  </si>
  <si>
    <t>12.14 s</t>
  </si>
  <si>
    <t>12.15 s</t>
  </si>
  <si>
    <t>12.16 s</t>
  </si>
  <si>
    <t>13 s</t>
  </si>
  <si>
    <t>13.2 s</t>
  </si>
  <si>
    <t>TOTAL CONSTRUCCIÓN TANQUE DE ALMACENAMIENTO</t>
  </si>
  <si>
    <t>DISCRIMINACIÓN A.I.U.  (ADMINISTRACIÓN, IMPREVISTOS Y UTILIDADES)</t>
  </si>
  <si>
    <t>Industria y Comercio</t>
  </si>
  <si>
    <t>Prouniversidad</t>
  </si>
  <si>
    <t>1.1.6</t>
  </si>
  <si>
    <t>Procultura</t>
  </si>
  <si>
    <t>1.1.7</t>
  </si>
  <si>
    <t>1.1.8</t>
  </si>
  <si>
    <t>Gastos de Legalización de Contrato</t>
  </si>
  <si>
    <t>1.2.1</t>
  </si>
  <si>
    <t>Polizas</t>
  </si>
  <si>
    <t>Personal de Administración del Contrato</t>
  </si>
  <si>
    <t>1.3.1</t>
  </si>
  <si>
    <t>Director de Obra</t>
  </si>
  <si>
    <t>1.3.2</t>
  </si>
  <si>
    <t>1.3.3</t>
  </si>
  <si>
    <t>Almacenista</t>
  </si>
  <si>
    <t>1.3.4</t>
  </si>
  <si>
    <t>1.3.5</t>
  </si>
  <si>
    <t>1.3.6</t>
  </si>
  <si>
    <t>1.4.1</t>
  </si>
  <si>
    <t>1.4.2</t>
  </si>
  <si>
    <t>1.4.3</t>
  </si>
  <si>
    <t>1.4.4</t>
  </si>
  <si>
    <t>1.4.5</t>
  </si>
  <si>
    <t>1.4.6</t>
  </si>
  <si>
    <t>1.4.7</t>
  </si>
  <si>
    <t>1.4.8</t>
  </si>
  <si>
    <t>1.4.9</t>
  </si>
  <si>
    <t>1.4.10</t>
  </si>
  <si>
    <t>Valla contractual (Según Especificaciones del contratante)</t>
  </si>
  <si>
    <t>Imprevistos (diferentes a fuerza mayor)</t>
  </si>
  <si>
    <t>CT280</t>
  </si>
  <si>
    <t xml:space="preserve">COSTO DIRECTO SUMINISTRO (INCLUIDO TRANSPORTE) </t>
  </si>
  <si>
    <t>ADMINISTRACIÓN (20%)</t>
  </si>
  <si>
    <t>INTERVENTORIA 4%</t>
  </si>
  <si>
    <t xml:space="preserve">COSTO DIRECTO OBRA CIVIL E INSTALACIÓN </t>
  </si>
  <si>
    <t>AIU (30%)</t>
  </si>
  <si>
    <t xml:space="preserve">COSTO TOTAL OBRAS </t>
  </si>
  <si>
    <t>b</t>
  </si>
  <si>
    <t>5. OPTIMIZACIÓN Y PROYECCIÓN DE LÍNEA DE IMPULSIÓN PTAP TIJERETAS - TANQUE DE PATAGONIA</t>
  </si>
  <si>
    <t>7. LÍNEA DE CONDUCCIÓN TANQUE DE PATAGONIA AL PORVENIR Y ECOPETROL</t>
  </si>
  <si>
    <t xml:space="preserve"> 2. LÍNEA DE IMPULSIÓN RÍO SINÚ - PTAP TIJERETAS</t>
  </si>
  <si>
    <t>COSTRUCCION Y OPTIMIZACION DEL SISTEMA DE ACUEDUCTO DEL CASCO URBANO DEL MUNICIPIO DE SAN ANTERO Y EL CORREGIMIENTO PORVENIR, DEPARTAMENTO DE CORDOBA</t>
  </si>
  <si>
    <t>Noviembre de 2017</t>
  </si>
  <si>
    <t>Municipio de San Antero - Cordoba</t>
  </si>
  <si>
    <t>Municipio San Antero - Cordoba</t>
  </si>
  <si>
    <t>Construccion Y Optimizacion Del Sistema De Acueducto Del Casco Urbano Del Municipio De San Antero y El Corregiminento Porvenir, Departamento De Cordoba</t>
  </si>
  <si>
    <t xml:space="preserve">Construccion Y Optimizacion Del Sistema De Acueducto Del Casco Urbano Del Municipio De San Antero y El Corregiminento Porvenir, Departamento De Cordoba
</t>
  </si>
  <si>
    <t>Municipio De San Antero - Cordoba</t>
  </si>
  <si>
    <t>VCELA10</t>
  </si>
  <si>
    <t>T1010JH</t>
  </si>
  <si>
    <t>VALV. COMPUERTA ELASTICA 10" 250 mm</t>
  </si>
  <si>
    <t>VCELA8</t>
  </si>
  <si>
    <t>VALV. COMPUERTA ELASTICA EL 200 mm</t>
  </si>
  <si>
    <t>YEE HF 8X8 JH</t>
  </si>
  <si>
    <t>Y88JH</t>
  </si>
  <si>
    <t>INTERVENTORIA 8%</t>
  </si>
  <si>
    <t>CODO 90º HD 4" JH</t>
  </si>
  <si>
    <t>CODO HD 150 mm 90º JH</t>
  </si>
  <si>
    <t>CODO HD 100 mm 90º JH</t>
  </si>
  <si>
    <t>||</t>
  </si>
  <si>
    <t xml:space="preserve">OBRA CIVIL E INSTALACION </t>
  </si>
  <si>
    <t>1,5</t>
  </si>
  <si>
    <t>0,11</t>
  </si>
  <si>
    <t>0,15</t>
  </si>
  <si>
    <t>COSTO TOTAL OBRA CIVIL E INSTALACIÓN</t>
  </si>
  <si>
    <t>COSTO TOTAL SUMINISTRO</t>
  </si>
  <si>
    <t>INTERVENTORIA</t>
  </si>
  <si>
    <t xml:space="preserve">1. COMPONENTE ELECTRICO Y MECANICO DEL SISTEMA DE BOMBEO RÍO SINÚ - PTAP TIJERETAS </t>
  </si>
  <si>
    <t xml:space="preserve">COSTO DIRECTO OBRA CIVIL E INSTALACION LINEA DE IMPULSIÓN RIO SINÚ - PTAP TIJERETAS </t>
  </si>
  <si>
    <t>COSTO DIRECTO SUMINISTRO OPTIMIZACIÓN Y PROYECCIÓN DE LÍNEA  PTAP TIJERETAS - TANQUE DE PATAGONIA</t>
  </si>
  <si>
    <t>COSTO TOTAL SUMINISTRO OPTIMIZACIÓN Y PROYECCIÓN DE LÍNEA  PTAP TIJERETAS - TANQUE DE PATAGONIA</t>
  </si>
  <si>
    <t>COSTO DIRECTO OBRA CIVIL E INSTALACION OPTIMIZACIÓN Y PROYECCIÓN DE LÍNEA  PTAP TIJERETAS - TANQUE DE PATAGONIA</t>
  </si>
  <si>
    <t>COSTO TOTAL OBRA CIVIL E INSTALACION OPTIMIZACIÓN Y PROYECCIÓN DE LÍNEA  PTAP TIJERETAS - TANQUE DE PATAGONIA</t>
  </si>
  <si>
    <t>COSTO DIRECTO OBRA CIVIL E INSTALACION  LÍNEA DE CONDUCCIÓN TANQUE DE PATAGONIA AL PORVENIR Y ECOPETROL</t>
  </si>
  <si>
    <t>COSTO TOTAL OBRA CIVIL E INSTALACION  LÍNEA DE CONDUCCIÓN TANQUE DE PATAGONIA AL PORVENIR Y ECOPETROL</t>
  </si>
  <si>
    <t>COSTO DIRECTO SUMINISTRO LÍNEA DE CONDUCCIÓN TANQUE DE PATAGONIA AL PORVENIR Y ECOPETROL</t>
  </si>
  <si>
    <t>COSTO TOTAL  SUMINISTRO LÍNEA DE CONDUCCIÓN TANQUE DE PATAGONIA AL PORVENIR Y ECOPETROL</t>
  </si>
  <si>
    <t>COSTO DIRECTO SUMINISTRO COMPONENTE ELECTRICO Y MECANICO DEL SISTEMA DE BOMBEO PTAP TIJERETAS - TANQUE PATAGONIA</t>
  </si>
  <si>
    <t>SUPERVICIÓN ADMINISTRATIVA FINANCIERA Y LEGAL</t>
  </si>
  <si>
    <t xml:space="preserve">COSTO DIRECTO SUMINISTRO COMPONENTE ELECTRICO Y MECANICO DEL SISTEMA DE BOMBEO RÍO SINÚ - PTAP TIJERETAS </t>
  </si>
  <si>
    <t xml:space="preserve">COSTO TOTAL SUMINISTRO COMPONENTE ELECTRICO Y MECANICO DEL SISTEMA DE BOMBEO RÍO SINÚ - PTAP TIJERETAS </t>
  </si>
  <si>
    <t xml:space="preserve">COSTO DIRECTO INSTALACIÓN Y PUESTA EN SERVICIO  COMPONENTE ELECTRICO Y MECANICO DEL SISTEMA DE BOMBEO RÍO SINÚ - PTAP TIJERETAS </t>
  </si>
  <si>
    <t xml:space="preserve">COSTO TOTAL INSTALACIÓN Y PUESTA EN SERVICIO  COMPONENTE ELECTRICO Y MECANICO DEL SISTEMA DE BOMBEO RÍO SINÚ - PTAP TIJERETAS </t>
  </si>
  <si>
    <t xml:space="preserve">SUPERVICION ADMINISTRATIVA FINANCIERA Y LEGAL </t>
  </si>
  <si>
    <t>COSTO DIRECTO OBRA CIVIL E INSTALACION CANTIDADES DE OBRA Y PRESUPUESTO TANQUE DE ALMACENAMIENTO</t>
  </si>
  <si>
    <t>COSTO TOTAL OBRA CIVIL E INSTALACION CANTIDADES DE OBRA Y PRESUPUESTO TANQUE DE ALMACENAMIENTO</t>
  </si>
  <si>
    <t>COSTO DIRECTO  SUMINISTRO CANTIDADES DE OBRA Y PRESUPUESTO TANQUE DE ALMACENAMIENTO</t>
  </si>
  <si>
    <t>COSTO TOTAL SUMINISTRO CANTIDADES DE OBRA Y PRESUPUESTO TANQUE DE ALMACENAMIENTO</t>
  </si>
  <si>
    <t>SUPERVICION ADMINISTRATIVA FINANCIERA Y LEGAL (2%)</t>
  </si>
  <si>
    <t xml:space="preserve">COSTO DIRECTO INSTALACIÓN Y PUESTA EN SERVICIO PARTE ELECTROMECANICA </t>
  </si>
  <si>
    <t>3. PLANTA DE TRATAMIENTO DE AGUA POTABLE TIJERETAS</t>
  </si>
  <si>
    <t>COSTO DIRECTO OBRA CIVIL E INSTALACION PLANTA DE TRATAMIENTO DE AGUA POTABLE TIJERETAS</t>
  </si>
  <si>
    <t>COSTO DIRECTO PBRA CIVIL E INSTALACION LÍNEA DE IMPULSIÓN RIO SINU - PTAP TIJERETAS</t>
  </si>
  <si>
    <t>2.LÍNEA DE IMPULSIÓN RIO SINU - PTAP TIJERETAS</t>
  </si>
  <si>
    <t>COSTO DIRECTO INSTALACIÓN Y PUESTA EN SERVICIO COMPONENTE ELECTRICO Y MECANICO DEL SISTEMA DE BOMBEO PTAP TIJERETAS - TANQUE PATAGONIA</t>
  </si>
  <si>
    <t>COSTO DIRECTO OBRA CIVIL E INSTALACION OPTIMIZACIÓN Y PROYECCIÓN DE LÍNEA DE IMPULSIÓN PTAP TIJERETAS - TANQUE DE PATAGONIA</t>
  </si>
  <si>
    <t>COSTO DIRECTO OBRA CIVIL E INSTALACION TANQUE DE ALMACENAMIENTO LA PATAGONIA</t>
  </si>
  <si>
    <t>6.TANQUE DE ALMACENAMIENTO LA PATAGONIA</t>
  </si>
  <si>
    <t>COSTO DIRECTO OBRA CIVIL E INSTALACION LÍNEA DE CONDUCCIÓN TANQUE DE PATAGONIA AL PORVENIR Y ECOPETROL</t>
  </si>
  <si>
    <t xml:space="preserve">COSTO DIRECTO SUMINISTRO  COMPONENTE ELECTRICO Y MECANICO DEL SISTEMA DE BOMBEO RÍO SINÚ - PTAP TIJERETAS </t>
  </si>
  <si>
    <t>COSTO DIRECTO SUMINISTRO SUMINISTRO INCLUYE TRANSPORTE DE TUBERÍA, ACCESORIOS Y EQUIPOS</t>
  </si>
  <si>
    <t xml:space="preserve">3. PLANTA DE TRATAMIENTO DE AGUA POTABLE TIJERETAS </t>
  </si>
  <si>
    <t>COSTO DIRECTO SUMINISTRO OPTIMIZACIÓN Y PROYECCIÓN DE LÍNEA DE IMPULSIÓN PTAP TIJERETAS - TANQUE DE PATAGONIA</t>
  </si>
  <si>
    <t>6. TANQUE DE ALMACENAMIENTO LA PATAGONIA</t>
  </si>
  <si>
    <t>COSTO DIRECTO TANQUE DE ALMACENAMIENTO LA PATAGONIA</t>
  </si>
  <si>
    <t xml:space="preserve">COMPROBACION DE QUE SI CIERRA </t>
  </si>
  <si>
    <t>7. TANQUE DE ALMACENAMIENTO LA PATAGONIA</t>
  </si>
  <si>
    <t>INTERVENTORIA 4% Y 8%</t>
  </si>
  <si>
    <t>RESUMEN DE LA INVERSIÓN PARA EL DISEÑO Y OPTIMIZACIÓN DEL SISTEMA DE ACUEDUCTO SAN ANTERO</t>
  </si>
  <si>
    <t>Instalación, transporte y colocación de tubería</t>
  </si>
  <si>
    <t xml:space="preserve">Instalación, transporte y colocación de tubería, válvulas y accesorios </t>
  </si>
  <si>
    <t>Tubería  PEAD Ø160 mm" PN 16 RDE 17</t>
  </si>
  <si>
    <t>Tubería  PEAD Ø160mm" PN 16 RDE 17</t>
  </si>
  <si>
    <t>M.P. No 05202-241835</t>
  </si>
  <si>
    <t>Ing. Jhon Alexander Castaño Arango</t>
  </si>
  <si>
    <t>Diseño:</t>
  </si>
  <si>
    <t xml:space="preserve">Reviso: </t>
  </si>
  <si>
    <t xml:space="preserve">Ing. Tatiana Alvarez Rodriguez </t>
  </si>
  <si>
    <t>M.P. No 05237-21547</t>
  </si>
  <si>
    <t xml:space="preserve">Interventor: </t>
  </si>
  <si>
    <t>M.P. No 05237115327</t>
  </si>
  <si>
    <t xml:space="preserve">Ing. Luis Felipe Zapata </t>
  </si>
  <si>
    <t>AsLorica2017*</t>
  </si>
  <si>
    <t xml:space="preserve">Elaboración y entrega de planos record </t>
  </si>
  <si>
    <t>CERTIFICACIÓN DE TODA  LA PARTE ELÉCTRICA RETIE, POR UN AGENTE CERTIFICADOR, TRANSFORMACIÓN, RED PRIMARIA, MEDIDA Y USO FINAL</t>
  </si>
  <si>
    <t>Tubería de PVC (ASTM F794) acueducto de 200 mm</t>
  </si>
  <si>
    <t>PARTE ELECTRICA GENERAL ESTACIÓN DE BOMBEO CAPTACIÓN SAN ANTERO</t>
  </si>
  <si>
    <t>PARTE ELECTRICA INSTALACIÓN Y PUESTA EN SERVICIO DE ESTACIÓN DE BOMBEO CAPTACIÓN SAN ANTERO</t>
  </si>
  <si>
    <t>Instalación y puesta en servicio de Transformador de 75 KVA, 13200/240/127v, Trifásico, refrigerado en aceite, 60hz, con sus respectivas protecciones, cajas primarias y pararrayos, barrajes, chequeado y homologado por EPM, norma RA2-026. Para instalar en poste de concreto de 12 m</t>
  </si>
  <si>
    <t xml:space="preserve">PARTE ELECTRICA GENERAL PLANTA DE TRATAMIENTO DE AGUAS POTABLE </t>
  </si>
  <si>
    <t>2.3.7</t>
  </si>
  <si>
    <t>2.3.8</t>
  </si>
  <si>
    <t>Excavación Manual en material común humedo 0-2 m de profundidad. Medido en sitio</t>
  </si>
  <si>
    <t>2.3.9</t>
  </si>
  <si>
    <t xml:space="preserve">Excavacion para cruce subpluvial  tubería en diámetro de 400mm  </t>
  </si>
  <si>
    <t>Excavación sin zanja, para cruzar vias nacional, tuberia de 400 mm</t>
  </si>
  <si>
    <t>Juego de portabrida, brida, tornillos y arandelas Ø 16"</t>
  </si>
  <si>
    <t>Macromedidor 16" Electromagetico</t>
  </si>
  <si>
    <t>Niple  Acero Al Carbon 16" (400 mm) EB x EL  L:2m</t>
  </si>
  <si>
    <t>Niple  Acero Al Carbon 16" (400 mm) EB x EL  L:8,5m</t>
  </si>
  <si>
    <t>Codo HD 16" x 90° EB x EB</t>
  </si>
  <si>
    <t>Niple  Acero Al Carbon 16" (400 mm) EB x EL  L:1,5m</t>
  </si>
  <si>
    <t xml:space="preserve">Yee HD 16" x 10" </t>
  </si>
  <si>
    <t>Valvula de Compuerta HD sello en Bronce Vastago No Ascendente 10 " BxB</t>
  </si>
  <si>
    <t>Valvula retencion Horizontal HD 10" BxB</t>
  </si>
  <si>
    <t>Codo HD 10" x 90° EB x EB</t>
  </si>
  <si>
    <t>Reduccion Concentrica 10" x 6" HD</t>
  </si>
  <si>
    <t>Reduccion Excentrica 12" x 8" HD EB x EB</t>
  </si>
  <si>
    <t>Niple Pasamuro Acero al Carbon 12" EB x EB   L: 4m   Z: 0,8m</t>
  </si>
  <si>
    <t>Codo HD 12" x 90° EB x EB</t>
  </si>
  <si>
    <t xml:space="preserve">Valvula de Pie con Coladera 12" EB x EB </t>
  </si>
  <si>
    <t>Niple  Acero Al Carbon 16" (400 mm) EB x EB  L:1,5m</t>
  </si>
  <si>
    <t>Niple  Acero Al Carbon 16" (400 mm) EB x EB  L: 8,5m</t>
  </si>
  <si>
    <t>Instalacion Niple  Acero Al Carbon 16" (400 mm) EB x EL  L:2m</t>
  </si>
  <si>
    <t>Instalacion Codo HD 16" x 90° EB x EB</t>
  </si>
  <si>
    <t>Suministro Codo HD 16" x 90° EB x EB</t>
  </si>
  <si>
    <t xml:space="preserve">Instalación Yee HD 16" x 10" </t>
  </si>
  <si>
    <t xml:space="preserve">Suministro Yee HD 16" x 10" </t>
  </si>
  <si>
    <t>Instalacion Valvula de Compuerta HD sello en Bronce Vastago No Ascendente 10 " BxB</t>
  </si>
  <si>
    <t>Suministro Valvula de Compuerta HD sello en Bronce Vastago No Ascendente 10 " BxB</t>
  </si>
  <si>
    <t>Instalacion Valvula retencion Horizontal HD 10" BxB</t>
  </si>
  <si>
    <t>Instalacion Codo HD 10" x 90° EB x EB</t>
  </si>
  <si>
    <t>Suministro Codo HD 10" x 90° EB x EB</t>
  </si>
  <si>
    <t>Instalacion Reduccion Concentrica 10" x 6" HD</t>
  </si>
  <si>
    <t>Instalacion Reduccion Excentrica 12" x 8" HD EB x EB</t>
  </si>
  <si>
    <t>Suministro Reduccion Excentrica 12" x 8" HD EB x EB</t>
  </si>
  <si>
    <t>Instalacion Niple Pasamuro Acero al Carbon 12" EB x EB   L: 4m   Z: 0,8m</t>
  </si>
  <si>
    <t>Suministro Niple Pasamuro Acero al Carbon 12" EB x EB   L: 4m   Z: 0,8m</t>
  </si>
  <si>
    <t>Instalacion Codo HD 12" x 90° EB x EB</t>
  </si>
  <si>
    <t xml:space="preserve">Instalacion Valvula de Pie con Coladera 12" EB x EB </t>
  </si>
  <si>
    <t xml:space="preserve">Suministro Valvula de Pie con Coladera 12" EB x EB </t>
  </si>
  <si>
    <t>Suministro Niple  Acero Al Carbon 16" (400 mm) EB x EL  L:2m</t>
  </si>
  <si>
    <t xml:space="preserve"> Niple  Acero Al Carbon 16" (400 mm) EB x EL  L:2m</t>
  </si>
  <si>
    <t>Niple  Acero Al Carbon 12" (300 mm) EB x EB  L: 3 m</t>
  </si>
  <si>
    <t>Instalacion Niple  Acero Al Carbon 12" (300 mm) EB x EB  L: 3 m</t>
  </si>
  <si>
    <t>Suministro Niple  Acero Al Carbon 12" (300 mm) EB x EB  L: 21 m</t>
  </si>
  <si>
    <t>Niple  Acero Al Carbon 12" (300 mm) EB x EB  L: 21 m</t>
  </si>
  <si>
    <t>Instalacion Niple  Acero Al Carbon 12" (300 mm) EB x EB  L: 21 m</t>
  </si>
  <si>
    <t>Niple  Acero Al Carbon 8" (200 mm) EB x EB  L: 1,7m</t>
  </si>
  <si>
    <t>Suministro Niple  Acero Al Carbon 8" (200 mm) EB x EB  L: 1,7m</t>
  </si>
  <si>
    <t>Instalacion Niple  Acero Al Carbon 8" (200 mm) EB x EB  L: 1,7m</t>
  </si>
  <si>
    <t>Instalacion Niple  Acero Al Carbon 8" (200 mm) EB x EB  L: 1m</t>
  </si>
  <si>
    <t>Niple  Acero Al Carbon 8" (200 mm) EB x EB  L:0,5m</t>
  </si>
  <si>
    <t>Suministro Niple  Acero Al Carbon 8" (200 mm) EB x EB  L:0,5m</t>
  </si>
  <si>
    <t>Instalacion Niple  Acero Al Carbon 8" (200 mm) EB x EB  L:0,5m</t>
  </si>
  <si>
    <t>Niple  Acero Al Carbon 6" (150 mm) EB x EB  L:0,2m</t>
  </si>
  <si>
    <t>Suministro Niple  Acero Al Carbon 6" (150 mm) EB x EB  L:0,2m</t>
  </si>
  <si>
    <t>Instalacion Niple  Acero Al Carbon 6" (150 mm) EB x EB  L:0,2m</t>
  </si>
  <si>
    <t>Suministro Niple  Acero Al Carbon 10" (250 mm) EB x EB  L:0,3m</t>
  </si>
  <si>
    <t>Instalacion Niple  Acero Al Carbon 10" (250 mm) EB x EB  L:0,3m</t>
  </si>
  <si>
    <t xml:space="preserve">Valvula de Pie con Coladera 8" EB </t>
  </si>
  <si>
    <t>Niple  Acero Al Carbon 8" (200 mm) EB x EB  L: 3 m</t>
  </si>
  <si>
    <t>Niple  Acero Al Carbon 10" (250 mm) EB x EB  L:0,3m</t>
  </si>
  <si>
    <t>Niple  Acero Al Carbon 8" (200 mm) EB x EB  L: 1m</t>
  </si>
  <si>
    <t>Codo HD 8" x 90° EB x EB</t>
  </si>
  <si>
    <t>Niple  Acero Al Carbon 8" (200 mm) EB x EB  L: 3,30 m</t>
  </si>
  <si>
    <t>Niple  Acero Al Carbon 8" (200 mm) EB x EB  L: 0,75 m</t>
  </si>
  <si>
    <t>Reduccion Excentrica 8" x 2.56" HD EB x EB</t>
  </si>
  <si>
    <t>Reduccion Concentrica 8" x 1.97" HD EB x EB</t>
  </si>
  <si>
    <t>Niple  HD  8" (200 mm) EB x EB  L: 0,77 m</t>
  </si>
  <si>
    <t>Niple  Acero Al Carbon 8" (200 mm) EB x EB  L: 0,45 m</t>
  </si>
  <si>
    <t>Valvula retencion Horizontal HD 8" BxB</t>
  </si>
  <si>
    <t>Valvula de Compuerta HD sello en Bronce Vastago No Ascendente 8" BxB</t>
  </si>
  <si>
    <t>Codo HD 8" x 45° EB x EB</t>
  </si>
  <si>
    <t>Yee HD  8" x 8" EB x EB</t>
  </si>
  <si>
    <t>Niple  Acero Al Carbon 8" (200 mm) EB x EB  L: 0,22 m</t>
  </si>
  <si>
    <t>Niple  HD  8" (200 mm) EB x EB  L: 3 m</t>
  </si>
  <si>
    <t>Niple  HD  8" (200 mm) EB x EB  L: 1,85 m</t>
  </si>
  <si>
    <t xml:space="preserve">Instalacion Valvula de Pie con Coladera 8" EB x EB </t>
  </si>
  <si>
    <t xml:space="preserve">Suministro Valvula de Pie con Coladera 8" EB x EB </t>
  </si>
  <si>
    <t>Valvula pie con coladera 8"</t>
  </si>
  <si>
    <t>Instalacion Niple  Acero Al Carbon 8" (200 mm) EB x EB  L: 3 m</t>
  </si>
  <si>
    <t>Suministro Niple  Acero Al Carbon 8" (200 mm) EB x EB  L: 3 m</t>
  </si>
  <si>
    <t>Suministro Codo HD 8" x 90° EB x EB</t>
  </si>
  <si>
    <t>Instalacion Niple  Acero Al Carbon 8" (200 mm) EB x EB  L: 3,30 m</t>
  </si>
  <si>
    <t>Suministro Niple  Acero Al Carbon 8" (200 mm) EB x EB  L: 3,30 m</t>
  </si>
  <si>
    <t>Instalacion Niple  Acero Al Carbon 8" (200 mm) EB x EB  L: 0,75 m</t>
  </si>
  <si>
    <t>Suministro Niple  Acero Al Carbon 8" (200 mm) EB x EB  L: 0,75 m</t>
  </si>
  <si>
    <t>Suministro Reduccion Excentrica 8" x 2.56" HD EB x EB</t>
  </si>
  <si>
    <t>Suministro Reduccion Concentrica 8" x 1.97" HD EB x EB</t>
  </si>
  <si>
    <t>Instalacion Niple  Acero Al Carbon 8" (200 mm) EB x EB  L: 0,45 m</t>
  </si>
  <si>
    <t>Suministro Niple  Acero Al Carbon 8" (200 mm) EB x EB  L: 0,45 m</t>
  </si>
  <si>
    <t>Instalacion Valvula retencion Horizontal HD 8" BxB</t>
  </si>
  <si>
    <t>Suministro Valvula retencion Horizontal HD 8" BxB</t>
  </si>
  <si>
    <t>Instalacion Valvula de Compuerta HD sello en Bronce Vastago No Ascendente 8" BxB</t>
  </si>
  <si>
    <t>Suministro Valvula de Compuerta HD sello en Bronce Vastago No Ascendente 8" BxB</t>
  </si>
  <si>
    <t>Instalacion Codo HD 8" x 45° EB x EB</t>
  </si>
  <si>
    <t>Suministro Codo HD 8" x 45° EB x EB</t>
  </si>
  <si>
    <t>Instalacion Yee HD  8" x 8" EB x EB</t>
  </si>
  <si>
    <t>Suministro Yee HD  8" x 8" EB x EB</t>
  </si>
  <si>
    <t>Instalacion Niple  Acero Al Carbon 8" (200 mm) EB x EB  L: 0,22 m</t>
  </si>
  <si>
    <t>Suministro Niple  Acero Al Carbon 8" (200 mm) EB x EB  L: 0,22 m</t>
  </si>
  <si>
    <t>Instalacion Niple  HD  8" (200 mm) EB x EB  L: 3 m</t>
  </si>
  <si>
    <t>Suministro Niple  HD  8" (200 mm) EB x EB  L: 3 m</t>
  </si>
  <si>
    <t>Instalacion Niple  HD  8" (200 mm) EB x EB  L: 1,85 m</t>
  </si>
  <si>
    <t>Suministro Niple  HD  8" (200 mm) EB x EB  L: 1,85 m</t>
  </si>
  <si>
    <t xml:space="preserve">2.5.1 </t>
  </si>
  <si>
    <t>2.5.7 i</t>
  </si>
  <si>
    <t>2.5.8 i</t>
  </si>
  <si>
    <t>2.5.9 i</t>
  </si>
  <si>
    <t>2.5.10 i</t>
  </si>
  <si>
    <t>2.5.11 i</t>
  </si>
  <si>
    <t>2.5.12 i</t>
  </si>
  <si>
    <t>2.5.13 i</t>
  </si>
  <si>
    <t>2.5.14 i</t>
  </si>
  <si>
    <t>2.5.15 i</t>
  </si>
  <si>
    <t>2.5.16 i</t>
  </si>
  <si>
    <t>2.5.17 i</t>
  </si>
  <si>
    <t>2.5.18 i</t>
  </si>
  <si>
    <t>2.5.19 i</t>
  </si>
  <si>
    <t>2.5.20 i</t>
  </si>
  <si>
    <t>S.T.I Codo Ø6" x 22.5º (160mmx22.5º) en PEAD  PN11</t>
  </si>
  <si>
    <t>S.T.I Codo Ø6" x 11.25º (160mmx11.25º) en PEAD  PN12</t>
  </si>
  <si>
    <t>Macromedidor 8" Electronico</t>
  </si>
  <si>
    <t>Macromedidor 6" Electronico</t>
  </si>
  <si>
    <t>Instalacion Portabrida 6"</t>
  </si>
  <si>
    <t>Suministro Portabrida 6"</t>
  </si>
  <si>
    <t>Portabrida PEAD  6"</t>
  </si>
  <si>
    <t xml:space="preserve">Brida 6" </t>
  </si>
  <si>
    <t xml:space="preserve">Tornillos y Arandelas </t>
  </si>
  <si>
    <t>Glob</t>
  </si>
  <si>
    <t xml:space="preserve">Ventosa de Ø3" (75 mm) de doble acción, BXB,  cámara doble (incluye válvula de corte Ø2" HD, BXB y Tee de Ø8x3" Extremo brida, HD, Juego de  tornillos de 2"x3/8" , arandelas, tuercas, guasas (todo en acero inoxidable)  y empaque de neopreno e=3 mm). </t>
  </si>
  <si>
    <t>SOLDADOR  Y AYUDANTE</t>
  </si>
  <si>
    <t>Viaducto en cercha metalica para cruce de tuberia sobre caño Aguas Prietas  longitud: 50 m</t>
  </si>
  <si>
    <t>Codo HD 12" x 90° Junta Hidraulica</t>
  </si>
  <si>
    <t>Niple  Acero Al Carbon 12" (315 mm) EB x EL  L:3m</t>
  </si>
  <si>
    <t>Reduccion Concentrica 16" x 12" HD EB x EB</t>
  </si>
  <si>
    <t>Reduccion Concentrica 10" x 6" HD EB x EB</t>
  </si>
  <si>
    <t>Tee HD 16" x 16" EB x EB</t>
  </si>
  <si>
    <t>Valvula de Compuerta 12 " HD sello en Bronce Vastago No Ascendente  BxB</t>
  </si>
  <si>
    <t xml:space="preserve">Portabrida (incluye Brida) 16" para tuberia PEAD </t>
  </si>
  <si>
    <t>Valvula de Compuerta 16 " HD sello en Bronce Vastago No Ascendente  BxB</t>
  </si>
  <si>
    <t>Codo HD 16" x 45° EB x EB</t>
  </si>
  <si>
    <t>Niple  Acero Al Carbon 16" (400 mm) EB x EL  L:1m</t>
  </si>
  <si>
    <t xml:space="preserve">Union Dresser 16" HD </t>
  </si>
  <si>
    <t>Cruz HD 16" x 10" EL x EL</t>
  </si>
  <si>
    <t>Union de Reparacion PVC 10"</t>
  </si>
  <si>
    <t>Valvula de Compuerta 10 " HD sello en Bronce Vastago No Ascendente  EL x EL</t>
  </si>
  <si>
    <t>Reduccion Concentrica 16" x 8" HD EL x EL</t>
  </si>
  <si>
    <t>Union de Reparacion PVC 8"</t>
  </si>
  <si>
    <t>Niple  Acero Al Carbon 8" (200 mm) EB x EL  L:2m</t>
  </si>
  <si>
    <t>Tee HD 8" x 8" EL x EL</t>
  </si>
  <si>
    <t>Niple  Acero Al Carbon 6" (160 mm) EB x EB  L:0,2m</t>
  </si>
  <si>
    <t>Instalacion Codo HD 12" x 90° Junta Hidraulica</t>
  </si>
  <si>
    <t>Instalacion Valvula de Compuerta HD sello en Bronce Vastago No Ascendente 12 " BxB</t>
  </si>
  <si>
    <t>Instalacion Reduccion Concentrica 16" x 12" HD EB x EB</t>
  </si>
  <si>
    <t>Suministro Reduccion Concentrica 16" x 12" HD EB x EB</t>
  </si>
  <si>
    <t>Instalacion Codo HD 16" x 45° EB x EB</t>
  </si>
  <si>
    <t>Suministro Codo HD 16" x 45° EB x EB</t>
  </si>
  <si>
    <t>Instalacion Union Dresser 16" HD</t>
  </si>
  <si>
    <t>Suministro Union Dresser 16" HD</t>
  </si>
  <si>
    <t xml:space="preserve">Instalacion Union de Reparacion PVC 10" </t>
  </si>
  <si>
    <t xml:space="preserve">Suministro  Union de Reparacion PVC 10" </t>
  </si>
  <si>
    <t xml:space="preserve"> Union de Reparacion PVC 10" </t>
  </si>
  <si>
    <t>Instalacion Valvula de Compuerta 10 " HD sello en Bronce Vastago No Ascendente  EL x EL</t>
  </si>
  <si>
    <t>Suministro Valvula de Compuerta 10 " HD sello en Bronce Vastago No Ascendente  EL x EL</t>
  </si>
  <si>
    <t>Suministro Reduccion Concentrica 16" x 8" HD EL x EL</t>
  </si>
  <si>
    <t>Suministro Niple  Acero Al Carbon 8" (200 mm) EB x EL  L:2m</t>
  </si>
  <si>
    <t>Instalacion Valvula de Compuerta HD sello en Bronce Vastago No Ascendente 8 " EL x EL</t>
  </si>
  <si>
    <t>Suministro Valvula de Compuerta HD sello en Bronce Vastago No Ascendente 8 " EL x EL</t>
  </si>
  <si>
    <t>Suministro Niple  Acero Al Carbon 16" (400 mm) EB x EL  L: 8,5m</t>
  </si>
  <si>
    <t>Niple  Acero Al Carbon 16" (400 mm) EB x EL  L: 8,5m</t>
  </si>
  <si>
    <t>Instalacion  Acero Al Carbon 16" (400 mm) EB x EL  L: 8,5m</t>
  </si>
  <si>
    <t>Valvula de Compuerta 8 " HD sello en Bronce Vastago No Ascendente  EL x EL  (para control a la entrada a la PTAP y para el by-pass).</t>
  </si>
  <si>
    <t>Valvula de Compuerta 10 " HD sello en Bronce Vastago No Ascendente  EL x EL (para control a la entrada a la PTAP y para el by-pass).</t>
  </si>
  <si>
    <t xml:space="preserve">S.T.I Ventosa de Ø3" (75 mm) camara doble de acción multiple, BXB,  cámara doble (incluye válvula de corte Ø4" HD, BXB y Tee partida de Ø 6"x4" Extremo brida, HD, Juego de  tornillos de 3"x3/8" , arandelas, tuercas, guasas (todo en acero inoxidable)  y empaque de neopreno e=3 mm). </t>
  </si>
  <si>
    <t xml:space="preserve">S.T.I Ventosa de Ø3" (75 mm) de doble acción, BXB,  cámara doble (incluye válvula de corte Ø2" HD, BXB y Tee partida de Ø6x3" Extremo brida, HD, Juego de  tornillos de 3"x3/8" , arandelas, tuercas, guasas (todo en acero inoxidable)  y empaque de neopreno e=3 mm). </t>
  </si>
  <si>
    <t xml:space="preserve">Válvula de compuerta Ø6" (150 mm)  sello de bronce JH,  para corte del flujo </t>
  </si>
  <si>
    <t xml:space="preserve">S.T.I Ventosa de Ø4" (100 mm) de doble acción, BXB,  cámara doble (incluye válvula de corte Ø4" HD, BXB y Tee partida de Ø16x4" Extremo brida, HD, Juego de  tornillos de 3"x3/8" , arandelas, tuercas, guasas (todo en acero inoxidable)  y empaque de neopreno e=3 mm). </t>
  </si>
  <si>
    <t>S.T.I Válvula de compuerta Ø4" (100 mm)  sello bronce, BxB, JH. (Incluye Tee 16x4" partida EB, HD, juego de  tornillos de 3"x3/8" , arandelas, tuercas, guasas (todo en acero inoxidable)  y empaque de neopreno e=3 mm). ) (para purga).</t>
  </si>
  <si>
    <t>Reduccion Concentrica 8" x 6" HD EB x EB</t>
  </si>
  <si>
    <t>Portabrida 6" (Incluye Brida)</t>
  </si>
  <si>
    <t>S.T.I Válvula de compuerta Ø3" (75 mm)  sello bronce, BxB, JH. (Incluye Tee 6"x3" partida EB, HD, juego de  tornillos de 3"x3/8" , arandelas, tuercas, guasas (todo en acero inoxidable)  y empaque de neopreno e=3 mm). ) (para purga).</t>
  </si>
  <si>
    <t>Válvula de compuerta Ø6" (150 mm)  sello bronce, HD, JH, dos unidades (para control salida de la PTAP )</t>
  </si>
  <si>
    <t>Macromedidor 6" Electrónico</t>
  </si>
  <si>
    <t>S.T.I Válvula de compuerta Ø3" (75 mm)  sello bronce, BxB, JH. (Incluye Tee 6"x3" JH HD, juego de  tornillos de 3"x3/8" , arandelas, tuercas, guasas (todo en acero inoxidable)  y empaque de neopreno e=3 mm). ) (para purga).</t>
  </si>
  <si>
    <t>Tee HD  10" x 10" EB x EB</t>
  </si>
  <si>
    <t>Valvula de Compuerta HD sello en Bronce Vastago No Ascendente 10" BxB</t>
  </si>
  <si>
    <t>Union PVC 10"</t>
  </si>
  <si>
    <t>Niple  Acero Al Carbon 10" (250 mm) EB x EB  L: 1,5 m</t>
  </si>
  <si>
    <t>Niple  Acero Al Carbon 10" (250 mm) EB x EB  L: 2 m</t>
  </si>
  <si>
    <t>Niple  Acero Al Carbon 10" (250 mm) EB x EB  L: 1,2 m</t>
  </si>
  <si>
    <t>Niple  Acero Al Carbon 10" (250 mm) EB x EB  L: 7,9 m</t>
  </si>
  <si>
    <t>Niple  Acero Al Carbon 10" (250 mm) EB x EB  L: 7,5 m</t>
  </si>
  <si>
    <t>Niple  Acero Al Carbon 10" (250 mm) EB x EB  L: 5,2 m</t>
  </si>
  <si>
    <t>Niple  Acero Al Carbon 10" (250 mm) EB x EB  L: 26,4 m</t>
  </si>
  <si>
    <t>Niple  Acero Al Carbon 10" (250 mm) EB x EB  L: 8 m</t>
  </si>
  <si>
    <t>Niple  Acero Al Carbon 10" (250 mm) EB x EB  L: 2,5 m</t>
  </si>
  <si>
    <t>Niple  Acero Al Carbon 10" (250 mm) EB x EL  L: 0,5 m  Z=0,2m</t>
  </si>
  <si>
    <t xml:space="preserve">Niple  Acero Al Carbon 6" (150 mm) EB x EL  L: 1m </t>
  </si>
  <si>
    <t>Union Dresser 10"</t>
  </si>
  <si>
    <t>Cruz HD  10" x 10" EB x EB</t>
  </si>
  <si>
    <t>Union PVC 6"</t>
  </si>
  <si>
    <t>Instalacion Niple  Acero Al Carbon 10" (250 mm) EB x EB  L:1,5m</t>
  </si>
  <si>
    <t>Suministro Niple  Acero Al Carbon 10" (250 mm) EB x EB  L:1,5m</t>
  </si>
  <si>
    <t>Instalacion Niple  Acero Al Carbon 10" (250 mm) EB x EB  L:2m</t>
  </si>
  <si>
    <t>Suministro Niple  Acero Al Carbon 10" (250 mm) EB x EB  L:2m</t>
  </si>
  <si>
    <t>Niple  Acero Al Carbon 10" (250 mm) EB x EB  L:2m</t>
  </si>
  <si>
    <t>Instalacion Niple  Acero Al Carbon 10" (250 mm) EB x EB  L:1,2m</t>
  </si>
  <si>
    <t>Niple  Acero Al Carbon 10" (250 mm) EB x EB  L:1,2m</t>
  </si>
  <si>
    <t>Instalacion Niple  Acero Al Carbon 10" (250 mm) EB x EB  L:7,9m</t>
  </si>
  <si>
    <t>Suministro Niple  Acero Al Carbon 10" (250 mm) EB x EB  L:7,5m</t>
  </si>
  <si>
    <t>Niple  Acero Al Carbon 10" (250 mm) EB x EB  L:7,5m</t>
  </si>
  <si>
    <t>Instalacion Niple  Acero Al Carbon 10" (250 mm) EB x EB  L:5,2m</t>
  </si>
  <si>
    <t>Suministro Niple  Acero Al Carbon 10" (250 mm) EB x EB  L:26,4m</t>
  </si>
  <si>
    <t>Niple  Acero Al Carbon 10" (250 mm) EB x EB  L:26,4m</t>
  </si>
  <si>
    <t>Instalacion Niple  Acero Al Carbon 10" (250 mm) EB x EB  L:2,5m</t>
  </si>
  <si>
    <t>Suministro Niple  Acero Al Carbon 10" (250 mm) EB x EB  L:2,5m</t>
  </si>
  <si>
    <t>Niple  Acero Al Carbon 10" (250 mm) EB x EB  L:2,5m</t>
  </si>
  <si>
    <t>Instalacion Union Dresser 10" HD</t>
  </si>
  <si>
    <t>Suministro Union Dresser 10" HD</t>
  </si>
  <si>
    <t>Instalacion Reduccion Concentrica 8" x 6" HD EB x EB</t>
  </si>
  <si>
    <t>Suministro Reduccion Concentrica 8" x 6" HD EB x EB</t>
  </si>
  <si>
    <t>Valvula de Compuerta 8" HD sello en Bronce Vastago No Ascendente  EL x EL</t>
  </si>
  <si>
    <t>Instalacion Niple  Acero Al Carbon 16" (400 mm) EB x EL  L:1,5m</t>
  </si>
  <si>
    <t>s</t>
  </si>
  <si>
    <t>5.5.3s</t>
  </si>
  <si>
    <t>5.5.4s</t>
  </si>
  <si>
    <t>5.5.5s</t>
  </si>
  <si>
    <t>5.5.6s</t>
  </si>
  <si>
    <t>5.5.7s</t>
  </si>
  <si>
    <t>5.5.8s</t>
  </si>
  <si>
    <t>5.5.9s</t>
  </si>
  <si>
    <t>5.5.10s</t>
  </si>
  <si>
    <t>5.5.11s</t>
  </si>
  <si>
    <t>5.5.12s</t>
  </si>
  <si>
    <t>5.5.13s</t>
  </si>
  <si>
    <t>5.5.14s</t>
  </si>
  <si>
    <t>5.5.15s</t>
  </si>
  <si>
    <t>5.5.16s</t>
  </si>
  <si>
    <t>5.5.17s</t>
  </si>
  <si>
    <t>5.5.18s</t>
  </si>
  <si>
    <t>5.5.19s</t>
  </si>
  <si>
    <t>5.5.20s</t>
  </si>
  <si>
    <t>5.5.21s</t>
  </si>
  <si>
    <t>5.5.22s</t>
  </si>
  <si>
    <t>5.5.23s</t>
  </si>
  <si>
    <t>5.5.24s</t>
  </si>
  <si>
    <t>5.5.25s</t>
  </si>
  <si>
    <t>5.5.26s</t>
  </si>
  <si>
    <t>5.5.27s</t>
  </si>
  <si>
    <t>5.5.28s</t>
  </si>
  <si>
    <t>5.5.29s</t>
  </si>
  <si>
    <t>5.5.30s</t>
  </si>
  <si>
    <t>5.5.31s</t>
  </si>
  <si>
    <t>5.5.32s</t>
  </si>
  <si>
    <t>5.5.33s</t>
  </si>
  <si>
    <t>5.5.34s</t>
  </si>
  <si>
    <t>5.5.35s</t>
  </si>
  <si>
    <t>5.5.36s</t>
  </si>
  <si>
    <t>5.5.37s</t>
  </si>
  <si>
    <t>5.5.38s</t>
  </si>
  <si>
    <t>5.5.39s</t>
  </si>
  <si>
    <t>5.5.40s</t>
  </si>
  <si>
    <t>5.5.41s</t>
  </si>
  <si>
    <t>5.5.42s</t>
  </si>
  <si>
    <t>5.5.43s</t>
  </si>
  <si>
    <t>5.5.44s</t>
  </si>
  <si>
    <t>5.5.45s</t>
  </si>
  <si>
    <t>5.5.46s</t>
  </si>
  <si>
    <t>5.5.47s</t>
  </si>
  <si>
    <t>5.5.2i</t>
  </si>
  <si>
    <t>5.5.3i</t>
  </si>
  <si>
    <t>5.5.4i</t>
  </si>
  <si>
    <t>5.5.5i</t>
  </si>
  <si>
    <t>5.5.6i</t>
  </si>
  <si>
    <t>5.5.7i</t>
  </si>
  <si>
    <t>5.5.8i</t>
  </si>
  <si>
    <t>5.5.9i</t>
  </si>
  <si>
    <t>5.5.10i</t>
  </si>
  <si>
    <t>5.5.11i</t>
  </si>
  <si>
    <t>5.5.12i</t>
  </si>
  <si>
    <t>5.5.13i</t>
  </si>
  <si>
    <t>5.5.14i</t>
  </si>
  <si>
    <t>5.5.15i</t>
  </si>
  <si>
    <t>5.5.16i</t>
  </si>
  <si>
    <t>5.5.17i</t>
  </si>
  <si>
    <t>5.5.18i</t>
  </si>
  <si>
    <t>5.5.19i</t>
  </si>
  <si>
    <t>5.5.20i</t>
  </si>
  <si>
    <t>5.5.21i</t>
  </si>
  <si>
    <t>5.5.22i</t>
  </si>
  <si>
    <t>5.5.23i</t>
  </si>
  <si>
    <t>5.5.24i</t>
  </si>
  <si>
    <t>5.5.25i</t>
  </si>
  <si>
    <t>5.5.26i</t>
  </si>
  <si>
    <t>5.5.27i</t>
  </si>
  <si>
    <t>5.5.28i</t>
  </si>
  <si>
    <t>5.5.29i</t>
  </si>
  <si>
    <t>5.5.30i</t>
  </si>
  <si>
    <t>5.5.31i</t>
  </si>
  <si>
    <t>5.5.32i</t>
  </si>
  <si>
    <t>5.5.33i</t>
  </si>
  <si>
    <t>5.5.34i</t>
  </si>
  <si>
    <t>5.5.35i</t>
  </si>
  <si>
    <t>5.5.36i</t>
  </si>
  <si>
    <t>5.5.37i</t>
  </si>
  <si>
    <t>5.5.38i</t>
  </si>
  <si>
    <t>5.5.39i</t>
  </si>
  <si>
    <t>5.5.40i</t>
  </si>
  <si>
    <t>5.5.41i</t>
  </si>
  <si>
    <t>5.5.42i</t>
  </si>
  <si>
    <t>5.5.43i</t>
  </si>
  <si>
    <t>5.5.44i</t>
  </si>
  <si>
    <t>5.5.45i</t>
  </si>
  <si>
    <t>5.5.46i</t>
  </si>
  <si>
    <t>5.5.47i</t>
  </si>
  <si>
    <t>5.5.1i</t>
  </si>
  <si>
    <t>Excavación sin zanja, para cruzar vias nacional, tuberia de 160 mm PEAD</t>
  </si>
  <si>
    <t>Excavacion para cruce subpluvial  tubería en diámetro de 160mm  PEAD</t>
  </si>
  <si>
    <t>Excavacion para cruce subpluvial  tubería en diámetro de 200mm  PEAD</t>
  </si>
  <si>
    <r>
      <t xml:space="preserve">S.T.C. de Concreto f´c= </t>
    </r>
    <r>
      <rPr>
        <sz val="10"/>
        <color rgb="FFFF0000"/>
        <rFont val="Gill Sans MT"/>
        <family val="2"/>
      </rPr>
      <t>28 Mpa para base de bombas</t>
    </r>
  </si>
  <si>
    <t>CONCRETO 280Kg/cm²  1:2:2</t>
  </si>
  <si>
    <t>ANTIC</t>
  </si>
  <si>
    <t>ANTICORROSIVO</t>
  </si>
  <si>
    <t>GAL</t>
  </si>
  <si>
    <t>OXICOR</t>
  </si>
  <si>
    <t>CORTE ACETILENO</t>
  </si>
  <si>
    <t>PULID</t>
  </si>
  <si>
    <t>PULIDORA</t>
  </si>
  <si>
    <t>DIA</t>
  </si>
  <si>
    <t>Control topografico en obra</t>
  </si>
  <si>
    <t>Apertura de orificios de 0.26x0.26 en muros de concreto (incluye reboque en concreto impermeabilizado de 3000 psi para afinar el borde del orificio)</t>
  </si>
  <si>
    <t>PLASTOCRETE</t>
  </si>
  <si>
    <t>Apertura de orificios en muro de concreto de Ø 6" para pasamuro  (incluye preparación del orificio para la instalación del pasamuro)</t>
  </si>
  <si>
    <t>Apertura de orificios en muro de concreto de Ø 8" para pasamuro  (incluye preparación del orificio para la instalación del pasamuro)</t>
  </si>
  <si>
    <t>Apertura de orificios en muro de concreto de Ø 12" para pasamuro  (incluye preparación del orificio para la instalación del pasamuro)</t>
  </si>
  <si>
    <t>Apertura de orificios de 0.20x0.25x0.10 (incluye reboque en concreto impermeabilizado de 3000 psi para afinar el borde del orificio)</t>
  </si>
  <si>
    <t>Apertura de orificios de 0.85x0.85x0.30 (incluye reboque en concreto impermeabilizado de 3000 psi para afinar el borde del orificio)</t>
  </si>
  <si>
    <t>Apertura de orificios de 1.80x1.40x0.30 (incluye reboque en concreto impermeabilizado de 3000 psi para afinar el borde del orificio)</t>
  </si>
  <si>
    <t>Apertura de orificios de (0.40 a 0.70)x0.75x0.20 (incluye reboque en concreto impermeabilizado de 3000 psi para afinar el borde del orificio)</t>
  </si>
  <si>
    <t>Apertura de orificios de (0.71 a 1.00)x0.75x0.20 (incluye reboque en concreto impermeabilizado de 3000 psi para afinar el borde del orificio)</t>
  </si>
  <si>
    <t>Demolición de estructuras en concreto existentes</t>
  </si>
  <si>
    <t>Hora</t>
  </si>
  <si>
    <t>Desmonte y retiro de placas de sedimentación acelerada de asbesto cemento de 2.40x1.20x0.01m</t>
  </si>
  <si>
    <t>Desmonte de barandas</t>
  </si>
  <si>
    <t>ML</t>
  </si>
  <si>
    <t>Desmonte y retiro de compuertas laterales</t>
  </si>
  <si>
    <t>Desmonte y retiro de falsos fondos en plaquetas de concreto</t>
  </si>
  <si>
    <t>M2</t>
  </si>
  <si>
    <t>Desmonte de falsos fondos en viguetas de concreto</t>
  </si>
  <si>
    <t>Desmonte de lechos filtrantes existentes</t>
  </si>
  <si>
    <t>Cargue, retiro y disposición de material sobrante</t>
  </si>
  <si>
    <t>Trasiego de material a una distancia menor de 200 m</t>
  </si>
  <si>
    <t>Suministro e instalación de plaqueta prefabricada de concreto de 4000 psi de 0.60mx0.35mx0.06m con dos orificios de Ø4", según planos</t>
  </si>
  <si>
    <t>CONCRETO 280kg/cm2 1:2:2</t>
  </si>
  <si>
    <t>TUBERIA PVC SANITARIA 4"</t>
  </si>
  <si>
    <t>Perforación de orificios para anclaje del refuerzo de las nuevas estructuras. Refuerzo entre 3/8" y 7/8" por una profundidad entre 90 y 200 mm (incluye limpieza de la superficie del orificio y resina epóxica de anclaje, no incluye acero de refuerzo)</t>
  </si>
  <si>
    <t>Acero de refuerzo de 420 MPa (60000 psi) para estribos</t>
  </si>
  <si>
    <t>ACERO 60.000PSI (1/4" ) FIG.</t>
  </si>
  <si>
    <t>Acero de refuerzo de 420 MPa (60000 psi) para estructuras varias</t>
  </si>
  <si>
    <t>Concreto de 4000 psi impermeabilizado para placas de contrapiso (incluye formaleta)</t>
  </si>
  <si>
    <t>CONCRETO 280 Kg/cm</t>
  </si>
  <si>
    <t>Concreto de 4000 psi impermeabilizado para muros (incluye formaleta)</t>
  </si>
  <si>
    <t>Concreto de 4000 psi para columna (incluye formaleta)</t>
  </si>
  <si>
    <t>Concreto de 4000 psi para vigas aéreas (incluye formaleta)</t>
  </si>
  <si>
    <t>Concreto de 3000 psi impermeabilizado para rellenos y pendientes de fondo</t>
  </si>
  <si>
    <t>Concreto ciclópeo para dar pendientes de fondo</t>
  </si>
  <si>
    <t>Concreto impermeabilizado para estructuras especiales (incluye formaleta)</t>
  </si>
  <si>
    <t>Escalera sobre pasarela con viga central en concreto de 4000 psi (incluye formaleta)</t>
  </si>
  <si>
    <t>Levante de muros en ladrillo tolete recocido</t>
  </si>
  <si>
    <t>MORTERO DE PEGA</t>
  </si>
  <si>
    <t>LADRILLO TOLETE RECOCIDO</t>
  </si>
  <si>
    <t>Pañete con mortero 1:3</t>
  </si>
  <si>
    <t>Instalación de compuerta de chapaleta  en lámina galvanizada de 3/16" de 0.25x0.25 m</t>
  </si>
  <si>
    <t>Suministro de compuerta de chapaleta  en lámina galvanizada de 3/16" de 0.25x0.25 m</t>
  </si>
  <si>
    <t>Instalación de compuerta lateral en lámina galvanizada de 3/8" 0.60x1.00 m (incluye vástago, volante de operación y rueda de manejo)</t>
  </si>
  <si>
    <t>Suministro de compuerta lateral en lámina galvanizada de 3/8" 0.60x1.00 m (incluye vástago, volante de operación y rueda de manejo)</t>
  </si>
  <si>
    <t>Instalación de compuerta lateral en H.D. de Ø 16" de bridas con sello en bronce (incluye, vástago de extensión, columna de maniobra, rueda de manejo y guía ecualizable para el vástago)</t>
  </si>
  <si>
    <t>Suministro de compuerta lateral en H.D. de Ø 16" de bridas con sello en bronce (incluye, vástago de extensión, columna de maniobra, rueda de manejo y guía ecualizable para el vástago)</t>
  </si>
  <si>
    <t>TRANPORTE</t>
  </si>
  <si>
    <t xml:space="preserve">  </t>
  </si>
  <si>
    <t>Instalación de codos floculantes de 0.75m, con separación del muro entre 0.71m y 1.00m, y altura hasta 1.50m</t>
  </si>
  <si>
    <t>Suministro  de codos floculantes de 0.75m, con separación del muro entre 0.71m y 1.00m, y altura hasta 1.50m</t>
  </si>
  <si>
    <t>Instalación de canaletas recolectoras de agua sedimentada en fibra de vidrio con orificios de Ø1" B=0.20m H=0.25m L=1.05m</t>
  </si>
  <si>
    <t>Suministro de canaletas recolectoras de agua sedimentada en fibra de vidrio con orificios de Ø1" B=0.20m H=0.25m L=1.05m</t>
  </si>
  <si>
    <t>Instalación de separadores de fibrocemento</t>
  </si>
  <si>
    <t>Suministro de separadores de fibrocemento</t>
  </si>
  <si>
    <t>Separadores de fibrocemento de 5cm x 1.10m</t>
  </si>
  <si>
    <t>Tornillo 1 1/2" x 3/16" Incluye arrandela y tuerca</t>
  </si>
  <si>
    <t>Instalación de falsos fondos en PRFV o PEAD con boquillas de polietileno de 35 orificios. Densidad mínima de boquillas 64 un/m2</t>
  </si>
  <si>
    <t>Suministro  de falsos fondos en PRFV o PEAD con boquillas de polietileno de 35 orificios. Densidad mínima de boquillas 64 un/m2</t>
  </si>
  <si>
    <t>Falsos fondos en PRFV o PEAD con boquillas de polietileno de 35 orificios. Densidad mínima de boquillas 64 un/m2</t>
  </si>
  <si>
    <t>ESTRUCTURA DE LODOS</t>
  </si>
  <si>
    <t>HIDROSELLO</t>
  </si>
  <si>
    <t>ESCALON</t>
  </si>
  <si>
    <t>FORMC</t>
  </si>
  <si>
    <t>FORMALETA CONO MH</t>
  </si>
  <si>
    <t>CUELLO Y ANILLO PARA MH</t>
  </si>
  <si>
    <t xml:space="preserve">Tapa metalica en alfajor 0,6m x 0,6m </t>
  </si>
  <si>
    <t>Compuerta lateral circular Ø20"</t>
  </si>
  <si>
    <t>TUBERIA GALVANIZADA DE 1 1/2"</t>
  </si>
  <si>
    <t>SOLDADURA</t>
  </si>
  <si>
    <t>KG</t>
  </si>
  <si>
    <t>PINTURA ESMALTE</t>
  </si>
  <si>
    <t>PLATINA DE 10CMX 10CMX1/8"</t>
  </si>
  <si>
    <t>Bomba sumergible para manejo de lodos con sistema de bajada e izada mediante dos barras guias  tipo FLYGT Q= 30 L/s  HDT= 8,15 m</t>
  </si>
  <si>
    <t>Codo 90° HD Ø 8"   EBxEB</t>
  </si>
  <si>
    <t>Codo 90° HD Ø 6"   EBxEB</t>
  </si>
  <si>
    <t>DESMONTE Y DEMOLICIONES</t>
  </si>
  <si>
    <t>RETIRO DE SOBRANTES</t>
  </si>
  <si>
    <t>PREFABRICADO</t>
  </si>
  <si>
    <t>PERFORACIONES Y ANCLAJES</t>
  </si>
  <si>
    <t>SUMINISTRO TRANSPORTE FIGURACION Y COLOCACION DEL ACERO</t>
  </si>
  <si>
    <t>Concreto de 4000 psi para placas aéreas (incluye formaleta)</t>
  </si>
  <si>
    <t>Relleno en concreto impermeabilizado de 4000 psi, instalado con sellante epóxico tipo Sikadur 32 o similar en la junta, para cubrir orificios existentes</t>
  </si>
  <si>
    <t>Pañete con mortero 1:3 impermeabilziado</t>
  </si>
  <si>
    <t xml:space="preserve">Suministro e instalación de placas planas para sedimentación acelerada </t>
  </si>
  <si>
    <t>Suministro e instalación de lecho filtrante de grava</t>
  </si>
  <si>
    <t>Suministro e instalación de lecho filtrante de arena</t>
  </si>
  <si>
    <t>Suministro e instalación de lecho filtrante de antracita</t>
  </si>
  <si>
    <t>Cinta flexible para sellos de juntas tipo  Sika O-22 o similar</t>
  </si>
  <si>
    <t>Suministro e instalación de reglilla de aforo de caudal en acrílico, según detalle.</t>
  </si>
  <si>
    <t xml:space="preserve">SUMINISTRO DE ACCESORIOS </t>
  </si>
  <si>
    <t xml:space="preserve">INSTALACION DE ACCESORIOS </t>
  </si>
  <si>
    <t>Instalación de niple pasamuro HD de Ø 12", extremo brida x extremo liso, L=0.00 a 0.50m (Z según planos)</t>
  </si>
  <si>
    <t>Instalación de codo HD de Ø6"X90° extremos brida - liso (150mm)</t>
  </si>
  <si>
    <t>Instalación de válvula de mariposa bridada en Nylon 11 ó Hierro Dúctil PN10 6" - 150mm - Hvástago=5.80m (incluye operador de engranaje, guías, vástago y rueda de manejo)</t>
  </si>
  <si>
    <t>Instalación de válvula de mariposa bridada en Nylon 11 ó Hierro Dúctil PN10 12" - 300mm - Hvástago=5.90m (incluye operador de engranaje, guías, vástago y rueda de manejo)</t>
  </si>
  <si>
    <t>Instalación de válvula de mariposa bridada en Nylon 11 ó Hierro Dúctil PN10 8" - 200mm - Hvástago=5.80m (incluye operador de engranaje, guías, vástago y rueda de manejo)</t>
  </si>
  <si>
    <t>Instalación de niple pasamuro HD de Ø 12", extremo brida x extremo liso, L=5.55m (Z según planos)</t>
  </si>
  <si>
    <t>Instalación de niple pasamuro HD de Ø 6", extremo brida x extremo liso, L=0.50m (Z según planos)</t>
  </si>
  <si>
    <t>Instalación de codo HD de Ø8"X90° (200mm) extremo brida por extremo liso</t>
  </si>
  <si>
    <t>Instalación de codo HD de Ø12"X90° (300mm) extremo brida por extremo liso</t>
  </si>
  <si>
    <t>Instalación de niple pasamuro HD de Ø 6", extremo brida x extremo liso, L=0.70m (Z según planos)</t>
  </si>
  <si>
    <t>Instalación de niple pasamuro HD de Ø 6", extremo brida x extremo liso, L=1.55m (Z según planos)</t>
  </si>
  <si>
    <t>Instalación de niple pasamuro HD de Ø 8", extremo brida x extremo liso, L=1.45m (Z según planos)</t>
  </si>
  <si>
    <t>Suministro de niple pasamuro HD de Ø 12", extremo brida x extremo liso, L=0.00 a 0.50m (Z según planos)</t>
  </si>
  <si>
    <t>Suministro de codo HD de Ø6"X90° extremos brida - liso (150mm)</t>
  </si>
  <si>
    <t>Suministro de válvula de mariposa bridada en Nylon 11 ó Hierro Dúctil PN10 6" - 150mm - Hvástago=5.80m (incluye operador de engranaje, guías, vástago y rueda de manejo)</t>
  </si>
  <si>
    <t>Suministro  de válvula de mariposa bridada en Nylon 11 ó Hierro Dúctil PN10 12" - 300mm - Hvástago=5.90m (incluye operador de engranaje, guías, vástago y rueda de manejo)</t>
  </si>
  <si>
    <t>Suministro  de válvula de mariposa bridada en Nylon 11 ó Hierro Dúctil PN10 8" - 200mm - Hvástago=5.80m (incluye operador de engranaje, guías, vástago y rueda de manejo)</t>
  </si>
  <si>
    <t>Suministro  de niple pasamuro HD de Ø 12", extremo brida x extremo liso, L=5.55m (Z según planos)</t>
  </si>
  <si>
    <t>Suministro  de niple pasamuro HD de Ø 6", extremo brida x extremo liso, L=0.50m (Z según planos)</t>
  </si>
  <si>
    <t>Suministro de codo HD de Ø8"X90° (200mm) extremo brida por extremo liso</t>
  </si>
  <si>
    <t>Suministro  de codo HD de Ø12"X90° (300mm) extremo brida por extremo liso</t>
  </si>
  <si>
    <t>Suministro  de niple pasamuro HD de Ø 6", extremo brida x extremo liso, L=0.70m (Z según planos)</t>
  </si>
  <si>
    <t>Suministro de niple pasamuro HD de Ø 6", extremo brida x extremo liso, L=1.55m (Z según planos)</t>
  </si>
  <si>
    <t>Suministro  de niple pasamuro HD de Ø 8", extremo brida x extremo liso, L=1.45m (Z según planos)</t>
  </si>
  <si>
    <t>Instalación de escalera metálica prefabricada con pasos Ø 1", separados cada 35 cm. Incluye anticorrosivo y pintura epóxica para evitar la corrosión</t>
  </si>
  <si>
    <t>Instalación de tapa de inspección en lámina de alfajor calibre 18 de 0.60 m x 0.60 m</t>
  </si>
  <si>
    <t>Instalación de vertedero de control de caudal en lámina de acero de 0.60mx0.70m, según planos</t>
  </si>
  <si>
    <t>Suministro  de tapa de inspección en lámina de alfajor calibre 18 de 0.60 m x 0.60 m</t>
  </si>
  <si>
    <t>Suministro de vertedero de control de caudal en lámina de acero de 0.60mx0.70m, según planos</t>
  </si>
  <si>
    <t>Niple PVC Ø 16" (400mm)   L: 1m</t>
  </si>
  <si>
    <t>INSTALACION OBRAS DE ORNAMENTACION</t>
  </si>
  <si>
    <t>SUMINISTRO OBRAS DE ORNAMENTACION</t>
  </si>
  <si>
    <t>SUMINISTRO COMPUERTAS</t>
  </si>
  <si>
    <t>INTALACION COMPUERTAS</t>
  </si>
  <si>
    <t>INSTALACION OBRAS COMPLEMENTARIAS</t>
  </si>
  <si>
    <t>SUMINISTRO OBRAS COMPLEMENTARIAS</t>
  </si>
  <si>
    <t>Instalación de codos floculantes de 0.75m, con separación del muro entre 0.40m y 0.70m, y altura hasta 1.50m</t>
  </si>
  <si>
    <t>Instalación de canaletas recolectoras de agua sedimentada en fibra de vidrio con orificios de Ø1" B=0.20m H=0.25m L=2.00m</t>
  </si>
  <si>
    <t>Instalación Cinta flexible para sellos de juntas tipo  Sika O-22 o similar</t>
  </si>
  <si>
    <t>Suministro Cinta flexible para sellos de juntas tipo  Sika O-22 o similar</t>
  </si>
  <si>
    <t>Suministro  de escalera metálica prefabricada con pasos Ø 1", separados cada 35 cm. Incluye barandas de doble tubo  anticorrosivo y pintura epóxica para evitar la corrosión</t>
  </si>
  <si>
    <t>Suministro de codos floculantes de 0.75m, con separación del muro entre 0.40m y 0.70m, y altura hasta 1.50m</t>
  </si>
  <si>
    <t>Suministro de codos floculantes de 0.75m, con separación del muro entre 0.71m y 1.00m, y altura hasta 1.50m</t>
  </si>
  <si>
    <t>Suministro de canaletas recolectoras de agua sedimentada en fibra de vidrio con orificios de Ø1" B=0.20m H=0.25m L=2.00m</t>
  </si>
  <si>
    <t xml:space="preserve">Suministro de placas planas para sedimentación acelerada </t>
  </si>
  <si>
    <t>Suministro de reglilla de aforo de caudal en acrílico, según detalle.</t>
  </si>
  <si>
    <t>Codo HD de Ø6"X90° extremos brida - liso (150mm)</t>
  </si>
  <si>
    <t>Válvula de mariposa bridada en Nylon 11 ó Hierro Dúctil PN10 6" - 150mm - Hvástago=5.80m (incluye operador de engranaje, guías, vástago y rueda de manejo)</t>
  </si>
  <si>
    <t>Suministro de válvula de mariposa bridada en Nylon 11 ó Hierro Dúctil PN10 12" - 300mm - Hvástago=5.90m (incluye operador de engranaje, guías, vástago y rueda de manejo)</t>
  </si>
  <si>
    <t>Válvula de mariposa bridada en Nylon 11 ó Hierro Dúctil PN10 12" - 300mm - Hvástago=5.90m (incluye operador de engranaje, guías, vástago y rueda de manejo)</t>
  </si>
  <si>
    <t>Válvula de mariposa bridada en Nylon 11 ó Hierro Dúctil PN10 8" - 200mm - Hvástago=5.80m (incluye operador de engranaje, guías, vástago y rueda de manejo)</t>
  </si>
  <si>
    <t xml:space="preserve">Escalera metalica prefabricada, escalones Ø1"  @ 0,35m tanque de igualacion </t>
  </si>
  <si>
    <t>Escalera metalica prefabricada escalones Ø1" @ 0,35m para acceso a vertedero de rebose</t>
  </si>
  <si>
    <t>Escalera metalica prefabricada, escalones Ø 1"  @ 0,35m Acceso camara de control de bombas</t>
  </si>
  <si>
    <t>Pozo de inspeccion en concreto, (Incluye tapa superior e inferior)</t>
  </si>
  <si>
    <t>Concreto para espesador de lodos</t>
  </si>
  <si>
    <t>Concreto de f`c = 245 kg/cm2 para tanque de igualacion</t>
  </si>
  <si>
    <t xml:space="preserve">Escalera en Concreto de f`c = 245 kg/cm2  de acceso al tanque incluye baranda de seguridad </t>
  </si>
  <si>
    <t>INSTALACIONES</t>
  </si>
  <si>
    <t>Instalación de Bomba sumergible para manejo de lodos con sistema de bajada e izada mediante dos barras guias  tipo FLYGT Q= 30 L/s  HDT= 8,15 m</t>
  </si>
  <si>
    <t>Suministro de Bomba sumergible para manejo de lodos con sistema de bajada e izada mediante dos barras guias  tipo FLYGT Q= 30 L/s  HDT= 8,15 m</t>
  </si>
  <si>
    <t>Instalación de compuerta lateral circular Ø20"</t>
  </si>
  <si>
    <t>Suministro de compuerta lateral circular Ø20"</t>
  </si>
  <si>
    <t>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t>
  </si>
  <si>
    <t>Union de desmontaje rigida autoportante ∅6".</t>
  </si>
  <si>
    <t>Instalacion de Tee Ø 6" x Ø 2" PVC  UM  presion</t>
  </si>
  <si>
    <t>Suministro de Tee Ø 6" x Ø 2" PVC  UM  presion</t>
  </si>
  <si>
    <t>Tee Ø 6" x Ø 2" PVC  UM  presion</t>
  </si>
  <si>
    <t>Instalación de codo PVC ∅2" x 90° UM presion</t>
  </si>
  <si>
    <t>Suministro de codo PVC ∅2" x 90° UM presion</t>
  </si>
  <si>
    <t>Instalacion Escalera metalica prefabricada, escalones Ø1"  @ 0,35m (tanque de igualacion,  vertedero de rebose y camaras de control de bombas)</t>
  </si>
  <si>
    <t>Suministro de niple PVC ∅2" (50mm) UM presión L= 2m</t>
  </si>
  <si>
    <t>Instalación de niple PVC ∅2" (50mm) UM presión L= 2m</t>
  </si>
  <si>
    <t>Suministro de niple PVC ∅6" (150mm) UM presión L= 4.74m</t>
  </si>
  <si>
    <t>niple PVC ∅6" (150mm) UM presión L= 4.74m</t>
  </si>
  <si>
    <t>Instalación de niple PVC ∅6" (150mm) UM presión L= 4.74m</t>
  </si>
  <si>
    <t>Suministro de niple PVC ∅6" (150mm) UM presión L= 5.56m</t>
  </si>
  <si>
    <t>Instalación de niple PVC ∅6" (150mm) UM presión L= 11.90m</t>
  </si>
  <si>
    <t>Suministro de niple PVC ∅6" (150mm) UM presión L= 8.30m</t>
  </si>
  <si>
    <t>Instalación de niple PVC ∅6" (150mm) UM presión L= 8.30m</t>
  </si>
  <si>
    <t>Suministro de Tee PVC Ø 6" (150mm) UM  presion</t>
  </si>
  <si>
    <t>Instalacion de Tee PVC Ø 6" (150mm) UM  presion</t>
  </si>
  <si>
    <t>Tee PVC Ø 6" (150mm) UM  presion</t>
  </si>
  <si>
    <t>Suministro de niple PVC ∅6" (150mm) UM presión L= 3.36m</t>
  </si>
  <si>
    <t>Instalacion Niple  Acero al Carbon  8" (200 mm) EB x EB  L: 0,77 m</t>
  </si>
  <si>
    <t>Suministro Niple  Acero al Carbon  8" (200 mm) EB x EB  L: 0,77 m</t>
  </si>
  <si>
    <t>Instalacion ampliacion concentrica hd de ∅4" x ∅6" extremos bridados.</t>
  </si>
  <si>
    <t xml:space="preserve">Instalacion </t>
  </si>
  <si>
    <t>Instalacion valvula de retencion (cheque) ∅6" extremos bridados.</t>
  </si>
  <si>
    <t>Instalacion valvula de compuerta ∅6" extremos bridados con sello elastico y vastago no ascendente.</t>
  </si>
  <si>
    <t>Instalacion ampliacion concentrica hd de ∅6" x ∅8" extremos bridados.</t>
  </si>
  <si>
    <t>Instalacion union de desmontaje rigida autoportante ∅8".</t>
  </si>
  <si>
    <t>Instalacion niple pvc ∅8" l=1.95m.</t>
  </si>
  <si>
    <t>Instalacion codo hd ∅8" x 45° extremos junta hidraulica pvc.</t>
  </si>
  <si>
    <t>Instalacion niple pvc ∅8" l=1.06m.</t>
  </si>
  <si>
    <t>Instalacion niple pvc ∅8" l=0.30m.</t>
  </si>
  <si>
    <t>Instalacion codo hd ∅8" x 90° extremos junta hidraulica pvc.</t>
  </si>
  <si>
    <t>Instalacion niple pvc ∅8" l=4.63m.</t>
  </si>
  <si>
    <t>Instalacion niple pvc ∅8" l=0.50m.</t>
  </si>
  <si>
    <t>Instalacion union de desmontaje tipo dresser ∅8".</t>
  </si>
  <si>
    <t>Suministro ampliacion concentrica hd de ∅4" x ∅6" extremos bridados.</t>
  </si>
  <si>
    <t>Suministro codo hd ∅6" x 90° extremos bridados.</t>
  </si>
  <si>
    <t>Suministro valvula de retencion (cheque) ∅6" extremos bridados.</t>
  </si>
  <si>
    <t>Suministro valvula de compuerta ∅6" extremos bridados con sello elastico y vastago no ascendente.</t>
  </si>
  <si>
    <t>Suministro ampliacion concentrica hd de ∅6" x ∅8" extremos bridados.</t>
  </si>
  <si>
    <t>Suministro tee hd ∅8" extremos bridados.</t>
  </si>
  <si>
    <t>Suministro union de desmontaje rigida autoportante ∅8".</t>
  </si>
  <si>
    <t>Suministro niple pvc ∅8" l=1.95m.</t>
  </si>
  <si>
    <t>Suministro codo hd ∅8" x 45° extremos junta hidraulica pvc.</t>
  </si>
  <si>
    <t>Suministro niple pvc ∅8" l=1.06m.</t>
  </si>
  <si>
    <t>Suministro niple pvc ∅8" l=0.30m.</t>
  </si>
  <si>
    <t>Suministro codo hd ∅8" x 90° extremos junta hidraulica pvc.</t>
  </si>
  <si>
    <t>Suministro niple pvc ∅8" l=4.63m.</t>
  </si>
  <si>
    <t>Suministro niple pvc ∅8" l=0.50m.</t>
  </si>
  <si>
    <t>Suministro union de desmontaje tipo dresser ∅8".</t>
  </si>
  <si>
    <t>Escalera metalica prefabricada, escalones Ø1"  @ 0,35m Acceso camara de control de bombas</t>
  </si>
  <si>
    <t>Suministro de valvula de bola ∅2" a lecho de secado</t>
  </si>
  <si>
    <t>valvula de bola ∅2"</t>
  </si>
  <si>
    <t xml:space="preserve">conctores macho </t>
  </si>
  <si>
    <t>Instalación de valvula de bola ∅2" a poso de inspecion #15</t>
  </si>
  <si>
    <t>Suministro de valvula de bola ∅2" a poso de inspecion #15</t>
  </si>
  <si>
    <t>PARTE ELECTRICA GENERAL</t>
  </si>
  <si>
    <t xml:space="preserve">Instalacion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
</t>
  </si>
  <si>
    <t>Instalacion valvula de retencion (cheque) ∅3" extremos bridados.</t>
  </si>
  <si>
    <t>Instalacion valvula de compuerta ∅3" extremos bridados con sello elastico y vastago no ascendente.</t>
  </si>
  <si>
    <t>Instalacion ampliacion concentrica hd de ∅3" x ∅6" extremos bridados.</t>
  </si>
  <si>
    <t>Instalacion codo hd ∅6" x 90° extremos bridados.</t>
  </si>
  <si>
    <t>Instalacion tee hd ∅6" extremos bridados.</t>
  </si>
  <si>
    <t>Instalacion union de desmontaje rigida autoportante ∅6".</t>
  </si>
  <si>
    <t>Instalacion pasamuro HD  Ø 16" (400mm) L=0,30 ; Z=0,15</t>
  </si>
  <si>
    <t>Instalacion niple  PVC Ø 16" (400mm)  L: 1,30m  ELxEL</t>
  </si>
  <si>
    <t>Instalacion niple  PVC Ø 16" (400mm)   L: 2,35m  ELxEL</t>
  </si>
  <si>
    <t xml:space="preserve">Instalacion niple PVC Ø 16" (400mm)  L: 2,60m </t>
  </si>
  <si>
    <t xml:space="preserve">Instalacion niple PVC Ø 16" (400mm)  L: 3,05m </t>
  </si>
  <si>
    <t>Instalacion niple PVC ∅6" (150mm) UM presión L= 3.36m</t>
  </si>
  <si>
    <t>Instalacion Tee PVC Ø 6" (150mm) UM  presion</t>
  </si>
  <si>
    <t>Instalacion codo PVC ∅6" (150mm) x 90° UM presion</t>
  </si>
  <si>
    <t>Instalacion niple PVC ∅6" (150mm) UM presión L= 5.56m</t>
  </si>
  <si>
    <t>Instalacion niple PVC ∅6" (150mm) UM presión L= 6.40m</t>
  </si>
  <si>
    <t>Instalacion niple PVC ∅6" (150mm) UM presión L= 4.74m</t>
  </si>
  <si>
    <t>Instalacion Tee Ø 6" x Ø 2" PVC  UM  presion</t>
  </si>
  <si>
    <t>Instalacion niple PVC ∅2" (50mm) UM presión L= 1.13m</t>
  </si>
  <si>
    <t>Instalacion codo PVC ∅2" x 90° UM presion</t>
  </si>
  <si>
    <t>Instalacion niple PVC ∅2" (50mm) UM presión L= 2m</t>
  </si>
  <si>
    <t>Instalacion tuberia PVC sanitaria 6'' (150mm) perforada L=7,94 m</t>
  </si>
  <si>
    <t>Instalacion valvula de bola ∅2" a lecho de secado</t>
  </si>
  <si>
    <t>Valvula de bola pozo 15 y 17</t>
  </si>
  <si>
    <t xml:space="preserve">Instalacion niple PVC Ø 16" (400mm)  L: 34,84m </t>
  </si>
  <si>
    <t>Instalacion Tuberia PVC ∅6" (150mm) UM presión L= 11.90m</t>
  </si>
  <si>
    <t>Instalacion Tuberia PVC ∅6" (150mm) UM presión L= 8.30m</t>
  </si>
  <si>
    <t xml:space="preserve">Instalacion Tuberia PVC Ø 16" (400mm)  L: 8,40m </t>
  </si>
  <si>
    <t xml:space="preserve">Suministro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
</t>
  </si>
  <si>
    <t>Suministro codo hd ∅3" x 90° extremos bridados.</t>
  </si>
  <si>
    <t>Suministro valvula de retencion (cheque) ∅3" extremos bridados.</t>
  </si>
  <si>
    <t>Suministro valvula de compuerta ∅3" extremos bridados con sello elastico y vastago no ascendente.</t>
  </si>
  <si>
    <t>Suministro ampliacion concentrica hd de ∅3" x ∅6" extremos bridados.</t>
  </si>
  <si>
    <t>Suministro tee hd ∅6" extremos bridados.</t>
  </si>
  <si>
    <t>Suministro union de desmontaje rigida autoportante ∅6".</t>
  </si>
  <si>
    <t>Suministro pasamuro HD  Ø 16" (400mm) L=0,30 ; Z=0,15</t>
  </si>
  <si>
    <t>Suministro niple  PVC Ø 16" (400mm)  L: 1,30m  ELxEL</t>
  </si>
  <si>
    <t>Suministro niple  PVC Ø 16" (400mm)   L: 2,35m  ELxEL</t>
  </si>
  <si>
    <t xml:space="preserve">Suministro niple PVC Ø 16" (400mm)  L: 2,60m </t>
  </si>
  <si>
    <t xml:space="preserve">Suministro niple PVC Ø 16" (400mm)  L: 3,05m </t>
  </si>
  <si>
    <t xml:space="preserve">Suministro niple PVC Ø 16" (400mm)  L: 34,84m </t>
  </si>
  <si>
    <t xml:space="preserve">Suministro Tuberia PVC Ø 16" (400mm)  L: 8,40m </t>
  </si>
  <si>
    <t>Suministro niple PVC ∅6" (150mm) UM presión L= 3.36m</t>
  </si>
  <si>
    <t>Suministro Tee PVC Ø 6" (150mm) UM  presion</t>
  </si>
  <si>
    <t>Suministro Tuberia PVC ∅6" (150mm) UM presión L= 8.30m</t>
  </si>
  <si>
    <t>Suministro codo PVC ∅6" (150mm) x 90° UM presion</t>
  </si>
  <si>
    <t>Suministro Tuberia PVC ∅6" (150mm) UM presión L= 11.90m</t>
  </si>
  <si>
    <t>Suministro niple PVC ∅6" (150mm) UM presión L= 5.56m</t>
  </si>
  <si>
    <t>Suministro niple PVC ∅6" (150mm) UM presión L= 6.40m</t>
  </si>
  <si>
    <t>Suministro niple PVC ∅6" (150mm) UM presión L= 4.74m</t>
  </si>
  <si>
    <t>Suministro Tee Ø 6" x Ø 2" PVC  UM  presion</t>
  </si>
  <si>
    <t>Suministro niple PVC ∅2" (50mm) UM presión L= 1.13m</t>
  </si>
  <si>
    <t>Suministro codo PVC ∅2" x 90° UM presion</t>
  </si>
  <si>
    <t>Suministro niple PVC ∅2" (50mm) UM presión L= 2m</t>
  </si>
  <si>
    <t>Suministro tuberia PVC sanitaria 6'' (150mm) perforada L=7,94 m</t>
  </si>
  <si>
    <t>Suministro pasamuro HD  Ø 6" (400mm) L=0,2 ; Z=0,1</t>
  </si>
  <si>
    <t>Suministro valvula de bola ∅2" a lecho de secado</t>
  </si>
  <si>
    <t>Suministro pasamuro HD Ø8'' EBxEL  L=1,50 ; Z=0,58</t>
  </si>
  <si>
    <t>Suministro Valvula de bola pozo 15 y 17</t>
  </si>
  <si>
    <t xml:space="preserve">Tapa metalica en alfajor 0,7m x 0,8m </t>
  </si>
  <si>
    <t xml:space="preserve">Respiradero 3" HD </t>
  </si>
  <si>
    <t>Respiradero 3" HD</t>
  </si>
  <si>
    <t>Instalacion niple Acero al Carbon ∅6" extremos bridados l=3.45m.</t>
  </si>
  <si>
    <t>Instalacion niple Acero al Carbon  ∅6" extremos bridados con pasamuro l=0.50m.</t>
  </si>
  <si>
    <t>Instalacion niple Acero al Carbon ∅8" extremos bridados l=0.54m.</t>
  </si>
  <si>
    <t>Instalacion tee Acero al Carbon ∅8" extremos bridados.</t>
  </si>
  <si>
    <t>Instalacion niple Acero al Carbon ∅8" extremos brida - liso l=0.40m.</t>
  </si>
  <si>
    <t>Instalacion niple Acero al Carbon ∅8" extremos liso - junta hidraulica pvc l=1.00m.</t>
  </si>
  <si>
    <t>Instalacion niple Acero al Carbon ∅8" extremo liso x extremo brida l=8.90m.</t>
  </si>
  <si>
    <t>Instalacion niple Acero al Carbon ∅8" extremo brida x extremo liso l=5.80m.</t>
  </si>
  <si>
    <t>Instalacion niple Acero al Carbon ∅3" extremos bridados l=4.86m.</t>
  </si>
  <si>
    <t>Instalacion codo Acero al Carbon ∅3" x 90° extremos bridados.</t>
  </si>
  <si>
    <t>Instalacion niple Acero al Carbon ∅3" extremos bridados con pasamuro l=0.50m.</t>
  </si>
  <si>
    <t>Instalacion niple Acero al Carbon ∅6" extremos bridados l=0.50m.</t>
  </si>
  <si>
    <t>Instalacion niple Acero al Carbon ∅6" extremos brida - liso l=0.55m.</t>
  </si>
  <si>
    <t>Instalacion niple Acero al Carbon ∅6" extremos liso - junta hidraulica pvc l=0.70m.</t>
  </si>
  <si>
    <t>Instalacion pasamuro Acero al Carbon Ø8'' EBxEL  L=3,65 ; Z=0,13</t>
  </si>
  <si>
    <t>Instalacion pasamuro Acero al Carbon Ø8'' EBxEL  L=1,50 ; Z=0,58</t>
  </si>
  <si>
    <t>Instalacion pasamuro   Ø 6" (400mm) L=0,2 ; Z=0,1</t>
  </si>
  <si>
    <t>Suministro niple Acero al Carbon ∅6" extremos bridados l=3.45m.</t>
  </si>
  <si>
    <t>Suministro niple Acero al Carbon ∅6" extremos bridados con pasamuro L=0.50m.</t>
  </si>
  <si>
    <t>Suministro niple Acero al Carbon ∅8" extremos bridados l=0.54m.</t>
  </si>
  <si>
    <t>Suministro niple Acero al Carbon ∅8" extremos brida - liso l=0.40m.</t>
  </si>
  <si>
    <t>Suministro niple Acero al Carbon ∅8" extremos liso - junta hidraulica pvc l=1.00m.</t>
  </si>
  <si>
    <t>Suministro niple Acero al Carbon ∅8" extremo liso x extremo brida l=8.90m.</t>
  </si>
  <si>
    <t>Suministro niple Acero al Carbon ∅8" extremo brida x extremo liso l=5.80m.</t>
  </si>
  <si>
    <t>Suministro niple Acero al Carbon ∅3" extremos bridados l=4.86m.</t>
  </si>
  <si>
    <t>Suministro niple Acero al Carbon ∅3" extremos bridados con pasamuro l=0.50m.</t>
  </si>
  <si>
    <t>Suministro niple Acero al Carbon ∅6" extremos bridados l=0.50m.</t>
  </si>
  <si>
    <t>Suministro niple Acero al Carbon ∅6" extremos brida - liso l=0.55m.</t>
  </si>
  <si>
    <t>Suministro niple Acero al Carbon ∅6" extremos liso - junta hidraulica pvc l=0.70m.</t>
  </si>
  <si>
    <t>Suministro pasamuro Acero al Carbon Ø8'' EBxEL  L=3,65 ; Z=0,13</t>
  </si>
  <si>
    <t>Suministro de niple Acero al Carbon ∅6" extremos bridados con pasamuro L=0.50m.</t>
  </si>
  <si>
    <t>EXCAVACIONES</t>
  </si>
  <si>
    <t>Camara de inspeccion en concreto con placa superior e inferior en concreto</t>
  </si>
  <si>
    <t>Ing. Carlos Gonzalez Morelo</t>
  </si>
  <si>
    <t>M.P. No 22202350107</t>
  </si>
  <si>
    <t>m4</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</si>
  <si>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</si>
  <si>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</si>
  <si>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</si>
  <si>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</si>
  <si>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</si>
  <si>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</si>
  <si>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</si>
  <si>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</si>
  <si>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</si>
  <si>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</si>
  <si>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</si>
  <si>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</si>
  <si>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</si>
  <si>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</si>
  <si>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</si>
  <si>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</si>
  <si>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</si>
  <si>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</si>
  <si>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</si>
  <si>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</si>
  <si>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</si>
  <si>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</si>
  <si>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</si>
  <si>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</si>
  <si>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2.5.21i</t>
  </si>
  <si>
    <t>2.5.22i</t>
  </si>
  <si>
    <t>2.5.23i</t>
  </si>
  <si>
    <t>2.5.24i</t>
  </si>
  <si>
    <t>2.5.25i</t>
  </si>
  <si>
    <t>2.5.26i</t>
  </si>
  <si>
    <t>2.5.27i</t>
  </si>
  <si>
    <t>2.5.28i</t>
  </si>
  <si>
    <t>2.5.29i</t>
  </si>
  <si>
    <t>2.5.30i</t>
  </si>
  <si>
    <t>2.5.31i</t>
  </si>
  <si>
    <t>2.5.32i</t>
  </si>
  <si>
    <t>2.5.33i</t>
  </si>
  <si>
    <t>2.5.34i</t>
  </si>
  <si>
    <t>2.5.35i</t>
  </si>
  <si>
    <t>2.5.36i</t>
  </si>
  <si>
    <t>2.5.37i</t>
  </si>
  <si>
    <t>2.5.38i</t>
  </si>
  <si>
    <t>2.5.39i</t>
  </si>
  <si>
    <t>2.5.40i</t>
  </si>
  <si>
    <t>2.5.41i</t>
  </si>
  <si>
    <t>2.5.42i</t>
  </si>
  <si>
    <t>2.5.43i</t>
  </si>
  <si>
    <t>5.3.8</t>
  </si>
  <si>
    <t>5.3.9</t>
  </si>
  <si>
    <t>COSTO DIRECTO OBRA CIVIL E INSTALACION  ESTRUCTURA DE LODOS</t>
  </si>
  <si>
    <t>COSTO DIRECTO SUMINISTRO ESTRUCTURA DE LODOS</t>
  </si>
  <si>
    <t>COSTO DIRECTO SUMINISTRO PLANTA DE TRATAMIENTO Y ESTRUCTURA DE LODOS</t>
  </si>
  <si>
    <t>COSTO DIRECTO OBRA CIVIL E INSTALACION PLANTA DE TRATAMIENTO DE AGUA POTABLE DE TIJERETAS</t>
  </si>
  <si>
    <t>AIU:</t>
  </si>
  <si>
    <t>COSTO TOTAL OBRA CIVIL E INSTALACION PLANTA DE TRATAMIENTO DE AGUA POTABLE DE TIJERETAS</t>
  </si>
  <si>
    <t>COSTO DIRECTO SUMINISTRO PLANTA DE TRATAMIENTO DE AGUA POTABLE DE TIJERETAS</t>
  </si>
  <si>
    <t>ADMINISTRACION</t>
  </si>
  <si>
    <t>COSTO TOTAL SUMINISTRO PLANTA DE TRATAMIENTO DE AGUA POTABLE DE TIJERETAS</t>
  </si>
  <si>
    <t>COSTO DIRECTO OBRA CIVIL E INSTALACION ESTRUCTURA DE LODOS</t>
  </si>
  <si>
    <t>COSTO TOTAL COSTO DIRECTO OBRA CIVIL E INSTALACION ESTRUCTURA DE LODOS</t>
  </si>
  <si>
    <t>COSTO TOTAL SUMINISTRO ESTRUCTURA DE LODOS</t>
  </si>
  <si>
    <t>Noviembre de 2018</t>
  </si>
  <si>
    <t>Adulto Mayor</t>
  </si>
  <si>
    <t>Prodeporte</t>
  </si>
  <si>
    <t>Propalacio</t>
  </si>
  <si>
    <t>Fondo Seguridad</t>
  </si>
  <si>
    <t xml:space="preserve">Instalación Válvula ventosa de Ø4" de doble acción  BxB (incluye tee  Ø16"x 4" y válvula de compuerta de Ø4" HD,EB, Juego de  tornillos de 3"x3/8" , arandelas, tuercas, guasas (todo en acero inoxidable)  y empaque de neopreno e=3 mm) </t>
  </si>
  <si>
    <t>S.T.I Codo Ø16" x 45º (400mmx45º) en PEAD  PN10</t>
  </si>
  <si>
    <t>Inatalación Válvula de compuerta Ø4" (100 mm)  sello bronce, BxB, JH. (Incluye Tee 16x4" partida EB, HD, juego de  tornillos de 3"x3/8" , arandelas, tuercas, guasas (todo en acero inoxidable)  y empaque de neopreno e=3 mm). ) (para purga).</t>
  </si>
  <si>
    <t>Excavación Manual en material común seco 0-2 m de profundidad. Medido en sitio</t>
  </si>
  <si>
    <t xml:space="preserve">Llenos con material de préstamo, compactados mecánicamente hasta obtener una densidad del 95% de la máxima obtenida en el ensayo del próctor modificado. </t>
  </si>
  <si>
    <t xml:space="preserve">Llenos con material de préstamo en  , compactados mecánicamente hasta obtener una densidad del 95% de la máxima obtenida en el ensayo del próctor modificado. </t>
  </si>
  <si>
    <t xml:space="preserve">Llenos con material de préstamo en , compactados mecánicamente hasta obtener una densidad del 95% de la máxima obtenida en el ensayo del próctor modificado. </t>
  </si>
  <si>
    <t>Reduccion Concentrica 10" x 8" HD EB x EB</t>
  </si>
  <si>
    <t>Instalacion Reduccion Concentrica 10" x 8" HD</t>
  </si>
  <si>
    <t>REDUCCION CONCENTRICA EN ACERO 10" x 8"</t>
  </si>
  <si>
    <t>Suministro Reduccion Concentrica 10" x 8" HD</t>
  </si>
  <si>
    <t xml:space="preserve">Ventosa de Ø2" (75 mm) de doble acción, BXB,  cámara doble (incluye válvula de corte Ø2" HD, BXB y Tee de Ø8x3" Extremo brida, HD, Juego de  tornillos de 2"x3/8" , arandelas, tuercas, guasas (todo en acero inoxidable)  y empaque de neopreno e=3 mm). </t>
  </si>
  <si>
    <t xml:space="preserve">S.T.I Ventosa de Ø2" (75 mm) camara doble de acción multiple, BXB,  cámara doble (incluye válvula de corte Ø2" HD, BXB y Tee partida de Ø 6"x2" Extremo brida, HD, Juego de  tornillos de 3"x3/8" , arandelas, tuercas, guasas (todo en acero inoxidable)  y empaque de neopreno e=3 mm). </t>
  </si>
  <si>
    <t xml:space="preserve">Suministro Ventosa de Ø2" (50 mm) dcamara doble de acción multiple, BXB,  cámara doble (incluye válvula de corte Ø2" HD, BXB y Tee partida de Ø6x2" Extremo brida, HD, Juego de  tornillos de 3"x3/8" , arandelas, tuercas, guasas (todo en acero inoxidable)  y empaque de neopreno e=3 mm). </t>
  </si>
  <si>
    <t>12.1</t>
  </si>
  <si>
    <t>12.2</t>
  </si>
  <si>
    <t>Instalacion de Accesorios</t>
  </si>
  <si>
    <t>Gl</t>
  </si>
  <si>
    <t>Suministro de Bomba centrifuga, para agua tratada, desde la PTAP en Tijeretas hasta tanque Patagonia con motor eléctrico  de 70 - 75 HP, a 1800 rpm, 3x440  vol.,  para  20 l/seg,  un HDT de 146,98 m, con una eficiencia no menor al 72 % Debe incluir base metálica para el equipo, motor bomba, sistema de cebado y medición de presión, con manómetro en glicerina, acople motor bomba si es necesario y demás elementos para su correcto funcionamiento.</t>
  </si>
  <si>
    <t>motobomba centrifuga,  para agua cruda,  con motor eléctrico de 200-250 HP, a 1800 rpm, 3x208-230/460  vol.,  para 60 l/seg,  un HDT de 100 m.</t>
  </si>
  <si>
    <t>motobomba centrifuga,  para agua cruda,  con motor eléctrico de 100-125 HP, a 1800 rpm, 3x208-230/460  vol.,  para 60 l/seg,  un HDT de 100 m.</t>
  </si>
  <si>
    <t>Suministro de Accesorios</t>
  </si>
  <si>
    <t>Tee HD 8" x 8" (200 mmx200mm) EB x EB</t>
  </si>
  <si>
    <t xml:space="preserve">Niple  Acero Al Carbon 6" (150 mm) EB x EB  L: 1m </t>
  </si>
  <si>
    <t>Portabrida 8" (Incluye brida tornillos tuercas y arandelas)</t>
  </si>
  <si>
    <t>Portabrida 6" (Incluye Brida, tornillos tuercas y arandelas)</t>
  </si>
  <si>
    <t>Niple  Acero Al Carbon 8" (200 mm) EB x EB  L: 1,5 m</t>
  </si>
  <si>
    <t>S.T.C. de Concreto f´c= 28 Mpa para base de bombas</t>
  </si>
  <si>
    <t>Obra civil caseta de bombeo</t>
  </si>
  <si>
    <t>Acero de refuerzo</t>
  </si>
  <si>
    <t>Solado e: 5cm</t>
  </si>
  <si>
    <t>Concreto para base de bombas</t>
  </si>
  <si>
    <t>Listones en madera</t>
  </si>
  <si>
    <t>Pintura</t>
  </si>
  <si>
    <t>Bloque #5</t>
  </si>
  <si>
    <t>Concreto para cimentacion, columnas y vigas (0.15mx0.15m)</t>
  </si>
  <si>
    <t>Teja fibrocemento Perfil 7 #10</t>
  </si>
  <si>
    <t>INTALACION OBRAS COMPLEMENTARIAS</t>
  </si>
  <si>
    <t>Niple Acero al carbon 16"  BxB L= 4 m con salida roscada para manómetro Ø1/2"</t>
  </si>
  <si>
    <t>Niple Acero al carbon 16" BxB L=2 m B x B</t>
  </si>
  <si>
    <t>Reduccion Excentrica para entrada a bomba 5" x 6" HD EB x EB</t>
  </si>
  <si>
    <t>Reduccion Concentrica para salida de bomba 3" x 8" HD EB x EB</t>
  </si>
  <si>
    <t>Instalacion Reduccion Concentrica para salida de bomba 3" x 8" HD EB x EB</t>
  </si>
  <si>
    <t>Suministro Reduccion Concentrica para salida de bomba 3" x 8" HD EB x EB</t>
  </si>
  <si>
    <t>Instalacion de alimentador desde tablero general a tn-1 en cable de cobre suave tipo thwn  2xno. 8+1xno.8+1xno.8 thwn y en ducto pvc de 1"</t>
  </si>
  <si>
    <t>ELECTRICISTA</t>
  </si>
  <si>
    <t>Suministro de alimentador desde tablero general a tn-1 en cable de cobre suave tipo thwn  2xno. 8+1xno.8+1xno.8 thwn y en ducto pvc de 1"</t>
  </si>
  <si>
    <t xml:space="preserve">Cable de Cobre No.8 THHW/THHN </t>
  </si>
  <si>
    <t>Tubo conduit pvc de 1"</t>
  </si>
  <si>
    <t>Instalacion de acometida desde ccm  a  motobomba centrifuga horizontal trifasica de 75 hp-460v  en cable de cobre suave  tipo thhn/thwn  75°c calibre 3xno.2+1xno.2 en ducto pvc de 2" y coraza liquid tight de 2"</t>
  </si>
  <si>
    <t>Suministro de acometida desde ccm  a  motobomba centrifuga horizontal trifasica de 75 hp-460v  en cable de cobre suave  tipo thhn/thwn  75°c calibre 3xno.2+1xno.2 en ducto pvc de 2" y coraza liquid tight de 2"</t>
  </si>
  <si>
    <t>Ducto PVC de 2"</t>
  </si>
  <si>
    <t xml:space="preserve">Cable de Cobre No.2 THHW/THHN </t>
  </si>
  <si>
    <t xml:space="preserve">Instalacion de acometida desde ccm  a  motobomba centrifuga sumergible  vertical  trifasica 5 hp-460v (tanque homogenizador) en cable de cobre suave sumergible encauchetado tipo subcab 90°c calibre 3xno.10+1xno.10 y cable de control para sensores en motor en cable de cobre suave sumergible encauchetado tipo subcab 90°c calibre 5xno.16 en ducto pvc de 1" </t>
  </si>
  <si>
    <t xml:space="preserve">Suministro  de acometida desde ccm  a  motobomba centrifuga sumergible  vertical  trifasica 5 hp-460v (tanque homogenizador) en cable de cobre suave sumergible encauchetado tipo subcab 90°c calibre 3xno.10+1xno.10 y cable de control para sensores en motor en cable de cobre suave sumergible encauchetado tipo subcab 90°c calibre 5xno.16 en ducto pvc de 1" </t>
  </si>
  <si>
    <t>Cable de Cobre Sumergible 4xNo.10 tipo SUBCAB</t>
  </si>
  <si>
    <t>Cable de Cobre Sumergible 5xNo.16  tipo SUBCAB</t>
  </si>
  <si>
    <t>Tubo conduit PVC de 1"</t>
  </si>
  <si>
    <t>Transporte Materiales acometida</t>
  </si>
  <si>
    <t xml:space="preserve">Instalacion de acometida desde ccm  a  motobomba centrifuga sumergible  vertical  trifasica 3 hp-460v (bombeo a lecho de secados) en cable de cobre suave sumergible encauchetado tipo subcab 75°c calibre 3xno.12+1xno.12 y cable de control para sensores en motor en cable de cobre suave sumergible encauchetado tipo subcab 75°c calibre 5xno.16 en ducto pvc de 1" </t>
  </si>
  <si>
    <t xml:space="preserve">Suministro de acometida desde ccm  a  motobomba centrifuga sumergible  vertical  trifasica 3 hp-460v (bombeo a lecho de secados) en cable de cobre suave sumergible encauchetado tipo subcab 75°c calibre 3xno.12+1xno.12 y cable de control para sensores en motor en cable de cobre suave sumergible encauchetado tipo subcab 75°c calibre 5xno.16 en ducto pvc de 1" </t>
  </si>
  <si>
    <t>Cable de Cobre Sumergible 4xNo.12 tipo SUBCAB</t>
  </si>
  <si>
    <t>11.1</t>
  </si>
  <si>
    <t>Instalacion de un tablero bifasico con puerta de 12 circuitos con barraje de 125 a, barra neutro y tierra. incluye: interruptores termomagneticos enchufables unipolares y bipolares.</t>
  </si>
  <si>
    <t>Suministro de un tablero bifasico con puerta de 12 circuitos con barraje de 125 a, barra neutro y tierra. incluye: interruptores termomagneticos enchufables unipolares y bipolares.</t>
  </si>
  <si>
    <t xml:space="preserve">Tablero Bifásico de 12 circuitos </t>
  </si>
  <si>
    <t>Breaker enchufable termomágnetico de 20 Amp</t>
  </si>
  <si>
    <t>Breaker enchufable termomágnetico de  2x20 Amp</t>
  </si>
  <si>
    <t>Transporte Materiales tablero</t>
  </si>
  <si>
    <t>Instalacion de un tablero bifasico con puerta de 8 circuitos con barraje de 125 a, barra neutro y tierra. incluye: interruptores termomagneticos enchufables unipolares y bipolares.</t>
  </si>
  <si>
    <t>Suministro de un tablero bifasico con puerta de 8 circuitos con barraje de 125 a, barra neutro y tierra. incluye: interruptores termomagneticos enchufables unipolares y bipolares.</t>
  </si>
  <si>
    <t>11.2</t>
  </si>
  <si>
    <t xml:space="preserve">Tablero Bifásico de 8 circuitos </t>
  </si>
  <si>
    <t>11.3</t>
  </si>
  <si>
    <t>Instalacion de salida electrica para alumbrado incluye: tuberia conduit emt, con accesorios y alambre thwn n° 12</t>
  </si>
  <si>
    <t>Suministro de salida electrica para alumbrado incluye: tuberia conduit emt, con accesorios y alambre thwn n° 12</t>
  </si>
  <si>
    <t>Tubería conduit EMT de 1/2"</t>
  </si>
  <si>
    <t>Alambre THW No. 12</t>
  </si>
  <si>
    <t>Caja 4"x4" galv</t>
  </si>
  <si>
    <t>Conector EMT de 1/2"</t>
  </si>
  <si>
    <t>Unión EMT de 1/2"</t>
  </si>
  <si>
    <t>Elementos de fijación  (abrazaderas, chazos y tornillos)</t>
  </si>
  <si>
    <t>Transporte Materiales salidas</t>
  </si>
  <si>
    <t>11.4</t>
  </si>
  <si>
    <t>Instalacion salida electrica para toma monofasico a 120 v incluye: tuberia conduit emt, con accesorios y alambre thwn n° 12</t>
  </si>
  <si>
    <t>Suministro salida electrica para toma monofasico a 120 v incluye: tuberia conduit emt, con accesorios y alambre thwn n° 12</t>
  </si>
  <si>
    <t>Tubería conduit PVC de 1/2"</t>
  </si>
  <si>
    <t>Caja 2"x4" PVC</t>
  </si>
  <si>
    <t>Conector PVC de 1/2"</t>
  </si>
  <si>
    <t>Unión PVC de 1/2"</t>
  </si>
  <si>
    <t>Toma doble con polo a tierra 120 v</t>
  </si>
  <si>
    <t>11.5</t>
  </si>
  <si>
    <t>Instalacion salida electrica para  tomacorriente a 220  incluye: tuberia conduit pvc, con accesorios y alambre thwn n° 1o</t>
  </si>
  <si>
    <t>Suministro salida electrica para  tomacorriente a 220  incluye: tuberia conduit pvc, con accesorios y alambre thwn n° 1o</t>
  </si>
  <si>
    <t>Tubería conduit PVC de 3/4"</t>
  </si>
  <si>
    <t>Alambre THW No. 10</t>
  </si>
  <si>
    <t>Caja gal, profunda 4"x4</t>
  </si>
  <si>
    <t>Conector PVC de 3/4"</t>
  </si>
  <si>
    <t>Toma para caja 3x20A</t>
  </si>
  <si>
    <t>11.6</t>
  </si>
  <si>
    <t>Suministro de lampara led hermetica de 2x18w - 120v</t>
  </si>
  <si>
    <t>Instalacion de lampara led hermetica de 2x18w - 120v</t>
  </si>
  <si>
    <t>Lámpara hermetica 2x18w-120v</t>
  </si>
  <si>
    <t>Transporte Materiales bala</t>
  </si>
  <si>
    <t>11.7</t>
  </si>
  <si>
    <t>Instalacion de aplique led para fachada  de 20w-120v</t>
  </si>
  <si>
    <t>Suministro de aplique led para fachada  de 20w-120v</t>
  </si>
  <si>
    <t>Aplique led 20w tipo intemperie para fachada</t>
  </si>
  <si>
    <t>Instalacion de alimentador desde tablero tn-1 a luminarias led de 45w  en cable de cobre suave tipo encauchetado thhn 2xno.10+1xno.10 en ducto pvc de 3/4"</t>
  </si>
  <si>
    <t>Suministro de alimentador desde tablero tn-1 a luminarias led de 45w  en cable de cobre suave tipo encauchetado thhn 2xno.10+1xno.10 en ducto pvc de 3/4"</t>
  </si>
  <si>
    <t>Cable de cobre THHN No. 10 AWG</t>
  </si>
  <si>
    <t>Tubo PVC de 3/4"</t>
  </si>
  <si>
    <t>Instalacion de luminarias alumbrado publico tipo led 45w-220v  en poste galvanizado de  2"x6md</t>
  </si>
  <si>
    <t>Suministro de luminarias alumbrado publico tipo led 45w-220v  en poste galvanizado de  2"x6m</t>
  </si>
  <si>
    <t>Luminaria alumbrado público LED 45w - 220v</t>
  </si>
  <si>
    <t>Brazo galvanizado de 1,0m</t>
  </si>
  <si>
    <t>Tubo metalico galvanizado de 2"x6m certificado</t>
  </si>
  <si>
    <t>12.3</t>
  </si>
  <si>
    <t>Instalacion de caja de registro en concreto de 30x30x30 cm</t>
  </si>
  <si>
    <t>Suministro e instalacion de caja de registro en concreto de 30x30x30 cm</t>
  </si>
  <si>
    <t>Caja de registro 30x30x30cm en concreto con tapa</t>
  </si>
  <si>
    <t>AYUD ENTENDIDO</t>
  </si>
  <si>
    <t xml:space="preserve">Transporte Materiales </t>
  </si>
  <si>
    <t>12.4</t>
  </si>
  <si>
    <t>Pagos a ELECTRICARIBE:</t>
  </si>
  <si>
    <t>Consultoria de proyectos</t>
  </si>
  <si>
    <t>Revisión de instalaciones con transformador</t>
  </si>
  <si>
    <t>Descargo costo directo por hora</t>
  </si>
  <si>
    <t>Ingeniero Eléctrico</t>
  </si>
  <si>
    <t>Ingeniero Eléctrico Inspector del CIDET</t>
  </si>
  <si>
    <t xml:space="preserve">Legalizacion ante electricaribe y certificacion retie </t>
  </si>
  <si>
    <t>LINEA PRIMARIA DE MT</t>
  </si>
  <si>
    <t>UND</t>
  </si>
  <si>
    <t>GL</t>
  </si>
  <si>
    <t>1.0</t>
  </si>
  <si>
    <t>2.0</t>
  </si>
  <si>
    <t>3.0</t>
  </si>
  <si>
    <t>4.0</t>
  </si>
  <si>
    <t>4.1</t>
  </si>
  <si>
    <t>5.0</t>
  </si>
  <si>
    <t>5.1</t>
  </si>
  <si>
    <t>6.0</t>
  </si>
  <si>
    <t>6.1</t>
  </si>
  <si>
    <t>7.0</t>
  </si>
  <si>
    <t>7.1</t>
  </si>
  <si>
    <t>8.0</t>
  </si>
  <si>
    <t>8.1</t>
  </si>
  <si>
    <t>9.0</t>
  </si>
  <si>
    <t>9.1</t>
  </si>
  <si>
    <t>10.0</t>
  </si>
  <si>
    <t>10.1</t>
  </si>
  <si>
    <t>11.0</t>
  </si>
  <si>
    <t>12.0</t>
  </si>
  <si>
    <t>13.0</t>
  </si>
  <si>
    <t>13.1</t>
  </si>
  <si>
    <t>14.0</t>
  </si>
  <si>
    <t>14.1</t>
  </si>
  <si>
    <t xml:space="preserve">Descargo en caliente </t>
  </si>
  <si>
    <t>Suministro de acometida subterranea en cable de cobre thhn 3x no3/0f + 1x no.3/0 n + 1xno. 2/0 t  thhn  en ducto pvc de 3" desde transformador a transferencia automatica</t>
  </si>
  <si>
    <t xml:space="preserve">Celda metalica de 2,20x1,0x0,8m, incluye: transferencia automatica trifasica mediante dos interruptores trifasicos regulados de 200 amp, motorizados enclavados mecanicamente , el circuito de control permite una transferencia manual o automatica mediante un selector, vigilante de tension (100 kva-460 v), transformador seco de 10 kva 460/220-120v  con proteccion de 2x30a a la entrada y 2x60amp a la salida y analizador de red </t>
  </si>
  <si>
    <t>Suministro de acometida subterranea en cable de cobre thhn 3x no3/0f + 1x no.3/0 n + 1xno. 2/0 t  thhn  en ducto pvc de 3" desde  transferencia automatica a centro de control de motores</t>
  </si>
  <si>
    <t>Suministro de acometida subterranea en cable de cobre thhn 3x no3/0f + 1x no.3/0 n + 1xno. 2/0 t  thhn  en ducto pvc de 3" desde  transferencia automatica a planta de emergencia</t>
  </si>
  <si>
    <t>Telemetria</t>
  </si>
  <si>
    <t>Instalacion Poste de concreto de 12m x1.050 kgf transportado, hincado y cimentado</t>
  </si>
  <si>
    <t>Armado de estructura de media tension trifasico tipo terminal o fin de linea disposicion centrada</t>
  </si>
  <si>
    <t>Instalacion riega tendido y tensionado de conductor acsr no. 1/0</t>
  </si>
  <si>
    <t>Instalacion de templete directo a tierra</t>
  </si>
  <si>
    <t>Instalacion de transformador trifasico de 112,55 kva 13200/460-266v  protecciones y puesta a tierra en  media tension</t>
  </si>
  <si>
    <t xml:space="preserve">Instalacion Descargo en caliente </t>
  </si>
  <si>
    <t>Instalacion de cajas de registro en mamposteria  de 0,8x0,8x0,8 m</t>
  </si>
  <si>
    <t>Instalacion de una malla a tierra compuesta por seis varillas cooperweld de 5/8"x2,4m, cable de cobre desnudo no. 2/0  y soldadura cadwell</t>
  </si>
  <si>
    <t>Instalacion de sistema de apantallamiento y conexión a malla a tierra: incluye punta de pararrayos, ducto metalico de 1", cable de cobre desnudo no.2 y soldadura cadwell</t>
  </si>
  <si>
    <t>Instalacion de acometida subterranea en cable de cobre thhn 3x no3/0f + 1x no.3/0 n + 1xno. 2/0 t  thhn  en ducto pvc de 3" desde transformador a transferencia automatica</t>
  </si>
  <si>
    <t xml:space="preserve">Instalacion celda metalica de 2,20x1,0x0,8m, incluye: transferencia automatica trifasica mediante dos interruptores trifasicos regulados de 200 amp, motorizados enclavados mecanicamente , el circuito de control permite una transferencia manual o automatica mediante un selector, vigilante de tension (100 kva-460 v), transformador seco de 10 kva 460/220-120v  con proteccion de 2x30a a la entrada y 2x60amp a la salida y analizador de red </t>
  </si>
  <si>
    <t>Instalacion de acometida subterranea en cable de cobre thhn 3x no3/0f + 1x no.3/0 n + 1xno. 2/0 t  thhn  en ducto pvc de 3" desde  transferencia automatica a centro de control de motores</t>
  </si>
  <si>
    <t>Instalacion de acometida subterranea en cable de cobre thhn 3x no3/0f + 1x no.3/0 n + 1xno. 2/0 t  thhn  en ducto pvc de 3" desde  transferencia automatica a planta de emergencia</t>
  </si>
  <si>
    <t>Instalacion de Planta de emergencia diesel de 125 kva trifasica, cuatro hilos, 460 voltios, 1800 rpm, con cabina de insonorizacion, incluye tanque de combustible, proteccion electromagnetica, bateria y cargador.</t>
  </si>
  <si>
    <t xml:space="preserve">Instalacion de tablero de control de motores, incluye  gabinete metalico en modulos, una (1) proteccion principal regulada de 200 a y mando rotativo , dos (2) interruptores termomagneticos tripolares regulados de 125a,  dos (2) interruptores termomagneticos tripolares regulados de 20 a, dos (2) interruptores termomagneticos tripolares regulados de 15a, un dps o protector contra sobretensiones por baja tension,   barraje de cobre, analizador de red , control de nivel, monitor de voltaje, dos (2) variadores de velocidad para motores de 75 hp-460v, dos (2) variadores de velocidad para motores de 5 hp-460v, dos (2) variadores de velocidad para motores de 3 hp-460v. incluyen inductancias de linea de 100 a, incluyen: interruptores, luces de señalizacion, pulsadores y ventilacion controlada, </t>
  </si>
  <si>
    <t>Instalacion de alimentador desde tablero general a t-n1 en cable de cobre suave tipo thwn  2xno. 8+1xno.8+1xno.8 thwn y en ducto pvc de 1"</t>
  </si>
  <si>
    <t>Instalacion de alimentador desde tablero general a tn-2 en cable de cobre suave sumergible plano 2xno. 8+1xno.8+1xno.8 thwn y en ducto pvc de 1"</t>
  </si>
  <si>
    <t xml:space="preserve">Instalacion de acometida desde ccm  a  motobomba centrifuga sumergible  vertical  trifasica 5 hp-460v (tanque homogenizador) en cable de cobre suave sumergible encauchetado tipo subcab 90°c calibre 3xno.12+1xno.12 y cable de control para sensores en motor en cable de cobre suave sumergible encauchetado tipo subcab 90°c calibre 5xno.16 en ducto pvc de 1" </t>
  </si>
  <si>
    <t>Instalacion de Salida electrica para alumbrado incluye: tuberia conduit emt, con accesorios y alambre thwn n° 12</t>
  </si>
  <si>
    <t>Instalacion de Salida electrica para toma monofasico a 120 v incluye: tuberia conduit pvc, con accesorios y alambre thwn n° 12</t>
  </si>
  <si>
    <t>Instalacion de Salida electrica para tomacorriente a 220  incluye: tuberia conduit pvc, con accesorios y alambre thwn n° 1o</t>
  </si>
  <si>
    <t>Instalacion de Luminarias alumbrado publico tipo led 45w-220v  en poste galvanizado de  2"x6m</t>
  </si>
  <si>
    <t>Instalacion de sistema de telemetria para instalar en estacion de bombeo y en tanque de almacenamiento. consta de dos (2) radios con modulos de entrada y salidas digitales,  antenas de ganacia omnidireccional, instalados dentro de un gabinete tipo intemperie en poliester ip66, la alimentacion de cada tablero es de 110 0 220vac  (internamente cuenta con fuente a 24 vdc), entradas para boyas de nivel alto y bajo (en gabinete ubicado en tanque),  salida para arranque de variador de velocidad. los equipos son de marca schneider electric, los radios son marca phoenix contac de 900 mhz.</t>
  </si>
  <si>
    <t>Suministro poste de concreto de 12m x1.050 kgf transportado, hincado y cimentado</t>
  </si>
  <si>
    <t>Suministro  estructura de media tension trifasico tipo terminal o fin de linea disposicion centrada</t>
  </si>
  <si>
    <t>Suministro Riega tendido y tensionado de conductor acsr no. 1/0</t>
  </si>
  <si>
    <t>Suministro  de templete directo a tierra</t>
  </si>
  <si>
    <t>Suministro de transformador trifasico de 112,55 kva 13200/460-266v  protecciones y puesta a tierra en  media tension</t>
  </si>
  <si>
    <t>Suministro  de cajas de registro en mamposteria  de 0,8x0,8x0,8 m</t>
  </si>
  <si>
    <t>Suministro de una malla a tierra compuesta por seis varillas cooperweld de 5/8"x2,4m, cable de cobre desnudo no. 2/0  y soldadura cadwell</t>
  </si>
  <si>
    <t>Suministro de sistema de apantallamiento y conexión a malla a tierra: incluye punta de pararrayos, ducto metalico de 1", cable de cobre desnudo no.2 y soldadura cadwell</t>
  </si>
  <si>
    <t xml:space="preserve">Suministro  de tablero de control de motores, incluye  gabinete metalico en modulos, una (1) proteccion principal regulada de 200 a y mando rotativo , dos (2) interruptores termomagneticos tripolares regulados de 125a,  dos (2) interruptores termomagneticos tripolares regulados de 20 a, dos (2) interruptores termomagneticos tripolares regulados de 15a, un dps o protector contra sobretensiones por baja tension,   barraje de cobre, analizador de red , control de nivel, monitor de voltaje, dos (2) variadores de velocidad para motores de 75 hp-460v, dos (2) variadores de velocidad para motores de 5 hp-460v, dos (2) variadores de velocidad para motores de 3 hp-460v. incluyen inductancias de linea de 100 a, incluyen: interruptores, luces de señalizacion, pulsadores y ventilacion controlada, </t>
  </si>
  <si>
    <t>Suministro Planta de emergencia diesel de 125 kva trifasica, cuatro hilos, 460 voltios, 1800 rpm, con cabina de insonorizacion, incluye tanque de combustible, proteccion electromagnetica, bateria y cargador.</t>
  </si>
  <si>
    <t>Suministro  de alimentador desde tablero general a t-n1 en cable de cobre suave tipo thwn  2xno. 8+1xno.8+1xno.8 thwn y en ducto pvc de 1"</t>
  </si>
  <si>
    <t>Suministro de alimentador desde tablero general a tn-2 en cable de cobre suave sumergible plano 2xno. 8+1xno.8+1xno.8 thwn y en ducto pvc de 1"</t>
  </si>
  <si>
    <t>Suministro Salida electrica para alumbrado incluye: tuberia conduit emt, con accesorios y alambre thwn n° 12</t>
  </si>
  <si>
    <t>Suministro Salida electrica para toma monofasico a 120 v incluye: tuberia conduit pvc, con accesorios y alambre thwn n° 12</t>
  </si>
  <si>
    <t>Suministro Salida electrica para tomacorriente a 220  incluye: tuberia conduit pvc, con accesorios y alambre thwn n° 1o</t>
  </si>
  <si>
    <t>Suministro  de lampara led hermetica de 2x18w - 120v</t>
  </si>
  <si>
    <t>Suministro  de aplique led para fachada  de 20w-120v</t>
  </si>
  <si>
    <t>Suministro Luminarias alumbrado publico tipo led 45w-220v  en poste galvanizado de  2"x6m</t>
  </si>
  <si>
    <t>Suministro de caja de registro en concreto de 30x30x30 cm</t>
  </si>
  <si>
    <t>Suministro de sistema de telemetria para instalar en estacion de bombeo y en tanque de almacenamiento. consta de dos (2) radios con modulos de entrada y salidas digitales,  antenas de ganacia omnidireccional, instalados dentro de un gabinete tipo intemperie en poliester ip66, la alimentacion de cada tablero es de 110 0 220vac  (internamente cuenta con fuente a 24 vdc), entradas para boyas de nivel alto y bajo (en gabinete ubicado en tanque),  salida para arranque de variador de velocidad. los equipos son de marca schneider electric, los radios son marca phoenix contac de 900 mhz.</t>
  </si>
  <si>
    <t xml:space="preserve">Suministro de tablero de control de motores, incluye  gabinete metalico en modulos, una (1) proteccion principal regulada de 200 a y mando rotativo , dos (2) interruptores termomagneticos tripolares regulados de 125a,  dos (2) interruptores termomagneticos tripolares regulados de 20 a, dos (2) interruptores termomagneticos tripolares regulados de 15a, un dps o protector contra sobretensiones por baja tension,   barraje de cobre, analizador de red , control de nivel, monitor de voltaje, dos (2) variadores de velocidad para motores de 75 hp-460v, dos (2) variadores de velocidad para motores de 5 hp-460v, dos (2) variadores de velocidad para motores de 3 hp-460v. incluyen inductancias de linea de 100 a, incluyen: interruptores, luces de señalizacion, pulsadores y ventilacion controlada, </t>
  </si>
  <si>
    <t xml:space="preserve">Instalacion  de tablero de control de motores, incluye  gabinete metalico en modulos, una (1) proteccion principal regulada de 200 a y mando rotativo , dos (2) interruptores termomagneticos tripolares regulados de 125a,  dos (2) interruptores termomagneticos tripolares regulados de 20 a, dos (2) interruptores termomagneticos tripolares regulados de 15a, un dps o protector contra sobretensiones por baja tension,   barraje de cobre, analizador de red , control de nivel, monitor de voltaje, dos (2) variadores de velocidad para motores de 75 hp-460v, dos (2) variadores de velocidad para motores de 5 hp-460v, dos (2) variadores de velocidad para motores de 3 hp-460v. incluyen inductancias de linea de 100 a, incluyen: interruptores, luces de señalizacion, pulsadores y ventilacion controlada, </t>
  </si>
  <si>
    <t>Barraje de cobre de 600 amp a lo largo del gabinete</t>
  </si>
  <si>
    <t>Breaker industrial regulable de 140-200Amp, 35 KA  600v con mando</t>
  </si>
  <si>
    <t>rotativo prolongado</t>
  </si>
  <si>
    <t>Protector para sobretension por baja tensión o DPS</t>
  </si>
  <si>
    <t>Monitor de voltaje</t>
  </si>
  <si>
    <t>Analizador de red</t>
  </si>
  <si>
    <t>Breaker industrial regulable de 125 Amp, 35 KA  600v con mando</t>
  </si>
  <si>
    <t xml:space="preserve">Breaker industrial regulable de 3x20 Amp, 25 KA  600v </t>
  </si>
  <si>
    <t xml:space="preserve">Breaker industrial regulable de 3x15 Amp, 25 KA  600v </t>
  </si>
  <si>
    <t>Variador de velocidad para motor de 75 HP-460v incluye inductancia</t>
  </si>
  <si>
    <t xml:space="preserve">Variador de velocidad para motor de 5 HP-460v </t>
  </si>
  <si>
    <t xml:space="preserve">Variador de velocidad para motor de 3 HP-460v </t>
  </si>
  <si>
    <t>Interruptor termo-magnético multi 9 DE 2x2 A, 20  KA, 580v</t>
  </si>
  <si>
    <t>Transformadores de corriente de 200/5A clase 1 y 5 va</t>
  </si>
  <si>
    <t>Transformadores de corriente de 100/5A clase 1 y 5 va</t>
  </si>
  <si>
    <t>Transformadores de control 250 VA  460/110V incluye protecciones</t>
  </si>
  <si>
    <t xml:space="preserve">Conmutador manual automatico </t>
  </si>
  <si>
    <t>Pulsador rojo NC</t>
  </si>
  <si>
    <t>Pulsador verde NA</t>
  </si>
  <si>
    <t>Parada de emergencia tipo hongo</t>
  </si>
  <si>
    <t>Ventilacion controlada y filtro de entrada</t>
  </si>
  <si>
    <t>Pilotode señalización amarillo</t>
  </si>
  <si>
    <t>Pilotode señalización rojo</t>
  </si>
  <si>
    <t>Transporte Tablero general</t>
  </si>
  <si>
    <t>Gabinete metálico  en lámina cold rolled calibre No. 16  dimensiones: 80x60x200cm (largoxanchoxalto) Para alojar protección principal, barraje de 600v y 600 amp y sistema de arranque de motobombas centrífugas.</t>
  </si>
  <si>
    <t>Instalacion planta de emergencia diesel de 125 kva trifasica, cuatro hilos, 460 voltios, 1800 rpm, con cabina de insonorizacion, incluye tanque de combustible, proteccion electromagnetica, bateria y cargador.</t>
  </si>
  <si>
    <t>Suministro planta de emergencia diesel de 125 kva trifasica, cuatro hilos, 460 voltios, 1800 rpm, con cabina de insonorizacion, incluye tanque de combustible, proteccion electromagnetica, bateria y cargador.</t>
  </si>
  <si>
    <t>Planta de emergencia diesel de 120 KVA trifásica, cuatro hilos, 460/230Vcon cabina de insonorización, incluye tanque de combustible, proteccióntermomágnetica a las salidas de potencia, bateria y cargador</t>
  </si>
  <si>
    <t>Transporte Planta electrica</t>
  </si>
  <si>
    <t>TECNICO ESPECIALISTA</t>
  </si>
  <si>
    <t>Grua</t>
  </si>
  <si>
    <t>Cable de Cobre No. 3/0  AWG</t>
  </si>
  <si>
    <t>Ducto PVC de 3"</t>
  </si>
  <si>
    <t>Instalacion  de acometida subterranea en cable de cobre thhn 3x no3/0f + 1x no.3/0 n + 1xno. 2/0 t  thhn  en ducto pvc de 3" desde  transferencia automatica a centro de control de motores</t>
  </si>
  <si>
    <t>Suministro  de acometida subterranea en cable de cobre thhn 3x no3/0f + 1x no.3/0 n + 1xno. 2/0 t  thhn  en ducto pvc de 3" desde  transferencia automatica a centro de control de motores</t>
  </si>
  <si>
    <t>Instalacion  de celda metalica de 2,20x0,8x0,6m, incluye: transferencia automatica trifasica mediante dos interruptores trifasicos regulados de 200 amp, motorizados enclavados mecanicamente , el circuito de control permite una transferencia manual o automatica mediante un selector, vigilante de tension (100 kva-460 v), transformador seco de 10 kva 460/220-120v  con proteccion de 2x30a a la entrada y 2x60amp a la salida, analizador de red .</t>
  </si>
  <si>
    <t>Suministro de celda metalica de 2,20x0,8x0,6m, incluye: transferencia automatica trifasica mediante dos interruptores trifasicos regulados de 200 amp, motorizados enclavados mecanicamente , el circuito de control permite una transferencia manual o automatica mediante un selector, vigilante de tension (100 kva-460 v), transformador seco de 10 kva 460/220-120v  con proteccion de 2x30a a la entrada y 2x60amp a la salida, analizador de red .</t>
  </si>
  <si>
    <t>Celda metalica  en lámina cold rolled cal 16 de 220x80x60 cm (alto, ancho, profundidad), para alojartransferencia y protecciones con barraje de cobre 3F+N+T</t>
  </si>
  <si>
    <t>Transferencia automática mediante interruptores tripolares regulados de de 200Amp, 35 KV, 600v, enclavados mecánicamente Incluye selector manual/automático, vigilante de tensiónpara 100KVA-460v</t>
  </si>
  <si>
    <t>Breaker industrial  de 2x30A, 25 ka, 600v</t>
  </si>
  <si>
    <t>Breaker industrial de 2x60A, 25 ka, 600v</t>
  </si>
  <si>
    <t>Transformador seco monofasico 10 KVA 460/220-120V</t>
  </si>
  <si>
    <t>Instalacion de acometida subterranea en cable de cobre thhn 3x no3/0f + 1x no.3/0 n  thhn  en ducto pvc de 3" desde transformador a transferencia automatica</t>
  </si>
  <si>
    <t>Suministro de acometida subterranea en cable de cobre thhn 3x no3/0f + 1x no.3/0 n  thhn  en ducto pvc de 3" desde transformador a transferencia automatica</t>
  </si>
  <si>
    <t>Punta captadora</t>
  </si>
  <si>
    <t>Cable de cobre No.2 desnudo</t>
  </si>
  <si>
    <t xml:space="preserve">Soldadura cadwell  </t>
  </si>
  <si>
    <t>Ducto metálico de 1"x6m</t>
  </si>
  <si>
    <t>Herrajes galvanizados</t>
  </si>
  <si>
    <t>Transporte materiales apantallamiento</t>
  </si>
  <si>
    <t>MOLDES PARA SOLDADURA</t>
  </si>
  <si>
    <t>TECNICO MECANICO</t>
  </si>
  <si>
    <t>Suministro  de una malla a tierra compuesta por seis varillas cooperweld de 5/8"x2,4m, cable de cobre desnudo no. 2/0  y soldadura cadwell</t>
  </si>
  <si>
    <t>Varillas cooperweld legitimas 5/8x2.4m</t>
  </si>
  <si>
    <t>Cable de cobre No.2/0 desnudo</t>
  </si>
  <si>
    <t>Transporte materiales malla</t>
  </si>
  <si>
    <t>Suministro Poste de concreto de 12m x1.050 KGF transportado, hincado y cimentado</t>
  </si>
  <si>
    <t>Poste de concreto 12 m x 1.050 Kgf</t>
  </si>
  <si>
    <t>Cimentación cilindrica con hormigon</t>
  </si>
  <si>
    <t>Transporte de Poste de concreto</t>
  </si>
  <si>
    <t>Instalación Poste de concreto de 12m x1.050 KGF transportado, hincado y cimentado</t>
  </si>
  <si>
    <t>Liniero1</t>
  </si>
  <si>
    <t>Escaleras</t>
  </si>
  <si>
    <t>Cinturones de seguridad</t>
  </si>
  <si>
    <t>Instalación  de estructura de media tensión trifásico tipo terminal o fin de línea disposición centrada</t>
  </si>
  <si>
    <t>Suministro de estructura de media tensión trifásico tipo terminal o fin de línea disposición centrada</t>
  </si>
  <si>
    <t>Crucetas metálicas galvanizadas 2.4 mts autosoportadas</t>
  </si>
  <si>
    <t>Aislador suspensión polimerico 15 kv</t>
  </si>
  <si>
    <t>Grillete largo recto para 5/8"</t>
  </si>
  <si>
    <t>Grapa retención recta cable No. 1/0</t>
  </si>
  <si>
    <t>Perno de máquina 5/8"x12" con tuerca hexagonal</t>
  </si>
  <si>
    <t>Esparrago de 5/8"x14"</t>
  </si>
  <si>
    <t>Arandela redonda de 5/8"</t>
  </si>
  <si>
    <t>Conector tipo cuña ACSR 1/0</t>
  </si>
  <si>
    <t xml:space="preserve">Kit de puesta a tierra en acero austenitico </t>
  </si>
  <si>
    <t>Tubo de gres vitrificado de 12"x50cm con tapa en concreto SPT</t>
  </si>
  <si>
    <t>Conector transversal</t>
  </si>
  <si>
    <t>Transporte de materiales linea primaria</t>
  </si>
  <si>
    <t>Instalación de Riega tendido y tensionado de conductor acsr no. 1/0secundario del trafo de 75 kVA</t>
  </si>
  <si>
    <t>Suministro de Riega tendido y tensionado de conductor acsr no. 1/0</t>
  </si>
  <si>
    <t>Cable de aluminio tipo ACSR No. 1/0</t>
  </si>
  <si>
    <t>Transporte de cable</t>
  </si>
  <si>
    <t>Instalación de templete directo a tierra</t>
  </si>
  <si>
    <t>Suministro de templete directo a tierra</t>
  </si>
  <si>
    <t>Aislador tipo tensor 4 1/4" ANSI 54-2 ref 8295</t>
  </si>
  <si>
    <t>Arandela curva cuadrada 2 1/4" x2 1/4" x 3/16"</t>
  </si>
  <si>
    <t>Guardacabo de 3/8¨</t>
  </si>
  <si>
    <t>Varilla de anclaje 2.4 m*3/4¨</t>
  </si>
  <si>
    <t>Vigeta de anclaje de concreto</t>
  </si>
  <si>
    <t>Grapa prensora de tres pernos de 6"x11/2"x1/4"</t>
  </si>
  <si>
    <t>Pletina para sujección de retenida en poste</t>
  </si>
  <si>
    <t>Grillete normal recto para 7/8"</t>
  </si>
  <si>
    <t xml:space="preserve">Tubo abierto de señalización y protección de 2"x 2.4m en pvc </t>
  </si>
  <si>
    <t>Cable de acero galvanizado SGX 3/8"</t>
  </si>
  <si>
    <t>Transporte de templete</t>
  </si>
  <si>
    <t>Instalación de transformador trifásico de 112,5 kva 13200/460-266v  protecciones y puesta a tierra en  media tensión</t>
  </si>
  <si>
    <t xml:space="preserve">Grua </t>
  </si>
  <si>
    <t>Suministro de transformador trifásico de 112,5 kva 13200/460-266v  protecciones y puesta a tierra en  media tensión</t>
  </si>
  <si>
    <t>Cruceta metál. galv.  2.4 mts certificada autosoportada</t>
  </si>
  <si>
    <t>Perno de maquina 5/8*8¨</t>
  </si>
  <si>
    <t>Arandela de presión de 5/8¨</t>
  </si>
  <si>
    <t>Arandela redonda de 5/8¨</t>
  </si>
  <si>
    <t>Varilla de tierra de cobre de 2.4mx5/8" con conector</t>
  </si>
  <si>
    <t>Cable THW desnudo No. 2 AWG</t>
  </si>
  <si>
    <t>Pararrayo tipo distribución 12 kv</t>
  </si>
  <si>
    <t>Fusible  15 kv</t>
  </si>
  <si>
    <t>Cortacircuito monopolar 15 kv-100A</t>
  </si>
  <si>
    <t>Kit de puesta a tierra en acero austenitico</t>
  </si>
  <si>
    <t>Conectores Ampac</t>
  </si>
  <si>
    <t>Transformador Trifásico de 112,55 KVA 13.200</t>
  </si>
  <si>
    <t>Transporte materiales subestación</t>
  </si>
  <si>
    <t>Descargo en caliente</t>
  </si>
  <si>
    <t>Grua para trabajo en caliente</t>
  </si>
  <si>
    <t>Liniero1 linea viva</t>
  </si>
  <si>
    <t>Liniero2 linea viva</t>
  </si>
  <si>
    <t>línea viva</t>
  </si>
  <si>
    <t>Transporte de grua para trabajo en caliente</t>
  </si>
  <si>
    <t>Instalación de cajas de registro en mampostería  de 0,8 x 0,8x 0,8 m</t>
  </si>
  <si>
    <t>Suministro de cajas de registro en mampostería  de 0,8 x 0,8x 0,8 m</t>
  </si>
  <si>
    <t>Acero figurado 280 mpa</t>
  </si>
  <si>
    <t>Alambre negro No.18</t>
  </si>
  <si>
    <t>Arena gruesa</t>
  </si>
  <si>
    <t>Arena lavada</t>
  </si>
  <si>
    <t>Cemento gris</t>
  </si>
  <si>
    <t>Bloque 0,1x0,2x04m</t>
  </si>
  <si>
    <t>Angulo metálico de  2"x 1/4"</t>
  </si>
  <si>
    <t>triturado mediano</t>
  </si>
  <si>
    <t>Transporte de materiales caja</t>
  </si>
  <si>
    <t>Liniero2</t>
  </si>
  <si>
    <t>LINIERO 1 (INCLUYE 65% PRESTACIONES)</t>
  </si>
  <si>
    <t>LINIERO1</t>
  </si>
  <si>
    <t>LINIERO2</t>
  </si>
  <si>
    <t>LINIERO 2 (INCLUYE 65% PRESTACIONES)</t>
  </si>
  <si>
    <t>Ayudante Raso (INC. 65% PRESTACI.)</t>
  </si>
  <si>
    <t>GRUA</t>
  </si>
  <si>
    <t>hr</t>
  </si>
  <si>
    <t>ESCAL</t>
  </si>
  <si>
    <t>ESCALERA</t>
  </si>
  <si>
    <t>CINTURON DE SEGURIDAD</t>
  </si>
  <si>
    <t>CINT</t>
  </si>
  <si>
    <t>LINERO1</t>
  </si>
  <si>
    <t>LINEAV1</t>
  </si>
  <si>
    <t>LINEAV2</t>
  </si>
  <si>
    <t>LINEAV</t>
  </si>
  <si>
    <t>LINIERO1 LINEA VIVA</t>
  </si>
  <si>
    <t>LINIERO2 LINEA VIVA</t>
  </si>
  <si>
    <t>LÍNEA VIVA</t>
  </si>
  <si>
    <t>Instalacion de acometida de media tension en cable de cobre monopolar no. 1/0 al 133% aislam. xlpe 15 kv desde cortacircuitos a transformador tipo pad mounted</t>
  </si>
  <si>
    <t>Suministro de acometida de media tension en cable de cobre monopolar no. 1/0 al 133% aislam. xlpe 15 kv desde cortacircuitos a transformador tipo pad mounted</t>
  </si>
  <si>
    <t>Cable de cobre No.1/0 XLPE a 15 KV 133%</t>
  </si>
  <si>
    <t>Tubo conduit PVC de  3"</t>
  </si>
  <si>
    <t>Instalacion de terminales premoldeados tipo exterior 15 kv y accesorios</t>
  </si>
  <si>
    <t>Suministro determinales premoldeados tipo exterior 15 kv y accesorios</t>
  </si>
  <si>
    <t>Tubo conduit galv. 3" x 6 mt</t>
  </si>
  <si>
    <t>Cinta bandit de acero inoxidable de 3/4"</t>
  </si>
  <si>
    <t>Hebillas para cinta bandit de 3/4"</t>
  </si>
  <si>
    <t>Cuva IMC de 3"</t>
  </si>
  <si>
    <t>Capacete de 3"</t>
  </si>
  <si>
    <t>Adaptador conduit galv de 3"</t>
  </si>
  <si>
    <t>Cinta aislante super 33 3M</t>
  </si>
  <si>
    <t>Cable de cobre No. 10 THWN</t>
  </si>
  <si>
    <t>Terminal premoldeado encogible en frio tipo exterior para 15 kv</t>
  </si>
  <si>
    <t>Transporte Accesorios</t>
  </si>
  <si>
    <t>Instalacion transformador trifasico en aceite tipo pedestal o pad mounted 300 kva 13.200/460-266v, incluye: accesorios premoldeados como bujes inserto, bujes tipo pozo, conectores tipo codo, dps tipo codo</t>
  </si>
  <si>
    <t>Suministro transformador trifasico en aceite tipo pedestal o pad mounted 300 kva 13.200/460-266v, incluye: accesorios premoldeados como bujes inserto, bujes tipo pozo, conectores tipo codo, dps tipo codo</t>
  </si>
  <si>
    <t>Transformador tipo pad mounted de 300 KVA  13.200/460-266 v incluye accesorios premoldeados</t>
  </si>
  <si>
    <t>Transporte transformador</t>
  </si>
  <si>
    <t>Suministro terminales premoldeados tipo exterior 15 kv y accesorios</t>
  </si>
  <si>
    <t>Instalacion terminales premoldeados tipo exterior 15 kv y accesorios</t>
  </si>
  <si>
    <t>Curva PVC de 4"</t>
  </si>
  <si>
    <t>Capacete de 4"</t>
  </si>
  <si>
    <t>Adaptador conduit PVC de 4"</t>
  </si>
  <si>
    <t>Transporte accesorios</t>
  </si>
  <si>
    <t>Instalacion de cajas de registro en mamposteria  de 1,0x1,0x1,0 m</t>
  </si>
  <si>
    <t>suministro e instalacion de cajas de registro en mamposteria  de 1,0x1,0x1,0 m</t>
  </si>
  <si>
    <t>Suministro de cajas de registro en mamposteria  de 1,0x1,0x1,0 m</t>
  </si>
  <si>
    <t>Transporte Materiales</t>
  </si>
  <si>
    <t>Suministro de cajas de registro en mamposteria  de 0,8x0,8x0,8 m</t>
  </si>
  <si>
    <t>Instalacion de malla a tierra compuesta por seis varillas cooperweld de 5/8"x2,4m, cable de cobre desnudo no. 2/0  y soldadura cadwell</t>
  </si>
  <si>
    <t>Suministro de malla a tierra compuesta por seis varillas cooperweld de 5/8"x2,4m, cable de cobre desnudo no. 2/0  y soldadura cadwell</t>
  </si>
  <si>
    <t>Caja de registro de 30x30x30 con tapa para supervision de la puesta a tierra</t>
  </si>
  <si>
    <t>TECNICO MECANICO 1</t>
  </si>
  <si>
    <t>TECNICO MECANICO 2</t>
  </si>
  <si>
    <t>Moldes para soldadura</t>
  </si>
  <si>
    <t>Instalacion de acometida subterranea en cable de cobre thhn 3x (2xno300mcm)f + (2x no.300mcm) n + 1xno. 2/0 t  thhn  en ducto pvc de 2x4" desde transformador a transferencia automatica</t>
  </si>
  <si>
    <t>Suministro de acometida subterranea en cable de cobre thhn 3x (2xno300mcm)f + (2x no.300mcm) n + 1xno. 2/0 t  thhn  en ducto pvc de 2x4" desde transformador a transferencia automatica</t>
  </si>
  <si>
    <t>Cable de Cobre No. 300 mcm AWG</t>
  </si>
  <si>
    <t>Cable de Cobre No. 2/0 THWN</t>
  </si>
  <si>
    <t>Ducto PVC de 4"</t>
  </si>
  <si>
    <t>Instalacion celda metalica de 2,20x1,0x0,8m, incluye: transferencia automatica trifasica mediante dos interruptores trifasicos regulados de 250 a 500 amp, motorizados enclavados mecanicamente , el circuito de control permite una transferencia manual o automatica mediante un selector, vigilante de tension (313 kva-460 v), transformador seco de 15 kva 460/220-120con proteccion de 2x60a a la entrada y 2x80amp a la salida, analizador de red y dps con proteccion de 3x100amp</t>
  </si>
  <si>
    <t>Suministro celda metalica de 2,20x1,0x0,8m, incluye: transferencia automatica trifasica mediante dos interruptores trifasicos regulados de 250 a 500 amp, motorizados enclavados mecanicamente , el circuito de control permite una transferencia manual o automatica mediante un selector, vigilante de tension (313 kva-460 v), transformador seco de 15 kva 460/220-120con proteccion de 2x60a a la entrada y 2x80amp a la salida, analizador de red y dps con proteccion de 3x100amp</t>
  </si>
  <si>
    <t>Celda metalica  en lámina cold rolled cal 16 de 220x100x80 cm  (alto, ancho, profundidad), para alojar transferencia y protecciones con barraje de cobre 3F+N+T</t>
  </si>
  <si>
    <t>Transferencia automática mediante interruptores tripolares regulados de de 250-500Amp, 55 KV, 600v, enclavados mecánicamente para 313KVA-460v</t>
  </si>
  <si>
    <t>Breaker industrial  de 2x60A, 25 ka, 600v</t>
  </si>
  <si>
    <t>Breaker industrial de 2x80A, 25 ka, 600v</t>
  </si>
  <si>
    <t>Transformador seco monofasico 15 KVA 460/220-120V</t>
  </si>
  <si>
    <t>Instalacion de acometida subterranea en cable de cobre thhn 3x (2xno300mcm)f + (2x no.300mcm) n + 1xno. 2/0 t  thhn  en carcamo 60x50cm  desde transferencia automatica a centro de control</t>
  </si>
  <si>
    <t>Suministro de acometida subterranea en cable de cobre thhn 3x (2xno300mcm)f + (2x no.300mcm) n + 1xno. 2/0 t  thhn  en carcamo 60x50cm  desde transferencia automatica a centro de control</t>
  </si>
  <si>
    <t>Instalacion de acometida subterranea en cable de cobre thhn 3x (2xno.300mcm)f + (2x no.300mcm) n + 1xno. 2/0 t  thhn  en carcamo de concreto de 50x60cm desde  transferencia automatica a planta de emergencia</t>
  </si>
  <si>
    <t>Suministro de de acometida subterranea en cable de cobre thhn 3x (2xno.300mcm)f + (2x no.300mcm) n + 1xno. 2/0 t  thhn  en carcamo de concreto de 50x60cm desde  transferencia automatica a planta de emergencia</t>
  </si>
  <si>
    <t>Instalacion carcamo de concreto de 50x60cm con tapa de alfajor</t>
  </si>
  <si>
    <t>Suministro carcamo de concreto de 50x60cm con tapa de alfajor</t>
  </si>
  <si>
    <t>carcamo en concreto de 50x60cm con tapa en alfajor</t>
  </si>
  <si>
    <t>Instalacion planta de emergencia diesel de 313 kva trifasica, cuatro hilos, 460 voltios, 1800 rpm, con cabina de insonorizacion, incluye tanque de combustible, proteccion electromagnetica, bateria y cargador.</t>
  </si>
  <si>
    <t>Suministro planta de emergencia diesel de 313 kva trifasica, cuatro hilos, 460 voltios, 1800 rpm, con cabina de insonorizacion, incluye tanque de combustible, proteccion electromagnetica, bateria y cargador.</t>
  </si>
  <si>
    <t>Hr</t>
  </si>
  <si>
    <t>Planta de emergencia diesel de 313 KVA trifásica, cuatro hilos, 460/230V con cabina de insonorización, incluye tanque de combustible, protección termomágnetica a las salidas de potencia, bateria y cargador</t>
  </si>
  <si>
    <t>Transporte Planta Electrica</t>
  </si>
  <si>
    <t>Gabinete metálico  en lámina cold rolled calibre No. 16  dimensiones: 80x60x200cm (largoxanchoxalto) Para alojar protección principal, barraje de 600v y 800 amp y sistema de arranque de motobombas centrífugas.</t>
  </si>
  <si>
    <t>Barraje de cobre de 800 amp a lo largo del gabinete</t>
  </si>
  <si>
    <t>Breaker industrial regulable de 250-500 Amp, 55 KA  600v con mando rotativo prolongado</t>
  </si>
  <si>
    <t>Breaker industrial regulable de 140-200Amp, 35 KA  600v con mando rotativo prolongado</t>
  </si>
  <si>
    <t>Variador de velocidad para motor de 125 HP-460v incluye inductancia de línea</t>
  </si>
  <si>
    <t>Transformadores de corriente de 400/5A clase 1 y 5 va</t>
  </si>
  <si>
    <t xml:space="preserve">Unidad </t>
  </si>
  <si>
    <t xml:space="preserve">Global </t>
  </si>
  <si>
    <t>Transporte tablero general</t>
  </si>
  <si>
    <t>Instalación de  alimentador desde tablero general a tn-1 en cable de cobre suave tipo THWN  2xno. 8+1xno.8+1xno.8 THWN y en ducto PVC de 1"</t>
  </si>
  <si>
    <t>Electricista</t>
  </si>
  <si>
    <t>Ayudantes</t>
  </si>
  <si>
    <t>Suministro de alimentador desde tablero general a tn-1 en cable de cobre suave tipo THWN  2xno. 8+1xno.8+1xno.8 THWN y en ducto PVC de 1"</t>
  </si>
  <si>
    <t xml:space="preserve">Transporte de materiales </t>
  </si>
  <si>
    <t>Instalación de alimentador desde tablero general a tn-2 en cable de cobre suave sumergible plano 2x no. 8+1xno.8+1xno.8 THWN y en ducto PVC de 1"</t>
  </si>
  <si>
    <t>Suministro de alimentador desde tablero general a tn-2 en cable de cobre suave sumergible plano 2x no. 8+1xno.8+1xno.8 THWN y en ducto PVC de 1"</t>
  </si>
  <si>
    <t>Cable de Cobre sumergible plano 4xNo.8</t>
  </si>
  <si>
    <t>Transporte de materiales acometida</t>
  </si>
  <si>
    <t>Instalación de acometida desde ccm  a  motobomba centrifuga horizontal trifásica de 125 hp-460v  en cable de cobre suave  tipo thhn/thwn  75°c calibre 3xno.3/0+1xno.2 va soportado en bandeja portacable</t>
  </si>
  <si>
    <t>Suministro de acometida desde ccm  a  motobomba centrifuga horizontal trifásica de 125 hp-460v  en cable de cobre suave  tipo thhn/thwn  75°c calibre 3xno.3/0+1xno.2 va soportado en bandeja portacable</t>
  </si>
  <si>
    <t>Cable de Cobre No. 3/0 THHN/THWN</t>
  </si>
  <si>
    <t>Instalación de bandeja portacable semipesada 60x8x240cm, incluye peldaños para soporte ya accesorios para su instalación</t>
  </si>
  <si>
    <t>Suministro de bandeja portacable semipesada 60x8x240cm, incluye peldaños para soporte ya accesorios para su instalación</t>
  </si>
  <si>
    <t>Bandeja portacable 60X8X240CM</t>
  </si>
  <si>
    <t>Soportes tipo peldaño</t>
  </si>
  <si>
    <t>Accesorios para su instalación</t>
  </si>
  <si>
    <t>Transporte de flotador</t>
  </si>
  <si>
    <t>Instalación de un tablero bifásico con puerta de 12 circuitos con barraje de 125 a, barra neutro y tierra. incluye: interruptores termo magnéticos enchufables unipolares y bipolares.</t>
  </si>
  <si>
    <t>Suministro de un tablero bifásico con puerta de 12 circuitos con barraje de 125 a, barra neutro y tierra. incluye: interruptores termo magnéticos enchufables unipolares y bipolares.</t>
  </si>
  <si>
    <t>Transporte de materiales tablero</t>
  </si>
  <si>
    <t>Instalación de de un tablero bifásico con puerta de 18 circuitos con barraje de 225 a, barra neutro y tierra. incluye: interruptores</t>
  </si>
  <si>
    <t>Suministro de un tablero bifásico con puerta de 18 circuitos con barraje de 225 a, barra neutro y tierra. incluye: interruptores</t>
  </si>
  <si>
    <t xml:space="preserve">Tablero Bifásico de 18 circuitos </t>
  </si>
  <si>
    <t>Instalación de salida eléctrica para alumbrado incluye: tubería conduit emt, con accesorios y alambre THWN N° 12</t>
  </si>
  <si>
    <t>Suministro de salida eléctrica para alumbrado incluye: tubería conduit emt, con accesorios y alambre THWN N° 12</t>
  </si>
  <si>
    <t>Caja 4"x 4" galv</t>
  </si>
  <si>
    <t>Transporte de materiales salida</t>
  </si>
  <si>
    <t>Instalación de salida eléctrica para toma monofásico a 120 v incluye: tubería conduit emt, con accesorios y alambre THWN N° 12</t>
  </si>
  <si>
    <t>Suministro de salida eléctrica para toma monofásico a 120 v incluye: tubería conduit emt, con accesorios y alambre THWN N° 12</t>
  </si>
  <si>
    <t>Caja 2"x 4" PVC</t>
  </si>
  <si>
    <t>Instalación de salida eléctrica para  tomacorriente a 220  incluye: tubería conduit PVC, con accesorios y alambre THWN N° 1O</t>
  </si>
  <si>
    <t>Suministro de salida eléctrica para  tomacorriente a 220  incluye: tubería conduit PVC, con accesorios y alambre THWN N° 1O</t>
  </si>
  <si>
    <t>Instalación de lámpara led hermética de 2x18w - 120v</t>
  </si>
  <si>
    <t>Suministro de lámpara led hermética de 2x18w - 120v</t>
  </si>
  <si>
    <t>Transporte de lampara</t>
  </si>
  <si>
    <t>Instalación de aplique led para fachada  de 20w-120v</t>
  </si>
  <si>
    <t>Transporte de materiales</t>
  </si>
  <si>
    <t>Instalación de alimentador desde tablero tn-1 a luminarias led de 45w  en cable de cobre suave tipo encauchetado thhn 2xno.10+1xno.10 en ducto pvc de 3/4"</t>
  </si>
  <si>
    <t>Instalación de luminarias alumbrado público tipo led 45w-220v  en poste galvanizado de  2"x 6m</t>
  </si>
  <si>
    <t xml:space="preserve">ACCESORIOS SISTEMA DE BOMBEO CAPTACION </t>
  </si>
  <si>
    <t xml:space="preserve"> PRESUPUESTO ACCESORIOS SISTEMA RIO SINU - PTAP TIJERETAS</t>
  </si>
  <si>
    <t>CAJA DE INSPECCION</t>
  </si>
  <si>
    <t>MALLA A TIERRA</t>
  </si>
  <si>
    <t>ACOMETIDA SECUNDARIA DESDE TRANSFORMADOR A TRANSFERENCIA AUTOMATICA</t>
  </si>
  <si>
    <t>TABLERO GENERAL CON TRANSFERENCIA AUTOMATICA Y TRANSFORMADOR SECO</t>
  </si>
  <si>
    <t>ACOMETIDA SECUNDARIA DESDE  TRANSFERENCIA AUTOMATICA A CENTRO DE CONTROL DE MOTORES</t>
  </si>
  <si>
    <t>ACOMETIDA SECUNDARIA DESDE  TRANSFERENCIA AUTOMATICA A PLANTA DE EMERGENCIA</t>
  </si>
  <si>
    <t>PLANTA ELECTRICA</t>
  </si>
  <si>
    <t>CENTRO CONTROL DE MOTORES</t>
  </si>
  <si>
    <t>ALIMENTADORES  DESDE CCM A TABLEROS PARCIALES Y MOTORES</t>
  </si>
  <si>
    <t>SALIDAS PARA ALUMBRADO Y TOMAS</t>
  </si>
  <si>
    <t>ALUMBRADO PERIMETRAL</t>
  </si>
  <si>
    <t>TELEMETRIA</t>
  </si>
  <si>
    <t xml:space="preserve">LEGALIZACION DE PLANOS Y CERTIFICACION RETIE </t>
  </si>
  <si>
    <t>APU COMPONENTE ELECTROMECANICO CAPTACION</t>
  </si>
  <si>
    <t>2.3</t>
  </si>
  <si>
    <t>2.4</t>
  </si>
  <si>
    <t>2.5</t>
  </si>
  <si>
    <t>4.2</t>
  </si>
  <si>
    <t>8.2</t>
  </si>
  <si>
    <t>12.5</t>
  </si>
  <si>
    <t>12.6</t>
  </si>
  <si>
    <t>12.7</t>
  </si>
  <si>
    <t>13.2</t>
  </si>
  <si>
    <t>13.3</t>
  </si>
  <si>
    <t>15.0</t>
  </si>
  <si>
    <t>Instalacion equipo de medida por media tension a 13,2 kv tipo exterior</t>
  </si>
  <si>
    <t>LINEA PRIMARIA  DE MT  13.2 KV SUBTERRANEA</t>
  </si>
  <si>
    <t>Instalacion estructura de proteccion en media tension. incluye cruceta metalica, tres (3) cortacircuitos, tres (pararrayos y set de puesta a tierra</t>
  </si>
  <si>
    <t>Instalacion acometida de media tension en cable de cobre monopolar no. 1/0 al 133% aislam. xlpe 15 kv desde cortacircuitos a transformador tipo pad mounted</t>
  </si>
  <si>
    <t xml:space="preserve">Instalacion de tablero de control de motores, incluye  una (1) proteccion principal regulada de 250-500 a y mando rotativo , tres (3) interruptores termomagneticos tripolares regulados de 140 - 200 a,  un dps o protector contra sobretensiones por baja tension,   barraje de cobre, analizador de red , control de nivel, monitor de voltaje, tres (3) variadores de velocidad para motores de 125 hp-460v incluyen inductancias de linea de 150 a, incluyen: interruptores, luces de señalizacion, pulsadores y ventilacion controlada, </t>
  </si>
  <si>
    <t>Instalacion de acometida desde ccm  a  motobomba centrifuga horizontal trifasica de 125 hp-460v  en cable de cobre suave  tipo thhn/thwn  75°c calibre 3xno.3/0+1xno.2 va soportado en bandeja portacable</t>
  </si>
  <si>
    <t>Instalacion de bandeja portacable semipesada 60x8x240cm, incluye peldayos para soporte ya ccesorios para su instalacion</t>
  </si>
  <si>
    <t>Instalacion de un tablero bifasico con puerta de 18 circuitos con barraje de 125 a, barra neutro y tierra. incluye: interruptores termomagneticos enchufables unipolares y bipolares.</t>
  </si>
  <si>
    <t>Instalacion salida electrica para alumbrado incluye: tuberia conduit emt, con accesorios y alambre thwn n° 12</t>
  </si>
  <si>
    <t>Instalacion salida electrica para toma monofasico a 120 v incluye: tuberia conduit pvc, con accesorios y alambre thwn n° 12</t>
  </si>
  <si>
    <t>Instalacion salida electrica para tomacorriente a 220  incluye: tuberia conduit pvc, con accesorios y alambre thwn n° 1o</t>
  </si>
  <si>
    <t>Instalacion luminarias alumbrado publico tipo led 45w-220v  en poste galvanizado de  2"x6m</t>
  </si>
  <si>
    <t>Suministro y armado de estructura de media tension trifasico tipo terminal o fin de linea disposicion centrada</t>
  </si>
  <si>
    <t>Suministro equipo de medida por media tension a 13,2 kv tipo exterior</t>
  </si>
  <si>
    <t>Suministro estructura de proteccion en media tension. incluye cruceta metalica, tres (3) cortacircuitos, tres (pararrayos y set de puesta a tierra</t>
  </si>
  <si>
    <t>Suministro acometida de media tension en cable de cobre monopolar no. 1/0 al 133% aislam. xlpe 15 kv desde cortacircuitos a transformador tipo pad mounted</t>
  </si>
  <si>
    <t>Suministro  de sistema de apantallamiento y conexión a malla a tierra: incluye punta de pararrayos, ducto metalico de 1", cable de cobre desnudo no.2 y soldadura cadwell</t>
  </si>
  <si>
    <t>Suministro de acometida subterranea en cable de cobre thhn 3x (2xno.300mcm)f + (2x no.300mcm) n + 1xno. 2/0 t  thhn  en carcamo de concreto de 50x60cm desde  transferencia automatica a planta de emergencia</t>
  </si>
  <si>
    <t xml:space="preserve">Suministro  de tablero de control de motores, incluye  una (1) proteccion principal regulada de 250-500 a y mando rotativo , tres (3) interruptores termomagneticos tripolares regulados de 140 - 200 a,  un dps o protector contra sobretensiones por baja tension,   barraje de cobre, analizador de red , control de nivel, monitor de voltaje, tres (3) variadores de velocidad para motores de 125 hp-460v incluyen inductancias de linea de 150 a, incluyen: interruptores, luces de señalizacion, pulsadores y ventilacion controlada, </t>
  </si>
  <si>
    <t>Suministro de alimentador desde tablero general a t-n1 en cable de cobre suave tipo thwn  2xno. 8+1xno.8+1xno.8 thwn y en ducto pvc de 1"</t>
  </si>
  <si>
    <t>Suministro  de alimentador desde tablero general a tn-2 en cable de cobre suave sumergible plano 2xno. 8+1xno.8+1xno.8 thwn y en ducto pvc de 1"</t>
  </si>
  <si>
    <t>Suministro  de acometida desde ccm  a  motobomba centrifuga horizontal trifasica de 125 hp-460v  en cable de cobre suave  tipo thhn/thwn  75°c calibre 3xno.3/0+1xno.2 va soportado en bandeja portacable</t>
  </si>
  <si>
    <t>Suministro  de bandeja portacable semipesada 60x8x240cm, incluye peldayos para soporte ya ccesorios para su instalacion</t>
  </si>
  <si>
    <t>Suministro de un tablero bifasico con puerta de 18 circuitos con barraje de 125 a, barra neutro y tierra. incluye: interruptores termomagneticos enchufables unipolares y bipolares.</t>
  </si>
  <si>
    <t>Suministro salida electrica para alumbrado incluye: tuberia conduit emt, con accesorios y alambre thwn n° 12</t>
  </si>
  <si>
    <t>Suministro salida electrica para toma monofasico a 120 v incluye: tuberia conduit pvc, con accesorios y alambre thwn n° 12</t>
  </si>
  <si>
    <t>Suministro salida electrica para tomacorriente a 220  incluye: tuberia conduit pvc, con accesorios y alambre thwn n° 1o</t>
  </si>
  <si>
    <t>Suministro luminarias alumbrado publico tipo led 45w-220v  en poste galvanizado de  2"x6m</t>
  </si>
  <si>
    <t>Transporte de materiales línea primaria</t>
  </si>
  <si>
    <t>Instalación de estructura de media tensión trifásico tipo terminal o fin de línea disposición centrada</t>
  </si>
  <si>
    <t>Transporte de materiales templete</t>
  </si>
  <si>
    <t>Instalación  de templete directo a tierra</t>
  </si>
  <si>
    <t>Suministro de Equipo de medida por media tensión a 13,2 kv tipo exterior</t>
  </si>
  <si>
    <t>Estructura para soporte de equipos en crucetas metálicas galvanizadas de 2 1/2"x3/16x2.4m incluye diagonales y herrajes galv.</t>
  </si>
  <si>
    <t>Transformadores de corriente tipo exterior 20-40/5A 13,2 kv, clase 0,5 2,5 va.</t>
  </si>
  <si>
    <t>Transformadores de potencial tipo exterior 13200/1,73 - 120/1,73  13,2 kv, clase 0,5 15 va.</t>
  </si>
  <si>
    <t>Bloque de pruebas</t>
  </si>
  <si>
    <t>Cable de control  4xNo.12</t>
  </si>
  <si>
    <t>Cable de control  6xNo.12</t>
  </si>
  <si>
    <t>Contador electrónico medida indirecta tres (3) elementos clase 0,5 con modem, 3x254/100…240/120 v</t>
  </si>
  <si>
    <t>Gabinete para equipo de medida</t>
  </si>
  <si>
    <t>Cable de cobre No.2 desnudo AWG</t>
  </si>
  <si>
    <t>Transporte equipo de medida</t>
  </si>
  <si>
    <t>Instalación de Equipo de media tensión a 13,2 kv tipo exterior</t>
  </si>
  <si>
    <t>Suministro  de sistema de telemetria para instalar en estacion de bombeo y en tanque de almacenamiento. consta de dos (2) radios con modulos de entrada y salidas digitales,  antenas de ganacia omnidireccional, instalados dentro de un gabinete tipo intemperie en poliester ip66, la alimentacion de cada tablero es de 110 0 220vac  (internamente cuenta con fuente a 24 vdc), entradas para boyas de nivel alto y bajo (en gabinete ubicado en tanque),  salida para arranque de variador de velocidad. los equipos son de marca schneider electric, los radios son marca phoenix contac de 900 mhz.</t>
  </si>
  <si>
    <t>Instalacion de de alimentador desde tablero general a tn-2 en cable de cobre suave sumergible plano 2xno. 8+1xno.8+1xno.8 thwn y en ducto pvc de 1"</t>
  </si>
  <si>
    <t>Instalación de estructura de protección en media tensión. incluye cruceta metálica, tres (3) cortacircuitos, tres (pararrayos y set de puesta a tierra</t>
  </si>
  <si>
    <t>Suministro de estructura de protección en media tensión. incluye cruceta metálica, tres (3) cortacircuitos, tres (pararrayos y set de puesta a tierra</t>
  </si>
  <si>
    <t>Perno de maquina 5/8*8"</t>
  </si>
  <si>
    <t>Oficial</t>
  </si>
  <si>
    <t>Tecnico Mecanico</t>
  </si>
  <si>
    <t>Suministro de luminarias alumbrado público tipo led 45w-220v  en poste galvanizado de  2"x 6m</t>
  </si>
  <si>
    <t>Transporte de bala</t>
  </si>
  <si>
    <t>Instalación de caja de registro en concreto de 30x30x30 cm</t>
  </si>
  <si>
    <t xml:space="preserve">Ayudante </t>
  </si>
  <si>
    <t>Legalización ante Electricaribe y Certificación RETIE</t>
  </si>
  <si>
    <t xml:space="preserve">Instalacion Instalacion de tablero de control de motores, incluye  una (1) proteccion principal regulada de 250-500 a y mando rotativo , tres (3) interruptores termomagneticos tripolares regulados de 140 - 200 a,  un dps o protector contra sobretensiones por baja tension,   barraje de cobre, analizador de red , control de nivel, monitor de voltaje, tres (3) variadores de velocidad para motores de 125 hp-460v incluyen inductancias de linea de 150 a, incluyen: interruptores, luces de señalizacion, pulsadores y ventilacion controlada, </t>
  </si>
  <si>
    <t xml:space="preserve">Suministro Instalacion de tablero de control de motores, incluye  una (1) proteccion principal regulada de 250-500 a y mando rotativo , tres (3) interruptores termomagneticos tripolares regulados de 140 - 200 a,  un dps o protector contra sobretensiones por baja tension,   barraje de cobre, analizador de red , control de nivel, monitor de voltaje, tres (3) variadores de velocidad para motores de 125 hp-460v incluyen inductancias de linea de 150 a, incluyen: interruptores, luces de señalizacion, pulsadores y ventilacion controlada, </t>
  </si>
  <si>
    <t>Instalación de sistema de telemetria para instalar en estacion de bombeo y en tanque de almacenamiento. consta de dos (2) radios con modulos de entrada y salidas digitales,  antenas de ganacia omnidireccional, instalados dentro de un gabinete tipo intemperie en poliester ip66, la alimentacion de cada tablero es de 110 0 220vac  (internamente cuenta con fuente a 24 vdc), entradas para boyas de nivel alto y bajo (en gabinete ubicado en tanque),  salida para arranque de variador de velocidad. los equipos son de marca schneider electric, los radios son marca phoenix contac de 900 mhz.</t>
  </si>
  <si>
    <t>Técnico especialista</t>
  </si>
  <si>
    <t>Gabinete tipo poliester para intemperie  protección IP66 incluye:</t>
  </si>
  <si>
    <t>Antenas de ganancia omnidireccional</t>
  </si>
  <si>
    <t>Fuente de 24v DC</t>
  </si>
  <si>
    <t>Radios con modulos de entrada y salidas digitales, incluye: dos (2) Entradas para boyas de nivel alto y bajo, dos (2) Salidas para los contactores de alternación de bombas, dos (2) Salidas para arranque de variador de velocidad</t>
  </si>
  <si>
    <t>Suministro de de sistema de telemetria para instalar en estacion de bombeo y en tanque de almacenamiento. consta de dos (2) radios con modulos de entrada y salidas digitales,  antenas de ganacia omnidireccional, instalados dentro de un gabinete tipo intemperie en poliester ip66, la alimentacion de cada tablero es de 110 0 220vac  (internamente cuenta con fuente a 24 vdc), entradas para boyas de nivel alto y bajo (en gabinete ubicado en tanque),  salida para arranque de variador de velocidad. los equipos son de marca schneider electric, los radios son marca phoenix contac de 900 mhz.</t>
  </si>
  <si>
    <t>HERRAJE CONO</t>
  </si>
  <si>
    <t>COSTO TOTAL SISTEMA ELECTRO-MECANICO LINEA DE IMPULSION DE AGUA CRUDARIO SINU - TIJERETAS</t>
  </si>
  <si>
    <t xml:space="preserve">Instalacion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
</t>
  </si>
  <si>
    <t>COMPONENTE ELECTRICO-MECANICO DEL SISTEMA DE BOMBEO PTAP TIJERETAS - PATAGONIA</t>
  </si>
  <si>
    <t>COSTO TOTAL COMPONENTE ELECTRICO Y MECANICO DEL SISTEMA DE BOMBEO PTAP TIJERETAS - PATAGONIA</t>
  </si>
  <si>
    <t xml:space="preserve"> PRESUPUESTO ACCESORIOS SISTEMA PTAP TIJERETAS - PATAGONIA</t>
  </si>
  <si>
    <t>COSTO DIRECTO INSTALACIÓN ACCESORIOS DEL SISTEMA DE BOMBEO PTAP TIJERETAS - PATAGONIA</t>
  </si>
  <si>
    <t>COSTO TOTAL INSTALACIÓN ACCESORIOS DEL SISTEMA DE BOMBEO PTAP TIJERETAS - PATAGONIA</t>
  </si>
  <si>
    <t>COSTO DIRECTO SUMINISTRO COMPONENTE ELECTRICO Y MECANICO DEL SISTEMA DE BOMBEO  PTAP TIJERETAS - PATAGONIA</t>
  </si>
  <si>
    <t>COSTO TOTAL SUMINISTRO COMPONENTE ELECTRICO Y MECANICO DEL SISTEMA DE BOMBEO  PTAP TIJERETAS - PATAGONIA</t>
  </si>
  <si>
    <t>COSTO DIRECTO INSTALACIÓN Y PUESTA EN SERVICIO  COMPONENTE ELECTRICO Y MECANICO DEL SISTEMA DE BOMBEO PTAP TIJERETAS - PATAGONIA</t>
  </si>
  <si>
    <t xml:space="preserve"> PRESUPUESTO ACCESORIOS LÍNEA DE IMPULSIÓN PATAGONIA - PORVENIR </t>
  </si>
  <si>
    <t xml:space="preserve">COSTO TOTAL  INSTALACION ACCESORIOS SISTEMA DE BOMBEO PATAGONIA - PORVENIR </t>
  </si>
  <si>
    <t>COSTO DIRECTO INSTALACION ACCESORIOS SISTEMA DE BOMBEO PATAGONIA - PORVENIR</t>
  </si>
  <si>
    <t>COSTO DIRECTO SUMINISTRO ACCESORIOS SISTEMA DE BOMBEO PATAGONIA - PORVENIR</t>
  </si>
  <si>
    <t>COSTO TOTAL SUMINISTRO ACCESORIOS SISTEMA DE BOMBEO PATAGONIA - PORVENIR</t>
  </si>
  <si>
    <t>VALOR SALARIO MINIMO 2019</t>
  </si>
  <si>
    <t>Instalacion de codos floculantes de 350 mm, en HD incluye pasamuro y longitud de niple de L = 0.4 m</t>
  </si>
  <si>
    <t>Instalacion de codos floculantes de 300 mm, en HD incluye pasamuro y longitud de niple de L = 0.4 m</t>
  </si>
  <si>
    <t>Instalacion de codos floculantes de 250 mm, en HD incluye pasamuro y longitud de niple de L = 0.4 m</t>
  </si>
  <si>
    <t>Instalación de canaletas recolectoras de agua sedimentada en fibra de vidrio con orificios de Ø1" B=0.20m H=0.25m L=2.40m</t>
  </si>
  <si>
    <t xml:space="preserve">Instalación de placas planas para sedimentación acelerada </t>
  </si>
  <si>
    <t>Instalación de reglilla de aforo de caudal en acrílico, según detalle.</t>
  </si>
  <si>
    <t>Suministro de compuerta de chapaleta  de 0.25x0.25 m</t>
  </si>
  <si>
    <t>Suministro de compuerta lateral 0.60x1.00 m (incluye vástago, volante de operación y rueda de manejo)</t>
  </si>
  <si>
    <t>Instalación de compuerta lateral 0.60x1.00 m (incluye vástago, volante de operación y rueda de manejo)</t>
  </si>
  <si>
    <t xml:space="preserve"> Instalación de compuerta de chapaleta  de 0.25x0.25 m</t>
  </si>
  <si>
    <t>Sumnistro de codos floculantes de 350 mm, en HD incluye pasamuro y longitud de niple de L = 0.4 m</t>
  </si>
  <si>
    <t>Sumnistro de codos floculantes de 300 mm, en HD incluye pasamuro y longitud de niple de L = 0.4 m</t>
  </si>
  <si>
    <t>Suministro de codos floculantes de 250 mm, en HD incluye pasamuro y longitud de niple de L = 0.4 m</t>
  </si>
  <si>
    <t>Suministro de canaletas recolectoras de agua sedimentada en fibra de vidrio con orificios de Ø1" B=0.20m H=0.25m L=2.40m</t>
  </si>
  <si>
    <t>Suministro de lecho filtrante de grava</t>
  </si>
  <si>
    <t>Suministro  de lecho filtrante de arena</t>
  </si>
  <si>
    <t>Suministro de lecho filtrante de antracita</t>
  </si>
  <si>
    <t>Reglilla de aforo de caudal en acrílico, según detalle.</t>
  </si>
  <si>
    <t>Concreto de 4000 psi 280Kg/cm2 para tanque de igualacion (incluye formaleta)</t>
  </si>
  <si>
    <t>Concreto de 4000 psi 280Kg/cm2 para espesador de lodos</t>
  </si>
  <si>
    <t>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q=30.00 l/s, hdt=8,15 m.</t>
  </si>
  <si>
    <t xml:space="preserve">Instalacion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q=30.00 l/s, hdt=8,15 m.
</t>
  </si>
  <si>
    <t xml:space="preserve">Suministro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q=30.00 l/s, hdt=8,15 m.
</t>
  </si>
  <si>
    <t>16.1</t>
  </si>
  <si>
    <t>EQUIPOS DE BOMBEO</t>
  </si>
  <si>
    <t>Instalacion y puesta en servicio de Bomba centrifuga, para agua sin tratar, desde el rio Sinu,  y llevar esta agua a la PTAP en Tijeretas con motor eléctrico  de 100 - 125 HP, a 1800 rpm, 3x440  vol.,  para  60 l/seg,  un HDT de 85 m, con una eficiencia no menor al 72 % Debe incluir base metálica para el equipo, motor bomba, sistema de cebado y medición de presión, con manómetro en glicerina, acople motor bomba si es necesario y demás elementos para su correcto funcionamiento.</t>
  </si>
  <si>
    <t>CASETA DE BOMBEO</t>
  </si>
  <si>
    <t>Localización y replanteo de obra civil</t>
  </si>
  <si>
    <t>Excavación manual para viga de cimentación de muros (0.40mx0.40m)</t>
  </si>
  <si>
    <t>Cimentación en viga t invertida de 0.40x0.40m (incluye concreto, refuerzo longitudinal y transversal, formaleta y mano de obra)</t>
  </si>
  <si>
    <t>Sobrecimiento en bloque acostado, tres hiladas</t>
  </si>
  <si>
    <t>Levante de muros en mampostería con bloques de 0.1x0.2x0.4m</t>
  </si>
  <si>
    <t>Viga de amarre para muros de 0.1x0.2m con 4 varillas de 3/8" como refuerzo longitudinal y estribos de 1/4" cada 0.2m</t>
  </si>
  <si>
    <t>Columna de confinamiento de 0.10x0.20m con 4 varillas de 3/8" como refuerzo longitudinal y estribos de 1/4" cada 0.1m</t>
  </si>
  <si>
    <t>Viga de amarre de muros de culatas de 0.1x0.1m, con 2 varillas de 3/8" como refuerzo longitudinal y estribos en forma de "s" cada 0.20m</t>
  </si>
  <si>
    <t>Pañete en mortero impermeabilizado para muros interiores y exteriores</t>
  </si>
  <si>
    <t>Plantilla en concreto de 3000psi de 0.06m de espesor</t>
  </si>
  <si>
    <t>Base para pintura de muros interiores y exteriores (vinilo tipo 3; 3 manos)</t>
  </si>
  <si>
    <t>Pintura para muros interiores con vinilo tipo 2; 3 manos</t>
  </si>
  <si>
    <t>Pintura para muros exteriores con vinilo tipo 1; 3 manos</t>
  </si>
  <si>
    <t xml:space="preserve">Obra Civil Caseta de Bombeo </t>
  </si>
  <si>
    <t>Obra Anden de Circulación</t>
  </si>
  <si>
    <t>Excavación para viga de cimentación de 0.25x0.25m</t>
  </si>
  <si>
    <t>Viga de cimentación de anden de 0.25x0.25m, con 4ф3/8" como refuerzo longitudinal y estribos de 1/4"@0.20m</t>
  </si>
  <si>
    <t>Sobrecimiento en bloque acostado 2 hiladas</t>
  </si>
  <si>
    <t>Plantilla en concreto de 3000psi de 0.06m para anden</t>
  </si>
  <si>
    <t>Retiro de material sobrante distancia &lt; 10km</t>
  </si>
  <si>
    <t>Suministro de accesorios y equipos</t>
  </si>
  <si>
    <t>Instalación de accesorios y equipos</t>
  </si>
  <si>
    <t>Instalación de correas metálicas en perfil de lámina delgada en forma de c phr 100x50-cal 18, con templetes cada l/3; incluye perfil, templetes, pintura y mano de obra.</t>
  </si>
  <si>
    <t>Instalación de cubierta en láminas termoacustic (incluye tejas, tornillos autoperforantes, y mano de obra para instalación).</t>
  </si>
  <si>
    <t>Instalación de ventanas en aluminio y vidrio</t>
  </si>
  <si>
    <t>Instalación de puerta de 2.0x2.0m en lámina galvanizada, dos hojas de 1.0mx2.0m (incluye puertas, marco, pintura y mano de obra)</t>
  </si>
  <si>
    <t>Suministro de correas metálicas en perfil de lámina delgada en forma de c phr 100x50-cal 18, con templetes cada l/3; incluye perfil, templetes, pintura y mano de obra.</t>
  </si>
  <si>
    <t>Suministro de cubierta en láminas termoacustic (incluye tejas, tornillos autoperforantes, y mano de obra para instalación).</t>
  </si>
  <si>
    <t>Suministro de ventanas en aluminio y vidrio</t>
  </si>
  <si>
    <t>Suministro de puerta de 2.0x2.0m en lámina galvanizada, dos hojas de 1.0mx2.0m (incluye puertas, marco, pintura y mano de obra)</t>
  </si>
  <si>
    <t>VARETA DE 2"X2"X3M</t>
  </si>
  <si>
    <t xml:space="preserve">Herramienta menor </t>
  </si>
  <si>
    <t>CIMENTACIÓN EN VIGA T INVERTIDA DE 0.40X0.40M (INCLUYE CONCRETO, REFUERZO LONGITUDINAL Y TRANSVERSAL, FORMALETA Y MANO DE OBRA).</t>
  </si>
  <si>
    <t>TABLA DE 1"X10"X3.0M</t>
  </si>
  <si>
    <t>PUNTILLA 2CC</t>
  </si>
  <si>
    <t>PLASTOCRETE DM</t>
  </si>
  <si>
    <t>BLOQUE DE 0.1X0.2X0.4M</t>
  </si>
  <si>
    <t>Relleno con material de préstamo, compactados mecánicamente hasta obtener una densidad del 95% de la máxima obtenida en el ensayo del próctor modificado. hasta nivel de plantilla</t>
  </si>
  <si>
    <t>CONCRETO DE 3000 PSI</t>
  </si>
  <si>
    <t>SIKA 1 PARA MORTERO</t>
  </si>
  <si>
    <t>MEZCLA DE CONCRETO DE 3000PSI</t>
  </si>
  <si>
    <t>PINTURA VINILO TIPO 3 (CUÑETE)</t>
  </si>
  <si>
    <t>PINTURA VINILO TIPO 2 (CUÑETE)</t>
  </si>
  <si>
    <t>PINTURA VINILO TIPO 1 (CUÑETE)</t>
  </si>
  <si>
    <t>Relleno con material de préstamo, compactados mecánicamente hasta obtener una densidad del 95% de la máxima obtenida en el ensayo del próctor modificado</t>
  </si>
  <si>
    <t>TORNILLERIA Y CHAZOS</t>
  </si>
  <si>
    <t>GLB</t>
  </si>
  <si>
    <t>OPTIMIZACION PLANTA DE TRATAMIENTO DE AGUA POTABLE TIJERETA</t>
  </si>
  <si>
    <t>LINEA DE IMPULSION PTAP TIJERETAS - PATAGONIA</t>
  </si>
  <si>
    <t>ACCESORIOS DE BOMBEO TANQUE DE ALMACENAMIENTO PATAGONIA</t>
  </si>
  <si>
    <t>LINEA DE IMPULSION TANQUE PTAP TIEJERETAS - PATAGONIA</t>
  </si>
  <si>
    <t>ACCESORIOS TANQUE DE PATAGONIA</t>
  </si>
  <si>
    <t>INSTALACIONES ELECTRICAS</t>
  </si>
  <si>
    <t>CENTRO DE CONTROL DE MOTORES LODOS</t>
  </si>
  <si>
    <t xml:space="preserve">Instalacion de tablero de control de motores para tratamiento de lodos incluye  un modulo metalico  con dos divisiones,  dos (2) interruptores termomagneticos tripolares regulados de 20 a, dos (2) interruptores termomagneticos tripolares regulados de 15a,   barraje de cobre, , control de nivel, monitor de voltaje,  dos (2) variadores de velocidad para motores de 5 hp-460v, dos (2) variadores de velocidad para motores de 3 hp-460v.  incluyen: interruptores, luces de señalizacion, pulsadores y ventilacion controlada, </t>
  </si>
  <si>
    <t>ALIMENTADORES  DESDE CCM2 A MOTORES TRATAMIENTO LODOS</t>
  </si>
  <si>
    <t xml:space="preserve">Suministro de tablero de control de motores para tratamiento de lodos incluye  un modulo metalico  con dos divisiones,  dos (2) interruptores termomagneticos tripolares regulados de 20 a, dos (2) interruptores termomagneticos tripolares regulados de 15a,   barraje de cobre, , control de nivel, monitor de voltaje,  dos (2) variadores de velocidad para motores de 5 hp-460v, dos (2) variadores de velocidad para motores de 3 hp-460v.  incluyen: interruptores, luces de señalizacion, pulsadores y ventilacion controlada, </t>
  </si>
  <si>
    <t xml:space="preserve">Breaker industrial regulable de 3X20Amp, 25 KA  600v </t>
  </si>
  <si>
    <t xml:space="preserve">Breaker industrial regulable de 3X20Amp, 15 KA  600v </t>
  </si>
  <si>
    <t>SUMINISTROS ELECTRICOS</t>
  </si>
  <si>
    <t xml:space="preserve">Suministro deacometida desde ccm  a  motobomba centrifuga sumergible  vertical  trifasica 5 hp-460v (tanque homogenizador) en cable de cobre suave sumergible encauchetado tipo subcab 90°c calibre 3xno.10+1xno.10 y cable de control para sensores en motor en cable de cobre suave sumergible encauchetado tipo subcab 90°c calibre 5xno.16 en ducto pvc de 1" </t>
  </si>
  <si>
    <t xml:space="preserve">Instalacion  de acometida desde ccm  a  motobomba centrifuga sumergible  vertical  trifasica 3 hp-460v (bombeo a lecho de secados) en cable de cobre suave sumergible encauchetado tipo subcab 75°c calibre 3xno.12+1xno.12 y cable de control para sensores en motor en cable de cobre suave sumergible encauchetado tipo subcab 75°c calibre 5xno.16 en ducto pvc de 1" </t>
  </si>
  <si>
    <t>1.7</t>
  </si>
  <si>
    <t>3.3</t>
  </si>
  <si>
    <t>3.4</t>
  </si>
  <si>
    <t>3.5</t>
  </si>
  <si>
    <t>3.6</t>
  </si>
  <si>
    <t>3.7</t>
  </si>
  <si>
    <t>3.8</t>
  </si>
  <si>
    <t>3.9</t>
  </si>
  <si>
    <t>3.10</t>
  </si>
  <si>
    <t>2.6</t>
  </si>
  <si>
    <t>2.7</t>
  </si>
  <si>
    <t xml:space="preserve">Instalacion tuberia PVC Ø 16" (400mm)  </t>
  </si>
  <si>
    <t>OBRAS COMPLEMENTARIAS</t>
  </si>
  <si>
    <t>Obra civil para kit de micromedidor chorro unico</t>
  </si>
  <si>
    <t>CAPTACIÓN RIO SINÚ</t>
  </si>
  <si>
    <t>COMPONENTE ELECTRICO Y MECANICO - CAPTACIÓN RIO SINÚ</t>
  </si>
  <si>
    <t>INSTALACION DE ACCESORIOS - CAPTACIÓN RIO SINÚ</t>
  </si>
  <si>
    <t>SISTEMA DE TRATAMIENTO DE LODOS EN PTAP TIJERETA</t>
  </si>
  <si>
    <t>TANQUE DE ALMACENAMIENTO PATAGONIA</t>
  </si>
  <si>
    <t>Cruce de tuberia de acueducto a la altura del Caño Aguas Prietas, mediante excavacion sin zanja en 16" ( 400mm) por medio de Perforacion Horizontal Dirigida (Incluye personal experto, equipos y las herramientas</t>
  </si>
  <si>
    <t>Cruce de tuberia de acueducto a la altura del Caño Chimalito,  mediante excavacion sin zanja en 16" ( 400mm) por medio de Perforacion Horizontal Dirigida (Incluye personal experto, equipos y las herramientas</t>
  </si>
  <si>
    <t>Cruce de tuberia de acueducto  para cruzar via nacional a San Bernardo, mediante excavacion sin zanja en 16" ( 400mm) por medio de Perforacion Horizontal  (Incluye personal experto, equipos y las herramientas</t>
  </si>
  <si>
    <t>Cruce de tuberia de acueducto  para via nacional mediante excavacion sin zanja en 6" ( 160mm) por medio de Perforacion Horizontal  (Incluye personal experto, equipos y las herramientas</t>
  </si>
  <si>
    <t>Cruce de tuberia de acueducto  para via nacional mediante excavacion sin zanja en 8" ( 220mm) por medio de Perforacion Horizontal  (Incluye personal experto, equipos y las herramientas</t>
  </si>
  <si>
    <t>Encamisado para cruce de tuberia de 10"  en Acero</t>
  </si>
  <si>
    <t>INSTALACION DE ACCESORIOS Y EQUIPOS</t>
  </si>
  <si>
    <t>BOMBEO TIJERETA-PATAGONIA</t>
  </si>
  <si>
    <t xml:space="preserve"> PRESUPUESTO ACCESORIOS BOMBEO TIJERETAS - PATAGONIA</t>
  </si>
  <si>
    <t>SUMINISTRO ACCESORIOS Y EQUIPOS</t>
  </si>
  <si>
    <t>SUMINISTRO ACCESORIOS TANQUE PATAGONIA</t>
  </si>
  <si>
    <t xml:space="preserve"> TANQUE DE PATAGONIA - PORVENIR</t>
  </si>
  <si>
    <t>SUMINISTRO DE TUBERÍA, ACCESORIOS Y EQUIPOS</t>
  </si>
  <si>
    <t>Concretos</t>
  </si>
  <si>
    <t>Colocación de filtros  (incluye triturado Ø 25 mm y tubería PVC-Novafort de Ø 160 mm perforada).</t>
  </si>
  <si>
    <t>LINEA DE CONDUCCIÓN TANQUE PATAGONIA - PORVENIR</t>
  </si>
  <si>
    <t>LINEA DE IMPULSION CAPTACIÓN - PTAP TIJERETAS</t>
  </si>
  <si>
    <t>SUMINISTRO CAPTACIÓN RIO SINÚ</t>
  </si>
  <si>
    <t>Concreto de 4000 psi 280Kg/cm2 para lechos de secado</t>
  </si>
  <si>
    <r>
      <t>m</t>
    </r>
    <r>
      <rPr>
        <vertAlign val="superscript"/>
        <sz val="11"/>
        <rFont val="Gill Sans MT"/>
        <family val="2"/>
      </rPr>
      <t>3</t>
    </r>
  </si>
  <si>
    <t>TOTAL CONSTRUCCIÓN LINEA DE IMPULSIÓN CAPTACIÓN RÍO SINÚ - PTAP TIJERETAS</t>
  </si>
  <si>
    <t xml:space="preserve"> LÍNEA DE CONDUCCIÓN TANQUE DE PATAGONIA - PORVENIR Y ECOPETROL</t>
  </si>
  <si>
    <t>CAPTACIÓN RÍO SINÚ - PTAP TIJERETAS</t>
  </si>
  <si>
    <t xml:space="preserve">COSTO DIRECTO INSTALACIÓN Y PUESTA EN SERVICIO  COMPONENTE ELECTRICO Y MECANICO CAPTACIÓN RÍO SINÚ - PTAP TIJERETAS </t>
  </si>
  <si>
    <t xml:space="preserve">COSTO TOTAL INSTALACIÓN Y PUESTA EN SERVICIO  COMPONENTE ELECTRICO Y MECANICO CAPTACIÓN RÍO SINÚ - PTAP TIJERETAS </t>
  </si>
  <si>
    <t>2.5.1</t>
  </si>
  <si>
    <t>2.6.1</t>
  </si>
  <si>
    <t>2.6.2</t>
  </si>
  <si>
    <t>2.6.3</t>
  </si>
  <si>
    <t>2.6.4</t>
  </si>
  <si>
    <t>2.6.5</t>
  </si>
  <si>
    <t>1,1,1</t>
  </si>
  <si>
    <t>1.2.2</t>
  </si>
  <si>
    <t>1.2.3</t>
  </si>
  <si>
    <t>1.2.4</t>
  </si>
  <si>
    <t>1.2.5</t>
  </si>
  <si>
    <t>1.2.6</t>
  </si>
  <si>
    <t>1.3.7</t>
  </si>
  <si>
    <t>1.3.8</t>
  </si>
  <si>
    <t>1.3.9</t>
  </si>
  <si>
    <t>1.3.10</t>
  </si>
  <si>
    <t xml:space="preserve"> LÍNEA DE IMPULSIÓN CAPTACIÓN- PTAP TIJERETAS</t>
  </si>
  <si>
    <t xml:space="preserve">COSTO TOTAL OBRA CIVIL E INSTALACION LINEA DE IMPULSION CAPTACIÓN RIO SINU - PTAP TIJERETAS </t>
  </si>
  <si>
    <t>COSTO DIRECTO SUMINISTRO LÍNEA DE IMPULSIÓN CAPTACIÓN RIO SINÚ - PTAP TIJERETAS</t>
  </si>
  <si>
    <t>COSTO TOTAL SUMINISTRO LINEA DE IMPULSION CAPTACIÓN RIO SINU - PTAP TIJERETAS</t>
  </si>
  <si>
    <t>2.1.1</t>
  </si>
  <si>
    <t>2.6.6</t>
  </si>
  <si>
    <t>2.6.7</t>
  </si>
  <si>
    <t>2.6.8</t>
  </si>
  <si>
    <t>2.6.9</t>
  </si>
  <si>
    <t>2.6.10</t>
  </si>
  <si>
    <t>2.7.1</t>
  </si>
  <si>
    <t>2.7.2</t>
  </si>
  <si>
    <t>2.7.3</t>
  </si>
  <si>
    <t>2.7.4</t>
  </si>
  <si>
    <t>2.7.5</t>
  </si>
  <si>
    <t>2.7.6</t>
  </si>
  <si>
    <t>2.7.7</t>
  </si>
  <si>
    <t>2.7.8</t>
  </si>
  <si>
    <t>2.7.9</t>
  </si>
  <si>
    <t>2.7.10</t>
  </si>
  <si>
    <t>3.1.1</t>
  </si>
  <si>
    <t>3.2.1</t>
  </si>
  <si>
    <t>3.2.2</t>
  </si>
  <si>
    <t>3.2.3</t>
  </si>
  <si>
    <t>3.2.4</t>
  </si>
  <si>
    <t>3.2.5</t>
  </si>
  <si>
    <t>3.3.1</t>
  </si>
  <si>
    <t>3.3.2</t>
  </si>
  <si>
    <t>3.3.3</t>
  </si>
  <si>
    <t>3.3.4</t>
  </si>
  <si>
    <t>3.3.5</t>
  </si>
  <si>
    <t>3.3.6</t>
  </si>
  <si>
    <t>3.3.7</t>
  </si>
  <si>
    <t>3.4.1</t>
  </si>
  <si>
    <t>3.4.2</t>
  </si>
  <si>
    <t>3.4.3</t>
  </si>
  <si>
    <t>3.4.4</t>
  </si>
  <si>
    <t>3.4.5</t>
  </si>
  <si>
    <t>3.4.6</t>
  </si>
  <si>
    <t>3.5.1</t>
  </si>
  <si>
    <t>3.6.1</t>
  </si>
  <si>
    <t>3.6.2</t>
  </si>
  <si>
    <t>3.6.3</t>
  </si>
  <si>
    <t>3.6.4</t>
  </si>
  <si>
    <t>3.6.5</t>
  </si>
  <si>
    <t>3.6.6</t>
  </si>
  <si>
    <t>3.6.7</t>
  </si>
  <si>
    <t>3.6.8</t>
  </si>
  <si>
    <t>3.6.9</t>
  </si>
  <si>
    <t>3.6.10</t>
  </si>
  <si>
    <t>3.6.11</t>
  </si>
  <si>
    <t>3.6.12</t>
  </si>
  <si>
    <t>3.6.13</t>
  </si>
  <si>
    <t>3.6.14</t>
  </si>
  <si>
    <t>3.6.15</t>
  </si>
  <si>
    <t>LÍNEA DE IMPULSIÓN PTAP TIJERETAS - TANQUE DE PATAGONIA</t>
  </si>
  <si>
    <t>1.7.1</t>
  </si>
  <si>
    <t>1.8.1</t>
  </si>
  <si>
    <t>1.8.2</t>
  </si>
  <si>
    <t>1.9</t>
  </si>
  <si>
    <t>1.9.1</t>
  </si>
  <si>
    <t>1.10</t>
  </si>
  <si>
    <t>1.10.1</t>
  </si>
  <si>
    <t>1.11</t>
  </si>
  <si>
    <t>1.11.1</t>
  </si>
  <si>
    <t>1.11.2</t>
  </si>
  <si>
    <t>1.11.3</t>
  </si>
  <si>
    <t>1.11.4</t>
  </si>
  <si>
    <t>1.12</t>
  </si>
  <si>
    <t>1.12.1</t>
  </si>
  <si>
    <t>1.12.2</t>
  </si>
  <si>
    <t>1.12.3</t>
  </si>
  <si>
    <t>1.12.4</t>
  </si>
  <si>
    <t>1.12.5</t>
  </si>
  <si>
    <t>1.12.6</t>
  </si>
  <si>
    <t>1.12.7</t>
  </si>
  <si>
    <t>1.13</t>
  </si>
  <si>
    <t>1.13.1</t>
  </si>
  <si>
    <t>1.13.2</t>
  </si>
  <si>
    <t>1.13.3</t>
  </si>
  <si>
    <t>1.14</t>
  </si>
  <si>
    <t>1.14.1</t>
  </si>
  <si>
    <t>1.15</t>
  </si>
  <si>
    <t>1.15.1</t>
  </si>
  <si>
    <t xml:space="preserve">SUMINISTRO - COMPONENTE ELECTRICO Y MECANICO DEL SISTEMA DE CAPTACIÓN RÍO SINÚ - PTAP TIJERETAS </t>
  </si>
  <si>
    <t xml:space="preserve">OBRA CIVIL E INSTALACIÓN - COMPONENTE ELECTRICO Y MECANICO DEL SISTEMA DE CAPTACIÓN RÍO SINÚ - PTAP TIJERETAS </t>
  </si>
  <si>
    <t>1.16</t>
  </si>
  <si>
    <t>1.16.1</t>
  </si>
  <si>
    <t>1.16.2</t>
  </si>
  <si>
    <t>1.17</t>
  </si>
  <si>
    <t>1.17.1</t>
  </si>
  <si>
    <t>1.17.2</t>
  </si>
  <si>
    <t>1.17.3</t>
  </si>
  <si>
    <t>1.17.4</t>
  </si>
  <si>
    <t>1.17.5</t>
  </si>
  <si>
    <t>1.18</t>
  </si>
  <si>
    <t>1.18.1</t>
  </si>
  <si>
    <t>1.18.2</t>
  </si>
  <si>
    <t>1.19</t>
  </si>
  <si>
    <t>1.19.1</t>
  </si>
  <si>
    <t>1.19.2</t>
  </si>
  <si>
    <t>1.20</t>
  </si>
  <si>
    <t>1.20.1</t>
  </si>
  <si>
    <t>1.21</t>
  </si>
  <si>
    <t>1.21.1</t>
  </si>
  <si>
    <t>1.22</t>
  </si>
  <si>
    <t>1.22.1</t>
  </si>
  <si>
    <t>1.23</t>
  </si>
  <si>
    <t>1.23.1</t>
  </si>
  <si>
    <t>1.23.2</t>
  </si>
  <si>
    <t>1.24</t>
  </si>
  <si>
    <t>1.24.1</t>
  </si>
  <si>
    <t>1.25</t>
  </si>
  <si>
    <t>1.25.1</t>
  </si>
  <si>
    <t>1.26</t>
  </si>
  <si>
    <t>1.26.1</t>
  </si>
  <si>
    <t>1.26.2</t>
  </si>
  <si>
    <t>1.26.3</t>
  </si>
  <si>
    <t>1.26.4</t>
  </si>
  <si>
    <t>1.27</t>
  </si>
  <si>
    <t>1.27.1</t>
  </si>
  <si>
    <t>1.27.2</t>
  </si>
  <si>
    <t>1.27.3</t>
  </si>
  <si>
    <t>1.27.4</t>
  </si>
  <si>
    <t>1.27.5</t>
  </si>
  <si>
    <t>1.27.6</t>
  </si>
  <si>
    <t>1.27.7</t>
  </si>
  <si>
    <t>1.28</t>
  </si>
  <si>
    <t>1.28.1</t>
  </si>
  <si>
    <t>1.28.2</t>
  </si>
  <si>
    <t>1.28.3</t>
  </si>
  <si>
    <t>1.29</t>
  </si>
  <si>
    <t>1.29.1</t>
  </si>
  <si>
    <t>1.30</t>
  </si>
  <si>
    <t>1.30.1</t>
  </si>
  <si>
    <t>1.31</t>
  </si>
  <si>
    <t>1.31.1</t>
  </si>
  <si>
    <t>2.1.2</t>
  </si>
  <si>
    <t>2.1.3</t>
  </si>
  <si>
    <t>2.1.4</t>
  </si>
  <si>
    <t>2.1.5</t>
  </si>
  <si>
    <t>2.1.6</t>
  </si>
  <si>
    <t>2.1.7</t>
  </si>
  <si>
    <t>2.1.8</t>
  </si>
  <si>
    <t>2.1.9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</si>
  <si>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</si>
  <si>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</si>
  <si>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</si>
  <si>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</si>
  <si>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</si>
  <si>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</si>
  <si>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</si>
  <si>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</si>
  <si>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</si>
  <si>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</si>
  <si>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</si>
  <si>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</si>
  <si>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</si>
  <si>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</si>
  <si>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</si>
  <si>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</si>
  <si>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</si>
  <si>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</si>
  <si>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</si>
  <si>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</si>
  <si>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</si>
  <si>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</si>
  <si>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</si>
  <si>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</si>
  <si>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</si>
  <si>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</si>
  <si>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</si>
  <si>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</si>
  <si>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</si>
  <si>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</si>
  <si>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</si>
  <si>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2.2.7</t>
  </si>
  <si>
    <t>2.2.8</t>
  </si>
  <si>
    <t>2.2.9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</si>
  <si>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</si>
  <si>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</si>
  <si>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</si>
  <si>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</si>
  <si>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</si>
  <si>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</si>
  <si>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</si>
  <si>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</si>
  <si>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</si>
  <si>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</si>
  <si>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</si>
  <si>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</si>
  <si>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</si>
  <si>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</si>
  <si>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</si>
  <si>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</si>
  <si>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</si>
  <si>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</si>
  <si>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</si>
  <si>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</si>
  <si>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</si>
  <si>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</si>
  <si>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</si>
  <si>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</si>
  <si>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</si>
  <si>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</si>
  <si>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</si>
  <si>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</si>
  <si>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</si>
  <si>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</si>
  <si>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</si>
  <si>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1.2.7</t>
  </si>
  <si>
    <t>1.2.8</t>
  </si>
  <si>
    <t>1.2.9</t>
  </si>
  <si>
    <t>1.2.10</t>
  </si>
  <si>
    <t>1.2.11</t>
  </si>
  <si>
    <t>1.2.12</t>
  </si>
  <si>
    <t>1.2.13</t>
  </si>
  <si>
    <t>1.2.14</t>
  </si>
  <si>
    <t>1.2.15</t>
  </si>
  <si>
    <t>1.2.16</t>
  </si>
  <si>
    <t>1.7.2</t>
  </si>
  <si>
    <t>1.7.3</t>
  </si>
  <si>
    <t>1.7.4</t>
  </si>
  <si>
    <t>1.7.5</t>
  </si>
  <si>
    <t>1.7.6</t>
  </si>
  <si>
    <t>1.7.7</t>
  </si>
  <si>
    <t>1.7.8</t>
  </si>
  <si>
    <t>1.8.3</t>
  </si>
  <si>
    <t>1.8.4</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</si>
  <si>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</si>
  <si>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</si>
  <si>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</si>
  <si>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</si>
  <si>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</si>
  <si>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</si>
  <si>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</si>
  <si>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</si>
  <si>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</si>
  <si>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</si>
  <si>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</si>
  <si>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</si>
  <si>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</si>
  <si>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</si>
  <si>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</si>
  <si>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</si>
  <si>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</si>
  <si>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</si>
  <si>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</si>
  <si>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</si>
  <si>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</si>
  <si>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</si>
  <si>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</si>
  <si>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</si>
  <si>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</si>
  <si>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1.9.2</t>
  </si>
  <si>
    <t>1.9.3</t>
  </si>
  <si>
    <t>1.9.4</t>
  </si>
  <si>
    <t>1.9.5</t>
  </si>
  <si>
    <t>1.9.6</t>
  </si>
  <si>
    <t>1.9.7</t>
  </si>
  <si>
    <t>1.9.8</t>
  </si>
  <si>
    <t>1.9.9</t>
  </si>
  <si>
    <t>1.9.10</t>
  </si>
  <si>
    <t>1.9.11</t>
  </si>
  <si>
    <t>1.9.12</t>
  </si>
  <si>
    <t>1.10.2</t>
  </si>
  <si>
    <t>1.10.3</t>
  </si>
  <si>
    <t>1.12.8</t>
  </si>
  <si>
    <t>1.12.9</t>
  </si>
  <si>
    <t>1.12.10</t>
  </si>
  <si>
    <t>1.12.11</t>
  </si>
  <si>
    <t>1.12.12</t>
  </si>
  <si>
    <t>3.1.3</t>
  </si>
  <si>
    <t>3.1.4</t>
  </si>
  <si>
    <t>3.1.5</t>
  </si>
  <si>
    <t>3.1.6</t>
  </si>
  <si>
    <t>3.7.1</t>
  </si>
  <si>
    <t>3.8.1</t>
  </si>
  <si>
    <t>3.9.1</t>
  </si>
  <si>
    <t>3.10.1</t>
  </si>
  <si>
    <t>3.10.2</t>
  </si>
  <si>
    <t>3.10.3</t>
  </si>
  <si>
    <t>3.11</t>
  </si>
  <si>
    <t>3.11.1</t>
  </si>
  <si>
    <t>3.11.2</t>
  </si>
  <si>
    <t>3.11.3</t>
  </si>
  <si>
    <t>3.11.4</t>
  </si>
  <si>
    <t>3.11.5</t>
  </si>
  <si>
    <t>3.11.6</t>
  </si>
  <si>
    <t>3.11.7</t>
  </si>
  <si>
    <t>3.12</t>
  </si>
  <si>
    <t>3.12.1</t>
  </si>
  <si>
    <t>3.12.2</t>
  </si>
  <si>
    <t>3.12.3</t>
  </si>
  <si>
    <t>3.13</t>
  </si>
  <si>
    <t>3.13.1</t>
  </si>
  <si>
    <t>3.14</t>
  </si>
  <si>
    <t>3.14.1</t>
  </si>
  <si>
    <t>3.15</t>
  </si>
  <si>
    <t>3.15.1</t>
  </si>
  <si>
    <t>3.16</t>
  </si>
  <si>
    <t>3.16.1</t>
  </si>
  <si>
    <t>3.16.2</t>
  </si>
  <si>
    <t>3.16.3</t>
  </si>
  <si>
    <t>3.16.4</t>
  </si>
  <si>
    <t>3.16.5</t>
  </si>
  <si>
    <t>3.17</t>
  </si>
  <si>
    <t>3.17.1</t>
  </si>
  <si>
    <t>3.18</t>
  </si>
  <si>
    <t>3.18.1</t>
  </si>
  <si>
    <t>3.18.2</t>
  </si>
  <si>
    <t>3.19</t>
  </si>
  <si>
    <t>3.19.1</t>
  </si>
  <si>
    <t>3.20</t>
  </si>
  <si>
    <t>3.20.1</t>
  </si>
  <si>
    <t>3.21</t>
  </si>
  <si>
    <t>3.21.1</t>
  </si>
  <si>
    <t>3.22</t>
  </si>
  <si>
    <t>3.22.1</t>
  </si>
  <si>
    <t>3.23</t>
  </si>
  <si>
    <t>3.23.1</t>
  </si>
  <si>
    <t>3.24</t>
  </si>
  <si>
    <t>3.24.1</t>
  </si>
  <si>
    <t>3.25</t>
  </si>
  <si>
    <t>3.25.1</t>
  </si>
  <si>
    <t>3.25.2</t>
  </si>
  <si>
    <t>3.25.3</t>
  </si>
  <si>
    <t>3.26</t>
  </si>
  <si>
    <t>3.26.1</t>
  </si>
  <si>
    <t>3.26.2</t>
  </si>
  <si>
    <t>3.26.3</t>
  </si>
  <si>
    <t>3.26.4</t>
  </si>
  <si>
    <t>3.26.5</t>
  </si>
  <si>
    <t>3.26.6</t>
  </si>
  <si>
    <t>3.26.7</t>
  </si>
  <si>
    <t>3.27</t>
  </si>
  <si>
    <t>3.27.1</t>
  </si>
  <si>
    <t>3.27.2</t>
  </si>
  <si>
    <t>3.27.3</t>
  </si>
  <si>
    <t>3.28</t>
  </si>
  <si>
    <t>3.28.1</t>
  </si>
  <si>
    <t>3.29</t>
  </si>
  <si>
    <t>3.29.1</t>
  </si>
  <si>
    <t>3.30</t>
  </si>
  <si>
    <t>3.30.1</t>
  </si>
  <si>
    <t>3.30.2</t>
  </si>
  <si>
    <t>3.30.3</t>
  </si>
  <si>
    <t>3.30.4</t>
  </si>
  <si>
    <t>3.30.5</t>
  </si>
  <si>
    <t>3.30.6</t>
  </si>
  <si>
    <t>3.30.7</t>
  </si>
  <si>
    <t>3.30.8</t>
  </si>
  <si>
    <t>3.30.9</t>
  </si>
  <si>
    <t>3.30.10</t>
  </si>
  <si>
    <t>3.30.11</t>
  </si>
  <si>
    <t>3.30.12</t>
  </si>
  <si>
    <t>3.30.13</t>
  </si>
  <si>
    <t>3.30.14</t>
  </si>
  <si>
    <t>3.30.15</t>
  </si>
  <si>
    <t>3.30.16</t>
  </si>
  <si>
    <t>3.30.17</t>
  </si>
  <si>
    <t>3.30.18</t>
  </si>
  <si>
    <t>3.31</t>
  </si>
  <si>
    <t>3.31.1</t>
  </si>
  <si>
    <t>3.31.2</t>
  </si>
  <si>
    <t>3.31.3</t>
  </si>
  <si>
    <t>3.31.4</t>
  </si>
  <si>
    <t>3.31.5</t>
  </si>
  <si>
    <t>3.31.6</t>
  </si>
  <si>
    <t>3.31.7</t>
  </si>
  <si>
    <t>3.31.8</t>
  </si>
  <si>
    <t>3.31.9</t>
  </si>
  <si>
    <t>3.31.10</t>
  </si>
  <si>
    <t>3.31.11</t>
  </si>
  <si>
    <t>3.31.12</t>
  </si>
  <si>
    <t>3.31.13</t>
  </si>
  <si>
    <t>3.31.14</t>
  </si>
  <si>
    <t>3.31.15</t>
  </si>
  <si>
    <t>3.31.16</t>
  </si>
  <si>
    <t>3.31.17</t>
  </si>
  <si>
    <t>3.31.18</t>
  </si>
  <si>
    <t>MESES</t>
  </si>
  <si>
    <t xml:space="preserve">COMPONENTE </t>
  </si>
  <si>
    <t>VALOR OBRA CIVIL</t>
  </si>
  <si>
    <t>OBRA CIVIL E INSTALACION</t>
  </si>
  <si>
    <t>Linea primaria de MT</t>
  </si>
  <si>
    <t>Linea primaria  de mt  13.2 kv subterranea</t>
  </si>
  <si>
    <t>caja de inspeccion</t>
  </si>
  <si>
    <t>Malla a tierra</t>
  </si>
  <si>
    <t>Acometida secundaria desde transformador a transferencia automatica</t>
  </si>
  <si>
    <t>tablero general con transferencia automatica y transformador seco</t>
  </si>
  <si>
    <t>Acometida secundaria desde  transferencia automatica a centro de control de motores</t>
  </si>
  <si>
    <t>acometida secundaria desde  transferencia automatica a planta de emergencia</t>
  </si>
  <si>
    <t>Planta  electrica</t>
  </si>
  <si>
    <t>Centro de control de motores</t>
  </si>
  <si>
    <t>Alimentadores  desde ccm a tableros parciales y motores</t>
  </si>
  <si>
    <t>Salidas para alumbrado y tomas</t>
  </si>
  <si>
    <t>Alumbrado perimetral</t>
  </si>
  <si>
    <t>Equipos de Bombeo</t>
  </si>
  <si>
    <t>LÍNEA DE IMPULSIÓN RÍO SINÚ - PTAP TIJERETAS</t>
  </si>
  <si>
    <t>Actividades Preliminares</t>
  </si>
  <si>
    <t>Demoliciones</t>
  </si>
  <si>
    <t>Excavaciones y llenos</t>
  </si>
  <si>
    <t>Obras en Concreto y Acero</t>
  </si>
  <si>
    <t>Instalacion de tuberias, Accesorios y Equipos</t>
  </si>
  <si>
    <t>Desmoente y demoliciones</t>
  </si>
  <si>
    <t>Retiro de sobrantes</t>
  </si>
  <si>
    <t>prefabricado</t>
  </si>
  <si>
    <t>Perforaciones y Anclajes</t>
  </si>
  <si>
    <t>Caseta de bombeo</t>
  </si>
  <si>
    <t>Instalacion de accesorios</t>
  </si>
  <si>
    <t>Instalacion de obras de ornamentacion</t>
  </si>
  <si>
    <t>Instalacion de compuertas</t>
  </si>
  <si>
    <t xml:space="preserve">Instalacion de obras complementarias </t>
  </si>
  <si>
    <t>SISTEMA DE TRATAMIENTO DE LODOS EN PTAP TIEJRETAS</t>
  </si>
  <si>
    <t>Excavaciones</t>
  </si>
  <si>
    <t>Instalacion de accesorios y equipos</t>
  </si>
  <si>
    <t>Instalaciones electricas</t>
  </si>
  <si>
    <t xml:space="preserve">Linea primaria  de mt  </t>
  </si>
  <si>
    <t>Legalizacion de planos y certificacion RETIE</t>
  </si>
  <si>
    <t>Equipos de bombeo</t>
  </si>
  <si>
    <t>Excavaciones y Llenos</t>
  </si>
  <si>
    <t>Instlacion de tuberias, Accesorios y Equipos</t>
  </si>
  <si>
    <t>INSTALACION</t>
  </si>
  <si>
    <t xml:space="preserve">Instalación de accesorios </t>
  </si>
  <si>
    <t>Demilociones</t>
  </si>
  <si>
    <t>Instalacion de Tuberias, accesorios y equipos</t>
  </si>
  <si>
    <t>COSTO TOTAL OBRA CIVIL E INSTALACION</t>
  </si>
  <si>
    <t>SUPERVICION ADMINISTRATIVA FINANCIERA Y LEGAL 2%</t>
  </si>
  <si>
    <t xml:space="preserve">SUMINISTRO DE TUBERÍAS, ACCESORIOS Y EQUIPOS </t>
  </si>
  <si>
    <t xml:space="preserve">OPTIMIZACION PLANTA DE TRATAMIENTO DE AGUA POTABLE TIJERETAS </t>
  </si>
  <si>
    <t>Suministro de accesorios</t>
  </si>
  <si>
    <t>Suministro de ornamentacion</t>
  </si>
  <si>
    <t xml:space="preserve">Suministro de compuertas </t>
  </si>
  <si>
    <t>Suministro de obras complementarias</t>
  </si>
  <si>
    <t>Suministros electricos</t>
  </si>
  <si>
    <t>BOMBEO TIJERETA - PATAGONIA</t>
  </si>
  <si>
    <t>TANQUE DE ALMACENAMIENTO LA PATAGONIA</t>
  </si>
  <si>
    <t>Suministro accesorios tanque patagonia</t>
  </si>
  <si>
    <t>LÍNEA DE CONDUCCIÓN TANQUE DE PATAGONIA AL PORVENIR Y ECOPETROL</t>
  </si>
  <si>
    <t>COSTO TOTAL OBRA SUMINISTRO</t>
  </si>
  <si>
    <t>VALOR PROGRAMADO MENSUAL</t>
  </si>
  <si>
    <t>% PROGRAMADO MENSUAL</t>
  </si>
  <si>
    <t>VALOR PROGRAMADO ACUMULADO MENSUAL</t>
  </si>
  <si>
    <t>% PROGRAMADO ACUMULADO MENSUAL</t>
  </si>
  <si>
    <t>Suministro accesorios  y equipos</t>
  </si>
  <si>
    <t>Instalacion y puesta en servicio de Bomba centrifuga, para agua tratada, desde  PTAP en Tijeretas hasta el tanque de Patagonia, con motor eléctrico  de 100 - 125 HP, a 1800 rpm, 3x440  vol.,  para  20 l/seg,  un HDT de 150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</si>
  <si>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PTAP en Tijeretas hasta el tanque de Patagonia, con motor eléctrico  de 100 - 125 HP, a 1800 rpm, 3x440  vol.,  para  20 l/seg,  un HDT de 150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</si>
  <si>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PTAP en Tijeretas hasta el tanque El Silencio, con motor eléctrico  de 100 - 125 HP, a 1800 rpm, 3x440  vol.,  para  83 l/seg,  un HDT de 85 m, con una eficiencia no menor al 72 % Debe incluir base metálica para el equipo, motor bomba, sistema de cebado y medición de presión, con manómetro en glicerina, acople motor bomba si es necesario y demás elementos para su correcto funcionamiento.</t>
  </si>
  <si>
    <t>3.29.2</t>
  </si>
  <si>
    <t>Instalacion y puesta en servicio de Bomba centrifuga, para agua tratada, desde  PTAP en Tijeretas hasta el tanque El Silencio, con motor eléctrico  de 100 - 125 HP, a 1800 rpm, 3x440  vol.,  para  83 l/seg,  un HDT de 85 m, con una eficiencia no menor al 72 % Debe incluir base metálica para el equipo, motor bomba, sistema de cebado y medición de presión, con manómetro en glicerina, acople motor bomba si es necesario y demás elementos para su correcto funcionamiento.</t>
  </si>
  <si>
    <t>3.15.2</t>
  </si>
  <si>
    <t>Bomba centrifuga, para agua tratada, desde  PTAP en Tijeretas hasta el tanque El Silencio, con motor eléctrico  de 100 - 125 HP, a 1800 rpm, 3x440  vol.,  para  83 l/seg,  un HDT de 85 m, con una eficiencia no menor al 72 % Debe incluir base metálica para el equipo, motor bomba, sistema de cebado y medición de presión, con manómetro en glicerina, acople motor bomba si es necesario y demás elementos para su correcto funcionamiento.</t>
  </si>
  <si>
    <t xml:space="preserve"> LÍNEA DE IMPULSIÓN RÍO SINÚ - PTAP TIJERETAS (tuberia 400 mm PN12.5 RDE 13.6 en PEAD  Q=120 l/s )</t>
  </si>
  <si>
    <t>LÍNEA DE IMPULSIÓN PTAP TIJERETAS -  (tuberia 160 mm  PEAD  Q=20 l/s )</t>
  </si>
  <si>
    <t>CONDUCCIÓN TANQUE DE PATAGONIA - EL PORVENIR Y ECOPETROL  Ø= 8", 6"</t>
  </si>
  <si>
    <t>Instalacion y puesta en servicio de Bomba centrifuga, para agua sin tratar, desde el rio Sinu,  y llevar esta agua a la PTAP en Tijeretas con motor eléctrico  de 100 - 125 HP, a 1800 rpm, 3x440  vol.,  para  60 l/seg,  un HDT de 95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</si>
  <si>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sin tratar, desde el rio Sinu,  y llevar esta agua a la PTAP en Tijeretas con motor eléctrico  de 100 - 125 HP, a 1800 rpm, 3x440  vol.,  para  60 l/seg,  un HDT de 95 m, con una eficiencia no menor al 72 % Debe incluir base metálica para el equipo, motor bomba, sistema de cebado y medición de presión, con manómetro en glicerina, acople motor bomba si es necesario y demás elementos para su correcto funcionamiento.</t>
  </si>
  <si>
    <t>Bomba centrifuga, para agua sin tratar, desde el rio Sinu,  y llevar esta agua a la PTAP en Tijeretas con motor eléctrico  de 100 - 125 HP, a 1800 rpm, 3x440  vol.,  para  60 l/seg,  un HDT de 95 m, con una eficiencia no menor al 72 % Debe incluir base metálica para el equipo, motor bomba, sistema de cebado y medición de presión, con manómetro en glicerina, acople motor bomba si es necesario y demás elementos para su correcto funcionamiento.</t>
  </si>
  <si>
    <t>Instalación y puesta en servicio de Bomba centrifuga, para agua sin tratar, desde el rio Sinu,  y llevar esta agua a la PTAP en Tijeretas con motor eléctrico  de 100 - 125 HP, a 1800 rpm, 3x440  vol.,  para  60 l/seg,  un HDT de 95 m, con una eficiencia no menor al 72 % Debe incluir base metálica para el equipo, motor bomba, sistema de cebado y medición de presión, con manómetro en glicerina, acople motor bomba si es necesario y demás elementos para su correcto funcionamiento.</t>
  </si>
  <si>
    <t>Instalación y puesta en servicio de Bomba centrifuga, para agua tratada , desde la PTAP en Tijeretas hasta tanque Patagonia so con motor eléctrico  de 100 - 125 HP, a 1800 rpm, 3x440  vol.,  para  20 l/seg,  un HDT de 150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</si>
  <si>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la PTAP en Tijeretas Hasta el tanque Patagonia con motor eléctrico  de 100 - 125 HP, a 1800 rpm, 3x440  vol.,  para  20 l/seg,  un HDT de 150 m, con una eficiencia no menor al 72 % Debe incluir base metálica para el equipo, motor bomba, sistema de cebado y medición de presión, con manómetro en glicerina, acople motor bomba si es necesario y demás elementos para su correcto funcionamiento.</t>
  </si>
  <si>
    <t>Bomba centrifuga, para agua tratada, con motor eléctrico  de 100 - 125 HP, a 1800 rpm, 3x440  vol.,  para  20 l/seg,  un HDT de 150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</si>
  <si>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el tanque El Silencio hasta Patagonia,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</si>
  <si>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Instalacion y puesta en servicio de Bomba centrifuga, para agua tratada, desde  El Silencio hasta Patagonia,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</si>
  <si>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Bomba centrifuga, para agua tratada, desde  PTAP en Tijeretas hasta el tanque El Silencio,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</si>
  <si>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El Silencio hasta Patagonia ,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</si>
  <si>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Suministro, transporte y colocación de entresuelo, en arenilla para cimentaciones y apoyo de tubería</t>
  </si>
  <si>
    <t>AYUDANTE RASO  (INCLUYE 60% PRESTACIONSES)</t>
  </si>
  <si>
    <t>m³/km</t>
  </si>
  <si>
    <t xml:space="preserve">COMBUSTIBLE DIESEL </t>
  </si>
  <si>
    <t>Gal</t>
  </si>
  <si>
    <t>Demolición de cordones</t>
  </si>
  <si>
    <t>Demolición de cunetas</t>
  </si>
  <si>
    <t>Demolición de andenes</t>
  </si>
  <si>
    <t>Rotura de pavimento asfáltico</t>
  </si>
  <si>
    <t>RETIRO Y BOTADA</t>
  </si>
  <si>
    <t>m3/km</t>
  </si>
  <si>
    <t>Rotura  de pavimento asfáltico</t>
  </si>
  <si>
    <t>Excavación Manual en material común seco 0-2 m de profundidad.</t>
  </si>
  <si>
    <t xml:space="preserve">Excavación Mecanica en material común humedo o seco  0-2 m de profundidad. </t>
  </si>
  <si>
    <t>CORTADORA DE CONCRETO + OPERADOR</t>
  </si>
  <si>
    <t>Cortadora para pavimento motor a diesel + Operador , incluye disco</t>
  </si>
  <si>
    <t>Rotura de pavimento Rigido</t>
  </si>
  <si>
    <t>Rotura de Pavimento Rigido</t>
  </si>
  <si>
    <t>Rotura  de pavimento Rigido</t>
  </si>
  <si>
    <t>Rotura de pavimento rigido</t>
  </si>
  <si>
    <t>COMPRESOR PORTATIL CON OPERADOR</t>
  </si>
  <si>
    <t>3.7.2</t>
  </si>
  <si>
    <t>3.7.3</t>
  </si>
  <si>
    <t>3.7.4</t>
  </si>
  <si>
    <t>3.7.5</t>
  </si>
  <si>
    <t>3.7.6</t>
  </si>
  <si>
    <t>3.7.7</t>
  </si>
  <si>
    <t>3.7.8</t>
  </si>
  <si>
    <t>3.7.9</t>
  </si>
  <si>
    <t>3.7.10</t>
  </si>
  <si>
    <t>3.7.11</t>
  </si>
  <si>
    <t>3.7.12</t>
  </si>
  <si>
    <t>3.7.13</t>
  </si>
  <si>
    <t>3.7.14</t>
  </si>
  <si>
    <t>3.7.15</t>
  </si>
  <si>
    <t>Suministro Válvula de compuerta Ø4" (100 mm)  sello bronce, BxB, JH. (Incluye Tee 16x4" partida EB, HD, juego de  tornillos de 3"x3/8" , arandelas, tuercas, guasas (todo en acero inoxidable)  y empaque de neopreno e=3 mm). ) (para purga).</t>
  </si>
  <si>
    <t>Válvula de compuerta Ø3" (100 mm)  sello bronce, BxB, JH. (Incluye Tee 8x3" JH HD, juego de  tornillos de 4"x3/8" , arandelas, tuercas, guasas (todo en acero inoxidable)  y empaque de neopreno e=3 mm). ) (para purga).</t>
  </si>
  <si>
    <t>TEE 8" x 3" COMPLETA</t>
  </si>
  <si>
    <t xml:space="preserve">Excavación Mecanica para todo tipo de material de  0-2 m de profundidad. </t>
  </si>
  <si>
    <t>Excavación Mecanica para todo tipo de material de  0-2 m de profundidad.</t>
  </si>
  <si>
    <t>Excavación Manual en material común seco 0-2 m de profundidad</t>
  </si>
  <si>
    <t>Excavación Mecanica para todo tipo de material de  0-2 m de profundidad</t>
  </si>
  <si>
    <t>COMPRESOR NEUMATICO</t>
  </si>
  <si>
    <t>Excavación en roca con compresor neumatico</t>
  </si>
  <si>
    <t>Cargue, retiro y botada de escombros y  material proveniente de la excavación a 14km.</t>
  </si>
  <si>
    <t>Suministro Transporte y Colocación de Concreto f'c= 21 Mpa para anclaje de tuberias y accesorios.</t>
  </si>
  <si>
    <t>Suministro Transporte y Colocación de Concreto f´c= 28 Mpa para base de bombas</t>
  </si>
  <si>
    <t>CONCRETO 280kg/cm²  1:2:2</t>
  </si>
  <si>
    <t xml:space="preserve">Suministro Transporte y Colocación de Concreto  pavimento rígido en concreto de f'c= 28 Mpa, incluye tratamiento de juntas, dovelas, adhesivo epóxico para concreto fresco y endurecido. </t>
  </si>
  <si>
    <t xml:space="preserve">Suministro Transporte y Colocación pavimento rígido en concreto de f'c= 28 Mpa, incluye tratamiento de juntas, dovelas, adhesivo epóxico para concreto fresco y endurecido. </t>
  </si>
  <si>
    <t>Suministro Transporte y Colocación y/o reconstrucción de andén en concreto de 21 Mpa, espesor de 10cm.  incluye piedra entresuelo e=0.15m, arenilla compactada e=0.10 m.</t>
  </si>
  <si>
    <t>Suministro Transporte y Colocación y/o reconstrucción de andén en concreto de 21 Mpa, espesor de 10cm.  incluye piedra entresuelo e=0.15m, arenilla compactada e=0.05m.</t>
  </si>
  <si>
    <t xml:space="preserve">Ventosa de Ø4" (100 mm) de doble acción, BXB,  cámara doble (incluye válvula de corte Ø4" HD, BXB y Tee partida de Ø16x4" Extremo brida, HD, Juego de  tornillos de 3"x3/8" , arandelas, tuercas, guasas (todo en acero inoxidable)  y empaque de neopreno e=3 mm). </t>
  </si>
  <si>
    <t>Válvula de compuerta Ø4" (100 mm)  sello bronce, BxB, JH. (Incluye Tee 16x4" partida EB, HD, juego de  tornillos de 3"x3/8" , arandelas, tuercas, guasas (todo en acero inoxidable)  y empaque de neopreno e=3 mm). ) (para purga).</t>
  </si>
  <si>
    <t xml:space="preserve">Excavación Manual en material común seco 0-2 m de profundidad. </t>
  </si>
  <si>
    <t>Cargue, retiro y botada de material proveniente de la excavación a 14km.</t>
  </si>
  <si>
    <t>Suministro Transporte y Colocación de Concreto f'c= 21 Mpa para atraque de micromedidores y  anclaje de tuberias y accesorios.</t>
  </si>
  <si>
    <t>Válvula de compuerta Ø3" (75 mm)  sello bronce, BxB, JH. (Incluye Tee 6"x3" JH HD, juego de  tornillos de 3"x3/8" , arandelas, tuercas, guasas (todo en acero inoxidable)  y empaque de neopreno e=3 mm). ) (para purga).</t>
  </si>
  <si>
    <t>Suministro Transporte y Colocación  y/o reconstrucción de andén en concreto de 21 Mpa, espesor de 10cm.  incluye piedra entresuelo e=0.15m, arenilla compactada e=0.10 m.</t>
  </si>
  <si>
    <t>Instalacion y puesta en servicio de Bomba centrifuga, para agua tratada, desde el tanque El Silencio hasta Patagonia ,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</si>
  <si>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Suministro de Bomba centrifuga, para agua tratada, desde el tanque El Silencio hasta Patagonia , con motor eléctrico  de 100 - 125 HP, a 1800 rpm, 3x440  vol.,  para  70 l/seg,  un HDT de 50 m, con una eficiencia no menor al 72 % Debe incluir base metálica para el equipo, motor bomba, sistema de cebado y medición de presión, con manómetro en glicerina, acople motor bomba si es necesario y demás elementos para su correcto funcionamiento.</t>
  </si>
  <si>
    <t>Encamisado para cruce de tuberia de 18"  en Acero</t>
  </si>
  <si>
    <t>Cruce de tuberia de acueducto  para cruzar via nacional, mediante excavacion sin zanja en 6" ( 160mm) por medio de Perforacion Horizontal  (Incluye personal experto, equipos y las herramientas</t>
  </si>
  <si>
    <t>Cruce de tuberia de acueducto  para cruzar via nacional a San Bernardo, mediante excavacion sin zanja en 8" ( 200mm) por medio de Perforacion Horizontal  (Incluye personal experto, equipos y las herramientas</t>
  </si>
  <si>
    <t>Optimización del acueducto de San Antero y del acueducto del Corregimiento el Porvenir en el Municipio de San Antero</t>
  </si>
  <si>
    <t xml:space="preserve">Residente Seguridad Industrial y Salud en el Trabajo </t>
  </si>
  <si>
    <t>Conductor(es)</t>
  </si>
  <si>
    <t>Residente(s) de Obra</t>
  </si>
  <si>
    <t>Inspector(es) de Obra</t>
  </si>
  <si>
    <t>Residente de Obra</t>
  </si>
  <si>
    <t>Inspector de Obra</t>
  </si>
  <si>
    <t>Conductor</t>
  </si>
  <si>
    <t xml:space="preserve">Residente Seguridad Industrial y Salud Trabajo </t>
  </si>
  <si>
    <t>SALARIOS BASE AÑO 2019</t>
  </si>
  <si>
    <t>Dedicación</t>
  </si>
  <si>
    <t xml:space="preserve">Gastos de papelería </t>
  </si>
  <si>
    <t>Vehiculo de Transporte</t>
  </si>
  <si>
    <t>RESUMEN DE LA INVERSIÓN PARA EL DISEÑO Y OPTIMIZACIÓN DEL SISTEMA DE ACUEDUCTO SAN ANTERO - PORVENIR</t>
  </si>
  <si>
    <t xml:space="preserve">Excavación Mecanica para todo tipo de material de 0-2 m de profundidad. </t>
  </si>
  <si>
    <t>Cruce de tuberia de acueducto  para via nacional mediante excavacion sin zanja en 8" ( 220mm) por medio de Perforacion Horizontal  (Incluye personal capacitado, equipos y las herramientas)</t>
  </si>
  <si>
    <t>Excavación Mecanica para todo tipo de material de 0-2 m de profundidad</t>
  </si>
  <si>
    <t>Excavación Mecanica para todo tipo de material de  2-4 m de profundidad</t>
  </si>
  <si>
    <t>3.15.3</t>
  </si>
  <si>
    <t>3.29.3</t>
  </si>
  <si>
    <t>Cargue, retiro y botada de escombros y  material proveniente de la excavación</t>
  </si>
  <si>
    <t>0,5% peso del cemento</t>
  </si>
  <si>
    <t>Especialista Hidraulico</t>
  </si>
  <si>
    <t>Especialista Estructural</t>
  </si>
  <si>
    <t>Especialista Geotecnia</t>
  </si>
  <si>
    <t>AIU ESTIMADO</t>
  </si>
  <si>
    <t>Asesor Contable</t>
  </si>
  <si>
    <t>Mensajero</t>
  </si>
  <si>
    <t>Residente Social</t>
  </si>
  <si>
    <t>,</t>
  </si>
  <si>
    <t>Prue. Hidrostaticas</t>
  </si>
  <si>
    <t>Campamentos de Obra</t>
  </si>
  <si>
    <t>PRESUPUESTO DE INTERVENTORÍA OBRA CIVIL E INSTALACION OPTIMIZACION DEL ACUEDUCTO DE SAN ANTERO Y DEL ACUEDUCTO DEL CORREGIMIENTO EL PORVENIR EN EL MUNICIPIO DE SAN ANTERO</t>
  </si>
  <si>
    <t>SAN ANTERO (CÓRDOBA)</t>
  </si>
  <si>
    <t>OBJETO:</t>
  </si>
  <si>
    <t>OPTIMIZACION DEL ACUEDUCTO DE SAN ANTERO Y DEL ACUEDUCTO DEL CORREGIMIENTO EL PORVENIR EN EL MUNICIPIO DE SAN ANTERO</t>
  </si>
  <si>
    <t>COSTOS DE PERSONAL</t>
  </si>
  <si>
    <t>VALOR MENSUAL</t>
  </si>
  <si>
    <t>COSTO TOTAL MES</t>
  </si>
  <si>
    <t>DEDICACIÓN HOMBRE-MES</t>
  </si>
  <si>
    <t>No. DE MESES</t>
  </si>
  <si>
    <t>TOTAL HOMBRE-MES</t>
  </si>
  <si>
    <t>SUBTOTAL</t>
  </si>
  <si>
    <t>(1)</t>
  </si>
  <si>
    <t>(2)</t>
  </si>
  <si>
    <t>(3)=(1)×(2)</t>
  </si>
  <si>
    <t>(4)</t>
  </si>
  <si>
    <t>(5)</t>
  </si>
  <si>
    <t>(6)=(4)×(5)</t>
  </si>
  <si>
    <t>(7)=(3)×(4)</t>
  </si>
  <si>
    <t>PERSONAL PROFESIONAL</t>
  </si>
  <si>
    <t>Director de Interventoria (Ing. Civil o Sanitario)</t>
  </si>
  <si>
    <t>1,1,2</t>
  </si>
  <si>
    <t>Residente de Obra (Ing Civil o Santario)</t>
  </si>
  <si>
    <t>1,1,3</t>
  </si>
  <si>
    <t>PERSONAL TÉCNICO</t>
  </si>
  <si>
    <t>1,2,1</t>
  </si>
  <si>
    <t>Topografo</t>
  </si>
  <si>
    <t>PERSONAL ADMINISTRATIVO</t>
  </si>
  <si>
    <t>Secretaria</t>
  </si>
  <si>
    <t>COSTOS DE PERSONAL=</t>
  </si>
  <si>
    <t>FACTOR MULTIPLICADOR=</t>
  </si>
  <si>
    <t>TOTAL COSTOS DE PERSONAL (CP)=</t>
  </si>
  <si>
    <t>COSTOS DE EQUIPOS, TRANPORTE, OFICINA</t>
  </si>
  <si>
    <t>DEDICACIÓN EQUIPOS MES</t>
  </si>
  <si>
    <t>TOTAL EQ-MES</t>
  </si>
  <si>
    <t>VEHICULO</t>
  </si>
  <si>
    <t>EQUIPOS</t>
  </si>
  <si>
    <t>2,2,1</t>
  </si>
  <si>
    <t>Equipos de topografía</t>
  </si>
  <si>
    <t>2,2,2</t>
  </si>
  <si>
    <t>Ensayos de laboratorio</t>
  </si>
  <si>
    <t>2,2,4</t>
  </si>
  <si>
    <t>Equipos de Oficina</t>
  </si>
  <si>
    <t>2,2,5</t>
  </si>
  <si>
    <t>Informe mensual de Interventoria</t>
  </si>
  <si>
    <t>TOTAL COSTOS DE EQIPOS (CE)=</t>
  </si>
  <si>
    <t>TOTAL COSTOS (CT)=(CP)+(CET)=</t>
  </si>
  <si>
    <t>IVA(19% DE CT)=</t>
  </si>
  <si>
    <t xml:space="preserve">VALOR TOTAL (CT)+IVA= </t>
  </si>
  <si>
    <t xml:space="preserve">Cadenero </t>
  </si>
  <si>
    <t>UTILIDAD</t>
  </si>
  <si>
    <t>Poliza de Interventoria</t>
  </si>
  <si>
    <t>Impuestos Aplicables</t>
  </si>
  <si>
    <t>1.3.11</t>
  </si>
  <si>
    <t>1.3.12</t>
  </si>
  <si>
    <t>1.4.11</t>
  </si>
  <si>
    <t>1.4.12</t>
  </si>
  <si>
    <t>1.4.16</t>
  </si>
  <si>
    <t>1.3.13</t>
  </si>
  <si>
    <t xml:space="preserve">Subsidio de Transporte </t>
  </si>
  <si>
    <t>Dotaciones sociales</t>
  </si>
  <si>
    <t>Aporte a Riesgos Profesionales ARL</t>
  </si>
  <si>
    <t>Salud, Pensión y ARL</t>
  </si>
  <si>
    <t xml:space="preserve">Parafiscales </t>
  </si>
  <si>
    <t>Factor Incremento</t>
  </si>
  <si>
    <t>Numero de días trabajados</t>
  </si>
  <si>
    <t>RETRO DOOSAN DX 225 LCA</t>
  </si>
  <si>
    <t>Mini Cargador Multifuncional BOBCAT</t>
  </si>
  <si>
    <t>COMPACTADOR CANGURO CON OPERADOR</t>
  </si>
  <si>
    <t>BASE GRANULAR CLASE C INVIAS</t>
  </si>
  <si>
    <t>ARENA</t>
  </si>
  <si>
    <t xml:space="preserve">ARENA </t>
  </si>
  <si>
    <t>Cruce de tuberia de acueducto a la altura del Caño Aguas Prietas y Chimalito, mediante excavacion sin zanja en 16" ( 400mm) por medio de Perforacion Horizontal Dirigida (Incluye personal experto, equipos y las herramientas</t>
  </si>
  <si>
    <t>Cruce de tuberia de acueducto  para cruzar via nacional a San Bernardo, mediante excavacion sin zanja en 16" ( 400mm) por medio de Perforacion Horizontal  (Incluye personal, equipos y las herramientas</t>
  </si>
  <si>
    <t xml:space="preserve">Cruce de tuberia sin zanja en 16" (400mm) por medio de Perforacion Horizontal Dirigida (Incluye personal, equipos y las herramientas </t>
  </si>
  <si>
    <t>MEZCLADORA DE 1 1/2 BULTO</t>
  </si>
  <si>
    <t>FORMALETA EN MADERA</t>
  </si>
  <si>
    <t>Suministro Transporte y Colocación de Concreto f´c= 28 Mpa para base de bombas.</t>
  </si>
  <si>
    <t>EQUIPO TERMOFUSION PARA TUEBRÍA DE 400mm</t>
  </si>
  <si>
    <t>EQUIPO TERMOFUSION PARA TUEBRÍA DE 160-200mm</t>
  </si>
  <si>
    <t>EQUIPO TERMOFUSION PARA TUEBRÍA DE 160mm</t>
  </si>
  <si>
    <t>EQUIPO TERMOFUSION PARA TUEBRÍA DE 200mm</t>
  </si>
  <si>
    <t>EQUIPO DE ELEVACIÓN - DIFERENCIAL</t>
  </si>
  <si>
    <t>Medidor AQUASOFT de tipo Woltmann Horizontal de Velocidad,
Cuerpo de Hierro Fundido, Bridado, Cámara seca, Modulo
Removible, (Q3/Q1) R=80, Dn100mm (6"), T. 0°-50°,
Transmisión Magnética, Pre-equipado con receptáculo para
emisión de impulsos incluye, empaques, Informe de Calibración
de Fabrica. Cumplen la norma ISO 4064 y la NTC 1063.
Aprobación de Modelo por la comunidad Económica Europea CE
M10 1383 TCM142/10-4736.</t>
  </si>
  <si>
    <t>Válvula De Compuerta Sello De Bronce, 6", conexion bridada.</t>
  </si>
  <si>
    <t>Filtro en ye, hierro, extremo Brida 6
882.000,00
"""</t>
  </si>
  <si>
    <t>Medidor AQUASOFT de tipo Woltmann Horizontal de Velocidad,
Cuerpo de Hierro Fundido, Bridado, Cámara seca, Modulo
E00Z0325051201104 WP-SDC DN 200 Removible, (Q3/Q1) R=80, Dn250mm (8"), T. 0°-50°, Transmisión Magnética, Pre-equipado con receptáculo para emisión de impulsos incluye, empaques, Informe de Calibración de Fabrica. Cumplen la norma ISO 4064 y la NTC 1063.
Aprobación de Modelo por la comunidad Económica Europea CE
M10 1383 TCM142/10-4736</t>
  </si>
  <si>
    <t>Válvula De Compuerta Sello De Bronce, 8", conexion bridada.</t>
  </si>
  <si>
    <t>Filtro en yee, hierro, extremo Brida 8</t>
  </si>
  <si>
    <t>Tubería PEAD  Ø200mm (8") PN 8 RDE 21</t>
  </si>
  <si>
    <t>Tubería PEAD Ø 400mm (16") PN 12.5 RDE 13.6</t>
  </si>
  <si>
    <t>Suministro Tubería PEAD Ø 400mm (16") PN 12.5 RDE 13.6</t>
  </si>
  <si>
    <t>NIPLES</t>
  </si>
  <si>
    <t>TORNILLERÍA</t>
  </si>
  <si>
    <t>Juego de Tornillería y Empaques de 16"</t>
  </si>
  <si>
    <t xml:space="preserve">OFICIAL </t>
  </si>
  <si>
    <t>CODOS HD</t>
  </si>
  <si>
    <t>Suministro Niple  Acero Al Carbon 16" (400 mm) EB x EB  L:1,5m</t>
  </si>
  <si>
    <t>Yee HD 16" x 10" EB x EB</t>
  </si>
  <si>
    <t>YEE</t>
  </si>
  <si>
    <t>Yee 16" x 10" HD, EB X EB</t>
  </si>
  <si>
    <t>Juego de Tornillería y Empaques de 10"</t>
  </si>
  <si>
    <t>Valvula Retencion Horizontal HD 10" BxB</t>
  </si>
  <si>
    <t>Suministro Valvula Retencion Horizontal HD 10" BxB</t>
  </si>
  <si>
    <t>Juego de Tornillería y Empaques de 6"</t>
  </si>
  <si>
    <t>Reduccion Concentrica 10" x 6" HD EBXEB</t>
  </si>
  <si>
    <t>Suministro Reduccion Concentrica 10" x 6" HD EB X EB</t>
  </si>
  <si>
    <t>Juego de Tornillería y Empaques de 4"</t>
  </si>
  <si>
    <t>Suministro Reduccion Excentrica para entrada a bomba 4" x 6" HD EB x EB</t>
  </si>
  <si>
    <t>Reduccion Excentrica para entrada a bomba 4" x 6" HD EB x EB</t>
  </si>
  <si>
    <t>Juego de Tornillería y Empaques de 3"</t>
  </si>
  <si>
    <t>Juego de Tornillería y Empaques de 8"</t>
  </si>
  <si>
    <t>Suministro Niple  Acero Al Carbon 8" (200 mm) EB x EB  L: 1m</t>
  </si>
  <si>
    <t>Juego de Tornillería y Empaques de 12"</t>
  </si>
  <si>
    <t>Suministro de Codo HD 12" x 90° EB x EB</t>
  </si>
  <si>
    <t>Suministro Niple  Acero Al Carbon 12" (300 mm) EB x EB  L: 3 m</t>
  </si>
  <si>
    <t>Unión de Reparación de 12" PVC</t>
  </si>
  <si>
    <t>Suministro Valvula de Compuerta 12 " HD sello en Bronce Vastago No Ascendente  BxB</t>
  </si>
  <si>
    <t>TEE</t>
  </si>
  <si>
    <t>Suministro Tee HD 16" x 16" EB x EB</t>
  </si>
  <si>
    <t>Instalación Tee HD 16" x 16" EB x EB</t>
  </si>
  <si>
    <t xml:space="preserve">Suministro Portabrida (incluye Brida) 16" para tuberia PEAD </t>
  </si>
  <si>
    <t xml:space="preserve">Instalación Portabrida (incluye Brida) 16" para tuberia PEAD </t>
  </si>
  <si>
    <t>Suministro Valvula de Compuerta 16 " HD sello en Bronce Vastago No Ascendente  BxB</t>
  </si>
  <si>
    <t>Instalacion Valvula de Compuerta 16 " HD sello en Bronce Vastago No Ascendente  BxB</t>
  </si>
  <si>
    <t>Suministro Niple  Acero Al Carbon 16" (400 mm) EB x EL  L:1m</t>
  </si>
  <si>
    <t>Instalacion Niple  Acero Al Carbon 16" (400 mm) EB x EL  L:1m</t>
  </si>
  <si>
    <t>Suministro Cruz HD 16" x 10" EL x EL</t>
  </si>
  <si>
    <t>Instalacion Cruz HD 16" x 10" EL x EL</t>
  </si>
  <si>
    <t>Unión de Reparación de 16" PVC</t>
  </si>
  <si>
    <t>Unión de Reparación de 10" PVC</t>
  </si>
  <si>
    <t>InstalacionReduccion Concentrica 16" x 8" HD EL x EL</t>
  </si>
  <si>
    <t>Unión de Reparación de 8" PVC</t>
  </si>
  <si>
    <t>Suministro Union de Reparacion PVC 8"</t>
  </si>
  <si>
    <t>Instalacion Union de Reparacion PVC 8"</t>
  </si>
  <si>
    <t>Instalacion Niple  Acero Al Carbon 8" (200 mm) EB x EL  L:2m</t>
  </si>
  <si>
    <t>Suministro Tee HD 8" x 8" EL x EL</t>
  </si>
  <si>
    <t>Instalacion Tee HD 8" x 8" EL x EL</t>
  </si>
  <si>
    <t>Instalacion Reduccion Excentrica para entrada a bomba 4" x 6" HD EB x EB</t>
  </si>
  <si>
    <t>Niple  Acero Al Carbon 12" (300 mm) EB x EL  L: 3 m</t>
  </si>
  <si>
    <t>Suministro  Niple  Acero Al Carbon 12" (300 mm) EB x EL  L: 3 m</t>
  </si>
  <si>
    <t>Instalacion Niple  Acero Al Carbon 12" (300 mm) EB x EL  L: 3 m</t>
  </si>
  <si>
    <t>Medidor de tipo Woltmann Horizontal de Velocidad,
Cuerpo de Hierro Fundido, Bridado, Cámara seca, Modulo
Removible, (Q3/Q1) R=80, Dn500mm (16"), T. 0°-50°,
Transmisión Magnética, Pre-equipado con receptáculo para
emisión de impulsos incluye, empaques, Informe de Calibración
de Fabrica. Cumplen la norma ISO 4064 y la NTC 1063.
Aprobación de Modelo por la comunidad Económica Europea CE
M10 1383 TCM142/10-4736.</t>
  </si>
  <si>
    <t>MACROMEDIDORES</t>
  </si>
  <si>
    <t>Medidor de tipo Woltmann Horizontal de Velocidad,
Cuerpo de Hierro Fundido, Bridado, Cámara seca, Modulo
Removible, (Q3/Q1) R=80, Dn500mm (16")</t>
  </si>
  <si>
    <t>Válvula de compuerta sello de bronce de 16", BXB</t>
  </si>
  <si>
    <t>FILTRO EN YEE</t>
  </si>
  <si>
    <t>Filtro en yee en hierro 16", BXB</t>
  </si>
  <si>
    <t>Niple Acero al carbon 16"  EB x EB L= 4 m con salida roscada para manómetro Ø1/2"</t>
  </si>
  <si>
    <t>Niple Acero al carbon 16" (400mm) EB x EB L: 2 m</t>
  </si>
  <si>
    <t xml:space="preserve">Llenos con material de préstamo, compactados mecánicamente hasta obtener una densidad del 95% de la máxima obtenida en el ensayo del próctor modificado.  </t>
  </si>
  <si>
    <t>TUBERÍA EN PEAD</t>
  </si>
  <si>
    <t>TUBERÍA EN ACERO AL CARBON</t>
  </si>
  <si>
    <t xml:space="preserve">Tubería Acero al Carbón  Ø200mm (8") </t>
  </si>
  <si>
    <t>Encamisado para cruce en tuberia de 8"  en Acero al Carbón</t>
  </si>
  <si>
    <t>PLANTA ELECTRICA A GASOLINA DE 20KVA</t>
  </si>
  <si>
    <t>PLANTA ELECTRICA A GASOLINA DE 20 KVA</t>
  </si>
  <si>
    <t>PLANTA ELECTRICA A GASOLINA DE 16 KVA</t>
  </si>
  <si>
    <t>PLANTA ELECTRICA A GASOLINA DE 16KVA</t>
  </si>
  <si>
    <t>Obra civil Medidor Velocidad Transmisión Magnetica con pantalla antimagnetica R160, Incluye acoples de conexión Ref IUT Preequipado</t>
  </si>
  <si>
    <t>Medidor Velocidad Transmisión Magnetica con pantalla antimagnetica R160, Incluye acoples de conexión Ref IUT Preequipado, Incluye (Caja, Valvula corte antifraude H-H, Valvula corte usuario antifraude H H, Conexión acople caja extremos y armada y presurizada)</t>
  </si>
  <si>
    <t>Medidor Velocidad Transmisión Magnetica con pantalla antimagnetica R160, Incluye acoples de conexión Ref IUT Preequipado de 1/2"</t>
  </si>
  <si>
    <t>InstalaciónTubería PEAD Ø 400mm (16") PN 12.5 RDE 13.6</t>
  </si>
  <si>
    <t>Tubería PEAD Ø 200mm (8") PN 8 RDE 21</t>
  </si>
  <si>
    <t>Suministro Tubería PEAD Ø 200mm (8") PN 8 RDE 21</t>
  </si>
  <si>
    <t>Instalación Tubería PEAD Ø 200mm (8") PN 8 RDE 21</t>
  </si>
  <si>
    <t>Codo Ø 400mm x 45º (16" x 45º) en PEAD  PN10 PE 100</t>
  </si>
  <si>
    <t>Instalación Codo Ø 400mm x 45º (16" x 45º) en PEAD  PN10 PE 100</t>
  </si>
  <si>
    <t>Suministro Codo Ø 400mm x 45º (16" x 45º) en PEAD  PN10 PE 100</t>
  </si>
  <si>
    <t>Codo Ø160mmx45º (6" x 45º) en PEAD  PN10 PE 100</t>
  </si>
  <si>
    <t>Codo Ø 160mmx22.5º (6" x 22.5º) en PEAD  PN10 PE 100</t>
  </si>
  <si>
    <t>Codo Ø 160mmx11.25º (6" x 11.25º) en PEAD  PN10 PE 100</t>
  </si>
  <si>
    <t>Suministro Codo Ø160mmx45º (6" x 45º) en PEAD  PN10 PE 100</t>
  </si>
  <si>
    <t>Codo Ø 400mm x 45º (16" x 45º) en PEAD PN10 PE 100</t>
  </si>
  <si>
    <t>Suministro Codo Ø 160mmx22.5º (6" x 22.5º) en PEAD  PN10 PE 100</t>
  </si>
  <si>
    <t>Suministro Codo Ø 160mmx11.25º (6" x 11.25º) en PEAD  PN10 PE 100</t>
  </si>
  <si>
    <t>Instalación Codo Ø160mmx45ºx22.5°x11.25° (6" x 45ºx22.5°x11.25°) en PEAD  PN10 PE 100</t>
  </si>
  <si>
    <t>Codo Ø 200mmx45º (8" x 45º) en PEAD  PN10 PE 100</t>
  </si>
  <si>
    <t>Instalación Codo Ø 200mmx45º (8" x 45º) en PEAD  PN10 PE 100</t>
  </si>
  <si>
    <t xml:space="preserve">Tubería Acero al Carbón  Ø250mm (10") </t>
  </si>
  <si>
    <t>Codo HD 6" x 11.25°  Junta Hidraulica</t>
  </si>
  <si>
    <t>Suministro Codo HD 6" x 11.25°  Junta Hidraulica</t>
  </si>
  <si>
    <t>Instalación Codo HD 6" x 11.25°  Junta Hidraulica</t>
  </si>
  <si>
    <t>Codo HD 6" x 22.5°  Junta Hidraulica</t>
  </si>
  <si>
    <t>Suministro Codo HD 6" x 22.5°  Junta Hidraulica</t>
  </si>
  <si>
    <t>Instalación Codo HD 6" x 22.5°  Junta Hidraulica</t>
  </si>
  <si>
    <t>Codo HD 6" x 45°  Junta Hidraulica</t>
  </si>
  <si>
    <t>Suministro Codo HD 6" x 45°  Junta Hidraulica</t>
  </si>
  <si>
    <t>Instalación Codo HD 6" x 45°  Junta Hidraulica</t>
  </si>
  <si>
    <t>Reducción 8" x 6" HD Junta Hidraulica</t>
  </si>
  <si>
    <t>Reducción 8" x 6" HD  Junta Hidraulica</t>
  </si>
  <si>
    <t>Suministro Reducción 8" x 6" HD  Junta Hidraulica</t>
  </si>
  <si>
    <t>Instalación Reducción 8" x 6" HD  Junta Hidraulica</t>
  </si>
  <si>
    <t>Apertura de orificios de 0.26x0.26 en muros de concreto (incluye reboque en mortero 1:3 para afinar el borde del orificio)</t>
  </si>
  <si>
    <t>Apertura de orificios en muro de concreto de Ø 6" para pasamuro  (incluye preparación del orificio para la instalación del pasamuro y reboque en mortero 1:3 para afianar el borde del orificio)</t>
  </si>
  <si>
    <t>Apertura de orificios en muro de concreto de Ø 8" para pasamuro  (incluye preparación del orificio para la instalación del pasamuro y reboque en mortero 1:3 para afianar el borde del orificio)</t>
  </si>
  <si>
    <t>Apertura de orificios en muro de concreto de Ø 12" para pasamuro  (incluye preparación del orificio para la instalación del pasamuro y reboque en mortero 1:3 para afianar el borde del orificio)</t>
  </si>
  <si>
    <t>Apertura de orificios de 0.20x0.25x0.10 (incluye reboque mortero 1:3 para afinar el borde del orificio)</t>
  </si>
  <si>
    <t>Apertura de orificios de 0.85x0.85x0.30 (incluye reboque en mortero 1:3 para afinar el borde del orificio)</t>
  </si>
  <si>
    <t>Apertura de orificios de 1.80x1.40x0.30 (incluye reboque en mortero 1:3 para afinar el borde del orificio)</t>
  </si>
  <si>
    <t>Apertura de orificios de (0.40 a 0.70)x0.75x0.20 (incluye reboque en mortero 1:3 para afinar el borde del orificio)</t>
  </si>
  <si>
    <t>Apertura de orificios de (0.71 a 1.00)x0.75x0.20 (incluye reboque en mortero 1:3 para afinar el borde del orificio)</t>
  </si>
  <si>
    <t>Apertura de orificios en muro de concreto de Ø 6" para pasamuro  (incluye preparación del orificio para la instalación del pasamuro y reboque en mortero 1:3 para afinar el borde del orificio)</t>
  </si>
  <si>
    <t>Apertura de orificios en muro de concreto de Ø 8" para pasamuro  (incluye preparación del orificio para la instalación del pasamuro y  reboque en mortero 1:3 para afinar el borde del orificio)</t>
  </si>
  <si>
    <t>Apertura de orificios en muro de concreto de Ø 12" para pasamuro  (incluye preparación del orificio para la instalación del pasamuro y  reboque en mortero 1:3 para afinar el borde del orificio)</t>
  </si>
  <si>
    <t>Apertura de orificios de 0.20x0.25x0.10 (incluye reboque en mortero 1:3 para afinar el borde del orificio)</t>
  </si>
  <si>
    <t>COMPRESOR+2 MARTILLOS+MAGUERA+OPERARIO</t>
  </si>
  <si>
    <t>Suministro e instalación de plaqueta prefabricada de concreto 280kg/cm2 1:2:2 de 0.60mx0.35mx0.06m con dos orificios de Ø4", según planos</t>
  </si>
  <si>
    <t>Perforación de orificios para anclaje del refuerzo de las nuevas estructuras. Refuerzo entre 3/8" y 7/8" por una profundidad entre 90 y 200 mm (incluye limpieza de la superficie del orificio y resina epóxica de anclaje)</t>
  </si>
  <si>
    <t>Concreto de 280kg/cm2 - 4000 PSI impermeabilizado para placas de contrapiso (incluye formaleta)</t>
  </si>
  <si>
    <t>Concreto de de 280kg/cm2 - 4000 psi impermeabilizado para placas aéreas (incluye formaleta)</t>
  </si>
  <si>
    <t>PULIDORA CON DISCO</t>
  </si>
  <si>
    <t>SIKA ANCHORFIXS POR 300ML</t>
  </si>
  <si>
    <t>TALADRO PERCUTOR</t>
  </si>
  <si>
    <t>Concreto 210kg/cm2 o 3000 PSI 1:2:3</t>
  </si>
  <si>
    <t>Concreto ciclópeo de 80 Kg/cm2 para dar pendientes de fondo</t>
  </si>
  <si>
    <t>CONCRETO 170 Kg/cm2</t>
  </si>
  <si>
    <t>CONCRETO 80 Kg/cm2</t>
  </si>
  <si>
    <t>Concreto pobre de limpieza de 2500 psi o 170Kg/cm2</t>
  </si>
  <si>
    <t>CONCRETO 245 Kg/cm2</t>
  </si>
  <si>
    <t>CONCRETO 280 Kg/cm2</t>
  </si>
  <si>
    <t>Concreto de 4000 psi o 280Kg/cm2 para zapatas (incluye formaleta)</t>
  </si>
  <si>
    <t>Concreto de 4000 psi o 280Kg/cm2 para vigas de cimentación (incluye formaleta)</t>
  </si>
  <si>
    <t>CONCRETO DE 210kg/cm2 o 3000 PSI</t>
  </si>
  <si>
    <t>CONCRETO 280 Kg/cm2 - 4000 PSI</t>
  </si>
  <si>
    <t xml:space="preserve">Concreto 280kg/cm2 o 4000PSI 1:2:2 </t>
  </si>
  <si>
    <t>Concreto de 280kg/cm2 - 4000 psi impermeabilizado para placas de contrapiso (incluye formaleta)</t>
  </si>
  <si>
    <t>Concreto de 280kg/cm2 - 4000 psi para placas aéreas (incluye formaleta)</t>
  </si>
  <si>
    <t>Concreto de 280kg/cm2 - 4000 psi impermeabilizado para muros (incluye formaleta)</t>
  </si>
  <si>
    <t xml:space="preserve">CONCRETO 280 Kg/cm2- 4000 psi </t>
  </si>
  <si>
    <t>Concreto de 280kg/cm2 -  4000 psi para vigas aéreas (incluye formaleta)</t>
  </si>
  <si>
    <t>Concreto de 280kg/cm2 - 4000 psi para vigas aéreas (incluye formaleta)</t>
  </si>
  <si>
    <t>CONCRETO 210 Kg/cm2</t>
  </si>
  <si>
    <t>Concreto de 210 Kg/cm2 - 3000 psi impermeabilizado para rellenos y pendientes de fondo</t>
  </si>
  <si>
    <t>Cimentación en viga T invertida de 0.40x0.40m (incluye concreto, refuerzo longitudinal y transversal, formaleta y mano de obra)</t>
  </si>
  <si>
    <t xml:space="preserve">AYUDANTE RASO </t>
  </si>
  <si>
    <t>Tee HD 10" x 10" EB x EB</t>
  </si>
  <si>
    <t xml:space="preserve">Tee HD 10" x 10" EB X EB  </t>
  </si>
  <si>
    <t>Suministro Tee HD  10" x 10" EB x EB</t>
  </si>
  <si>
    <t>Instalación Tee HD  10" x 10" EB x EB</t>
  </si>
  <si>
    <t>Niple  Acero Al Carbon 10" (250 mm) EB x EB  L:1,5m</t>
  </si>
  <si>
    <t>Suministro Niple  Acero Al Carbon 10" (250 mm) EB x EB  L:1,2m</t>
  </si>
  <si>
    <t>Niple  Acero Al Carbon 10" (250 mm) EB x EB  L:7,9m</t>
  </si>
  <si>
    <t>Suministro Niple  Acero Al Carbon 10" (250 mm) EB x EB  L:7,9m</t>
  </si>
  <si>
    <t>Niple  Acero Al Carbon 10" (250 mm) EB x EB L:7,9m</t>
  </si>
  <si>
    <t>Instalacion Niple  Acero Al Carbon 10" (250 mm) EB x EB  L:7,5m</t>
  </si>
  <si>
    <t>Niple  Acero Al Carbon 10" (250 mm) EB x EB L:7,5m</t>
  </si>
  <si>
    <t>Niple  Acero Al Carbon 10" (250 mm) EB x EB  L:5,2m</t>
  </si>
  <si>
    <t>Suministro Niple  Acero Al Carbon 10" (250 mm) EB x EB  L:5,2m</t>
  </si>
  <si>
    <t>Niple  Acero Al Carbon 10" (250 mm) EB x EB L:5,2m</t>
  </si>
  <si>
    <t>Instalacion Niple  Acero Al Carbon 10" (250 mm) EB x EB  L:26,4m</t>
  </si>
  <si>
    <t>Niple  Acero Al Carbon 10" (250 mm) EB x EB L:26,4m</t>
  </si>
  <si>
    <t>Niple  Acero Al Carbon 10" (250 mm) EB x EB  L:8m</t>
  </si>
  <si>
    <t>Instalacion Niple  Acero Al Carbon 10" (250 mm) EB x EB  L:8m</t>
  </si>
  <si>
    <t>Suministro Niple  Acero Al Carbon 10" (250 mm) EB x EB  L:8m</t>
  </si>
  <si>
    <t>Niple  Acero Al Carbon 10" (250 mm) EB x EB L:8m</t>
  </si>
  <si>
    <t>Instalacion Niple  Acero Al Carbon 10" (250 mm) EB x EL  L: 0,5 m  Z=0,2m</t>
  </si>
  <si>
    <t>Suministro Niple  Acero Al Carbon 10" (250 mm) EB x EL  L: 0,5 m  Z=0,2m</t>
  </si>
  <si>
    <t>Instalacion Niple  Acero Al Carbon 6" (150 mm) EB x EB  L:1m</t>
  </si>
  <si>
    <t>Suministro Niple  Acero Al Carbon 6" (150 mm) EB x EB  L:1m</t>
  </si>
  <si>
    <t>Niple  Acero Al Carbon 6" (150 mm) EB x EB  L:1m</t>
  </si>
  <si>
    <t xml:space="preserve">Union Dresser 10" HD </t>
  </si>
  <si>
    <t>Reduccion Concentrica 10" x 6" HD EB X EB</t>
  </si>
  <si>
    <t>SuministroReduccion Concentrica 10" x 8" HD EB x EB</t>
  </si>
  <si>
    <t>Instalacion Reduccion Concentrica 10" x 8" HD EB x EB</t>
  </si>
  <si>
    <t>Niple  Acero Al Carbon 8" (200 mm) EB x EB  L: 1,5m</t>
  </si>
  <si>
    <t>Instalacion Niple  Acero Al Carbon 8" (200 mm) EB x EB  L: 1,5m</t>
  </si>
  <si>
    <t>Suministro Niple  Acero Al Carbon 8" (200 mm) EB x EB  L: 1,5m</t>
  </si>
  <si>
    <t>Tee HD 8" x 8" EB x EB</t>
  </si>
  <si>
    <t>Suministro Tee HD 8" x 8" (200 mmx200mm) EB x EB</t>
  </si>
  <si>
    <t>Instalacion Tee HD 8" x 8" (200 mmx200mm) EB x EB</t>
  </si>
  <si>
    <t xml:space="preserve">Portabrida (incluye Brida) 8" para tuberia PEAD </t>
  </si>
  <si>
    <t xml:space="preserve">Portabrida de 8" para tuberia PEAD (Incluye brida tornillos tuercas y arandelas) </t>
  </si>
  <si>
    <t xml:space="preserve">Suministro Portabrida de 8" para tuberia PEAD (Incluye brida tornillos tuercas y arandelas) </t>
  </si>
  <si>
    <t xml:space="preserve">Instalación Portabrida de 8" para tuberia PEAD (Incluye brida tornillos tuercas y arandelas) </t>
  </si>
  <si>
    <t>Excavación Manual en material común seco para viga de cimentación de 0.25x0.25m</t>
  </si>
  <si>
    <t>Llenos con material de préstamo, compactados mecánicamente hasta obtener una densidad del 95% de la máxima obtenida en el ensayo del próctor modificado.</t>
  </si>
  <si>
    <t>Suministro de correas metálicas en perfil de lámina delgada en forma de c phr 100x50-cal 18, con templetes cada l/3; incluye perfil, templetes, pintura</t>
  </si>
  <si>
    <t>Instalación de correas metálicas en perfil de lámina delgada en forma de c phr 100x50-cal 18, con templetes cada l/3;  incluye perfil, templetes, pintura</t>
  </si>
  <si>
    <t>Suministro de correas metálicas en perfil de lámina delgada en forma de c phr 100x50-cal 18, con templetes cada l/3; incluye perfil, templetes, pintura.</t>
  </si>
  <si>
    <t>Suministro de cubierta en láminas termoacustic (incluye tejas, tornillos autoperforantes).</t>
  </si>
  <si>
    <t>Instalación de cubierta en láminas termoacustic (incluye tejas, tornillos autoperforantes).</t>
  </si>
  <si>
    <t>Suministro de puerta de 2.0x2.0m en lámina galvanizada, dos hojas de 1.0mx2.0m (incluye puertas, marco, pintura)</t>
  </si>
  <si>
    <t>Instalación de puerta de 2.0x2.0m en lámina galvanizada, dos hojas de 1.0mx2.0m (incluye puertas, marco, pintura)</t>
  </si>
  <si>
    <t>MACROMEDIDOR BERMAD WOLTMAN TURBO BAR 230PSI 10" BRIDA (incluye unión dresser de Ø10")</t>
  </si>
  <si>
    <t>Suministro de MACROMEDIDOR BERMAD WOLTMAN TURBO BAR 230PSI 10" BRIDA (incluye unión dresser de Ø10")</t>
  </si>
  <si>
    <t>MACROMEDIDOR BERMAD WOLTMAN TURBO BAR 230PSI 10" BRIDA</t>
  </si>
  <si>
    <t>UNION FLEXIBLE DRESSER HIERRO 150 PSI 10"</t>
  </si>
  <si>
    <t>Instalacion MACROMEDIDOR BERMAD WOLTMAN TURBO BAR 230PSI 10" BRIDA (incluye unión dresser de Ø10")</t>
  </si>
  <si>
    <t>CONTROL DE NIVEL 'MDI' TANQUE BAJO MERCURIOEM10W2000</t>
  </si>
  <si>
    <t xml:space="preserve">CONTROL DE NIVEL 'MDI' TANQUE BAJO MERCURIOEM10W2000  (incluye  LE1150 Transmisor de presión 0-150PSI, ¼” NPT conexión mini).    </t>
  </si>
  <si>
    <t>LE1150 Transmisor de presión 0-150PSI, ¼” NPT conexiónmini</t>
  </si>
  <si>
    <t xml:space="preserve">Suministro de CONTROL DE NIVEL 'MDI' TANQUE BAJO MERCURIOEM10W2000  (incluye  LE1150 Transmisor de presión 0-150PSI, ¼” NPT conexión mini). </t>
  </si>
  <si>
    <t xml:space="preserve">Instalacion CONTROL DE NIVEL 'MDI' TANQUE BAJO MERCURIOEM10W2000  (incluye  LE1150 Transmisor de presión 0-150PSI, ¼” NPT conexión mini). </t>
  </si>
  <si>
    <t xml:space="preserve">Lleno con Casacajo Lavado </t>
  </si>
  <si>
    <t>CASCAJO LAVADO</t>
  </si>
  <si>
    <t>Lleno con casacajo lavado</t>
  </si>
  <si>
    <t>Concreto f'c = 14 MPa o 140Kg/cm2 para solado e=0.05m</t>
  </si>
  <si>
    <t>Solado en concreto pobre (f'c = 14 Mpa) o 140Kg/cm2 e = 5 cm</t>
  </si>
  <si>
    <t xml:space="preserve">CONCRETO 245Kg/cm2 </t>
  </si>
  <si>
    <t>Concreto f´c = 24.5 Mpa o 245Kg/cm2 para losa de fondo (Incluye formaleta e impermeabilizante)</t>
  </si>
  <si>
    <t>Concreto f'c = 24,5 Mpa o 245Kg/cm2 para losa de fondo, incluye formaleta e impermeabilizante</t>
  </si>
  <si>
    <t>CONCRETO 245Kg/cm2</t>
  </si>
  <si>
    <t>Concreto f'c = 24,5 Mpa o 245Kg/cm2  para muros y campanas (incluye formaleta y moldura triangular para acabado, e impermeabilizante)</t>
  </si>
  <si>
    <t xml:space="preserve">Concreto para losa de cubierta y viga  f' c = 24.5 Mpa  o 245Kg/cm2 incluye formaleta e impermeabilizante </t>
  </si>
  <si>
    <t xml:space="preserve">Concreto para losa de cubierta  f' c = 24.5Mpa  o 245Kg/cm2  incluye formaleta e impermeabilizante </t>
  </si>
  <si>
    <t>Concreto f'c = 24,5 Mpa o 245Kg/cm2 para Zapata, incluye formaleta e impermeabilizante</t>
  </si>
  <si>
    <t xml:space="preserve">CONCRETO 245Kg/cm2  </t>
  </si>
  <si>
    <t>Concreto f'c = 24,5 Mpa o 245Kg/cm2  para Zapata, incluye formaleta e impermeabilizante</t>
  </si>
  <si>
    <t>Concreto f'c = 24,5 Mpa o 245Kg/cm2 para columnas (incluye formaleta y moldura triangular para acabado)</t>
  </si>
  <si>
    <t xml:space="preserve">CONCRETO 245Kg/cm² </t>
  </si>
  <si>
    <t xml:space="preserve">Acero de refuerzo fy = 60.000 y  40.000 psi </t>
  </si>
  <si>
    <t>Caja de concreto de 1.5m × 2.0m en concreto Prof= 1.0m e=0.1m (incluye tapa de lamina en alfajor) para macromedidor</t>
  </si>
  <si>
    <t>Suministro Transporte e Instalación de Filtro perimetral (incluye triturado Ø 25 mm y tubería PVC-Novafort de Ø 160 mm)</t>
  </si>
  <si>
    <t>Camara de inspeccion en concreto, (Incluye tapa superior)</t>
  </si>
  <si>
    <t>TAPA PARA MH EN CONCRETO</t>
  </si>
  <si>
    <t>Camara de inspeccion en concreto, entre 1m y 2.5m (Incluye tapa superior)</t>
  </si>
  <si>
    <t>Camara de inspeccion en concreto para desague, entre 1m y 2.5m (Incluye Tapa superior)</t>
  </si>
  <si>
    <t>Instalacion Tubería de PVC NOVAFORT o similar de 200 mm</t>
  </si>
  <si>
    <t>Tubería  PVC (ASTM F794) alcantarillado de 200 mm</t>
  </si>
  <si>
    <t>Instalación Tubería de PVC (ASTM F794) alcantarillado de 200 mm</t>
  </si>
  <si>
    <t>TUBERÍA PVC</t>
  </si>
  <si>
    <t>Codo HD 6" x 90° EB x EB</t>
  </si>
  <si>
    <t>Codo HD 6" x 90° EB x EL</t>
  </si>
  <si>
    <t>CODOS HD JUNTA HIDRAULICA</t>
  </si>
  <si>
    <t>Codo HD 8" x 90° EB x EL</t>
  </si>
  <si>
    <t>Suministro de codo HD de Ø8"X90° (200mm) EB X EL</t>
  </si>
  <si>
    <t>Codo HD de Ø8"X90° (200mm) EB X EL</t>
  </si>
  <si>
    <t>Instalación de codo HD de Ø8"X90° (200mm) EB X EL</t>
  </si>
  <si>
    <t>Suministro de codo HD de Ø6"X90° EB X EL</t>
  </si>
  <si>
    <t>Instalación de codo HD de Ø6"X90° EB X EL</t>
  </si>
  <si>
    <t>Codo HD 12" X 90° EB X EL</t>
  </si>
  <si>
    <t>Suministro  de codo HD de Ø12"X90° EB X EL</t>
  </si>
  <si>
    <t>Codo HD de Ø12"X90°  EB X EL</t>
  </si>
  <si>
    <t>Suministro de codo HD de Ø12"X90° EB X EL</t>
  </si>
  <si>
    <t>Instalación de codo HD de Ø12"X90° EB X EL</t>
  </si>
  <si>
    <t>Codo HD 8" X 90° EBxEB</t>
  </si>
  <si>
    <t>Codo HD 8" X 90° EB X EB</t>
  </si>
  <si>
    <t>Suministro Codo HD 8" X 90° EBxEB</t>
  </si>
  <si>
    <t>Instalación de Codo HD 8" X 90° EBxEB</t>
  </si>
  <si>
    <t>Suministro de Codo HD 8" X 90° EBxEB</t>
  </si>
  <si>
    <t>Instalación de Codo HD 6" X 90° EBxEB</t>
  </si>
  <si>
    <t>Suministro de Codo HD 6" X 90° EBxEB</t>
  </si>
  <si>
    <t>Codo HD 6" X 90° EBxEB</t>
  </si>
  <si>
    <t>Suministro Codo HD 6" X 90° EBxEB</t>
  </si>
  <si>
    <t>Instalación Codo HD 6" X 90° EBxEB</t>
  </si>
  <si>
    <t>Suministro de ampliacion concentrica HD de ∅4" x ∅6" EBxEB</t>
  </si>
  <si>
    <t>Instalacion de ampliacion concentrica HD de ∅4" x ∅6" EBxEB</t>
  </si>
  <si>
    <t>Ampliacion concentrica HD de ∅4" x ∅6" EBxEB</t>
  </si>
  <si>
    <t>Suministro Ampliacion concentrica HD de ∅4" x ∅6" EBxEB</t>
  </si>
  <si>
    <t>Instalacion Ampliacion concentrica HD de ∅4" x ∅6" EBxEB</t>
  </si>
  <si>
    <t>Valvula de Compuerta 6" HD sello elastico Vastago No Ascendente  EB x EB</t>
  </si>
  <si>
    <t>Suministro Valvula de Compuerta 6" HD sello elastico Vastago No Ascendente  EB x EB</t>
  </si>
  <si>
    <t>Suministro de Valvula de Compuerta 6" HD sello elastico Vastago No Ascendente  EB x EB</t>
  </si>
  <si>
    <t>Instalacion de Valvula de Compuerta 6" HD sello elastico Vastago No Ascendente  EB x EB</t>
  </si>
  <si>
    <t>InstalacionValvula de Compuerta 6" HD sello elastico Vastago No Ascendente  EB x EB</t>
  </si>
  <si>
    <t>Suministro Ampliacion concentrica HD de ∅6" x ∅8" EBxEB</t>
  </si>
  <si>
    <t>Ampliacion concentrica HD de ∅6" x ∅8" EBxEB</t>
  </si>
  <si>
    <t>Suministro de Ampliacion concentrica HD de ∅6" x ∅8" EBxEB</t>
  </si>
  <si>
    <t>Instalacion de Ampliacion concentrica HD de ∅6" x ∅8" EBxEB</t>
  </si>
  <si>
    <t>Instalacion Ampliacion concentrica HD de ∅6" x ∅8" EBxEB</t>
  </si>
  <si>
    <t>Codo HD 8" X 45° Junta Hidraulica</t>
  </si>
  <si>
    <t>Suministro Codo HD 8" X 45° Junta Hidraulica</t>
  </si>
  <si>
    <t>Suministro de Codo HD 8" X 45° Junta Hidraulica</t>
  </si>
  <si>
    <t>Instalación de Codo HD 8" X 45° Junta Hidraulica</t>
  </si>
  <si>
    <t>Instalacion Codo HD 8" X 45° Junta Hidraulica</t>
  </si>
  <si>
    <t>Codo HD 8" X 90° Junta Hidraulica</t>
  </si>
  <si>
    <t>Suministro Codo HD 8" X 90° Junta Hidraulica</t>
  </si>
  <si>
    <t>Suministro de Codo HD 8" X 90° Junta Hidraulica</t>
  </si>
  <si>
    <t>Instalación de Codo HD 8" X 90° Junta Hidraulica</t>
  </si>
  <si>
    <t>Instalacion Codo HD 8" X 90° Junta Hidraulica</t>
  </si>
  <si>
    <t>Codo HD 3" x 90° EB x EB</t>
  </si>
  <si>
    <t>Suministro Codo HD 3" x 90° EB x EB</t>
  </si>
  <si>
    <t>Suministro de Codo HD 3" x 90° EB x EB</t>
  </si>
  <si>
    <t>Instalación de Codo HD 3" x 90° EB x EB</t>
  </si>
  <si>
    <t>Instalacion Codo HD 3" x 90° EB x EB</t>
  </si>
  <si>
    <t>Valvula de Compuerta 3" HD sello elastico Vastago No Ascendente  EB x EB</t>
  </si>
  <si>
    <t>Suministro Valvula de Compuerta 3" HD sello elastico Vastago No Ascendente  EB x EB</t>
  </si>
  <si>
    <t>Suministro de Valvula de Compuerta 3" HD sello elastico Vastago No Ascendente  EB x EB</t>
  </si>
  <si>
    <t>Instalacion deValvula de Compuerta 3" HD sello elastico Vastago No Ascendente  EB x EB</t>
  </si>
  <si>
    <t>Instalacion Valvula de Compuerta 3" HD sello elastico Vastago No Ascendente  EB x EB</t>
  </si>
  <si>
    <t>Ampliacion concentrica HD de ∅3" x ∅6" EB x EB</t>
  </si>
  <si>
    <t>Suministro Ampliacion concentrica HD de ∅3" x ∅6" EB x EB</t>
  </si>
  <si>
    <t>Suministro de Ampliacion concentrica HD de ∅3" x ∅6" EB x EB</t>
  </si>
  <si>
    <t>Instalacion de Ampliacion concentrica HD de ∅3" x ∅6" EB x EB</t>
  </si>
  <si>
    <t>Instalacion Ampliacion concentrica HD de ∅3" x ∅6" EB x EB</t>
  </si>
  <si>
    <t>TEE HD 6" x 6"  EB x EB</t>
  </si>
  <si>
    <t>Suministro TEE HD 6" x 6"  EB x EB</t>
  </si>
  <si>
    <t>Suministro de TEE HD 6" x 6"  EB x EB</t>
  </si>
  <si>
    <t>Instalacion de TEE HD 6" x 6"  EB x EB</t>
  </si>
  <si>
    <t>Instalacion TEE HD 6" x 6"  EB x EB</t>
  </si>
  <si>
    <t>Niple  PVC Ø 16" (400mm)  L: 1,30m  ELxEL</t>
  </si>
  <si>
    <t>Suministro Niple  PVC Ø 16" (400mm)  L: 1,30m  ELxEL</t>
  </si>
  <si>
    <t>Suministro de Niple  PVC Ø 16" (400mm)  L: 1,30m  ELxEL</t>
  </si>
  <si>
    <t>Instalación de Niple  PVC Ø 16" (400mm)  L: 1,30m  ELxEL</t>
  </si>
  <si>
    <t>Instalacion Niple  PVC Ø 16" (400mm)  L: 1,30m  ELxEL</t>
  </si>
  <si>
    <t>Suministro Niple  PVC Ø 16" (400mm)   L: 2,35m  ELxEL</t>
  </si>
  <si>
    <t>Niple  PVC Ø 16" (400mm)   L: 2,35m  ELxEL</t>
  </si>
  <si>
    <t>Suministro de Niple  PVC Ø 16" (400mm)   L: 2,35m  ELxEL</t>
  </si>
  <si>
    <t>Instalación de Niple  PVC Ø 16" (400mm)   L: 2,35m  ELxEL</t>
  </si>
  <si>
    <t xml:space="preserve">Suministro Niple PVC Ø 16" (400mm)  L: 2,60m </t>
  </si>
  <si>
    <t xml:space="preserve">Niple PVC Ø 16" (400mm)  L: 2,60m </t>
  </si>
  <si>
    <t xml:space="preserve">Suministro de Niple PVC Ø 16" (400mm)  L: 2,60m </t>
  </si>
  <si>
    <t xml:space="preserve">Instalación de Niple PVC Ø 16" (400mm)  L: 2,60m </t>
  </si>
  <si>
    <t xml:space="preserve">Instalacion Niple PVC Ø 16" (400mm)  L: 3,05m </t>
  </si>
  <si>
    <t xml:space="preserve">Instalacion Niple PVC Ø 16" (400mm)  L: 2,60m </t>
  </si>
  <si>
    <t>Instalacion Niple  PVC Ø 16" (400mm)   L: 2,35m  ELxEL</t>
  </si>
  <si>
    <t xml:space="preserve">Suministro Niple PVC Ø 16" (400mm)  L: 3,05m </t>
  </si>
  <si>
    <t xml:space="preserve">Niple PVC Ø 16" (400mm)  L: 3,05m </t>
  </si>
  <si>
    <t xml:space="preserve">Suministro de Niple PVC Ø 16" (400mm)  L: 3,05m </t>
  </si>
  <si>
    <t xml:space="preserve">Instalación de Niple PVC Ø 16" (400mm)  L: 3,05m </t>
  </si>
  <si>
    <t xml:space="preserve">Suministro Niple PVC Ø 16" (400mm)  L: 34,84m </t>
  </si>
  <si>
    <t xml:space="preserve">Niple PVC Ø 16" (400mm)  L: 34,84m </t>
  </si>
  <si>
    <t xml:space="preserve">Suministro de Niple PVC Ø 16" (400mm)  L: 34,84m </t>
  </si>
  <si>
    <t xml:space="preserve">Instalación de Niple PVC Ø 16" (400mm)  L: 34,84m </t>
  </si>
  <si>
    <t xml:space="preserve">Instalacion Niple PVC Ø 16" (400mm)  L: 34,84m </t>
  </si>
  <si>
    <t xml:space="preserve">Instalacion Niple PVC Ø 16" (400mm)  L: 8,40m </t>
  </si>
  <si>
    <t xml:space="preserve">Suministro Niple PVC Ø 16" (400mm)  L: 8,40m </t>
  </si>
  <si>
    <t xml:space="preserve">Niple PVC Ø 16" (400mm)  L: 8,40m </t>
  </si>
  <si>
    <t xml:space="preserve">Suministro de Niple PVC Ø 16" (400mm)  L: 8,40m </t>
  </si>
  <si>
    <t xml:space="preserve">Instalación de Niple PVC Ø 16" (400mm)  L: 8,40m </t>
  </si>
  <si>
    <t>Suministro Niple PVC ∅6" (150mm) UM presión L= 3.36m</t>
  </si>
  <si>
    <t>Niple PVC ∅6" (150mm) UM presión L= 3.36m</t>
  </si>
  <si>
    <t>Instalación de Niple PVC ∅6" (150mm) UM presión L= 3.36m</t>
  </si>
  <si>
    <t>Instalacion Niple PVC ∅6" (150mm) UM presión L= 3.36m</t>
  </si>
  <si>
    <t>Suministro Niple PVC ∅6" (150mm) UM presión L= 8.30m</t>
  </si>
  <si>
    <t>Niple PVC ∅6" (150mm) UM presión L= 8.30m</t>
  </si>
  <si>
    <t>CODOS PVC</t>
  </si>
  <si>
    <t>Codo PVC 6" x 90° UM presion</t>
  </si>
  <si>
    <t>Suministro Codo PVC 6" x 90° UM presion</t>
  </si>
  <si>
    <t>Suministro de Codo PVC 6" x 90° UM presion</t>
  </si>
  <si>
    <t>Instalación de Codo PVC 6" x 90° UM presion</t>
  </si>
  <si>
    <t>Instalacion Codo PVC 6" x 90° UM presion</t>
  </si>
  <si>
    <t>Niple PVC ∅6" (150mm) UM presión L= 11.90m</t>
  </si>
  <si>
    <t>Suministro Niple PVC ∅6" (150mm) UM presión L= 11.90m</t>
  </si>
  <si>
    <t>Suministro de Niple PVC ∅6" (150mm) UM presión L= 11.90m</t>
  </si>
  <si>
    <t>Instalacion Niple PVC ∅6" (150mm) UM presión L= 11.90m</t>
  </si>
  <si>
    <t>Suministro Niple PVC ∅6" (150mm) UM presión L= 5.56m</t>
  </si>
  <si>
    <t>Niple PVC ∅6" (150mm) UM presión L= 5.56m</t>
  </si>
  <si>
    <t>Instalación de Niple PVC ∅6" (150mm) UM presión L= 5.56m</t>
  </si>
  <si>
    <t>Instalacion Niple PVC ∅6" (150mm) UM presión L= 5.56m</t>
  </si>
  <si>
    <t>Niple PVC ∅6" (150mm) UM presión L= 6.40m</t>
  </si>
  <si>
    <t>Instalación de Niple PVC ∅6" (150mm) UM presión L= 6.40m</t>
  </si>
  <si>
    <t>Suministro de Niple PVC ∅6" (150mm) UM presión L= 6.40m</t>
  </si>
  <si>
    <t>Suministro Niple PVC ∅6" (150mm) UM presión L= 4.74m</t>
  </si>
  <si>
    <t>Niple PVC ∅6" (150mm) UM presión L= 4.74m</t>
  </si>
  <si>
    <t>Tee PVC Ø 6" x 2"  UM  presion</t>
  </si>
  <si>
    <t>Tee PVC Ø 6" x 6" UM  presion</t>
  </si>
  <si>
    <t>Niple PVC ∅2" (50mm) UM presión L= 1.13m</t>
  </si>
  <si>
    <t>Suministro de Niple PVC ∅2" (50mm) UM presión L= 1.13m</t>
  </si>
  <si>
    <t>Instalación de Niple PVC ∅2" (50mm) UM presión L= 1.13m</t>
  </si>
  <si>
    <t>Instalacion Niple PVC ∅2" (50mm) UM presión L= 1.13m</t>
  </si>
  <si>
    <t>Codo PVC ∅2" x 90° UM presion</t>
  </si>
  <si>
    <t>Suministro Codo PVC ∅2" x 90° UM presion</t>
  </si>
  <si>
    <t>Suministro Niple PVC ∅2" (50mm) UM presión L= 1.13m</t>
  </si>
  <si>
    <t>Instalacion Codo PVC ∅2" x 90° UM presion</t>
  </si>
  <si>
    <t>Niple PVC ∅2" (50mm) UM presión L= 2m</t>
  </si>
  <si>
    <t>TUB ALCANTARILLADO</t>
  </si>
  <si>
    <t>Suministro Niple PVC sanitaria 6'' (150mm) perforada L=7,94 m</t>
  </si>
  <si>
    <t>Niple PVC sanitaria 6'' (150mm) perforada L=7,94 m</t>
  </si>
  <si>
    <t>Niple PVC sanitaria 6'' (150mm) perforada L=6m</t>
  </si>
  <si>
    <t>Instalación de Niple PVC sanitaria 6'' (150mm) perforada L=7,94m</t>
  </si>
  <si>
    <t>Suministro de Niple PVC sanitaria 6'' (150mm) perforada L=7,94m</t>
  </si>
  <si>
    <t>Instalacion Niple PVC sanitaria 6'' (150mm) perforada L=7,94 m</t>
  </si>
  <si>
    <t>Valvula de bola ∅2"</t>
  </si>
  <si>
    <t>Instalacion Valvula de bola ∅2" a lecho de secado</t>
  </si>
  <si>
    <t xml:space="preserve">Conctores macho </t>
  </si>
  <si>
    <t>Instalación de Valvula de bola ∅2" a lecho de secado</t>
  </si>
  <si>
    <t>Suministro Valvula de bola ∅2" a lecho de secado</t>
  </si>
  <si>
    <t>Instalación Codo HD 8" x 90° EB x EB</t>
  </si>
  <si>
    <t>Suministro de Reduccion Excentrica 8" x 2.56" HD EB x EB</t>
  </si>
  <si>
    <t>Instalacion de Reduccion Excentrica 8" x 2.56" HD EB x EB</t>
  </si>
  <si>
    <t>Instalación Reduccion Excentrica 8" x 2.56" HD EB x EB</t>
  </si>
  <si>
    <t>Suministro de Reduccion Concentrica 8" x 1.97" HD EB x EB</t>
  </si>
  <si>
    <t>Instalacion de Reduccion Concentrica 8" x 1.97" HD EB x EB</t>
  </si>
  <si>
    <t>Instalación Reduccion Concentrica 8" x 1.97" HD EB x EB</t>
  </si>
  <si>
    <t>Valvula de Compuerta 8" HD sello en Bronce Vastago No Ascendente  EB x EB</t>
  </si>
  <si>
    <t>Valvula de Compuerta HD sello en Bronce Vastago No Ascendente 8" EB x EB</t>
  </si>
  <si>
    <t>Instalación Valvula de Compuerta HD sello en Bronce Vastago No Ascendente 8" BxB</t>
  </si>
  <si>
    <t>Instalación Codo HD 8" x 45° EB x EB</t>
  </si>
  <si>
    <t>Instalación Reduccion Concentrica 8" x 6" HD EB x EB</t>
  </si>
  <si>
    <t xml:space="preserve">Suministro Ventosa de Ø4" (100 mm) de doble acción, BXB,  cámara doble (incluye válvula de corte Ø4" HD, BXB y Tee partida de Ø16x4" Extremo brida, HD, Juego de  tornillos de 3"x3/8" , arandelas, tuercas, guasas (todo en acero inoxidable)  y empaque de neopreno e=3 mm). </t>
  </si>
  <si>
    <t>Suministro Tubería  PVC (ASTM F794) alcantarillado de 200 mm</t>
  </si>
  <si>
    <t>Instalación de Codo HD 10" x 90° EB x EB</t>
  </si>
  <si>
    <t>Instalación de Tee HD  10" x 10" EB x EB</t>
  </si>
  <si>
    <t>Instalación de Valvula de Compuerta HD sello en Bronce Vastago No Ascendente 10" BxB</t>
  </si>
  <si>
    <t>Instalación de Union de Reparación PVC 10"</t>
  </si>
  <si>
    <t>Instalación de Niple  Acero Al Carbon 10" (250 mm) EB x EB  L: 1,5 m</t>
  </si>
  <si>
    <t>Instalación de Niple  Acero Al Carbon 10" (250 mm) EB x EB  L: 2 m</t>
  </si>
  <si>
    <t>Instalación de Niple  Acero Al Carbon 10" (250 mm) EB x EB  L: 1,2 m</t>
  </si>
  <si>
    <t>Instalación de Niple  Acero Al Carbon 10" (250 mm) EB x EB  L: 7,9 m</t>
  </si>
  <si>
    <t>Instalación de Niple  Acero Al Carbon 10" (250 mm) EB x EB  L: 7,5 m</t>
  </si>
  <si>
    <t>Instalación de Niple  Acero Al Carbon 10" (250 mm) EB x EB  L: 5,2 m</t>
  </si>
  <si>
    <t>Instalación de Niple  Acero Al Carbon 10" (250 mm) EB x EB  L: 26,4 m</t>
  </si>
  <si>
    <t>Instalación de Niple  Acero Al Carbon 10" (250 mm) EB x EB  L: 8 m</t>
  </si>
  <si>
    <t>Instalación de Niple  Acero Al Carbon 10" (250 mm) EB x EB  L: 2,5 m</t>
  </si>
  <si>
    <t>Instalación de Niple  Acero Al Carbon 10" (250 mm) EB x EL  L: 0,5 m  Z=0,2m</t>
  </si>
  <si>
    <t xml:space="preserve">Instalación de Niple  Acero Al Carbon 6" (150 mm) EB x EB  L: 1m </t>
  </si>
  <si>
    <t>Instalación de Union Dresser 10"</t>
  </si>
  <si>
    <t>Instalación de Reduccion Concentrica 10" x 6" HD EB x EB</t>
  </si>
  <si>
    <t>Instalación de Reduccion Concentrica 10" x 8" HD EB x EB</t>
  </si>
  <si>
    <t>Instalación de Niple  Acero Al Carbon 8" (200 mm) EB x EB  L: 1,5 m</t>
  </si>
  <si>
    <t>Instalación de Tee HD 8" x 8" (200 mmx200mm) EB x EB</t>
  </si>
  <si>
    <t>Instalación de Portabrida 8" para Tubería PEAD (Incluye brida tornillos tuercas y arandelas)</t>
  </si>
  <si>
    <t>Suministro de Codo HD 10" x 90° EB x EB</t>
  </si>
  <si>
    <t>Suministro de Tee HD  10" x 10" EB x EB</t>
  </si>
  <si>
    <t>Suministro de Valvula de Compuerta HD sello en Bronce Vastago No Ascendente 10" BxB</t>
  </si>
  <si>
    <t>Suministro de Union de Reparación PVC 10"</t>
  </si>
  <si>
    <t>Suministro de Niple  Acero Al Carbon 10" (250 mm) EB x EB  L: 1,5 m</t>
  </si>
  <si>
    <t>Suministro de Niple  Acero Al Carbon 10" (250 mm) EB x EB  L: 2 m</t>
  </si>
  <si>
    <t>Suministro de Niple  Acero Al Carbon 10" (250 mm) EB x EB  L: 1,2 m</t>
  </si>
  <si>
    <t>Suministro de Niple  Acero Al Carbon 10" (250 mm) EB x EB  L: 7,9 m</t>
  </si>
  <si>
    <t>Suministro de Niple  Acero Al Carbon 10" (250 mm) EB x EB  L: 7,5 m</t>
  </si>
  <si>
    <t>Suministro de Niple  Acero Al Carbon 10" (250 mm) EB x EB  L: 5,2 m</t>
  </si>
  <si>
    <t>Suministro de Niple  Acero Al Carbon 10" (250 mm) EB x EB  L: 26,4 m</t>
  </si>
  <si>
    <t>Suministro de Niple  Acero Al Carbon 10" (250 mm) EB x EB  L: 8 m</t>
  </si>
  <si>
    <t>Suministro de Niple  Acero Al Carbon 10" (250 mm) EB x EB  L: 2,5 m</t>
  </si>
  <si>
    <t>Suministro de Niple  Acero Al Carbon 10" (250 mm) EB x EL  L: 0,5 m  Z=0,2m</t>
  </si>
  <si>
    <t xml:space="preserve">Suministro de Niple  Acero Al Carbon 6" (150 mm) EB x EB  L: 1m </t>
  </si>
  <si>
    <t>Suministro de Union Dresser 10"</t>
  </si>
  <si>
    <t>Suministro de Reduccion Concentrica 10" x 6" HD EB x EB</t>
  </si>
  <si>
    <t>Suministro de Reduccion Concentrica 10" x 8" HD EB x EB</t>
  </si>
  <si>
    <t>Suministro de Niple  Acero Al Carbon 8" (200 mm) EB x EB  L: 1,5 m</t>
  </si>
  <si>
    <t>Suministro de Tee HD 8" x 8" (200 mmx200mm) EB x EB</t>
  </si>
  <si>
    <t>Suministro de Portabrida 8" para PEAD (Incluye brida tornillos tuercas y arandelas)</t>
  </si>
  <si>
    <t>15.1</t>
  </si>
  <si>
    <t>15.2</t>
  </si>
  <si>
    <t>16.2</t>
  </si>
  <si>
    <t>17.1</t>
  </si>
  <si>
    <t>17.2</t>
  </si>
  <si>
    <t>17.3</t>
  </si>
  <si>
    <t>17.4</t>
  </si>
  <si>
    <t>17.5</t>
  </si>
  <si>
    <t>17.6</t>
  </si>
  <si>
    <t>17.7</t>
  </si>
  <si>
    <t>17.8</t>
  </si>
  <si>
    <t>17.9</t>
  </si>
  <si>
    <t>17.10</t>
  </si>
  <si>
    <t>17.11</t>
  </si>
  <si>
    <t>17.12</t>
  </si>
  <si>
    <t>17.13</t>
  </si>
  <si>
    <t>17.14</t>
  </si>
  <si>
    <t>17.15</t>
  </si>
  <si>
    <t>17.16</t>
  </si>
  <si>
    <t>17.17</t>
  </si>
  <si>
    <t>17.18</t>
  </si>
  <si>
    <t>17.19</t>
  </si>
  <si>
    <t>17.20</t>
  </si>
  <si>
    <t>17.21</t>
  </si>
  <si>
    <t>18.1</t>
  </si>
  <si>
    <t>18.2</t>
  </si>
  <si>
    <t>18.3</t>
  </si>
  <si>
    <t>18.4</t>
  </si>
  <si>
    <t>18.5</t>
  </si>
  <si>
    <t>18.6</t>
  </si>
  <si>
    <t>18.7</t>
  </si>
  <si>
    <t>18.8</t>
  </si>
  <si>
    <t>18.9</t>
  </si>
  <si>
    <t>18.10</t>
  </si>
  <si>
    <t>18.11</t>
  </si>
  <si>
    <t>18.12</t>
  </si>
  <si>
    <t>18.13</t>
  </si>
  <si>
    <t>18.14</t>
  </si>
  <si>
    <t>18.15</t>
  </si>
  <si>
    <t>18.16</t>
  </si>
  <si>
    <t>18.17</t>
  </si>
  <si>
    <t>18.18</t>
  </si>
  <si>
    <t>18.19</t>
  </si>
  <si>
    <t>18.20</t>
  </si>
  <si>
    <t>18.21</t>
  </si>
  <si>
    <t xml:space="preserve">Instalación Ventosa de Ø4" (100 mm) de doble acción, BXB,  cámara doble (incluye válvula de corte Ø4" HD, BXB y Tee partida de Ø16x4" Extremo brida, HD, Juego de  tornillos de 3"x3/8" , arandelas, tuercas, guasas (todo en acero inoxidable)  y empaque de neopreno e=3 mm). </t>
  </si>
  <si>
    <t>Instalación Tubería PEAD Ø 400mm (16") PN 12.5 RDE 13.6</t>
  </si>
  <si>
    <t>Instalación Válvula de compuerta Ø4" (100 mm)  sello bronce, BxB, JH. (Incluye Tee 16x4" partida EB, HD, juego de  tornillos de 3"x3/8" , arandelas, tuercas, guasas (todo en acero inoxidable)  y empaque de neopreno e=3 mm). ) (para purga).</t>
  </si>
  <si>
    <t>Ventosa de Ø2" (75 mm) camara doble de acción multiple, BXB,  cámara doble (incluye válvula de corte Ø2" HD, BXB y Tee partida de Ø 6"x2" Extremo brida, HD, Juego de  tornillos de 3"x3/8" , arandelas, tuercas, guasas (todo en acero inoxidable)  y empaque de neopreno e=3 mm)</t>
  </si>
  <si>
    <t xml:space="preserve">Suministro Ventosa de Ø2" (75 mm) de doble acción, BXB,  cámara doble (incluye válvula de corte Ø2" HD, BXB y Tee partida de Ø6x3" Extremo brida, HD, Juego de  tornillos de 3"x3/8" , arandelas, tuercas, guasas (todo en acero inoxidable)  y empaque de neopreno e=3 mm). </t>
  </si>
  <si>
    <t>Ventosa de Ø2" (75 mm) de doble acción, BXB,  cámara doble (incluye válvula de corte Ø2" HD, BXB y Tee partida de Ø6x3" Extremo brida, HD, Juego de  tornillos de 3"x3/8" , arandelas, tuercas, guasas (todo en acero inoxidable)  y empaque de neopreno e=3 mm)</t>
  </si>
  <si>
    <t xml:space="preserve">Instalación Ventosa de Ø2" (75 mm) camara doble de acción multiple, BXB,  cámara doble (incluye válvula de corte Ø2" HD, BXB y Tee partida de Ø 6"x2" Extremo brida, HD, Juego de  tornillos de 3"x3/8" , arandelas, tuercas, guasas (todo en acero inoxidable)  y empaque de neopreno e=3 mm). </t>
  </si>
  <si>
    <t>Instalación Codo Ø 160mmx11.25º (6" x 11.25º) en PEAD  PN10 PE 100</t>
  </si>
  <si>
    <t>Instalación Codo Ø 160mmx22.5º (6" x 22.5º) en PEAD  PN10 PE 100</t>
  </si>
  <si>
    <t>Instalación Codo Ø160mmx45º (6" x 45º) en PEAD  PN10 PE 100</t>
  </si>
  <si>
    <t>Suministro Válvula de compuerta Ø3" (75 mm)  sello bronce, BxB, JH. (Incluye Tee 6"x3" JH HD, juego de  tornillos de 3"x3/8" , arandelas, tuercas, guasas (todo en acero inoxidable)  y empaque de neopreno e=3 mm). ) (para purga).</t>
  </si>
  <si>
    <t>Instalación Válvula de compuerta Ø3" (75 mm)  sello bronce, BxB, JH. (Incluye Tee 6"x3" partida EB, HD, juego de  tornillos de 3"x3/8" , arandelas, tuercas, guasas (todo en acero inoxidable)  y empaque de neopreno e=3 mm). ) (para purga).</t>
  </si>
  <si>
    <t>Suministro Valvula de Compuerta 6" HD sello elastico Vastago No Ascendente  EB x EB (para control a la entrada a la PTAP y para el by-pass).</t>
  </si>
  <si>
    <t>Instalación Valvula de Compuerta 6" HD sello elastico Vastago No Ascendente  EB x EB (para control a la entrada a la PTAP y para el by-pass).</t>
  </si>
  <si>
    <t>TUBERÍA EN PVC</t>
  </si>
  <si>
    <t>Ventosa de Ø2" (75 mm) de doble acción, BXB,  cámara doble (incluye válvula de corte Ø2" HD, BXB y Tee de Ø8x2" Extremo brida, HD, Juego de  tornillos de 2"x3/8" , arandelas, tuercas, guasas (todo en acero inoxidable)  y empaque de neopreno e=3 mm).</t>
  </si>
  <si>
    <t xml:space="preserve">Instalación Ventosa de Ø2" (75 mm) de doble acción, BXB,  cámara doble (incluye válvula de corte Ø2" HD, BXB y Tee de Ø8x3" Extremo brida, HD, Juego de  tornillos de 2"x3/8" , arandelas, tuercas, guasas (todo en acero inoxidable)  y empaque de neopreno e=3 mm). </t>
  </si>
  <si>
    <t>Suministro Válvula de compuerta Ø4" (100 mm)  sello bronce, BxB, JH. (Incluye Tee 8x4" JH HD, juego de  tornillos de 4"x3/8" , arandelas, tuercas, guasas (todo en acero inoxidable)  y empaque de neopreno e=3 mm). ) (para purga).</t>
  </si>
  <si>
    <t>Instalación Válvula de compuerta Ø4" (100 mm)  sello bronce, BxB, JH. (Incluye Tee 8x4" JH HD, juego de  tornillos de 4"x3/8" , arandelas, tuercas, guasas (todo en acero inoxidable)  y empaque de neopreno e=3 mm). ) (para purga).</t>
  </si>
  <si>
    <t>Suministro Válvula de compuerta Ø3" (100 mm)  sello bronce, BxB, JH. (Incluye Tee 6"x3" JH HD, juego de  tornillos de 4"x3/8" , arandelas, tuercas, guasas (todo en acero inoxidable)  y empaque de neopreno e=3 mm). ) (para purga).</t>
  </si>
  <si>
    <t>Instalación Válvula de compuerta Ø3" (75 mm)  sello bronce, BxB, JH. (Incluye Tee 6x3" JH HD, juego de  tornillos de 3"x3/8" , arandelas, tuercas, guasas (todo en acero inoxidable)  y empaque de neopreno e=3 mm). ) (para purga).</t>
  </si>
  <si>
    <t xml:space="preserve">Suministro Válvula de compuerta Ø8" (200 mm)  sello de bronce JH,  para corte del flujo </t>
  </si>
  <si>
    <t xml:space="preserve">Instalación Válvula de compuerta Ø8" (200 mm)  sello de bronce JH,  para corte del flujo </t>
  </si>
  <si>
    <t xml:space="preserve">Suministro Válvula de compuerta Ø6" (150 mm)  sello de bronce JH,  para corte del flujo </t>
  </si>
  <si>
    <t xml:space="preserve"> Válvula de compuerta Ø6" (150 mm)  sello de bronce JH,  para corte del flujo </t>
  </si>
  <si>
    <t xml:space="preserve">Instalación Válvula de compuerta Ø6" (150 mm)  sello de bronce JH,  para corte del flujo </t>
  </si>
  <si>
    <t>Suministro Medidor AQUASOFT de tipo Woltmann Horizontal de Velocidad,
Cuerpo de Hierro Fundido, Bridado, Cámara seca, Modulo
Removible, (Q3/Q1) R=80, Dn100mm (6"), T. 0°-50°,
Transmisión Magnética, Pre-equipado con receptáculo para
emisión de impulsos incluye, empaques, Informe de Calibración
de Fabrica. Cumplen la norma ISO 4064 y la NTC 1063.
Aprobación de Modelo por la comunidad Económica Europea CE
M10 1383 TCM142/10-4736.</t>
  </si>
  <si>
    <t xml:space="preserve">AYUD. ENTENDIDO </t>
  </si>
  <si>
    <t xml:space="preserve">Suministro Macromedidor  AQUASOFT de tipo Woltmann Horizontal de Velocidad 6" </t>
  </si>
  <si>
    <t xml:space="preserve">Instalacion Macromedidor  AQUASOFT de tipo Woltmann Horizontal de Velocidad 6" </t>
  </si>
  <si>
    <t>Instalación Medidor AQUASOFT de tipo Woltmann Horizontal de Velocidad,
Cuerpo de Hierro Fundido, Bridado, Cámara seca, Modulo
Removible, (Q3/Q1) R=80, Dn100mm (6"), T. 0°-50°,
Transmisión Magnética, Pre-equipado con receptáculo para
emisión de impulsos incluye, empaques, Informe de Calibración
de Fabrica. Cumplen la norma ISO 4064 y la NTC 1063.
Aprobación de Modelo por la comunidad Económica Europea CE
M10 1383 TCM142/10-4736.</t>
  </si>
  <si>
    <t>Suministro Medidor AQUASOFT de tipo Woltmann Horizontal de Velocidad,
Cuerpo de Hierro Fundido, Bridado, Cámara seca, Modulo
E00Z0325051201104
WP-SDC DN 200
Removible, (Q3/Q1) R=80, Dn250mm (8"), T. 0°-50°,
Transmisión Magnética, Pre-equipado con receptáculo para
emisión de impulsos incluye, empaques, Informe de Calibración
de Fabrica. Cumplen la norma ISO 4064 y la NTC 1063.
Aprobación de Modelo por la comunidad Económica Europea CE
M10 1383 TCM142/10-4736</t>
  </si>
  <si>
    <t xml:space="preserve">Suministro de Medidor AQUASOFT de tipo Woltmann Horizontal de Velocidad 8" </t>
  </si>
  <si>
    <t xml:space="preserve">Instalación de Medidor AQUASOFT de tipo Woltmann Horizontal de Velocidad 8" </t>
  </si>
  <si>
    <t>Instalación Medidor AQUASOFT de tipo Woltmann Horizontal de Velocidad,
Cuerpo de Hierro Fundido, Bridado, Cámara seca, Modulo
E00Z0325051201104
WP-SDC DN 200
Removible, (Q3/Q1) R=80, Dn250mm (8"), T. 0°-50°,
Transmisión Magnética, Pre-equipado con receptáculo para
emisión de impulsos incluye, empaques, Informe de Calibración
de Fabrica. Cumplen la norma ISO 4064 y la NTC 1063.
Aprobación de Modelo por la comunidad Económica Europea CE
M10 1383 TCM142/10-4736</t>
  </si>
  <si>
    <t>Suministro Medidor AQUASOFT de tipo Woltmann Horizontal de Velocidad,
Cuerpo de Hierro Fundido, Bridado, Cámara seca, Modulo
Removible, (Q3/Q1) R=80, Dn500mm (16"), T. 0°-50°,
Transmisión Magnética, Pre-equipado con receptáculo para
emisión de impulsos incluye, empaques, Informe de Calibración
de Fabrica. Cumplen la norma ISO 4064 y la NTC 1063.
Aprobación de Modelo por la comunidad Económica Europea CE
M10 1383 TCM142/10-4736.</t>
  </si>
  <si>
    <t xml:space="preserve">Suministro de Medidor de tipo Woltmann Horizontal de Velocidad 16" </t>
  </si>
  <si>
    <t xml:space="preserve">Instalación de Medidor de tipo Woltmann Horizontal de Velocidad 16" </t>
  </si>
  <si>
    <t>Instalación Medidor AQUASOFT de tipo Woltmann Horizontal de Velocidad,
Cuerpo de Hierro Fundido, Bridado, Cámara seca, Modulo
Removible, (Q3/Q1) R=80, Dn500mm (16"), T. 0°-50°,
Transmisión Magnética, Pre-equipado con receptáculo para
emisión de impulsos incluye, empaques, Informe de Calibración
de Fabrica. Cumplen la norma ISO 4064 y la NTC 1063.
Aprobación de Modelo por la comunidad Económica Europea CE
M10 1383 TCM142/10-4736.</t>
  </si>
  <si>
    <t>Suministro Codo Ø 200mmx45º (8" x 45º) en PEAD  PN10 PE 100</t>
  </si>
  <si>
    <t xml:space="preserve">AYUD. RASO </t>
  </si>
  <si>
    <t>AYUD. RASO</t>
  </si>
  <si>
    <t>APU IMPULSION CAPTACIÓN - PTAP TIJERETAS</t>
  </si>
  <si>
    <t>correas metálicas en perfil de lámina delgada en forma de c phr 100x50-cal 18, con templetes cada l/3; incluye perfil, templetes, pintura y mano de obra.</t>
  </si>
  <si>
    <t xml:space="preserve">Transporte </t>
  </si>
  <si>
    <t>Correas metálicas en perfil de lámina delgada en forma de c phr 100x50-cal 18, con templetes cada l/3; incluye perfil, templetes, pintura.</t>
  </si>
  <si>
    <t>Cubierta en láminas termoacustic (incluye tejas, tornillos autoperforantes).</t>
  </si>
  <si>
    <t>Suministro de Cubierta en láminas termoacustic (incluye tejas, tornillos autoperforantes).</t>
  </si>
  <si>
    <t>Suministro de Ventana en aluminio y vidrio 1mX1,2m</t>
  </si>
  <si>
    <t>Ventana en aluminio y vidrio 1mX1,2m</t>
  </si>
  <si>
    <t>Instalación de Ventana en aluminio y vidrio 1mX1,2m</t>
  </si>
  <si>
    <t>Suministro de Puerta de 2.0x2.0m en lámina galvanizada, dos hojas de 1.0mx2.0m (incluye puertas, marco, pintura)</t>
  </si>
  <si>
    <t>Puerta de 2.0x2.0m en lámina galvanizada, dos hojas de 1.0mx2.0m (incluye puertas, marco, pintura)</t>
  </si>
  <si>
    <t xml:space="preserve"> Puerta de 2.0x2.0m en lámina galvanizada, dos hojas de 1.0mx2.0m (incluye puertas, marco, pintura)</t>
  </si>
  <si>
    <t>Instalación de Puerta de 2.0x2.0m en lámina galvanizada, dos hojas de 1.0mx2.0m (incluye puertas, marco, pintura)</t>
  </si>
  <si>
    <t>válvula de mariposa bridada en Nylon 11 ó Hierro Dúctil PN10 6" - 150mm - Hvástago=5.80m (incluye operador de engranaje, guías, vástago y rueda de manejo)</t>
  </si>
  <si>
    <t>Suministro de Válvula de mariposa bridada en Nylon 11 ó Hierro Dúctil PN10 6" - 150mm - Hvástago=5.80m (incluye operador de engranaje, guías, vástago y rueda de manejo)</t>
  </si>
  <si>
    <t>Instalación deVálvula de mariposa bridada en Nylon 11 ó Hierro Dúctil PN10 6" - 150mm - Hvástago=5.80m (incluye operador de engranaje, guías, vástago y rueda de manejo)</t>
  </si>
  <si>
    <t>válvula de mariposa bridada en Nylon 11 ó Hierro Dúctil PN10 8" - 200mm - Hvástago=5.80m (incluye operador de engranaje, guías, vástago y rueda de manejo)</t>
  </si>
  <si>
    <t>Suministro de Válvula de mariposa bridada en Nylon 11 ó Hierro Dúctil PN10 8" - 200mm - Hvástago=5.80m (incluye operador de engranaje, guías, vástago y rueda de manejo)</t>
  </si>
  <si>
    <t>Instalación deVálvula de mariposa bridada en Nylon 11 ó Hierro Dúctil PN10 8" - 200mm - Hvástago=5.80m (incluye operador de engranaje, guías, vástago y rueda de manejo)</t>
  </si>
  <si>
    <t>Escalera metálica prefabricada con pasos Ø 1", separados cada 35 cm. Incluye barandas de doble tubo  anticorrosivo y pintura epóxica para evitar la corrosión</t>
  </si>
  <si>
    <t>SuministroEscalera metálica prefabricada con pasos Ø 1", separados cada 35 cm. Incluye barandas de doble tubo  anticorrosivo y pintura epóxica para evitar la corrosión</t>
  </si>
  <si>
    <t>Suministro  de Tapa de inspección en lámina de alfajor calibre 18 de 0.60 m x 0.60 m</t>
  </si>
  <si>
    <t>Tapa de inspección en lámina de alfajor calibre 18 de 0.60 m x 0.60 m</t>
  </si>
  <si>
    <t>Suministro de Tapa de inspección en lámina de alfajor calibre 18 de 0.60 m x 0.60 m</t>
  </si>
  <si>
    <t>Instalación de Tapa de inspección en lámina de alfajor calibre 18 de 0.60 m x 0.60 m</t>
  </si>
  <si>
    <t>Vertedero de control de caudal en lámina de acero de 0.60mx0.70m, según planos</t>
  </si>
  <si>
    <t>Suministro de Vertedero de control de caudal en lámina de acero de 0.60mx0.70m, según planos</t>
  </si>
  <si>
    <t>Suministro  de Vertedero de control de caudal en lámina de acero de 0.60mx0.70m, según planos</t>
  </si>
  <si>
    <t>Instalación de Vertedero de control de caudal en lámina de acero de 0.60mx0.70m, según planos</t>
  </si>
  <si>
    <t>Suministro de Compuerta de chapaleta  de 0.25x0.25 m</t>
  </si>
  <si>
    <t>Compuerta de chapaleta  de 0.25x0.25 m</t>
  </si>
  <si>
    <t xml:space="preserve"> Instalación de Compuerta de chapaleta  de 0.25x0.25 m</t>
  </si>
  <si>
    <t>Instalación de compuerta de chapaleta  de 0.25x0.25 m</t>
  </si>
  <si>
    <t>Suministro de Compuerta lateral 0.60x1.00 m (incluye vástago, volante de operación y rueda de manejo)</t>
  </si>
  <si>
    <t>Compuerta lateral 0.60x1.00 m (incluye vástago, volante de operación y rueda de manejo)</t>
  </si>
  <si>
    <t>Instalación de Compuerta lateral 0.60x1.00 m (incluye vástago, volante de operación y rueda de manejo)</t>
  </si>
  <si>
    <t>Suministro de Compuerta lateral en H.D. de Ø 16" de bridas con sello en bronce (incluye, vástago de extensión, columna de maniobra, rueda de manejo y guía ecualizable para el vástago)</t>
  </si>
  <si>
    <t>Compuerta lateral en H.D. de Ø 16" de bridas con sello en bronce (incluye, vástago de extensión, columna de maniobra, rueda de manejo y guía ecualizable para el vástago)</t>
  </si>
  <si>
    <t>Codos floculantes de 350 mm, en HD incluye pasamuro y longitud de niple de L = 0.4 m</t>
  </si>
  <si>
    <t>Codo floculante de 350 mm, en HD incluye pasamuro y longitud de niple de L = 0.4 m</t>
  </si>
  <si>
    <t>Sumnistro de Codo floculante de 350 mm, en HD incluye pasamuro y longitud de niple de L = 0.4 m</t>
  </si>
  <si>
    <t>Suministro de Codo floculante de 350 mm, en HD incluye pasamuro y longitud de niple de L = 0.4 m</t>
  </si>
  <si>
    <t>Instalacion de Codo floculante de 350 mm, en HD incluye pasamuro y longitud de niple de L = 0.4 m</t>
  </si>
  <si>
    <t>Sumnistro de  Codo floculante de 300 mm, en HD incluye pasamuro y longitud de niple de L = 0.4 m</t>
  </si>
  <si>
    <t>Codo floculante de 300 mm, en HD incluye pasamuro y longitud de niple de L = 0.4 m</t>
  </si>
  <si>
    <t>Instalacion de Codo floculante de 300 mm, en HD incluye pasamuro y longitud de niple de L = 0.4 m</t>
  </si>
  <si>
    <t>Suministro de  Codo floculante de 250 mm, en HD incluye pasamuro y longitud de niple de L = 0.4 m</t>
  </si>
  <si>
    <t>Codo floculante de 250 mm, en HD incluye pasamuro y longitud de niple de L = 0.4 m</t>
  </si>
  <si>
    <t>Suministro de Codo floculante de 250 mm, en HD incluye pasamuro y longitud de niple de L = 0.4 m</t>
  </si>
  <si>
    <t>Instalacion de Codo floculante de 250 mm, en HD incluye pasamuro y longitud de niple de L = 0.4 m</t>
  </si>
  <si>
    <t>Canaleta recolectora de agua sedimentada en fibra de vidrio con orificios de Ø1" B=0.20m H=0.25m L=2.40m</t>
  </si>
  <si>
    <t>Suministro de canaleta recolectora de agua sedimentada en fibra de vidrio con orificios de Ø1" B=0.20m H=0.25m L=2.40m</t>
  </si>
  <si>
    <t>Suministro de Canaleta recolectora de agua sedimentada en fibra de vidrio con orificios de Ø1" B=0.20m H=0.25m L=2.40m</t>
  </si>
  <si>
    <t>Instalación  de Canaleta recolectora de agua sedimentada en fibra de vidrio con orificios de Ø1" B=0.20m H=0.25m L=2.40m</t>
  </si>
  <si>
    <t>Instalación de canaleta recolectora de agua sedimentada en fibra de vidrio con orificios de Ø1" B=0.20m H=0.25m L=2.40m</t>
  </si>
  <si>
    <t>Lecho filtrante de grava</t>
  </si>
  <si>
    <t>Suministro de Lecho filtrante de grava</t>
  </si>
  <si>
    <t xml:space="preserve"> Lecho filtrante de grava</t>
  </si>
  <si>
    <t>Suministro Lecho filtrante de grava</t>
  </si>
  <si>
    <t>Instalación de Lecho filtrante de grava</t>
  </si>
  <si>
    <t>Instalación Lecho filtrante de grava</t>
  </si>
  <si>
    <t>Suministro  de Lecho filtrante de arena</t>
  </si>
  <si>
    <t>Suministro Lecho filtrante de arena</t>
  </si>
  <si>
    <t>Lecho filtrante de arena</t>
  </si>
  <si>
    <t>Instalación Lecho filtrante de arena</t>
  </si>
  <si>
    <t>Instalación de lecho filtrante de arena</t>
  </si>
  <si>
    <t>Suministro de Lecho filtrante de antracita</t>
  </si>
  <si>
    <t xml:space="preserve"> Lecho filtrante de antracita</t>
  </si>
  <si>
    <t>Lecho filtrante de antracita</t>
  </si>
  <si>
    <t>Suministro Lecho filtrante de antracita</t>
  </si>
  <si>
    <t>Instalación Lecho filtrante de antracita</t>
  </si>
  <si>
    <t>Instalación de lecho filtrante de antracita</t>
  </si>
  <si>
    <t>Suministro de Placa plana de fibrocemento para sedimentación acelerada</t>
  </si>
  <si>
    <t>Placa plana de fibrocemento para sedimentación acelerada</t>
  </si>
  <si>
    <t>Instalación de Placa plana de fibrocemento para sedimentación acelerada</t>
  </si>
  <si>
    <t>Instalación  de Placa plana de fibrocemento para sedimentación acelerada</t>
  </si>
  <si>
    <t>Suministro de Separadores de fibrocemento de 5cm x 1.10m</t>
  </si>
  <si>
    <t>Instalación de Separadores de fibrocemento de 5cm x 1.10m</t>
  </si>
  <si>
    <t>Suministro  de Falsos fondos en PRFV o PEAD con boquillas de polietileno de 35 orificios. Densidad mínima de boquillas 64 un/m2</t>
  </si>
  <si>
    <t>Instalación de Falsos fondos en PRFV o PEAD con boquillas de polietileno de 35 orificios. Densidad mínima de boquillas 64 un/m2</t>
  </si>
  <si>
    <t>Suministro de Falsos fondos en PRFV o PEAD con boquillas de polietileno de 35 orificios. Densidad mínima de boquillas 64 un/m2</t>
  </si>
  <si>
    <t xml:space="preserve">Suministro  de escalera metálica prefabricada con pasos Ø 1", separados cada 35 cm. Incluye barandas de doble tubo  anticorrosivo y pintura epóxica para evitar la corrosión para tanque de igualacion </t>
  </si>
  <si>
    <t xml:space="preserve">Instalación de escalera metálica prefabricada con pasos Ø 1", separados cada 35 cm. Incluye barandas de doble tubo  anticorrosivo y pintura epóxica para evitar la corrosión para tanque de igualacion </t>
  </si>
  <si>
    <t>Suministro  de escalera metálica prefabricada con pasos Ø 1", separados cada 35 cm. Incluye barandas de doble tubo  anticorrosivo y pintura epóxica para evitar la corrosión para vertedero de rebose</t>
  </si>
  <si>
    <t>Suministro  de escalera metálica prefabricada con pasos Ø 1", separados cada 35 cm. Incluye barandas de doble tubo  anticorrosivo y pintura epóxica para evitar la corrosión para Acceso camara de control de bombas</t>
  </si>
  <si>
    <t>Instalación de escalera metálica prefabricada con pasos Ø 1", separados cada 35 cm. Incluye barandas de doble tubo  anticorrosivo y pintura epóxica para evitar la corrosión para vertedero de rebose</t>
  </si>
  <si>
    <t xml:space="preserve">Suministro Tapa metalica en alfajor 0,6m x 0,6m </t>
  </si>
  <si>
    <t xml:space="preserve">Suministro de Tapa metalica en alfajor 0,6m x 0,6m </t>
  </si>
  <si>
    <t xml:space="preserve">Instalación de Tapa metalica en alfajor 0,6m x 0,6m  </t>
  </si>
  <si>
    <t xml:space="preserve">Instalación Tapa metalica en alfajor 0,6m x 0,6m </t>
  </si>
  <si>
    <t xml:space="preserve">Suministro Tapa metalica en alfajor 0,7m x 0,8m </t>
  </si>
  <si>
    <t xml:space="preserve">Suministro de Tapa metalica en alfajor 0,7m x 0,8m </t>
  </si>
  <si>
    <t xml:space="preserve">Instalacion de Tapa metalica en alfajor 0,7m x 0,8m </t>
  </si>
  <si>
    <t xml:space="preserve">Instalación Tapa metalica en alfajor 0,7m x 0,8m </t>
  </si>
  <si>
    <t>Suministro Compuerta lateral circular Ø20"</t>
  </si>
  <si>
    <t>Instalación Compuerta lateral circular Ø20"</t>
  </si>
  <si>
    <t>Suministro Respiradero 3" HD</t>
  </si>
  <si>
    <t xml:space="preserve">Suministro de Respiradero  Ø 3" (75mm)  </t>
  </si>
  <si>
    <t xml:space="preserve">InstalacionRespiradero  Ø 3" (75mm)  </t>
  </si>
  <si>
    <t xml:space="preserve">Instalación Respiradero 3" HD </t>
  </si>
  <si>
    <t>Instalacion valvula de retencion (cheque) ∅6" EB X EB</t>
  </si>
  <si>
    <t xml:space="preserve">Suministro de Niple pasamuro de Acero al Carbon de Ø 12", EB x EL, L=0.50m </t>
  </si>
  <si>
    <t xml:space="preserve">Suministro  de Niple pasamuro de Acero al Carbon de Ø 6", EB x EL, L=0.70m </t>
  </si>
  <si>
    <t xml:space="preserve">Suministro de Niple pasamuro de Acero al Carbon de Ø 6", EB x EL, L=1.55m </t>
  </si>
  <si>
    <t xml:space="preserve">Suministro  de Niple pasamuro de Acero al Carbon de Ø 8", EB x EL, L=1.45m </t>
  </si>
  <si>
    <t>Suministro Valvula de retencion (cheque) ∅6" EB X EB</t>
  </si>
  <si>
    <t>Suministro Union de desmontaje tipo dresser ∅8".</t>
  </si>
  <si>
    <t>Suministro Valvula de retencion (cheque) ∅3" EB x EB</t>
  </si>
  <si>
    <t>Suministro Niple pasamuro Acero al Carbón Ø 16" (400mm) L=0,30 ; Z=0,15</t>
  </si>
  <si>
    <t>Suministro Niple pasamuro en Acero al Carbón Ø 6" (400mm) L=0,2 ; Z=0,1</t>
  </si>
  <si>
    <t>Suministro Niple pasamuro Acero al Carbón Ø8'' EBxEL  L=1,50 ; Z=0,58</t>
  </si>
  <si>
    <t>Suministro Niple pasamuro Acero al Carbon Ø8'' EBxEL  L=3,65 ; Z=0,13</t>
  </si>
  <si>
    <t>Instalación de Niple pasamuro de Acero al Carbon de Ø 12", EB x EL, L=0.50m</t>
  </si>
  <si>
    <t xml:space="preserve">Instalación  de Niple pasamuro  de Acero al Carbon de Ø 12", EB x EL, L=5.55m </t>
  </si>
  <si>
    <t xml:space="preserve">Instalación de Niple pasamuro  de Acero al Carbon de Ø 6", EB x EL, L=0.50m </t>
  </si>
  <si>
    <t xml:space="preserve">Instalación de Niple pasamuro de Acero al Carbon de Ø 8", EB x EL, L=1.45m </t>
  </si>
  <si>
    <t xml:space="preserve">Instalación de Niple pasamuro de Acero al Carbon de Ø 6", EB x EL, L=0.70m </t>
  </si>
  <si>
    <t xml:space="preserve">Instalación de Niple pasamuro de Acero al Carbon de Ø 6", EB x EL, L=1.55m </t>
  </si>
  <si>
    <t>Inslatación Niple PVC Ø 16" (400mm)   L: 1m</t>
  </si>
  <si>
    <t>Instalación de escalera metálica prefabricada con pasos Ø 1", separados cada 35 cm. Incluye barandas de doble tubo  anticorrosivo y pintura epóxica para evitar la corrosión para Acceso camara de control de bombas</t>
  </si>
  <si>
    <t>Suministro Niple PVC Ø 16" (400mm)   L: 1m</t>
  </si>
  <si>
    <t>Instalacion Niple Acero al Carbon ∅6" EB X EB l=3.45m.</t>
  </si>
  <si>
    <t>Instalacion Unión de desmontaje rigida autoportante ∅8".</t>
  </si>
  <si>
    <t>Instalacion Niple Acero al Carbon ∅8" EB X EL  L=1.00m.</t>
  </si>
  <si>
    <t>Instalacion Union de desmontaje tipo dresser ∅8".</t>
  </si>
  <si>
    <t>Instalacion Valvula de retencion (cheque) ∅3" EB X EB</t>
  </si>
  <si>
    <t>Instalacion Niple Acero al Carbon ∅6" EB X EB L=0.50m.</t>
  </si>
  <si>
    <t>Instalacion Union de desmontaje rigida autoportante ∅6".</t>
  </si>
  <si>
    <t>Instalacion Niple pasamuro Acero al carbón Ø 16" (400mm) L=0,30 ; Z=0,15</t>
  </si>
  <si>
    <t>Instalacion Niple pasamuro Acero al Carbón Ø 6" (400mm) L=0,2 ; Z=0,1</t>
  </si>
  <si>
    <t>Instalacion Niple pasamuro Acero al Carbon Ø8'' EBxEL  L=1,50 ; Z=0,58</t>
  </si>
  <si>
    <t>Instalacion Niple pasamuro Acero al Carbon Ø8'' EBxEL  L=3,65 ; Z=0,13</t>
  </si>
  <si>
    <t xml:space="preserve">Suministro de Niple pasamuro  de Acero al Carbon de Ø 12", EB x EL, L=5.55m </t>
  </si>
  <si>
    <t xml:space="preserve">Niple pasamuro  de Acero al Carbon de Ø 12", EB x EL, L=5.55m </t>
  </si>
  <si>
    <t>Niple pasamuro de Acero al Carbon de Ø 6", EB x EL, L=0.50m</t>
  </si>
  <si>
    <t>Niple pasamuro de Acero al Carbon de Ø 6", EB x EL, L=0.70m</t>
  </si>
  <si>
    <t>Niple pasamuro de Acero al Carbon de Ø 6", EB x EL, L=1.55m</t>
  </si>
  <si>
    <t>Niple pasamuro de Acero al Carbon de Ø 8", EB x EL, L=1.45m</t>
  </si>
  <si>
    <t>Niple Acero al Carbon ∅6" EB X EB L=3.45m</t>
  </si>
  <si>
    <t>Niple Acero al Carbon ∅6" EB X EB con pasamuro L=0.50m</t>
  </si>
  <si>
    <t xml:space="preserve">Niple pasamuro  de Acero al Carbon de Ø 12", EB x EL, L=0.50m </t>
  </si>
  <si>
    <t>Niple pasamuro de Acero al Carbon de Ø 12", EB x EL, L=0.50m</t>
  </si>
  <si>
    <t>Suministro de Niple pasamuro de Acero al Carbon de Ø 12", EB x EL, L=0.50m</t>
  </si>
  <si>
    <t>Niple pasamuro  de Acero al Carbon de Ø 12", EB x EL, L=5.55m</t>
  </si>
  <si>
    <t>Suministro de  Niple pasamuro  de Acero al Carbon de Ø 12", EB x EL, L=5.55m</t>
  </si>
  <si>
    <t>Instalación deNiple pasamuro  de Acero al Carbon de Ø 12", EB x EL, L=5.55m</t>
  </si>
  <si>
    <t xml:space="preserve">Suministro de Niple pasamuro  de Acero al Carbon de Ø 6", EB x EL, L=0.50m </t>
  </si>
  <si>
    <t xml:space="preserve">Niple pasamuro  de Acero al Carbon de Ø 6", EB x EL, L=0.50m </t>
  </si>
  <si>
    <t>Concreto de 280kg/cm2 - 4000 psi para escalera sobre pasarela con viga central (incluye formaleta)</t>
  </si>
  <si>
    <t xml:space="preserve"> Niple pasamuro de Acero al Carbon de Ø 6", EB x EL, L=0.70m</t>
  </si>
  <si>
    <t>Suministro de  Niple pasamuro de Acero al Carbon de Ø 6", EB x EL, L=0.70m</t>
  </si>
  <si>
    <t>Instalación de  Niple pasamuro de Acero al Carbon de Ø 6", EB x EL, L=0.70m</t>
  </si>
  <si>
    <t xml:space="preserve"> Niple pasamuro de Acero al Carbon de Ø 6", EB x EL, L=1.55m </t>
  </si>
  <si>
    <t xml:space="preserve">Suministro de  Niple pasamuro de Acero al Carbon de Ø 6", EB x EL, L=1.55m </t>
  </si>
  <si>
    <t xml:space="preserve">Instalación de  Niple pasamuro de Acero al Carbon de Ø 6", EB x EL, L=1.55m </t>
  </si>
  <si>
    <t xml:space="preserve">Niple pasamuro de Acero al Carbon de Ø 8", EB x EL, L=1.45m </t>
  </si>
  <si>
    <t xml:space="preserve">Suministro de Niple pasamuro de Acero al Carbon de Ø 8", EB x EL, L=1.45m </t>
  </si>
  <si>
    <t>Suministro Niple Acero al Carbon ∅6" EB X EB L=3.45m.</t>
  </si>
  <si>
    <t>Suministro de Niple Acero al Carbon ∅6" EB X EB L=3.45m</t>
  </si>
  <si>
    <t>Instalación de Niple Acero al Carbon ∅6" EB X EB L=3.45m.</t>
  </si>
  <si>
    <t>Suministro Niple Acero al Carbon ∅6" EB X EB con pasamuro L=0.50m</t>
  </si>
  <si>
    <t>Instalación de Niple Acero al Carbon ∅6" EB X EB con pasamuro L=0.50m</t>
  </si>
  <si>
    <t>Instalacion Niple Acero al Carbon  ∅6" EB X EB con pasamuro L=0.50m.</t>
  </si>
  <si>
    <t>Valvula de retencion (cheque) ∅6" EB X EB</t>
  </si>
  <si>
    <t>Suministro de Valvula de retencion (cheque) ∅6" EB X EB</t>
  </si>
  <si>
    <t>Instalacion de Valvula de retencion (cheque) ∅6" EB X EB</t>
  </si>
  <si>
    <t>Suministro Niple Acero al Carbon ∅8" EB X EB L=0.54m.</t>
  </si>
  <si>
    <t>Niple Acero al Carbon ∅8" EB X EB L=0.54m.</t>
  </si>
  <si>
    <t>Niple Acero al Carbon ∅8" EB X EB L=0.54m</t>
  </si>
  <si>
    <t>Suministro de Niple Acero al Carbon ∅8" EB X EB L=0.54m</t>
  </si>
  <si>
    <t>Instalación de Niple Acero al Carbon ∅8" EB X EB L=0.54m.</t>
  </si>
  <si>
    <t>Instalacion Niple Acero al Carbon ∅8" EB X EB L=0.54m.</t>
  </si>
  <si>
    <t>Suministro Niple Acero al Carbon ∅8" EB X EL L=0.40m.</t>
  </si>
  <si>
    <t>Niple Acero al Carbon ∅8" EB X EL L=0.40m</t>
  </si>
  <si>
    <t>Suministro de Niple Acero al Carbon ∅8" EB X EL L=0.40m</t>
  </si>
  <si>
    <t>Instalación de Niple Acero al Carbon ∅8" EB X EL L=0.40m</t>
  </si>
  <si>
    <t>Instalacion Niple Acero al Carbon ∅8" EB X EL L=0.40m.</t>
  </si>
  <si>
    <t>Union de desmontaje rigida autoportante ∅8"</t>
  </si>
  <si>
    <t>Union de desmontaje rigida autoportante ∅8".</t>
  </si>
  <si>
    <t>Suministro Union de desmontaje rigida autoportante ∅8"</t>
  </si>
  <si>
    <t>Suministro de Union de desmontaje rigida autoportante ∅8"</t>
  </si>
  <si>
    <t>Instalacion de Union de desmontaje rigida autoportante ∅8"</t>
  </si>
  <si>
    <t>Niple Acero al Carbon ∅8" EB X EL L=1.00m.</t>
  </si>
  <si>
    <t>Suministro Niple Acero al Carbon ∅8" EB X EL L=1.0m</t>
  </si>
  <si>
    <t>Suministro de Niple Acero al Carbon ∅8" EB X EL L=1.00m.</t>
  </si>
  <si>
    <t>Instalación de Niple Acero al Carbon ∅8" EB X EL L=1.00m.</t>
  </si>
  <si>
    <t>Union de desmontaje tipo dresser ∅8".</t>
  </si>
  <si>
    <t>Union de desmontaje tipo dresser ∅8"</t>
  </si>
  <si>
    <t>Suministro de Union de desmontaje tipo dresser ∅8"</t>
  </si>
  <si>
    <t>Instalacion de Union de desmontaje tipo dresser ∅8"</t>
  </si>
  <si>
    <t>Niple Acero al Carbon ∅8" EB X EL l=8.90m</t>
  </si>
  <si>
    <t>Niple Acero al Carbon ∅8" EB X EL L=8.90m</t>
  </si>
  <si>
    <t>Suministro de Niple Acero al Carbon ∅8" EB X EL l=8.90m</t>
  </si>
  <si>
    <t>Instalación de Niple Acero al Carbon ∅8" EB X EL l=8.90m</t>
  </si>
  <si>
    <t>Suministro Niple Acero al Carbon ∅8" EB X EL L=8.90m</t>
  </si>
  <si>
    <t>Suministro Niple Acero al Carbon ∅8" EB X EL L=5.80m</t>
  </si>
  <si>
    <t>Niple Acero al Carbon ∅8" EB X EL L=5.80m</t>
  </si>
  <si>
    <t>Suministro de Niple Acero al Carbon ∅8" EB X EL L=5.80m</t>
  </si>
  <si>
    <t>Instalación de Niple Acero al Carbon ∅8" EB X EL L=5.80m</t>
  </si>
  <si>
    <t>Instalacion Niple Acero al Carbon ∅8" EB X EL l=5.80m</t>
  </si>
  <si>
    <t>Instalacion Niple Acero al Carbon ∅8" EB X EL l=8.90m</t>
  </si>
  <si>
    <t>Niple Acero al Carbon ∅3" EB X EB l=4.86m.</t>
  </si>
  <si>
    <t>Suministro de Niple Acero al Carbon ∅3" EB X EB l=4.86m</t>
  </si>
  <si>
    <t>Instalación de Niple Acero al Carbon ∅3" EB X EB l=4.86m</t>
  </si>
  <si>
    <t>Niple Acero al Carbon ∅3" EB X EB L=4.86m</t>
  </si>
  <si>
    <t>Suministro Niple Acero al Carbon ∅3" EB X EB L=4.86m</t>
  </si>
  <si>
    <t>Suministro Niple Acero al Carbon ∅3" EB X EB con pasamuro L=0.50m</t>
  </si>
  <si>
    <t>Niple Acero al Carbon ∅3" EB X EB con pasamuro L=0.50m</t>
  </si>
  <si>
    <t>Suministro de Niple Acero al Carbon ∅3" EB X EB con pasamuro L=0.50m</t>
  </si>
  <si>
    <t>Instalación de Niple Acero al Carbon ∅3" EB X EB con pasamuro L=0.50m</t>
  </si>
  <si>
    <t>Instalacion Niple Acero al Carbon ∅3" EB X EB con pasamuro L=0.50m.</t>
  </si>
  <si>
    <t>Instalacion Niple Acero al Carbon ∅3" EB X EB L=4.86m</t>
  </si>
  <si>
    <t>Valvula de retencion (cheque) ∅3" EB x EB</t>
  </si>
  <si>
    <t>Niple Acero al Carbon ∅3" EB X EB con pasamuro l=0.50m</t>
  </si>
  <si>
    <t>Suministro de Valvula de retencion (cheque) ∅3" EB x EB</t>
  </si>
  <si>
    <t>Instalacion de Valvula de retencion (cheque) ∅3" EB x EB</t>
  </si>
  <si>
    <t>Suministro Niple Acero al Carbon ∅6" EB X EB L=0.50m</t>
  </si>
  <si>
    <t>Niple Acero al Carbon ∅6" EB X EB L=0.50m</t>
  </si>
  <si>
    <t>Suministro de Niple Acero al Carbon ∅6" EB X EB L=0.50m</t>
  </si>
  <si>
    <t>Instalación de Niple Acero al Carbon ∅6" EB X EB L=0.50m</t>
  </si>
  <si>
    <t>Suministro Niple Acero al Carbon ∅6" EB X EL L=0.55m</t>
  </si>
  <si>
    <t>Niple Acero al Carbon ∅6" EB X EL L=0.55m</t>
  </si>
  <si>
    <t>Suministro de Niple Acero al Carbon ∅6" EB X EL L=0.55m</t>
  </si>
  <si>
    <t>Instalacion de Niple Acero al Carbon ∅6" EB X EL L=0.55m</t>
  </si>
  <si>
    <t>Instalacion Niple Acero al Carbon ∅6" EB X EL L=0.55m</t>
  </si>
  <si>
    <t>Suministro Union de desmontaje rigida autoportante ∅6"</t>
  </si>
  <si>
    <t>Union de desmontaje rigida autoportante ∅6"</t>
  </si>
  <si>
    <t>Suministro de Union de desmontaje rigida autoportante ∅6"</t>
  </si>
  <si>
    <t>Instalacion de Union de desmontaje rigida autoportante ∅6"</t>
  </si>
  <si>
    <t>Niple Acero al Carbon ∅6" EB X EL l=0.70m</t>
  </si>
  <si>
    <t>Suministro Niple Acero al Carbon ∅6" EB X EL L=0.70m</t>
  </si>
  <si>
    <t>Niple Acero al Carbon ∅6" EB X EL L=0.70m</t>
  </si>
  <si>
    <t>Suministro de Niple Acero al Carbon ∅6" EB X EL L=0.70m</t>
  </si>
  <si>
    <t>Instalación de Niple Acero al Carbon ∅6" EB X EL L=0.70m</t>
  </si>
  <si>
    <t>Instalacion Niple Acero al Carbon ∅6" EB X EL L=0.70m</t>
  </si>
  <si>
    <t>Niple pasamuro Acero al carbón Ø 16" (400mm) L=0,30 ; Z=0,15</t>
  </si>
  <si>
    <t>Niple pasamuro Acero al Carbón Ø 16" (400mm) L=0,30 ; Z=0,15</t>
  </si>
  <si>
    <t>Suministro de Niple pasamuro Acero al Carbón Ø 16" (400mm) L=0,30 ; Z=0,15</t>
  </si>
  <si>
    <t>Instalación de Niple pasamuro Acero al Carbón Ø 16" (400mm) L=0,30 ; Z=0,15</t>
  </si>
  <si>
    <t>Niple pasamuro en Acero al Carbón Ø 6" (400mm) L=0,2 ; Z=0,1</t>
  </si>
  <si>
    <t>Instalación Niple pasamuro en Acero al Carbón Ø 6" (400mm) L=0,2 ; Z=0,1</t>
  </si>
  <si>
    <t>Niple pasamuro Acero al Carbón Ø8'' EBxEL  L=1,50 ; Z=0,58</t>
  </si>
  <si>
    <t>Suministro de Niple pasamuro Acero al Carbón Ø8'' EBxEL  L=1,50 ; Z=0,58</t>
  </si>
  <si>
    <t>Instalación de Niple pasamuro Acero al Carbón Ø8'' EBxEL  L=1,50 ; Z=0,58</t>
  </si>
  <si>
    <t>Niple pasamuro Acero al Carbon Ø8'' EBxEL  L=3,65 ; Z=0,13</t>
  </si>
  <si>
    <t>Suministro de Niple pasamuro Acero al Carbon Ø8'' EBxEL  L=3,65 ; Z=0,13</t>
  </si>
  <si>
    <t>Instalación de Niple pasamuro Acero al Carbon Ø8'' EBxEL  L=3,65 ; Z=0,13</t>
  </si>
  <si>
    <t xml:space="preserve">MARTILLO DEMOLEDOR </t>
  </si>
  <si>
    <t>MARTILLO DEMOLEDOR</t>
  </si>
  <si>
    <t xml:space="preserve">AYUDANTE ENTENDIDO </t>
  </si>
  <si>
    <t>Suministro Rebose 6" en HD</t>
  </si>
  <si>
    <t>Suministro Respiradero 4" en HD</t>
  </si>
  <si>
    <t>Instalación Respiradero 4" en HD</t>
  </si>
  <si>
    <t>Instalación Rebose 6" en HD</t>
  </si>
  <si>
    <t>Respiradero 4" en HD</t>
  </si>
  <si>
    <t>Rebose 6" en HD</t>
  </si>
  <si>
    <t>Suminsitro Respiradero 4" en HD</t>
  </si>
  <si>
    <t>Instalacion Respiradero 4" en HD</t>
  </si>
  <si>
    <t>Instalacion Rebose 6" en HD</t>
  </si>
  <si>
    <t xml:space="preserve">Cajas de inspección de 1.2mx1.2mx1.4 m con espesor de 10cm para válvula en bloque de concreto  (incluye  tapa en lámina de alfajor) </t>
  </si>
  <si>
    <t xml:space="preserve"> COSTO TOTAL LÍNEAS DE IMPULSIÓN - CONDUCCIÓN </t>
  </si>
  <si>
    <t>COSTO TOTAL SISTEMA ELECTRO-MECANICO LINEA DE IMPULSION CAPTACIÓN - TIJERETAS</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</si>
  <si>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</si>
  <si>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</si>
  <si>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</si>
  <si>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</si>
  <si>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</si>
  <si>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</si>
  <si>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</si>
  <si>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</si>
  <si>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</si>
  <si>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</si>
  <si>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</si>
  <si>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</si>
  <si>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</si>
  <si>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</si>
  <si>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</si>
  <si>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</si>
  <si>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</si>
  <si>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</si>
  <si>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</si>
  <si>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</si>
  <si>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</si>
  <si>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</si>
  <si>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</si>
  <si>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</si>
  <si>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</si>
  <si>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</si>
  <si>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</si>
  <si>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</si>
  <si>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</si>
  <si>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</si>
  <si>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</si>
  <si>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</si>
  <si>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</si>
  <si>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</si>
  <si>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</si>
  <si>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</si>
  <si>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</si>
  <si>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</si>
  <si>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19.1</t>
  </si>
  <si>
    <t>19.2</t>
  </si>
  <si>
    <t>19.3</t>
  </si>
  <si>
    <t>19.4</t>
  </si>
  <si>
    <t>19.5</t>
  </si>
  <si>
    <t>19.6</t>
  </si>
  <si>
    <t>19.7</t>
  </si>
  <si>
    <t>19.8</t>
  </si>
  <si>
    <t>19.9</t>
  </si>
  <si>
    <t>19.10</t>
  </si>
  <si>
    <t>20.1</t>
  </si>
  <si>
    <t>20.2</t>
  </si>
  <si>
    <t>20.3</t>
  </si>
  <si>
    <t>20.4</t>
  </si>
  <si>
    <t>20.5</t>
  </si>
  <si>
    <t>20.6</t>
  </si>
  <si>
    <t>20.7</t>
  </si>
  <si>
    <t>20.8</t>
  </si>
  <si>
    <t>21.1</t>
  </si>
  <si>
    <t>21.2</t>
  </si>
  <si>
    <t>21.3</t>
  </si>
  <si>
    <t>21.4</t>
  </si>
  <si>
    <t>21.5</t>
  </si>
  <si>
    <t>22.1</t>
  </si>
  <si>
    <t>22.2</t>
  </si>
  <si>
    <t>23.1</t>
  </si>
  <si>
    <t>23.2</t>
  </si>
  <si>
    <t>23.3</t>
  </si>
  <si>
    <t>23.4</t>
  </si>
  <si>
    <t>23.5</t>
  </si>
  <si>
    <t>23.6</t>
  </si>
  <si>
    <t>23.7</t>
  </si>
  <si>
    <t>23.8</t>
  </si>
  <si>
    <t>23.9</t>
  </si>
  <si>
    <t>23.10</t>
  </si>
  <si>
    <t>23.11</t>
  </si>
  <si>
    <t>23.12</t>
  </si>
  <si>
    <t>23.13</t>
  </si>
  <si>
    <t>23.14</t>
  </si>
  <si>
    <t>23.15</t>
  </si>
  <si>
    <t>23.16</t>
  </si>
  <si>
    <t>24.1</t>
  </si>
  <si>
    <t>25.1</t>
  </si>
  <si>
    <t>26.1</t>
  </si>
  <si>
    <t>27.1</t>
  </si>
  <si>
    <t>28.1</t>
  </si>
  <si>
    <t>28.2</t>
  </si>
  <si>
    <t>28.3</t>
  </si>
  <si>
    <t>28.4</t>
  </si>
  <si>
    <t>28.5</t>
  </si>
  <si>
    <t>28.6</t>
  </si>
  <si>
    <t>28.7</t>
  </si>
  <si>
    <t>28.8</t>
  </si>
  <si>
    <t>29.1</t>
  </si>
  <si>
    <t>29.1.1</t>
  </si>
  <si>
    <t>29.1.2</t>
  </si>
  <si>
    <t>29.1.3</t>
  </si>
  <si>
    <t>29.1.4</t>
  </si>
  <si>
    <t>29.1.5</t>
  </si>
  <si>
    <t>29.1.6</t>
  </si>
  <si>
    <t>29.1.7</t>
  </si>
  <si>
    <t>29.1.8</t>
  </si>
  <si>
    <t>29.1.9</t>
  </si>
  <si>
    <t>29.1.10</t>
  </si>
  <si>
    <t>29.1.11</t>
  </si>
  <si>
    <t>29.1.12</t>
  </si>
  <si>
    <t>29.1.13</t>
  </si>
  <si>
    <t>29.1.14</t>
  </si>
  <si>
    <t>29.1.15</t>
  </si>
  <si>
    <t>29.2</t>
  </si>
  <si>
    <t>29.2.1</t>
  </si>
  <si>
    <t>29.2.2</t>
  </si>
  <si>
    <t>29.2.3</t>
  </si>
  <si>
    <t>29.2.4</t>
  </si>
  <si>
    <t>29.2.5</t>
  </si>
  <si>
    <t>29.2.6</t>
  </si>
  <si>
    <t>29.3</t>
  </si>
  <si>
    <t>29.3.1</t>
  </si>
  <si>
    <t>29.3.2</t>
  </si>
  <si>
    <t>29.3.3</t>
  </si>
  <si>
    <t>29.3.4</t>
  </si>
  <si>
    <t>29.4</t>
  </si>
  <si>
    <t>29.4.1</t>
  </si>
  <si>
    <t>29.4.2</t>
  </si>
  <si>
    <t>29.4.3</t>
  </si>
  <si>
    <t>29.4.4</t>
  </si>
  <si>
    <t>30.1</t>
  </si>
  <si>
    <t>30.2</t>
  </si>
  <si>
    <t>30.3</t>
  </si>
  <si>
    <t>30.4</t>
  </si>
  <si>
    <t>31.1</t>
  </si>
  <si>
    <t>31.2</t>
  </si>
  <si>
    <t>31.3</t>
  </si>
  <si>
    <t>32.1</t>
  </si>
  <si>
    <t>32.2</t>
  </si>
  <si>
    <t>32.3</t>
  </si>
  <si>
    <t>30.5</t>
  </si>
  <si>
    <t>30.6</t>
  </si>
  <si>
    <t>30.7</t>
  </si>
  <si>
    <t>30.8</t>
  </si>
  <si>
    <t>30.9</t>
  </si>
  <si>
    <t>30.10</t>
  </si>
  <si>
    <t>30.11</t>
  </si>
  <si>
    <t>30.12</t>
  </si>
  <si>
    <t>33.1</t>
  </si>
  <si>
    <t>33.2</t>
  </si>
  <si>
    <t>33.3</t>
  </si>
  <si>
    <t>33.4</t>
  </si>
  <si>
    <t>33.5</t>
  </si>
  <si>
    <t>33.6</t>
  </si>
  <si>
    <t>33.7</t>
  </si>
  <si>
    <t>33.8</t>
  </si>
  <si>
    <t>33.9</t>
  </si>
  <si>
    <t>33.10</t>
  </si>
  <si>
    <t>33.11</t>
  </si>
  <si>
    <t>33.12</t>
  </si>
  <si>
    <t>34.1</t>
  </si>
  <si>
    <t>34.2</t>
  </si>
  <si>
    <t>35.1</t>
  </si>
  <si>
    <t>35.2</t>
  </si>
  <si>
    <t>36.1</t>
  </si>
  <si>
    <t>36.2</t>
  </si>
  <si>
    <t>36.3</t>
  </si>
  <si>
    <t>36.4</t>
  </si>
  <si>
    <t>36.5</t>
  </si>
  <si>
    <t>36.6</t>
  </si>
  <si>
    <t>37.1</t>
  </si>
  <si>
    <t>37.2</t>
  </si>
  <si>
    <t>37.3</t>
  </si>
  <si>
    <t>37.4</t>
  </si>
  <si>
    <t>37.5</t>
  </si>
  <si>
    <t>37.6</t>
  </si>
  <si>
    <t>37.7</t>
  </si>
  <si>
    <t>37.8</t>
  </si>
  <si>
    <t>37.9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</si>
  <si>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</si>
  <si>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</si>
  <si>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</si>
  <si>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</si>
  <si>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</si>
  <si>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</si>
  <si>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</si>
  <si>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</si>
  <si>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</si>
  <si>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</si>
  <si>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</si>
  <si>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</si>
  <si>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</si>
  <si>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</si>
  <si>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</si>
  <si>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</si>
  <si>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</si>
  <si>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</si>
  <si>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</si>
  <si>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</si>
  <si>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</si>
  <si>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</si>
  <si>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</si>
  <si>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</si>
  <si>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</si>
  <si>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</si>
  <si>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</si>
  <si>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</si>
  <si>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</si>
  <si>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</si>
  <si>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</si>
  <si>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</si>
  <si>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</si>
  <si>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</si>
  <si>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</si>
  <si>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</si>
  <si>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</si>
  <si>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</si>
  <si>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</si>
  <si>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</si>
  <si>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</si>
  <si>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</si>
  <si>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</si>
  <si>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</si>
  <si>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</si>
  <si>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</si>
  <si>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</si>
  <si>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</si>
  <si>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</si>
  <si>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</si>
  <si>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</si>
  <si>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</si>
  <si>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</si>
  <si>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</si>
  <si>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</si>
  <si>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</si>
  <si>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</si>
  <si>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</si>
  <si>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</si>
  <si>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38.1</t>
  </si>
  <si>
    <t>38.2</t>
  </si>
  <si>
    <t>38.3</t>
  </si>
  <si>
    <t>39.1</t>
  </si>
  <si>
    <t>39.2</t>
  </si>
  <si>
    <t>39.3</t>
  </si>
  <si>
    <t>39.4</t>
  </si>
  <si>
    <t>39.5</t>
  </si>
  <si>
    <t>39.6</t>
  </si>
  <si>
    <t>40.1</t>
  </si>
  <si>
    <t>41.1</t>
  </si>
  <si>
    <t>41.2</t>
  </si>
  <si>
    <t>42.1</t>
  </si>
  <si>
    <t>43.1</t>
  </si>
  <si>
    <t>44.1</t>
  </si>
  <si>
    <t>45.1</t>
  </si>
  <si>
    <t>46.1</t>
  </si>
  <si>
    <t>47.1</t>
  </si>
  <si>
    <t>48.1</t>
  </si>
  <si>
    <t>48.2</t>
  </si>
  <si>
    <t>48.3</t>
  </si>
  <si>
    <t>49.1</t>
  </si>
  <si>
    <t>49.2</t>
  </si>
  <si>
    <t>49.3</t>
  </si>
  <si>
    <t>49.4</t>
  </si>
  <si>
    <t>49.5</t>
  </si>
  <si>
    <t>49.6</t>
  </si>
  <si>
    <t>49.7</t>
  </si>
  <si>
    <t>50.1</t>
  </si>
  <si>
    <t>50.2</t>
  </si>
  <si>
    <t>50.3</t>
  </si>
  <si>
    <t>51.1</t>
  </si>
  <si>
    <t>52.1</t>
  </si>
  <si>
    <t>53.1</t>
  </si>
  <si>
    <t>53.2</t>
  </si>
  <si>
    <t>53.3</t>
  </si>
  <si>
    <t>OPTIMIZACIÓN Y PROYECCIÓN DE LÍNEA DE IMPULSIÓN PTAP TIJERETAS - TANQUE PATAGONIA</t>
  </si>
  <si>
    <t>54.1</t>
  </si>
  <si>
    <t>54.2</t>
  </si>
  <si>
    <t>54.3</t>
  </si>
  <si>
    <t>54.4</t>
  </si>
  <si>
    <t>54.5</t>
  </si>
  <si>
    <t>54.6</t>
  </si>
  <si>
    <t>54.7</t>
  </si>
  <si>
    <t>54.8</t>
  </si>
  <si>
    <t>54.9</t>
  </si>
  <si>
    <t>54.10</t>
  </si>
  <si>
    <t>54.11</t>
  </si>
  <si>
    <t>54.12</t>
  </si>
  <si>
    <t>54.13</t>
  </si>
  <si>
    <t>54.14</t>
  </si>
  <si>
    <t>54.15</t>
  </si>
  <si>
    <t>54.16</t>
  </si>
  <si>
    <t>54.17</t>
  </si>
  <si>
    <t>54.18</t>
  </si>
  <si>
    <t>55.1</t>
  </si>
  <si>
    <t>56.1</t>
  </si>
  <si>
    <t>56.2</t>
  </si>
  <si>
    <t>56.3</t>
  </si>
  <si>
    <t>56.4</t>
  </si>
  <si>
    <t>56.5</t>
  </si>
  <si>
    <t>56.6</t>
  </si>
  <si>
    <t>57.1</t>
  </si>
  <si>
    <t>57.2</t>
  </si>
  <si>
    <t>57.3</t>
  </si>
  <si>
    <t>57.4</t>
  </si>
  <si>
    <t>57.5</t>
  </si>
  <si>
    <t>57.6</t>
  </si>
  <si>
    <t>57.7</t>
  </si>
  <si>
    <t>57.8</t>
  </si>
  <si>
    <t>58.1</t>
  </si>
  <si>
    <t>58.2</t>
  </si>
  <si>
    <t>58.3</t>
  </si>
  <si>
    <t>58.4</t>
  </si>
  <si>
    <t>58.5</t>
  </si>
  <si>
    <t>58.6</t>
  </si>
  <si>
    <t>58.7</t>
  </si>
  <si>
    <t>59.1</t>
  </si>
  <si>
    <t>60.1</t>
  </si>
  <si>
    <t>60.2</t>
  </si>
  <si>
    <t>60.3</t>
  </si>
  <si>
    <t>60.4</t>
  </si>
  <si>
    <t>60.5</t>
  </si>
  <si>
    <t>60.6</t>
  </si>
  <si>
    <t>60.7</t>
  </si>
  <si>
    <t>60.8</t>
  </si>
  <si>
    <t>60.9</t>
  </si>
  <si>
    <t>60.10</t>
  </si>
  <si>
    <t>61.1</t>
  </si>
  <si>
    <t>61.2</t>
  </si>
  <si>
    <t>61.3</t>
  </si>
  <si>
    <t>61.4</t>
  </si>
  <si>
    <t>61.5</t>
  </si>
  <si>
    <t>62.1</t>
  </si>
  <si>
    <t>62.2</t>
  </si>
  <si>
    <t>62.3</t>
  </si>
  <si>
    <t>63.1</t>
  </si>
  <si>
    <t>63.2</t>
  </si>
  <si>
    <t>64.1</t>
  </si>
  <si>
    <t>64.2</t>
  </si>
  <si>
    <t>64.3</t>
  </si>
  <si>
    <t>65.1</t>
  </si>
  <si>
    <t>66.1</t>
  </si>
  <si>
    <t>66.2</t>
  </si>
  <si>
    <t>66.3</t>
  </si>
  <si>
    <t>66.4</t>
  </si>
  <si>
    <t>66.5</t>
  </si>
  <si>
    <t>66.6</t>
  </si>
  <si>
    <t>66.7</t>
  </si>
  <si>
    <t>67.1</t>
  </si>
  <si>
    <t>68.1</t>
  </si>
  <si>
    <t>69.1</t>
  </si>
  <si>
    <t>70.1</t>
  </si>
  <si>
    <t>71.1</t>
  </si>
  <si>
    <t>72.1</t>
  </si>
  <si>
    <t>72.2</t>
  </si>
  <si>
    <t>73.1</t>
  </si>
  <si>
    <t>73.2</t>
  </si>
  <si>
    <t>75.1</t>
  </si>
  <si>
    <t>75.2</t>
  </si>
  <si>
    <t>75.3</t>
  </si>
  <si>
    <t>75.4</t>
  </si>
  <si>
    <t>75.5</t>
  </si>
  <si>
    <t>75.6</t>
  </si>
  <si>
    <t>75.7</t>
  </si>
  <si>
    <t>75.8</t>
  </si>
  <si>
    <t>75.9</t>
  </si>
  <si>
    <t>75.10</t>
  </si>
  <si>
    <t>75.11</t>
  </si>
  <si>
    <t>75.12</t>
  </si>
  <si>
    <t>75.13</t>
  </si>
  <si>
    <t>75.14</t>
  </si>
  <si>
    <t>75.15</t>
  </si>
  <si>
    <t>75.16</t>
  </si>
  <si>
    <t>75.17</t>
  </si>
  <si>
    <t>75.18</t>
  </si>
  <si>
    <t>75.19</t>
  </si>
  <si>
    <t>75.20</t>
  </si>
  <si>
    <t>75.21</t>
  </si>
  <si>
    <t>76.1</t>
  </si>
  <si>
    <t>77.1</t>
  </si>
  <si>
    <t>77.2</t>
  </si>
  <si>
    <t>77.3</t>
  </si>
  <si>
    <t>77.4</t>
  </si>
  <si>
    <t>77.5</t>
  </si>
  <si>
    <t>78.1</t>
  </si>
  <si>
    <t>78.2</t>
  </si>
  <si>
    <t>78.3</t>
  </si>
  <si>
    <t>78.4</t>
  </si>
  <si>
    <t>78.5</t>
  </si>
  <si>
    <t>78.6</t>
  </si>
  <si>
    <t>78.7</t>
  </si>
  <si>
    <t>79.1</t>
  </si>
  <si>
    <t>79.2</t>
  </si>
  <si>
    <t>79.3</t>
  </si>
  <si>
    <t>79.4</t>
  </si>
  <si>
    <t>79.5</t>
  </si>
  <si>
    <t>79.6</t>
  </si>
  <si>
    <t>80.1</t>
  </si>
  <si>
    <t>81.1</t>
  </si>
  <si>
    <t>81.2</t>
  </si>
  <si>
    <t>81.3</t>
  </si>
  <si>
    <t>81.4</t>
  </si>
  <si>
    <t>81.5</t>
  </si>
  <si>
    <t>81.6</t>
  </si>
  <si>
    <t>81.7</t>
  </si>
  <si>
    <t>81.8</t>
  </si>
  <si>
    <t>81.9</t>
  </si>
  <si>
    <t>81.10</t>
  </si>
  <si>
    <t>81.11</t>
  </si>
  <si>
    <t>81.12</t>
  </si>
  <si>
    <t>81.13</t>
  </si>
  <si>
    <t>81.14</t>
  </si>
  <si>
    <t>81.15</t>
  </si>
  <si>
    <t>82.1</t>
  </si>
  <si>
    <t>82.2</t>
  </si>
  <si>
    <t>83.1</t>
  </si>
  <si>
    <t>83.2</t>
  </si>
  <si>
    <t>83.3</t>
  </si>
  <si>
    <t>83.4</t>
  </si>
  <si>
    <t>83.5</t>
  </si>
  <si>
    <t>84.1</t>
  </si>
  <si>
    <t>84.2</t>
  </si>
  <si>
    <t>85.1</t>
  </si>
  <si>
    <t>85.2</t>
  </si>
  <si>
    <t>86.1</t>
  </si>
  <si>
    <t>87.1</t>
  </si>
  <si>
    <t>88.1</t>
  </si>
  <si>
    <t>89.1</t>
  </si>
  <si>
    <t>89.2</t>
  </si>
  <si>
    <t>90.1</t>
  </si>
  <si>
    <t>91.1</t>
  </si>
  <si>
    <t>92.1</t>
  </si>
  <si>
    <t>92.2</t>
  </si>
  <si>
    <t>92.3</t>
  </si>
  <si>
    <t>92.4</t>
  </si>
  <si>
    <t>93.1</t>
  </si>
  <si>
    <t>93.2</t>
  </si>
  <si>
    <t>93.3</t>
  </si>
  <si>
    <t>93.4</t>
  </si>
  <si>
    <t>93.5</t>
  </si>
  <si>
    <t>93.6</t>
  </si>
  <si>
    <t>93.7</t>
  </si>
  <si>
    <t>94.1</t>
  </si>
  <si>
    <t>94.2</t>
  </si>
  <si>
    <t>94.3</t>
  </si>
  <si>
    <t>95.1</t>
  </si>
  <si>
    <t>96.1</t>
  </si>
  <si>
    <t>97.1</t>
  </si>
  <si>
    <t>98.1</t>
  </si>
  <si>
    <t>98.2</t>
  </si>
  <si>
    <t>98.3</t>
  </si>
  <si>
    <t>98.4</t>
  </si>
  <si>
    <t>98.5</t>
  </si>
  <si>
    <t>98.6</t>
  </si>
  <si>
    <t>98.7</t>
  </si>
  <si>
    <t>98.8</t>
  </si>
  <si>
    <t>98.9</t>
  </si>
  <si>
    <t>98.10</t>
  </si>
  <si>
    <t>98.11</t>
  </si>
  <si>
    <t>98.12</t>
  </si>
  <si>
    <t>98.13</t>
  </si>
  <si>
    <t>98.14</t>
  </si>
  <si>
    <t>98.15</t>
  </si>
  <si>
    <t>98.16</t>
  </si>
  <si>
    <t>98.17</t>
  </si>
  <si>
    <t>98.18</t>
  </si>
  <si>
    <t>98.19</t>
  </si>
  <si>
    <t>98.20</t>
  </si>
  <si>
    <t>98.21</t>
  </si>
  <si>
    <t>98.22</t>
  </si>
  <si>
    <t>98.23</t>
  </si>
  <si>
    <t>98.24</t>
  </si>
  <si>
    <t>98.25</t>
  </si>
  <si>
    <t>98.26</t>
  </si>
  <si>
    <t>98.27</t>
  </si>
  <si>
    <t>98.28</t>
  </si>
  <si>
    <t>98.29</t>
  </si>
  <si>
    <t>98.30</t>
  </si>
  <si>
    <t>98.31</t>
  </si>
  <si>
    <t>98.32</t>
  </si>
  <si>
    <t>98.33</t>
  </si>
  <si>
    <t>98.34</t>
  </si>
  <si>
    <t>98.35</t>
  </si>
  <si>
    <t>98.36</t>
  </si>
  <si>
    <t>98.37</t>
  </si>
  <si>
    <t>98.38</t>
  </si>
  <si>
    <t>98.39</t>
  </si>
  <si>
    <t>98.40</t>
  </si>
  <si>
    <t>99.1</t>
  </si>
  <si>
    <t>99.2</t>
  </si>
  <si>
    <t>99.3</t>
  </si>
  <si>
    <t>99.4</t>
  </si>
  <si>
    <t>99.5</t>
  </si>
  <si>
    <t>100.1</t>
  </si>
  <si>
    <t>100.2</t>
  </si>
  <si>
    <t>100.3</t>
  </si>
  <si>
    <t>100.4</t>
  </si>
  <si>
    <t>100.5</t>
  </si>
  <si>
    <t>100.6</t>
  </si>
  <si>
    <t>100.7</t>
  </si>
  <si>
    <t>100.8</t>
  </si>
  <si>
    <t>100.9</t>
  </si>
  <si>
    <t>100.10</t>
  </si>
  <si>
    <t>100.11</t>
  </si>
  <si>
    <t>100.12</t>
  </si>
  <si>
    <t>101.1</t>
  </si>
  <si>
    <t>101.2</t>
  </si>
  <si>
    <t>101.3</t>
  </si>
  <si>
    <t>102.1</t>
  </si>
  <si>
    <t>102.2</t>
  </si>
  <si>
    <t>102.3</t>
  </si>
  <si>
    <t>103.1</t>
  </si>
  <si>
    <t>103.2</t>
  </si>
  <si>
    <t>103.3</t>
  </si>
  <si>
    <t>103.4</t>
  </si>
  <si>
    <t>103.5</t>
  </si>
  <si>
    <t>103.6</t>
  </si>
  <si>
    <t>103.7</t>
  </si>
  <si>
    <t>103.8</t>
  </si>
  <si>
    <t>103.9</t>
  </si>
  <si>
    <t>103.10</t>
  </si>
  <si>
    <t>103.11</t>
  </si>
  <si>
    <t>103.12</t>
  </si>
  <si>
    <t>104.1</t>
  </si>
  <si>
    <t>104.2</t>
  </si>
  <si>
    <t>104.3</t>
  </si>
  <si>
    <t>104.4</t>
  </si>
  <si>
    <t>104.5</t>
  </si>
  <si>
    <t>104.6</t>
  </si>
  <si>
    <t>104.7</t>
  </si>
  <si>
    <t>104.8</t>
  </si>
  <si>
    <t>104.9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</si>
  <si>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</si>
  <si>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</si>
  <si>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</si>
  <si>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</si>
  <si>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</si>
  <si>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</si>
  <si>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</si>
  <si>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</si>
  <si>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</si>
  <si>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</si>
  <si>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</si>
  <si>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</si>
  <si>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</si>
  <si>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</si>
  <si>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</si>
  <si>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</si>
  <si>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</si>
  <si>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</si>
  <si>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</si>
  <si>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</si>
  <si>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</si>
  <si>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</si>
  <si>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</si>
  <si>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</si>
  <si>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</si>
  <si>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</si>
  <si>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</si>
  <si>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</si>
  <si>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</si>
  <si>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</si>
  <si>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</si>
  <si>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</si>
  <si>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</si>
  <si>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</si>
  <si>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</si>
  <si>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</si>
  <si>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</si>
  <si>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</si>
  <si>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</si>
  <si>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</si>
  <si>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</si>
  <si>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</si>
  <si>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</si>
  <si>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</si>
  <si>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</si>
  <si>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</si>
  <si>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</si>
  <si>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</si>
  <si>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</si>
  <si>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</si>
  <si>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</si>
  <si>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</si>
  <si>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</si>
  <si>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</si>
  <si>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</si>
  <si>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</si>
  <si>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</si>
  <si>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</si>
  <si>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</si>
  <si>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 xml:space="preserve">Suministro  de acometida desde ccm  a  motobomba centrifuga sumergible  vertical  trifasica 5 hp-460v (tanque homogenizador) en cable de cobre suave sumergible encauchetado tipo subcab 90°c calibre 3xno.12+1xno.12 y cable de control para sensores en motor en cable de cobre suave sumergible encauchetado tipo subcab 90°c calibre 5xno.16 en ducto pvc de 1" </t>
  </si>
  <si>
    <t xml:space="preserve">Suministro de acometida desde ccm  a  motobomba centrifuga sumergible  vertical  trifasica 5 hp-460v (tanque homogenizador) en cable de cobre suave sumergible encauchetado tipo subcab 90°c calibre 3xno.12+1xno.12 y cable de control para sensores en motor en cable de cobre suave sumergible encauchetado tipo subcab 90°c calibre 5xno.16 en ducto pvc de 1" </t>
  </si>
  <si>
    <t>105.1</t>
  </si>
  <si>
    <t>105.2</t>
  </si>
  <si>
    <t>105.3</t>
  </si>
  <si>
    <t>106.1</t>
  </si>
  <si>
    <t>106.2</t>
  </si>
  <si>
    <t>106.3</t>
  </si>
  <si>
    <t>106.4</t>
  </si>
  <si>
    <t>106.5</t>
  </si>
  <si>
    <t>107.1</t>
  </si>
  <si>
    <t>108.1</t>
  </si>
  <si>
    <t>108.2</t>
  </si>
  <si>
    <t>109.1</t>
  </si>
  <si>
    <t>110.1</t>
  </si>
  <si>
    <t>111.1</t>
  </si>
  <si>
    <t>112.1</t>
  </si>
  <si>
    <t>113.1</t>
  </si>
  <si>
    <t>114.1</t>
  </si>
  <si>
    <t>115.1</t>
  </si>
  <si>
    <t>115.2</t>
  </si>
  <si>
    <t>115.3</t>
  </si>
  <si>
    <t>116.1</t>
  </si>
  <si>
    <t>116.2</t>
  </si>
  <si>
    <t>116.3</t>
  </si>
  <si>
    <t>116.4</t>
  </si>
  <si>
    <t>116.5</t>
  </si>
  <si>
    <t>116.6</t>
  </si>
  <si>
    <t>116.7</t>
  </si>
  <si>
    <t>117.1</t>
  </si>
  <si>
    <t>117.2</t>
  </si>
  <si>
    <t>117.3</t>
  </si>
  <si>
    <t>118.1</t>
  </si>
  <si>
    <t>119.1</t>
  </si>
  <si>
    <t>119.2</t>
  </si>
  <si>
    <t>119.3</t>
  </si>
  <si>
    <t>120.1</t>
  </si>
  <si>
    <t>120.2</t>
  </si>
  <si>
    <t>120.3</t>
  </si>
  <si>
    <t>120.4</t>
  </si>
  <si>
    <t>120.5</t>
  </si>
  <si>
    <t>120.6</t>
  </si>
  <si>
    <t>120.7</t>
  </si>
  <si>
    <t>120.8</t>
  </si>
  <si>
    <t>120.9</t>
  </si>
  <si>
    <t>120.10</t>
  </si>
  <si>
    <t>120.11</t>
  </si>
  <si>
    <t>120.12</t>
  </si>
  <si>
    <t>120.13</t>
  </si>
  <si>
    <t>120.14</t>
  </si>
  <si>
    <t>120.15</t>
  </si>
  <si>
    <t>120.16</t>
  </si>
  <si>
    <t>120.17</t>
  </si>
  <si>
    <t>120.18</t>
  </si>
  <si>
    <t xml:space="preserve">Instalación Valvula de Pie con Coladera 8" EB </t>
  </si>
  <si>
    <t>Instalación Niple  Acero Al Carbon 8" (200 mm) EB x EB  L: 3 m</t>
  </si>
  <si>
    <t>Instalación Niple  Acero Al Carbon 8" (200 mm) EB x EB  L: 3,30 m</t>
  </si>
  <si>
    <t>Instalación Niple  Acero Al Carbon 8" (200 mm) EB x EB  L: 0,75 m</t>
  </si>
  <si>
    <t>Instalación Niple  HD  8" (200 mm) EB x EB  L: 0,77 m</t>
  </si>
  <si>
    <t>Instalación Niple  Acero Al Carbon 8" (200 mm) EB x EB  L: 0,45 m</t>
  </si>
  <si>
    <t>Instalación Valvula retencion Horizontal HD 8" BxB</t>
  </si>
  <si>
    <t>Instalación Yee HD  8" x 8" EB x EB</t>
  </si>
  <si>
    <t>Instalación Niple  Acero Al Carbon 8" (200 mm) EB x EB  L: 0,22 m</t>
  </si>
  <si>
    <t>Instalación Niple  HD  8" (200 mm) EB x EB  L: 3 m</t>
  </si>
  <si>
    <t>Instalación Niple  HD  8" (200 mm) EB x EB  L: 1,85 m</t>
  </si>
  <si>
    <t>Instalación Portabrida 6" (Incluye Brida)</t>
  </si>
  <si>
    <t xml:space="preserve">Suministro Valvula de Pie con Coladera 8" EB </t>
  </si>
  <si>
    <t>Suministro Niple  HD  8" (200 mm) EB x EB  L: 0,77 m</t>
  </si>
  <si>
    <t>Suministro Portabrida 6" (Incluye Brida, tornillos tuercas y arandelas)</t>
  </si>
  <si>
    <t>121.1</t>
  </si>
  <si>
    <t>121.2</t>
  </si>
  <si>
    <t>121.3</t>
  </si>
  <si>
    <t>121.4</t>
  </si>
  <si>
    <t>121.5</t>
  </si>
  <si>
    <t>121.6</t>
  </si>
  <si>
    <t>121.7</t>
  </si>
  <si>
    <t>121.8</t>
  </si>
  <si>
    <t>121.9</t>
  </si>
  <si>
    <t>121.10</t>
  </si>
  <si>
    <t xml:space="preserve">Suministro CONTROL DE NIVEL 'MDI' TANQUE BAJO MERCURIOEM10W2000  (incluye  LE1150 Transmisor de presión 0-150PSI, ¼” NPT conexión mini).    </t>
  </si>
  <si>
    <t>Suministro MACROMEDIDOR BERMAD WOLTMAN TURBO BAR 230PSI 10" BRIDA (incluye unión dresser de Ø10")</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</si>
  <si>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</si>
  <si>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</si>
  <si>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</si>
  <si>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</si>
  <si>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</si>
  <si>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</si>
  <si>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</si>
  <si>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</si>
  <si>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</si>
  <si>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</si>
  <si>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</si>
  <si>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</si>
  <si>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</si>
  <si>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</si>
  <si>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</si>
  <si>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</si>
  <si>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</si>
  <si>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</si>
  <si>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</si>
  <si>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</si>
  <si>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</si>
  <si>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126.1</t>
  </si>
  <si>
    <t>126.2</t>
  </si>
  <si>
    <t>126.3</t>
  </si>
  <si>
    <t>126.4</t>
  </si>
  <si>
    <t>126.5</t>
  </si>
  <si>
    <t>126.6</t>
  </si>
  <si>
    <t>126.7</t>
  </si>
  <si>
    <t>126.8</t>
  </si>
  <si>
    <t>126.9</t>
  </si>
  <si>
    <t>126.10</t>
  </si>
  <si>
    <t>126.11</t>
  </si>
  <si>
    <t>126.12</t>
  </si>
  <si>
    <t>126.13</t>
  </si>
  <si>
    <t>126.14</t>
  </si>
  <si>
    <t>126.15</t>
  </si>
  <si>
    <t xml:space="preserve"> PRESUPUESTO LÍNEA DE IMPULSIÓN CAPTACIÓN - PTAP TIJERETAS</t>
  </si>
  <si>
    <t>ADMINISTRACION 24,91%</t>
  </si>
  <si>
    <t>AIU 32,91%</t>
  </si>
  <si>
    <t>COSTO TOTAL PROYECTO</t>
  </si>
  <si>
    <t>2,2,3</t>
  </si>
  <si>
    <t>2,2,6</t>
  </si>
  <si>
    <t>2,1,1</t>
  </si>
  <si>
    <t>1,3,1</t>
  </si>
  <si>
    <t>1,3,2</t>
  </si>
  <si>
    <t>1,3,3</t>
  </si>
  <si>
    <t>1,2,2</t>
  </si>
  <si>
    <t>1,2,3</t>
  </si>
  <si>
    <t>1,1,4</t>
  </si>
  <si>
    <t>1,1,5</t>
  </si>
  <si>
    <t>1,1,6</t>
  </si>
  <si>
    <t>1,1,7</t>
  </si>
  <si>
    <t>Asesor Contable y Financiero</t>
  </si>
  <si>
    <t>Especialista Hidráulico</t>
  </si>
  <si>
    <t>Especialista en Geotecnia</t>
  </si>
  <si>
    <t xml:space="preserve">Asesor Contable </t>
  </si>
  <si>
    <t>PORCENTAJE INTERVENTORÍA</t>
  </si>
  <si>
    <t>INTERVENTORIA 6,02%</t>
  </si>
  <si>
    <t>TUB. PVC NOVAFORT 6''  PERFORADA (160mm)</t>
  </si>
  <si>
    <t>Cinta flexible tipo  Sika O-22 o similar para juntas de construcción</t>
  </si>
  <si>
    <t>Instalación de escalera metálica prefabricada con pasos Ø 1", separados cada 35 cm. Incluye anticorrosivo y pintura epóxica para evitar la corrosión para el Floculador</t>
  </si>
  <si>
    <t xml:space="preserve">TACO REDONDO MADERA </t>
  </si>
  <si>
    <t>Julio de 2019</t>
  </si>
  <si>
    <t>Suministro Codo HD 12" x 90° Junta Hidraulica</t>
  </si>
  <si>
    <t xml:space="preserve">CONCRETO 280kg/cm² </t>
  </si>
  <si>
    <t>HERRAMIENTA MENOR</t>
  </si>
  <si>
    <t>Instalación de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t>
  </si>
  <si>
    <t>Instalación de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q=30.00 l/s, hdt=8,15 m.</t>
  </si>
  <si>
    <t>Suministro de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q=30.00 l/s, hdt=8,15 m.</t>
  </si>
  <si>
    <t>Entibado Temporal</t>
  </si>
  <si>
    <t>Entibado Permanente</t>
  </si>
  <si>
    <t>Niple de Acero al Carbón de ∅8" (200mm) EL X EL L=1.95m</t>
  </si>
  <si>
    <t>Instalación de Niple de Acero al Carbón de ∅8" (200mm) EL X EL L=1.95m</t>
  </si>
  <si>
    <t>Instalacion Niple de Acero al Carbón de ∅8" (200mm) EL X EL L=1.95m</t>
  </si>
  <si>
    <t>Suministro de Niple de Acero al Carbón de ∅8" (200mm) EL X EL L=1.95m</t>
  </si>
  <si>
    <t>Niple de Acero al Carbón de ∅8" (200mm) EL X EL L=1.06m</t>
  </si>
  <si>
    <t>Niple de Acero al Carbón de ∅8" (200mm) EL X EL L=0.30m</t>
  </si>
  <si>
    <t>Niple de Acero al Carbón de ∅8" (200mm) EL X EL L=4.63m</t>
  </si>
  <si>
    <t>Niple de Acero al Carbón de ∅8" (200mm) EL X EL L=0.50m</t>
  </si>
  <si>
    <t>Suministro Niple de Acero al Carbón de ∅8" (200mm) EL X EL L=1.95m</t>
  </si>
  <si>
    <t>Suministro de Niple de Acero al Carbón de ∅8" (200mm) EL X EL L=1.06m</t>
  </si>
  <si>
    <t>Instalación de  Niple de Acero al Carbón de ∅8" (200mm) EL X EL L=1.06m</t>
  </si>
  <si>
    <t>Suministro Niple de Acero al Carbón de ∅8" (200mm) EL X EL L=1.06m</t>
  </si>
  <si>
    <t>Instalacion Niple de Acero al Carbón de ∅8" (200mm) EL X EL L=1.06m</t>
  </si>
  <si>
    <t>Suministro de Niple de Acero al Carbón de ∅8" (200mm) EL X EL L=0.30m</t>
  </si>
  <si>
    <t>Instalación de Niple de Acero al Carbón de ∅8" (200mm) EL X EL L=0.30m</t>
  </si>
  <si>
    <t>Instalacion Niple de Acero al Carbón de ∅8" (200mm) EL X EL L=0.30m</t>
  </si>
  <si>
    <t>Suministro Niple de Acero al Carbón de ∅8" (200mm) EL X EL L=0.30m</t>
  </si>
  <si>
    <t>Suministro de Niple de Acero al Carbón de ∅8" (200mm) EL X EL L=4.63m</t>
  </si>
  <si>
    <t>Instalación de Niple de Acero al Carbón de ∅8" (200mm) EL X EL L=4.63m</t>
  </si>
  <si>
    <t>Suministro Niple de Acero al Carbón de ∅8" (200mm) EL X EL L=4.63m</t>
  </si>
  <si>
    <t>Instalacion Niple de Acero al Carbón de ∅8" (200mm) EL X EL L=4.63m</t>
  </si>
  <si>
    <t>Suministro de Niple de Acero al Carbón de ∅8" (200mm) EL X EL L=0.50m</t>
  </si>
  <si>
    <t>Instalación de Niple de Acero al Carbón de ∅8" (200mm) EL X EL L=0.50m</t>
  </si>
  <si>
    <t>Instalacion Niple de Acero al Carbón de ∅8" (200mm) EL X EL L=0.50m</t>
  </si>
  <si>
    <t>Suministro Niple de Acero al Carbón de ∅8" (200mm) EL X EL L=0.50m</t>
  </si>
  <si>
    <t>Instalación de Niple Acero al Carbon ∅6" EB X EL L=0.55m</t>
  </si>
  <si>
    <t>Instalación Niple  Acero Al Carbon 16" (400 mm) EB x EL  L:2m</t>
  </si>
  <si>
    <t>Instalación Niple  Acero Al Carbon 16" (400 mm) EB x EL  L:8,5m</t>
  </si>
  <si>
    <t>Suministro Niple  Acero Al Carbon 16" (400 mm) EB x EB  L: 8,5m</t>
  </si>
  <si>
    <t>Instalación Codo HD 16" x 90° EB x EB</t>
  </si>
  <si>
    <t>Instalación Niple  Acero Al Carbon 16" (400 mm) EB x EL  L:1,5m</t>
  </si>
  <si>
    <t>Instalación Yee HD 16" x 10" EB x EB</t>
  </si>
  <si>
    <t>Instalación Valvula de Compuerta HD sello en Bronce Vastago No Ascendente 10 " BxB</t>
  </si>
  <si>
    <t>Instalación Valvula retencion Horizontal HD 10" BxB</t>
  </si>
  <si>
    <t>Instalación Niple  Acero Al Carbon 10" (250 mm) EB x EB  L:0,3m</t>
  </si>
  <si>
    <t>Instalación Codo HD 10" x 90° EB x EB</t>
  </si>
  <si>
    <t>Instalación Niple  Acero Al Carbon 6" (160 mm) EB x EB  L:0,2m</t>
  </si>
  <si>
    <t>Instalación Reduccion Concentrica 10" x 6" HD EB x EB</t>
  </si>
  <si>
    <t>Instalación Reduccion Excentrica para entrada a bomba 4" x 6" HD EB x EB</t>
  </si>
  <si>
    <t>Instalación Reduccion Concentrica para salida de bomba 3" x 8" HD EB x EB</t>
  </si>
  <si>
    <t>Instalación Niple  Acero Al Carbon 8" (200 mm) EB x EB  L:0,5m</t>
  </si>
  <si>
    <t>Instalación Niple  Acero Al Carbon 8" (200 mm) EB x EB  L: 1m</t>
  </si>
  <si>
    <t>Instalación Niple  Acero Al Carbon 8" (200 mm) EB x EB  L: 1,7m</t>
  </si>
  <si>
    <t>Instalación Reduccion Excentrica 12" x 8" HD EB x EB</t>
  </si>
  <si>
    <t>Instalación Niple Pasamuro Acero al Carbon 12" EB x EB   L: 4m   Z: 0,8m</t>
  </si>
  <si>
    <t>Instalación Niple  Acero Al Carbon 12" (300 mm) EB x EB  L: 21 m</t>
  </si>
  <si>
    <t>Instalación Codo HD 12" x 90° EB x EB</t>
  </si>
  <si>
    <t>Instalación Niple  Acero Al Carbon 12" (300 mm) EB x EB  L: 3 m</t>
  </si>
  <si>
    <t xml:space="preserve">Instalación Valvula de Pie con Coladera 12" EB x EB </t>
  </si>
  <si>
    <t>Instalación Codo HD 12" x 90° Junta Hidraulica</t>
  </si>
  <si>
    <t>Instalación Niple  Acero Al Carbon 12" (315 mm) EB x EL  L:3m</t>
  </si>
  <si>
    <t>Instalación Valvula de Compuerta 12 " HD sello en Bronce Vastago No Ascendente  BxB</t>
  </si>
  <si>
    <t>Instalación Reduccion Concentrica 16" x 12" HD EB x EB</t>
  </si>
  <si>
    <t>Instalación Valvula de Compuerta 16 " HD sello en Bronce Vastago No Ascendente  BxB</t>
  </si>
  <si>
    <t>Instalación Codo HD 16" x 45° EB x EB</t>
  </si>
  <si>
    <t>Instalación Niple  Acero Al Carbon 16" (400 mm) EB x EL  L:1m</t>
  </si>
  <si>
    <t>Instalación Cruz HD 16" x 10" EL x EL</t>
  </si>
  <si>
    <t xml:space="preserve">Instalación Union Dresser 16" HD </t>
  </si>
  <si>
    <t>Instalación Union de Reparacion PVC 10"</t>
  </si>
  <si>
    <t>Instalación Valvula de Compuerta 10 " HD sello en Bronce Vastago No Ascendente  EL x EL (para control a la entrada a la PTAP y para el by-pass).</t>
  </si>
  <si>
    <t>Instalación Reduccion Concentrica 16" x 8" HD EL x EL</t>
  </si>
  <si>
    <t>Instalación Union de Reparacion PVC 8"</t>
  </si>
  <si>
    <t>Instalación Niple  Acero Al Carbon 8" (200 mm) EB x EL  L:2m</t>
  </si>
  <si>
    <t>Instalación Tee HD 8" x 8" EL x EL</t>
  </si>
  <si>
    <t>Instalación Valvula de Compuerta 8 " HD sello en Bronce Vastago No Ascendente  EL x EL  (para control a la entrada a la PTAP y para el by-pass).</t>
  </si>
  <si>
    <t>Suministro Yee HD 16" x 10" EB x EB</t>
  </si>
  <si>
    <t>Suministro Codo HD 12" x 90° EB x EB</t>
  </si>
  <si>
    <t>Suministro Niple  Acero Al Carbon 12" (315 mm) EB x EL  L:3m</t>
  </si>
  <si>
    <t xml:space="preserve">Suministro Union Dresser 16" HD </t>
  </si>
  <si>
    <t>Suministro Union de Reparacion PVC 10"</t>
  </si>
  <si>
    <t>Suministro Valvula de Compuerta 8" HD sello en Bronce Vastago No Ascendente  EL x EL</t>
  </si>
  <si>
    <t>1.1 PRELIMINARES</t>
  </si>
  <si>
    <t>1.2 DEMOLICIONES</t>
  </si>
  <si>
    <t>1.3 EXCAVACIONES Y LLENOS</t>
  </si>
  <si>
    <t xml:space="preserve">1.4 OBRAS EN CONCRETO Y ACERO </t>
  </si>
  <si>
    <t>1.5 - 1.6 TUBERÍAS, ACCESORIOS Y EQUIPOS</t>
  </si>
  <si>
    <t xml:space="preserve">APU IMPULSION PTAP TIJERETAS - TANQUE PATAGONIA </t>
  </si>
  <si>
    <t>2.2 DEMOLICIONES</t>
  </si>
  <si>
    <t xml:space="preserve">2.3 EXCAVACIONES Y LLENOS </t>
  </si>
  <si>
    <t>2.4 OBRAS EN CONCRETO Y ACERO</t>
  </si>
  <si>
    <t>2.5 OBRAS COMPLEMENTARIAS</t>
  </si>
  <si>
    <t xml:space="preserve">2.6 - 2.7 TUBERIAS, ACCESORIOS Y EQUIPOS </t>
  </si>
  <si>
    <t xml:space="preserve">APU IMPULSION TANQUE PATAGONIA - PORVENIR Y ECOPETROL </t>
  </si>
  <si>
    <t xml:space="preserve">3.3 EXCAVACIONES Y LLENOS </t>
  </si>
  <si>
    <t xml:space="preserve">3.6 - 3.7 TUBERÍAS, ACCESORIOS Y EQUIPOS </t>
  </si>
  <si>
    <t>4.3</t>
  </si>
  <si>
    <t>6.2</t>
  </si>
  <si>
    <t>6.3</t>
  </si>
  <si>
    <t>6.4</t>
  </si>
  <si>
    <t>6.5</t>
  </si>
  <si>
    <t>6.6</t>
  </si>
  <si>
    <t>6.7</t>
  </si>
  <si>
    <t>1.2 DESMONTE Y DEMOLICIONES</t>
  </si>
  <si>
    <t xml:space="preserve">1.3 RETIRO DE SOBRANTES </t>
  </si>
  <si>
    <t>1.4 PREFABRICADO</t>
  </si>
  <si>
    <t>1.5 PERFORACIONES Y ANCLAJES</t>
  </si>
  <si>
    <t xml:space="preserve">1.7 CONCRETOS </t>
  </si>
  <si>
    <t>1.8 CASETA DE BOMBEO</t>
  </si>
  <si>
    <t xml:space="preserve">1.9 - 1.13 ACCESORIOS </t>
  </si>
  <si>
    <t xml:space="preserve">1.10 - 1.14 OBRAS DE ORNAMENTACIÓN </t>
  </si>
  <si>
    <t>1.11 - 1.15 COMPUERTAS</t>
  </si>
  <si>
    <t xml:space="preserve">1.12 - 1.16 OBRAS COMPLEMENTARIAS </t>
  </si>
  <si>
    <t>1 APU PLANTA DE TRATAMIENTO DE AGUA POTABLE</t>
  </si>
  <si>
    <t>2.3 CONCRETOS</t>
  </si>
  <si>
    <t xml:space="preserve">2 APU ESTRUCTURA DE LODOS </t>
  </si>
  <si>
    <t xml:space="preserve">2.4 - 2.6 INSTALACIONES Y SUMINISTROS </t>
  </si>
  <si>
    <t>2.4.9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</si>
  <si>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</si>
  <si>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</si>
  <si>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</si>
  <si>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</si>
  <si>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</si>
  <si>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</si>
  <si>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</si>
  <si>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</si>
  <si>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</si>
  <si>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</si>
  <si>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</si>
  <si>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</si>
  <si>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</si>
  <si>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</si>
  <si>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</si>
  <si>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</si>
  <si>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</si>
  <si>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</si>
  <si>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</si>
  <si>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</si>
  <si>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</si>
  <si>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</si>
  <si>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</si>
  <si>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</si>
  <si>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</si>
  <si>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</si>
  <si>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</si>
  <si>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</si>
  <si>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</si>
  <si>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</si>
  <si>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</si>
  <si>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</si>
  <si>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</si>
  <si>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</si>
  <si>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</si>
  <si>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</si>
  <si>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</si>
  <si>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</si>
  <si>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</si>
  <si>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</si>
  <si>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</si>
  <si>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</si>
  <si>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</si>
  <si>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</si>
  <si>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</si>
  <si>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</si>
  <si>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</si>
  <si>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</si>
  <si>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</si>
  <si>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</si>
  <si>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</si>
  <si>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</si>
  <si>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</si>
  <si>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</si>
  <si>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</si>
  <si>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</si>
  <si>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</si>
  <si>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</si>
  <si>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</si>
  <si>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2.5.2</t>
  </si>
  <si>
    <t>2.5.3</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</si>
  <si>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</si>
  <si>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</si>
  <si>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</si>
  <si>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</si>
  <si>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</si>
  <si>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</si>
  <si>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</si>
  <si>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</si>
  <si>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</si>
  <si>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</si>
  <si>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</si>
  <si>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</si>
  <si>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</si>
  <si>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</si>
  <si>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</si>
  <si>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</si>
  <si>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</si>
  <si>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</si>
  <si>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</si>
  <si>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</si>
  <si>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</si>
  <si>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</si>
  <si>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</si>
  <si>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</si>
  <si>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</si>
  <si>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</si>
  <si>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</si>
  <si>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</si>
  <si>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</si>
  <si>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</si>
  <si>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</si>
  <si>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</si>
  <si>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</si>
  <si>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</si>
  <si>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</si>
  <si>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</si>
  <si>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</si>
  <si>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</si>
  <si>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</si>
  <si>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</si>
  <si>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</si>
  <si>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</si>
  <si>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</si>
  <si>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</si>
  <si>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</si>
  <si>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</si>
  <si>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</si>
  <si>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</si>
  <si>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</si>
  <si>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</si>
  <si>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</si>
  <si>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</si>
  <si>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</si>
  <si>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</si>
  <si>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</si>
  <si>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</si>
  <si>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</si>
  <si>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</si>
  <si>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1.16.3</t>
  </si>
  <si>
    <t>1.16.4</t>
  </si>
  <si>
    <t>1.16.5</t>
  </si>
  <si>
    <t>1.16.6</t>
  </si>
  <si>
    <t>1.16.7</t>
  </si>
  <si>
    <t>1.16.8</t>
  </si>
  <si>
    <t>1.16.9</t>
  </si>
  <si>
    <t>1.16.10</t>
  </si>
  <si>
    <t>1.16.11</t>
  </si>
  <si>
    <t>1.16.12</t>
  </si>
  <si>
    <t>1.15.2</t>
  </si>
  <si>
    <t>1.15.3</t>
  </si>
  <si>
    <t>1.14.2</t>
  </si>
  <si>
    <t>1.14.3</t>
  </si>
  <si>
    <t>1.13.4</t>
  </si>
  <si>
    <t>1.13.5</t>
  </si>
  <si>
    <t>1.13.6</t>
  </si>
  <si>
    <t>1.13.7</t>
  </si>
  <si>
    <t>1.13.8</t>
  </si>
  <si>
    <t>1.13.9</t>
  </si>
  <si>
    <t>1.13.10</t>
  </si>
  <si>
    <t>1.13.11</t>
  </si>
  <si>
    <t>1.13.12</t>
  </si>
  <si>
    <t>Suministro bomba sumergible para manejo de lodos, con sistema de bajada e izada mediante dos (2) barras guias. la bomba sera tipo flygt para las siguientes condiciones de trabajo: bomba sumergible para manejo de lodos, con sistema de bajada e izada mediante dos (2) barras guias. la bomba sera tipo flygt para las siguientes condiciones de trabajo: q=12.00 l/s, hdt=20.05 m.</t>
  </si>
  <si>
    <t>ACCESORIOS SISTEMA PTAP TIJERETAS - PATAGONIA</t>
  </si>
  <si>
    <t xml:space="preserve">3.30 - 3.31  TUBERÍAS, ACCESORIOS Y EQUIPOS </t>
  </si>
  <si>
    <t>Niple  PVC Ø 16" (400mm)  L: 1,0m  ELxEL</t>
  </si>
  <si>
    <t>Instalación de Niple  PVC Ø 16" (400mm)  L: 1,0m  ELxEL</t>
  </si>
  <si>
    <t>Suministro de Niple  PVC Ø 16" (400mm)  L: 1,0m  ELxEL</t>
  </si>
  <si>
    <t xml:space="preserve"> APU TANQUE PATAGONIA </t>
  </si>
  <si>
    <t xml:space="preserve">1. PRELIMINARES </t>
  </si>
  <si>
    <t xml:space="preserve">2. EXCAVACIÓN EN MATERIAL COMÚN </t>
  </si>
  <si>
    <t xml:space="preserve">3. ENTIBADOS DE MADERA </t>
  </si>
  <si>
    <t xml:space="preserve">4. LLENOS </t>
  </si>
  <si>
    <t xml:space="preserve">6. SUMINISTRO, TRANSPORTE Y COLOCACIÓN DE CONCRETO  </t>
  </si>
  <si>
    <t xml:space="preserve">8. JUNTAS DE CONSTRUCCIÓN   </t>
  </si>
  <si>
    <t xml:space="preserve">9. FILTROS </t>
  </si>
  <si>
    <t xml:space="preserve">11.1 </t>
  </si>
  <si>
    <t xml:space="preserve">13.1 </t>
  </si>
  <si>
    <t xml:space="preserve">13.2 </t>
  </si>
  <si>
    <t xml:space="preserve">11 - 14. TUBERÍA DE PVC </t>
  </si>
  <si>
    <t xml:space="preserve">12 - 15. ACCESORIOS </t>
  </si>
  <si>
    <t xml:space="preserve">13 - 16. OBRAS COMPLEMENTARIAS </t>
  </si>
  <si>
    <t xml:space="preserve"> ACCESORIOS LINEA DE IMPULSION TANQUE PATAGONIA - PORVENIR </t>
  </si>
  <si>
    <t xml:space="preserve">17 - 18. TUBERÍAS, ACCESORIOS Y EQUIPOS </t>
  </si>
  <si>
    <t>OK</t>
  </si>
  <si>
    <t>INSTALACION COMPUERTAS</t>
  </si>
  <si>
    <t>PRESUPUESTO ACCESORIOS BOMBEO TIJERETAS - PATAGONIA</t>
  </si>
  <si>
    <t>PLAN FINANCIERO SEGÚN FUENTES Y USOS DEL PROYECTO “OPTIMIZACION DEL ACUEDUCTO DE SAN ANTERO Y DEL ACUEDUCTO DEL CORREGIMIENTO EL PORVENIR EN EL MUNICIPIO DE SAN ANTERO”</t>
  </si>
  <si>
    <t>MUNICIPIO</t>
  </si>
  <si>
    <t>LOCALIDAD</t>
  </si>
  <si>
    <t>COMPONENTE</t>
  </si>
  <si>
    <t>% PART SGP NACION</t>
  </si>
  <si>
    <t>% PART RP MPIO</t>
  </si>
  <si>
    <t>% PART SGP DTO</t>
  </si>
  <si>
    <t>TOTAL</t>
  </si>
  <si>
    <t>SAN ANTERO</t>
  </si>
  <si>
    <t>ACUEDUCTO</t>
  </si>
  <si>
    <t>ACTIVIDADES/USOS</t>
  </si>
  <si>
    <t>FUENTES DE FINANCIACIÓN</t>
  </si>
  <si>
    <t>SGP - NACIÓN</t>
  </si>
  <si>
    <t>MPIO - RECURSOS PROPIOS</t>
  </si>
  <si>
    <t>DEPARTAMENTO</t>
  </si>
  <si>
    <t>Obra Civil</t>
  </si>
  <si>
    <t>Suministros</t>
  </si>
  <si>
    <t xml:space="preserve">TOTAL COSTO DIRECTO </t>
  </si>
  <si>
    <t>AIU Obra Civil e Instalación (32,9089%)</t>
  </si>
  <si>
    <t>Administración Suministros (24,9089%)</t>
  </si>
  <si>
    <t xml:space="preserve">TOTAL COSTOS INDIRECTOS </t>
  </si>
  <si>
    <t>Supervisión administrativa, financiera y legal obra civil e instalación (2%)</t>
  </si>
  <si>
    <t>Supervisíon adminitrativa, financiera y legal Suministro (2%)</t>
  </si>
  <si>
    <t xml:space="preserve">TOTAL INTERVENTORIA Y SUPERVISIÓN </t>
  </si>
  <si>
    <t>VALOR TOTAL DEL PROYECTO</t>
  </si>
  <si>
    <t>RESUMEN DEL PROYECTO</t>
  </si>
  <si>
    <t>Versión: 3.0</t>
  </si>
  <si>
    <t>Fecha:23/11/2016</t>
  </si>
  <si>
    <t>Código: GPA-F-01</t>
  </si>
  <si>
    <t>INFORMACIÓN GENERAL</t>
  </si>
  <si>
    <t>NOMBRE DEL PROYECTO:</t>
  </si>
  <si>
    <t>OPTIMIZACIÓN DEL ACUEDUCTO DE SAN ANTERO Y DEL ACUEDUCTO DEL CORREGIMIENTO EL POVERNIR EN EL MUNICIPIO DE SAN ANTERO</t>
  </si>
  <si>
    <t>REGIÓN:</t>
  </si>
  <si>
    <t>CARIBE</t>
  </si>
  <si>
    <t>DEPARTAMENTO:</t>
  </si>
  <si>
    <t>CÓRDOBA</t>
  </si>
  <si>
    <t>MUNICIPIO:</t>
  </si>
  <si>
    <t>Localidad:</t>
  </si>
  <si>
    <t>1. CUANTIFICACIÓN DE LA POBLACIÓN</t>
  </si>
  <si>
    <t>URBANA</t>
  </si>
  <si>
    <t>RURAL</t>
  </si>
  <si>
    <t>ACTUAL</t>
  </si>
  <si>
    <t>FUTURA</t>
  </si>
  <si>
    <t>No. Total de viviendas</t>
  </si>
  <si>
    <t>Población Total</t>
  </si>
  <si>
    <t>No. Viviendas Beneficiadas</t>
  </si>
  <si>
    <t>Población Beneficiada</t>
  </si>
  <si>
    <t xml:space="preserve">2. CARÁCTER DEL PROBLEMA </t>
  </si>
  <si>
    <t>URBANO</t>
  </si>
  <si>
    <t>X</t>
  </si>
  <si>
    <t>3. COBERTURA DE SERVICIOS PÚBLICOS</t>
  </si>
  <si>
    <t>SIN PROYECTO</t>
  </si>
  <si>
    <t>CON PROYECTO</t>
  </si>
  <si>
    <t>A. Cobertura (%)</t>
  </si>
  <si>
    <t>No. Conexiones   X 100</t>
  </si>
  <si>
    <t>N/A</t>
  </si>
  <si>
    <t>No. Viviendas</t>
  </si>
  <si>
    <t>B. Cobertura micromedición (%)</t>
  </si>
  <si>
    <t>B.1. Instalada</t>
  </si>
  <si>
    <t>No. Micromed. instalados   X 100</t>
  </si>
  <si>
    <t>B.2. Efectiva</t>
  </si>
  <si>
    <t>No. Micromed. funcionando   X 100</t>
  </si>
  <si>
    <t>C. Continuidad del servicio (%)</t>
  </si>
  <si>
    <t>Horas de servicio   X 100</t>
  </si>
  <si>
    <t>24 horas</t>
  </si>
  <si>
    <t>D. Calidad del agua - IRCA</t>
  </si>
  <si>
    <t>ASEO</t>
  </si>
  <si>
    <t>No. Viviendas atendidas   X 100</t>
  </si>
  <si>
    <t>No. De usuarios</t>
  </si>
  <si>
    <t xml:space="preserve">B. Disposición final </t>
  </si>
  <si>
    <t>No. Tonelads generadas X 100</t>
  </si>
  <si>
    <t xml:space="preserve">No Toneladas dispuestas </t>
  </si>
  <si>
    <t>4. DESCRIPCIÓN DEL SISTEMA ACTUAL ACUEDUCTO, ALCANTARILLADO Y ASEO</t>
  </si>
  <si>
    <t>NOMBRE</t>
  </si>
  <si>
    <t>Q MÍNIMO (LPS)</t>
  </si>
  <si>
    <t>CONCESIÓN DE AGUAS/PERMISO VERTIMIENTO (SI/NO)</t>
  </si>
  <si>
    <t>FUENTE DE CAPTACIÓN</t>
  </si>
  <si>
    <t xml:space="preserve">Rio Sinú </t>
  </si>
  <si>
    <t>SI</t>
  </si>
  <si>
    <t>Qtotal</t>
  </si>
  <si>
    <t xml:space="preserve">FUENTE RECEPTORA </t>
  </si>
  <si>
    <t xml:space="preserve">EXISTE   </t>
  </si>
  <si>
    <t>FUNCIONA</t>
  </si>
  <si>
    <t xml:space="preserve">CAPACIDAD </t>
  </si>
  <si>
    <t>OBSERVACIONES</t>
  </si>
  <si>
    <t xml:space="preserve">  (SI / NO)</t>
  </si>
  <si>
    <t>A. ACUEDUCTO</t>
  </si>
  <si>
    <t xml:space="preserve">BOCATOMA </t>
  </si>
  <si>
    <t>LPS</t>
  </si>
  <si>
    <t>62 L/S</t>
  </si>
  <si>
    <t>120 L/S</t>
  </si>
  <si>
    <t>ADUCCIÓN</t>
  </si>
  <si>
    <t>DIÁMETRO</t>
  </si>
  <si>
    <t>14"</t>
  </si>
  <si>
    <t>16"</t>
  </si>
  <si>
    <t>DESARENADOR</t>
  </si>
  <si>
    <t>100 L/S</t>
  </si>
  <si>
    <t>CONDUCCIÓN</t>
  </si>
  <si>
    <t>8", 10" y 12"</t>
  </si>
  <si>
    <t>8",10",12" y  6"</t>
  </si>
  <si>
    <t>4460, 1340 y 4200</t>
  </si>
  <si>
    <t>4460, 1340, 4200 y 10493</t>
  </si>
  <si>
    <t>TANQUE DE ALMACENAMIENTO</t>
  </si>
  <si>
    <t>PLANTA DE TRATAMIENTO</t>
  </si>
  <si>
    <t>100 l/s</t>
  </si>
  <si>
    <t>120 l/s</t>
  </si>
  <si>
    <t>RED DE DISTRIBUCIÓN</t>
  </si>
  <si>
    <t>2",3",4",6",8"</t>
  </si>
  <si>
    <t>CONEXIONES DOMICILIARIAS</t>
  </si>
  <si>
    <t>MICROMEDID.</t>
  </si>
  <si>
    <t>INSTALADOS</t>
  </si>
  <si>
    <t>FUNCIONANDO</t>
  </si>
  <si>
    <t>B. ALCANTARILLADO</t>
  </si>
  <si>
    <t>COLECTORES A. RESIDUAL</t>
  </si>
  <si>
    <t>12"</t>
  </si>
  <si>
    <t>COLECTORES A. LLUVIA</t>
  </si>
  <si>
    <t>NO</t>
  </si>
  <si>
    <t>POZOS DE INSPECCIÓN</t>
  </si>
  <si>
    <t>C. ASEO</t>
  </si>
  <si>
    <t>Recoleccion %</t>
  </si>
  <si>
    <t>Selectiva</t>
  </si>
  <si>
    <t>No Selectiva</t>
  </si>
  <si>
    <t>Transporte M3</t>
  </si>
  <si>
    <t>Compactador</t>
  </si>
  <si>
    <t>Barrido Km</t>
  </si>
  <si>
    <t>Manual</t>
  </si>
  <si>
    <t>Mecánico</t>
  </si>
  <si>
    <t>Transferencia - Und</t>
  </si>
  <si>
    <t>Aprovechamiento</t>
  </si>
  <si>
    <t>Residuos Orgánicos</t>
  </si>
  <si>
    <t>Residuos Inorgánicos</t>
  </si>
  <si>
    <t>NO SE HACE</t>
  </si>
  <si>
    <t>Disposicion final</t>
  </si>
  <si>
    <t>Relleno</t>
  </si>
  <si>
    <t>Botadero</t>
  </si>
  <si>
    <t>Sitio de disposicion final</t>
  </si>
  <si>
    <t>Relleno sanitario</t>
  </si>
  <si>
    <t>LOMA GRANDE Y EL OASIS</t>
  </si>
  <si>
    <t>Botadero a Cielo abierto</t>
  </si>
  <si>
    <t xml:space="preserve">Otro </t>
  </si>
  <si>
    <t xml:space="preserve">PGIRS MUNICIPAL (indique el número de la Resolución y el año) </t>
  </si>
  <si>
    <t>Actualizado: X</t>
  </si>
  <si>
    <t xml:space="preserve">Fecha ultima actualizacion: </t>
  </si>
  <si>
    <t>Diciembre de 2016</t>
  </si>
  <si>
    <t>No actualizado:</t>
  </si>
  <si>
    <t xml:space="preserve">NOTA: </t>
  </si>
  <si>
    <t>1. En la casilla de "DESCRIPCIÓN" colocar información complementaria sobre el estado de las estructuras, tipo de material o toda aquella que se considere indispensable para que el consultor pueda determinar la viabilidad del sistema durante el horizonte del proyecto.</t>
  </si>
  <si>
    <t>2. En caso de que existan mas de dos estructuras de alguno de los componentes o cambio de diámetro se deben insertar mas filas para hacer la descripción respectiva</t>
  </si>
  <si>
    <t>DESCRIPCIÓN DEL PROYECTO</t>
  </si>
  <si>
    <t>1. DESCRIPCIÓN DEL PROBLEMA O NECESIDAD</t>
  </si>
  <si>
    <t xml:space="preserve">Actualmente el Municipio de San Antero no cuenta con un sistema de acueducto adecuado, que permita garantizar el abastecimiento continuo de agua potable al casco urbano, debido al mal estado en que se encuentra la infraestructura existente de captación, línea de impulsión Captación – PTAP Tijeretas, PTAP Tijeretas, esto impide entregar a la población una continuidad superior a 3.2 horas/día.
Por otro lado, tampoco se cuenta con un sistema óptimo para prestar un servicio de acueducto continuo y potable a la comunidad del Corregimiento Porvenir, puesto que no se tiene la infraestructura adecuada para el tratamiento de aguas superficiales captada del embalse Villeros.  Adicionalmente, en época de sequía, dicho embalse, se ve afectado hasta el punto de reducción del volumen de agua casi en su totalidad, lo que repercute directamente en la prestación del servicio de acueducto a la comunidad. 
Es así como actualmente, la población del Corregimiento Porvenir se ve afectada por la falta de agua potable, quedando propensa a enfermedades gastrointestinales por el consumo de agua no apta, lo cual disminuye notablemente la calidad de vida de las personas e incide a nivel económico, dado el gasto adicional que representa la compra de agua en carro tanque para mitigar el impacto por la falta del servicio. Así mismo por problemas de infraestructura en el sistema de acueducto, el casco urbano del Municipio de San Antero, quien a pesar de contar con agua potable, también se ve afectado en su continuidad, puesto que no es posible la prestación de un servicio de acueducto que supere las 3.2 horas/día.
</t>
  </si>
  <si>
    <t>2. ANÁLISIS DE ALTERNATIVAS</t>
  </si>
  <si>
    <t xml:space="preserve">Para mejorar la calidad de vida de las personas que habitan en el casco urbano del Municipio de San Antero y en el Corregimiento Porvenir, se proponen las siguientes alternativas:
1. Construcción y Optimización de la línea de impulsión Captación - PTAP Tijeretas en 14" PVC y PEAD, línea de conducción PTAP Tijeretas - Patagonia, línea de conducción Tanque Patagonia - Porvenir en 10",8" y 6" PVC.
2. Construcción y Optimización de línea impulsión Captación - PTAP Tijeretas 16" PEAD, línea conducción PTAP Tijeretas - Patagonia 6" PEAD, línea conducción Tanque Patagonia - Porvenir 8" PEAD, 8" PVC y 6" PVC, PTAP Tijeretas y Tanque Patagonia.
</t>
  </si>
  <si>
    <t>3. DESCRIPCIÓN DE LA ALTERNATIVA SELECCIONADA</t>
  </si>
  <si>
    <t>2. Construcción y Optimización de línea impulsión Captación - PTAP Tijeretas 16" PEAD, línea conducción PTAP Tijeretas - Patagonia 6" PEAD, línea conducción Tanque Patagonia - Porvenir 8" PEAD, 8" PVC y 6" PVC, PTAP Tijeretas y Tanque Patagonia.</t>
  </si>
  <si>
    <t>4. PARÁMETROS DE DISEÑO</t>
  </si>
  <si>
    <t>GENERALES</t>
  </si>
  <si>
    <t>PARÁMETROS GENERALES ALCANTARILLADO</t>
  </si>
  <si>
    <t>Nivel de complejidad</t>
  </si>
  <si>
    <t xml:space="preserve">Mínima velocidad real </t>
  </si>
  <si>
    <t>M/seg</t>
  </si>
  <si>
    <t>Población actual de diseño</t>
  </si>
  <si>
    <t>Hab</t>
  </si>
  <si>
    <t xml:space="preserve">Máxima velocidad real </t>
  </si>
  <si>
    <t>Tasa de crecimiento</t>
  </si>
  <si>
    <t>Mínima fuerza tractiva obtenida</t>
  </si>
  <si>
    <t>Kg/cm2</t>
  </si>
  <si>
    <t xml:space="preserve">Periodo de diseño </t>
  </si>
  <si>
    <t>años</t>
  </si>
  <si>
    <r>
      <t>Máxima relación  Q/Q</t>
    </r>
    <r>
      <rPr>
        <vertAlign val="subscript"/>
        <sz val="7"/>
        <rFont val="Verdana"/>
        <family val="2"/>
      </rPr>
      <t>0</t>
    </r>
  </si>
  <si>
    <t>Población Proyectada</t>
  </si>
  <si>
    <t>ALCANTARILLADO PLUVIAL</t>
  </si>
  <si>
    <t>Coeficiente escorrentía</t>
  </si>
  <si>
    <t xml:space="preserve">Dotación neta </t>
  </si>
  <si>
    <t>L/Hab.dia</t>
  </si>
  <si>
    <t>Intensidad</t>
  </si>
  <si>
    <t>Lts/seg-Ha</t>
  </si>
  <si>
    <t>Perdidas adoptadas</t>
  </si>
  <si>
    <t>Máxima área beneficiada</t>
  </si>
  <si>
    <t>Ha</t>
  </si>
  <si>
    <t xml:space="preserve">Dotación bruta </t>
  </si>
  <si>
    <t>Caudal total aguas lluvias</t>
  </si>
  <si>
    <t>Coef. consumo máximo día</t>
  </si>
  <si>
    <t>K1</t>
  </si>
  <si>
    <t>ALCANTARILLADO SANITARIO</t>
  </si>
  <si>
    <t>Coef. consumo máximo horario</t>
  </si>
  <si>
    <t>K2</t>
  </si>
  <si>
    <t>Coeficiente de retorno</t>
  </si>
  <si>
    <t>Qmd</t>
  </si>
  <si>
    <t>Caudal medio agua residual</t>
  </si>
  <si>
    <t>Lts/seg</t>
  </si>
  <si>
    <t>QMD</t>
  </si>
  <si>
    <t>Factor de Maximización</t>
  </si>
  <si>
    <t>M</t>
  </si>
  <si>
    <t>QMH</t>
  </si>
  <si>
    <t>Caudal máximo horario</t>
  </si>
  <si>
    <t>PLANTA DE TRATAMIENTO AGUA POTABLE</t>
  </si>
  <si>
    <t>Caudal de Infiltración</t>
  </si>
  <si>
    <t>L/Seg.Ha</t>
  </si>
  <si>
    <t>Gradiente mezcla rápida</t>
  </si>
  <si>
    <r>
      <t>Seg</t>
    </r>
    <r>
      <rPr>
        <vertAlign val="superscript"/>
        <sz val="7"/>
        <rFont val="Verdana"/>
        <family val="2"/>
      </rPr>
      <t>-1</t>
    </r>
  </si>
  <si>
    <t>Caudal conexiones erradas</t>
  </si>
  <si>
    <t>Tiempo para floculación</t>
  </si>
  <si>
    <t>Min</t>
  </si>
  <si>
    <t xml:space="preserve">SISTEMA DE TRATAMIENTO DE AGUAS RESIDUALES  </t>
  </si>
  <si>
    <t>Gradiente de floculación</t>
  </si>
  <si>
    <t>Carga superficial sedimentación</t>
  </si>
  <si>
    <t>m3/m2/día</t>
  </si>
  <si>
    <t>Rata de filtración</t>
  </si>
  <si>
    <t>Vol. tanque contacto cloro</t>
  </si>
  <si>
    <t>Tiempo contacto cloro</t>
  </si>
  <si>
    <t>min</t>
  </si>
  <si>
    <t xml:space="preserve">PARA PROYECTOS DE ASEO: Señalar el componente del servicio público de aseo al cual pertenece el proyecto. </t>
  </si>
  <si>
    <t xml:space="preserve">a. Barrido : </t>
  </si>
  <si>
    <t xml:space="preserve">Municipal </t>
  </si>
  <si>
    <t xml:space="preserve">Regional </t>
  </si>
  <si>
    <t>b. Recolección:</t>
  </si>
  <si>
    <t>c. Aprovechamiento</t>
  </si>
  <si>
    <t xml:space="preserve">d. Disposición Final </t>
  </si>
  <si>
    <t xml:space="preserve">Ampliación Relleno </t>
  </si>
  <si>
    <t xml:space="preserve">Nuevo Relleno </t>
  </si>
  <si>
    <t>Cierre Botadero o Celda</t>
  </si>
  <si>
    <t xml:space="preserve">DESCRIPCION DE COMPONENTES DEL PROYECTO. </t>
  </si>
  <si>
    <t>EXISTE  (SI/NO)</t>
  </si>
  <si>
    <t xml:space="preserve">SIN PROYECTO </t>
  </si>
  <si>
    <t xml:space="preserve">CON PROYECTO </t>
  </si>
  <si>
    <t>Recoleccion</t>
  </si>
  <si>
    <t>Transporte</t>
  </si>
  <si>
    <t>Barrido</t>
  </si>
  <si>
    <t>Km</t>
  </si>
  <si>
    <t>Transferencia</t>
  </si>
  <si>
    <t>Toneladas</t>
  </si>
  <si>
    <t>5. PLAZO DE EJECUCIÓN DEL PROYECTO (incluido plazo de contratación)</t>
  </si>
  <si>
    <t>6. RESUMEN DEL PRESUPUESTO DEL PROYECTO</t>
  </si>
  <si>
    <t>VALOR OBRA CIVIL E INSTALACIÓN</t>
  </si>
  <si>
    <t>VALOR SUMINISTROS</t>
  </si>
  <si>
    <t>OBRA CIVIL E INSTALACIÓN</t>
  </si>
  <si>
    <t>COSTO DIRECTO OBRA CIVIL E INSTALACIÓN</t>
  </si>
  <si>
    <t>TOTAL OBRA CIVIL E INSTALCIÓN + AIU</t>
  </si>
  <si>
    <t>SUPERVICIÓN (2%)</t>
  </si>
  <si>
    <t>COSTO TOTAL</t>
  </si>
  <si>
    <t>COSTO DIRECTO SUMINISTRO</t>
  </si>
  <si>
    <t>TOTAL SUMINISTRO + ADMINISTRACION</t>
  </si>
  <si>
    <t>SUPERVICIÓN MVCT (2%)</t>
  </si>
  <si>
    <t>TOTAL SUMINISTRO</t>
  </si>
  <si>
    <t>7. PLAN FINANCIERO DEL PROYECTO</t>
  </si>
  <si>
    <t>NACIÓN</t>
  </si>
  <si>
    <t>OTRA</t>
  </si>
  <si>
    <t>COSTO OBRA CIVIL E INSTALACION Y SUMINISTRO DE LA OPTIMIZACIÓN DEL ACUEDUCTO DE SAN ANTERO Y DEL ACUEDUCTO DEL CORREGIMIENTO EL POVERNIR EN EL MUNICIPIO DE SAN ANTERO</t>
  </si>
  <si>
    <t>INTERVENTORIA DE LA OBRA CIVIL, INSTALACIÓN Y SUMINISTRO DE LA OPTIMIZACIÓN DEL ACUEDUCTO DE SAN ANTERO Y DEL ACUEDUCTO DEL CORREGIMIENTO EL POVERNIR EN EL MUNICIPIO DE SAN ANTERO</t>
  </si>
  <si>
    <t>SEGUIMIENTO MINISTERIO VIVIENDA, CIUDAD Y TERRITORIO DE LA OBRA CIVIL, INSTALACIÓN Y SUMINISTRO DE LA OPTIMIZACIÓN DEL ACUEDUCTO DE SAN ANTERO Y DEL ACUEDUCTO DEL CORREGIMIENTO EL POVERNIR EN EL MUNICIPIO DE SAN ANTERO</t>
  </si>
  <si>
    <t>% PARTICIPACIÓN</t>
  </si>
  <si>
    <t>8. PLAN DE CONTRATACIÓN</t>
  </si>
  <si>
    <t>EJECUTOR</t>
  </si>
  <si>
    <t>TIPO DE CONTRATACIÓN</t>
  </si>
  <si>
    <t xml:space="preserve">OBRA CIVIL E INSTALACIÓN Y SUMINISTROS </t>
  </si>
  <si>
    <t>MUNICIPIO DE SAN ANTERO</t>
  </si>
  <si>
    <t>LICITACIÓN PÚBLICA</t>
  </si>
  <si>
    <t>INTERVENTORÍA</t>
  </si>
  <si>
    <t>* Se debe diligenciar de acuerdo al número de contratos que se van a realizar ,según la naturaleza del contrato</t>
  </si>
  <si>
    <t>9. ASPECTOS SOCIALES</t>
  </si>
  <si>
    <t>Si</t>
  </si>
  <si>
    <t>No</t>
  </si>
  <si>
    <t>Por efecto de la construcción del proyecto, es necesario realizar reubicación de población</t>
  </si>
  <si>
    <t>La construcción del proyecto afecta patrimonio cultural o histórico</t>
  </si>
  <si>
    <t>La construcción del proyecto afecta comunidades indígenas o afro descendientes</t>
  </si>
  <si>
    <t>Estratos socioeconómicos que se benefician con la construcción del proyecto</t>
  </si>
  <si>
    <t xml:space="preserve">Población beneficiada al finalizar la ejecución del proyecto </t>
  </si>
  <si>
    <t>4. 5 y 6</t>
  </si>
  <si>
    <t>Temas Prediales</t>
  </si>
  <si>
    <t>Número</t>
  </si>
  <si>
    <t>Predios necesarios para ejecución de estructuras puntuales</t>
  </si>
  <si>
    <t>Servidumbres necesarias para la ejecución de obras lineales</t>
  </si>
  <si>
    <t>10. ASPECTOS INSTITUCIONALES</t>
  </si>
  <si>
    <t>En el proyecto se financian actividades de fortalecimiento institucional</t>
  </si>
  <si>
    <t>Existe Empresa prestadora del servicio</t>
  </si>
  <si>
    <t>Se plantea fortalecimiento de la empresa existente</t>
  </si>
  <si>
    <t>Nombre de la empresa que presta actualmente los servicios</t>
  </si>
  <si>
    <t>Aguas del Sinú S.A E.S.P</t>
  </si>
  <si>
    <t>Naturaleza jurídica de la actual empresa prestadora</t>
  </si>
  <si>
    <t>Sociedad privada por Acciones</t>
  </si>
  <si>
    <t>11. PERMISOS REQUERIDOS PARA LA EJECUCIÓN DEL PROYECTO</t>
  </si>
  <si>
    <t>El proyecto requiere Permiso de Concesión de Agua</t>
  </si>
  <si>
    <t>El proyecto requiere Permiso de Exploración de Pozo</t>
  </si>
  <si>
    <t>El proyecto requiere Licencia Ambiental</t>
  </si>
  <si>
    <t>El proyecto requiere Permiso de Vertimiento</t>
  </si>
  <si>
    <t>El proyecto requiere Permiso de Cruce de Vía</t>
  </si>
  <si>
    <t>RESPONSABLE DEL DILIGENCIAMIENTO DEL FORMATO</t>
  </si>
  <si>
    <t>RESPONSABLE PROYECTO</t>
  </si>
  <si>
    <t xml:space="preserve">Nombre: </t>
  </si>
  <si>
    <t>DENNYS CHICA FUENTES</t>
  </si>
  <si>
    <t>MARTIN ALONSO MURILLO DIZ</t>
  </si>
  <si>
    <t xml:space="preserve">Cargo: </t>
  </si>
  <si>
    <t>ALCALDE MUNICIPAL</t>
  </si>
  <si>
    <t>Cargo</t>
  </si>
  <si>
    <t>Secretario de planeación</t>
  </si>
  <si>
    <t>Correo Electrónico</t>
  </si>
  <si>
    <t>alcaldemunicipal@sanantero-cordoba.gov.co</t>
  </si>
  <si>
    <t xml:space="preserve"> contactenos@sanantero-cordoba.gov.co</t>
  </si>
  <si>
    <t>Teléfono Celular</t>
  </si>
  <si>
    <t>PRELIMINARES</t>
  </si>
  <si>
    <t>EXCAVACIÓN EN MATERIAL COMÚN</t>
  </si>
  <si>
    <t>ENTIBADOS DE MADERA</t>
  </si>
  <si>
    <t xml:space="preserve">LLENOS </t>
  </si>
  <si>
    <t>BOTADA DE SOBRANTES</t>
  </si>
  <si>
    <t>JUNTAS DE CONSTRUCCIÓN</t>
  </si>
  <si>
    <t>COLOCACIÓN DE FILTROS PERIMETRAL</t>
  </si>
  <si>
    <t>MH PARA DESAGUE</t>
  </si>
  <si>
    <t>INSTALACIÓN DE TUBERÍA</t>
  </si>
  <si>
    <t>INSTALACION DE ACCESORIOS</t>
  </si>
  <si>
    <t>Anexo 8</t>
  </si>
  <si>
    <t>Municipio de San Antero - Córdoba</t>
  </si>
  <si>
    <r>
      <t>m</t>
    </r>
    <r>
      <rPr>
        <vertAlign val="superscript"/>
        <sz val="10"/>
        <rFont val="Gill Sans MT"/>
        <family val="2"/>
      </rPr>
      <t>3</t>
    </r>
    <r>
      <rPr>
        <sz val="10"/>
        <rFont val="Gill Sans MT"/>
        <family val="2"/>
      </rPr>
      <t>-km</t>
    </r>
  </si>
  <si>
    <t xml:space="preserve"> Medidor Velocidad Transmisión Magnetica con pantalla antimagnetica R160, Incluye acoples de conexión Ref IUT Preequipado, (caja plastica y accesorio completos)</t>
  </si>
  <si>
    <t>Entibado  temporal 3RU</t>
  </si>
  <si>
    <t>ADIMINISTRACIÓN 18,36%</t>
  </si>
  <si>
    <t>SEGUIMIENTO MINISTERIO VIVIENDA, CIUDAD Y TERRITORIO</t>
  </si>
  <si>
    <t>SEGUIMIENTO MINISTERIO VIVIENDA, CIUDAD Y TERRITORIO (2%)</t>
  </si>
  <si>
    <t>Suministro Tubería PEAD Ø 315mm (12") PN 10 RDE 17</t>
  </si>
  <si>
    <t>Suministro Tubería PEAD Ø 250mm (10") PN 10 RDE 17</t>
  </si>
  <si>
    <t>Instalación Tubería PEAD Ø 315mm (12") PN 10 RDE 17</t>
  </si>
  <si>
    <t>Tubería PEAD Ø 315mm (12") PN 10 RDE 17</t>
  </si>
  <si>
    <t>Tubería  PEAD Ø400mm (16") PN 12.5 RDE 13.6</t>
  </si>
  <si>
    <t>Tubería PEAD Ø 250mm (10") PN 10 RDE 17</t>
  </si>
  <si>
    <t>EQUIPO TERMOFUSION PARA TUEBRÍA DE 315mm</t>
  </si>
  <si>
    <t>Instalación Tubería PEAD Ø 250mm (10") PN 10 RDE 17</t>
  </si>
  <si>
    <t>EQUIPO TERMOFUSION PARA TUEBRÍA DE 250mm</t>
  </si>
  <si>
    <t>EQUIPO TERMOFUSION PARA TUEBRÍA DE 250mm - 315mm</t>
  </si>
  <si>
    <t>Camara de Quiebre en concreto, incluye accesorios</t>
  </si>
  <si>
    <t>VALVULA COMPUERTA 16" SELLO BRONCE BxB</t>
  </si>
  <si>
    <t>FLANCHE Y PORTAFLANCHE DE 12" PEAD</t>
  </si>
  <si>
    <t>NIPLE 16" EN ACERO AL CARBON DE 0,85m BXB</t>
  </si>
  <si>
    <t>NIPLE 16" EN ACERO AL CARBON DE 0,75m BXB</t>
  </si>
  <si>
    <t>NIPLE 6" EN ACERO AL CARBON 3,5m BXB</t>
  </si>
  <si>
    <t>VALVULA DE PIE 12" BXB</t>
  </si>
  <si>
    <t>CODO DE 90° HD DE 6" BXB</t>
  </si>
  <si>
    <t>CODO DE 90° HD DE 10" BXB</t>
  </si>
  <si>
    <t>NIPLE PASAMURO 16" EN ACERO AL CARBON 2,70m e=0,7m BXB</t>
  </si>
  <si>
    <t>FLANCHE Y PORTAFLANCHE DE 16" PEAD</t>
  </si>
  <si>
    <t>NIPLE PASAMURO 10" EN ACERO AL CARBON 0,85m e=0,15m BXB</t>
  </si>
  <si>
    <t>NIPLE PASAMURO 16" EN ACERO AL CARBON 0,85m e=0,42m BXB</t>
  </si>
  <si>
    <t>PLANCHA DE PVC 4,18mX3m e=20mm</t>
  </si>
  <si>
    <t>PERFIL EN U DE ALUMINIO L= 3m</t>
  </si>
  <si>
    <t>NIPLE PASAMURO 6" EN ACERO AL CARBON 0,85m e=0,15m BXB</t>
  </si>
  <si>
    <t>VALVULA DE COMPUERTA 6" SELLO BRONCE BXB</t>
  </si>
  <si>
    <t>NIPLE PASAMURO 12" EN ACERO AL CARBON 1,4m e=0,4m BXB</t>
  </si>
  <si>
    <t>CODO DE DE 16"  DE 90° HD BXB</t>
  </si>
  <si>
    <t>TAPA METALICA 1m X 1m</t>
  </si>
  <si>
    <t>TAPA METALICA 0,8 m X 0,8 m</t>
  </si>
  <si>
    <t>Octubre de 2019</t>
  </si>
  <si>
    <t>OCTUBRE DE 2019</t>
  </si>
  <si>
    <t>99.6</t>
  </si>
  <si>
    <t>99.7</t>
  </si>
  <si>
    <t>21.6</t>
  </si>
  <si>
    <t>21.7</t>
  </si>
  <si>
    <t>2.8.1</t>
  </si>
  <si>
    <t>2.8.2</t>
  </si>
  <si>
    <t>2.8.3</t>
  </si>
  <si>
    <t>2.8.4 i</t>
  </si>
  <si>
    <t>2.8.4 s</t>
  </si>
  <si>
    <t xml:space="preserve">2.9.1 i </t>
  </si>
  <si>
    <t>2.9.1 s</t>
  </si>
  <si>
    <t>2.9.2 i</t>
  </si>
  <si>
    <t>2.9.2 s</t>
  </si>
  <si>
    <t>2.9.3</t>
  </si>
  <si>
    <t>2.9.4</t>
  </si>
  <si>
    <t>2.9.5</t>
  </si>
  <si>
    <t>2.9.6 i</t>
  </si>
  <si>
    <t>2.9.6 s</t>
  </si>
  <si>
    <t>2.9.7 i</t>
  </si>
  <si>
    <t>2.9.7 s</t>
  </si>
  <si>
    <t>2.9.8 i</t>
  </si>
  <si>
    <t>2.9.8 s</t>
  </si>
  <si>
    <t>2.10.1 i</t>
  </si>
  <si>
    <t>2.10.1 s</t>
  </si>
  <si>
    <t>2.10.2 i</t>
  </si>
  <si>
    <t>2.10.2 s</t>
  </si>
  <si>
    <t>2.11.1 i</t>
  </si>
  <si>
    <t>2.11.1 s</t>
  </si>
  <si>
    <t>2.11.2 i</t>
  </si>
  <si>
    <t>2.11.2 s</t>
  </si>
  <si>
    <t>2.11.3 i</t>
  </si>
  <si>
    <t>2.11.3 s</t>
  </si>
  <si>
    <t>2.11.4 i</t>
  </si>
  <si>
    <t>2.11.4 s</t>
  </si>
  <si>
    <t>2.11.5 i</t>
  </si>
  <si>
    <t>2.11.5 s</t>
  </si>
  <si>
    <t>2.11.6 i</t>
  </si>
  <si>
    <t>2.11.6 s</t>
  </si>
  <si>
    <t>2.11.7 i</t>
  </si>
  <si>
    <t>2.11.7 s</t>
  </si>
  <si>
    <t>2.11.8 i</t>
  </si>
  <si>
    <t>2.11.8 s</t>
  </si>
  <si>
    <t>3.1 i</t>
  </si>
  <si>
    <t>3.2 s</t>
  </si>
  <si>
    <t>3.2 i</t>
  </si>
  <si>
    <t>3.3 s</t>
  </si>
  <si>
    <t>3.4 s</t>
  </si>
  <si>
    <t>3.5 s</t>
  </si>
  <si>
    <t>3.6 i</t>
  </si>
  <si>
    <t>3.6 s</t>
  </si>
  <si>
    <t>3.7 i</t>
  </si>
  <si>
    <t>3.7 s</t>
  </si>
  <si>
    <t>3.8 i</t>
  </si>
  <si>
    <t>3.8 s</t>
  </si>
  <si>
    <t>5.2.1</t>
  </si>
  <si>
    <t>5.3</t>
  </si>
  <si>
    <t>5.11 i</t>
  </si>
  <si>
    <t>5.11 s</t>
  </si>
  <si>
    <t>5.12 i</t>
  </si>
  <si>
    <t>5.12 s</t>
  </si>
  <si>
    <t>5.13 i</t>
  </si>
  <si>
    <t>5.13 s</t>
  </si>
  <si>
    <t>5.14 i</t>
  </si>
  <si>
    <t>5.14 s</t>
  </si>
  <si>
    <t>10.1.1</t>
  </si>
  <si>
    <t>10.1.2</t>
  </si>
  <si>
    <t>10.1.3</t>
  </si>
  <si>
    <t>10.1.4</t>
  </si>
  <si>
    <t>10.1.5</t>
  </si>
  <si>
    <t>10.2.1</t>
  </si>
  <si>
    <t>10.2.2</t>
  </si>
  <si>
    <t>10.2.3</t>
  </si>
  <si>
    <t>10.2.4</t>
  </si>
  <si>
    <t>10.2.5</t>
  </si>
  <si>
    <t>10.2.6 i</t>
  </si>
  <si>
    <t>10.2.6 s</t>
  </si>
  <si>
    <t>10.2.7 i</t>
  </si>
  <si>
    <t>10.2.7 s</t>
  </si>
  <si>
    <t>10.3.1 i</t>
  </si>
  <si>
    <t>10.3.1 s</t>
  </si>
  <si>
    <t>10.3.2 i</t>
  </si>
  <si>
    <t>10.3.2 s</t>
  </si>
  <si>
    <t>10.3.3 i</t>
  </si>
  <si>
    <t>10.3.3 s</t>
  </si>
  <si>
    <t>10.3.4 i</t>
  </si>
  <si>
    <t>10.3.4 s</t>
  </si>
  <si>
    <t>10.3.5 i</t>
  </si>
  <si>
    <t>10.3.5 s</t>
  </si>
  <si>
    <t>10.4.1 i</t>
  </si>
  <si>
    <t>10.4.1 s</t>
  </si>
  <si>
    <t>10.4.2 i</t>
  </si>
  <si>
    <t>10.4.2 s</t>
  </si>
  <si>
    <t>10.4.3 i</t>
  </si>
  <si>
    <t>10.4.3 s</t>
  </si>
  <si>
    <t>10.4.4 i</t>
  </si>
  <si>
    <t>10.4.4 s</t>
  </si>
  <si>
    <t>10.4.5 i</t>
  </si>
  <si>
    <t>10.4.5 s</t>
  </si>
  <si>
    <t>10.5.1 i</t>
  </si>
  <si>
    <t>10.5.1 s</t>
  </si>
  <si>
    <t>10.5.2 i</t>
  </si>
  <si>
    <t>10.5.2 s</t>
  </si>
  <si>
    <t>10.5.3 i</t>
  </si>
  <si>
    <t>10.5.3 s</t>
  </si>
  <si>
    <t>10.5.4 i</t>
  </si>
  <si>
    <t>10.5.4 s</t>
  </si>
  <si>
    <t>10.5.5 i</t>
  </si>
  <si>
    <t>10.5.5 s</t>
  </si>
  <si>
    <t>10.6.1 i</t>
  </si>
  <si>
    <t>10.6.1 s</t>
  </si>
  <si>
    <t>10.6.2 i</t>
  </si>
  <si>
    <t>10.6.2 s</t>
  </si>
  <si>
    <t>10.6.3 i</t>
  </si>
  <si>
    <t>10.6.3 s</t>
  </si>
  <si>
    <t>10.6.4 i</t>
  </si>
  <si>
    <t>10.6.4 s</t>
  </si>
  <si>
    <t>10.6.5 i</t>
  </si>
  <si>
    <t>10.6.5 s</t>
  </si>
  <si>
    <t>10.6.6 i</t>
  </si>
  <si>
    <t>10.6.6 s</t>
  </si>
  <si>
    <t>10.6.7 i</t>
  </si>
  <si>
    <t>10.6.7 s</t>
  </si>
  <si>
    <t>10.6.8 i</t>
  </si>
  <si>
    <t>10.6.8 s</t>
  </si>
  <si>
    <t>10.7.1 i</t>
  </si>
  <si>
    <t>10.7.1 s</t>
  </si>
  <si>
    <t>10.7.2 i</t>
  </si>
  <si>
    <t>10.7.2 s</t>
  </si>
  <si>
    <t>10.7.3 i</t>
  </si>
  <si>
    <t>10.7.3 s</t>
  </si>
  <si>
    <t>Reconstrucción de cunetas de concreto ccto de 3000 PSI</t>
  </si>
  <si>
    <t xml:space="preserve"> Medidor Velocidad Transmisión Magnetica con pantalla antimagnetica R160, Incluye acoples de conexión Ref IUT Preequipado, (caja plastica y accesorios completos)</t>
  </si>
  <si>
    <t>Construcción de Cordón de concreto in situ</t>
  </si>
  <si>
    <t>Suministro e Instalación Cinta flexible tipo  Sika O-22 o similar para juntas de construcción</t>
  </si>
  <si>
    <t>INTERVENTORIA OBRA CIVIL</t>
  </si>
  <si>
    <t>INTERVENTORIA SUMINISTRO</t>
  </si>
  <si>
    <t>ADMINISTRACIÓN SUMINISTRO</t>
  </si>
  <si>
    <t>ADMINISTRACION SUMINISTROS</t>
  </si>
  <si>
    <t>ADMINISTRACIÓN  SUMINISTRO</t>
  </si>
  <si>
    <t>INTERVENTORIA SUMINISTROS</t>
  </si>
  <si>
    <t>INTERVENTORIA 1% Y 6,8%</t>
  </si>
  <si>
    <t>SUPERVISION ADMINISTRATIVA FINANCIERA Y LEGAL 2%</t>
  </si>
  <si>
    <t>Interventoría Suministros (1%)</t>
  </si>
  <si>
    <t xml:space="preserve">Interventoría Obra Civil </t>
  </si>
  <si>
    <t>1.5.10</t>
  </si>
  <si>
    <t>Instalación Tubería PEAD Ø 400mm (16") PN 10 RDE 17</t>
  </si>
  <si>
    <t>Instalación Tubería PEAD Ø 400mm (16") PN 8 RDE 21</t>
  </si>
  <si>
    <t>Instalación Tubería PEAD Ø 400mm (16") PN 6 RDE 26</t>
  </si>
  <si>
    <t>1.6.8</t>
  </si>
  <si>
    <t>1.6.10</t>
  </si>
  <si>
    <t>Suministro Tubería PEAD Ø 400mm (16") PN 10 RDE 17</t>
  </si>
  <si>
    <t>Suministro Tubería PEAD Ø 400mm (16") PN 8 RDE 21</t>
  </si>
  <si>
    <t>Suministro Tubería PEAD Ø 400mm (16") PN 6 RDE 26</t>
  </si>
  <si>
    <t>Tubería PEAD Ø 400mm (16") PN 10 RDE 17</t>
  </si>
  <si>
    <t>Tubería PEAD Ø 400mm (16") PN 8 RDE 21</t>
  </si>
  <si>
    <t>Tubería PEAD Ø 400mm (16") PN 6 RDE 26</t>
  </si>
  <si>
    <t>99.8</t>
  </si>
  <si>
    <t>99.9</t>
  </si>
  <si>
    <t>99.10</t>
  </si>
  <si>
    <t>21.8</t>
  </si>
  <si>
    <t>21.9</t>
  </si>
  <si>
    <t>21.10</t>
  </si>
  <si>
    <t>Suministro Tubería PEAD Ø 160mm (6") PN 25 RDE 7.4</t>
  </si>
  <si>
    <t>Suministro Tubería PEAD Ø 160mm (6") PN 16 RDE 11</t>
  </si>
  <si>
    <t>Suministro Tubería PEAD Ø 160mm (6") PN 12.5 RDE 13.6</t>
  </si>
  <si>
    <t>Suministro Tubería PEAD Ø 160mm (6") PN 10 RDE 17</t>
  </si>
  <si>
    <t>Suministro Tubería PEAD Ø 160mm (6") PN 8 RDE 21</t>
  </si>
  <si>
    <t>Suministro Tubería PEAD Ø 160mm (6") PN 6 RDE 26</t>
  </si>
  <si>
    <t>2.7.11</t>
  </si>
  <si>
    <t>2.7.12</t>
  </si>
  <si>
    <t>2.7.13</t>
  </si>
  <si>
    <t>Instalación Tubería PEAD Ø 160mm (6") PN 25 RDE 7.4</t>
  </si>
  <si>
    <t>Instalación Tubería PEAD Ø 160mm (6") PN 16 RDE 11</t>
  </si>
  <si>
    <t>Instalación Tubería PEAD Ø 160mm (6") PN 12.5 RDE 13.6</t>
  </si>
  <si>
    <t>Instalación Tubería PEAD Ø 160mm (6") PN 10 RDE 17</t>
  </si>
  <si>
    <t>Instalación Tubería PEAD Ø 160mm (6") PN 8 RDE 21</t>
  </si>
  <si>
    <t>Instalación Tubería PEAD Ø 160mm (6") PN 6 RDE 26</t>
  </si>
  <si>
    <t>Tubería PEAD Ø 160mm (6") PN 25 RDE 7.4</t>
  </si>
  <si>
    <t>Tubería PEAD Ø 160mm (6") PN 16 RDE 11</t>
  </si>
  <si>
    <t>Tubería PEAD Ø 160mm (6") PN 12.5 RDE 13.6</t>
  </si>
  <si>
    <t>Tubería PEAD Ø 160mm (6") PN 10 RDE 17</t>
  </si>
  <si>
    <t>Tubería PEAD Ø 160mm (6") PN 8 RDE 21</t>
  </si>
  <si>
    <t>Tubería PEAD Ø 160mm (6") PN 6 RDE 26</t>
  </si>
  <si>
    <t>121.11</t>
  </si>
  <si>
    <t>121.12</t>
  </si>
  <si>
    <t>121.13</t>
  </si>
  <si>
    <t>Tubería  PEAD Ø400mm (16") PN 16 RDE 11</t>
  </si>
  <si>
    <t>1.6.11</t>
  </si>
  <si>
    <t>Suministro Tubería PEAD Ø 400mm (16") PN 16 RDE 11</t>
  </si>
  <si>
    <t>1.5.11</t>
  </si>
  <si>
    <t>Instalación Tubería PEAD Ø 400mm (16") PN 16 RDE 11</t>
  </si>
  <si>
    <t>Tubería PEAD Ø 400mm (16") PN 16 RDE 11</t>
  </si>
  <si>
    <t>99.11</t>
  </si>
  <si>
    <t>Instalación Tubería  PEAD Ø400mm PN 12.5 RDE 13.6</t>
  </si>
  <si>
    <t>21.11</t>
  </si>
  <si>
    <t>Instalación Tubería PEAD Ø 160mm (6") PN 9 RDE 20</t>
  </si>
  <si>
    <t>Suministro Tubería PEAD Ø 160mm (6") PN 9 RDE 20</t>
  </si>
  <si>
    <t>Tubería PEAD Ø 160mm (6") PN 9 RDE 20</t>
  </si>
  <si>
    <t>121.14</t>
  </si>
  <si>
    <t>2.7.14</t>
  </si>
  <si>
    <t>60.11</t>
  </si>
  <si>
    <t>60.12</t>
  </si>
  <si>
    <t>60.13</t>
  </si>
  <si>
    <t>60.14</t>
  </si>
  <si>
    <t>TOTAL ADMINISTRACION  SUMINISTRO</t>
  </si>
  <si>
    <t>TOTAL ADMINISTRACION OBRA CIVIL</t>
  </si>
  <si>
    <t>VALOR INTERVENTORIA</t>
  </si>
  <si>
    <t>COSTO TOTAL PROYECTO OBRA CIVIL E INSTALACION  LÍNEA DE CONDUCCIÓN TANQUE DE PATAGONIA AL PORVENIR Y ECOPETROL</t>
  </si>
  <si>
    <t>SUBTOTAL COSTO DIRECTO OBRA CIVIL E INSTALACION  LÍNEA DE CONDUCCIÓN TANQUE DE PATAGONIA AL PORVENIR Y ECOPETROL</t>
  </si>
  <si>
    <t xml:space="preserve">SUBTOTAL COSTO DIRECTO SUMINISTRO COMPONENTE ELECTRICO Y MECANICO DEL SISTEMA DE BOMBEO RÍO SINÚ - PTAP TIJERETAS </t>
  </si>
  <si>
    <t>COSTO TOTAL CONTRATO DE OBRA</t>
  </si>
  <si>
    <t>PRESUPUESTO DE INTERVENTORÍA AL PROYECTO OPTIMIZACIÓN DEL ACUEDUCTO DE SAN ANTERO Y DEL ACUEDUCTO DEL CORREGIMIENTO EL PORVENIR EN EL MUNICIPIO DE SAN ANTERO
DEPARTAMENTO DE CÓRDOBA</t>
  </si>
  <si>
    <t>OPTIMIZACIÓN DEL ACUEDUCTO DE SAN ANTERO Y DEL ACUEDUCTO DEL CORREGIMIENTO EL PORVENIR EN EL MUNICIPIO DE SAN ANTERO DEPARTAMENTO DE CÓRDOBA</t>
  </si>
  <si>
    <t>Subtotal OBRA CIVIL</t>
  </si>
  <si>
    <t>Subtotal SUMINISTRO</t>
  </si>
  <si>
    <t>PROYECTO OPTIMIZACIÓN DEL ACUEDUCTO DE SAN ANTERO Y DEL ACUEDUCTO DEL CORREGIMIENTO EL PORVENIR EN EL MUNICIPIO DE SAN ANTERO
DEPARTAMENTO DE CÓRDOBA</t>
  </si>
  <si>
    <t>OBRA CIVIL E INSTALACION  LÍNEA DE CONDUCCIÓN TANQUE DE PATAGONIA AL PORVENIR Y ECOPETROL</t>
  </si>
  <si>
    <t>20.9</t>
  </si>
  <si>
    <t>Vehiculo de Transporte Vehículo tipo campero 4x4 cilindraje mínimo 2000 cc y modelo mínimo 2005 (incluye gasolina, peajes)</t>
  </si>
  <si>
    <t>Laboratorios de Suelos y resiStencia de materiales</t>
  </si>
  <si>
    <t xml:space="preserve">CALCULO DEL FACTOR MULTIPLICADOR </t>
  </si>
  <si>
    <t>DESCRIPCION</t>
  </si>
  <si>
    <t>A</t>
  </si>
  <si>
    <t xml:space="preserve">SALARIO BÁSICO </t>
  </si>
  <si>
    <t>B</t>
  </si>
  <si>
    <t>PRESTACIONES SOCIALES</t>
  </si>
  <si>
    <t>Cesantía</t>
  </si>
  <si>
    <t>Intereses de Cesantía</t>
  </si>
  <si>
    <t>Prima</t>
  </si>
  <si>
    <t>SEGURIDAD SOCIAL</t>
  </si>
  <si>
    <t>Salud</t>
  </si>
  <si>
    <t>Pension</t>
  </si>
  <si>
    <t>ARL</t>
  </si>
  <si>
    <t>Subsidio Familiar</t>
  </si>
  <si>
    <t>OTROS</t>
  </si>
  <si>
    <t>ICBF</t>
  </si>
  <si>
    <t>SENA</t>
  </si>
  <si>
    <t>Caja de Compensación</t>
  </si>
  <si>
    <t>Fondo de Solidaridad Pensional</t>
  </si>
  <si>
    <t>0,46% - 2%</t>
  </si>
  <si>
    <t>Bonificaciones</t>
  </si>
  <si>
    <t>Dotación</t>
  </si>
  <si>
    <t>0,24% 15%</t>
  </si>
  <si>
    <t>Incapacidades no Cubiertas por EPS</t>
  </si>
  <si>
    <t>1,33% - 3,33%</t>
  </si>
  <si>
    <t>Prima extralegal</t>
  </si>
  <si>
    <t>Indemnizaciones</t>
  </si>
  <si>
    <t>Auxilios varios</t>
  </si>
  <si>
    <t>Seguros de Ley</t>
  </si>
  <si>
    <t>C</t>
  </si>
  <si>
    <t>COSTOS INDIRECTOS</t>
  </si>
  <si>
    <t>Arriendo de oficina, administración y servicios públicos</t>
  </si>
  <si>
    <t>Arrendamiento de oficina</t>
  </si>
  <si>
    <t>Útiles, papelería oficina consultor</t>
  </si>
  <si>
    <t>1% - 4%</t>
  </si>
  <si>
    <t>Personal administrativo no facturado (Sueldo + prestaciones)</t>
  </si>
  <si>
    <t>Administración</t>
  </si>
  <si>
    <t>Personal profesional no facturado</t>
  </si>
  <si>
    <t>Varios de aportes no reembolsable</t>
  </si>
  <si>
    <t>Asesoría legal, tributaria y médica</t>
  </si>
  <si>
    <t>Gastos Generales de Operación</t>
  </si>
  <si>
    <t>Gastos de representación</t>
  </si>
  <si>
    <t>0,5% - 3%</t>
  </si>
  <si>
    <t>Dotación de Operación y Mantenimiento</t>
  </si>
  <si>
    <t>Gastos e intereses bancarios por financiación</t>
  </si>
  <si>
    <t>Equipos y mantenimiento de oficina</t>
  </si>
  <si>
    <t>Seguros de oficina del consultor</t>
  </si>
  <si>
    <t>Correos</t>
  </si>
  <si>
    <t>Documentación Técnica</t>
  </si>
  <si>
    <t>Costos propuestas</t>
  </si>
  <si>
    <t>Aseguramiento de Calidad</t>
  </si>
  <si>
    <t>Gastos legales bancarios</t>
  </si>
  <si>
    <t xml:space="preserve">Capacitación del personal </t>
  </si>
  <si>
    <t>0,5% - 5%</t>
  </si>
  <si>
    <t>Vigilancia y aseo</t>
  </si>
  <si>
    <t>Jubilaciones</t>
  </si>
  <si>
    <t>Gastos de transporte vehículos, viáticos y otros</t>
  </si>
  <si>
    <t>Elaboración de informes y entregables</t>
  </si>
  <si>
    <t>Revistas publicaciones técnicas</t>
  </si>
  <si>
    <t>Equipos de cómputo</t>
  </si>
  <si>
    <t xml:space="preserve">Actualizaciones tecnológicas </t>
  </si>
  <si>
    <t>1,5% - 2,0%</t>
  </si>
  <si>
    <t>Depreciación instalaciones y equipos de oficina</t>
  </si>
  <si>
    <t>D</t>
  </si>
  <si>
    <t>COSTOS DE IMPUESTOS Y PÓLIZAS</t>
  </si>
  <si>
    <t>Publicación en el Diario Oficial</t>
  </si>
  <si>
    <t>Retefuente</t>
  </si>
  <si>
    <t>Rete ICA</t>
  </si>
  <si>
    <t>Póliza de calidad</t>
  </si>
  <si>
    <t>Póliza de cumplimiento</t>
  </si>
  <si>
    <t>Póliza de salarios y prestaciones sociales</t>
  </si>
  <si>
    <t>Otros descuentos</t>
  </si>
  <si>
    <t>Legalización contratos</t>
  </si>
  <si>
    <t>E</t>
  </si>
  <si>
    <t xml:space="preserve">HONORARIOS (UTILIDADES) </t>
  </si>
  <si>
    <t>FACTOR MULTIPLICADOR (A+B+C+D+E)</t>
  </si>
  <si>
    <t>INTERVENTORÍA AL PROYECTO OPTIMIZACIÓN DEL ACUEDUCTO DE SAN ANTERO Y DEL ACUEDUCTO DEL CORREGIMIENTO EL PORVENIR EN EL MUNICIPIO DE SAN ANTERO
DEPARTAMENTO DE CÓRDOBA</t>
  </si>
  <si>
    <t xml:space="preserve">Estampilla </t>
  </si>
  <si>
    <t>OBJETO: OPTIMIZACIÓN DEL ACUEDUCTO DE SAN ANTERO Y DEL ACUEDUCTO DEL CORREGIMIENTO EL PORVENIR EN EL MUNICIPIO DE SAN ANTERO</t>
  </si>
  <si>
    <t>AQLATAM-DTO-COR-01</t>
  </si>
  <si>
    <t>Versión</t>
  </si>
  <si>
    <t>SOLICITUD DE PRESENTACIÓN DE OFERTAS No. SPO-AQLATAM-ACU-002-2021                                                                                                                                FORMULARIO 1 - PRESUPUESTO OFICIAL</t>
  </si>
  <si>
    <t>[La entidad podrá utilizar este formato, o el establecido por la entidad, para la presentación de los análisis de precios unitarios del contratista en la oportunidad prevista en el numeral 8.1. del Documento Base]</t>
  </si>
  <si>
    <t xml:space="preserve">[NOMBRE DE LA ENTIDAD] </t>
  </si>
  <si>
    <t>VERSIÓN</t>
  </si>
  <si>
    <t xml:space="preserve">[NÚMERO DEL PROCESO] </t>
  </si>
  <si>
    <t>PÁGINA</t>
  </si>
  <si>
    <t>DE</t>
  </si>
  <si>
    <t xml:space="preserve">ANALISIS DE PRECIOS UNITARIOS </t>
  </si>
  <si>
    <t>FECHA</t>
  </si>
  <si>
    <t>DD</t>
  </si>
  <si>
    <t>MM</t>
  </si>
  <si>
    <t>AA</t>
  </si>
  <si>
    <t>ÍTEMS DE LA PROPUESTA ECONÓMICA</t>
  </si>
  <si>
    <t>ÍTEMS NO PREVISTOS</t>
  </si>
  <si>
    <t>DATOS ESPECÍFICOS</t>
  </si>
  <si>
    <t>ÍTEM</t>
  </si>
  <si>
    <t>I. EQUIPO</t>
  </si>
  <si>
    <t>MARCA</t>
  </si>
  <si>
    <t>TIPO</t>
  </si>
  <si>
    <t>TARIFA/HORA</t>
  </si>
  <si>
    <t>Vr. UNITARIO</t>
  </si>
  <si>
    <t>SUBTOTAL $</t>
  </si>
  <si>
    <t>II. MATERIALES</t>
  </si>
  <si>
    <t>PRECIO UNIT.</t>
  </si>
  <si>
    <t>III. TRANSPORTES</t>
  </si>
  <si>
    <t>MATERIAL</t>
  </si>
  <si>
    <t>VOL. o PESO</t>
  </si>
  <si>
    <t>DISTANCIA</t>
  </si>
  <si>
    <r>
      <t>M</t>
    </r>
    <r>
      <rPr>
        <b/>
        <vertAlign val="superscript"/>
        <sz val="11"/>
        <rFont val="Arial"/>
        <family val="2"/>
      </rPr>
      <t>3</t>
    </r>
    <r>
      <rPr>
        <b/>
        <sz val="11"/>
        <rFont val="Arial"/>
        <family val="2"/>
      </rPr>
      <t xml:space="preserve"> o Ton/Km</t>
    </r>
  </si>
  <si>
    <t>TARIFA</t>
  </si>
  <si>
    <t>IV. MANO DE OBRA</t>
  </si>
  <si>
    <t>TRABAJADOR</t>
  </si>
  <si>
    <t>JORNAL</t>
  </si>
  <si>
    <t>PRESTACIONES</t>
  </si>
  <si>
    <t>JORNAL TOTAL</t>
  </si>
  <si>
    <t>TOTAL COSTO DIRECTO $</t>
  </si>
  <si>
    <t>V. COSTOS INDIRECTOS</t>
  </si>
  <si>
    <t>Descripción</t>
  </si>
  <si>
    <t>Valor Total</t>
  </si>
  <si>
    <t xml:space="preserve">IMPREVISTOS </t>
  </si>
  <si>
    <t>Precio Unitario Total Aproximado al peso $</t>
  </si>
  <si>
    <t>Firma</t>
  </si>
  <si>
    <t>Nombre:</t>
  </si>
  <si>
    <t>Representante Legal del Contratista o su Apoderado</t>
  </si>
  <si>
    <t>Matricula No. :</t>
  </si>
  <si>
    <t>OBSERVACIONES INTERVENTORÍA</t>
  </si>
  <si>
    <t>APROBACIÓN POR INTERVENTORÍA</t>
  </si>
  <si>
    <t>Nota 1: Cuando se trate de Análisis de precios unitarios correspondientes a ítems de la propuesta económica aprobada, el Interventor aprueba el desglose de los componentes manteniendo el mismo precio unitario de cada ítem, cumpliendo con las especificaciones de construcción vigentes para el proyecto.</t>
  </si>
  <si>
    <t>Nota 2: Cuando se trate de Análisis de precios unitarios de ítems no previstos, el Interventor aprueba el desglose y precio unitario de cada ítem no previsto, exigiendo la aplicación de los costos correspondientes a insumos y tarifas de la propuesta económica inicial cuando estén contemplados, cumpliendo con las especificaciones de construcción vigente para el proyecto.</t>
  </si>
  <si>
    <t>Representante Legal del Interventor o su Apoderado</t>
  </si>
  <si>
    <t>Actividades preliminares</t>
  </si>
  <si>
    <t>Localización y replanteo redes</t>
  </si>
  <si>
    <t>Ml</t>
  </si>
  <si>
    <t>Excavaciones mecánica red h=&lt; 2.50mts</t>
  </si>
  <si>
    <t>Demolición de pavimento rígido</t>
  </si>
  <si>
    <t>Entibados</t>
  </si>
  <si>
    <t>Entibado tablestacado con lamina</t>
  </si>
  <si>
    <t>Retiro y disposición de material sobrante</t>
  </si>
  <si>
    <t>Rellenos</t>
  </si>
  <si>
    <t>Redes de alcantarillado</t>
  </si>
  <si>
    <t>Instalación de tubería flexible de alcantarillado</t>
  </si>
  <si>
    <t>Instalación tubería flexible alcantarillado D 8" (200 mm)</t>
  </si>
  <si>
    <t>Pozos de inspección y cámara de caída</t>
  </si>
  <si>
    <t>Pozos de inspección</t>
  </si>
  <si>
    <t>Elementos pozo de inspección construidos en sitio</t>
  </si>
  <si>
    <t>Un</t>
  </si>
  <si>
    <t>Domiciliarias de alcantarillado</t>
  </si>
  <si>
    <t>Instalación domiciliarias</t>
  </si>
  <si>
    <t xml:space="preserve">Instalación tubería y accesorios domiciliaria 6" </t>
  </si>
  <si>
    <t>Intervención de espacio publico</t>
  </si>
  <si>
    <t>Construcción de pavimento rígido</t>
  </si>
  <si>
    <t>Excavaciones mecánica red h&gt;2.50&lt;5.00mts</t>
  </si>
  <si>
    <t>Excavaciones mecánica red h=&gt;5.00mts</t>
  </si>
  <si>
    <t>Excavaciones mecánica estructuras h=&lt; 2.50mts</t>
  </si>
  <si>
    <t>Excavaciones mecánica estructuras h&gt;2.50&lt;5.00mts</t>
  </si>
  <si>
    <t>Excavaciones mecánica estructuras h=&gt;5.00mts</t>
  </si>
  <si>
    <t xml:space="preserve">Excavación manual </t>
  </si>
  <si>
    <t>Demolición de sardineles</t>
  </si>
  <si>
    <t>Entibado tablestacado con madera</t>
  </si>
  <si>
    <t>Cargue, Retiro y disposición de material proveniente de excavaciones, a una distancia de 10 kms.</t>
  </si>
  <si>
    <t>M3/KM</t>
  </si>
  <si>
    <t>Material proveniente de excavacion</t>
  </si>
  <si>
    <t>Recebo común (clasificado lomagrande)</t>
  </si>
  <si>
    <t>Triturado &lt;= 1"</t>
  </si>
  <si>
    <t>Grava &gt;1"</t>
  </si>
  <si>
    <t>Piedra rajón</t>
  </si>
  <si>
    <t>Arena fina</t>
  </si>
  <si>
    <t>Instalación  y suministro de tubería de alcantarillado</t>
  </si>
  <si>
    <t>Instalación tubería flexible alcantarillado D10" (250 mm)</t>
  </si>
  <si>
    <t>Instalación tubería flexible alcantarillado D 12" (315 mm)</t>
  </si>
  <si>
    <t>Instalación tubería flexible alcantarillado D 16" (400 mm)</t>
  </si>
  <si>
    <t>Instalación tubería flexible alcantarillado D 20" (500 mm)</t>
  </si>
  <si>
    <t xml:space="preserve">Instalación tubería flexible alcantarillado D 24" </t>
  </si>
  <si>
    <t xml:space="preserve">Instalación tubería flexible alcantarillado D 27" </t>
  </si>
  <si>
    <t>Base para pozo</t>
  </si>
  <si>
    <t>Cilindro pozo en mampostería D. Interno = 1,20m e=0,25</t>
  </si>
  <si>
    <t>Cilindro pozo en mampostería D. Interno = 1,20m e=0,37</t>
  </si>
  <si>
    <t>Tapa cubierta pozo + aro-base + aro-tapa</t>
  </si>
  <si>
    <t>Suministro accesorios domiciliarias</t>
  </si>
  <si>
    <t>Suministro e instalacion yee PVC</t>
  </si>
  <si>
    <t>yee PVC 200x160mm</t>
  </si>
  <si>
    <t>yee PVC 250x160mm</t>
  </si>
  <si>
    <t>yee PVC 315x160mm</t>
  </si>
  <si>
    <t>yee PVC 400x160mm</t>
  </si>
  <si>
    <t>yee PVC 500x160mm</t>
  </si>
  <si>
    <t>yee PVC 24" x160mm</t>
  </si>
  <si>
    <t>yee PVC 27" x160mm</t>
  </si>
  <si>
    <t>Suministro de codo PVC</t>
  </si>
  <si>
    <t xml:space="preserve"> Codo 45° PVC cxc 160mm</t>
  </si>
  <si>
    <t>Caja de inspeccion domiciliarias</t>
  </si>
  <si>
    <t>Caja domiciliaria plastica incluye, tapa, elevador e hidrosellos</t>
  </si>
  <si>
    <t>Pavimento rígido MR 43</t>
  </si>
  <si>
    <t xml:space="preserve">Construcción de andenes </t>
  </si>
  <si>
    <t>Anden en concreto e= 0.12mts</t>
  </si>
  <si>
    <t>Construcción de sardinel</t>
  </si>
  <si>
    <t>Construcción sardinel 50cm</t>
  </si>
  <si>
    <t>Construcción sardinel 35cm</t>
  </si>
  <si>
    <t>Instalación y suministro de concretos</t>
  </si>
  <si>
    <t>Instalación de concretos</t>
  </si>
  <si>
    <t xml:space="preserve">Instalación concreto para atraque tubería </t>
  </si>
  <si>
    <t>Suministro de concretos</t>
  </si>
  <si>
    <t>Concreto resistencia 21,0 Mpa (210 kg/cm2)</t>
  </si>
  <si>
    <t>Localización y replanteo estructuras</t>
  </si>
  <si>
    <t>Descapote e=0,30 mts capa vegetal</t>
  </si>
  <si>
    <t>Sub-base granular</t>
  </si>
  <si>
    <t>Construcción de vías o andenes en adoquín</t>
  </si>
  <si>
    <t>Adoquín concreto 20x10x6</t>
  </si>
  <si>
    <t>Zonas Verdes</t>
  </si>
  <si>
    <t>Empradizacion con cespedon</t>
  </si>
  <si>
    <t>Plantación de árbol</t>
  </si>
  <si>
    <t>Suministro e instalacion de concretos</t>
  </si>
  <si>
    <t>Concretos Tanque</t>
  </si>
  <si>
    <t>Concreto resistencia 7,0 Mpa (70 kg/cm2)</t>
  </si>
  <si>
    <t>S/I concreto losa fondo, concreto de 28,0 Mpa (280 kg/cm2), impermeabilizado</t>
  </si>
  <si>
    <t>S/I concreto muros y tabiques, concreto de 28,0 Mpa (280 kg/cm2), impermeabilizado</t>
  </si>
  <si>
    <t>S/I concreto placa superior, concreto de 28,0 Mpa (280 kg/cm2), impermeabilizado</t>
  </si>
  <si>
    <t>S/I concreto zarpas , concreto de 28,0 Mpa (280 kg/cm2), impermeabilizado</t>
  </si>
  <si>
    <t>S/I concreto canal , concreto de 28,0 Mpa (280 kg/cm2)</t>
  </si>
  <si>
    <t>Concretos Casa de Operaciones</t>
  </si>
  <si>
    <t>S/I concreto columnas , concreto de 28,0 Mpa (280 kg/cm2)</t>
  </si>
  <si>
    <t>S/I concreto vigas de amarre , concreto de 28,0 Mpa (280 kg/cm2)</t>
  </si>
  <si>
    <t>S/I concreto vigas de cimentacion , concreto de 28,0 Mpa (280 kg/cm2)</t>
  </si>
  <si>
    <t>Cinta PVC – 022</t>
  </si>
  <si>
    <t>Concretos Apoyos cambios de direccion</t>
  </si>
  <si>
    <t>Varillas corrugadas tipo a 60</t>
  </si>
  <si>
    <t>Estación de Bombeo de Aguas Residuales</t>
  </si>
  <si>
    <t>Equipos mecánicos para EBAR</t>
  </si>
  <si>
    <t>Montaje de equipos mecánicos EBAR</t>
  </si>
  <si>
    <t>Montaje de equipos mecánicos EBAR Wilches</t>
  </si>
  <si>
    <t>Equipos eléctricos para EBAR</t>
  </si>
  <si>
    <t>Montaje eléctrico EBARes</t>
  </si>
  <si>
    <t>Suministro y montaje sistema eléctrico EBAR Wilches</t>
  </si>
  <si>
    <t>Suministro de equipos y accesorios para EBAR</t>
  </si>
  <si>
    <t>Bomba centrífuga eje horizontal motor eléctrico</t>
  </si>
  <si>
    <t>Bomba centrífuga Q=50 lps TDH=36.00 mca</t>
  </si>
  <si>
    <t>Válvulas, tuberias y accesorios</t>
  </si>
  <si>
    <t>Válvula de bloqueo tipo compuerta deslizante HA, D= 8"</t>
  </si>
  <si>
    <t>Válvula de bloqueo tipo compuerta deslizante HA, D= 6"</t>
  </si>
  <si>
    <t>Válvula antiretorno tipo asiento inclinado HA, D= 6"</t>
  </si>
  <si>
    <t>Junta de montaje tipo Dresser HA, D= 8"</t>
  </si>
  <si>
    <t>Pasamuro HA, L=1,50 m BxL, D= 8"</t>
  </si>
  <si>
    <t>Codo 90° HA, LxL, D= 8"</t>
  </si>
  <si>
    <t>Campana reductora de succión HA, extremo liso D=10". 8" x 12"</t>
  </si>
  <si>
    <t>Reducción concentrica HA, BxB, 4"x 6"</t>
  </si>
  <si>
    <t>Reducción concentrica HA, BxL, brida 6", Liso 10"</t>
  </si>
  <si>
    <t>Distribuidor HA, L= 8,00 m, BxL, 3 salidas en Tee 10"</t>
  </si>
  <si>
    <t>Brida ciega HA, D= 10"</t>
  </si>
  <si>
    <t>Codo 90° HA, D= 10"</t>
  </si>
  <si>
    <t>Tramo tubería L=12 m, HA, LxL, D=10"</t>
  </si>
  <si>
    <t>Grúas tipo monorriel y accionamiento manual</t>
  </si>
  <si>
    <t>Sistema tipo monorriel capacidad 1 ton.</t>
  </si>
  <si>
    <t>Tablero manejo eléctrico</t>
  </si>
  <si>
    <t>Tablero par control de motor 3 fase, con nivel y variador</t>
  </si>
  <si>
    <t>Planta eléctricas</t>
  </si>
  <si>
    <t>Planta eléctrica para 60KVA, 460/220V</t>
  </si>
  <si>
    <t>Transformador de corriente</t>
  </si>
  <si>
    <t xml:space="preserve">Transformador  10 KVA. 460/220/120 v. </t>
  </si>
  <si>
    <t>Transformador 3 fases, 175KVA, 13.2KV/460/220, seco</t>
  </si>
  <si>
    <t>Celdas de manejo de corriente eléctrica</t>
  </si>
  <si>
    <t xml:space="preserve">Celda con barraje trifásico y neutro capacidad 250 Amps. </t>
  </si>
  <si>
    <t xml:space="preserve">Celda con transferencia automática y barraje para 80 Amps </t>
  </si>
  <si>
    <t>Celda de medida, incluye contador, voltímetro, amperímetro transformadores de corriente y demás accesorios propios</t>
  </si>
  <si>
    <t xml:space="preserve">Celda para trafo 175KVA 13.2KV/460/220, </t>
  </si>
  <si>
    <t xml:space="preserve">Celda seccionadora para 15KV, int. </t>
  </si>
  <si>
    <t>Obras arquitectónicas</t>
  </si>
  <si>
    <t>Carpintería metálica</t>
  </si>
  <si>
    <t>Correas perfil cajón 100x50x17</t>
  </si>
  <si>
    <t>Ventanas según diseño</t>
  </si>
  <si>
    <t>Puertas según diseño</t>
  </si>
  <si>
    <t>Rejilla retención de solidos</t>
  </si>
  <si>
    <t>Rejilla tipo persiana</t>
  </si>
  <si>
    <t xml:space="preserve">Tapa acceso marco+lamina antirrapante +pintura anticorrosiva </t>
  </si>
  <si>
    <t>Escalera tipo gato con protección media luna</t>
  </si>
  <si>
    <t>Mampostería</t>
  </si>
  <si>
    <t>Muro ladrillo tolete e=12cm</t>
  </si>
  <si>
    <t>Acabados</t>
  </si>
  <si>
    <t>Pañete 2,5 cm, mortero 1:4</t>
  </si>
  <si>
    <t xml:space="preserve">Enchape baldosa </t>
  </si>
  <si>
    <t>Pintura tipo 1 dos manos</t>
  </si>
  <si>
    <t>Cubiertas</t>
  </si>
  <si>
    <t>Suministro e instalacion Teja fibrocemento</t>
  </si>
  <si>
    <t xml:space="preserve">Caballete </t>
  </si>
  <si>
    <t>Canaleta metálica</t>
  </si>
  <si>
    <t>Instalaciones hidráulicas y sanitarias</t>
  </si>
  <si>
    <t>Combo unidad sanitaria (lavamanos sanitario)</t>
  </si>
  <si>
    <t>Tubería hidráulica 1/2" + accesorios</t>
  </si>
  <si>
    <t>Tubería sanitaria 2"-4" + accesorios</t>
  </si>
  <si>
    <t>Entibado discontinuo en madera</t>
  </si>
  <si>
    <t>Cargue, Retiro y disposición de material proveniente de excavaciones, a una distancia de 5 kms.</t>
  </si>
  <si>
    <t>Recebo común</t>
  </si>
  <si>
    <t>Redes de impulsión de aguas sanitarias</t>
  </si>
  <si>
    <t>Instalación y suministros de tubería de impulsión</t>
  </si>
  <si>
    <t xml:space="preserve">Instalación de tubería impulsión flexible </t>
  </si>
  <si>
    <t>Instalación de tubería impulsión PVC</t>
  </si>
  <si>
    <t>Instalación de tubería impulsión PVC D 14" a 20"</t>
  </si>
  <si>
    <t>Instalación de tubería impulsión PVC D 10"</t>
  </si>
  <si>
    <t>Instalación y suministros de accesorios de impulsión</t>
  </si>
  <si>
    <t>Instalación de accesorios tubería de impulsión</t>
  </si>
  <si>
    <t>Instalación accesorios PVC D 12" a 20"</t>
  </si>
  <si>
    <t>LINEA</t>
  </si>
  <si>
    <t>OBJETO: CONSTRUCCIÓN DE REDES DE ALCANTARILLADO Y AMPLIACIÓN DE COBERTURA DE SECTORES No. 5 MUNICIPIO DE CERETÉ</t>
  </si>
  <si>
    <t>REDES DE ALCANTARILLADO  SECTOR No. 5</t>
  </si>
  <si>
    <t xml:space="preserve">10 03 </t>
  </si>
  <si>
    <t xml:space="preserve">10 03 01 </t>
  </si>
  <si>
    <t>ESTACION DE BOMBEO DE AGUAS RESIDUALES SECTOR No. 5</t>
  </si>
  <si>
    <t xml:space="preserve">LINEA DE IMPULSION DE AGUAS RESIDUALES EBAR SECTOR No. 5 HASTA PTAR </t>
  </si>
  <si>
    <t>SOLICITUD DE PRESENTACIÓN DE OFERTAS No. SPO-AQLATAM-ALC-003-2021                                                                                                                                FORMULARIO 1 - PRESUPUESTO OFICIAL</t>
  </si>
  <si>
    <t>Suministro de tubería de alcantarillado</t>
  </si>
  <si>
    <t>Suministro tubería PVC alcantarillado</t>
  </si>
  <si>
    <t>Tubo PVC alcantarillado 160mm</t>
  </si>
  <si>
    <t>Tubo PVC alcantarillado 200mm</t>
  </si>
  <si>
    <t>Tubo PVC alcantarillado 250mm</t>
  </si>
  <si>
    <t>Tubo PVC alcantarillado 315mm</t>
  </si>
  <si>
    <t>Tubo PVC alcantarillado 400mm</t>
  </si>
  <si>
    <t>Tubo PVC alcantarillado 500mm</t>
  </si>
  <si>
    <t>Tubo PVC alcantarillado 24"</t>
  </si>
  <si>
    <t>Tubo PVC alcantarillado 27"</t>
  </si>
  <si>
    <t>REDES DE ALCANTARILLADO SECTOR No. 5</t>
  </si>
  <si>
    <t>Suministro de tubería para impulsión aguas sanitarias</t>
  </si>
  <si>
    <t>Suministro tubería presión PVC</t>
  </si>
  <si>
    <t>Tubería PVC RDE 26, D 10"</t>
  </si>
  <si>
    <t>Tubería PVC RDE 21, D 16"</t>
  </si>
  <si>
    <t>Suministro de accesorios para impulsión aguas sanitarias</t>
  </si>
  <si>
    <t>Suministro de unión</t>
  </si>
  <si>
    <t>Unión de reparación 10" PVC</t>
  </si>
  <si>
    <t>Union dresser de 16" R1-R1</t>
  </si>
  <si>
    <t>Reduccion de 22" a 16" PVC</t>
  </si>
  <si>
    <t>Suministro de codo 90°</t>
  </si>
  <si>
    <t xml:space="preserve">Codo 90° HD extremo liso PVC 14" </t>
  </si>
  <si>
    <t xml:space="preserve">Codo 90° HD extremo liso PVC 16" </t>
  </si>
  <si>
    <t xml:space="preserve">Codo 45° HD extremo liso PVC 16" </t>
  </si>
  <si>
    <t>Suministro de codo 11.1/4°</t>
  </si>
  <si>
    <t xml:space="preserve">Codo 11.1/4° HD extremo liso PVC 14" </t>
  </si>
  <si>
    <t>SUBTOTAL COSTO DIRECTO OBRA CIVIL E INSTALACION  REDES DE ALCANTARILLADO  SECTOR No. 5</t>
  </si>
  <si>
    <t>SUBTOTAL COSTO DIRECTO OBRA CIVIL E INSTALACION ESTACION DE BOMBEO DE AGUAS RESIDUALES SECTOR No. 5</t>
  </si>
  <si>
    <t xml:space="preserve">SUBTOTAL COSTO DIRECTO OBRA CIVIL E INSTALACION LINEA DE IMPULSION DE AGUAS RESIDUALES EBAR SECTOR No. 5 HASTA PTAR </t>
  </si>
  <si>
    <t>SUBTOTAL COSTO DIRECTO SUMINISTRO REDES DE ALCANTARILLADO  SECTOR No. 5</t>
  </si>
  <si>
    <t xml:space="preserve">SUBTOTAL COSTO DIRECTO SUMINISTRO REDES DE ALCANTARILLADO  LINEA DE IMPULSION DE AGUAS RESIDUALES EBAR SECTOR No. 5 HASTA PTAR </t>
  </si>
  <si>
    <t>IMPREVISTO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</si>
</sst>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7">
    <numFmt numFmtId="42" formatCode="_-&quot;$&quot;* #,##0_-;\-&quot;$&quot;* #,##0_-;_-&quot;$&quot;* &quot;-&quot;_-;_-@_-"/>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 #,##0_);_(* \(#,##0\);_(* &quot;-&quot;_);_(@_)"/>
    <numFmt numFmtId="167" formatCode="_(* #,##0.00_);_(* \(#,##0.00\);_(* &quot;-&quot;??_);_(@_)"/>
    <numFmt numFmtId="168" formatCode="_(&quot;$&quot;\ * #,##0_);_(&quot;$&quot;\ * \(#,##0\);_(&quot;$&quot;\ * &quot;-&quot;_);_(@_)"/>
    <numFmt numFmtId="169" formatCode="_(&quot;$&quot;\ * #,##0.00_);_(&quot;$&quot;\ * \(#,##0.00\);_(&quot;$&quot;\ * &quot;-&quot;??_);_(@_)"/>
    <numFmt numFmtId="170" formatCode="_ &quot;$&quot;\ * #,##0_ ;_ &quot;$&quot;\ * \-#,##0_ ;_ &quot;$&quot;\ * &quot;-&quot;_ ;_ @_ "/>
    <numFmt numFmtId="171" formatCode="_ &quot;$&quot;\ * #,##0.00_ ;_ &quot;$&quot;\ * \-#,##0.00_ ;_ &quot;$&quot;\ * &quot;-&quot;??_ ;_ @_ "/>
    <numFmt numFmtId="172" formatCode="_ * #,##0.00_ ;_ * \-#,##0.00_ ;_ * &quot;-&quot;??_ ;_ @_ "/>
    <numFmt numFmtId="173" formatCode="0.0"/>
    <numFmt numFmtId="174" formatCode="_([$€]* #,##0.00_);_([$€]* \(#,##0.00\);_([$€]* &quot;-&quot;??_);_(@_)"/>
    <numFmt numFmtId="175" formatCode="[$$-240A]\ #,##0"/>
    <numFmt numFmtId="176" formatCode="0.000"/>
    <numFmt numFmtId="177" formatCode="&quot;$&quot;#,##0.00"/>
    <numFmt numFmtId="178" formatCode="_ &quot;$&quot;\ * #,##0_ ;_ &quot;$&quot;\ * \-#,##0_ ;_ &quot;$&quot;\ * &quot;-&quot;??_ ;_ @_ "/>
    <numFmt numFmtId="179" formatCode="#,##0.000"/>
    <numFmt numFmtId="180" formatCode="_ [$$-240A]\ * #,##0_ ;_ [$$-240A]\ * \-#,##0_ ;_ [$$-240A]\ * &quot;-&quot;_ ;_ @_ "/>
    <numFmt numFmtId="181" formatCode="&quot;$&quot;\ #,##0"/>
    <numFmt numFmtId="182" formatCode="_ &quot;$&quot;\ * #,##0.000_ ;_ &quot;$&quot;\ * \-#,##0.000_ ;_ &quot;$&quot;\ * &quot;-&quot;_ ;_ @_ "/>
    <numFmt numFmtId="183" formatCode="#,##0.0"/>
    <numFmt numFmtId="184" formatCode="_(\ #,##0_);_(&quot;C$&quot;* \(#,##0.00\);_(&quot;C$&quot;* &quot;-&quot;??_);_(@_)"/>
    <numFmt numFmtId="185" formatCode="_(&quot;$&quot;\ * #,##0_);_(&quot;$&quot;\ * \(#,##0\);_(&quot;$&quot;\ * &quot;-&quot;??_);_(@_)"/>
    <numFmt numFmtId="186" formatCode="&quot;$&quot;#,##0"/>
    <numFmt numFmtId="187" formatCode="_-[$$-240A]\ * #,##0.00_-;\-[$$-240A]\ * #,##0.00_-;_-[$$-240A]\ * &quot;-&quot;??_-;_-@_-"/>
    <numFmt numFmtId="188" formatCode="0.0000"/>
    <numFmt numFmtId="189" formatCode="0.00000000000000"/>
    <numFmt numFmtId="190" formatCode="0.0000%"/>
    <numFmt numFmtId="191" formatCode="_ * #,##0_ ;_ * \-#,##0_ ;_ * &quot;-&quot;??_ ;_ @_ "/>
    <numFmt numFmtId="192" formatCode="_-&quot;$&quot;\ * #,##0.0_-;\-&quot;$&quot;\ * #,##0.0_-;_-&quot;$&quot;\ * &quot;-&quot;_-;_-@_-"/>
    <numFmt numFmtId="193" formatCode="_ [$$-240A]\ * #,##0.0_ ;_ [$$-240A]\ * \-#,##0.0_ ;_ [$$-240A]\ * &quot;-&quot;_ ;_ @_ "/>
    <numFmt numFmtId="194" formatCode="_ &quot;$&quot;\ * #,##0.0_ ;_ &quot;$&quot;\ * \-#,##0.0_ ;_ &quot;$&quot;\ * &quot;-&quot;_ ;_ @_ "/>
    <numFmt numFmtId="195" formatCode="&quot;$&quot;\ #,##0.0"/>
    <numFmt numFmtId="196" formatCode="_-&quot;$&quot;\ * #,##0.00_-;\-&quot;$&quot;\ * #,##0.00_-;_-&quot;$&quot;\ * &quot;-&quot;_-;_-@_-"/>
    <numFmt numFmtId="197" formatCode="&quot;$&quot;\ #,##0.000"/>
    <numFmt numFmtId="198" formatCode="[$$-240A]\ #,##0.0"/>
    <numFmt numFmtId="199" formatCode="_ [$$-240A]\ * #,##0.000_ ;_ [$$-240A]\ * \-#,##0.000_ ;_ [$$-240A]\ * &quot;-&quot;_ ;_ @_ "/>
    <numFmt numFmtId="200" formatCode="_ [$$-240A]\ * #,##0.0000_ ;_ [$$-240A]\ * \-#,##0.0000_ ;_ [$$-240A]\ * &quot;-&quot;_ ;_ @_ "/>
    <numFmt numFmtId="201" formatCode="&quot;$&quot;\ #,##0.0000"/>
    <numFmt numFmtId="202" formatCode="_ [$$-240A]\ * #,##0.00_ ;_ [$$-240A]\ * \-#,##0.00_ ;_ [$$-240A]\ * &quot;-&quot;_ ;_ @_ "/>
    <numFmt numFmtId="203" formatCode="#,##0\ _€"/>
    <numFmt numFmtId="204" formatCode="&quot;$&quot;\ #,##0.00"/>
    <numFmt numFmtId="205" formatCode="0.0%"/>
    <numFmt numFmtId="206" formatCode="_-&quot;$&quot;\ * #,##0.0000_-;\-&quot;$&quot;\ * #,##0.0000_-;_-&quot;$&quot;\ * &quot;-&quot;?_-;_-@_-"/>
    <numFmt numFmtId="207" formatCode="#,##0.00000"/>
    <numFmt numFmtId="208" formatCode="_ * #.##0._ ;_ * \-#.##0._ ;_ * &quot;-&quot;??_ ;_ @_ "/>
    <numFmt numFmtId="209" formatCode="_(&quot;C$&quot;* #,##0_);_(&quot;C$&quot;* \(#,##0\);_(&quot;C$&quot;* &quot;-&quot;_);_(@_)"/>
    <numFmt numFmtId="210" formatCode="_ &quot;$&quot;\ * #,##0.0_ ;_ &quot;$&quot;\ * \-#,##0.0_ ;_ &quot;$&quot;\ * &quot;-&quot;??_ ;_ @_ "/>
    <numFmt numFmtId="211" formatCode="_-* #,##0.00_-;\-* #,##0.00_-;_-* &quot;-&quot;_-;_-@_-"/>
    <numFmt numFmtId="212" formatCode="0.000%"/>
    <numFmt numFmtId="213" formatCode="_-&quot;$&quot;\ * #,##0.0_-;\-&quot;$&quot;\ * #,##0.0_-;_-&quot;$&quot;\ * &quot;-&quot;?_-;_-@_-"/>
    <numFmt numFmtId="214" formatCode="[$$-240A]\ #,##0.00"/>
    <numFmt numFmtId="215" formatCode="_(* #,##0_);_(* \(#,##0\);_(* &quot;-&quot;??_);_(@_)"/>
    <numFmt numFmtId="216" formatCode="_-&quot;$&quot;\ * #,##0_-;\-&quot;$&quot;\ * #,##0_-;_-&quot;$&quot;\ * &quot;-&quot;?_-;_-@_-"/>
    <numFmt numFmtId="217" formatCode="_(&quot;$&quot;\ * #,##0.00_);_(&quot;$&quot;\ * \(#,##0.00\);_(&quot;$&quot;\ * &quot;-&quot;_);_(@_)"/>
    <numFmt numFmtId="218" formatCode="_-&quot;$&quot;\ * #,##0_-;\-&quot;$&quot;\ * #,##0_-;_-&quot;$&quot;\ * &quot;-&quot;??_-;_-@_-"/>
    <numFmt numFmtId="219" formatCode="_-[$$-240A]\ * #,##0.0_-;\-[$$-240A]\ * #,##0.0_-;_-[$$-240A]\ * &quot;-&quot;?_-;_-@_-"/>
    <numFmt numFmtId="220" formatCode="0.00000%"/>
    <numFmt numFmtId="221" formatCode="0.000000%"/>
    <numFmt numFmtId="222" formatCode="_(&quot;$&quot;\ * #,##0.0000_);_(&quot;$&quot;\ * \(#,##0.0000\);_(&quot;$&quot;\ * &quot;-&quot;??_);_(@_)"/>
    <numFmt numFmtId="223" formatCode="0.00000"/>
    <numFmt numFmtId="224" formatCode="_-* #,##0.00\ _€_-;\-* #,##0.00\ _€_-;_-* &quot;-&quot;??\ _€_-;_-@_-"/>
    <numFmt numFmtId="225" formatCode="##\ ##\ ##\ ##\ ##\ ##"/>
    <numFmt numFmtId="226" formatCode="##\ ##\ ##\ ##\ ##"/>
    <numFmt numFmtId="227" formatCode="#\ ##\ ##\ ##\ ##\ ##"/>
  </numFmts>
  <fonts count="165">
    <font>
      <sz val="10"/>
      <name val="Arial"/>
    </font>
    <font>
      <sz val="1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u/>
      <sz val="7.5"/>
      <color indexed="12"/>
      <name val="Arial"/>
      <family val="2"/>
    </font>
    <font>
      <b/>
      <sz val="10"/>
      <name val="Gill Sans MT"/>
      <family val="2"/>
    </font>
    <font>
      <sz val="10"/>
      <name val="Gill Sans MT"/>
      <family val="2"/>
    </font>
    <font>
      <sz val="9"/>
      <name val="Gill Sans MT"/>
      <family val="2"/>
    </font>
    <font>
      <b/>
      <sz val="12"/>
      <name val="Gill Sans MT"/>
      <family val="2"/>
    </font>
    <font>
      <b/>
      <sz val="11"/>
      <name val="Gill Sans MT"/>
      <family val="2"/>
    </font>
    <font>
      <b/>
      <sz val="9"/>
      <name val="Gill Sans MT"/>
      <family val="2"/>
    </font>
    <font>
      <b/>
      <sz val="14"/>
      <name val="Arial"/>
      <family val="2"/>
    </font>
    <font>
      <sz val="8"/>
      <color indexed="81"/>
      <name val="Tahoma"/>
      <family val="2"/>
    </font>
    <font>
      <b/>
      <sz val="8"/>
      <color indexed="81"/>
      <name val="Tahoma"/>
      <family val="2"/>
    </font>
    <font>
      <sz val="9"/>
      <name val="Arial"/>
      <family val="2"/>
    </font>
    <font>
      <sz val="10"/>
      <color indexed="8"/>
      <name val="MS Sans Serif"/>
      <family val="2"/>
    </font>
    <font>
      <sz val="8"/>
      <color indexed="8"/>
      <name val="Eras Medium ITC"/>
      <family val="2"/>
    </font>
    <font>
      <sz val="10"/>
      <name val="Arial"/>
      <family val="2"/>
    </font>
    <font>
      <sz val="11"/>
      <color indexed="8"/>
      <name val="Calibri"/>
      <family val="2"/>
    </font>
    <font>
      <b/>
      <sz val="20"/>
      <name val="Arial"/>
      <family val="2"/>
    </font>
    <font>
      <sz val="11"/>
      <name val="Gill Sans MT"/>
      <family val="2"/>
    </font>
    <font>
      <sz val="12"/>
      <name val="Gill Sans MT"/>
      <family val="2"/>
    </font>
    <font>
      <sz val="11"/>
      <name val="Gill Sans MT"/>
      <family val="2"/>
    </font>
    <font>
      <b/>
      <sz val="14"/>
      <name val="Gill Sans MT"/>
      <family val="2"/>
    </font>
    <font>
      <sz val="10"/>
      <color indexed="10"/>
      <name val="Arial"/>
      <family val="2"/>
    </font>
    <font>
      <vertAlign val="superscript"/>
      <sz val="11"/>
      <name val="Gill Sans MT"/>
      <family val="2"/>
    </font>
    <font>
      <sz val="11"/>
      <name val="Arial"/>
      <family val="2"/>
    </font>
    <font>
      <b/>
      <sz val="11"/>
      <color indexed="12"/>
      <name val="Gill Sans MT"/>
      <family val="2"/>
    </font>
    <font>
      <sz val="12"/>
      <name val="Tahoma"/>
      <family val="2"/>
    </font>
    <font>
      <b/>
      <sz val="11"/>
      <color theme="0"/>
      <name val="Gill Sans MT"/>
      <family val="2"/>
    </font>
    <font>
      <sz val="10"/>
      <name val="Arial"/>
      <family val="2"/>
    </font>
    <font>
      <sz val="10"/>
      <color indexed="52"/>
      <name val="Gill Sans MT"/>
      <family val="2"/>
    </font>
    <font>
      <sz val="10"/>
      <color indexed="8"/>
      <name val="Gill Sans MT"/>
      <family val="2"/>
    </font>
    <font>
      <vertAlign val="superscript"/>
      <sz val="10"/>
      <name val="Gill Sans MT"/>
      <family val="2"/>
    </font>
    <font>
      <sz val="10"/>
      <color indexed="12"/>
      <name val="Gill Sans MT"/>
      <family val="2"/>
    </font>
    <font>
      <sz val="10"/>
      <name val="MS Sans Serif"/>
      <family val="2"/>
    </font>
    <font>
      <sz val="10"/>
      <color theme="0"/>
      <name val="Gill Sans MT"/>
      <family val="2"/>
    </font>
    <font>
      <sz val="10"/>
      <color theme="1"/>
      <name val="Arial"/>
      <family val="2"/>
    </font>
    <font>
      <sz val="10"/>
      <color theme="1"/>
      <name val="Gill Sans MT"/>
      <family val="2"/>
    </font>
    <font>
      <b/>
      <sz val="9"/>
      <color indexed="81"/>
      <name val="Tahoma"/>
      <family val="2"/>
    </font>
    <font>
      <sz val="9"/>
      <color indexed="81"/>
      <name val="Tahoma"/>
      <family val="2"/>
    </font>
    <font>
      <b/>
      <sz val="10"/>
      <color theme="0"/>
      <name val="Gill Sans MT"/>
      <family val="2"/>
    </font>
    <font>
      <sz val="12"/>
      <color rgb="FFFF0000"/>
      <name val="Gill Sans MT"/>
      <family val="2"/>
    </font>
    <font>
      <sz val="10"/>
      <name val="Arial"/>
      <family val="2"/>
    </font>
    <font>
      <b/>
      <sz val="11"/>
      <name val="Arial"/>
      <family val="2"/>
    </font>
    <font>
      <b/>
      <sz val="9"/>
      <name val="Arial"/>
      <family val="2"/>
    </font>
    <font>
      <sz val="11"/>
      <color indexed="8"/>
      <name val="Gill Sans MT"/>
      <family val="2"/>
    </font>
    <font>
      <sz val="11"/>
      <color indexed="8"/>
      <name val="Arial"/>
      <family val="2"/>
    </font>
    <font>
      <i/>
      <sz val="10"/>
      <name val="Arial"/>
      <family val="2"/>
    </font>
    <font>
      <b/>
      <sz val="10"/>
      <color theme="0"/>
      <name val="Arial"/>
      <family val="2"/>
    </font>
    <font>
      <sz val="10"/>
      <name val="Calibri"/>
      <family val="2"/>
    </font>
    <font>
      <sz val="9"/>
      <color indexed="10"/>
      <name val="Arial Narrow"/>
      <family val="2"/>
    </font>
    <font>
      <sz val="9"/>
      <name val="Arial Narrow"/>
      <family val="2"/>
    </font>
    <font>
      <sz val="9"/>
      <color indexed="8"/>
      <name val="Arial Narrow"/>
      <family val="2"/>
    </font>
    <font>
      <u/>
      <sz val="10"/>
      <name val="Gill Sans MT"/>
      <family val="2"/>
    </font>
    <font>
      <b/>
      <sz val="11"/>
      <color theme="0"/>
      <name val="Arial"/>
      <family val="2"/>
    </font>
    <font>
      <sz val="10"/>
      <color rgb="FFFF0000"/>
      <name val="Gill Sans MT"/>
      <family val="2"/>
    </font>
    <font>
      <b/>
      <sz val="11"/>
      <color indexed="8"/>
      <name val="Arial"/>
      <family val="2"/>
    </font>
    <font>
      <b/>
      <sz val="11"/>
      <color indexed="8"/>
      <name val="Gill Sans MT"/>
      <family val="2"/>
    </font>
    <font>
      <vertAlign val="superscript"/>
      <sz val="11"/>
      <color indexed="8"/>
      <name val="Gill Sans MT"/>
      <family val="2"/>
    </font>
    <font>
      <sz val="11"/>
      <color indexed="10"/>
      <name val="Gill Sans MT"/>
      <family val="2"/>
    </font>
    <font>
      <vertAlign val="superscript"/>
      <sz val="12"/>
      <name val="Gill Sans MT"/>
      <family val="2"/>
    </font>
    <font>
      <vertAlign val="superscript"/>
      <sz val="10"/>
      <name val="Arial"/>
      <family val="2"/>
    </font>
    <font>
      <b/>
      <u/>
      <sz val="10"/>
      <color indexed="12"/>
      <name val="Gill Sans MT"/>
      <family val="2"/>
    </font>
    <font>
      <vertAlign val="superscript"/>
      <sz val="9"/>
      <name val="Arial"/>
      <family val="2"/>
    </font>
    <font>
      <sz val="12"/>
      <color indexed="8"/>
      <name val="Gill Sans MT"/>
      <family val="2"/>
    </font>
    <font>
      <b/>
      <sz val="11"/>
      <color theme="1"/>
      <name val="Gill Sans MT"/>
      <family val="2"/>
    </font>
    <font>
      <b/>
      <sz val="11"/>
      <color theme="1"/>
      <name val="Arial"/>
      <family val="2"/>
    </font>
    <font>
      <sz val="14"/>
      <name val="Gill Sans MT"/>
      <family val="2"/>
    </font>
    <font>
      <b/>
      <sz val="12"/>
      <name val="Arial"/>
      <family val="2"/>
    </font>
    <font>
      <b/>
      <sz val="10"/>
      <color theme="1"/>
      <name val="Arial"/>
      <family val="2"/>
    </font>
    <font>
      <b/>
      <sz val="10"/>
      <color rgb="FFFF0000"/>
      <name val="Arial"/>
      <family val="2"/>
    </font>
    <font>
      <sz val="10"/>
      <color rgb="FFFF0000"/>
      <name val="Arial"/>
      <family val="2"/>
    </font>
    <font>
      <b/>
      <sz val="9"/>
      <color rgb="FFFF0000"/>
      <name val="Arial"/>
      <family val="2"/>
    </font>
    <font>
      <b/>
      <sz val="11"/>
      <color rgb="FFFF0000"/>
      <name val="Arial"/>
      <family val="2"/>
    </font>
    <font>
      <b/>
      <sz val="10"/>
      <color rgb="FFFF0000"/>
      <name val="Gill Sans MT"/>
      <family val="2"/>
    </font>
    <font>
      <sz val="11"/>
      <color rgb="FFFF0000"/>
      <name val="Arial"/>
      <family val="2"/>
    </font>
    <font>
      <b/>
      <sz val="11"/>
      <color rgb="FFFF0000"/>
      <name val="Gill Sans MT"/>
      <family val="2"/>
    </font>
    <font>
      <sz val="14"/>
      <color indexed="8"/>
      <name val="Gill Sans MT"/>
      <family val="2"/>
    </font>
    <font>
      <sz val="12"/>
      <name val="Calibri"/>
      <family val="2"/>
      <scheme val="minor"/>
    </font>
    <font>
      <sz val="10"/>
      <name val="Verdana"/>
      <family val="2"/>
    </font>
    <font>
      <sz val="12"/>
      <name val="Arial"/>
      <family val="2"/>
    </font>
    <font>
      <sz val="11"/>
      <color rgb="FFFF0000"/>
      <name val="Gill Sans MT"/>
      <family val="2"/>
    </font>
    <font>
      <sz val="11"/>
      <color rgb="FF006100"/>
      <name val="Calibri"/>
      <family val="2"/>
      <scheme val="minor"/>
    </font>
    <font>
      <sz val="11"/>
      <color rgb="FF9C0006"/>
      <name val="Calibri"/>
      <family val="2"/>
      <scheme val="minor"/>
    </font>
    <font>
      <sz val="11"/>
      <name val="Calibri"/>
      <family val="2"/>
      <scheme val="minor"/>
    </font>
    <font>
      <sz val="10"/>
      <name val="Arial Narrow"/>
      <family val="2"/>
    </font>
    <font>
      <sz val="11"/>
      <color theme="0"/>
      <name val="Calibri"/>
      <family val="2"/>
      <scheme val="minor"/>
    </font>
    <font>
      <sz val="10"/>
      <name val="Century Gothic"/>
      <family val="2"/>
    </font>
    <font>
      <b/>
      <sz val="16"/>
      <color theme="1"/>
      <name val="Century Gothic"/>
      <family val="2"/>
    </font>
    <font>
      <b/>
      <sz val="16"/>
      <name val="Century Gothic"/>
      <family val="2"/>
    </font>
    <font>
      <b/>
      <sz val="10"/>
      <name val="Century Gothic"/>
      <family val="2"/>
    </font>
    <font>
      <sz val="18"/>
      <color theme="1"/>
      <name val="Century Gothic"/>
      <family val="2"/>
    </font>
    <font>
      <sz val="10"/>
      <color theme="1"/>
      <name val="Century Gothic"/>
      <family val="2"/>
    </font>
    <font>
      <sz val="11"/>
      <name val="Century Gothic"/>
      <family val="2"/>
    </font>
    <font>
      <sz val="10"/>
      <color theme="1"/>
      <name val="Calibri"/>
      <family val="2"/>
      <scheme val="minor"/>
    </font>
    <font>
      <b/>
      <sz val="14"/>
      <name val="Century Gothic"/>
      <family val="2"/>
    </font>
    <font>
      <sz val="9"/>
      <name val="Century Gothic"/>
      <family val="2"/>
    </font>
    <font>
      <b/>
      <sz val="10"/>
      <color theme="1"/>
      <name val="Century Gothic"/>
      <family val="2"/>
    </font>
    <font>
      <b/>
      <sz val="11"/>
      <name val="Century Gothic"/>
      <family val="2"/>
    </font>
    <font>
      <b/>
      <u/>
      <sz val="10"/>
      <name val="Gill Sans MT"/>
      <family val="2"/>
    </font>
    <font>
      <b/>
      <sz val="12"/>
      <color theme="0"/>
      <name val="Gill Sans MT"/>
      <family val="2"/>
    </font>
    <font>
      <sz val="12"/>
      <color theme="0"/>
      <name val="Gill Sans MT"/>
      <family val="2"/>
    </font>
    <font>
      <sz val="10"/>
      <name val="Calibri"/>
      <family val="2"/>
      <scheme val="minor"/>
    </font>
    <font>
      <b/>
      <sz val="12"/>
      <name val="Calibri"/>
      <family val="2"/>
    </font>
    <font>
      <b/>
      <sz val="10"/>
      <name val="Calibri"/>
      <family val="2"/>
      <scheme val="minor"/>
    </font>
    <font>
      <b/>
      <sz val="14"/>
      <name val="Calibri"/>
      <family val="2"/>
      <scheme val="minor"/>
    </font>
    <font>
      <b/>
      <sz val="11"/>
      <name val="Calibri"/>
      <family val="2"/>
      <scheme val="minor"/>
    </font>
    <font>
      <b/>
      <sz val="11"/>
      <name val="Calibri"/>
      <family val="2"/>
    </font>
    <font>
      <sz val="10"/>
      <name val="Arial"/>
      <family val="2"/>
    </font>
    <font>
      <u/>
      <sz val="11"/>
      <name val="Gill Sans MT"/>
      <family val="2"/>
    </font>
    <font>
      <sz val="11"/>
      <name val="Arial Narrow"/>
      <family val="2"/>
    </font>
    <font>
      <b/>
      <sz val="8"/>
      <name val="Gill Sans MT"/>
      <family val="2"/>
    </font>
    <font>
      <b/>
      <sz val="8"/>
      <name val="Maiandra GD"/>
      <family val="2"/>
    </font>
    <font>
      <sz val="8"/>
      <name val="Maiandra GD"/>
      <family val="2"/>
    </font>
    <font>
      <sz val="8"/>
      <color rgb="FFFF0000"/>
      <name val="Maiandra GD"/>
      <family val="2"/>
    </font>
    <font>
      <sz val="7"/>
      <name val="Verdana"/>
      <family val="2"/>
    </font>
    <font>
      <b/>
      <sz val="7"/>
      <name val="Verdana"/>
      <family val="2"/>
    </font>
    <font>
      <sz val="7"/>
      <color theme="1"/>
      <name val="Calibri"/>
      <family val="2"/>
      <scheme val="minor"/>
    </font>
    <font>
      <sz val="7"/>
      <name val="Calibri"/>
      <family val="2"/>
      <scheme val="minor"/>
    </font>
    <font>
      <u/>
      <sz val="7"/>
      <name val="Verdana"/>
      <family val="2"/>
    </font>
    <font>
      <sz val="7"/>
      <name val="Arial Narrow"/>
      <family val="2"/>
    </font>
    <font>
      <sz val="8"/>
      <name val="Verdana"/>
      <family val="2"/>
    </font>
    <font>
      <u/>
      <sz val="8"/>
      <name val="Verdana"/>
      <family val="2"/>
    </font>
    <font>
      <b/>
      <sz val="7"/>
      <name val="Arial Narrow"/>
      <family val="2"/>
    </font>
    <font>
      <vertAlign val="subscript"/>
      <sz val="7"/>
      <name val="Verdana"/>
      <family val="2"/>
    </font>
    <font>
      <vertAlign val="superscript"/>
      <sz val="7"/>
      <name val="Verdana"/>
      <family val="2"/>
    </font>
    <font>
      <b/>
      <sz val="7"/>
      <name val="Calibri"/>
      <family val="2"/>
      <scheme val="minor"/>
    </font>
    <font>
      <sz val="8"/>
      <color theme="1"/>
      <name val="Calibri"/>
      <family val="2"/>
      <scheme val="minor"/>
    </font>
    <font>
      <b/>
      <sz val="8"/>
      <name val="Verdana"/>
      <family val="2"/>
    </font>
    <font>
      <sz val="7"/>
      <color indexed="8"/>
      <name val="Verdana"/>
      <family val="2"/>
    </font>
    <font>
      <sz val="7"/>
      <color theme="1"/>
      <name val="Verdana"/>
      <family val="2"/>
    </font>
    <font>
      <u/>
      <sz val="11"/>
      <color theme="10"/>
      <name val="Calibri"/>
      <family val="2"/>
      <scheme val="minor"/>
    </font>
    <font>
      <sz val="10"/>
      <color theme="1"/>
      <name val="Verdana"/>
      <family val="2"/>
    </font>
    <font>
      <u/>
      <sz val="10"/>
      <color theme="10"/>
      <name val="Calibri"/>
      <family val="2"/>
      <scheme val="minor"/>
    </font>
    <font>
      <sz val="10"/>
      <color rgb="FF0070C0"/>
      <name val="Gill Sans MT"/>
      <family val="2"/>
    </font>
    <font>
      <sz val="9"/>
      <name val="Calibri"/>
      <family val="2"/>
      <scheme val="minor"/>
    </font>
    <font>
      <b/>
      <sz val="8"/>
      <name val="Eras Medium ITC"/>
      <family val="2"/>
    </font>
    <font>
      <sz val="8"/>
      <name val="Eras Medium ITC"/>
      <family val="2"/>
    </font>
    <font>
      <sz val="8"/>
      <name val="Arial"/>
      <family val="2"/>
    </font>
    <font>
      <sz val="10"/>
      <color rgb="FF00B050"/>
      <name val="Gill Sans MT"/>
      <family val="2"/>
    </font>
    <font>
      <sz val="10"/>
      <color theme="0"/>
      <name val="Arial"/>
      <family val="2"/>
    </font>
    <font>
      <b/>
      <sz val="9"/>
      <name val="Century Gothic"/>
      <family val="2"/>
    </font>
    <font>
      <b/>
      <sz val="10"/>
      <color theme="1"/>
      <name val="Calibri"/>
      <family val="2"/>
      <scheme val="minor"/>
    </font>
    <font>
      <sz val="11"/>
      <color theme="0"/>
      <name val="Gill Sans MT"/>
      <family val="2"/>
    </font>
    <font>
      <sz val="9"/>
      <color theme="0"/>
      <name val="Gill Sans MT"/>
      <family val="2"/>
    </font>
    <font>
      <b/>
      <sz val="24"/>
      <name val="Arial"/>
      <family val="2"/>
    </font>
    <font>
      <b/>
      <sz val="16"/>
      <name val="Arial"/>
      <family val="2"/>
    </font>
    <font>
      <b/>
      <sz val="12"/>
      <name val="Eras Medium ITC"/>
      <family val="2"/>
    </font>
    <font>
      <sz val="12"/>
      <name val="Eras Medium ITC"/>
      <family val="2"/>
    </font>
    <font>
      <sz val="12"/>
      <name val="Arial Narrow"/>
      <family val="2"/>
    </font>
    <font>
      <b/>
      <sz val="8"/>
      <name val="Arial"/>
      <family val="2"/>
    </font>
    <font>
      <sz val="9"/>
      <color theme="1"/>
      <name val="Calibri"/>
      <family val="2"/>
      <scheme val="minor"/>
    </font>
    <font>
      <b/>
      <sz val="8"/>
      <color rgb="FF595959"/>
      <name val="Arial"/>
      <family val="2"/>
      <charset val="1"/>
    </font>
    <font>
      <sz val="8"/>
      <color rgb="FF595959"/>
      <name val="Arial"/>
      <family val="2"/>
      <charset val="1"/>
    </font>
    <font>
      <u/>
      <sz val="10"/>
      <color indexed="12"/>
      <name val="Arial"/>
      <family val="2"/>
    </font>
    <font>
      <u/>
      <sz val="11"/>
      <name val="Arial"/>
      <family val="2"/>
    </font>
    <font>
      <sz val="10"/>
      <name val="Geneva"/>
    </font>
    <font>
      <b/>
      <sz val="8"/>
      <name val="Arial Narrow"/>
      <family val="2"/>
    </font>
    <font>
      <b/>
      <vertAlign val="superscript"/>
      <sz val="11"/>
      <name val="Arial"/>
      <family val="2"/>
    </font>
    <font>
      <sz val="8"/>
      <name val="Arial Narrow"/>
      <family val="2"/>
    </font>
  </fonts>
  <fills count="50">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
      <patternFill patternType="solid">
        <fgColor rgb="FFFFCC66"/>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rgb="FFFF0000"/>
        <bgColor indexed="64"/>
      </patternFill>
    </fill>
    <fill>
      <patternFill patternType="solid">
        <fgColor rgb="FF00B050"/>
        <bgColor indexed="64"/>
      </patternFill>
    </fill>
    <fill>
      <patternFill patternType="solid">
        <fgColor rgb="FF002060"/>
        <bgColor indexed="64"/>
      </patternFill>
    </fill>
    <fill>
      <patternFill patternType="solid">
        <fgColor rgb="FF92D050"/>
        <bgColor indexed="64"/>
      </patternFill>
    </fill>
    <fill>
      <patternFill patternType="solid">
        <fgColor theme="6"/>
        <bgColor indexed="64"/>
      </patternFill>
    </fill>
    <fill>
      <patternFill patternType="solid">
        <fgColor rgb="FFFFFF99"/>
        <bgColor indexed="64"/>
      </patternFill>
    </fill>
    <fill>
      <patternFill patternType="solid">
        <fgColor indexed="9"/>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theme="8" tint="0.3999755851924192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3" tint="-0.249977111117893"/>
        <bgColor indexed="64"/>
      </patternFill>
    </fill>
    <fill>
      <patternFill patternType="solid">
        <fgColor theme="3"/>
        <bgColor indexed="64"/>
      </patternFill>
    </fill>
    <fill>
      <patternFill patternType="solid">
        <fgColor indexed="18"/>
        <bgColor indexed="64"/>
      </patternFill>
    </fill>
    <fill>
      <patternFill patternType="solid">
        <fgColor theme="6" tint="0.59999389629810485"/>
        <bgColor indexed="64"/>
      </patternFill>
    </fill>
    <fill>
      <patternFill patternType="solid">
        <fgColor rgb="FFC0C0C0"/>
        <bgColor rgb="FF000000"/>
      </patternFill>
    </fill>
    <fill>
      <patternFill patternType="solid">
        <fgColor rgb="FFBFBFBF"/>
        <bgColor rgb="FF000000"/>
      </patternFill>
    </fill>
    <fill>
      <patternFill patternType="solid">
        <fgColor rgb="FFFFFFFF"/>
        <bgColor rgb="FF000000"/>
      </patternFill>
    </fill>
    <fill>
      <patternFill patternType="solid">
        <fgColor rgb="FF00B0F0"/>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2" tint="-9.9978637043366805E-2"/>
        <bgColor indexed="64"/>
      </patternFill>
    </fill>
  </fills>
  <borders count="10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8"/>
      </right>
      <top style="medium">
        <color indexed="64"/>
      </top>
      <bottom style="medium">
        <color indexed="64"/>
      </bottom>
      <diagonal/>
    </border>
    <border>
      <left style="thin">
        <color indexed="64"/>
      </left>
      <right style="medium">
        <color indexed="64"/>
      </right>
      <top/>
      <bottom style="medium">
        <color indexed="8"/>
      </bottom>
      <diagonal/>
    </border>
    <border>
      <left style="medium">
        <color indexed="8"/>
      </left>
      <right/>
      <top style="medium">
        <color indexed="64"/>
      </top>
      <bottom style="medium">
        <color indexed="64"/>
      </bottom>
      <diagonal/>
    </border>
    <border>
      <left style="medium">
        <color indexed="8"/>
      </left>
      <right/>
      <top/>
      <bottom style="medium">
        <color indexed="64"/>
      </bottom>
      <diagonal/>
    </border>
    <border>
      <left/>
      <right style="medium">
        <color indexed="8"/>
      </right>
      <top/>
      <bottom style="medium">
        <color indexed="64"/>
      </bottom>
      <diagonal/>
    </border>
    <border>
      <left style="hair">
        <color theme="1"/>
      </left>
      <right style="hair">
        <color theme="1"/>
      </right>
      <top style="hair">
        <color theme="1"/>
      </top>
      <bottom style="hair">
        <color theme="1"/>
      </bottom>
      <diagonal/>
    </border>
    <border>
      <left/>
      <right style="double">
        <color indexed="64"/>
      </right>
      <top/>
      <bottom/>
      <diagonal/>
    </border>
    <border>
      <left style="double">
        <color indexed="64"/>
      </left>
      <right/>
      <top style="double">
        <color indexed="64"/>
      </top>
      <bottom/>
      <diagonal/>
    </border>
    <border>
      <left/>
      <right/>
      <top style="double">
        <color auto="1"/>
      </top>
      <bottom/>
      <diagonal/>
    </border>
    <border>
      <left/>
      <right style="double">
        <color indexed="64"/>
      </right>
      <top style="double">
        <color indexed="64"/>
      </top>
      <bottom/>
      <diagonal/>
    </border>
    <border>
      <left style="double">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60">
    <xf numFmtId="0" fontId="0" fillId="0" borderId="0"/>
    <xf numFmtId="0" fontId="7" fillId="0" borderId="0"/>
    <xf numFmtId="174" fontId="7" fillId="0" borderId="0" applyFont="0" applyFill="0" applyBorder="0" applyAlignment="0" applyProtection="0"/>
    <xf numFmtId="0" fontId="8" fillId="0" borderId="0" applyNumberFormat="0" applyFill="0" applyBorder="0" applyAlignment="0" applyProtection="0">
      <alignment vertical="top"/>
      <protection locked="0"/>
    </xf>
    <xf numFmtId="172" fontId="7" fillId="0" borderId="0" applyFont="0" applyFill="0" applyBorder="0" applyAlignment="0" applyProtection="0"/>
    <xf numFmtId="0" fontId="7" fillId="0" borderId="0"/>
    <xf numFmtId="0" fontId="7" fillId="0" borderId="0"/>
    <xf numFmtId="0" fontId="22" fillId="0" borderId="0"/>
    <xf numFmtId="0" fontId="24" fillId="0" borderId="0"/>
    <xf numFmtId="0" fontId="7" fillId="0" borderId="0"/>
    <xf numFmtId="0" fontId="19" fillId="0" borderId="0"/>
    <xf numFmtId="0" fontId="32"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28" fillId="0" borderId="0">
      <alignment vertical="top"/>
    </xf>
    <xf numFmtId="167" fontId="34" fillId="0" borderId="0" applyFont="0" applyFill="0" applyBorder="0" applyAlignment="0" applyProtection="0"/>
    <xf numFmtId="167" fontId="34" fillId="0" borderId="0" applyFont="0" applyFill="0" applyBorder="0" applyAlignment="0" applyProtection="0"/>
    <xf numFmtId="0" fontId="8" fillId="0" borderId="0" applyNumberFormat="0" applyFill="0" applyBorder="0" applyAlignment="0" applyProtection="0">
      <alignment vertical="top"/>
      <protection locked="0"/>
    </xf>
    <xf numFmtId="0" fontId="7" fillId="0" borderId="0"/>
    <xf numFmtId="0" fontId="5" fillId="0" borderId="0"/>
    <xf numFmtId="9" fontId="7"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9" fontId="34" fillId="0" borderId="0" applyFont="0" applyFill="0" applyBorder="0" applyAlignment="0" applyProtection="0"/>
    <xf numFmtId="0" fontId="39" fillId="0" borderId="0"/>
    <xf numFmtId="0" fontId="7" fillId="0" borderId="0"/>
    <xf numFmtId="167" fontId="34" fillId="0" borderId="0" applyFont="0" applyFill="0" applyBorder="0" applyAlignment="0" applyProtection="0"/>
    <xf numFmtId="164" fontId="47" fillId="0" borderId="0" applyFont="0" applyFill="0" applyBorder="0" applyAlignment="0" applyProtection="0"/>
    <xf numFmtId="0" fontId="7" fillId="0" borderId="0"/>
    <xf numFmtId="0" fontId="19" fillId="0" borderId="0"/>
    <xf numFmtId="0" fontId="84" fillId="0" borderId="0"/>
    <xf numFmtId="0" fontId="4" fillId="0" borderId="0"/>
    <xf numFmtId="164" fontId="4" fillId="0" borderId="0" applyFont="0" applyFill="0" applyBorder="0" applyAlignment="0" applyProtection="0"/>
    <xf numFmtId="0" fontId="30" fillId="0" borderId="0"/>
    <xf numFmtId="0" fontId="87" fillId="34" borderId="0" applyNumberFormat="0" applyBorder="0" applyAlignment="0" applyProtection="0"/>
    <xf numFmtId="0" fontId="88" fillId="35" borderId="0" applyNumberFormat="0" applyBorder="0" applyAlignment="0" applyProtection="0"/>
    <xf numFmtId="172" fontId="7" fillId="0" borderId="0" applyFont="0" applyFill="0" applyBorder="0" applyAlignment="0" applyProtection="0"/>
    <xf numFmtId="0" fontId="7" fillId="0" borderId="0"/>
    <xf numFmtId="0" fontId="7" fillId="0" borderId="0"/>
    <xf numFmtId="164" fontId="7" fillId="0" borderId="0" applyFont="0" applyFill="0" applyBorder="0" applyAlignment="0" applyProtection="0"/>
    <xf numFmtId="169" fontId="7"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0" fontId="7" fillId="0" borderId="0" applyFont="0" applyFill="0" applyBorder="0" applyAlignment="0" applyProtection="0"/>
    <xf numFmtId="209" fontId="7" fillId="0" borderId="0" applyFont="0" applyFill="0" applyBorder="0" applyAlignment="0" applyProtection="0"/>
    <xf numFmtId="166" fontId="7" fillId="0" borderId="0" applyFont="0" applyFill="0" applyBorder="0" applyAlignment="0" applyProtection="0"/>
    <xf numFmtId="175" fontId="7" fillId="0" borderId="0" applyFont="0" applyFill="0" applyBorder="0" applyAlignment="0" applyProtection="0"/>
    <xf numFmtId="41" fontId="113" fillId="0" borderId="0" applyFont="0" applyFill="0" applyBorder="0" applyAlignment="0" applyProtection="0"/>
    <xf numFmtId="0" fontId="2" fillId="0" borderId="0"/>
    <xf numFmtId="167" fontId="22" fillId="0" borderId="0" applyFont="0" applyFill="0" applyBorder="0" applyAlignment="0" applyProtection="0"/>
    <xf numFmtId="9" fontId="22" fillId="0" borderId="0" applyFont="0" applyFill="0" applyBorder="0" applyAlignment="0" applyProtection="0"/>
    <xf numFmtId="168" fontId="22" fillId="0" borderId="0" applyFont="0" applyFill="0" applyBorder="0" applyAlignment="0" applyProtection="0"/>
    <xf numFmtId="166" fontId="22" fillId="0" borderId="0" applyFont="0" applyFill="0" applyBorder="0" applyAlignment="0" applyProtection="0"/>
    <xf numFmtId="169" fontId="22" fillId="0" borderId="0" applyFont="0" applyFill="0" applyBorder="0" applyAlignment="0" applyProtection="0"/>
    <xf numFmtId="0" fontId="136" fillId="0" borderId="0" applyNumberFormat="0" applyFill="0" applyBorder="0" applyAlignment="0" applyProtection="0"/>
    <xf numFmtId="0" fontId="159" fillId="0" borderId="0" applyNumberFormat="0" applyFill="0" applyBorder="0" applyAlignment="0" applyProtection="0">
      <alignment vertical="top"/>
      <protection locked="0"/>
    </xf>
    <xf numFmtId="0" fontId="161" fillId="0" borderId="0"/>
  </cellStyleXfs>
  <cellXfs count="4374">
    <xf numFmtId="0" fontId="0" fillId="0" borderId="0" xfId="0"/>
    <xf numFmtId="0" fontId="9" fillId="0" borderId="1" xfId="0" applyFont="1" applyFill="1" applyBorder="1" applyAlignment="1">
      <alignment horizontal="center"/>
    </xf>
    <xf numFmtId="0" fontId="10" fillId="0" borderId="1" xfId="0" applyFont="1" applyFill="1" applyBorder="1" applyAlignment="1">
      <alignment horizontal="center"/>
    </xf>
    <xf numFmtId="49" fontId="10" fillId="0" borderId="1" xfId="0" applyNumberFormat="1" applyFont="1" applyFill="1" applyBorder="1"/>
    <xf numFmtId="49" fontId="11" fillId="0" borderId="1" xfId="0" applyNumberFormat="1" applyFont="1" applyBorder="1" applyAlignment="1">
      <alignment horizontal="center"/>
    </xf>
    <xf numFmtId="0" fontId="10" fillId="0" borderId="1" xfId="0" applyFont="1" applyFill="1" applyBorder="1"/>
    <xf numFmtId="49" fontId="10" fillId="0" borderId="1" xfId="0" applyNumberFormat="1" applyFont="1" applyFill="1" applyBorder="1" applyAlignment="1">
      <alignment horizontal="center"/>
    </xf>
    <xf numFmtId="171" fontId="11" fillId="0" borderId="1" xfId="0" applyNumberFormat="1" applyFont="1" applyFill="1" applyBorder="1" applyAlignment="1">
      <alignment horizontal="center"/>
    </xf>
    <xf numFmtId="49" fontId="11" fillId="0" borderId="1" xfId="0" applyNumberFormat="1" applyFont="1" applyFill="1" applyBorder="1"/>
    <xf numFmtId="0" fontId="11" fillId="0" borderId="1" xfId="0" applyFont="1" applyBorder="1" applyAlignment="1">
      <alignment horizontal="center"/>
    </xf>
    <xf numFmtId="0" fontId="0" fillId="0" borderId="0" xfId="0" applyFill="1"/>
    <xf numFmtId="0" fontId="11" fillId="0" borderId="1" xfId="0" applyFont="1" applyFill="1" applyBorder="1" applyAlignment="1">
      <alignment horizontal="center"/>
    </xf>
    <xf numFmtId="49" fontId="11" fillId="0" borderId="1" xfId="0" applyNumberFormat="1" applyFont="1" applyFill="1" applyBorder="1" applyAlignment="1">
      <alignment horizontal="center"/>
    </xf>
    <xf numFmtId="0" fontId="10" fillId="0" borderId="0" xfId="0" applyFont="1" applyFill="1" applyBorder="1" applyAlignment="1">
      <alignment horizontal="center"/>
    </xf>
    <xf numFmtId="49" fontId="10" fillId="0" borderId="0" xfId="0" applyNumberFormat="1" applyFont="1" applyFill="1" applyBorder="1" applyAlignment="1">
      <alignment horizontal="center"/>
    </xf>
    <xf numFmtId="178" fontId="11" fillId="0" borderId="1" xfId="0" applyNumberFormat="1" applyFont="1" applyFill="1" applyBorder="1" applyAlignment="1">
      <alignment horizontal="center"/>
    </xf>
    <xf numFmtId="49" fontId="11" fillId="0" borderId="0" xfId="0" applyNumberFormat="1" applyFont="1" applyFill="1" applyBorder="1" applyAlignment="1">
      <alignment horizontal="center"/>
    </xf>
    <xf numFmtId="0" fontId="10" fillId="0" borderId="0" xfId="0" applyFont="1"/>
    <xf numFmtId="0" fontId="10" fillId="0" borderId="1" xfId="0" applyFont="1" applyFill="1" applyBorder="1" applyAlignment="1">
      <alignment horizontal="left"/>
    </xf>
    <xf numFmtId="0" fontId="10" fillId="0" borderId="0" xfId="0" applyFont="1" applyFill="1"/>
    <xf numFmtId="0" fontId="10" fillId="2" borderId="1" xfId="0" applyFont="1" applyFill="1" applyBorder="1" applyAlignment="1">
      <alignment horizontal="center"/>
    </xf>
    <xf numFmtId="2" fontId="10" fillId="2" borderId="1" xfId="0" applyNumberFormat="1" applyFont="1" applyFill="1" applyBorder="1" applyAlignment="1">
      <alignment horizontal="center"/>
    </xf>
    <xf numFmtId="0" fontId="10" fillId="0" borderId="0" xfId="0" applyFont="1" applyFill="1" applyBorder="1" applyAlignment="1">
      <alignment horizontal="left"/>
    </xf>
    <xf numFmtId="0" fontId="10" fillId="0" borderId="0" xfId="0" applyFont="1" applyFill="1" applyBorder="1"/>
    <xf numFmtId="0" fontId="11" fillId="0" borderId="1" xfId="0" applyFont="1" applyBorder="1"/>
    <xf numFmtId="0" fontId="9" fillId="0" borderId="0" xfId="0" applyFont="1" applyFill="1" applyBorder="1"/>
    <xf numFmtId="0" fontId="12" fillId="2" borderId="1" xfId="0" applyFont="1" applyFill="1" applyBorder="1" applyAlignment="1">
      <alignment horizontal="center"/>
    </xf>
    <xf numFmtId="176" fontId="11" fillId="0" borderId="1" xfId="0" applyNumberFormat="1" applyFont="1" applyFill="1" applyBorder="1" applyAlignment="1">
      <alignment horizontal="center"/>
    </xf>
    <xf numFmtId="0" fontId="0" fillId="0" borderId="0" xfId="0" applyFill="1" applyBorder="1"/>
    <xf numFmtId="49" fontId="11" fillId="0" borderId="0" xfId="0" applyNumberFormat="1" applyFont="1" applyBorder="1" applyAlignment="1">
      <alignment horizontal="center"/>
    </xf>
    <xf numFmtId="0" fontId="9" fillId="0" borderId="0" xfId="0" applyFont="1" applyFill="1"/>
    <xf numFmtId="0" fontId="10" fillId="0" borderId="0" xfId="0" applyFont="1" applyBorder="1" applyAlignment="1">
      <alignment horizontal="center"/>
    </xf>
    <xf numFmtId="180" fontId="10" fillId="0" borderId="1" xfId="0" applyNumberFormat="1" applyFont="1" applyFill="1" applyBorder="1" applyAlignment="1">
      <alignment horizontal="center"/>
    </xf>
    <xf numFmtId="180" fontId="11" fillId="0" borderId="1" xfId="0" applyNumberFormat="1" applyFont="1" applyFill="1" applyBorder="1" applyAlignment="1">
      <alignment horizontal="center"/>
    </xf>
    <xf numFmtId="2" fontId="10" fillId="0" borderId="1" xfId="0" applyNumberFormat="1" applyFont="1" applyFill="1" applyBorder="1" applyAlignment="1">
      <alignment horizontal="center"/>
    </xf>
    <xf numFmtId="2" fontId="10" fillId="0" borderId="2" xfId="0" applyNumberFormat="1" applyFont="1" applyFill="1" applyBorder="1" applyAlignment="1">
      <alignment horizontal="center"/>
    </xf>
    <xf numFmtId="0" fontId="0" fillId="0" borderId="0" xfId="0" applyAlignment="1">
      <alignment horizontal="center"/>
    </xf>
    <xf numFmtId="2" fontId="0" fillId="0" borderId="0" xfId="0" applyNumberFormat="1"/>
    <xf numFmtId="175" fontId="0" fillId="0" borderId="0" xfId="0" applyNumberFormat="1"/>
    <xf numFmtId="175" fontId="10" fillId="2" borderId="1" xfId="0" applyNumberFormat="1" applyFont="1" applyFill="1" applyBorder="1"/>
    <xf numFmtId="175" fontId="10" fillId="0" borderId="1" xfId="0" applyNumberFormat="1" applyFont="1" applyFill="1" applyBorder="1" applyAlignment="1">
      <alignment horizontal="left"/>
    </xf>
    <xf numFmtId="175" fontId="10" fillId="0" borderId="1" xfId="0" applyNumberFormat="1" applyFont="1" applyFill="1" applyBorder="1"/>
    <xf numFmtId="0" fontId="10" fillId="0" borderId="2" xfId="0" applyFont="1" applyFill="1" applyBorder="1" applyAlignment="1">
      <alignment horizontal="center"/>
    </xf>
    <xf numFmtId="0" fontId="10" fillId="0" borderId="3" xfId="0" applyFont="1" applyFill="1" applyBorder="1" applyAlignment="1">
      <alignment horizontal="center"/>
    </xf>
    <xf numFmtId="0" fontId="6" fillId="0" borderId="0" xfId="0" applyFont="1" applyFill="1"/>
    <xf numFmtId="0" fontId="11" fillId="0" borderId="2" xfId="0" applyFont="1" applyBorder="1" applyAlignment="1">
      <alignment horizontal="center"/>
    </xf>
    <xf numFmtId="0" fontId="20" fillId="0" borderId="0" xfId="10" applyFont="1" applyFill="1" applyBorder="1" applyAlignment="1">
      <alignment horizontal="left" wrapText="1"/>
    </xf>
    <xf numFmtId="0" fontId="20" fillId="0" borderId="0" xfId="10" applyFont="1" applyFill="1" applyBorder="1" applyAlignment="1">
      <alignment horizontal="center" wrapText="1"/>
    </xf>
    <xf numFmtId="179" fontId="20" fillId="0" borderId="0" xfId="10" applyNumberFormat="1" applyFont="1" applyFill="1" applyBorder="1" applyAlignment="1">
      <alignment horizontal="right" wrapText="1"/>
    </xf>
    <xf numFmtId="0" fontId="9" fillId="0" borderId="2" xfId="0" applyFont="1" applyFill="1" applyBorder="1" applyAlignment="1">
      <alignment horizontal="center"/>
    </xf>
    <xf numFmtId="49" fontId="10" fillId="0" borderId="2" xfId="0" applyNumberFormat="1" applyFont="1" applyFill="1" applyBorder="1" applyAlignment="1">
      <alignment horizontal="center"/>
    </xf>
    <xf numFmtId="49" fontId="11" fillId="0" borderId="4" xfId="0" applyNumberFormat="1" applyFont="1" applyFill="1" applyBorder="1" applyAlignment="1">
      <alignment horizontal="center"/>
    </xf>
    <xf numFmtId="49" fontId="11" fillId="0" borderId="2" xfId="0" applyNumberFormat="1" applyFont="1" applyFill="1" applyBorder="1" applyAlignment="1">
      <alignment horizontal="center"/>
    </xf>
    <xf numFmtId="180" fontId="14" fillId="0" borderId="1" xfId="0" applyNumberFormat="1" applyFont="1" applyFill="1" applyBorder="1" applyAlignment="1">
      <alignment horizontal="right"/>
    </xf>
    <xf numFmtId="180" fontId="11" fillId="0" borderId="1" xfId="0" applyNumberFormat="1" applyFont="1" applyFill="1" applyBorder="1" applyAlignment="1">
      <alignment horizontal="right"/>
    </xf>
    <xf numFmtId="0" fontId="10" fillId="0" borderId="0" xfId="0" applyFont="1" applyFill="1" applyBorder="1" applyAlignment="1"/>
    <xf numFmtId="0" fontId="21" fillId="0" borderId="0" xfId="0" applyFont="1" applyFill="1"/>
    <xf numFmtId="170" fontId="11" fillId="0" borderId="1" xfId="0" applyNumberFormat="1" applyFont="1" applyBorder="1" applyAlignment="1">
      <alignment horizontal="center"/>
    </xf>
    <xf numFmtId="0" fontId="0" fillId="0" borderId="0" xfId="0" applyFill="1" applyAlignment="1">
      <alignment horizontal="center"/>
    </xf>
    <xf numFmtId="180" fontId="18" fillId="0" borderId="1" xfId="0" applyNumberFormat="1" applyFont="1" applyFill="1" applyBorder="1" applyAlignment="1">
      <alignment horizontal="right"/>
    </xf>
    <xf numFmtId="0" fontId="10" fillId="0" borderId="1" xfId="0" applyFont="1" applyFill="1" applyBorder="1" applyAlignment="1">
      <alignment horizontal="center" vertical="center"/>
    </xf>
    <xf numFmtId="0" fontId="7" fillId="0" borderId="0" xfId="0" applyFont="1" applyFill="1"/>
    <xf numFmtId="0" fontId="10" fillId="0" borderId="4" xfId="0" applyFont="1" applyFill="1" applyBorder="1" applyAlignment="1">
      <alignment horizontal="center"/>
    </xf>
    <xf numFmtId="178" fontId="11" fillId="0" borderId="2" xfId="0" applyNumberFormat="1" applyFont="1" applyFill="1" applyBorder="1" applyAlignment="1">
      <alignment horizontal="center"/>
    </xf>
    <xf numFmtId="170" fontId="0" fillId="0" borderId="0" xfId="0" applyNumberFormat="1"/>
    <xf numFmtId="170" fontId="10" fillId="0" borderId="1" xfId="0" applyNumberFormat="1" applyFont="1" applyBorder="1" applyAlignment="1">
      <alignment horizontal="center"/>
    </xf>
    <xf numFmtId="170" fontId="11" fillId="0" borderId="0" xfId="0" applyNumberFormat="1" applyFont="1" applyBorder="1" applyAlignment="1">
      <alignment horizontal="center"/>
    </xf>
    <xf numFmtId="170" fontId="20" fillId="0" borderId="0" xfId="10" applyNumberFormat="1" applyFont="1" applyFill="1" applyBorder="1" applyAlignment="1">
      <alignment horizontal="center" wrapText="1"/>
    </xf>
    <xf numFmtId="170" fontId="20" fillId="0" borderId="0" xfId="10" applyNumberFormat="1" applyFont="1" applyFill="1" applyBorder="1" applyAlignment="1">
      <alignment horizontal="right" wrapText="1"/>
    </xf>
    <xf numFmtId="170" fontId="20" fillId="0" borderId="0" xfId="10" applyNumberFormat="1" applyFont="1" applyFill="1" applyBorder="1" applyAlignment="1">
      <alignment horizontal="left" wrapText="1"/>
    </xf>
    <xf numFmtId="170" fontId="11" fillId="0" borderId="1" xfId="0" applyNumberFormat="1" applyFont="1" applyFill="1" applyBorder="1" applyAlignment="1">
      <alignment horizontal="right"/>
    </xf>
    <xf numFmtId="170" fontId="11" fillId="0" borderId="1" xfId="0" applyNumberFormat="1" applyFont="1" applyFill="1" applyBorder="1" applyAlignment="1">
      <alignment horizontal="center"/>
    </xf>
    <xf numFmtId="2" fontId="10" fillId="0" borderId="1" xfId="0" applyNumberFormat="1" applyFont="1" applyFill="1" applyBorder="1" applyAlignment="1">
      <alignment horizontal="left"/>
    </xf>
    <xf numFmtId="0" fontId="10" fillId="0" borderId="0" xfId="0" applyFont="1" applyFill="1" applyBorder="1" applyAlignment="1">
      <alignment horizontal="center" vertical="center"/>
    </xf>
    <xf numFmtId="0" fontId="9" fillId="0" borderId="1" xfId="0" applyFont="1" applyFill="1" applyBorder="1" applyAlignment="1">
      <alignment horizontal="left"/>
    </xf>
    <xf numFmtId="49" fontId="10" fillId="0" borderId="1" xfId="0" applyNumberFormat="1" applyFont="1" applyFill="1" applyBorder="1" applyAlignment="1">
      <alignment horizontal="left"/>
    </xf>
    <xf numFmtId="49" fontId="10" fillId="0" borderId="0" xfId="0" applyNumberFormat="1" applyFont="1" applyFill="1" applyBorder="1" applyAlignment="1">
      <alignment horizontal="left"/>
    </xf>
    <xf numFmtId="49" fontId="9" fillId="0" borderId="1" xfId="0" applyNumberFormat="1" applyFont="1" applyFill="1" applyBorder="1" applyAlignment="1">
      <alignment horizontal="left"/>
    </xf>
    <xf numFmtId="0" fontId="10" fillId="0" borderId="1" xfId="0" applyFont="1" applyFill="1" applyBorder="1" applyAlignment="1">
      <alignment horizontal="justify"/>
    </xf>
    <xf numFmtId="0" fontId="10" fillId="0" borderId="5" xfId="0" applyFont="1" applyFill="1" applyBorder="1" applyAlignment="1">
      <alignment horizontal="justify"/>
    </xf>
    <xf numFmtId="49" fontId="10" fillId="0" borderId="0" xfId="0" applyNumberFormat="1" applyFont="1" applyFill="1" applyBorder="1"/>
    <xf numFmtId="0" fontId="25" fillId="0" borderId="0" xfId="8" applyFont="1" applyFill="1" applyBorder="1" applyAlignment="1">
      <alignment vertical="center" wrapText="1"/>
    </xf>
    <xf numFmtId="0" fontId="24" fillId="0" borderId="0" xfId="8"/>
    <xf numFmtId="0" fontId="24" fillId="0" borderId="1" xfId="8" applyBorder="1" applyAlignment="1">
      <alignment vertical="center"/>
    </xf>
    <xf numFmtId="0" fontId="24" fillId="0" borderId="1" xfId="8" applyBorder="1" applyAlignment="1">
      <alignment horizontal="center" vertical="center"/>
    </xf>
    <xf numFmtId="0" fontId="13" fillId="0" borderId="0" xfId="8" applyFont="1" applyAlignment="1">
      <alignment horizontal="left" vertical="center" wrapText="1"/>
    </xf>
    <xf numFmtId="0" fontId="24" fillId="0" borderId="0" xfId="8" applyAlignment="1">
      <alignment horizontal="center"/>
    </xf>
    <xf numFmtId="180" fontId="11" fillId="0" borderId="7" xfId="0" applyNumberFormat="1" applyFont="1" applyFill="1" applyBorder="1" applyAlignment="1">
      <alignment horizontal="right"/>
    </xf>
    <xf numFmtId="180" fontId="18" fillId="0" borderId="0" xfId="0" applyNumberFormat="1" applyFont="1" applyFill="1" applyAlignment="1">
      <alignment horizontal="right"/>
    </xf>
    <xf numFmtId="180" fontId="18" fillId="0" borderId="0" xfId="0" applyNumberFormat="1" applyFont="1" applyFill="1" applyBorder="1" applyAlignment="1">
      <alignment horizontal="right"/>
    </xf>
    <xf numFmtId="180" fontId="11" fillId="0" borderId="2" xfId="0" applyNumberFormat="1" applyFont="1" applyFill="1" applyBorder="1" applyAlignment="1">
      <alignment horizontal="right"/>
    </xf>
    <xf numFmtId="180" fontId="11" fillId="0" borderId="5" xfId="0" applyNumberFormat="1" applyFont="1" applyFill="1" applyBorder="1" applyAlignment="1">
      <alignment horizontal="center"/>
    </xf>
    <xf numFmtId="178" fontId="11" fillId="0" borderId="7" xfId="0" applyNumberFormat="1" applyFont="1" applyFill="1" applyBorder="1" applyAlignment="1">
      <alignment horizontal="center"/>
    </xf>
    <xf numFmtId="180" fontId="11" fillId="0" borderId="7" xfId="0" applyNumberFormat="1" applyFont="1" applyFill="1" applyBorder="1" applyAlignment="1">
      <alignment horizontal="center"/>
    </xf>
    <xf numFmtId="180" fontId="18" fillId="0" borderId="7" xfId="0" applyNumberFormat="1" applyFont="1" applyFill="1" applyBorder="1" applyAlignment="1">
      <alignment horizontal="right"/>
    </xf>
    <xf numFmtId="0" fontId="7" fillId="0" borderId="0" xfId="0" applyFont="1" applyFill="1" applyAlignment="1">
      <alignment horizontal="center"/>
    </xf>
    <xf numFmtId="0" fontId="0" fillId="0" borderId="1" xfId="0" applyFill="1" applyBorder="1" applyAlignment="1">
      <alignment horizontal="center"/>
    </xf>
    <xf numFmtId="0" fontId="21" fillId="0" borderId="0" xfId="0" applyFont="1" applyFill="1" applyBorder="1"/>
    <xf numFmtId="0" fontId="0" fillId="0" borderId="0" xfId="0" applyFill="1" applyBorder="1" applyAlignment="1">
      <alignment horizontal="center"/>
    </xf>
    <xf numFmtId="0" fontId="21" fillId="0" borderId="1" xfId="0" applyFont="1" applyFill="1" applyBorder="1"/>
    <xf numFmtId="0" fontId="10" fillId="0" borderId="1" xfId="0" applyFont="1" applyFill="1" applyBorder="1" applyAlignment="1"/>
    <xf numFmtId="0" fontId="10" fillId="0" borderId="5" xfId="0" applyFont="1" applyFill="1" applyBorder="1" applyAlignment="1">
      <alignment horizontal="center"/>
    </xf>
    <xf numFmtId="0" fontId="11" fillId="0" borderId="1" xfId="0" applyFont="1" applyFill="1" applyBorder="1" applyAlignment="1">
      <alignment horizontal="justify"/>
    </xf>
    <xf numFmtId="0" fontId="21" fillId="0" borderId="0" xfId="0" applyFont="1" applyFill="1" applyAlignment="1">
      <alignment horizontal="center"/>
    </xf>
    <xf numFmtId="0" fontId="21" fillId="0" borderId="1" xfId="0" applyFont="1" applyFill="1" applyBorder="1" applyAlignment="1">
      <alignment horizontal="center"/>
    </xf>
    <xf numFmtId="0" fontId="13" fillId="0" borderId="0" xfId="8" applyFont="1" applyBorder="1" applyAlignment="1">
      <alignment horizontal="left" vertical="center" wrapText="1"/>
    </xf>
    <xf numFmtId="170" fontId="13" fillId="0" borderId="0" xfId="8" applyNumberFormat="1" applyFont="1" applyBorder="1" applyAlignment="1">
      <alignment horizontal="left" vertical="center" wrapText="1"/>
    </xf>
    <xf numFmtId="0" fontId="13" fillId="0" borderId="0" xfId="8" applyFont="1" applyBorder="1" applyAlignment="1">
      <alignment horizontal="center"/>
    </xf>
    <xf numFmtId="10" fontId="13" fillId="0" borderId="0" xfId="15" applyNumberFormat="1" applyFont="1" applyBorder="1" applyAlignment="1">
      <alignment horizontal="center"/>
    </xf>
    <xf numFmtId="0" fontId="10" fillId="0" borderId="0" xfId="0" applyFont="1" applyBorder="1" applyAlignment="1">
      <alignment horizontal="center" vertical="center"/>
    </xf>
    <xf numFmtId="0" fontId="25" fillId="0" borderId="0" xfId="9" applyFont="1" applyFill="1" applyAlignment="1">
      <alignment vertical="center"/>
    </xf>
    <xf numFmtId="4" fontId="25" fillId="0" borderId="1" xfId="9" applyNumberFormat="1" applyFont="1" applyBorder="1" applyAlignment="1">
      <alignment vertical="center"/>
    </xf>
    <xf numFmtId="0" fontId="25" fillId="0" borderId="0" xfId="9" applyFont="1" applyAlignment="1">
      <alignment vertical="center"/>
    </xf>
    <xf numFmtId="49" fontId="12" fillId="0" borderId="1" xfId="9" applyNumberFormat="1" applyFont="1" applyFill="1" applyBorder="1" applyAlignment="1">
      <alignment horizontal="center" vertical="center"/>
    </xf>
    <xf numFmtId="0" fontId="25" fillId="0" borderId="0" xfId="9" applyFont="1" applyFill="1" applyBorder="1" applyAlignment="1">
      <alignment vertical="center"/>
    </xf>
    <xf numFmtId="0" fontId="25" fillId="0" borderId="1" xfId="9" applyFont="1" applyFill="1" applyBorder="1" applyAlignment="1">
      <alignment vertical="center"/>
    </xf>
    <xf numFmtId="3" fontId="25" fillId="0" borderId="1" xfId="9" applyNumberFormat="1" applyFont="1" applyFill="1" applyBorder="1" applyAlignment="1">
      <alignment horizontal="center" vertical="center"/>
    </xf>
    <xf numFmtId="10" fontId="25" fillId="0" borderId="1" xfId="9" applyNumberFormat="1" applyFont="1" applyFill="1" applyBorder="1" applyAlignment="1">
      <alignment horizontal="center" vertical="center"/>
    </xf>
    <xf numFmtId="49" fontId="12" fillId="0" borderId="1" xfId="9" applyNumberFormat="1" applyFont="1" applyBorder="1" applyAlignment="1">
      <alignment horizontal="center" vertical="center"/>
    </xf>
    <xf numFmtId="172" fontId="25" fillId="0" borderId="1" xfId="4" applyFont="1" applyFill="1" applyBorder="1" applyAlignment="1">
      <alignment horizontal="center" vertical="center"/>
    </xf>
    <xf numFmtId="3" fontId="25" fillId="0" borderId="1" xfId="4" applyNumberFormat="1" applyFont="1" applyFill="1" applyBorder="1" applyAlignment="1">
      <alignment horizontal="center" vertical="center"/>
    </xf>
    <xf numFmtId="49" fontId="12" fillId="0" borderId="1" xfId="9" applyNumberFormat="1" applyFont="1" applyFill="1" applyBorder="1" applyAlignment="1">
      <alignment vertical="center"/>
    </xf>
    <xf numFmtId="10" fontId="12" fillId="0" borderId="1" xfId="9" applyNumberFormat="1" applyFont="1" applyFill="1" applyBorder="1" applyAlignment="1">
      <alignment horizontal="center" vertical="center"/>
    </xf>
    <xf numFmtId="2" fontId="25" fillId="0" borderId="1" xfId="9" applyNumberFormat="1" applyFont="1" applyFill="1" applyBorder="1" applyAlignment="1">
      <alignment horizontal="center" vertical="center"/>
    </xf>
    <xf numFmtId="4" fontId="25" fillId="0" borderId="1" xfId="9" applyNumberFormat="1" applyFont="1" applyFill="1" applyBorder="1" applyAlignment="1">
      <alignment horizontal="center" vertical="center"/>
    </xf>
    <xf numFmtId="4" fontId="25" fillId="0" borderId="0" xfId="9" applyNumberFormat="1" applyFont="1" applyBorder="1" applyAlignment="1">
      <alignment vertical="center"/>
    </xf>
    <xf numFmtId="0" fontId="25" fillId="0" borderId="0" xfId="9" applyFont="1" applyBorder="1" applyAlignment="1">
      <alignment vertical="center"/>
    </xf>
    <xf numFmtId="4" fontId="25" fillId="0" borderId="1" xfId="9" applyNumberFormat="1" applyFont="1" applyFill="1" applyBorder="1" applyAlignment="1">
      <alignment vertical="center"/>
    </xf>
    <xf numFmtId="4" fontId="25" fillId="0" borderId="1" xfId="4" applyNumberFormat="1" applyFont="1" applyFill="1" applyBorder="1" applyAlignment="1">
      <alignment horizontal="center" vertical="center"/>
    </xf>
    <xf numFmtId="49" fontId="25" fillId="0" borderId="1" xfId="9" applyNumberFormat="1" applyFont="1" applyFill="1" applyBorder="1" applyAlignment="1">
      <alignment vertical="center"/>
    </xf>
    <xf numFmtId="49" fontId="25" fillId="0" borderId="0" xfId="9" applyNumberFormat="1" applyFont="1" applyFill="1" applyBorder="1" applyAlignment="1">
      <alignment vertical="center"/>
    </xf>
    <xf numFmtId="49" fontId="12" fillId="0" borderId="0" xfId="9" applyNumberFormat="1" applyFont="1" applyBorder="1" applyAlignment="1">
      <alignment horizontal="center" vertical="center"/>
    </xf>
    <xf numFmtId="3" fontId="25" fillId="0" borderId="0" xfId="9" applyNumberFormat="1" applyFont="1" applyBorder="1" applyAlignment="1">
      <alignment horizontal="center" vertical="center"/>
    </xf>
    <xf numFmtId="0" fontId="25" fillId="0" borderId="0" xfId="9" applyFont="1" applyBorder="1" applyAlignment="1">
      <alignment horizontal="center" vertical="center"/>
    </xf>
    <xf numFmtId="49" fontId="25" fillId="0" borderId="0" xfId="9" applyNumberFormat="1" applyFont="1" applyFill="1" applyAlignment="1">
      <alignment vertical="center"/>
    </xf>
    <xf numFmtId="49" fontId="12" fillId="0" borderId="0" xfId="9" applyNumberFormat="1" applyFont="1" applyAlignment="1">
      <alignment horizontal="center" vertical="center"/>
    </xf>
    <xf numFmtId="3" fontId="25" fillId="0" borderId="0" xfId="9" applyNumberFormat="1" applyFont="1" applyAlignment="1">
      <alignment horizontal="center" vertical="center"/>
    </xf>
    <xf numFmtId="0" fontId="25" fillId="0" borderId="0" xfId="9" applyFont="1" applyAlignment="1">
      <alignment horizontal="center" vertical="center"/>
    </xf>
    <xf numFmtId="4" fontId="25" fillId="0" borderId="0" xfId="9" applyNumberFormat="1" applyFont="1" applyAlignment="1">
      <alignment vertical="center"/>
    </xf>
    <xf numFmtId="49" fontId="12" fillId="0" borderId="5" xfId="9" applyNumberFormat="1" applyFont="1" applyFill="1" applyBorder="1" applyAlignment="1">
      <alignment horizontal="center" vertical="center"/>
    </xf>
    <xf numFmtId="0" fontId="12" fillId="0" borderId="5" xfId="9" applyFont="1" applyFill="1" applyBorder="1" applyAlignment="1">
      <alignment horizontal="center" vertical="center"/>
    </xf>
    <xf numFmtId="3" fontId="12" fillId="0" borderId="5" xfId="9" applyNumberFormat="1" applyFont="1" applyFill="1" applyBorder="1" applyAlignment="1">
      <alignment horizontal="center" vertical="center"/>
    </xf>
    <xf numFmtId="49" fontId="12" fillId="2" borderId="10" xfId="9" applyNumberFormat="1" applyFont="1" applyFill="1" applyBorder="1" applyAlignment="1">
      <alignment horizontal="center" vertical="center"/>
    </xf>
    <xf numFmtId="49" fontId="12" fillId="0" borderId="11" xfId="9" applyNumberFormat="1" applyFont="1" applyFill="1" applyBorder="1" applyAlignment="1">
      <alignment horizontal="center" vertical="center"/>
    </xf>
    <xf numFmtId="3" fontId="25" fillId="0" borderId="15" xfId="9" applyNumberFormat="1" applyFont="1" applyBorder="1" applyAlignment="1">
      <alignment vertical="center"/>
    </xf>
    <xf numFmtId="49" fontId="25" fillId="0" borderId="11" xfId="9" applyNumberFormat="1" applyFont="1" applyFill="1" applyBorder="1" applyAlignment="1">
      <alignment horizontal="center" vertical="center"/>
    </xf>
    <xf numFmtId="49" fontId="12" fillId="3" borderId="12" xfId="9" applyNumberFormat="1" applyFont="1" applyFill="1" applyBorder="1" applyAlignment="1">
      <alignment horizontal="center" vertical="center"/>
    </xf>
    <xf numFmtId="10" fontId="12" fillId="3" borderId="13" xfId="9" applyNumberFormat="1" applyFont="1" applyFill="1" applyBorder="1" applyAlignment="1">
      <alignment horizontal="center" vertical="center"/>
    </xf>
    <xf numFmtId="3" fontId="12" fillId="3" borderId="16" xfId="9" applyNumberFormat="1" applyFont="1" applyFill="1" applyBorder="1" applyAlignment="1">
      <alignment vertical="center"/>
    </xf>
    <xf numFmtId="3" fontId="25" fillId="0" borderId="15" xfId="9" applyNumberFormat="1" applyFont="1" applyFill="1" applyBorder="1" applyAlignment="1">
      <alignment vertical="center"/>
    </xf>
    <xf numFmtId="0" fontId="26" fillId="0" borderId="0" xfId="0" applyFont="1" applyFill="1" applyBorder="1" applyAlignment="1">
      <alignment vertical="center"/>
    </xf>
    <xf numFmtId="49" fontId="25" fillId="0" borderId="1" xfId="9" applyNumberFormat="1" applyFont="1" applyFill="1" applyBorder="1" applyAlignment="1">
      <alignment horizontal="center" vertical="center"/>
    </xf>
    <xf numFmtId="10" fontId="18" fillId="0" borderId="1" xfId="15" applyNumberFormat="1" applyFont="1" applyFill="1" applyBorder="1" applyAlignment="1">
      <alignment horizontal="right"/>
    </xf>
    <xf numFmtId="0" fontId="26" fillId="0" borderId="0" xfId="0" applyFont="1" applyAlignment="1">
      <alignment vertical="center"/>
    </xf>
    <xf numFmtId="0" fontId="13" fillId="0" borderId="0" xfId="0" applyFont="1"/>
    <xf numFmtId="49" fontId="25" fillId="0" borderId="1" xfId="9" applyNumberFormat="1" applyFont="1" applyBorder="1" applyAlignment="1">
      <alignment horizontal="center" vertical="center"/>
    </xf>
    <xf numFmtId="175" fontId="13" fillId="0" borderId="1" xfId="0" applyNumberFormat="1" applyFont="1" applyFill="1" applyBorder="1" applyAlignment="1">
      <alignment horizontal="left" vertical="center"/>
    </xf>
    <xf numFmtId="0" fontId="26" fillId="0" borderId="0" xfId="0" applyFont="1" applyFill="1" applyBorder="1"/>
    <xf numFmtId="2" fontId="26" fillId="0" borderId="1" xfId="0" applyNumberFormat="1" applyFont="1" applyFill="1" applyBorder="1" applyAlignment="1">
      <alignment horizontal="center"/>
    </xf>
    <xf numFmtId="0" fontId="13" fillId="0" borderId="0" xfId="0" applyFont="1" applyFill="1" applyBorder="1"/>
    <xf numFmtId="49" fontId="10" fillId="0" borderId="1" xfId="0" applyNumberFormat="1" applyFont="1" applyBorder="1" applyAlignment="1">
      <alignment horizontal="center"/>
    </xf>
    <xf numFmtId="0" fontId="10" fillId="3" borderId="1" xfId="0" applyFont="1" applyFill="1" applyBorder="1" applyAlignment="1">
      <alignment horizontal="center" vertical="center"/>
    </xf>
    <xf numFmtId="49" fontId="10" fillId="3" borderId="1" xfId="0" applyNumberFormat="1" applyFont="1" applyFill="1" applyBorder="1"/>
    <xf numFmtId="49" fontId="11" fillId="3" borderId="2" xfId="0" applyNumberFormat="1" applyFont="1" applyFill="1" applyBorder="1" applyAlignment="1">
      <alignment horizontal="center"/>
    </xf>
    <xf numFmtId="180" fontId="11" fillId="3" borderId="1" xfId="0" applyNumberFormat="1" applyFont="1" applyFill="1" applyBorder="1" applyAlignment="1">
      <alignment horizontal="right"/>
    </xf>
    <xf numFmtId="0" fontId="0" fillId="3" borderId="0" xfId="0" applyFill="1"/>
    <xf numFmtId="0" fontId="10" fillId="3" borderId="1" xfId="0" applyFont="1" applyFill="1" applyBorder="1" applyAlignment="1">
      <alignment horizontal="center"/>
    </xf>
    <xf numFmtId="175" fontId="10" fillId="0" borderId="1" xfId="0" applyNumberFormat="1" applyFont="1" applyBorder="1" applyAlignment="1">
      <alignment horizontal="left" vertical="center"/>
    </xf>
    <xf numFmtId="2" fontId="10" fillId="0" borderId="1" xfId="0" applyNumberFormat="1" applyFont="1" applyBorder="1" applyAlignment="1">
      <alignment horizontal="center" vertical="center"/>
    </xf>
    <xf numFmtId="49" fontId="10" fillId="0" borderId="20" xfId="0" applyNumberFormat="1" applyFont="1" applyBorder="1" applyAlignment="1">
      <alignment horizontal="center"/>
    </xf>
    <xf numFmtId="170" fontId="10" fillId="0" borderId="0" xfId="0" applyNumberFormat="1" applyFont="1" applyFill="1" applyBorder="1" applyAlignment="1">
      <alignment horizontal="center"/>
    </xf>
    <xf numFmtId="49" fontId="12" fillId="0" borderId="0" xfId="9" applyNumberFormat="1" applyFont="1" applyFill="1" applyBorder="1" applyAlignment="1">
      <alignment horizontal="center" vertical="center"/>
    </xf>
    <xf numFmtId="0" fontId="25" fillId="2" borderId="10" xfId="9" applyFont="1" applyFill="1" applyBorder="1" applyAlignment="1">
      <alignment vertical="center"/>
    </xf>
    <xf numFmtId="181" fontId="25" fillId="2" borderId="23" xfId="9" applyNumberFormat="1" applyFont="1" applyFill="1" applyBorder="1" applyAlignment="1">
      <alignment vertical="center"/>
    </xf>
    <xf numFmtId="49" fontId="12" fillId="0" borderId="24" xfId="9" applyNumberFormat="1" applyFont="1" applyFill="1" applyBorder="1" applyAlignment="1">
      <alignment horizontal="center" vertical="center"/>
    </xf>
    <xf numFmtId="4" fontId="12" fillId="0" borderId="25" xfId="9" applyNumberFormat="1" applyFont="1" applyFill="1" applyBorder="1" applyAlignment="1">
      <alignment horizontal="center" vertical="center"/>
    </xf>
    <xf numFmtId="3" fontId="27" fillId="3" borderId="20" xfId="9" applyNumberFormat="1" applyFont="1" applyFill="1" applyBorder="1" applyAlignment="1">
      <alignment vertical="center"/>
    </xf>
    <xf numFmtId="10" fontId="27" fillId="3" borderId="26" xfId="9" applyNumberFormat="1" applyFont="1" applyFill="1" applyBorder="1" applyAlignment="1">
      <alignment horizontal="center" vertical="center"/>
    </xf>
    <xf numFmtId="0" fontId="10" fillId="0" borderId="0" xfId="0" applyFont="1" applyAlignment="1">
      <alignment horizontal="center"/>
    </xf>
    <xf numFmtId="0" fontId="10" fillId="0" borderId="1" xfId="0" applyFont="1" applyBorder="1" applyAlignment="1">
      <alignment horizontal="left"/>
    </xf>
    <xf numFmtId="0" fontId="10" fillId="0" borderId="1" xfId="0" applyFont="1" applyBorder="1"/>
    <xf numFmtId="0" fontId="30" fillId="0" borderId="0" xfId="0" applyFont="1"/>
    <xf numFmtId="2" fontId="24" fillId="0" borderId="1" xfId="0" applyNumberFormat="1" applyFont="1" applyBorder="1" applyAlignment="1">
      <alignment horizontal="center" vertical="center"/>
    </xf>
    <xf numFmtId="176" fontId="24" fillId="0" borderId="1" xfId="0" applyNumberFormat="1" applyFont="1" applyBorder="1" applyAlignment="1">
      <alignment horizontal="center" vertical="center"/>
    </xf>
    <xf numFmtId="0" fontId="24" fillId="0" borderId="1" xfId="0" applyFont="1" applyBorder="1"/>
    <xf numFmtId="175" fontId="24" fillId="0" borderId="1" xfId="0" applyNumberFormat="1" applyFont="1" applyFill="1" applyBorder="1"/>
    <xf numFmtId="0" fontId="24" fillId="0" borderId="1" xfId="11" applyFont="1" applyFill="1" applyBorder="1" applyAlignment="1" applyProtection="1">
      <alignment horizontal="center"/>
      <protection locked="0"/>
    </xf>
    <xf numFmtId="0" fontId="30" fillId="0" borderId="0" xfId="11" applyFont="1" applyFill="1"/>
    <xf numFmtId="0" fontId="24" fillId="0" borderId="1" xfId="11" applyFont="1" applyFill="1" applyBorder="1" applyAlignment="1" applyProtection="1">
      <alignment horizontal="center" wrapText="1"/>
    </xf>
    <xf numFmtId="0" fontId="24" fillId="0" borderId="1" xfId="11" applyFont="1" applyFill="1" applyBorder="1" applyAlignment="1" applyProtection="1">
      <alignment horizontal="center"/>
    </xf>
    <xf numFmtId="0" fontId="24" fillId="0" borderId="4" xfId="11" applyFont="1" applyFill="1" applyBorder="1" applyAlignment="1" applyProtection="1">
      <alignment horizontal="center" wrapText="1"/>
    </xf>
    <xf numFmtId="0" fontId="24" fillId="0" borderId="4" xfId="11" applyFont="1" applyFill="1" applyBorder="1" applyAlignment="1" applyProtection="1">
      <alignment horizontal="center"/>
    </xf>
    <xf numFmtId="2" fontId="24" fillId="0" borderId="1" xfId="11" applyNumberFormat="1" applyFont="1" applyFill="1" applyBorder="1" applyAlignment="1" applyProtection="1">
      <alignment horizontal="center"/>
    </xf>
    <xf numFmtId="0" fontId="24" fillId="0" borderId="1" xfId="11" quotePrefix="1" applyFont="1" applyFill="1" applyBorder="1" applyAlignment="1" applyProtection="1">
      <alignment horizontal="left" wrapText="1"/>
      <protection locked="0"/>
    </xf>
    <xf numFmtId="4" fontId="24" fillId="10" borderId="1" xfId="11" applyNumberFormat="1" applyFont="1" applyFill="1" applyBorder="1" applyAlignment="1" applyProtection="1">
      <alignment horizontal="right"/>
      <protection locked="0"/>
    </xf>
    <xf numFmtId="4" fontId="24" fillId="0" borderId="1" xfId="11" applyNumberFormat="1" applyFont="1" applyFill="1" applyBorder="1" applyAlignment="1" applyProtection="1">
      <alignment horizontal="center"/>
      <protection locked="0"/>
    </xf>
    <xf numFmtId="4" fontId="24" fillId="0" borderId="1" xfId="11" applyNumberFormat="1" applyFont="1" applyFill="1" applyBorder="1" applyAlignment="1" applyProtection="1">
      <alignment horizontal="right"/>
      <protection locked="0"/>
    </xf>
    <xf numFmtId="0" fontId="24" fillId="0" borderId="1" xfId="11" applyFont="1" applyFill="1" applyBorder="1" applyAlignment="1" applyProtection="1">
      <alignment horizontal="left" wrapText="1"/>
      <protection locked="0"/>
    </xf>
    <xf numFmtId="4" fontId="24" fillId="0" borderId="1" xfId="11" applyNumberFormat="1" applyFont="1" applyFill="1" applyBorder="1" applyAlignment="1" applyProtection="1">
      <alignment horizontal="center"/>
    </xf>
    <xf numFmtId="0" fontId="24" fillId="0" borderId="6" xfId="11" applyFont="1" applyFill="1" applyBorder="1" applyAlignment="1" applyProtection="1">
      <alignment horizontal="center" wrapText="1"/>
    </xf>
    <xf numFmtId="0" fontId="24" fillId="0" borderId="0" xfId="11" applyFont="1" applyFill="1" applyBorder="1" applyAlignment="1" applyProtection="1">
      <alignment horizontal="center"/>
    </xf>
    <xf numFmtId="4" fontId="24" fillId="0" borderId="0" xfId="11" applyNumberFormat="1" applyFont="1" applyFill="1" applyBorder="1" applyAlignment="1" applyProtection="1">
      <alignment horizontal="center"/>
      <protection locked="0"/>
    </xf>
    <xf numFmtId="4" fontId="24" fillId="0" borderId="0" xfId="11" applyNumberFormat="1" applyFont="1" applyFill="1" applyBorder="1" applyAlignment="1" applyProtection="1">
      <alignment horizontal="center"/>
    </xf>
    <xf numFmtId="4" fontId="24" fillId="0" borderId="7" xfId="11" applyNumberFormat="1" applyFont="1" applyFill="1" applyBorder="1" applyAlignment="1" applyProtection="1">
      <alignment horizontal="center"/>
      <protection locked="0"/>
    </xf>
    <xf numFmtId="0" fontId="24" fillId="0" borderId="20" xfId="11" applyFont="1" applyFill="1" applyBorder="1" applyAlignment="1" applyProtection="1">
      <alignment horizontal="center"/>
    </xf>
    <xf numFmtId="4" fontId="24" fillId="0" borderId="20" xfId="11" applyNumberFormat="1" applyFont="1" applyFill="1" applyBorder="1" applyAlignment="1" applyProtection="1">
      <alignment horizontal="center"/>
    </xf>
    <xf numFmtId="0" fontId="24" fillId="0" borderId="7" xfId="11" applyFont="1" applyFill="1" applyBorder="1" applyAlignment="1" applyProtection="1">
      <alignment horizontal="left" wrapText="1"/>
      <protection locked="0"/>
    </xf>
    <xf numFmtId="0" fontId="24" fillId="0" borderId="1" xfId="11" applyFont="1" applyFill="1" applyBorder="1" applyAlignment="1" applyProtection="1">
      <alignment horizontal="center" wrapText="1"/>
      <protection locked="0"/>
    </xf>
    <xf numFmtId="4" fontId="24" fillId="0" borderId="1" xfId="15" applyNumberFormat="1" applyFont="1" applyFill="1" applyBorder="1" applyAlignment="1" applyProtection="1">
      <alignment horizontal="center"/>
      <protection locked="0"/>
    </xf>
    <xf numFmtId="4" fontId="24" fillId="0" borderId="5" xfId="11" applyNumberFormat="1" applyFont="1" applyFill="1" applyBorder="1" applyAlignment="1" applyProtection="1">
      <alignment horizontal="center"/>
    </xf>
    <xf numFmtId="4" fontId="24" fillId="0" borderId="1" xfId="11" applyNumberFormat="1" applyFont="1" applyFill="1" applyBorder="1" applyAlignment="1" applyProtection="1">
      <alignment horizontal="right"/>
    </xf>
    <xf numFmtId="0" fontId="24" fillId="0" borderId="5" xfId="11" applyFont="1" applyFill="1" applyBorder="1" applyAlignment="1" applyProtection="1">
      <alignment horizontal="center"/>
      <protection locked="0"/>
    </xf>
    <xf numFmtId="4" fontId="24" fillId="0" borderId="5" xfId="11" applyNumberFormat="1" applyFont="1" applyFill="1" applyBorder="1" applyAlignment="1" applyProtection="1">
      <alignment horizontal="center"/>
      <protection locked="0"/>
    </xf>
    <xf numFmtId="4" fontId="24" fillId="0" borderId="5" xfId="15" applyNumberFormat="1" applyFont="1" applyFill="1" applyBorder="1" applyAlignment="1" applyProtection="1">
      <alignment horizontal="center"/>
      <protection locked="0"/>
    </xf>
    <xf numFmtId="4" fontId="24" fillId="0" borderId="4" xfId="11" applyNumberFormat="1" applyFont="1" applyFill="1" applyBorder="1" applyAlignment="1" applyProtection="1">
      <alignment horizontal="center"/>
      <protection locked="0"/>
    </xf>
    <xf numFmtId="4" fontId="24" fillId="0" borderId="4" xfId="11" applyNumberFormat="1" applyFont="1" applyFill="1" applyBorder="1" applyAlignment="1" applyProtection="1">
      <alignment horizontal="center"/>
    </xf>
    <xf numFmtId="0" fontId="24" fillId="0" borderId="21" xfId="11" applyFont="1" applyFill="1" applyBorder="1" applyAlignment="1" applyProtection="1">
      <alignment horizontal="center"/>
    </xf>
    <xf numFmtId="4" fontId="24" fillId="0" borderId="7" xfId="11" applyNumberFormat="1" applyFont="1" applyFill="1" applyBorder="1" applyAlignment="1" applyProtection="1">
      <alignment horizontal="center"/>
    </xf>
    <xf numFmtId="0" fontId="24" fillId="0" borderId="0" xfId="11" applyFont="1" applyFill="1" applyBorder="1" applyAlignment="1" applyProtection="1">
      <alignment horizontal="center" wrapText="1"/>
    </xf>
    <xf numFmtId="4" fontId="24" fillId="0" borderId="0" xfId="11" applyNumberFormat="1" applyFont="1" applyFill="1" applyBorder="1" applyAlignment="1" applyProtection="1">
      <alignment horizontal="right"/>
    </xf>
    <xf numFmtId="0" fontId="24" fillId="0" borderId="0" xfId="11" applyFont="1" applyFill="1" applyBorder="1" applyAlignment="1" applyProtection="1">
      <alignment horizontal="center" wrapText="1"/>
      <protection locked="0"/>
    </xf>
    <xf numFmtId="0" fontId="24" fillId="0" borderId="0" xfId="11" applyFont="1" applyFill="1" applyBorder="1" applyAlignment="1" applyProtection="1">
      <alignment horizontal="center"/>
      <protection locked="0"/>
    </xf>
    <xf numFmtId="0" fontId="9" fillId="0" borderId="1" xfId="11" applyFont="1" applyFill="1" applyBorder="1" applyAlignment="1" applyProtection="1">
      <alignment horizontal="center" wrapText="1"/>
    </xf>
    <xf numFmtId="0" fontId="9" fillId="0" borderId="1" xfId="11" applyFont="1" applyFill="1" applyBorder="1" applyAlignment="1" applyProtection="1">
      <alignment horizontal="center"/>
    </xf>
    <xf numFmtId="2" fontId="9" fillId="0" borderId="1" xfId="11" applyNumberFormat="1" applyFont="1" applyFill="1" applyBorder="1" applyAlignment="1" applyProtection="1">
      <alignment horizontal="center"/>
      <protection locked="0"/>
    </xf>
    <xf numFmtId="0" fontId="9" fillId="0" borderId="1" xfId="11" applyFont="1" applyFill="1" applyBorder="1" applyAlignment="1" applyProtection="1">
      <alignment horizontal="center"/>
      <protection locked="0"/>
    </xf>
    <xf numFmtId="0" fontId="9" fillId="0" borderId="4" xfId="11" applyFont="1" applyFill="1" applyBorder="1" applyAlignment="1" applyProtection="1">
      <alignment horizontal="center" wrapText="1"/>
    </xf>
    <xf numFmtId="0" fontId="9" fillId="0" borderId="6" xfId="11" applyFont="1" applyFill="1" applyBorder="1" applyAlignment="1" applyProtection="1">
      <alignment horizontal="center"/>
    </xf>
    <xf numFmtId="2" fontId="9" fillId="0" borderId="6" xfId="11" applyNumberFormat="1" applyFont="1" applyFill="1" applyBorder="1" applyAlignment="1" applyProtection="1">
      <alignment horizontal="center"/>
      <protection locked="0"/>
    </xf>
    <xf numFmtId="0" fontId="9" fillId="0" borderId="6" xfId="11" applyFont="1" applyFill="1" applyBorder="1" applyAlignment="1" applyProtection="1">
      <alignment horizontal="center"/>
      <protection locked="0"/>
    </xf>
    <xf numFmtId="0" fontId="9" fillId="0" borderId="4" xfId="11" applyFont="1" applyFill="1" applyBorder="1" applyAlignment="1" applyProtection="1">
      <alignment horizontal="center"/>
    </xf>
    <xf numFmtId="0" fontId="24" fillId="0" borderId="1" xfId="0" applyFont="1" applyFill="1" applyBorder="1"/>
    <xf numFmtId="0" fontId="10" fillId="0" borderId="1" xfId="0" applyNumberFormat="1" applyFont="1" applyFill="1" applyBorder="1" applyAlignment="1">
      <alignment horizontal="center"/>
    </xf>
    <xf numFmtId="180" fontId="24" fillId="9" borderId="1" xfId="6" applyNumberFormat="1" applyFont="1" applyFill="1" applyBorder="1" applyAlignment="1">
      <alignment horizontal="center" vertical="center"/>
    </xf>
    <xf numFmtId="180" fontId="13" fillId="9" borderId="1" xfId="6" applyNumberFormat="1" applyFont="1" applyFill="1" applyBorder="1" applyAlignment="1">
      <alignment horizontal="center" vertical="center"/>
    </xf>
    <xf numFmtId="10" fontId="13" fillId="9" borderId="1" xfId="14" applyNumberFormat="1" applyFont="1" applyFill="1" applyBorder="1" applyAlignment="1">
      <alignment horizontal="center" vertical="center" wrapText="1"/>
    </xf>
    <xf numFmtId="0" fontId="13" fillId="9" borderId="1" xfId="6" applyNumberFormat="1" applyFont="1" applyFill="1" applyBorder="1" applyAlignment="1">
      <alignment horizontal="center" vertical="center"/>
    </xf>
    <xf numFmtId="180" fontId="11" fillId="13" borderId="1" xfId="0" applyNumberFormat="1" applyFont="1" applyFill="1" applyBorder="1" applyAlignment="1">
      <alignment horizontal="right"/>
    </xf>
    <xf numFmtId="180" fontId="11" fillId="13" borderId="1" xfId="0" applyNumberFormat="1" applyFont="1" applyFill="1" applyBorder="1" applyAlignment="1">
      <alignment horizontal="center"/>
    </xf>
    <xf numFmtId="180" fontId="10" fillId="13" borderId="1" xfId="0" applyNumberFormat="1" applyFont="1" applyFill="1" applyBorder="1" applyAlignment="1">
      <alignment horizontal="center"/>
    </xf>
    <xf numFmtId="178" fontId="11" fillId="13" borderId="1" xfId="0" applyNumberFormat="1" applyFont="1" applyFill="1" applyBorder="1" applyAlignment="1">
      <alignment horizontal="center"/>
    </xf>
    <xf numFmtId="180" fontId="18" fillId="13" borderId="1" xfId="0" applyNumberFormat="1" applyFont="1" applyFill="1" applyBorder="1" applyAlignment="1">
      <alignment horizontal="right"/>
    </xf>
    <xf numFmtId="175" fontId="24" fillId="0" borderId="1" xfId="0" applyNumberFormat="1" applyFont="1" applyFill="1" applyBorder="1" applyAlignment="1">
      <alignment wrapText="1"/>
    </xf>
    <xf numFmtId="0" fontId="10" fillId="0" borderId="1" xfId="0" applyFont="1" applyBorder="1" applyAlignment="1">
      <alignment horizontal="center"/>
    </xf>
    <xf numFmtId="49" fontId="9" fillId="14" borderId="1" xfId="0" applyNumberFormat="1" applyFont="1" applyFill="1" applyBorder="1" applyAlignment="1">
      <alignment horizontal="center" vertical="center" wrapText="1"/>
    </xf>
    <xf numFmtId="0" fontId="9" fillId="14" borderId="1" xfId="0" applyFont="1" applyFill="1" applyBorder="1" applyAlignment="1">
      <alignment horizontal="center" vertical="center" wrapText="1"/>
    </xf>
    <xf numFmtId="2" fontId="9" fillId="14" borderId="1" xfId="0" applyNumberFormat="1" applyFont="1" applyFill="1" applyBorder="1" applyAlignment="1">
      <alignment horizontal="center" vertical="center" wrapText="1"/>
    </xf>
    <xf numFmtId="0" fontId="10" fillId="0" borderId="0" xfId="0" applyFont="1" applyFill="1" applyBorder="1" applyAlignment="1">
      <alignment vertical="center"/>
    </xf>
    <xf numFmtId="3" fontId="10" fillId="0" borderId="1"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xf>
    <xf numFmtId="0" fontId="10" fillId="0" borderId="0" xfId="0" applyFont="1" applyBorder="1" applyAlignment="1">
      <alignment horizontal="center" vertical="center" wrapText="1"/>
    </xf>
    <xf numFmtId="175" fontId="10" fillId="0" borderId="0" xfId="0" applyNumberFormat="1" applyFont="1" applyFill="1" applyBorder="1" applyAlignment="1">
      <alignment horizontal="center"/>
    </xf>
    <xf numFmtId="2" fontId="10" fillId="0" borderId="0" xfId="0" applyNumberFormat="1" applyFont="1" applyFill="1" applyBorder="1" applyAlignment="1">
      <alignment horizontal="center"/>
    </xf>
    <xf numFmtId="3" fontId="9" fillId="0" borderId="0" xfId="0" applyNumberFormat="1" applyFont="1" applyFill="1" applyBorder="1" applyAlignment="1">
      <alignment horizontal="center" vertical="center"/>
    </xf>
    <xf numFmtId="3" fontId="10" fillId="0" borderId="0" xfId="0" applyNumberFormat="1" applyFont="1" applyFill="1" applyBorder="1" applyAlignment="1" applyProtection="1">
      <alignment horizontal="center" vertical="center"/>
      <protection locked="0"/>
    </xf>
    <xf numFmtId="3" fontId="10" fillId="0" borderId="0" xfId="0" applyNumberFormat="1" applyFont="1" applyFill="1" applyBorder="1" applyAlignment="1">
      <alignment vertical="center"/>
    </xf>
    <xf numFmtId="184" fontId="35" fillId="0" borderId="0" xfId="13" applyNumberFormat="1" applyFont="1" applyFill="1" applyBorder="1" applyAlignment="1">
      <alignment vertical="center"/>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xf>
    <xf numFmtId="173" fontId="10" fillId="0" borderId="1" xfId="0" applyNumberFormat="1" applyFont="1" applyFill="1" applyBorder="1" applyAlignment="1">
      <alignment horizontal="center" vertical="center"/>
    </xf>
    <xf numFmtId="180" fontId="10" fillId="0" borderId="1" xfId="0" applyNumberFormat="1" applyFont="1" applyFill="1" applyBorder="1" applyAlignment="1" applyProtection="1">
      <alignment horizontal="center" vertical="center"/>
      <protection locked="0"/>
    </xf>
    <xf numFmtId="173" fontId="10" fillId="0" borderId="0" xfId="0" applyNumberFormat="1" applyFont="1" applyFill="1" applyBorder="1" applyAlignment="1">
      <alignment vertical="center"/>
    </xf>
    <xf numFmtId="2" fontId="10" fillId="0" borderId="0" xfId="0" applyNumberFormat="1" applyFont="1" applyFill="1" applyBorder="1" applyAlignment="1">
      <alignment vertical="center"/>
    </xf>
    <xf numFmtId="0" fontId="10" fillId="0" borderId="1" xfId="0" applyFont="1" applyFill="1" applyBorder="1" applyAlignment="1">
      <alignment horizontal="justify" vertical="center" wrapText="1"/>
    </xf>
    <xf numFmtId="183" fontId="10" fillId="0" borderId="1" xfId="0" applyNumberFormat="1" applyFont="1" applyFill="1" applyBorder="1" applyAlignment="1" applyProtection="1">
      <alignment horizontal="center" vertical="center"/>
      <protection locked="0"/>
    </xf>
    <xf numFmtId="170" fontId="10" fillId="0" borderId="1" xfId="0" applyNumberFormat="1" applyFont="1" applyFill="1" applyBorder="1" applyAlignment="1" applyProtection="1">
      <alignment horizontal="center" vertical="center"/>
      <protection locked="0"/>
    </xf>
    <xf numFmtId="173" fontId="10" fillId="0" borderId="1" xfId="0" applyNumberFormat="1" applyFont="1" applyFill="1" applyBorder="1" applyAlignment="1" applyProtection="1">
      <alignment horizontal="center" vertical="center"/>
      <protection locked="0"/>
    </xf>
    <xf numFmtId="4" fontId="10" fillId="0" borderId="0" xfId="0" applyNumberFormat="1" applyFont="1" applyFill="1" applyBorder="1" applyAlignment="1">
      <alignment vertical="center"/>
    </xf>
    <xf numFmtId="173" fontId="10" fillId="0" borderId="0" xfId="0" applyNumberFormat="1" applyFont="1" applyFill="1" applyBorder="1" applyAlignment="1" applyProtection="1">
      <alignment horizontal="center" vertical="center"/>
      <protection locked="0"/>
    </xf>
    <xf numFmtId="0" fontId="10" fillId="0" borderId="1" xfId="12" applyFont="1" applyFill="1" applyBorder="1" applyAlignment="1">
      <alignment horizontal="justify" vertical="center" wrapText="1"/>
    </xf>
    <xf numFmtId="2" fontId="10" fillId="0" borderId="1" xfId="0" applyNumberFormat="1" applyFont="1" applyFill="1" applyBorder="1" applyAlignment="1" applyProtection="1">
      <alignment horizontal="center" vertical="center" wrapText="1"/>
      <protection locked="0"/>
    </xf>
    <xf numFmtId="173" fontId="10" fillId="0" borderId="1" xfId="0" applyNumberFormat="1" applyFont="1" applyFill="1" applyBorder="1" applyAlignment="1" applyProtection="1">
      <alignment horizontal="center" vertical="center" wrapText="1"/>
      <protection locked="0"/>
    </xf>
    <xf numFmtId="180" fontId="10" fillId="0" borderId="1" xfId="0" applyNumberFormat="1" applyFont="1" applyFill="1" applyBorder="1" applyAlignment="1" applyProtection="1">
      <alignment horizontal="center" vertical="center" wrapText="1"/>
      <protection locked="0"/>
    </xf>
    <xf numFmtId="0" fontId="10" fillId="0" borderId="0" xfId="13" applyFont="1" applyFill="1" applyBorder="1" applyAlignment="1">
      <alignment vertical="center"/>
    </xf>
    <xf numFmtId="184" fontId="38" fillId="0" borderId="0" xfId="13" applyNumberFormat="1" applyFont="1" applyFill="1" applyBorder="1" applyAlignment="1">
      <alignment vertical="center"/>
    </xf>
    <xf numFmtId="173" fontId="10" fillId="0" borderId="0" xfId="13" applyNumberFormat="1" applyFont="1" applyFill="1" applyBorder="1" applyAlignment="1">
      <alignment vertical="center"/>
    </xf>
    <xf numFmtId="3" fontId="10" fillId="0" borderId="0" xfId="13" applyNumberFormat="1" applyFont="1" applyFill="1" applyBorder="1" applyAlignment="1">
      <alignment horizontal="center" vertical="center"/>
    </xf>
    <xf numFmtId="173" fontId="10" fillId="0" borderId="1" xfId="0" applyNumberFormat="1" applyFont="1" applyFill="1" applyBorder="1" applyAlignment="1">
      <alignment horizontal="center" vertical="center" wrapText="1"/>
    </xf>
    <xf numFmtId="183" fontId="10" fillId="0" borderId="0" xfId="0" applyNumberFormat="1" applyFont="1" applyFill="1" applyBorder="1" applyAlignment="1">
      <alignment vertical="center"/>
    </xf>
    <xf numFmtId="0" fontId="9" fillId="0" borderId="0" xfId="13" applyFont="1" applyFill="1" applyBorder="1" applyAlignment="1">
      <alignment horizontal="center" vertical="center"/>
    </xf>
    <xf numFmtId="180" fontId="10" fillId="0" borderId="0" xfId="0" applyNumberFormat="1" applyFont="1" applyFill="1" applyBorder="1" applyAlignment="1">
      <alignment vertical="center"/>
    </xf>
    <xf numFmtId="0" fontId="10" fillId="0" borderId="0" xfId="0" applyFont="1" applyFill="1" applyAlignment="1">
      <alignment horizontal="left" vertical="center" wrapText="1"/>
    </xf>
    <xf numFmtId="0" fontId="10" fillId="0" borderId="0" xfId="0" applyFont="1" applyFill="1" applyAlignment="1">
      <alignment horizontal="center" vertical="center" wrapText="1"/>
    </xf>
    <xf numFmtId="0" fontId="10" fillId="0" borderId="0" xfId="0" applyNumberFormat="1" applyFont="1" applyFill="1" applyBorder="1" applyAlignment="1">
      <alignment horizontal="center" vertical="center"/>
    </xf>
    <xf numFmtId="0" fontId="9" fillId="0" borderId="0" xfId="0" applyFont="1" applyFill="1" applyBorder="1" applyAlignment="1">
      <alignment vertical="center"/>
    </xf>
    <xf numFmtId="3" fontId="9" fillId="0" borderId="0" xfId="0" applyNumberFormat="1" applyFont="1" applyFill="1" applyBorder="1" applyAlignment="1">
      <alignment vertical="center" wrapText="1"/>
    </xf>
    <xf numFmtId="0" fontId="10" fillId="0" borderId="0" xfId="0" applyFont="1" applyFill="1" applyBorder="1" applyAlignment="1">
      <alignment vertical="center" wrapText="1"/>
    </xf>
    <xf numFmtId="0" fontId="10" fillId="0" borderId="0" xfId="0" applyNumberFormat="1" applyFont="1" applyFill="1" applyBorder="1" applyAlignment="1">
      <alignment horizontal="center" vertical="center" wrapText="1"/>
    </xf>
    <xf numFmtId="0" fontId="10" fillId="0" borderId="0" xfId="0" applyFont="1" applyFill="1" applyBorder="1" applyAlignment="1">
      <alignment horizontal="justify" vertical="center" wrapText="1"/>
    </xf>
    <xf numFmtId="180" fontId="10" fillId="0" borderId="0" xfId="0" applyNumberFormat="1" applyFont="1" applyFill="1" applyBorder="1" applyAlignment="1" applyProtection="1">
      <alignment horizontal="center" vertical="center"/>
      <protection locked="0"/>
    </xf>
    <xf numFmtId="0" fontId="9" fillId="0" borderId="0" xfId="13" applyFont="1" applyFill="1" applyBorder="1" applyAlignment="1">
      <alignment horizontal="justify" vertical="center" wrapText="1"/>
    </xf>
    <xf numFmtId="180" fontId="9" fillId="0" borderId="0" xfId="0" applyNumberFormat="1" applyFont="1" applyFill="1" applyBorder="1" applyAlignment="1" applyProtection="1">
      <alignment horizontal="center" vertical="center"/>
      <protection locked="0"/>
    </xf>
    <xf numFmtId="0" fontId="9" fillId="0" borderId="0" xfId="0" applyNumberFormat="1" applyFont="1" applyFill="1" applyBorder="1" applyAlignment="1">
      <alignment horizontal="center" vertical="center"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justify" vertical="center"/>
    </xf>
    <xf numFmtId="2" fontId="10" fillId="0" borderId="0" xfId="0" applyNumberFormat="1" applyFont="1" applyFill="1" applyBorder="1" applyAlignment="1">
      <alignment horizontal="center" vertical="center" wrapText="1"/>
    </xf>
    <xf numFmtId="0" fontId="10" fillId="0" borderId="0" xfId="13" applyFont="1" applyFill="1" applyBorder="1" applyAlignment="1">
      <alignment horizontal="justify" vertical="center" wrapText="1"/>
    </xf>
    <xf numFmtId="173" fontId="10" fillId="0" borderId="0" xfId="0" applyNumberFormat="1" applyFont="1" applyFill="1" applyBorder="1" applyAlignment="1">
      <alignment horizontal="center" vertical="center"/>
    </xf>
    <xf numFmtId="3" fontId="9" fillId="0" borderId="0" xfId="0" applyNumberFormat="1" applyFont="1" applyFill="1" applyBorder="1" applyAlignment="1">
      <alignment vertical="center"/>
    </xf>
    <xf numFmtId="173" fontId="10"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1" fontId="10" fillId="0" borderId="0" xfId="0" applyNumberFormat="1" applyFont="1" applyFill="1" applyBorder="1" applyAlignment="1" applyProtection="1">
      <alignment horizontal="center" vertical="center"/>
      <protection locked="0"/>
    </xf>
    <xf numFmtId="0" fontId="9" fillId="0" borderId="0" xfId="0" applyFont="1" applyFill="1" applyBorder="1" applyAlignment="1">
      <alignment horizontal="center" vertical="center"/>
    </xf>
    <xf numFmtId="2" fontId="9" fillId="0" borderId="0" xfId="0" applyNumberFormat="1" applyFont="1" applyFill="1" applyBorder="1" applyAlignment="1">
      <alignment horizontal="center" vertical="center"/>
    </xf>
    <xf numFmtId="180" fontId="9" fillId="0" borderId="0" xfId="0" applyNumberFormat="1" applyFont="1" applyFill="1" applyBorder="1" applyAlignment="1">
      <alignment vertical="center"/>
    </xf>
    <xf numFmtId="49" fontId="10"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10" fillId="0" borderId="0" xfId="0" applyNumberFormat="1" applyFont="1" applyFill="1" applyBorder="1" applyAlignment="1">
      <alignment vertical="center"/>
    </xf>
    <xf numFmtId="180" fontId="10" fillId="0" borderId="0" xfId="13" applyNumberFormat="1" applyFont="1" applyFill="1" applyBorder="1" applyAlignment="1">
      <alignment horizontal="center" vertical="center"/>
    </xf>
    <xf numFmtId="183" fontId="10" fillId="0" borderId="0" xfId="0" applyNumberFormat="1" applyFont="1" applyFill="1" applyBorder="1" applyAlignment="1">
      <alignment horizontal="center" vertical="center"/>
    </xf>
    <xf numFmtId="180" fontId="10" fillId="0" borderId="0" xfId="0" applyNumberFormat="1" applyFont="1" applyFill="1" applyBorder="1" applyAlignment="1">
      <alignment horizontal="center" vertical="center"/>
    </xf>
    <xf numFmtId="184" fontId="10" fillId="0" borderId="0" xfId="13" applyNumberFormat="1" applyFont="1" applyFill="1" applyBorder="1" applyAlignment="1">
      <alignment horizontal="center" vertical="center"/>
    </xf>
    <xf numFmtId="183" fontId="9" fillId="0" borderId="0" xfId="13" applyNumberFormat="1" applyFont="1" applyFill="1" applyBorder="1" applyAlignment="1">
      <alignment vertical="center"/>
    </xf>
    <xf numFmtId="3" fontId="9" fillId="0" borderId="0" xfId="13" applyNumberFormat="1" applyFont="1" applyFill="1" applyBorder="1" applyAlignment="1">
      <alignment horizontal="center" vertical="center"/>
    </xf>
    <xf numFmtId="0" fontId="10" fillId="0" borderId="0" xfId="13" applyFont="1" applyFill="1" applyBorder="1" applyAlignment="1">
      <alignment horizontal="center" vertical="center"/>
    </xf>
    <xf numFmtId="2" fontId="10" fillId="0" borderId="0" xfId="0" applyNumberFormat="1" applyFont="1" applyFill="1" applyBorder="1" applyAlignment="1">
      <alignment horizontal="left" vertical="center"/>
    </xf>
    <xf numFmtId="2" fontId="10" fillId="0" borderId="0" xfId="0" applyNumberFormat="1" applyFont="1" applyFill="1" applyBorder="1" applyAlignment="1">
      <alignment horizontal="center" vertical="center"/>
    </xf>
    <xf numFmtId="2" fontId="10" fillId="0" borderId="0" xfId="0" applyNumberFormat="1" applyFont="1" applyFill="1" applyBorder="1" applyAlignment="1" applyProtection="1">
      <alignment horizontal="center" vertical="center"/>
      <protection locked="0"/>
    </xf>
    <xf numFmtId="180" fontId="10" fillId="0" borderId="0" xfId="0" applyNumberFormat="1" applyFont="1" applyFill="1" applyBorder="1" applyAlignment="1" applyProtection="1">
      <alignment vertical="center"/>
      <protection locked="0"/>
    </xf>
    <xf numFmtId="0" fontId="10" fillId="0" borderId="7" xfId="0" applyFont="1" applyFill="1" applyBorder="1" applyAlignment="1">
      <alignment horizontal="justify" vertical="center"/>
    </xf>
    <xf numFmtId="0" fontId="10" fillId="0" borderId="7" xfId="0" applyFont="1" applyFill="1" applyBorder="1" applyAlignment="1">
      <alignment horizontal="center" vertical="center"/>
    </xf>
    <xf numFmtId="180" fontId="10" fillId="0" borderId="7" xfId="0" applyNumberFormat="1" applyFont="1" applyFill="1" applyBorder="1" applyAlignment="1" applyProtection="1">
      <alignment horizontal="center" vertical="center"/>
      <protection locked="0"/>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175" fontId="10" fillId="0" borderId="7" xfId="6" applyNumberFormat="1" applyFont="1" applyBorder="1"/>
    <xf numFmtId="2" fontId="10" fillId="0" borderId="7" xfId="6" applyNumberFormat="1" applyFont="1" applyBorder="1" applyAlignment="1">
      <alignment horizontal="center"/>
    </xf>
    <xf numFmtId="0" fontId="10" fillId="0" borderId="7" xfId="6" applyFont="1" applyBorder="1" applyAlignment="1">
      <alignment horizontal="center"/>
    </xf>
    <xf numFmtId="170" fontId="10" fillId="0" borderId="7" xfId="6" applyNumberFormat="1" applyFont="1" applyBorder="1" applyAlignment="1">
      <alignment horizontal="center"/>
    </xf>
    <xf numFmtId="49" fontId="10" fillId="0" borderId="1" xfId="6" applyNumberFormat="1" applyFont="1" applyFill="1" applyBorder="1"/>
    <xf numFmtId="2" fontId="10" fillId="0" borderId="1" xfId="6" applyNumberFormat="1" applyFont="1" applyBorder="1" applyAlignment="1">
      <alignment horizontal="center"/>
    </xf>
    <xf numFmtId="49" fontId="10" fillId="0" borderId="1" xfId="6" applyNumberFormat="1" applyFont="1" applyBorder="1" applyAlignment="1">
      <alignment horizontal="center"/>
    </xf>
    <xf numFmtId="170" fontId="10" fillId="0" borderId="1" xfId="6" applyNumberFormat="1" applyFont="1" applyBorder="1" applyAlignment="1">
      <alignment horizontal="center"/>
    </xf>
    <xf numFmtId="0" fontId="10" fillId="0" borderId="1" xfId="6" applyFont="1" applyFill="1" applyBorder="1" applyAlignment="1">
      <alignment horizontal="center" vertical="center"/>
    </xf>
    <xf numFmtId="175" fontId="10" fillId="0" borderId="1" xfId="6" applyNumberFormat="1" applyFont="1" applyFill="1" applyBorder="1"/>
    <xf numFmtId="0" fontId="10" fillId="0" borderId="1" xfId="6" applyFont="1" applyBorder="1" applyAlignment="1">
      <alignment horizontal="center"/>
    </xf>
    <xf numFmtId="0" fontId="10" fillId="0" borderId="1" xfId="6" applyFont="1" applyBorder="1" applyAlignment="1">
      <alignment horizontal="left"/>
    </xf>
    <xf numFmtId="0" fontId="10" fillId="12" borderId="1" xfId="0" applyFont="1" applyFill="1" applyBorder="1" applyAlignment="1">
      <alignment horizontal="center"/>
    </xf>
    <xf numFmtId="175" fontId="10" fillId="12" borderId="1" xfId="0" applyNumberFormat="1" applyFont="1" applyFill="1" applyBorder="1"/>
    <xf numFmtId="49" fontId="10" fillId="0" borderId="20" xfId="6" applyNumberFormat="1" applyFont="1" applyBorder="1" applyAlignment="1">
      <alignment horizontal="center"/>
    </xf>
    <xf numFmtId="0" fontId="10" fillId="0" borderId="0" xfId="6" applyFont="1" applyFill="1" applyBorder="1" applyAlignment="1">
      <alignment horizontal="center"/>
    </xf>
    <xf numFmtId="0" fontId="10" fillId="0" borderId="0" xfId="26" applyFont="1" applyFill="1" applyBorder="1" applyAlignment="1">
      <alignment horizontal="justify" vertical="top" wrapText="1"/>
    </xf>
    <xf numFmtId="170" fontId="10" fillId="0" borderId="0" xfId="6" applyNumberFormat="1" applyFont="1" applyFill="1" applyBorder="1" applyAlignment="1">
      <alignment horizontal="center"/>
    </xf>
    <xf numFmtId="170" fontId="10" fillId="0" borderId="1" xfId="6" applyNumberFormat="1" applyFont="1" applyFill="1" applyBorder="1" applyAlignment="1">
      <alignment horizontal="center"/>
    </xf>
    <xf numFmtId="175" fontId="10" fillId="0" borderId="0" xfId="6" applyNumberFormat="1" applyFont="1" applyFill="1" applyBorder="1"/>
    <xf numFmtId="176" fontId="10" fillId="0" borderId="1" xfId="6" applyNumberFormat="1" applyFont="1" applyBorder="1" applyAlignment="1">
      <alignment horizontal="center"/>
    </xf>
    <xf numFmtId="176" fontId="10" fillId="0" borderId="1" xfId="0" applyNumberFormat="1" applyFont="1" applyBorder="1" applyAlignment="1">
      <alignment horizontal="center"/>
    </xf>
    <xf numFmtId="171" fontId="10" fillId="0" borderId="1" xfId="0" applyNumberFormat="1" applyFont="1" applyBorder="1" applyAlignment="1">
      <alignment horizontal="center"/>
    </xf>
    <xf numFmtId="185" fontId="10" fillId="0" borderId="0" xfId="25" applyNumberFormat="1" applyFont="1" applyFill="1" applyBorder="1" applyAlignment="1">
      <alignment vertical="center"/>
    </xf>
    <xf numFmtId="0" fontId="10" fillId="0" borderId="1" xfId="0" applyFont="1" applyFill="1" applyBorder="1" applyAlignment="1">
      <alignment horizontal="left" vertical="center" wrapText="1"/>
    </xf>
    <xf numFmtId="178" fontId="10" fillId="0" borderId="1" xfId="0" applyNumberFormat="1" applyFont="1" applyBorder="1" applyAlignment="1">
      <alignment horizontal="center"/>
    </xf>
    <xf numFmtId="175" fontId="10" fillId="12" borderId="1" xfId="0" applyNumberFormat="1" applyFont="1" applyFill="1" applyBorder="1" applyAlignment="1">
      <alignment horizontal="right" vertical="center"/>
    </xf>
    <xf numFmtId="49" fontId="10" fillId="0" borderId="1" xfId="0" applyNumberFormat="1" applyFont="1" applyFill="1" applyBorder="1" applyAlignment="1">
      <alignment horizontal="center" vertical="center"/>
    </xf>
    <xf numFmtId="175" fontId="10" fillId="12" borderId="1" xfId="0" applyNumberFormat="1" applyFont="1" applyFill="1" applyBorder="1" applyAlignment="1">
      <alignment vertical="center"/>
    </xf>
    <xf numFmtId="9" fontId="10" fillId="12" borderId="1" xfId="0" quotePrefix="1" applyNumberFormat="1" applyFont="1" applyFill="1" applyBorder="1" applyAlignment="1">
      <alignment horizontal="center" vertical="center"/>
    </xf>
    <xf numFmtId="0" fontId="10" fillId="0" borderId="1" xfId="0" applyFont="1" applyBorder="1" applyAlignment="1">
      <alignment horizontal="left" vertical="center"/>
    </xf>
    <xf numFmtId="9" fontId="10" fillId="12" borderId="1" xfId="0" applyNumberFormat="1" applyFont="1" applyFill="1" applyBorder="1" applyAlignment="1">
      <alignment horizontal="center" vertical="center"/>
    </xf>
    <xf numFmtId="0" fontId="10" fillId="0" borderId="0" xfId="5" applyFont="1" applyFill="1"/>
    <xf numFmtId="0" fontId="10" fillId="0" borderId="1" xfId="5" applyFont="1" applyFill="1" applyBorder="1" applyAlignment="1">
      <alignment horizontal="center"/>
    </xf>
    <xf numFmtId="175" fontId="10" fillId="0" borderId="1" xfId="5" applyNumberFormat="1" applyFont="1" applyFill="1" applyBorder="1"/>
    <xf numFmtId="170" fontId="10" fillId="0" borderId="1" xfId="5" applyNumberFormat="1" applyFont="1" applyFill="1" applyBorder="1" applyAlignment="1">
      <alignment horizontal="center"/>
    </xf>
    <xf numFmtId="0" fontId="10" fillId="0" borderId="1" xfId="5" applyFont="1" applyFill="1" applyBorder="1" applyAlignment="1">
      <alignment horizontal="left" vertical="center"/>
    </xf>
    <xf numFmtId="2" fontId="10" fillId="0" borderId="1" xfId="5" applyNumberFormat="1" applyFont="1" applyFill="1" applyBorder="1" applyAlignment="1">
      <alignment horizontal="center"/>
    </xf>
    <xf numFmtId="49" fontId="10" fillId="0" borderId="1" xfId="5" applyNumberFormat="1" applyFont="1" applyFill="1" applyBorder="1" applyAlignment="1">
      <alignment horizontal="center"/>
    </xf>
    <xf numFmtId="0" fontId="10" fillId="0" borderId="1" xfId="5" applyFont="1" applyFill="1" applyBorder="1" applyAlignment="1">
      <alignment horizontal="center" vertical="center"/>
    </xf>
    <xf numFmtId="186" fontId="10" fillId="12" borderId="1" xfId="0" applyNumberFormat="1" applyFont="1" applyFill="1" applyBorder="1" applyAlignment="1">
      <alignment horizontal="right"/>
    </xf>
    <xf numFmtId="9" fontId="10" fillId="12" borderId="1" xfId="0" applyNumberFormat="1" applyFont="1" applyFill="1" applyBorder="1" applyAlignment="1">
      <alignment horizontal="center"/>
    </xf>
    <xf numFmtId="0" fontId="10" fillId="0" borderId="0" xfId="0" applyFont="1" applyFill="1" applyAlignment="1">
      <alignment vertical="center"/>
    </xf>
    <xf numFmtId="170" fontId="10" fillId="0" borderId="1" xfId="0" applyNumberFormat="1" applyFont="1" applyFill="1" applyBorder="1" applyAlignment="1">
      <alignment horizontal="center" vertical="center"/>
    </xf>
    <xf numFmtId="170" fontId="10" fillId="0" borderId="1" xfId="0" applyNumberFormat="1" applyFont="1" applyBorder="1" applyAlignment="1">
      <alignment horizontal="center" vertical="center"/>
    </xf>
    <xf numFmtId="2" fontId="10" fillId="0" borderId="1" xfId="0" applyNumberFormat="1" applyFont="1" applyBorder="1" applyAlignment="1">
      <alignment horizontal="center"/>
    </xf>
    <xf numFmtId="49" fontId="10" fillId="0" borderId="20" xfId="0" applyNumberFormat="1" applyFont="1" applyBorder="1" applyAlignment="1">
      <alignment horizontal="center" vertical="center"/>
    </xf>
    <xf numFmtId="49" fontId="10" fillId="0" borderId="20" xfId="0" applyNumberFormat="1" applyFont="1" applyFill="1" applyBorder="1" applyAlignment="1">
      <alignment horizontal="center" vertical="center"/>
    </xf>
    <xf numFmtId="9" fontId="10" fillId="0" borderId="1" xfId="6" applyNumberFormat="1" applyFont="1" applyFill="1" applyBorder="1" applyAlignment="1">
      <alignment horizontal="center" vertical="center"/>
    </xf>
    <xf numFmtId="170" fontId="10" fillId="0" borderId="0" xfId="0" applyNumberFormat="1" applyFont="1" applyFill="1" applyBorder="1" applyAlignment="1">
      <alignment horizontal="center" vertical="center"/>
    </xf>
    <xf numFmtId="175" fontId="10" fillId="0" borderId="0" xfId="0" applyNumberFormat="1" applyFont="1" applyAlignment="1">
      <alignment horizontal="left" wrapText="1"/>
    </xf>
    <xf numFmtId="0" fontId="10" fillId="0" borderId="0" xfId="0" applyNumberFormat="1" applyFont="1" applyAlignment="1">
      <alignment horizontal="center"/>
    </xf>
    <xf numFmtId="180" fontId="10" fillId="0" borderId="0" xfId="0" applyNumberFormat="1" applyFont="1" applyAlignment="1">
      <alignment horizontal="center"/>
    </xf>
    <xf numFmtId="0" fontId="10" fillId="0" borderId="1" xfId="6" applyFont="1" applyBorder="1" applyAlignment="1">
      <alignment horizontal="justify"/>
    </xf>
    <xf numFmtId="0" fontId="10" fillId="0" borderId="1" xfId="6" applyFont="1" applyFill="1" applyBorder="1"/>
    <xf numFmtId="2" fontId="10" fillId="0" borderId="1" xfId="6" applyNumberFormat="1" applyFont="1" applyFill="1" applyBorder="1" applyAlignment="1">
      <alignment horizontal="center"/>
    </xf>
    <xf numFmtId="49" fontId="10" fillId="0" borderId="20" xfId="6" applyNumberFormat="1" applyFont="1" applyFill="1" applyBorder="1" applyAlignment="1">
      <alignment horizontal="center"/>
    </xf>
    <xf numFmtId="0" fontId="10" fillId="0" borderId="0" xfId="6" applyFont="1" applyAlignment="1">
      <alignment horizontal="center"/>
    </xf>
    <xf numFmtId="170" fontId="10" fillId="0" borderId="0" xfId="6" applyNumberFormat="1" applyFont="1" applyAlignment="1">
      <alignment horizontal="center"/>
    </xf>
    <xf numFmtId="0" fontId="9" fillId="0" borderId="0" xfId="26" applyFont="1" applyFill="1" applyBorder="1" applyAlignment="1">
      <alignment horizontal="justify" vertical="top" wrapText="1"/>
    </xf>
    <xf numFmtId="175" fontId="10" fillId="0" borderId="1" xfId="6" applyNumberFormat="1" applyFont="1" applyBorder="1"/>
    <xf numFmtId="0" fontId="10" fillId="0" borderId="1" xfId="6" applyFont="1" applyFill="1" applyBorder="1" applyAlignment="1"/>
    <xf numFmtId="0" fontId="45" fillId="11" borderId="1" xfId="0" applyFont="1" applyFill="1" applyBorder="1" applyAlignment="1">
      <alignment horizontal="center" vertical="center" wrapText="1"/>
    </xf>
    <xf numFmtId="49" fontId="10" fillId="0" borderId="1" xfId="0" applyNumberFormat="1" applyFont="1" applyBorder="1"/>
    <xf numFmtId="0" fontId="10" fillId="0" borderId="0" xfId="0" applyFont="1" applyAlignment="1">
      <alignment vertical="center"/>
    </xf>
    <xf numFmtId="175" fontId="10" fillId="0" borderId="1" xfId="6" applyNumberFormat="1" applyFont="1" applyBorder="1" applyAlignment="1">
      <alignment horizontal="left" vertical="center"/>
    </xf>
    <xf numFmtId="0" fontId="10" fillId="0" borderId="1" xfId="6" applyFont="1" applyBorder="1" applyAlignment="1">
      <alignment horizontal="center" vertical="center"/>
    </xf>
    <xf numFmtId="170" fontId="10" fillId="0" borderId="1" xfId="6" applyNumberFormat="1" applyFont="1" applyFill="1" applyBorder="1" applyAlignment="1">
      <alignment horizontal="center" vertical="center"/>
    </xf>
    <xf numFmtId="170" fontId="10" fillId="0" borderId="1" xfId="6" applyNumberFormat="1" applyFont="1" applyBorder="1" applyAlignment="1">
      <alignment horizontal="center" vertical="center"/>
    </xf>
    <xf numFmtId="49" fontId="10" fillId="0" borderId="1" xfId="6" applyNumberFormat="1" applyFont="1" applyFill="1" applyBorder="1" applyAlignment="1">
      <alignment horizontal="center" vertical="center"/>
    </xf>
    <xf numFmtId="49" fontId="10" fillId="0" borderId="1" xfId="6" applyNumberFormat="1" applyFont="1" applyBorder="1" applyAlignment="1">
      <alignment horizontal="center" vertical="center"/>
    </xf>
    <xf numFmtId="0" fontId="10" fillId="0" borderId="1" xfId="6" applyFont="1" applyFill="1" applyBorder="1" applyAlignment="1">
      <alignment vertical="center"/>
    </xf>
    <xf numFmtId="2" fontId="10" fillId="0" borderId="1" xfId="6" applyNumberFormat="1" applyFont="1" applyFill="1" applyBorder="1" applyAlignment="1">
      <alignment horizontal="center" vertical="center"/>
    </xf>
    <xf numFmtId="49" fontId="10" fillId="0" borderId="18" xfId="6" applyNumberFormat="1" applyFont="1" applyBorder="1" applyAlignment="1">
      <alignment vertical="center"/>
    </xf>
    <xf numFmtId="175" fontId="10" fillId="0" borderId="0" xfId="0" applyNumberFormat="1" applyFont="1" applyFill="1" applyBorder="1" applyAlignment="1">
      <alignment vertical="center"/>
    </xf>
    <xf numFmtId="49" fontId="10" fillId="0" borderId="0" xfId="6" applyNumberFormat="1" applyFont="1" applyBorder="1" applyAlignment="1">
      <alignment vertical="center"/>
    </xf>
    <xf numFmtId="49" fontId="24" fillId="0" borderId="1" xfId="0" applyNumberFormat="1" applyFont="1" applyBorder="1" applyAlignment="1">
      <alignment horizontal="center"/>
    </xf>
    <xf numFmtId="0" fontId="24" fillId="0" borderId="0" xfId="0" applyFont="1"/>
    <xf numFmtId="0" fontId="10" fillId="0" borderId="1" xfId="0" applyFont="1" applyFill="1" applyBorder="1" applyAlignment="1">
      <alignment vertical="center"/>
    </xf>
    <xf numFmtId="180" fontId="10" fillId="0" borderId="1" xfId="0" applyNumberFormat="1" applyFont="1" applyFill="1" applyBorder="1" applyAlignment="1">
      <alignment vertical="center"/>
    </xf>
    <xf numFmtId="0" fontId="10" fillId="0" borderId="18" xfId="0" applyFont="1" applyFill="1" applyBorder="1" applyAlignment="1">
      <alignment vertical="center" wrapText="1"/>
    </xf>
    <xf numFmtId="0" fontId="24" fillId="0" borderId="1" xfId="0" applyFont="1" applyBorder="1" applyAlignment="1">
      <alignment wrapText="1"/>
    </xf>
    <xf numFmtId="0" fontId="24" fillId="0" borderId="1" xfId="0" applyFont="1" applyBorder="1" applyAlignment="1">
      <alignment vertical="center"/>
    </xf>
    <xf numFmtId="0" fontId="31" fillId="15" borderId="1" xfId="6" applyNumberFormat="1" applyFont="1" applyFill="1" applyBorder="1" applyAlignment="1">
      <alignment horizontal="center" vertical="center"/>
    </xf>
    <xf numFmtId="180" fontId="13" fillId="15" borderId="1" xfId="6" applyNumberFormat="1" applyFont="1" applyFill="1" applyBorder="1" applyAlignment="1">
      <alignment vertical="center"/>
    </xf>
    <xf numFmtId="9" fontId="13" fillId="15" borderId="1" xfId="15" applyFont="1" applyFill="1" applyBorder="1" applyAlignment="1">
      <alignment horizontal="center" vertical="center"/>
    </xf>
    <xf numFmtId="0" fontId="12" fillId="0" borderId="2" xfId="27" applyFont="1" applyFill="1" applyBorder="1" applyAlignment="1">
      <alignment horizontal="left" vertical="center"/>
    </xf>
    <xf numFmtId="185" fontId="12" fillId="0" borderId="1" xfId="25" applyNumberFormat="1" applyFont="1" applyBorder="1" applyAlignment="1">
      <alignment horizontal="center" vertical="center"/>
    </xf>
    <xf numFmtId="3" fontId="12" fillId="0" borderId="0" xfId="27" applyNumberFormat="1" applyFont="1" applyBorder="1" applyAlignment="1">
      <alignment vertical="center"/>
    </xf>
    <xf numFmtId="0" fontId="24" fillId="0" borderId="0" xfId="6" applyFont="1" applyAlignment="1">
      <alignment horizontal="center" vertical="center" wrapText="1"/>
    </xf>
    <xf numFmtId="0" fontId="46" fillId="0" borderId="1" xfId="27" applyFont="1" applyFill="1" applyBorder="1" applyAlignment="1">
      <alignment horizontal="center" vertical="center"/>
    </xf>
    <xf numFmtId="0" fontId="24" fillId="0" borderId="0" xfId="6" applyFont="1" applyBorder="1" applyAlignment="1">
      <alignment horizontal="center" vertical="center" wrapText="1"/>
    </xf>
    <xf numFmtId="0" fontId="25" fillId="0" borderId="0" xfId="27" applyFont="1" applyFill="1" applyAlignment="1">
      <alignment vertical="center"/>
    </xf>
    <xf numFmtId="0" fontId="25" fillId="0" borderId="0" xfId="27" applyFont="1" applyFill="1" applyBorder="1" applyAlignment="1">
      <alignment vertical="center"/>
    </xf>
    <xf numFmtId="0" fontId="25" fillId="0" borderId="1" xfId="27" applyFont="1" applyFill="1" applyBorder="1" applyAlignment="1">
      <alignment vertical="center"/>
    </xf>
    <xf numFmtId="169" fontId="25" fillId="0" borderId="1" xfId="25" applyFont="1" applyFill="1" applyBorder="1" applyAlignment="1">
      <alignment vertical="center"/>
    </xf>
    <xf numFmtId="0" fontId="25" fillId="0" borderId="0" xfId="27" applyFont="1" applyAlignment="1">
      <alignment vertical="center"/>
    </xf>
    <xf numFmtId="0" fontId="25" fillId="0" borderId="1" xfId="27" applyFont="1" applyBorder="1" applyAlignment="1">
      <alignment vertical="center"/>
    </xf>
    <xf numFmtId="0" fontId="12" fillId="0" borderId="1" xfId="27" applyFont="1" applyFill="1" applyBorder="1" applyAlignment="1">
      <alignment vertical="center"/>
    </xf>
    <xf numFmtId="10" fontId="25" fillId="0" borderId="1" xfId="25" applyNumberFormat="1" applyFont="1" applyFill="1" applyBorder="1" applyAlignment="1">
      <alignment vertical="center"/>
    </xf>
    <xf numFmtId="185" fontId="25" fillId="0" borderId="0" xfId="27" applyNumberFormat="1" applyFont="1" applyFill="1" applyAlignment="1">
      <alignment vertical="center"/>
    </xf>
    <xf numFmtId="0" fontId="12" fillId="0" borderId="1" xfId="27" applyFont="1" applyFill="1" applyBorder="1" applyAlignment="1">
      <alignment horizontal="center" vertical="center"/>
    </xf>
    <xf numFmtId="0" fontId="12" fillId="0" borderId="1" xfId="27" applyFont="1" applyFill="1" applyBorder="1" applyAlignment="1">
      <alignment horizontal="center" vertical="center" wrapText="1"/>
    </xf>
    <xf numFmtId="169" fontId="25" fillId="0" borderId="1" xfId="27" applyNumberFormat="1" applyFont="1" applyFill="1" applyBorder="1" applyAlignment="1">
      <alignment horizontal="right" vertical="center"/>
    </xf>
    <xf numFmtId="185" fontId="25" fillId="0" borderId="0" xfId="25" applyNumberFormat="1" applyFont="1" applyFill="1" applyAlignment="1">
      <alignment vertical="center"/>
    </xf>
    <xf numFmtId="185" fontId="25" fillId="0" borderId="1" xfId="27" applyNumberFormat="1" applyFont="1" applyFill="1" applyBorder="1" applyAlignment="1">
      <alignment vertical="center"/>
    </xf>
    <xf numFmtId="185" fontId="25" fillId="0" borderId="1" xfId="27" applyNumberFormat="1" applyFont="1" applyFill="1" applyBorder="1" applyAlignment="1">
      <alignment horizontal="center" vertical="center"/>
    </xf>
    <xf numFmtId="185" fontId="25" fillId="0" borderId="1" xfId="25" applyNumberFormat="1" applyFont="1" applyFill="1" applyBorder="1" applyAlignment="1">
      <alignment vertical="center"/>
    </xf>
    <xf numFmtId="0" fontId="13" fillId="2" borderId="1" xfId="28" applyNumberFormat="1" applyFont="1" applyFill="1" applyBorder="1" applyAlignment="1">
      <alignment horizontal="center" vertical="center"/>
    </xf>
    <xf numFmtId="0" fontId="9" fillId="12" borderId="1" xfId="28" applyNumberFormat="1" applyFont="1" applyFill="1" applyBorder="1" applyAlignment="1">
      <alignment horizontal="center" vertical="center"/>
    </xf>
    <xf numFmtId="0" fontId="10" fillId="0" borderId="1" xfId="28" applyNumberFormat="1" applyFont="1" applyBorder="1" applyAlignment="1">
      <alignment horizontal="center" vertical="center"/>
    </xf>
    <xf numFmtId="0" fontId="10" fillId="0" borderId="1" xfId="28" applyNumberFormat="1" applyFont="1" applyFill="1" applyBorder="1" applyAlignment="1">
      <alignment horizontal="center" vertical="center"/>
    </xf>
    <xf numFmtId="0" fontId="10" fillId="12" borderId="1" xfId="28" applyNumberFormat="1" applyFont="1" applyFill="1" applyBorder="1" applyAlignment="1">
      <alignment horizontal="center" vertical="center"/>
    </xf>
    <xf numFmtId="0" fontId="10" fillId="0" borderId="0" xfId="28" applyNumberFormat="1" applyFont="1" applyAlignment="1">
      <alignment vertical="center"/>
    </xf>
    <xf numFmtId="0" fontId="9" fillId="12" borderId="1" xfId="28" applyNumberFormat="1" applyFont="1" applyFill="1" applyBorder="1" applyAlignment="1">
      <alignment horizontal="center" vertical="center" wrapText="1"/>
    </xf>
    <xf numFmtId="0" fontId="10" fillId="0" borderId="1" xfId="28" applyNumberFormat="1" applyFont="1" applyBorder="1" applyAlignment="1">
      <alignment horizontal="center" vertical="center" wrapText="1"/>
    </xf>
    <xf numFmtId="0" fontId="10" fillId="0" borderId="1" xfId="28" applyNumberFormat="1" applyFont="1" applyFill="1" applyBorder="1" applyAlignment="1">
      <alignment horizontal="center" vertical="center" wrapText="1"/>
    </xf>
    <xf numFmtId="0" fontId="10" fillId="12" borderId="1" xfId="28" applyNumberFormat="1" applyFont="1" applyFill="1" applyBorder="1" applyAlignment="1">
      <alignment horizontal="center" vertical="center" wrapText="1"/>
    </xf>
    <xf numFmtId="0" fontId="10" fillId="0" borderId="0" xfId="28" applyNumberFormat="1" applyFont="1" applyAlignment="1">
      <alignment vertical="center" wrapText="1"/>
    </xf>
    <xf numFmtId="0" fontId="10" fillId="0" borderId="7" xfId="28" applyNumberFormat="1" applyFont="1" applyBorder="1" applyAlignment="1">
      <alignment horizontal="center" vertical="center"/>
    </xf>
    <xf numFmtId="0" fontId="13" fillId="2" borderId="1" xfId="28" applyNumberFormat="1" applyFont="1" applyFill="1" applyBorder="1" applyAlignment="1">
      <alignment horizontal="center" vertical="center" wrapText="1"/>
    </xf>
    <xf numFmtId="0" fontId="13" fillId="0" borderId="1" xfId="28" applyNumberFormat="1" applyFont="1" applyFill="1" applyBorder="1" applyAlignment="1">
      <alignment horizontal="center" vertical="center" wrapText="1"/>
    </xf>
    <xf numFmtId="0" fontId="10" fillId="0" borderId="0" xfId="28" applyNumberFormat="1" applyFont="1" applyAlignment="1">
      <alignment horizontal="center" vertical="center"/>
    </xf>
    <xf numFmtId="0" fontId="10" fillId="0" borderId="0" xfId="28" applyNumberFormat="1" applyFont="1" applyFill="1" applyBorder="1" applyAlignment="1">
      <alignment horizontal="center" vertical="center" wrapText="1"/>
    </xf>
    <xf numFmtId="49" fontId="13" fillId="2" borderId="1" xfId="28" applyNumberFormat="1" applyFont="1" applyFill="1" applyBorder="1" applyAlignment="1">
      <alignment horizontal="center" vertical="center"/>
    </xf>
    <xf numFmtId="0" fontId="10" fillId="0" borderId="1" xfId="0" applyFont="1" applyBorder="1" applyAlignment="1">
      <alignment horizontal="left" vertical="center" wrapText="1"/>
    </xf>
    <xf numFmtId="176" fontId="10" fillId="0" borderId="1" xfId="0" applyNumberFormat="1" applyFont="1" applyBorder="1" applyAlignment="1">
      <alignment horizontal="center" vertical="center"/>
    </xf>
    <xf numFmtId="170" fontId="10" fillId="0" borderId="1" xfId="0" applyNumberFormat="1" applyFont="1" applyFill="1" applyBorder="1" applyAlignment="1">
      <alignment vertical="center"/>
    </xf>
    <xf numFmtId="0" fontId="42" fillId="0" borderId="1" xfId="0" applyFont="1" applyFill="1" applyBorder="1" applyAlignment="1">
      <alignment vertical="center" wrapText="1"/>
    </xf>
    <xf numFmtId="0" fontId="10" fillId="0" borderId="1" xfId="5" applyFont="1" applyBorder="1" applyAlignment="1">
      <alignment horizontal="center"/>
    </xf>
    <xf numFmtId="0" fontId="10" fillId="0" borderId="1" xfId="5" applyFont="1" applyBorder="1"/>
    <xf numFmtId="180" fontId="10" fillId="0" borderId="1" xfId="5" applyNumberFormat="1" applyFont="1" applyBorder="1" applyAlignment="1">
      <alignment horizontal="center"/>
    </xf>
    <xf numFmtId="0" fontId="25" fillId="0" borderId="42" xfId="9" applyFont="1" applyFill="1" applyBorder="1" applyAlignment="1">
      <alignment vertical="center"/>
    </xf>
    <xf numFmtId="49" fontId="25" fillId="0" borderId="24" xfId="9" applyNumberFormat="1" applyFont="1" applyFill="1" applyBorder="1" applyAlignment="1">
      <alignment horizontal="center" vertical="center"/>
    </xf>
    <xf numFmtId="49" fontId="25" fillId="0" borderId="5" xfId="9" applyNumberFormat="1" applyFont="1" applyFill="1" applyBorder="1" applyAlignment="1">
      <alignment vertical="center"/>
    </xf>
    <xf numFmtId="2" fontId="25" fillId="0" borderId="5" xfId="9" applyNumberFormat="1" applyFont="1" applyFill="1" applyBorder="1" applyAlignment="1">
      <alignment horizontal="center" vertical="center"/>
    </xf>
    <xf numFmtId="4" fontId="25" fillId="0" borderId="5" xfId="9" applyNumberFormat="1" applyFont="1" applyFill="1" applyBorder="1" applyAlignment="1">
      <alignment horizontal="center" vertical="center"/>
    </xf>
    <xf numFmtId="3" fontId="25" fillId="0" borderId="5" xfId="9" applyNumberFormat="1" applyFont="1" applyFill="1" applyBorder="1" applyAlignment="1">
      <alignment horizontal="center" vertical="center"/>
    </xf>
    <xf numFmtId="10" fontId="25" fillId="0" borderId="5" xfId="9" applyNumberFormat="1" applyFont="1" applyFill="1" applyBorder="1" applyAlignment="1">
      <alignment horizontal="center" vertical="center"/>
    </xf>
    <xf numFmtId="3" fontId="25" fillId="0" borderId="25" xfId="9" applyNumberFormat="1" applyFont="1" applyBorder="1" applyAlignment="1">
      <alignment vertical="center"/>
    </xf>
    <xf numFmtId="185" fontId="24" fillId="0" borderId="1" xfId="25" applyNumberFormat="1" applyFont="1" applyFill="1" applyBorder="1" applyAlignment="1" applyProtection="1">
      <alignment horizontal="right"/>
      <protection locked="0"/>
    </xf>
    <xf numFmtId="185" fontId="24" fillId="0" borderId="20" xfId="25" applyNumberFormat="1" applyFont="1" applyFill="1" applyBorder="1" applyAlignment="1" applyProtection="1">
      <alignment horizontal="right"/>
    </xf>
    <xf numFmtId="185" fontId="24" fillId="0" borderId="1" xfId="25" applyNumberFormat="1" applyFont="1" applyFill="1" applyBorder="1" applyAlignment="1" applyProtection="1">
      <alignment horizontal="right"/>
    </xf>
    <xf numFmtId="185" fontId="24" fillId="0" borderId="5" xfId="25" applyNumberFormat="1" applyFont="1" applyFill="1" applyBorder="1" applyAlignment="1" applyProtection="1">
      <alignment horizontal="right"/>
    </xf>
    <xf numFmtId="185" fontId="24" fillId="0" borderId="21" xfId="25" applyNumberFormat="1" applyFont="1" applyFill="1" applyBorder="1" applyAlignment="1" applyProtection="1">
      <alignment horizontal="right"/>
    </xf>
    <xf numFmtId="0" fontId="10" fillId="0" borderId="1" xfId="0" applyFont="1" applyBorder="1" applyAlignment="1">
      <alignment horizontal="center" vertical="center"/>
    </xf>
    <xf numFmtId="0" fontId="10" fillId="0" borderId="1" xfId="0" applyFont="1" applyFill="1" applyBorder="1" applyAlignment="1">
      <alignment horizontal="center" vertical="center"/>
    </xf>
    <xf numFmtId="0" fontId="9" fillId="12" borderId="1" xfId="0" applyNumberFormat="1" applyFont="1" applyFill="1" applyBorder="1" applyAlignment="1">
      <alignment horizontal="center" vertical="center"/>
    </xf>
    <xf numFmtId="0" fontId="10" fillId="0" borderId="1" xfId="0" applyNumberFormat="1" applyFont="1" applyBorder="1" applyAlignment="1">
      <alignment horizontal="center" vertical="center"/>
    </xf>
    <xf numFmtId="0" fontId="10" fillId="0" borderId="1" xfId="0" applyFont="1" applyBorder="1" applyAlignment="1">
      <alignment vertical="center"/>
    </xf>
    <xf numFmtId="176" fontId="10" fillId="0" borderId="1" xfId="0" applyNumberFormat="1" applyFont="1" applyFill="1" applyBorder="1" applyAlignment="1">
      <alignment horizontal="center" vertical="center"/>
    </xf>
    <xf numFmtId="0" fontId="10" fillId="12" borderId="1" xfId="0" applyNumberFormat="1" applyFont="1" applyFill="1" applyBorder="1" applyAlignment="1">
      <alignment horizontal="center" vertical="center"/>
    </xf>
    <xf numFmtId="2" fontId="10" fillId="0" borderId="1" xfId="0" applyNumberFormat="1" applyFont="1" applyFill="1" applyBorder="1" applyAlignment="1">
      <alignment horizontal="center" vertical="center"/>
    </xf>
    <xf numFmtId="2" fontId="10" fillId="12" borderId="1" xfId="0" applyNumberFormat="1" applyFont="1" applyFill="1" applyBorder="1" applyAlignment="1">
      <alignment horizontal="center" vertical="center"/>
    </xf>
    <xf numFmtId="0" fontId="10" fillId="0" borderId="0" xfId="0" applyFont="1" applyAlignment="1">
      <alignment horizontal="center" vertical="center"/>
    </xf>
    <xf numFmtId="13" fontId="10" fillId="0" borderId="0" xfId="0" applyNumberFormat="1" applyFont="1" applyAlignment="1">
      <alignment horizontal="center" vertical="center"/>
    </xf>
    <xf numFmtId="170" fontId="10" fillId="0" borderId="0" xfId="0" applyNumberFormat="1" applyFont="1" applyAlignment="1">
      <alignment horizontal="center" vertical="center"/>
    </xf>
    <xf numFmtId="175" fontId="10" fillId="0" borderId="0" xfId="0" applyNumberFormat="1" applyFont="1" applyAlignment="1">
      <alignment vertical="center"/>
    </xf>
    <xf numFmtId="2" fontId="10" fillId="0" borderId="0" xfId="0" applyNumberFormat="1" applyFont="1" applyAlignment="1">
      <alignment vertical="center"/>
    </xf>
    <xf numFmtId="170" fontId="10" fillId="0" borderId="0" xfId="0" applyNumberFormat="1" applyFont="1" applyAlignment="1">
      <alignment vertical="center"/>
    </xf>
    <xf numFmtId="0" fontId="10" fillId="0" borderId="1" xfId="0" applyNumberFormat="1" applyFont="1" applyFill="1" applyBorder="1" applyAlignment="1">
      <alignment horizontal="center" vertical="center"/>
    </xf>
    <xf numFmtId="175" fontId="10" fillId="0" borderId="1" xfId="0" applyNumberFormat="1" applyFont="1" applyFill="1" applyBorder="1" applyAlignment="1">
      <alignment vertical="center"/>
    </xf>
    <xf numFmtId="49" fontId="10" fillId="0" borderId="1" xfId="0" applyNumberFormat="1" applyFont="1" applyBorder="1" applyAlignment="1">
      <alignment horizontal="center" vertical="center"/>
    </xf>
    <xf numFmtId="170" fontId="10" fillId="0" borderId="0" xfId="0" applyNumberFormat="1" applyFont="1" applyFill="1" applyAlignment="1">
      <alignment horizontal="center" vertical="center"/>
    </xf>
    <xf numFmtId="9" fontId="9" fillId="12" borderId="1" xfId="15" applyFont="1" applyFill="1" applyBorder="1" applyAlignment="1">
      <alignment horizontal="center" vertical="center" wrapText="1"/>
    </xf>
    <xf numFmtId="0" fontId="9" fillId="12" borderId="1" xfId="6" applyNumberFormat="1" applyFont="1" applyFill="1" applyBorder="1" applyAlignment="1">
      <alignment horizontal="center" vertical="center" wrapText="1"/>
    </xf>
    <xf numFmtId="180" fontId="9" fillId="12" borderId="1" xfId="6" applyNumberFormat="1" applyFont="1" applyFill="1" applyBorder="1" applyAlignment="1">
      <alignment horizontal="center" vertical="center" wrapText="1"/>
    </xf>
    <xf numFmtId="0" fontId="7" fillId="0" borderId="0" xfId="0" applyFont="1"/>
    <xf numFmtId="10" fontId="13" fillId="9" borderId="1" xfId="15" applyNumberFormat="1" applyFont="1" applyFill="1" applyBorder="1" applyAlignment="1">
      <alignment horizontal="center" vertical="center" wrapText="1"/>
    </xf>
    <xf numFmtId="10" fontId="13" fillId="15" borderId="1" xfId="15" applyNumberFormat="1" applyFont="1" applyFill="1" applyBorder="1" applyAlignment="1">
      <alignment horizontal="center" vertical="center"/>
    </xf>
    <xf numFmtId="0" fontId="10" fillId="0" borderId="1" xfId="12" quotePrefix="1" applyFont="1" applyFill="1" applyBorder="1" applyAlignment="1">
      <alignment horizontal="justify" vertical="center" wrapText="1"/>
    </xf>
    <xf numFmtId="0" fontId="30" fillId="0" borderId="0" xfId="0" applyFont="1" applyAlignment="1">
      <alignment vertical="center"/>
    </xf>
    <xf numFmtId="180" fontId="24" fillId="0" borderId="1" xfId="0" applyNumberFormat="1" applyFont="1" applyBorder="1" applyAlignment="1">
      <alignment horizontal="center" vertical="center"/>
    </xf>
    <xf numFmtId="0" fontId="24" fillId="0" borderId="0" xfId="0" applyFont="1" applyFill="1" applyAlignment="1">
      <alignment vertical="center"/>
    </xf>
    <xf numFmtId="0" fontId="24" fillId="0" borderId="0" xfId="0" applyFont="1" applyAlignment="1">
      <alignment vertical="center"/>
    </xf>
    <xf numFmtId="0" fontId="24" fillId="12" borderId="1" xfId="0" applyFont="1" applyFill="1" applyBorder="1" applyAlignment="1">
      <alignment horizontal="center" vertical="center"/>
    </xf>
    <xf numFmtId="49" fontId="24" fillId="0" borderId="1" xfId="0" applyNumberFormat="1" applyFont="1" applyBorder="1" applyAlignment="1">
      <alignment horizontal="center" vertical="center"/>
    </xf>
    <xf numFmtId="0" fontId="24" fillId="0" borderId="0" xfId="0" applyFont="1" applyFill="1" applyBorder="1" applyAlignment="1">
      <alignment vertical="center"/>
    </xf>
    <xf numFmtId="180" fontId="24" fillId="0" borderId="0" xfId="0" applyNumberFormat="1" applyFont="1" applyFill="1" applyBorder="1" applyAlignment="1">
      <alignment horizontal="center" vertical="center"/>
    </xf>
    <xf numFmtId="0" fontId="24" fillId="0" borderId="0" xfId="0" applyFont="1" applyFill="1" applyAlignment="1">
      <alignment horizontal="center"/>
    </xf>
    <xf numFmtId="0" fontId="24" fillId="0" borderId="0" xfId="0" applyFont="1" applyFill="1" applyAlignment="1">
      <alignment horizontal="left"/>
    </xf>
    <xf numFmtId="170" fontId="24" fillId="0" borderId="0" xfId="0" applyNumberFormat="1" applyFont="1" applyFill="1" applyAlignment="1">
      <alignment horizontal="center"/>
    </xf>
    <xf numFmtId="0" fontId="24" fillId="0" borderId="0" xfId="0" applyFont="1" applyFill="1"/>
    <xf numFmtId="2" fontId="45" fillId="11" borderId="1" xfId="0" applyNumberFormat="1" applyFont="1" applyFill="1" applyBorder="1" applyAlignment="1">
      <alignment horizontal="center" vertical="center"/>
    </xf>
    <xf numFmtId="0" fontId="24" fillId="0" borderId="1" xfId="0" applyFont="1" applyBorder="1" applyAlignment="1">
      <alignment horizontal="center" vertical="center"/>
    </xf>
    <xf numFmtId="180" fontId="11" fillId="16" borderId="1" xfId="0" applyNumberFormat="1" applyFont="1" applyFill="1" applyBorder="1" applyAlignment="1">
      <alignment horizontal="right"/>
    </xf>
    <xf numFmtId="165" fontId="25" fillId="0" borderId="1" xfId="27" applyNumberFormat="1" applyFont="1" applyFill="1" applyBorder="1" applyAlignment="1">
      <alignment vertical="center"/>
    </xf>
    <xf numFmtId="164" fontId="25" fillId="0" borderId="1" xfId="29" applyFont="1" applyFill="1" applyBorder="1" applyAlignment="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50" fillId="0" borderId="0" xfId="7" applyFont="1" applyFill="1"/>
    <xf numFmtId="0" fontId="0" fillId="0" borderId="1" xfId="0" applyBorder="1" applyAlignment="1">
      <alignment horizontal="center"/>
    </xf>
    <xf numFmtId="0" fontId="0" fillId="0" borderId="1" xfId="0" applyBorder="1" applyAlignment="1">
      <alignment wrapText="1"/>
    </xf>
    <xf numFmtId="0" fontId="0" fillId="0" borderId="1" xfId="0" applyBorder="1"/>
    <xf numFmtId="0" fontId="0" fillId="0" borderId="1" xfId="0" applyBorder="1" applyAlignment="1">
      <alignment horizontal="left" wrapText="1"/>
    </xf>
    <xf numFmtId="49" fontId="12" fillId="0" borderId="0" xfId="0" applyNumberFormat="1" applyFont="1" applyFill="1" applyBorder="1" applyAlignment="1">
      <alignment vertical="center" wrapText="1"/>
    </xf>
    <xf numFmtId="164" fontId="0" fillId="0" borderId="0" xfId="0" applyNumberFormat="1"/>
    <xf numFmtId="0" fontId="51" fillId="0" borderId="0" xfId="7" applyFont="1" applyFill="1" applyAlignment="1"/>
    <xf numFmtId="0" fontId="0" fillId="0" borderId="0" xfId="0" applyAlignment="1">
      <alignment horizontal="center" vertical="center"/>
    </xf>
    <xf numFmtId="0" fontId="7" fillId="0" borderId="0" xfId="0" applyFont="1" applyAlignment="1">
      <alignment horizontal="right"/>
    </xf>
    <xf numFmtId="175" fontId="7" fillId="0" borderId="0" xfId="0" applyNumberFormat="1" applyFont="1" applyAlignment="1"/>
    <xf numFmtId="180" fontId="7" fillId="0" borderId="0" xfId="0" applyNumberFormat="1" applyFont="1" applyFill="1" applyAlignment="1">
      <alignment horizontal="center"/>
    </xf>
    <xf numFmtId="2" fontId="53" fillId="18" borderId="44" xfId="30" applyNumberFormat="1" applyFont="1" applyFill="1" applyBorder="1" applyAlignment="1">
      <alignment horizontal="center" vertical="center"/>
    </xf>
    <xf numFmtId="2" fontId="53" fillId="18" borderId="45" xfId="30" applyNumberFormat="1" applyFont="1" applyFill="1" applyBorder="1" applyAlignment="1">
      <alignment horizontal="center" vertical="center" wrapText="1"/>
    </xf>
    <xf numFmtId="0" fontId="7" fillId="0" borderId="46" xfId="0" applyFont="1" applyFill="1" applyBorder="1" applyAlignment="1">
      <alignment horizontal="center" vertical="center"/>
    </xf>
    <xf numFmtId="0" fontId="7" fillId="0" borderId="1" xfId="0" applyFont="1" applyFill="1" applyBorder="1" applyAlignment="1">
      <alignment horizontal="justify" vertical="top"/>
    </xf>
    <xf numFmtId="181" fontId="7" fillId="0" borderId="47" xfId="0" applyNumberFormat="1" applyFont="1" applyFill="1" applyBorder="1" applyAlignment="1">
      <alignment horizontal="right" vertical="center"/>
    </xf>
    <xf numFmtId="181" fontId="7" fillId="17" borderId="47" xfId="0" applyNumberFormat="1" applyFont="1" applyFill="1" applyBorder="1" applyAlignment="1">
      <alignment horizontal="right" vertical="center"/>
    </xf>
    <xf numFmtId="0" fontId="7" fillId="0" borderId="1" xfId="0" applyFont="1" applyFill="1" applyBorder="1" applyAlignment="1">
      <alignment horizontal="justify" vertical="top" wrapText="1"/>
    </xf>
    <xf numFmtId="0" fontId="10" fillId="0" borderId="1" xfId="0" applyFont="1" applyFill="1" applyBorder="1" applyAlignment="1">
      <alignment horizontal="right"/>
    </xf>
    <xf numFmtId="0" fontId="10" fillId="0" borderId="1" xfId="0" applyFont="1" applyBorder="1" applyAlignment="1">
      <alignment wrapText="1"/>
    </xf>
    <xf numFmtId="175" fontId="7" fillId="0" borderId="1" xfId="0" applyNumberFormat="1" applyFont="1" applyBorder="1" applyAlignment="1"/>
    <xf numFmtId="175" fontId="7" fillId="0" borderId="1" xfId="0" applyNumberFormat="1" applyFont="1" applyFill="1" applyBorder="1" applyAlignment="1">
      <alignment horizontal="justify" vertical="top"/>
    </xf>
    <xf numFmtId="0" fontId="7" fillId="0" borderId="1" xfId="0" applyFont="1" applyBorder="1" applyAlignment="1">
      <alignment horizontal="right"/>
    </xf>
    <xf numFmtId="0" fontId="7" fillId="0" borderId="1" xfId="0" applyFont="1" applyBorder="1" applyAlignment="1">
      <alignment horizontal="center"/>
    </xf>
    <xf numFmtId="0" fontId="7" fillId="0" borderId="1" xfId="0" applyFont="1" applyFill="1" applyBorder="1" applyAlignment="1">
      <alignment horizontal="left" wrapText="1"/>
    </xf>
    <xf numFmtId="181" fontId="7" fillId="19" borderId="47" xfId="0" applyNumberFormat="1" applyFont="1" applyFill="1" applyBorder="1" applyAlignment="1">
      <alignment horizontal="right" vertical="center"/>
    </xf>
    <xf numFmtId="181" fontId="7" fillId="20" borderId="47" xfId="0" applyNumberFormat="1" applyFont="1" applyFill="1" applyBorder="1" applyAlignment="1">
      <alignment horizontal="right" vertical="center"/>
    </xf>
    <xf numFmtId="0" fontId="7" fillId="0" borderId="1" xfId="0" applyFont="1" applyBorder="1" applyAlignment="1">
      <alignment horizontal="right" wrapText="1"/>
    </xf>
    <xf numFmtId="0" fontId="30" fillId="0" borderId="1" xfId="0" applyFont="1" applyBorder="1" applyAlignment="1">
      <alignment horizontal="justify" vertical="center" wrapText="1"/>
    </xf>
    <xf numFmtId="0" fontId="7" fillId="0" borderId="20" xfId="0" applyFont="1" applyFill="1" applyBorder="1" applyAlignment="1">
      <alignment horizontal="center" vertical="center"/>
    </xf>
    <xf numFmtId="0" fontId="10" fillId="0" borderId="20" xfId="0" applyFont="1" applyFill="1" applyBorder="1" applyAlignment="1">
      <alignment horizontal="center"/>
    </xf>
    <xf numFmtId="0" fontId="7" fillId="0" borderId="1" xfId="0" applyFont="1" applyBorder="1" applyAlignment="1">
      <alignment horizontal="left"/>
    </xf>
    <xf numFmtId="181" fontId="7" fillId="0" borderId="48" xfId="0" applyNumberFormat="1" applyFont="1" applyFill="1" applyBorder="1" applyAlignment="1">
      <alignment horizontal="right" vertical="center"/>
    </xf>
    <xf numFmtId="0" fontId="7" fillId="10" borderId="46" xfId="0" applyFont="1" applyFill="1" applyBorder="1" applyAlignment="1">
      <alignment horizontal="center" vertical="center"/>
    </xf>
    <xf numFmtId="181" fontId="7" fillId="10" borderId="47" xfId="0" applyNumberFormat="1" applyFont="1" applyFill="1" applyBorder="1" applyAlignment="1">
      <alignment horizontal="right" vertical="center"/>
    </xf>
    <xf numFmtId="0" fontId="7" fillId="0" borderId="46" xfId="0" applyFont="1" applyFill="1" applyBorder="1" applyAlignment="1">
      <alignment horizontal="center" vertical="center" wrapText="1"/>
    </xf>
    <xf numFmtId="181" fontId="7" fillId="0" borderId="47" xfId="0" applyNumberFormat="1" applyFont="1" applyFill="1" applyBorder="1" applyAlignment="1">
      <alignment horizontal="right" vertical="center" wrapText="1"/>
    </xf>
    <xf numFmtId="0" fontId="7" fillId="0" borderId="49" xfId="0" applyFont="1" applyFill="1" applyBorder="1" applyAlignment="1">
      <alignment horizontal="right" wrapText="1"/>
    </xf>
    <xf numFmtId="0" fontId="7" fillId="0" borderId="50" xfId="0" applyFont="1" applyFill="1" applyBorder="1" applyAlignment="1">
      <alignment wrapText="1"/>
    </xf>
    <xf numFmtId="181" fontId="7" fillId="0" borderId="51" xfId="0" applyNumberFormat="1" applyFont="1" applyFill="1" applyBorder="1" applyAlignment="1">
      <alignment horizontal="right" vertical="center" wrapText="1"/>
    </xf>
    <xf numFmtId="0" fontId="7" fillId="0" borderId="4" xfId="0" applyFont="1" applyFill="1" applyBorder="1" applyAlignment="1">
      <alignment horizontal="justify" vertical="top"/>
    </xf>
    <xf numFmtId="0" fontId="7" fillId="10" borderId="4" xfId="0" applyFont="1" applyFill="1" applyBorder="1" applyAlignment="1">
      <alignment horizontal="justify" vertical="top"/>
    </xf>
    <xf numFmtId="0" fontId="7" fillId="0" borderId="4" xfId="0" applyFont="1" applyFill="1" applyBorder="1" applyAlignment="1">
      <alignment horizontal="justify" vertical="top" wrapText="1"/>
    </xf>
    <xf numFmtId="0" fontId="7" fillId="10" borderId="4" xfId="0" applyFont="1" applyFill="1" applyBorder="1" applyAlignment="1">
      <alignment horizontal="justify" vertical="top" wrapText="1"/>
    </xf>
    <xf numFmtId="0" fontId="10" fillId="0" borderId="4" xfId="0" applyFont="1" applyBorder="1" applyAlignment="1">
      <alignment wrapText="1"/>
    </xf>
    <xf numFmtId="175" fontId="7" fillId="0" borderId="4" xfId="0" applyNumberFormat="1" applyFont="1" applyBorder="1" applyAlignment="1"/>
    <xf numFmtId="175" fontId="7" fillId="0" borderId="4" xfId="0" applyNumberFormat="1" applyFont="1" applyFill="1" applyBorder="1" applyAlignment="1">
      <alignment horizontal="justify" vertical="top"/>
    </xf>
    <xf numFmtId="0" fontId="7" fillId="0" borderId="4" xfId="0" applyFont="1" applyFill="1" applyBorder="1" applyAlignment="1">
      <alignment horizontal="left" wrapText="1"/>
    </xf>
    <xf numFmtId="0" fontId="30" fillId="0" borderId="4" xfId="0" applyFont="1" applyBorder="1" applyAlignment="1">
      <alignment horizontal="justify" vertical="center" wrapText="1"/>
    </xf>
    <xf numFmtId="0" fontId="30" fillId="10" borderId="4" xfId="0" applyFont="1" applyFill="1" applyBorder="1" applyAlignment="1">
      <alignment horizontal="justify" vertical="center" wrapText="1"/>
    </xf>
    <xf numFmtId="0" fontId="7" fillId="0" borderId="4" xfId="0" applyFont="1" applyBorder="1" applyAlignment="1">
      <alignment horizontal="left"/>
    </xf>
    <xf numFmtId="0" fontId="10" fillId="0" borderId="4" xfId="0" applyFont="1" applyBorder="1"/>
    <xf numFmtId="175" fontId="7" fillId="0" borderId="4" xfId="0" applyNumberFormat="1" applyFont="1" applyFill="1" applyBorder="1" applyAlignment="1">
      <alignment horizontal="justify" vertical="top" wrapText="1"/>
    </xf>
    <xf numFmtId="2" fontId="53" fillId="18" borderId="6" xfId="30" applyNumberFormat="1" applyFont="1" applyFill="1" applyBorder="1" applyAlignment="1">
      <alignment horizontal="center" vertical="center"/>
    </xf>
    <xf numFmtId="0" fontId="7" fillId="0" borderId="18" xfId="0" applyFont="1" applyFill="1" applyBorder="1" applyAlignment="1">
      <alignment horizontal="justify" vertical="top" wrapText="1"/>
    </xf>
    <xf numFmtId="4" fontId="9" fillId="4" borderId="4" xfId="0" applyNumberFormat="1" applyFont="1" applyFill="1" applyBorder="1" applyAlignment="1">
      <alignment horizontal="center" vertical="center"/>
    </xf>
    <xf numFmtId="0" fontId="9" fillId="4" borderId="4" xfId="0" applyFont="1" applyFill="1" applyBorder="1" applyAlignment="1">
      <alignment horizontal="center" vertical="center"/>
    </xf>
    <xf numFmtId="0" fontId="9" fillId="5" borderId="4" xfId="0" applyFont="1" applyFill="1" applyBorder="1" applyAlignment="1">
      <alignment horizontal="right" vertical="center"/>
    </xf>
    <xf numFmtId="9" fontId="9" fillId="4" borderId="4" xfId="0" applyNumberFormat="1" applyFont="1" applyFill="1" applyBorder="1" applyAlignment="1">
      <alignment horizontal="right" vertical="center"/>
    </xf>
    <xf numFmtId="0" fontId="9" fillId="4" borderId="4" xfId="0" applyFont="1" applyFill="1" applyBorder="1" applyAlignment="1">
      <alignment horizontal="left" vertical="center"/>
    </xf>
    <xf numFmtId="0" fontId="9" fillId="4" borderId="20" xfId="0" applyFont="1" applyFill="1" applyBorder="1" applyAlignment="1">
      <alignment horizontal="center" vertical="center"/>
    </xf>
    <xf numFmtId="175" fontId="10" fillId="0" borderId="0" xfId="0" applyNumberFormat="1" applyFont="1"/>
    <xf numFmtId="4" fontId="10" fillId="0" borderId="0" xfId="0" applyNumberFormat="1" applyFont="1"/>
    <xf numFmtId="180" fontId="10" fillId="0" borderId="0" xfId="0" applyNumberFormat="1" applyFont="1" applyFill="1"/>
    <xf numFmtId="180" fontId="10" fillId="0" borderId="0" xfId="0" applyNumberFormat="1" applyFont="1"/>
    <xf numFmtId="0" fontId="9" fillId="2" borderId="1" xfId="0" applyFont="1" applyFill="1" applyBorder="1" applyAlignment="1">
      <alignment horizontal="center" vertical="center"/>
    </xf>
    <xf numFmtId="4" fontId="10" fillId="0" borderId="1" xfId="0" applyNumberFormat="1" applyFont="1" applyBorder="1" applyAlignment="1">
      <alignment horizontal="center"/>
    </xf>
    <xf numFmtId="170" fontId="10" fillId="5" borderId="1" xfId="0" applyNumberFormat="1" applyFont="1" applyFill="1" applyBorder="1" applyAlignment="1">
      <alignment horizontal="center"/>
    </xf>
    <xf numFmtId="170" fontId="10" fillId="0" borderId="1" xfId="0" applyNumberFormat="1" applyFont="1" applyFill="1" applyBorder="1" applyAlignment="1">
      <alignment horizontal="center"/>
    </xf>
    <xf numFmtId="0" fontId="58" fillId="0" borderId="1" xfId="0" applyFont="1" applyBorder="1" applyAlignment="1">
      <alignment horizontal="center"/>
    </xf>
    <xf numFmtId="0" fontId="10" fillId="2" borderId="1" xfId="0" applyFont="1" applyFill="1" applyBorder="1" applyAlignment="1">
      <alignment horizontal="center" vertical="center"/>
    </xf>
    <xf numFmtId="175" fontId="10" fillId="2" borderId="1" xfId="0" applyNumberFormat="1" applyFont="1" applyFill="1" applyBorder="1" applyAlignment="1">
      <alignment horizontal="right"/>
    </xf>
    <xf numFmtId="4" fontId="10" fillId="0" borderId="1" xfId="0" applyNumberFormat="1" applyFont="1" applyFill="1" applyBorder="1" applyAlignment="1">
      <alignment horizontal="center"/>
    </xf>
    <xf numFmtId="170" fontId="10" fillId="0" borderId="0" xfId="0" applyNumberFormat="1" applyFont="1" applyBorder="1" applyAlignment="1">
      <alignment horizontal="center"/>
    </xf>
    <xf numFmtId="4" fontId="10" fillId="2" borderId="1" xfId="0" applyNumberFormat="1" applyFont="1" applyFill="1" applyBorder="1" applyAlignment="1">
      <alignment horizontal="center"/>
    </xf>
    <xf numFmtId="0" fontId="10" fillId="0" borderId="1" xfId="0" applyFont="1" applyBorder="1" applyAlignment="1"/>
    <xf numFmtId="0" fontId="10" fillId="0" borderId="1" xfId="0" applyFont="1" applyBorder="1" applyAlignment="1">
      <alignment horizontal="right"/>
    </xf>
    <xf numFmtId="0" fontId="9" fillId="2" borderId="1" xfId="0" applyFont="1" applyFill="1" applyBorder="1" applyAlignment="1">
      <alignment horizontal="center"/>
    </xf>
    <xf numFmtId="179" fontId="10" fillId="0" borderId="1" xfId="0" applyNumberFormat="1" applyFont="1" applyBorder="1" applyAlignment="1">
      <alignment horizontal="center"/>
    </xf>
    <xf numFmtId="0" fontId="10" fillId="0" borderId="0" xfId="0" applyFont="1" applyFill="1" applyAlignment="1">
      <alignment horizontal="center"/>
    </xf>
    <xf numFmtId="0" fontId="10" fillId="0" borderId="0" xfId="0" applyFont="1" applyFill="1" applyAlignment="1">
      <alignment horizontal="left"/>
    </xf>
    <xf numFmtId="4" fontId="10" fillId="0" borderId="0" xfId="0" applyNumberFormat="1" applyFont="1" applyFill="1" applyAlignment="1">
      <alignment horizontal="center"/>
    </xf>
    <xf numFmtId="170" fontId="10" fillId="0" borderId="0" xfId="0" applyNumberFormat="1" applyFont="1" applyFill="1" applyAlignment="1">
      <alignment horizontal="center"/>
    </xf>
    <xf numFmtId="179" fontId="10" fillId="0" borderId="1" xfId="0" applyNumberFormat="1" applyFont="1" applyFill="1" applyBorder="1" applyAlignment="1">
      <alignment horizontal="center"/>
    </xf>
    <xf numFmtId="49" fontId="10" fillId="0" borderId="20" xfId="0" applyNumberFormat="1" applyFont="1" applyFill="1" applyBorder="1" applyAlignment="1">
      <alignment horizontal="center"/>
    </xf>
    <xf numFmtId="175" fontId="10" fillId="0" borderId="2" xfId="0" applyNumberFormat="1" applyFont="1" applyFill="1" applyBorder="1"/>
    <xf numFmtId="4" fontId="10" fillId="0" borderId="4" xfId="0" applyNumberFormat="1" applyFont="1" applyFill="1" applyBorder="1" applyAlignment="1">
      <alignment horizontal="center"/>
    </xf>
    <xf numFmtId="0" fontId="10" fillId="0" borderId="1" xfId="0" applyFont="1" applyFill="1" applyBorder="1" applyAlignment="1">
      <alignment wrapText="1"/>
    </xf>
    <xf numFmtId="0" fontId="7" fillId="0" borderId="1" xfId="0" applyFont="1" applyFill="1" applyBorder="1" applyAlignment="1">
      <alignment horizontal="left"/>
    </xf>
    <xf numFmtId="170" fontId="10" fillId="5" borderId="0" xfId="0" applyNumberFormat="1" applyFont="1" applyFill="1" applyAlignment="1">
      <alignment horizontal="center"/>
    </xf>
    <xf numFmtId="180" fontId="10" fillId="5" borderId="0" xfId="0" applyNumberFormat="1" applyFont="1" applyFill="1"/>
    <xf numFmtId="0" fontId="10" fillId="0" borderId="1" xfId="0" applyFont="1" applyFill="1" applyBorder="1" applyAlignment="1">
      <alignment horizontal="left" wrapText="1"/>
    </xf>
    <xf numFmtId="0" fontId="9" fillId="17" borderId="1" xfId="0" applyFont="1" applyFill="1" applyBorder="1" applyAlignment="1">
      <alignment horizontal="center"/>
    </xf>
    <xf numFmtId="4" fontId="58" fillId="0" borderId="0" xfId="0" applyNumberFormat="1" applyFont="1"/>
    <xf numFmtId="0" fontId="48" fillId="12" borderId="11" xfId="7" applyFont="1" applyFill="1" applyBorder="1" applyAlignment="1">
      <alignment horizontal="center" vertical="center" wrapText="1"/>
    </xf>
    <xf numFmtId="0" fontId="48" fillId="12" borderId="1" xfId="7" applyFont="1" applyFill="1" applyBorder="1" applyAlignment="1">
      <alignment horizontal="center" vertical="center" wrapText="1"/>
    </xf>
    <xf numFmtId="0" fontId="48" fillId="12" borderId="15" xfId="7" applyFont="1" applyFill="1" applyBorder="1" applyAlignment="1">
      <alignment horizontal="center" vertical="center" wrapText="1"/>
    </xf>
    <xf numFmtId="0" fontId="48" fillId="12" borderId="4" xfId="7"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185" fontId="10" fillId="0" borderId="1" xfId="25" applyNumberFormat="1" applyFont="1" applyBorder="1" applyAlignment="1">
      <alignment horizontal="center" vertical="center" wrapText="1"/>
    </xf>
    <xf numFmtId="0" fontId="59" fillId="14" borderId="4" xfId="7" applyFont="1" applyFill="1" applyBorder="1" applyAlignment="1">
      <alignment horizontal="center" vertical="center" wrapText="1"/>
    </xf>
    <xf numFmtId="185" fontId="48" fillId="0" borderId="16" xfId="25" applyNumberFormat="1" applyFont="1" applyBorder="1" applyAlignment="1">
      <alignment horizontal="center" vertical="center"/>
    </xf>
    <xf numFmtId="0" fontId="30" fillId="0" borderId="18" xfId="0" applyFont="1" applyFill="1" applyBorder="1" applyAlignment="1">
      <alignment horizontal="center" vertical="center" wrapText="1"/>
    </xf>
    <xf numFmtId="0" fontId="30" fillId="0" borderId="29" xfId="0" applyFont="1" applyBorder="1" applyAlignment="1">
      <alignment horizontal="justify" vertical="center" wrapText="1"/>
    </xf>
    <xf numFmtId="0" fontId="30" fillId="0" borderId="29" xfId="0" applyFont="1" applyBorder="1" applyAlignment="1">
      <alignment horizontal="center" vertical="center" wrapText="1"/>
    </xf>
    <xf numFmtId="167" fontId="30" fillId="0" borderId="29" xfId="28" applyNumberFormat="1" applyFont="1" applyBorder="1" applyAlignment="1">
      <alignment vertical="center" wrapText="1"/>
    </xf>
    <xf numFmtId="172" fontId="30" fillId="0" borderId="29" xfId="0" applyNumberFormat="1" applyFont="1" applyBorder="1" applyAlignment="1">
      <alignment horizontal="center" vertical="center" wrapText="1"/>
    </xf>
    <xf numFmtId="173" fontId="40" fillId="8" borderId="1" xfId="0" applyNumberFormat="1" applyFont="1" applyFill="1" applyBorder="1" applyAlignment="1">
      <alignment horizontal="center" vertical="center" wrapText="1"/>
    </xf>
    <xf numFmtId="181" fontId="61" fillId="0" borderId="15" xfId="7" applyNumberFormat="1" applyFont="1" applyFill="1" applyBorder="1" applyAlignment="1">
      <alignment horizontal="right" vertical="center" wrapText="1"/>
    </xf>
    <xf numFmtId="0" fontId="9" fillId="0" borderId="1" xfId="0" quotePrefix="1" applyFont="1" applyFill="1" applyBorder="1" applyAlignment="1">
      <alignment vertical="center" wrapText="1"/>
    </xf>
    <xf numFmtId="0" fontId="9" fillId="0" borderId="1" xfId="0" quotePrefix="1" applyFont="1" applyFill="1" applyBorder="1" applyAlignment="1">
      <alignment horizontal="center" vertical="center" wrapText="1"/>
    </xf>
    <xf numFmtId="9" fontId="9" fillId="0" borderId="1" xfId="0" applyNumberFormat="1" applyFont="1" applyFill="1" applyBorder="1" applyAlignment="1">
      <alignment vertical="center" wrapText="1"/>
    </xf>
    <xf numFmtId="0" fontId="9" fillId="0" borderId="1" xfId="0" applyFont="1" applyFill="1" applyBorder="1" applyAlignment="1">
      <alignment vertical="center" wrapText="1"/>
    </xf>
    <xf numFmtId="181" fontId="61" fillId="0" borderId="25" xfId="7" applyNumberFormat="1" applyFont="1" applyFill="1" applyBorder="1" applyAlignment="1">
      <alignment horizontal="right" vertical="center" wrapText="1"/>
    </xf>
    <xf numFmtId="181" fontId="61" fillId="0" borderId="16" xfId="7" applyNumberFormat="1" applyFont="1" applyFill="1" applyBorder="1" applyAlignment="1">
      <alignment horizontal="right" vertical="center" wrapText="1"/>
    </xf>
    <xf numFmtId="0" fontId="30" fillId="0" borderId="54" xfId="20" applyFont="1" applyFill="1" applyBorder="1" applyAlignment="1">
      <alignment horizontal="left" vertical="center" wrapText="1"/>
    </xf>
    <xf numFmtId="0" fontId="30" fillId="0" borderId="0" xfId="20" applyFont="1" applyFill="1" applyBorder="1" applyAlignment="1">
      <alignment horizontal="center" vertical="center" wrapText="1"/>
    </xf>
    <xf numFmtId="0" fontId="30" fillId="0" borderId="55" xfId="20" applyFont="1" applyFill="1" applyBorder="1" applyAlignment="1">
      <alignment horizontal="center" vertical="center" wrapText="1"/>
    </xf>
    <xf numFmtId="0" fontId="10" fillId="15" borderId="4" xfId="0" applyFont="1" applyFill="1" applyBorder="1" applyAlignment="1">
      <alignment horizontal="center" vertical="center" wrapText="1"/>
    </xf>
    <xf numFmtId="170" fontId="9" fillId="15" borderId="1" xfId="0" applyNumberFormat="1" applyFont="1" applyFill="1" applyBorder="1" applyAlignment="1" applyProtection="1">
      <alignment horizontal="center" vertical="center"/>
    </xf>
    <xf numFmtId="0" fontId="51" fillId="0" borderId="0" xfId="7" applyFont="1" applyFill="1"/>
    <xf numFmtId="0" fontId="62" fillId="0" borderId="6" xfId="7" applyFont="1" applyFill="1" applyBorder="1" applyAlignment="1">
      <alignment vertical="center" wrapText="1"/>
    </xf>
    <xf numFmtId="0" fontId="62" fillId="0" borderId="1" xfId="7" applyFont="1" applyFill="1" applyBorder="1" applyAlignment="1">
      <alignment horizontal="center" vertical="center" wrapText="1"/>
    </xf>
    <xf numFmtId="0" fontId="50" fillId="0" borderId="1" xfId="7" applyFont="1" applyFill="1" applyBorder="1" applyAlignment="1">
      <alignment horizontal="center"/>
    </xf>
    <xf numFmtId="0" fontId="50" fillId="0" borderId="1" xfId="7" applyFont="1" applyFill="1" applyBorder="1" applyAlignment="1" applyProtection="1">
      <alignment horizontal="left" vertical="center" wrapText="1"/>
    </xf>
    <xf numFmtId="0" fontId="50" fillId="0" borderId="1" xfId="7" applyFont="1" applyFill="1" applyBorder="1" applyAlignment="1" applyProtection="1">
      <alignment horizontal="center" vertical="center" wrapText="1"/>
    </xf>
    <xf numFmtId="181" fontId="50" fillId="0" borderId="1" xfId="7" applyNumberFormat="1" applyFont="1" applyFill="1" applyBorder="1" applyAlignment="1" applyProtection="1">
      <alignment horizontal="center" vertical="center" wrapText="1"/>
    </xf>
    <xf numFmtId="173" fontId="50" fillId="0" borderId="1" xfId="7" applyNumberFormat="1" applyFont="1" applyFill="1" applyBorder="1" applyAlignment="1" applyProtection="1">
      <alignment horizontal="center" vertical="center" wrapText="1"/>
    </xf>
    <xf numFmtId="0" fontId="62" fillId="0" borderId="1" xfId="7" applyFont="1" applyFill="1" applyBorder="1" applyAlignment="1" applyProtection="1">
      <alignment horizontal="center" vertical="center" wrapText="1"/>
    </xf>
    <xf numFmtId="2" fontId="50" fillId="0" borderId="1" xfId="7" applyNumberFormat="1" applyFont="1" applyFill="1" applyBorder="1" applyAlignment="1" applyProtection="1">
      <alignment horizontal="center" vertical="center" wrapText="1"/>
    </xf>
    <xf numFmtId="173" fontId="62" fillId="0" borderId="1" xfId="7" applyNumberFormat="1" applyFont="1" applyFill="1" applyBorder="1" applyAlignment="1" applyProtection="1">
      <alignment horizontal="center" vertical="center" wrapText="1"/>
    </xf>
    <xf numFmtId="0" fontId="24" fillId="0" borderId="1" xfId="7" applyFont="1" applyFill="1" applyBorder="1" applyAlignment="1" applyProtection="1">
      <alignment horizontal="justify" vertical="center" wrapText="1"/>
    </xf>
    <xf numFmtId="0" fontId="50" fillId="0" borderId="1" xfId="7" applyFont="1" applyFill="1" applyBorder="1" applyAlignment="1">
      <alignment horizontal="center" vertical="center" wrapText="1"/>
    </xf>
    <xf numFmtId="0" fontId="24" fillId="0" borderId="1" xfId="7" applyFont="1" applyFill="1" applyBorder="1" applyAlignment="1">
      <alignment horizontal="justify" vertical="center" wrapText="1"/>
    </xf>
    <xf numFmtId="0" fontId="24" fillId="0" borderId="1" xfId="0" applyFont="1" applyFill="1" applyBorder="1" applyAlignment="1">
      <alignment horizontal="justify"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173" fontId="24" fillId="0" borderId="1" xfId="0" applyNumberFormat="1" applyFont="1" applyFill="1" applyBorder="1" applyAlignment="1">
      <alignment horizontal="center" vertical="center" wrapText="1"/>
    </xf>
    <xf numFmtId="0" fontId="24" fillId="0" borderId="1" xfId="12" applyFont="1" applyFill="1" applyBorder="1" applyAlignment="1">
      <alignment horizontal="justify" vertical="center" wrapText="1"/>
    </xf>
    <xf numFmtId="2" fontId="25" fillId="0" borderId="1" xfId="0" applyNumberFormat="1" applyFont="1" applyFill="1" applyBorder="1" applyAlignment="1" applyProtection="1">
      <alignment horizontal="center" vertical="center" wrapText="1"/>
      <protection locked="0"/>
    </xf>
    <xf numFmtId="173" fontId="25" fillId="0" borderId="1" xfId="0" applyNumberFormat="1" applyFont="1" applyFill="1" applyBorder="1" applyAlignment="1" applyProtection="1">
      <alignment horizontal="center" vertical="center" wrapText="1"/>
      <protection locked="0"/>
    </xf>
    <xf numFmtId="180" fontId="25" fillId="0" borderId="1" xfId="0" applyNumberFormat="1" applyFont="1" applyFill="1" applyBorder="1" applyAlignment="1" applyProtection="1">
      <alignment horizontal="center" vertical="center" wrapText="1"/>
      <protection locked="0"/>
    </xf>
    <xf numFmtId="180" fontId="25" fillId="0" borderId="1" xfId="0" applyNumberFormat="1" applyFont="1" applyFill="1" applyBorder="1" applyAlignment="1" applyProtection="1">
      <alignment horizontal="center" vertical="center"/>
      <protection locked="0"/>
    </xf>
    <xf numFmtId="180" fontId="24" fillId="0" borderId="1" xfId="0" applyNumberFormat="1" applyFont="1" applyFill="1" applyBorder="1" applyAlignment="1" applyProtection="1">
      <alignment horizontal="center" vertical="center"/>
      <protection locked="0"/>
    </xf>
    <xf numFmtId="173" fontId="50" fillId="0" borderId="1" xfId="7" applyNumberFormat="1" applyFont="1" applyFill="1" applyBorder="1" applyAlignment="1">
      <alignment horizontal="center" vertical="center" wrapText="1"/>
    </xf>
    <xf numFmtId="2" fontId="62" fillId="0" borderId="1" xfId="7" applyNumberFormat="1" applyFont="1" applyFill="1" applyBorder="1" applyAlignment="1">
      <alignment horizontal="center" vertical="center" wrapText="1"/>
    </xf>
    <xf numFmtId="0" fontId="24" fillId="0" borderId="20" xfId="7" applyFont="1" applyFill="1" applyBorder="1" applyAlignment="1">
      <alignment horizontal="justify" vertical="center" wrapText="1"/>
    </xf>
    <xf numFmtId="2" fontId="50" fillId="0" borderId="1" xfId="7" applyNumberFormat="1" applyFont="1" applyFill="1" applyBorder="1" applyAlignment="1">
      <alignment horizontal="center" vertical="center" wrapText="1"/>
    </xf>
    <xf numFmtId="2" fontId="10" fillId="0" borderId="0" xfId="0" applyNumberFormat="1" applyFont="1"/>
    <xf numFmtId="176" fontId="11" fillId="10" borderId="1" xfId="0" applyNumberFormat="1" applyFont="1" applyFill="1" applyBorder="1" applyAlignment="1">
      <alignment horizontal="center"/>
    </xf>
    <xf numFmtId="0" fontId="9" fillId="2" borderId="1" xfId="0" applyFont="1" applyFill="1" applyBorder="1" applyAlignment="1">
      <alignment horizontal="center" vertical="center" wrapText="1"/>
    </xf>
    <xf numFmtId="170" fontId="10" fillId="0" borderId="1" xfId="0" applyNumberFormat="1" applyFont="1" applyFill="1" applyBorder="1" applyAlignment="1">
      <alignment horizontal="left"/>
    </xf>
    <xf numFmtId="175" fontId="10" fillId="0" borderId="1" xfId="0" applyNumberFormat="1" applyFont="1" applyBorder="1" applyAlignment="1">
      <alignment horizontal="left"/>
    </xf>
    <xf numFmtId="0" fontId="10" fillId="0" borderId="19" xfId="0" applyFont="1" applyFill="1" applyBorder="1" applyAlignment="1">
      <alignment horizontal="center"/>
    </xf>
    <xf numFmtId="170" fontId="10" fillId="0" borderId="0" xfId="0" applyNumberFormat="1" applyFont="1" applyFill="1" applyBorder="1" applyAlignment="1">
      <alignment horizontal="left"/>
    </xf>
    <xf numFmtId="180" fontId="10" fillId="0" borderId="0" xfId="0" applyNumberFormat="1" applyFont="1" applyFill="1" applyBorder="1" applyAlignment="1">
      <alignment horizontal="center"/>
    </xf>
    <xf numFmtId="180" fontId="10" fillId="0" borderId="1" xfId="0" applyNumberFormat="1" applyFont="1" applyBorder="1" applyAlignment="1">
      <alignment horizontal="center"/>
    </xf>
    <xf numFmtId="175" fontId="10" fillId="0" borderId="0" xfId="0" applyNumberFormat="1" applyFont="1" applyAlignment="1">
      <alignment horizontal="left"/>
    </xf>
    <xf numFmtId="2" fontId="10" fillId="0" borderId="0" xfId="0" applyNumberFormat="1" applyFont="1" applyAlignment="1">
      <alignment horizontal="center"/>
    </xf>
    <xf numFmtId="180" fontId="10" fillId="0" borderId="1" xfId="0" applyNumberFormat="1" applyFont="1" applyBorder="1" applyAlignment="1">
      <alignment horizontal="center" vertical="center"/>
    </xf>
    <xf numFmtId="175" fontId="10" fillId="0" borderId="0" xfId="0" applyNumberFormat="1" applyFont="1" applyFill="1" applyBorder="1" applyAlignment="1">
      <alignment wrapText="1"/>
    </xf>
    <xf numFmtId="175" fontId="10" fillId="0" borderId="0" xfId="0" applyNumberFormat="1" applyFont="1" applyFill="1" applyBorder="1"/>
    <xf numFmtId="2" fontId="9" fillId="2" borderId="1" xfId="0" applyNumberFormat="1" applyFont="1" applyFill="1" applyBorder="1" applyAlignment="1">
      <alignment horizontal="center" vertical="center"/>
    </xf>
    <xf numFmtId="2" fontId="10" fillId="2" borderId="1" xfId="0" applyNumberFormat="1" applyFont="1" applyFill="1" applyBorder="1" applyAlignment="1">
      <alignment horizontal="center" vertical="center"/>
    </xf>
    <xf numFmtId="180" fontId="10" fillId="0" borderId="0" xfId="0" applyNumberFormat="1" applyFont="1" applyAlignment="1">
      <alignment horizontal="center" vertical="center"/>
    </xf>
    <xf numFmtId="2" fontId="9" fillId="2" borderId="1" xfId="0" applyNumberFormat="1" applyFont="1" applyFill="1" applyBorder="1" applyAlignment="1">
      <alignment horizontal="center"/>
    </xf>
    <xf numFmtId="176" fontId="10" fillId="0" borderId="1" xfId="0" applyNumberFormat="1" applyFont="1" applyFill="1" applyBorder="1" applyAlignment="1">
      <alignment horizontal="center"/>
    </xf>
    <xf numFmtId="170" fontId="10" fillId="0" borderId="0" xfId="0" applyNumberFormat="1" applyFont="1" applyAlignment="1">
      <alignment horizontal="center"/>
    </xf>
    <xf numFmtId="0" fontId="10" fillId="0" borderId="0" xfId="0" applyFont="1" applyAlignment="1">
      <alignment horizontal="left"/>
    </xf>
    <xf numFmtId="2" fontId="24" fillId="0" borderId="1" xfId="0" applyNumberFormat="1" applyFont="1" applyBorder="1" applyAlignment="1">
      <alignment horizontal="center"/>
    </xf>
    <xf numFmtId="9" fontId="10" fillId="2" borderId="1" xfId="0" applyNumberFormat="1" applyFont="1" applyFill="1" applyBorder="1" applyAlignment="1">
      <alignment horizontal="center"/>
    </xf>
    <xf numFmtId="175" fontId="10" fillId="0" borderId="1" xfId="0" applyNumberFormat="1" applyFont="1" applyBorder="1" applyAlignment="1"/>
    <xf numFmtId="0" fontId="36" fillId="0" borderId="0" xfId="10" applyFont="1" applyFill="1" applyBorder="1" applyAlignment="1">
      <alignment horizontal="center" wrapText="1"/>
    </xf>
    <xf numFmtId="0" fontId="36" fillId="0" borderId="0" xfId="10" applyFont="1" applyFill="1" applyBorder="1" applyAlignment="1">
      <alignment horizontal="left" wrapText="1"/>
    </xf>
    <xf numFmtId="179" fontId="36" fillId="0" borderId="0" xfId="10" applyNumberFormat="1" applyFont="1" applyFill="1" applyBorder="1" applyAlignment="1">
      <alignment horizontal="right" wrapText="1"/>
    </xf>
    <xf numFmtId="170" fontId="36" fillId="0" borderId="0" xfId="10" applyNumberFormat="1" applyFont="1" applyFill="1" applyBorder="1" applyAlignment="1">
      <alignment horizontal="center" wrapText="1"/>
    </xf>
    <xf numFmtId="170" fontId="36" fillId="0" borderId="0" xfId="10" applyNumberFormat="1" applyFont="1" applyFill="1" applyBorder="1" applyAlignment="1">
      <alignment horizontal="right" wrapText="1"/>
    </xf>
    <xf numFmtId="170" fontId="36" fillId="0" borderId="0" xfId="10" applyNumberFormat="1" applyFont="1" applyFill="1" applyBorder="1" applyAlignment="1">
      <alignment horizontal="left" wrapText="1"/>
    </xf>
    <xf numFmtId="175" fontId="10" fillId="0" borderId="1" xfId="0" applyNumberFormat="1" applyFont="1" applyBorder="1"/>
    <xf numFmtId="175" fontId="10" fillId="0" borderId="1" xfId="0" applyNumberFormat="1" applyFont="1" applyFill="1" applyBorder="1" applyAlignment="1">
      <alignment vertical="center" wrapText="1"/>
    </xf>
    <xf numFmtId="2" fontId="10" fillId="0" borderId="1" xfId="0" applyNumberFormat="1" applyFont="1" applyBorder="1" applyAlignment="1">
      <alignment horizontal="center" vertical="center" wrapText="1"/>
    </xf>
    <xf numFmtId="170" fontId="10" fillId="0" borderId="1" xfId="0" applyNumberFormat="1" applyFont="1" applyBorder="1" applyAlignment="1">
      <alignment horizontal="center" vertical="center" wrapText="1"/>
    </xf>
    <xf numFmtId="170" fontId="10" fillId="0" borderId="1" xfId="0" applyNumberFormat="1" applyFont="1" applyFill="1" applyBorder="1" applyAlignment="1">
      <alignment vertical="center" wrapText="1"/>
    </xf>
    <xf numFmtId="0" fontId="10" fillId="0" borderId="2" xfId="0" applyFont="1" applyBorder="1" applyAlignment="1">
      <alignment horizontal="center"/>
    </xf>
    <xf numFmtId="49" fontId="9" fillId="0" borderId="0" xfId="0" applyNumberFormat="1" applyFont="1" applyFill="1" applyBorder="1" applyAlignment="1">
      <alignment horizontal="center" vertical="center" wrapText="1"/>
    </xf>
    <xf numFmtId="175" fontId="9" fillId="0" borderId="0" xfId="0" applyNumberFormat="1" applyFont="1" applyFill="1" applyBorder="1" applyAlignment="1">
      <alignment horizontal="left" vertical="center"/>
    </xf>
    <xf numFmtId="180" fontId="10" fillId="0" borderId="1" xfId="0" applyNumberFormat="1" applyFont="1" applyBorder="1"/>
    <xf numFmtId="0" fontId="10" fillId="0" borderId="7" xfId="0" applyFont="1" applyBorder="1" applyAlignment="1">
      <alignment horizontal="center"/>
    </xf>
    <xf numFmtId="175" fontId="10" fillId="0" borderId="7" xfId="0" applyNumberFormat="1" applyFont="1" applyBorder="1"/>
    <xf numFmtId="170" fontId="10" fillId="0" borderId="7" xfId="0" applyNumberFormat="1" applyFont="1" applyBorder="1" applyAlignment="1">
      <alignment horizontal="center"/>
    </xf>
    <xf numFmtId="188" fontId="10" fillId="0" borderId="1" xfId="0" applyNumberFormat="1" applyFont="1" applyBorder="1" applyAlignment="1">
      <alignment horizontal="center"/>
    </xf>
    <xf numFmtId="0" fontId="10" fillId="0" borderId="1" xfId="0" applyNumberFormat="1" applyFont="1" applyBorder="1" applyAlignment="1">
      <alignment horizontal="center"/>
    </xf>
    <xf numFmtId="178" fontId="10" fillId="0" borderId="1" xfId="0" applyNumberFormat="1" applyFont="1" applyFill="1" applyBorder="1" applyAlignment="1">
      <alignment horizontal="center"/>
    </xf>
    <xf numFmtId="0" fontId="7" fillId="0" borderId="0" xfId="0" applyFont="1" applyAlignment="1">
      <alignment horizontal="center"/>
    </xf>
    <xf numFmtId="175" fontId="7" fillId="0" borderId="1" xfId="0" applyNumberFormat="1" applyFont="1" applyBorder="1"/>
    <xf numFmtId="189" fontId="10" fillId="0" borderId="1" xfId="0" applyNumberFormat="1" applyFont="1" applyBorder="1" applyAlignment="1">
      <alignment horizontal="center"/>
    </xf>
    <xf numFmtId="2" fontId="45" fillId="11" borderId="1" xfId="0" applyNumberFormat="1" applyFont="1" applyFill="1" applyBorder="1" applyAlignment="1">
      <alignment horizontal="center"/>
    </xf>
    <xf numFmtId="2" fontId="9" fillId="2" borderId="1" xfId="0" applyNumberFormat="1" applyFont="1" applyFill="1" applyBorder="1" applyAlignment="1">
      <alignment horizontal="center" vertical="center" wrapText="1"/>
    </xf>
    <xf numFmtId="2" fontId="45" fillId="11" borderId="1" xfId="0" applyNumberFormat="1" applyFont="1" applyFill="1" applyBorder="1" applyAlignment="1">
      <alignment horizontal="center" vertical="center" wrapText="1"/>
    </xf>
    <xf numFmtId="175" fontId="10" fillId="0" borderId="0" xfId="0" applyNumberFormat="1" applyFont="1" applyFill="1"/>
    <xf numFmtId="2" fontId="10" fillId="0" borderId="0" xfId="0" applyNumberFormat="1" applyFont="1" applyFill="1"/>
    <xf numFmtId="0" fontId="7" fillId="0" borderId="1" xfId="0" applyFont="1" applyBorder="1"/>
    <xf numFmtId="0" fontId="7" fillId="0" borderId="7" xfId="0" applyFont="1" applyBorder="1"/>
    <xf numFmtId="0" fontId="10" fillId="0" borderId="0" xfId="0" applyNumberFormat="1" applyFont="1" applyFill="1" applyBorder="1" applyAlignment="1">
      <alignment horizontal="center"/>
    </xf>
    <xf numFmtId="175" fontId="9" fillId="0" borderId="5" xfId="0" applyNumberFormat="1" applyFont="1" applyFill="1" applyBorder="1" applyAlignment="1">
      <alignment horizontal="center"/>
    </xf>
    <xf numFmtId="1" fontId="10" fillId="0" borderId="1" xfId="0" applyNumberFormat="1" applyFont="1" applyFill="1" applyBorder="1" applyAlignment="1">
      <alignment horizontal="center"/>
    </xf>
    <xf numFmtId="0" fontId="45" fillId="11" borderId="1" xfId="0" applyFont="1" applyFill="1" applyBorder="1" applyAlignment="1">
      <alignment horizontal="center"/>
    </xf>
    <xf numFmtId="175" fontId="9" fillId="0" borderId="1" xfId="0" applyNumberFormat="1" applyFont="1" applyFill="1" applyBorder="1" applyAlignment="1">
      <alignment horizontal="center"/>
    </xf>
    <xf numFmtId="180" fontId="7" fillId="0" borderId="0" xfId="0" applyNumberFormat="1" applyFont="1"/>
    <xf numFmtId="175" fontId="7" fillId="0" borderId="0" xfId="0" applyNumberFormat="1" applyFont="1"/>
    <xf numFmtId="2" fontId="7" fillId="0" borderId="0" xfId="0" applyNumberFormat="1" applyFont="1"/>
    <xf numFmtId="180" fontId="10" fillId="0" borderId="0" xfId="0" applyNumberFormat="1" applyFont="1" applyFill="1" applyAlignment="1">
      <alignment horizontal="center"/>
    </xf>
    <xf numFmtId="170" fontId="7" fillId="0" borderId="0" xfId="0" applyNumberFormat="1" applyFont="1"/>
    <xf numFmtId="0" fontId="45" fillId="11" borderId="1" xfId="0" applyFont="1" applyFill="1" applyBorder="1" applyAlignment="1">
      <alignment horizontal="center" vertical="center"/>
    </xf>
    <xf numFmtId="49" fontId="10" fillId="0" borderId="1" xfId="0" applyNumberFormat="1" applyFont="1" applyFill="1" applyBorder="1" applyAlignment="1">
      <alignment wrapText="1"/>
    </xf>
    <xf numFmtId="9" fontId="10" fillId="0" borderId="1" xfId="0" applyNumberFormat="1" applyFont="1" applyFill="1" applyBorder="1" applyAlignment="1">
      <alignment horizontal="center"/>
    </xf>
    <xf numFmtId="0" fontId="9" fillId="0" borderId="0" xfId="0" applyFont="1" applyFill="1" applyBorder="1" applyAlignment="1">
      <alignment horizontal="center"/>
    </xf>
    <xf numFmtId="177" fontId="10" fillId="0" borderId="20" xfId="0" applyNumberFormat="1" applyFont="1" applyFill="1" applyBorder="1"/>
    <xf numFmtId="170" fontId="10" fillId="0" borderId="1" xfId="0" applyNumberFormat="1" applyFont="1" applyFill="1" applyBorder="1"/>
    <xf numFmtId="177" fontId="10" fillId="0" borderId="0" xfId="0" applyNumberFormat="1" applyFont="1" applyFill="1" applyBorder="1"/>
    <xf numFmtId="170" fontId="10" fillId="0" borderId="0" xfId="0" applyNumberFormat="1" applyFont="1" applyFill="1" applyBorder="1"/>
    <xf numFmtId="177" fontId="10" fillId="0" borderId="1" xfId="0" applyNumberFormat="1" applyFont="1" applyFill="1" applyBorder="1"/>
    <xf numFmtId="177" fontId="10" fillId="0" borderId="19" xfId="0" applyNumberFormat="1" applyFont="1" applyFill="1" applyBorder="1"/>
    <xf numFmtId="0" fontId="10" fillId="0" borderId="1" xfId="0" applyFont="1" applyBorder="1" applyAlignment="1">
      <alignment horizontal="justify"/>
    </xf>
    <xf numFmtId="170" fontId="10" fillId="0" borderId="2" xfId="0" applyNumberFormat="1" applyFont="1" applyBorder="1" applyAlignment="1">
      <alignment horizontal="center"/>
    </xf>
    <xf numFmtId="17" fontId="10" fillId="0" borderId="0" xfId="0" applyNumberFormat="1" applyFont="1" applyFill="1" applyBorder="1" applyAlignment="1">
      <alignment horizontal="center"/>
    </xf>
    <xf numFmtId="49" fontId="10" fillId="0" borderId="1" xfId="0" applyNumberFormat="1" applyFont="1" applyFill="1" applyBorder="1" applyAlignment="1"/>
    <xf numFmtId="170" fontId="10" fillId="0" borderId="1" xfId="0" applyNumberFormat="1" applyFont="1" applyFill="1" applyBorder="1" applyAlignment="1"/>
    <xf numFmtId="178" fontId="10" fillId="0" borderId="2" xfId="0" applyNumberFormat="1" applyFont="1" applyFill="1" applyBorder="1" applyAlignment="1">
      <alignment horizontal="center"/>
    </xf>
    <xf numFmtId="0" fontId="10" fillId="0" borderId="19" xfId="0" applyFont="1" applyFill="1" applyBorder="1" applyAlignment="1">
      <alignment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20" xfId="0" applyFont="1" applyFill="1" applyBorder="1" applyAlignment="1">
      <alignment horizontal="center" vertical="center"/>
    </xf>
    <xf numFmtId="180" fontId="10" fillId="0" borderId="1" xfId="0" applyNumberFormat="1" applyFont="1" applyFill="1" applyBorder="1" applyAlignment="1">
      <alignment horizontal="center" vertical="center"/>
    </xf>
    <xf numFmtId="175" fontId="10" fillId="2" borderId="1" xfId="0" applyNumberFormat="1" applyFont="1" applyFill="1" applyBorder="1" applyAlignment="1">
      <alignment vertical="center"/>
    </xf>
    <xf numFmtId="0" fontId="10" fillId="2" borderId="2" xfId="0" applyFont="1" applyFill="1" applyBorder="1" applyAlignment="1">
      <alignment horizontal="center" vertical="center"/>
    </xf>
    <xf numFmtId="0" fontId="10" fillId="0" borderId="19" xfId="0" applyFont="1" applyFill="1" applyBorder="1" applyAlignment="1">
      <alignment horizontal="center" vertical="center"/>
    </xf>
    <xf numFmtId="182" fontId="10" fillId="0" borderId="0" xfId="0" applyNumberFormat="1"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9" fillId="0" borderId="1" xfId="0" applyFont="1" applyFill="1" applyBorder="1" applyAlignment="1">
      <alignment horizontal="center" vertical="center" wrapText="1"/>
    </xf>
    <xf numFmtId="175" fontId="9" fillId="0" borderId="1" xfId="0" applyNumberFormat="1" applyFont="1" applyFill="1" applyBorder="1" applyAlignment="1">
      <alignment horizontal="left" vertical="center"/>
    </xf>
    <xf numFmtId="175" fontId="10" fillId="0" borderId="1" xfId="0" applyNumberFormat="1" applyFont="1" applyFill="1" applyBorder="1" applyAlignment="1">
      <alignment horizontal="left" vertical="top" wrapText="1"/>
    </xf>
    <xf numFmtId="176" fontId="10" fillId="0" borderId="1" xfId="0" applyNumberFormat="1" applyFont="1" applyFill="1" applyBorder="1" applyAlignment="1">
      <alignment horizontal="center" vertical="top" wrapText="1"/>
    </xf>
    <xf numFmtId="170" fontId="10" fillId="0" borderId="1" xfId="0" applyNumberFormat="1" applyFont="1" applyFill="1" applyBorder="1" applyAlignment="1">
      <alignment horizontal="left" vertical="top" wrapText="1"/>
    </xf>
    <xf numFmtId="0" fontId="10" fillId="2" borderId="2" xfId="0" applyFont="1" applyFill="1" applyBorder="1" applyAlignment="1">
      <alignment horizontal="center"/>
    </xf>
    <xf numFmtId="175" fontId="10" fillId="0" borderId="0" xfId="0" applyNumberFormat="1" applyFont="1" applyFill="1" applyBorder="1" applyAlignment="1">
      <alignment horizontal="right"/>
    </xf>
    <xf numFmtId="9" fontId="10" fillId="0" borderId="0" xfId="0" applyNumberFormat="1" applyFont="1" applyFill="1" applyBorder="1" applyAlignment="1">
      <alignment horizontal="center"/>
    </xf>
    <xf numFmtId="49" fontId="10" fillId="0" borderId="0" xfId="0" applyNumberFormat="1" applyFont="1" applyBorder="1" applyAlignment="1">
      <alignment horizontal="center" vertical="center"/>
    </xf>
    <xf numFmtId="170" fontId="10" fillId="0" borderId="0" xfId="0" applyNumberFormat="1" applyFont="1" applyBorder="1" applyAlignment="1">
      <alignment horizontal="center" vertical="center"/>
    </xf>
    <xf numFmtId="0" fontId="10" fillId="0" borderId="0" xfId="0" applyFont="1" applyBorder="1" applyAlignment="1">
      <alignment horizontal="left"/>
    </xf>
    <xf numFmtId="175" fontId="10" fillId="2" borderId="1" xfId="0" applyNumberFormat="1" applyFont="1" applyFill="1" applyBorder="1" applyAlignment="1">
      <alignment horizontal="right" vertical="center"/>
    </xf>
    <xf numFmtId="9" fontId="10" fillId="2" borderId="1" xfId="0" applyNumberFormat="1" applyFont="1" applyFill="1" applyBorder="1" applyAlignment="1">
      <alignment horizontal="center" vertical="center"/>
    </xf>
    <xf numFmtId="175" fontId="10" fillId="0" borderId="0" xfId="0" applyNumberFormat="1" applyFont="1" applyFill="1" applyBorder="1" applyAlignment="1">
      <alignment horizontal="right" vertical="center"/>
    </xf>
    <xf numFmtId="9" fontId="10" fillId="0" borderId="0" xfId="0" applyNumberFormat="1" applyFont="1" applyFill="1" applyBorder="1" applyAlignment="1">
      <alignment horizontal="center" vertical="center"/>
    </xf>
    <xf numFmtId="175" fontId="11" fillId="0" borderId="1" xfId="0" applyNumberFormat="1" applyFont="1" applyFill="1" applyBorder="1"/>
    <xf numFmtId="175" fontId="10" fillId="0" borderId="1" xfId="0" applyNumberFormat="1" applyFont="1" applyBorder="1" applyAlignment="1">
      <alignment wrapText="1"/>
    </xf>
    <xf numFmtId="173" fontId="10" fillId="0" borderId="1" xfId="0" applyNumberFormat="1" applyFont="1" applyBorder="1" applyAlignment="1">
      <alignment horizontal="center"/>
    </xf>
    <xf numFmtId="0" fontId="7" fillId="0" borderId="1" xfId="30" applyFont="1" applyFill="1" applyBorder="1" applyAlignment="1">
      <alignment horizontal="center" vertical="center"/>
    </xf>
    <xf numFmtId="3" fontId="7" fillId="0" borderId="1" xfId="30" applyNumberFormat="1" applyFont="1" applyFill="1" applyBorder="1" applyAlignment="1">
      <alignment horizontal="right" vertical="center"/>
    </xf>
    <xf numFmtId="175" fontId="10" fillId="2" borderId="1" xfId="0" applyNumberFormat="1" applyFont="1" applyFill="1" applyBorder="1" applyAlignment="1">
      <alignment wrapText="1"/>
    </xf>
    <xf numFmtId="49" fontId="10" fillId="0" borderId="1" xfId="0" applyNumberFormat="1" applyFont="1" applyFill="1" applyBorder="1" applyAlignment="1">
      <alignment vertical="center"/>
    </xf>
    <xf numFmtId="178" fontId="10" fillId="0" borderId="1" xfId="0" applyNumberFormat="1" applyFont="1" applyBorder="1" applyAlignment="1">
      <alignment horizontal="center" vertical="center"/>
    </xf>
    <xf numFmtId="0" fontId="10" fillId="0" borderId="0" xfId="20" applyNumberFormat="1" applyFont="1" applyAlignment="1">
      <alignment horizontal="center"/>
    </xf>
    <xf numFmtId="175" fontId="10" fillId="0" borderId="0" xfId="20" applyNumberFormat="1" applyFont="1"/>
    <xf numFmtId="2" fontId="10" fillId="0" borderId="0" xfId="20" applyNumberFormat="1" applyFont="1"/>
    <xf numFmtId="0" fontId="10" fillId="0" borderId="0" xfId="20" applyFont="1"/>
    <xf numFmtId="180" fontId="10" fillId="0" borderId="0" xfId="20" applyNumberFormat="1" applyFont="1"/>
    <xf numFmtId="0" fontId="10" fillId="0" borderId="0" xfId="20" applyNumberFormat="1" applyFont="1" applyFill="1" applyBorder="1" applyAlignment="1">
      <alignment horizontal="center"/>
    </xf>
    <xf numFmtId="175" fontId="10" fillId="0" borderId="0" xfId="20" applyNumberFormat="1" applyFont="1" applyFill="1" applyBorder="1" applyAlignment="1">
      <alignment horizontal="center"/>
    </xf>
    <xf numFmtId="2" fontId="10" fillId="0" borderId="0" xfId="20" applyNumberFormat="1" applyFont="1" applyFill="1" applyBorder="1" applyAlignment="1">
      <alignment horizontal="center"/>
    </xf>
    <xf numFmtId="0" fontId="10" fillId="0" borderId="0" xfId="20" applyFont="1" applyFill="1" applyBorder="1" applyAlignment="1">
      <alignment horizontal="center"/>
    </xf>
    <xf numFmtId="170" fontId="10" fillId="0" borderId="0" xfId="20" applyNumberFormat="1" applyFont="1" applyFill="1" applyBorder="1" applyAlignment="1">
      <alignment horizontal="center"/>
    </xf>
    <xf numFmtId="0" fontId="9" fillId="2" borderId="1" xfId="20" applyNumberFormat="1" applyFont="1" applyFill="1" applyBorder="1" applyAlignment="1">
      <alignment horizontal="center" vertical="center" wrapText="1"/>
    </xf>
    <xf numFmtId="0" fontId="10" fillId="0" borderId="1" xfId="20" applyNumberFormat="1" applyFont="1" applyFill="1" applyBorder="1" applyAlignment="1">
      <alignment horizontal="center"/>
    </xf>
    <xf numFmtId="175" fontId="10" fillId="0" borderId="1" xfId="20" applyNumberFormat="1" applyFont="1" applyFill="1" applyBorder="1" applyAlignment="1">
      <alignment horizontal="left"/>
    </xf>
    <xf numFmtId="2" fontId="10" fillId="0" borderId="1" xfId="20" applyNumberFormat="1" applyFont="1" applyFill="1" applyBorder="1" applyAlignment="1">
      <alignment horizontal="center"/>
    </xf>
    <xf numFmtId="0" fontId="10" fillId="0" borderId="1" xfId="20" applyFont="1" applyFill="1" applyBorder="1" applyAlignment="1">
      <alignment horizontal="center"/>
    </xf>
    <xf numFmtId="170" fontId="10" fillId="0" borderId="1" xfId="20" applyNumberFormat="1" applyFont="1" applyFill="1" applyBorder="1" applyAlignment="1">
      <alignment horizontal="center"/>
    </xf>
    <xf numFmtId="49" fontId="10" fillId="0" borderId="1" xfId="20" applyNumberFormat="1" applyFont="1" applyFill="1" applyBorder="1" applyAlignment="1">
      <alignment horizontal="center"/>
    </xf>
    <xf numFmtId="170" fontId="10" fillId="0" borderId="1" xfId="20" applyNumberFormat="1" applyFont="1" applyFill="1" applyBorder="1" applyAlignment="1">
      <alignment horizontal="left"/>
    </xf>
    <xf numFmtId="175" fontId="10" fillId="0" borderId="1" xfId="20" applyNumberFormat="1" applyFont="1" applyBorder="1" applyAlignment="1">
      <alignment horizontal="left"/>
    </xf>
    <xf numFmtId="0" fontId="10" fillId="2" borderId="1" xfId="20" applyNumberFormat="1" applyFont="1" applyFill="1" applyBorder="1" applyAlignment="1">
      <alignment horizontal="center"/>
    </xf>
    <xf numFmtId="175" fontId="10" fillId="2" borderId="1" xfId="20" applyNumberFormat="1" applyFont="1" applyFill="1" applyBorder="1"/>
    <xf numFmtId="2" fontId="10" fillId="2" borderId="1" xfId="20" applyNumberFormat="1" applyFont="1" applyFill="1" applyBorder="1" applyAlignment="1">
      <alignment horizontal="center"/>
    </xf>
    <xf numFmtId="0" fontId="10" fillId="0" borderId="19" xfId="20" applyFont="1" applyFill="1" applyBorder="1" applyAlignment="1">
      <alignment horizontal="center"/>
    </xf>
    <xf numFmtId="170" fontId="10" fillId="0" borderId="0" xfId="20" applyNumberFormat="1" applyFont="1" applyFill="1" applyBorder="1" applyAlignment="1">
      <alignment horizontal="left"/>
    </xf>
    <xf numFmtId="180" fontId="10" fillId="0" borderId="0" xfId="20" applyNumberFormat="1" applyFont="1" applyFill="1" applyBorder="1" applyAlignment="1">
      <alignment horizontal="center"/>
    </xf>
    <xf numFmtId="0" fontId="9" fillId="2" borderId="1" xfId="0" applyNumberFormat="1" applyFont="1" applyFill="1" applyBorder="1" applyAlignment="1">
      <alignment horizontal="center" vertical="center"/>
    </xf>
    <xf numFmtId="175" fontId="11" fillId="0" borderId="1" xfId="0" applyNumberFormat="1" applyFont="1" applyBorder="1" applyAlignment="1">
      <alignment horizontal="left"/>
    </xf>
    <xf numFmtId="2" fontId="11" fillId="0" borderId="1" xfId="0" applyNumberFormat="1" applyFont="1" applyFill="1" applyBorder="1" applyAlignment="1">
      <alignment horizontal="center"/>
    </xf>
    <xf numFmtId="0" fontId="11" fillId="0" borderId="1" xfId="0" applyNumberFormat="1" applyFont="1" applyBorder="1" applyAlignment="1">
      <alignment horizontal="center" vertical="center"/>
    </xf>
    <xf numFmtId="180" fontId="11" fillId="0" borderId="1" xfId="0" applyNumberFormat="1" applyFont="1" applyBorder="1" applyAlignment="1">
      <alignment horizontal="center"/>
    </xf>
    <xf numFmtId="0" fontId="11" fillId="0" borderId="1" xfId="0" applyFont="1" applyFill="1" applyBorder="1"/>
    <xf numFmtId="0" fontId="10" fillId="2" borderId="1" xfId="0" applyNumberFormat="1" applyFont="1" applyFill="1" applyBorder="1" applyAlignment="1">
      <alignment horizontal="center"/>
    </xf>
    <xf numFmtId="175" fontId="11" fillId="2" borderId="1" xfId="0" applyNumberFormat="1" applyFont="1" applyFill="1" applyBorder="1"/>
    <xf numFmtId="2" fontId="11" fillId="0" borderId="1" xfId="0" applyNumberFormat="1" applyFont="1" applyBorder="1" applyAlignment="1">
      <alignment horizontal="center"/>
    </xf>
    <xf numFmtId="2" fontId="11" fillId="2" borderId="1" xfId="0" applyNumberFormat="1" applyFont="1" applyFill="1" applyBorder="1" applyAlignment="1">
      <alignment horizontal="center"/>
    </xf>
    <xf numFmtId="0" fontId="11" fillId="0" borderId="0" xfId="0" applyFont="1" applyAlignment="1">
      <alignment horizontal="center"/>
    </xf>
    <xf numFmtId="180" fontId="11" fillId="0" borderId="0" xfId="0" applyNumberFormat="1" applyFont="1" applyAlignment="1">
      <alignment horizontal="center"/>
    </xf>
    <xf numFmtId="0" fontId="10" fillId="0" borderId="0" xfId="0" applyNumberFormat="1" applyFont="1" applyAlignment="1">
      <alignment horizontal="center" vertical="center"/>
    </xf>
    <xf numFmtId="175" fontId="11" fillId="0" borderId="0" xfId="0" applyNumberFormat="1" applyFont="1" applyAlignment="1">
      <alignment horizontal="left"/>
    </xf>
    <xf numFmtId="2" fontId="11" fillId="0" borderId="0" xfId="0" applyNumberFormat="1" applyFont="1" applyAlignment="1">
      <alignment horizontal="center"/>
    </xf>
    <xf numFmtId="0" fontId="11" fillId="0" borderId="0" xfId="0" applyNumberFormat="1" applyFont="1" applyFill="1" applyBorder="1" applyAlignment="1">
      <alignment horizontal="center" vertical="center"/>
    </xf>
    <xf numFmtId="2" fontId="11" fillId="0" borderId="0" xfId="0" applyNumberFormat="1" applyFont="1" applyFill="1" applyBorder="1" applyAlignment="1">
      <alignment horizontal="center" vertical="center"/>
    </xf>
    <xf numFmtId="0" fontId="11" fillId="0" borderId="0" xfId="0" applyFont="1" applyFill="1" applyBorder="1" applyAlignment="1">
      <alignment horizontal="center" vertical="center"/>
    </xf>
    <xf numFmtId="170" fontId="11" fillId="0" borderId="0" xfId="0" applyNumberFormat="1" applyFont="1" applyFill="1" applyBorder="1" applyAlignment="1">
      <alignment horizontal="center" vertical="center"/>
    </xf>
    <xf numFmtId="0" fontId="9" fillId="2" borderId="1" xfId="20" applyNumberFormat="1" applyFont="1" applyFill="1" applyBorder="1" applyAlignment="1">
      <alignment horizontal="center" vertical="center"/>
    </xf>
    <xf numFmtId="0" fontId="10" fillId="0" borderId="1" xfId="20" applyNumberFormat="1" applyFont="1" applyBorder="1" applyAlignment="1">
      <alignment horizontal="center" vertical="center"/>
    </xf>
    <xf numFmtId="0" fontId="10" fillId="2" borderId="1" xfId="0" applyNumberFormat="1" applyFont="1" applyFill="1" applyBorder="1" applyAlignment="1">
      <alignment horizontal="center" vertical="center"/>
    </xf>
    <xf numFmtId="2" fontId="11" fillId="2" borderId="1" xfId="0" applyNumberFormat="1" applyFont="1" applyFill="1" applyBorder="1" applyAlignment="1">
      <alignment horizontal="center" vertical="center"/>
    </xf>
    <xf numFmtId="175" fontId="10" fillId="0" borderId="0" xfId="0" applyNumberFormat="1" applyFont="1" applyAlignment="1">
      <alignment horizontal="left" vertical="center"/>
    </xf>
    <xf numFmtId="2" fontId="10" fillId="0" borderId="0" xfId="0" applyNumberFormat="1" applyFont="1" applyAlignment="1">
      <alignment horizontal="center" vertical="center"/>
    </xf>
    <xf numFmtId="0" fontId="10" fillId="0" borderId="1" xfId="20" applyFont="1" applyBorder="1" applyAlignment="1">
      <alignment horizontal="center"/>
    </xf>
    <xf numFmtId="2" fontId="10" fillId="0" borderId="1" xfId="20" applyNumberFormat="1" applyFont="1" applyBorder="1" applyAlignment="1">
      <alignment horizontal="center"/>
    </xf>
    <xf numFmtId="0" fontId="10" fillId="0" borderId="0" xfId="20" applyFont="1" applyAlignment="1">
      <alignment horizontal="center"/>
    </xf>
    <xf numFmtId="0" fontId="9" fillId="2" borderId="1" xfId="0" applyNumberFormat="1" applyFont="1" applyFill="1" applyBorder="1" applyAlignment="1">
      <alignment horizontal="center"/>
    </xf>
    <xf numFmtId="170" fontId="10" fillId="0" borderId="1" xfId="20" applyNumberFormat="1" applyFont="1" applyBorder="1" applyAlignment="1">
      <alignment horizontal="center"/>
    </xf>
    <xf numFmtId="170" fontId="10" fillId="0" borderId="0" xfId="20" applyNumberFormat="1" applyFont="1" applyAlignment="1">
      <alignment horizontal="center"/>
    </xf>
    <xf numFmtId="176" fontId="24" fillId="0" borderId="1" xfId="0" applyNumberFormat="1" applyFont="1" applyFill="1" applyBorder="1" applyAlignment="1">
      <alignment horizontal="center" vertical="center" wrapText="1"/>
    </xf>
    <xf numFmtId="176" fontId="24" fillId="0" borderId="1" xfId="0" applyNumberFormat="1" applyFont="1" applyFill="1" applyBorder="1" applyAlignment="1">
      <alignment horizontal="center" vertical="center"/>
    </xf>
    <xf numFmtId="0" fontId="9" fillId="2" borderId="1" xfId="20" applyNumberFormat="1" applyFont="1" applyFill="1" applyBorder="1" applyAlignment="1">
      <alignment horizontal="center"/>
    </xf>
    <xf numFmtId="0" fontId="10" fillId="0" borderId="1" xfId="20" applyNumberFormat="1" applyFont="1" applyBorder="1" applyAlignment="1">
      <alignment horizontal="center"/>
    </xf>
    <xf numFmtId="49" fontId="10" fillId="0" borderId="1" xfId="20" applyNumberFormat="1" applyFont="1" applyBorder="1" applyAlignment="1">
      <alignment horizontal="center"/>
    </xf>
    <xf numFmtId="49" fontId="10" fillId="0" borderId="20" xfId="20" applyNumberFormat="1" applyFont="1" applyBorder="1" applyAlignment="1">
      <alignment horizontal="center"/>
    </xf>
    <xf numFmtId="175" fontId="10" fillId="0" borderId="1" xfId="20" applyNumberFormat="1" applyFont="1" applyBorder="1" applyAlignment="1"/>
    <xf numFmtId="0" fontId="10" fillId="0" borderId="0" xfId="20" applyFont="1" applyBorder="1" applyAlignment="1">
      <alignment horizontal="center"/>
    </xf>
    <xf numFmtId="170" fontId="10" fillId="0" borderId="0" xfId="20" applyNumberFormat="1" applyFont="1" applyBorder="1" applyAlignment="1">
      <alignment horizontal="center"/>
    </xf>
    <xf numFmtId="175" fontId="10" fillId="0" borderId="1" xfId="20" applyNumberFormat="1" applyFont="1" applyBorder="1"/>
    <xf numFmtId="175" fontId="10" fillId="0" borderId="1" xfId="20" applyNumberFormat="1" applyFont="1" applyFill="1" applyBorder="1" applyAlignment="1">
      <alignment vertical="center" wrapText="1"/>
    </xf>
    <xf numFmtId="0" fontId="10" fillId="0" borderId="1" xfId="20" applyFont="1" applyBorder="1" applyAlignment="1">
      <alignment horizontal="center" vertical="center" wrapText="1"/>
    </xf>
    <xf numFmtId="170" fontId="10" fillId="0" borderId="1" xfId="20" applyNumberFormat="1" applyFont="1" applyBorder="1" applyAlignment="1">
      <alignment horizontal="center" vertical="center" wrapText="1"/>
    </xf>
    <xf numFmtId="170" fontId="10" fillId="0" borderId="1" xfId="20" applyNumberFormat="1" applyFont="1" applyFill="1" applyBorder="1" applyAlignment="1">
      <alignment vertical="center" wrapText="1"/>
    </xf>
    <xf numFmtId="0" fontId="10" fillId="0" borderId="1" xfId="20" applyFont="1" applyFill="1" applyBorder="1" applyAlignment="1">
      <alignment horizontal="left"/>
    </xf>
    <xf numFmtId="0" fontId="10" fillId="0" borderId="2" xfId="20" applyFont="1" applyBorder="1" applyAlignment="1">
      <alignment horizontal="center"/>
    </xf>
    <xf numFmtId="49" fontId="10" fillId="0" borderId="1" xfId="20" applyNumberFormat="1" applyFont="1" applyFill="1" applyBorder="1" applyAlignment="1">
      <alignment horizontal="left"/>
    </xf>
    <xf numFmtId="49" fontId="10" fillId="0" borderId="2" xfId="20" applyNumberFormat="1" applyFont="1" applyFill="1" applyBorder="1" applyAlignment="1">
      <alignment horizontal="center"/>
    </xf>
    <xf numFmtId="0" fontId="10" fillId="0" borderId="0" xfId="20" applyFont="1" applyFill="1" applyBorder="1"/>
    <xf numFmtId="0" fontId="9" fillId="0" borderId="0" xfId="20" applyNumberFormat="1" applyFont="1" applyFill="1" applyBorder="1" applyAlignment="1">
      <alignment horizontal="center" vertical="center" wrapText="1"/>
    </xf>
    <xf numFmtId="175" fontId="9" fillId="0" borderId="0" xfId="20" applyNumberFormat="1" applyFont="1" applyFill="1" applyBorder="1" applyAlignment="1">
      <alignment horizontal="left" vertical="center"/>
    </xf>
    <xf numFmtId="180" fontId="10" fillId="0" borderId="1" xfId="20" applyNumberFormat="1" applyFont="1" applyBorder="1"/>
    <xf numFmtId="1" fontId="10" fillId="0" borderId="1" xfId="0" applyNumberFormat="1" applyFont="1" applyBorder="1" applyAlignment="1">
      <alignment horizontal="center"/>
    </xf>
    <xf numFmtId="0" fontId="24" fillId="0" borderId="0" xfId="0" applyNumberFormat="1" applyFont="1" applyFill="1" applyBorder="1" applyAlignment="1">
      <alignment horizontal="center"/>
    </xf>
    <xf numFmtId="175" fontId="24" fillId="0" borderId="0" xfId="0" applyNumberFormat="1" applyFont="1" applyFill="1" applyBorder="1"/>
    <xf numFmtId="2" fontId="24" fillId="0" borderId="0" xfId="0" applyNumberFormat="1" applyFont="1" applyFill="1" applyBorder="1" applyAlignment="1">
      <alignment horizontal="center"/>
    </xf>
    <xf numFmtId="0" fontId="24" fillId="0" borderId="0" xfId="0" applyFont="1" applyFill="1" applyBorder="1" applyAlignment="1">
      <alignment horizontal="center"/>
    </xf>
    <xf numFmtId="170" fontId="24" fillId="0" borderId="0" xfId="0" applyNumberFormat="1" applyFont="1" applyFill="1" applyBorder="1" applyAlignment="1">
      <alignment horizontal="center"/>
    </xf>
    <xf numFmtId="175" fontId="10" fillId="22" borderId="0" xfId="0" applyNumberFormat="1" applyFont="1" applyFill="1" applyBorder="1" applyAlignment="1">
      <alignment horizontal="left" vertical="center"/>
    </xf>
    <xf numFmtId="0" fontId="10" fillId="0" borderId="7" xfId="0" applyNumberFormat="1" applyFont="1" applyBorder="1" applyAlignment="1">
      <alignment horizontal="center"/>
    </xf>
    <xf numFmtId="170" fontId="11" fillId="0" borderId="0" xfId="0" applyNumberFormat="1" applyFont="1" applyAlignment="1">
      <alignment horizontal="center"/>
    </xf>
    <xf numFmtId="0" fontId="10" fillId="0" borderId="1" xfId="20" applyFont="1" applyBorder="1" applyAlignment="1">
      <alignment horizontal="left"/>
    </xf>
    <xf numFmtId="0" fontId="10" fillId="0" borderId="0" xfId="0" applyNumberFormat="1" applyFont="1" applyBorder="1" applyAlignment="1">
      <alignment horizontal="center"/>
    </xf>
    <xf numFmtId="0" fontId="11" fillId="0" borderId="0" xfId="0" applyFont="1" applyBorder="1" applyAlignment="1">
      <alignment horizontal="left"/>
    </xf>
    <xf numFmtId="0" fontId="11" fillId="0" borderId="0" xfId="0" applyFont="1" applyBorder="1" applyAlignment="1">
      <alignment horizontal="center"/>
    </xf>
    <xf numFmtId="0" fontId="24" fillId="0" borderId="0" xfId="0" applyNumberFormat="1" applyFont="1" applyAlignment="1">
      <alignment horizontal="center"/>
    </xf>
    <xf numFmtId="0" fontId="24" fillId="0" borderId="0" xfId="0" applyFont="1" applyAlignment="1">
      <alignment horizontal="center"/>
    </xf>
    <xf numFmtId="170" fontId="24" fillId="0" borderId="0" xfId="0" applyNumberFormat="1" applyFont="1" applyAlignment="1">
      <alignment horizontal="center"/>
    </xf>
    <xf numFmtId="0" fontId="10" fillId="0" borderId="1" xfId="0" applyFont="1" applyBorder="1" applyAlignment="1">
      <alignment horizontal="justify" vertical="center"/>
    </xf>
    <xf numFmtId="0" fontId="11" fillId="0" borderId="1" xfId="0" applyFont="1" applyBorder="1" applyAlignment="1">
      <alignment horizontal="center" vertical="center"/>
    </xf>
    <xf numFmtId="170" fontId="11" fillId="0" borderId="1" xfId="0" applyNumberFormat="1" applyFont="1" applyBorder="1" applyAlignment="1">
      <alignment horizontal="center" vertical="center"/>
    </xf>
    <xf numFmtId="0" fontId="11" fillId="2" borderId="1" xfId="0" applyNumberFormat="1" applyFont="1" applyFill="1" applyBorder="1" applyAlignment="1">
      <alignment horizontal="center" vertical="center"/>
    </xf>
    <xf numFmtId="0" fontId="24" fillId="0" borderId="0" xfId="0" applyNumberFormat="1" applyFont="1" applyFill="1" applyBorder="1" applyAlignment="1">
      <alignment horizontal="center" vertical="center"/>
    </xf>
    <xf numFmtId="175" fontId="24" fillId="0" borderId="0" xfId="0" applyNumberFormat="1" applyFont="1" applyFill="1" applyBorder="1" applyAlignment="1">
      <alignment horizontal="right"/>
    </xf>
    <xf numFmtId="9" fontId="24" fillId="0" borderId="0" xfId="0" applyNumberFormat="1" applyFont="1" applyFill="1" applyBorder="1" applyAlignment="1">
      <alignment horizontal="center"/>
    </xf>
    <xf numFmtId="180" fontId="24" fillId="0" borderId="0" xfId="0" applyNumberFormat="1" applyFont="1" applyFill="1" applyBorder="1" applyAlignment="1">
      <alignment horizontal="center"/>
    </xf>
    <xf numFmtId="0" fontId="10" fillId="0" borderId="0" xfId="0" applyNumberFormat="1" applyFont="1" applyFill="1" applyAlignment="1">
      <alignment horizontal="center"/>
    </xf>
    <xf numFmtId="0" fontId="11" fillId="0" borderId="0" xfId="0" applyFont="1" applyFill="1" applyAlignment="1">
      <alignment horizontal="center"/>
    </xf>
    <xf numFmtId="175" fontId="11" fillId="0" borderId="0" xfId="0" applyNumberFormat="1" applyFont="1" applyFill="1" applyBorder="1" applyAlignment="1">
      <alignment horizontal="right"/>
    </xf>
    <xf numFmtId="9" fontId="11" fillId="0" borderId="0" xfId="0" applyNumberFormat="1" applyFont="1" applyFill="1" applyBorder="1" applyAlignment="1">
      <alignment horizontal="center"/>
    </xf>
    <xf numFmtId="0" fontId="11" fillId="0" borderId="0" xfId="0" applyFont="1" applyFill="1" applyBorder="1" applyAlignment="1">
      <alignment horizontal="center"/>
    </xf>
    <xf numFmtId="180" fontId="11" fillId="0" borderId="0" xfId="0" applyNumberFormat="1" applyFont="1" applyFill="1" applyBorder="1" applyAlignment="1">
      <alignment horizontal="center"/>
    </xf>
    <xf numFmtId="0" fontId="11" fillId="0" borderId="0" xfId="0" applyFont="1" applyFill="1"/>
    <xf numFmtId="0" fontId="10" fillId="0" borderId="1" xfId="0" applyNumberFormat="1" applyFont="1" applyBorder="1"/>
    <xf numFmtId="175" fontId="18" fillId="0" borderId="0" xfId="0" applyNumberFormat="1" applyFont="1"/>
    <xf numFmtId="0" fontId="18" fillId="0" borderId="0" xfId="0" applyFont="1" applyAlignment="1">
      <alignment horizontal="center"/>
    </xf>
    <xf numFmtId="170" fontId="18" fillId="0" borderId="0" xfId="0" applyNumberFormat="1" applyFont="1" applyAlignment="1">
      <alignment horizontal="center"/>
    </xf>
    <xf numFmtId="1" fontId="24" fillId="0" borderId="21" xfId="20" applyNumberFormat="1" applyFont="1" applyFill="1" applyBorder="1" applyAlignment="1">
      <alignment horizontal="center" vertical="center" wrapText="1"/>
    </xf>
    <xf numFmtId="181" fontId="50" fillId="0" borderId="1" xfId="7" applyNumberFormat="1" applyFont="1" applyFill="1" applyBorder="1" applyAlignment="1">
      <alignment horizontal="center" vertical="center" wrapText="1"/>
    </xf>
    <xf numFmtId="0" fontId="50" fillId="0" borderId="1" xfId="7" applyFont="1" applyFill="1" applyBorder="1" applyAlignment="1">
      <alignment horizontal="justify" vertical="center" wrapText="1"/>
    </xf>
    <xf numFmtId="0" fontId="24" fillId="0" borderId="1" xfId="0" applyFont="1" applyFill="1" applyBorder="1" applyAlignment="1">
      <alignment horizontal="left" vertical="center" wrapText="1"/>
    </xf>
    <xf numFmtId="173" fontId="24" fillId="0" borderId="20" xfId="0" applyNumberFormat="1" applyFont="1" applyFill="1" applyBorder="1" applyAlignment="1">
      <alignment horizontal="center" vertical="center" wrapText="1"/>
    </xf>
    <xf numFmtId="0" fontId="69" fillId="0" borderId="1" xfId="7" applyFont="1" applyFill="1" applyBorder="1" applyAlignment="1">
      <alignment horizontal="center"/>
    </xf>
    <xf numFmtId="0" fontId="50" fillId="0" borderId="1" xfId="7" applyFont="1" applyFill="1" applyBorder="1" applyAlignment="1">
      <alignment horizontal="center" vertical="center"/>
    </xf>
    <xf numFmtId="4" fontId="25" fillId="0" borderId="1" xfId="27" applyNumberFormat="1" applyFont="1" applyBorder="1" applyAlignment="1">
      <alignment horizontal="center" vertical="center"/>
    </xf>
    <xf numFmtId="49" fontId="24" fillId="0" borderId="2" xfId="27" applyNumberFormat="1" applyFont="1" applyFill="1" applyBorder="1" applyAlignment="1">
      <alignment vertical="center"/>
    </xf>
    <xf numFmtId="49" fontId="24" fillId="0" borderId="4" xfId="27" applyNumberFormat="1" applyFont="1" applyFill="1" applyBorder="1" applyAlignment="1">
      <alignment vertical="center"/>
    </xf>
    <xf numFmtId="49" fontId="24" fillId="0" borderId="20" xfId="27" applyNumberFormat="1" applyFont="1" applyFill="1" applyBorder="1" applyAlignment="1">
      <alignment vertical="center"/>
    </xf>
    <xf numFmtId="0" fontId="24" fillId="2" borderId="1" xfId="27" applyFont="1" applyFill="1" applyBorder="1" applyAlignment="1">
      <alignment vertical="center"/>
    </xf>
    <xf numFmtId="181" fontId="24" fillId="2" borderId="1" xfId="27" applyNumberFormat="1" applyFont="1" applyFill="1" applyBorder="1" applyAlignment="1">
      <alignment vertical="center"/>
    </xf>
    <xf numFmtId="0" fontId="13" fillId="0" borderId="1" xfId="27" applyFont="1" applyFill="1" applyBorder="1" applyAlignment="1">
      <alignment horizontal="center" vertical="center"/>
    </xf>
    <xf numFmtId="3" fontId="13" fillId="0" borderId="1" xfId="27" applyNumberFormat="1" applyFont="1" applyFill="1" applyBorder="1" applyAlignment="1">
      <alignment horizontal="center" vertical="center"/>
    </xf>
    <xf numFmtId="49" fontId="13" fillId="2" borderId="1" xfId="27" applyNumberFormat="1" applyFont="1" applyFill="1" applyBorder="1" applyAlignment="1">
      <alignment horizontal="center" vertical="center"/>
    </xf>
    <xf numFmtId="49" fontId="13" fillId="2" borderId="20" xfId="27" applyNumberFormat="1" applyFont="1" applyFill="1" applyBorder="1" applyAlignment="1">
      <alignment vertical="center"/>
    </xf>
    <xf numFmtId="49" fontId="13" fillId="0" borderId="1" xfId="27" applyNumberFormat="1" applyFont="1" applyFill="1" applyBorder="1" applyAlignment="1">
      <alignment vertical="center"/>
    </xf>
    <xf numFmtId="0" fontId="24" fillId="0" borderId="1" xfId="27" applyFont="1" applyFill="1" applyBorder="1" applyAlignment="1">
      <alignment vertical="center"/>
    </xf>
    <xf numFmtId="3" fontId="24" fillId="0" borderId="1" xfId="27" applyNumberFormat="1" applyFont="1" applyFill="1" applyBorder="1" applyAlignment="1">
      <alignment horizontal="center" vertical="center"/>
    </xf>
    <xf numFmtId="10" fontId="24" fillId="0" borderId="1" xfId="27" applyNumberFormat="1" applyFont="1" applyFill="1" applyBorder="1" applyAlignment="1">
      <alignment horizontal="center" vertical="center"/>
    </xf>
    <xf numFmtId="3" fontId="24" fillId="0" borderId="1" xfId="27" applyNumberFormat="1" applyFont="1" applyBorder="1" applyAlignment="1">
      <alignment vertical="center"/>
    </xf>
    <xf numFmtId="49" fontId="24" fillId="0" borderId="1" xfId="27" applyNumberFormat="1" applyFont="1" applyFill="1" applyBorder="1" applyAlignment="1">
      <alignment horizontal="center" vertical="center"/>
    </xf>
    <xf numFmtId="49" fontId="24" fillId="0" borderId="1" xfId="27" applyNumberFormat="1" applyFont="1" applyFill="1" applyBorder="1" applyAlignment="1">
      <alignment vertical="center"/>
    </xf>
    <xf numFmtId="49" fontId="13" fillId="0" borderId="1" xfId="27" applyNumberFormat="1" applyFont="1" applyBorder="1" applyAlignment="1">
      <alignment horizontal="center" vertical="center"/>
    </xf>
    <xf numFmtId="172" fontId="24" fillId="0" borderId="1" xfId="4" applyNumberFormat="1" applyFont="1" applyFill="1" applyBorder="1" applyAlignment="1">
      <alignment horizontal="center" vertical="center"/>
    </xf>
    <xf numFmtId="3" fontId="24" fillId="0" borderId="1" xfId="4" applyNumberFormat="1" applyFont="1" applyFill="1" applyBorder="1" applyAlignment="1">
      <alignment horizontal="center" vertical="center"/>
    </xf>
    <xf numFmtId="190" fontId="24" fillId="0" borderId="1" xfId="27" applyNumberFormat="1" applyFont="1" applyFill="1" applyBorder="1" applyAlignment="1">
      <alignment horizontal="center" vertical="center"/>
    </xf>
    <xf numFmtId="49" fontId="24" fillId="0" borderId="1" xfId="27" applyNumberFormat="1" applyFont="1" applyFill="1" applyBorder="1" applyAlignment="1">
      <alignment vertical="center" wrapText="1"/>
    </xf>
    <xf numFmtId="49" fontId="13" fillId="0" borderId="1" xfId="27" quotePrefix="1" applyNumberFormat="1" applyFont="1" applyFill="1" applyBorder="1" applyAlignment="1">
      <alignment horizontal="left" vertical="center"/>
    </xf>
    <xf numFmtId="190" fontId="13" fillId="0" borderId="1" xfId="27" applyNumberFormat="1" applyFont="1" applyFill="1" applyBorder="1" applyAlignment="1">
      <alignment horizontal="center" vertical="center"/>
    </xf>
    <xf numFmtId="49" fontId="24" fillId="0" borderId="1" xfId="27" applyNumberFormat="1" applyFont="1" applyBorder="1" applyAlignment="1">
      <alignment horizontal="center" vertical="center"/>
    </xf>
    <xf numFmtId="2" fontId="24" fillId="0" borderId="1" xfId="27" applyNumberFormat="1" applyFont="1" applyFill="1" applyBorder="1" applyAlignment="1">
      <alignment horizontal="center" vertical="center"/>
    </xf>
    <xf numFmtId="4" fontId="24" fillId="0" borderId="1" xfId="27" applyNumberFormat="1" applyFont="1" applyFill="1" applyBorder="1" applyAlignment="1">
      <alignment vertical="center"/>
    </xf>
    <xf numFmtId="49" fontId="13" fillId="23" borderId="1" xfId="27" applyNumberFormat="1" applyFont="1" applyFill="1" applyBorder="1" applyAlignment="1">
      <alignment horizontal="center" vertical="center"/>
    </xf>
    <xf numFmtId="9" fontId="24" fillId="0" borderId="1" xfId="27" applyNumberFormat="1" applyFont="1" applyFill="1" applyBorder="1" applyAlignment="1">
      <alignment horizontal="center" vertical="center"/>
    </xf>
    <xf numFmtId="3" fontId="24" fillId="0" borderId="1" xfId="27" applyNumberFormat="1" applyFont="1" applyFill="1" applyBorder="1" applyAlignment="1">
      <alignment vertical="center"/>
    </xf>
    <xf numFmtId="49" fontId="13" fillId="2" borderId="1" xfId="27" quotePrefix="1" applyNumberFormat="1" applyFont="1" applyFill="1" applyBorder="1" applyAlignment="1">
      <alignment horizontal="center" vertical="center"/>
    </xf>
    <xf numFmtId="49" fontId="25" fillId="0" borderId="0" xfId="27" applyNumberFormat="1" applyFont="1" applyFill="1" applyBorder="1" applyAlignment="1">
      <alignment vertical="center"/>
    </xf>
    <xf numFmtId="49" fontId="25" fillId="0" borderId="0" xfId="27" applyNumberFormat="1" applyFont="1" applyFill="1" applyAlignment="1">
      <alignment vertical="center"/>
    </xf>
    <xf numFmtId="49" fontId="12" fillId="0" borderId="0" xfId="27" applyNumberFormat="1" applyFont="1" applyAlignment="1">
      <alignment horizontal="center" vertical="center"/>
    </xf>
    <xf numFmtId="3" fontId="25" fillId="0" borderId="0" xfId="27" applyNumberFormat="1" applyFont="1" applyAlignment="1">
      <alignment horizontal="center" vertical="center"/>
    </xf>
    <xf numFmtId="0" fontId="25" fillId="0" borderId="0" xfId="27" applyFont="1" applyAlignment="1">
      <alignment horizontal="center" vertical="center"/>
    </xf>
    <xf numFmtId="4" fontId="25" fillId="0" borderId="0" xfId="27" applyNumberFormat="1" applyFont="1" applyAlignment="1">
      <alignment vertical="center"/>
    </xf>
    <xf numFmtId="0" fontId="25" fillId="0" borderId="1" xfId="27" applyFont="1" applyFill="1" applyBorder="1" applyAlignment="1">
      <alignment horizontal="center" vertical="center"/>
    </xf>
    <xf numFmtId="3" fontId="25" fillId="0" borderId="0" xfId="27" applyNumberFormat="1" applyFont="1" applyFill="1" applyAlignment="1">
      <alignment vertical="center"/>
    </xf>
    <xf numFmtId="164" fontId="0" fillId="0" borderId="0" xfId="0" applyNumberFormat="1" applyAlignment="1">
      <alignment horizontal="left" vertical="center"/>
    </xf>
    <xf numFmtId="0" fontId="0" fillId="0" borderId="1" xfId="0" applyBorder="1" applyAlignment="1">
      <alignment vertical="center" wrapText="1"/>
    </xf>
    <xf numFmtId="0" fontId="0" fillId="0" borderId="5" xfId="0" applyBorder="1" applyAlignment="1">
      <alignment horizontal="center" vertical="center"/>
    </xf>
    <xf numFmtId="0" fontId="0" fillId="0" borderId="5" xfId="0" applyBorder="1" applyAlignment="1">
      <alignment wrapText="1"/>
    </xf>
    <xf numFmtId="0" fontId="0" fillId="0" borderId="5" xfId="0" applyBorder="1" applyAlignment="1">
      <alignment horizontal="center"/>
    </xf>
    <xf numFmtId="0" fontId="0" fillId="0" borderId="5" xfId="0" applyBorder="1"/>
    <xf numFmtId="0" fontId="48" fillId="0" borderId="54" xfId="0" applyFont="1" applyBorder="1" applyAlignment="1">
      <alignment vertical="center" wrapText="1"/>
    </xf>
    <xf numFmtId="0" fontId="48" fillId="0" borderId="0" xfId="0" applyFont="1" applyBorder="1" applyAlignment="1">
      <alignment vertical="center" wrapText="1"/>
    </xf>
    <xf numFmtId="0" fontId="48" fillId="0" borderId="55" xfId="0" applyFont="1" applyBorder="1" applyAlignment="1">
      <alignment vertical="center" wrapText="1"/>
    </xf>
    <xf numFmtId="0" fontId="23" fillId="0" borderId="57" xfId="0" applyFont="1" applyFill="1" applyBorder="1" applyAlignment="1">
      <alignment horizontal="center" vertical="center"/>
    </xf>
    <xf numFmtId="9" fontId="15" fillId="0" borderId="57" xfId="15" applyFont="1" applyFill="1" applyBorder="1" applyAlignment="1">
      <alignment horizontal="center" vertical="center"/>
    </xf>
    <xf numFmtId="3" fontId="24" fillId="0" borderId="13" xfId="0" applyNumberFormat="1" applyFont="1" applyFill="1" applyBorder="1" applyAlignment="1">
      <alignment horizontal="center" vertical="center"/>
    </xf>
    <xf numFmtId="0" fontId="24" fillId="0" borderId="1" xfId="0" applyFont="1" applyFill="1" applyBorder="1" applyAlignment="1">
      <alignment vertical="center" wrapText="1"/>
    </xf>
    <xf numFmtId="0" fontId="24" fillId="0" borderId="1" xfId="0" applyFont="1" applyFill="1" applyBorder="1" applyAlignment="1">
      <alignment vertical="center"/>
    </xf>
    <xf numFmtId="0" fontId="24" fillId="0" borderId="1" xfId="28" applyNumberFormat="1" applyFont="1" applyFill="1" applyBorder="1" applyAlignment="1">
      <alignment horizontal="center" vertical="center"/>
    </xf>
    <xf numFmtId="175" fontId="25" fillId="0" borderId="1" xfId="0" applyNumberFormat="1" applyFont="1" applyBorder="1" applyAlignment="1">
      <alignment horizontal="center" vertical="center"/>
    </xf>
    <xf numFmtId="192" fontId="48" fillId="25" borderId="1" xfId="29" applyNumberFormat="1" applyFont="1" applyFill="1" applyBorder="1" applyAlignment="1">
      <alignment horizontal="center"/>
    </xf>
    <xf numFmtId="0" fontId="50" fillId="0" borderId="10" xfId="7" applyFont="1" applyFill="1" applyBorder="1" applyAlignment="1"/>
    <xf numFmtId="0" fontId="50" fillId="0" borderId="11" xfId="7" applyFont="1" applyFill="1" applyBorder="1" applyAlignment="1"/>
    <xf numFmtId="0" fontId="50" fillId="0" borderId="12" xfId="7" applyFont="1" applyFill="1" applyBorder="1" applyAlignment="1"/>
    <xf numFmtId="180" fontId="13" fillId="0" borderId="1" xfId="0" applyNumberFormat="1" applyFont="1" applyFill="1" applyBorder="1" applyAlignment="1" applyProtection="1">
      <alignment horizontal="center" vertical="center"/>
      <protection locked="0"/>
    </xf>
    <xf numFmtId="180" fontId="0" fillId="0" borderId="0" xfId="0" applyNumberFormat="1"/>
    <xf numFmtId="164" fontId="6" fillId="0" borderId="0" xfId="0" applyNumberFormat="1" applyFont="1"/>
    <xf numFmtId="0" fontId="6" fillId="0" borderId="0" xfId="0" applyFont="1"/>
    <xf numFmtId="0" fontId="7" fillId="0" borderId="1" xfId="0" applyFont="1" applyBorder="1" applyAlignment="1">
      <alignment horizontal="left" wrapText="1"/>
    </xf>
    <xf numFmtId="164" fontId="6" fillId="0" borderId="0" xfId="0" applyNumberFormat="1" applyFont="1" applyAlignment="1">
      <alignment vertical="center"/>
    </xf>
    <xf numFmtId="0" fontId="6" fillId="0" borderId="0" xfId="0" applyFont="1" applyAlignment="1">
      <alignment vertical="center"/>
    </xf>
    <xf numFmtId="164" fontId="6" fillId="0" borderId="0" xfId="0" applyNumberFormat="1" applyFont="1" applyFill="1"/>
    <xf numFmtId="0" fontId="7" fillId="0" borderId="0" xfId="0" applyFont="1" applyBorder="1" applyAlignment="1">
      <alignment horizontal="left" vertical="center"/>
    </xf>
    <xf numFmtId="0" fontId="0" fillId="0" borderId="0" xfId="0" applyBorder="1" applyAlignment="1">
      <alignment horizontal="left" vertical="center"/>
    </xf>
    <xf numFmtId="191" fontId="48" fillId="0" borderId="0" xfId="28" applyNumberFormat="1" applyFont="1" applyFill="1" applyBorder="1" applyAlignment="1">
      <alignment horizontal="left" vertical="center"/>
    </xf>
    <xf numFmtId="192" fontId="48" fillId="0" borderId="0" xfId="29" applyNumberFormat="1" applyFont="1" applyFill="1" applyBorder="1" applyAlignment="1">
      <alignment horizontal="center"/>
    </xf>
    <xf numFmtId="0" fontId="9" fillId="26" borderId="1" xfId="0" applyFont="1" applyFill="1" applyBorder="1" applyAlignment="1">
      <alignment horizontal="center" vertical="center" wrapText="1"/>
    </xf>
    <xf numFmtId="173" fontId="10" fillId="30" borderId="1" xfId="0" applyNumberFormat="1" applyFont="1" applyFill="1" applyBorder="1" applyAlignment="1">
      <alignment horizontal="center" vertical="center" wrapText="1"/>
    </xf>
    <xf numFmtId="0" fontId="9" fillId="29" borderId="4" xfId="0" applyFont="1" applyFill="1" applyBorder="1" applyAlignment="1">
      <alignment vertical="center" wrapText="1"/>
    </xf>
    <xf numFmtId="0" fontId="9" fillId="26" borderId="5" xfId="0" applyFont="1" applyFill="1" applyBorder="1" applyAlignment="1">
      <alignment horizontal="justify" vertical="center"/>
    </xf>
    <xf numFmtId="2" fontId="10" fillId="26" borderId="5" xfId="0" applyNumberFormat="1" applyFont="1" applyFill="1" applyBorder="1" applyAlignment="1" applyProtection="1">
      <alignment horizontal="center" vertical="center" wrapText="1"/>
      <protection locked="0"/>
    </xf>
    <xf numFmtId="180" fontId="10" fillId="26" borderId="5" xfId="0" applyNumberFormat="1" applyFont="1" applyFill="1" applyBorder="1" applyAlignment="1" applyProtection="1">
      <alignment horizontal="center" vertical="center"/>
      <protection locked="0"/>
    </xf>
    <xf numFmtId="0" fontId="9" fillId="26" borderId="2" xfId="0" applyFont="1" applyFill="1" applyBorder="1" applyAlignment="1">
      <alignment horizontal="justify" vertical="center"/>
    </xf>
    <xf numFmtId="2" fontId="10" fillId="26" borderId="4" xfId="0" applyNumberFormat="1" applyFont="1" applyFill="1" applyBorder="1" applyAlignment="1" applyProtection="1">
      <alignment horizontal="center" vertical="center" wrapText="1"/>
      <protection locked="0"/>
    </xf>
    <xf numFmtId="180" fontId="10" fillId="26" borderId="20" xfId="0" applyNumberFormat="1" applyFont="1" applyFill="1" applyBorder="1" applyAlignment="1" applyProtection="1">
      <alignment horizontal="center" vertical="center"/>
      <protection locked="0"/>
    </xf>
    <xf numFmtId="0" fontId="9" fillId="26" borderId="2" xfId="0" applyFont="1" applyFill="1" applyBorder="1" applyAlignment="1">
      <alignment vertical="center" wrapText="1"/>
    </xf>
    <xf numFmtId="0" fontId="9" fillId="26" borderId="4" xfId="0" applyFont="1" applyFill="1" applyBorder="1" applyAlignment="1">
      <alignment vertical="center" wrapText="1"/>
    </xf>
    <xf numFmtId="180" fontId="9" fillId="26" borderId="1" xfId="0" applyNumberFormat="1" applyFont="1" applyFill="1" applyBorder="1" applyAlignment="1" applyProtection="1">
      <alignment horizontal="center" vertical="center"/>
      <protection locked="0"/>
    </xf>
    <xf numFmtId="9" fontId="9" fillId="26" borderId="1" xfId="15" applyFont="1" applyFill="1" applyBorder="1" applyAlignment="1" applyProtection="1">
      <alignment horizontal="center" vertical="center" wrapText="1"/>
      <protection locked="0"/>
    </xf>
    <xf numFmtId="3" fontId="10" fillId="29" borderId="0" xfId="0" applyNumberFormat="1" applyFont="1" applyFill="1" applyBorder="1" applyAlignment="1">
      <alignment vertical="center"/>
    </xf>
    <xf numFmtId="0" fontId="10" fillId="29" borderId="0" xfId="0" applyFont="1" applyFill="1" applyBorder="1" applyAlignment="1">
      <alignment vertical="center"/>
    </xf>
    <xf numFmtId="184" fontId="10" fillId="29" borderId="0" xfId="13" applyNumberFormat="1" applyFont="1" applyFill="1" applyBorder="1" applyAlignment="1">
      <alignment vertical="center"/>
    </xf>
    <xf numFmtId="180" fontId="9" fillId="29" borderId="1" xfId="0" applyNumberFormat="1" applyFont="1" applyFill="1" applyBorder="1" applyAlignment="1" applyProtection="1">
      <alignment horizontal="center" vertical="center"/>
      <protection locked="0"/>
    </xf>
    <xf numFmtId="9" fontId="9" fillId="29" borderId="1" xfId="15" applyFont="1" applyFill="1" applyBorder="1" applyAlignment="1" applyProtection="1">
      <alignment horizontal="center" vertical="center" wrapText="1"/>
      <protection locked="0"/>
    </xf>
    <xf numFmtId="0" fontId="9" fillId="26" borderId="2" xfId="0" applyFont="1" applyFill="1" applyBorder="1" applyAlignment="1">
      <alignment vertical="center"/>
    </xf>
    <xf numFmtId="0" fontId="9" fillId="26" borderId="4" xfId="0" applyFont="1" applyFill="1" applyBorder="1" applyAlignment="1">
      <alignment vertical="center"/>
    </xf>
    <xf numFmtId="0" fontId="9" fillId="26" borderId="20" xfId="0" applyFont="1" applyFill="1" applyBorder="1" applyAlignment="1">
      <alignment vertical="center"/>
    </xf>
    <xf numFmtId="180" fontId="9" fillId="26" borderId="20" xfId="0" applyNumberFormat="1" applyFont="1" applyFill="1" applyBorder="1" applyAlignment="1" applyProtection="1">
      <alignment horizontal="center" vertical="center"/>
      <protection locked="0"/>
    </xf>
    <xf numFmtId="193" fontId="9" fillId="26" borderId="1" xfId="0" applyNumberFormat="1" applyFont="1" applyFill="1" applyBorder="1" applyAlignment="1" applyProtection="1">
      <alignment horizontal="center" vertical="center"/>
      <protection locked="0"/>
    </xf>
    <xf numFmtId="193" fontId="9" fillId="29" borderId="1" xfId="0" applyNumberFormat="1" applyFont="1" applyFill="1" applyBorder="1" applyAlignment="1" applyProtection="1">
      <alignment horizontal="center" vertical="center"/>
      <protection locked="0"/>
    </xf>
    <xf numFmtId="0" fontId="62" fillId="26" borderId="1" xfId="7" applyFont="1" applyFill="1" applyBorder="1" applyAlignment="1">
      <alignment horizontal="left" vertical="center" wrapText="1"/>
    </xf>
    <xf numFmtId="0" fontId="62" fillId="26" borderId="1" xfId="7" applyFont="1" applyFill="1" applyBorder="1" applyAlignment="1">
      <alignment horizontal="center" vertical="center" wrapText="1"/>
    </xf>
    <xf numFmtId="0" fontId="50" fillId="26" borderId="0" xfId="7" applyFont="1" applyFill="1"/>
    <xf numFmtId="181" fontId="62" fillId="26" borderId="1" xfId="7" applyNumberFormat="1" applyFont="1" applyFill="1" applyBorder="1" applyAlignment="1">
      <alignment horizontal="center" vertical="center" wrapText="1"/>
    </xf>
    <xf numFmtId="0" fontId="50" fillId="26" borderId="1" xfId="7" applyFont="1" applyFill="1" applyBorder="1" applyAlignment="1">
      <alignment horizontal="center"/>
    </xf>
    <xf numFmtId="2" fontId="13" fillId="26" borderId="21" xfId="0" applyNumberFormat="1" applyFont="1" applyFill="1" applyBorder="1" applyAlignment="1">
      <alignment horizontal="center" vertical="center" wrapText="1"/>
    </xf>
    <xf numFmtId="0" fontId="62" fillId="26" borderId="21" xfId="7" applyFont="1" applyFill="1" applyBorder="1" applyAlignment="1">
      <alignment horizontal="center" vertical="center" wrapText="1"/>
    </xf>
    <xf numFmtId="1" fontId="13" fillId="26" borderId="21" xfId="0" applyNumberFormat="1" applyFont="1" applyFill="1" applyBorder="1" applyAlignment="1">
      <alignment horizontal="center" vertical="center" wrapText="1"/>
    </xf>
    <xf numFmtId="0" fontId="13" fillId="26" borderId="7" xfId="0" applyFont="1" applyFill="1" applyBorder="1" applyAlignment="1">
      <alignment horizontal="left" vertical="center" wrapText="1"/>
    </xf>
    <xf numFmtId="173" fontId="62" fillId="26" borderId="1" xfId="7" applyNumberFormat="1" applyFont="1" applyFill="1" applyBorder="1" applyAlignment="1" applyProtection="1">
      <alignment horizontal="center" vertical="center" wrapText="1"/>
    </xf>
    <xf numFmtId="0" fontId="13" fillId="26" borderId="1" xfId="7" applyFont="1" applyFill="1" applyBorder="1" applyAlignment="1" applyProtection="1">
      <alignment horizontal="justify" vertical="center" wrapText="1"/>
    </xf>
    <xf numFmtId="0" fontId="50" fillId="26" borderId="1" xfId="7" applyFont="1" applyFill="1" applyBorder="1" applyAlignment="1" applyProtection="1">
      <alignment horizontal="center" vertical="center" wrapText="1"/>
    </xf>
    <xf numFmtId="173" fontId="50" fillId="26" borderId="1" xfId="7" applyNumberFormat="1" applyFont="1" applyFill="1" applyBorder="1" applyAlignment="1" applyProtection="1">
      <alignment horizontal="center" vertical="center" wrapText="1"/>
    </xf>
    <xf numFmtId="181" fontId="50" fillId="26" borderId="1" xfId="7" applyNumberFormat="1" applyFont="1" applyFill="1" applyBorder="1" applyAlignment="1" applyProtection="1">
      <alignment horizontal="center" vertical="center" wrapText="1"/>
    </xf>
    <xf numFmtId="2" fontId="13" fillId="26" borderId="20" xfId="0" applyNumberFormat="1" applyFont="1" applyFill="1" applyBorder="1" applyAlignment="1">
      <alignment horizontal="center" vertical="center" wrapText="1"/>
    </xf>
    <xf numFmtId="0" fontId="13" fillId="26" borderId="1" xfId="0" applyFont="1" applyFill="1" applyBorder="1" applyAlignment="1">
      <alignment horizontal="left" vertical="center" wrapText="1"/>
    </xf>
    <xf numFmtId="181" fontId="64" fillId="26" borderId="1" xfId="7" applyNumberFormat="1" applyFont="1" applyFill="1" applyBorder="1" applyAlignment="1" applyProtection="1">
      <alignment horizontal="center" vertical="center" wrapText="1"/>
    </xf>
    <xf numFmtId="0" fontId="50" fillId="26" borderId="1" xfId="7" applyFont="1" applyFill="1" applyBorder="1" applyAlignment="1">
      <alignment horizontal="center" vertical="center" wrapText="1"/>
    </xf>
    <xf numFmtId="0" fontId="13" fillId="26" borderId="1" xfId="0" applyFont="1" applyFill="1" applyBorder="1" applyAlignment="1">
      <alignment horizontal="justify" vertical="center" wrapText="1"/>
    </xf>
    <xf numFmtId="49" fontId="13" fillId="26" borderId="2" xfId="0" applyNumberFormat="1" applyFont="1" applyFill="1" applyBorder="1" applyAlignment="1">
      <alignment vertical="center" wrapText="1"/>
    </xf>
    <xf numFmtId="49" fontId="13" fillId="26" borderId="4" xfId="0" applyNumberFormat="1" applyFont="1" applyFill="1" applyBorder="1" applyAlignment="1">
      <alignment vertical="center" wrapText="1"/>
    </xf>
    <xf numFmtId="49" fontId="13" fillId="26" borderId="20" xfId="0" applyNumberFormat="1" applyFont="1" applyFill="1" applyBorder="1" applyAlignment="1">
      <alignment vertical="center" wrapText="1"/>
    </xf>
    <xf numFmtId="181" fontId="62" fillId="26" borderId="1" xfId="7" applyNumberFormat="1" applyFont="1" applyFill="1" applyBorder="1" applyAlignment="1" applyProtection="1">
      <alignment horizontal="center" vertical="center" wrapText="1"/>
    </xf>
    <xf numFmtId="180" fontId="12" fillId="26" borderId="1" xfId="0" applyNumberFormat="1" applyFont="1" applyFill="1" applyBorder="1" applyAlignment="1" applyProtection="1">
      <alignment horizontal="center" vertical="center"/>
      <protection locked="0"/>
    </xf>
    <xf numFmtId="193" fontId="12" fillId="26" borderId="1" xfId="0" applyNumberFormat="1" applyFont="1" applyFill="1" applyBorder="1" applyAlignment="1" applyProtection="1">
      <alignment horizontal="center" vertical="center"/>
      <protection locked="0"/>
    </xf>
    <xf numFmtId="49" fontId="13" fillId="29" borderId="4" xfId="0" applyNumberFormat="1" applyFont="1" applyFill="1" applyBorder="1" applyAlignment="1">
      <alignment vertical="center" wrapText="1"/>
    </xf>
    <xf numFmtId="0" fontId="50" fillId="29" borderId="1" xfId="7" applyFont="1" applyFill="1" applyBorder="1" applyAlignment="1">
      <alignment horizontal="center"/>
    </xf>
    <xf numFmtId="173" fontId="62" fillId="29" borderId="1" xfId="7" applyNumberFormat="1" applyFont="1" applyFill="1" applyBorder="1" applyAlignment="1" applyProtection="1">
      <alignment horizontal="center" vertical="center" wrapText="1"/>
    </xf>
    <xf numFmtId="0" fontId="13" fillId="29" borderId="1" xfId="0" applyFont="1" applyFill="1" applyBorder="1" applyAlignment="1">
      <alignment horizontal="justify" vertical="center" wrapText="1"/>
    </xf>
    <xf numFmtId="0" fontId="50" fillId="29" borderId="1" xfId="7" applyFont="1" applyFill="1" applyBorder="1" applyAlignment="1" applyProtection="1">
      <alignment horizontal="center" vertical="center" wrapText="1"/>
    </xf>
    <xf numFmtId="173" fontId="50" fillId="29" borderId="1" xfId="7" applyNumberFormat="1" applyFont="1" applyFill="1" applyBorder="1" applyAlignment="1" applyProtection="1">
      <alignment horizontal="center" vertical="center" wrapText="1"/>
    </xf>
    <xf numFmtId="181" fontId="50" fillId="29" borderId="1" xfId="7" applyNumberFormat="1" applyFont="1" applyFill="1" applyBorder="1" applyAlignment="1" applyProtection="1">
      <alignment horizontal="center" vertical="center" wrapText="1"/>
    </xf>
    <xf numFmtId="173" fontId="24" fillId="0" borderId="4" xfId="0" applyNumberFormat="1" applyFont="1" applyFill="1" applyBorder="1" applyAlignment="1">
      <alignment horizontal="center" vertical="center" wrapText="1"/>
    </xf>
    <xf numFmtId="0" fontId="62" fillId="26" borderId="2" xfId="7" applyFont="1" applyFill="1" applyBorder="1" applyAlignment="1">
      <alignment vertical="center" wrapText="1"/>
    </xf>
    <xf numFmtId="0" fontId="62" fillId="26" borderId="4" xfId="7" applyFont="1" applyFill="1" applyBorder="1" applyAlignment="1">
      <alignment vertical="center" wrapText="1"/>
    </xf>
    <xf numFmtId="180" fontId="13" fillId="26" borderId="1" xfId="0" applyNumberFormat="1" applyFont="1" applyFill="1" applyBorder="1" applyAlignment="1" applyProtection="1">
      <alignment horizontal="center" vertical="center"/>
      <protection locked="0"/>
    </xf>
    <xf numFmtId="0" fontId="13" fillId="26" borderId="1" xfId="7" applyFont="1" applyFill="1" applyBorder="1" applyAlignment="1">
      <alignment horizontal="justify" vertical="center" wrapText="1"/>
    </xf>
    <xf numFmtId="0" fontId="50" fillId="29" borderId="1" xfId="7" applyFont="1" applyFill="1" applyBorder="1" applyAlignment="1">
      <alignment horizontal="center" vertical="center" wrapText="1"/>
    </xf>
    <xf numFmtId="173" fontId="24" fillId="32" borderId="1" xfId="0" applyNumberFormat="1" applyFont="1" applyFill="1" applyBorder="1" applyAlignment="1">
      <alignment horizontal="center" vertical="center" wrapText="1"/>
    </xf>
    <xf numFmtId="193" fontId="12" fillId="29" borderId="1" xfId="0" applyNumberFormat="1" applyFont="1" applyFill="1" applyBorder="1" applyAlignment="1" applyProtection="1">
      <alignment horizontal="center" vertical="center"/>
      <protection locked="0"/>
    </xf>
    <xf numFmtId="181" fontId="62" fillId="29" borderId="1" xfId="7" applyNumberFormat="1" applyFont="1" applyFill="1" applyBorder="1" applyAlignment="1">
      <alignment horizontal="center" vertical="center" wrapText="1"/>
    </xf>
    <xf numFmtId="0" fontId="14" fillId="26" borderId="1" xfId="20" applyFont="1" applyFill="1" applyBorder="1" applyAlignment="1">
      <alignment horizontal="center" vertical="center" wrapText="1"/>
    </xf>
    <xf numFmtId="1" fontId="13" fillId="26" borderId="21" xfId="20" applyNumberFormat="1" applyFont="1" applyFill="1" applyBorder="1" applyAlignment="1">
      <alignment horizontal="center" vertical="center" wrapText="1"/>
    </xf>
    <xf numFmtId="0" fontId="13" fillId="26" borderId="7" xfId="20" applyFont="1" applyFill="1" applyBorder="1" applyAlignment="1">
      <alignment horizontal="left" vertical="center" wrapText="1"/>
    </xf>
    <xf numFmtId="0" fontId="10" fillId="26" borderId="1" xfId="0" applyFont="1" applyFill="1" applyBorder="1" applyAlignment="1">
      <alignment vertical="center" wrapText="1"/>
    </xf>
    <xf numFmtId="49" fontId="9" fillId="26" borderId="1" xfId="0" applyNumberFormat="1" applyFont="1" applyFill="1" applyBorder="1" applyAlignment="1">
      <alignment horizontal="center" vertical="center" wrapText="1"/>
    </xf>
    <xf numFmtId="0" fontId="9" fillId="26" borderId="1" xfId="0" applyFont="1" applyFill="1" applyBorder="1" applyAlignment="1">
      <alignment horizontal="left" vertical="center" wrapText="1"/>
    </xf>
    <xf numFmtId="0" fontId="10" fillId="26" borderId="1" xfId="0" applyFont="1" applyFill="1" applyBorder="1" applyAlignment="1">
      <alignment horizontal="center" vertical="center" wrapText="1"/>
    </xf>
    <xf numFmtId="4" fontId="10" fillId="26" borderId="1" xfId="0" applyNumberFormat="1" applyFont="1" applyFill="1" applyBorder="1" applyAlignment="1">
      <alignment horizontal="center" vertical="center" wrapText="1"/>
    </xf>
    <xf numFmtId="3" fontId="10" fillId="26" borderId="1" xfId="0" applyNumberFormat="1" applyFont="1" applyFill="1" applyBorder="1" applyAlignment="1">
      <alignment horizontal="center" vertical="center" wrapText="1"/>
    </xf>
    <xf numFmtId="0" fontId="13" fillId="26" borderId="1" xfId="20" applyFont="1" applyFill="1" applyBorder="1" applyAlignment="1">
      <alignment horizontal="left" vertical="center" wrapText="1"/>
    </xf>
    <xf numFmtId="0" fontId="13" fillId="26" borderId="1" xfId="20" applyFont="1" applyFill="1" applyBorder="1" applyAlignment="1">
      <alignment horizontal="justify" vertical="center" wrapText="1"/>
    </xf>
    <xf numFmtId="1" fontId="62" fillId="26" borderId="1" xfId="7" applyNumberFormat="1" applyFont="1" applyFill="1" applyBorder="1" applyAlignment="1" applyProtection="1">
      <alignment horizontal="center" vertical="center" wrapText="1"/>
    </xf>
    <xf numFmtId="1" fontId="62" fillId="26" borderId="1" xfId="7" applyNumberFormat="1" applyFont="1" applyFill="1" applyBorder="1" applyAlignment="1">
      <alignment horizontal="center" vertical="center" wrapText="1"/>
    </xf>
    <xf numFmtId="1" fontId="62" fillId="29" borderId="1" xfId="7" applyNumberFormat="1" applyFont="1" applyFill="1" applyBorder="1" applyAlignment="1">
      <alignment horizontal="center" vertical="center" wrapText="1"/>
    </xf>
    <xf numFmtId="0" fontId="13" fillId="29" borderId="1" xfId="20" applyFont="1" applyFill="1" applyBorder="1" applyAlignment="1">
      <alignment horizontal="justify" vertical="center" wrapText="1"/>
    </xf>
    <xf numFmtId="0" fontId="49" fillId="26" borderId="28" xfId="0" applyFont="1" applyFill="1" applyBorder="1" applyAlignment="1">
      <alignment vertical="center"/>
    </xf>
    <xf numFmtId="0" fontId="49" fillId="26" borderId="29" xfId="0" applyFont="1" applyFill="1" applyBorder="1" applyAlignment="1">
      <alignment vertical="center"/>
    </xf>
    <xf numFmtId="0" fontId="0" fillId="0" borderId="5" xfId="0" applyBorder="1" applyAlignment="1">
      <alignment horizontal="left" vertical="center" wrapText="1"/>
    </xf>
    <xf numFmtId="164" fontId="48" fillId="26" borderId="26" xfId="29" applyFont="1" applyFill="1" applyBorder="1" applyAlignment="1"/>
    <xf numFmtId="0" fontId="0" fillId="26" borderId="1" xfId="0" applyFill="1" applyBorder="1" applyAlignment="1">
      <alignment horizontal="center" vertical="center"/>
    </xf>
    <xf numFmtId="0" fontId="6" fillId="26" borderId="1" xfId="0" applyFont="1" applyFill="1" applyBorder="1" applyAlignment="1">
      <alignment vertical="center"/>
    </xf>
    <xf numFmtId="164" fontId="48" fillId="26" borderId="26" xfId="29" applyFont="1" applyFill="1" applyBorder="1" applyAlignment="1">
      <alignment vertical="center"/>
    </xf>
    <xf numFmtId="164" fontId="48" fillId="21" borderId="26" xfId="29" applyFont="1" applyFill="1" applyBorder="1" applyAlignment="1"/>
    <xf numFmtId="192" fontId="71" fillId="26" borderId="1" xfId="29" applyNumberFormat="1" applyFont="1" applyFill="1" applyBorder="1" applyAlignment="1">
      <alignment horizontal="center"/>
    </xf>
    <xf numFmtId="0" fontId="0" fillId="29" borderId="1" xfId="0" applyFill="1" applyBorder="1" applyAlignment="1">
      <alignment horizontal="center" vertical="center"/>
    </xf>
    <xf numFmtId="164" fontId="48" fillId="27" borderId="26" xfId="29" applyFont="1" applyFill="1" applyBorder="1" applyAlignment="1"/>
    <xf numFmtId="0" fontId="6" fillId="25" borderId="0" xfId="0" applyFont="1" applyFill="1" applyAlignment="1">
      <alignment horizontal="center" vertical="center"/>
    </xf>
    <xf numFmtId="0" fontId="74" fillId="25" borderId="2" xfId="0" applyFont="1" applyFill="1" applyBorder="1" applyAlignment="1"/>
    <xf numFmtId="0" fontId="6" fillId="25" borderId="1" xfId="0" applyFont="1" applyFill="1" applyBorder="1" applyAlignment="1">
      <alignment horizontal="center" vertical="center"/>
    </xf>
    <xf numFmtId="0" fontId="6" fillId="25" borderId="1" xfId="0" applyFont="1" applyFill="1" applyBorder="1" applyAlignment="1">
      <alignment vertical="center" wrapText="1"/>
    </xf>
    <xf numFmtId="164" fontId="48" fillId="28" borderId="26" xfId="29" applyFont="1" applyFill="1" applyBorder="1" applyAlignment="1">
      <alignment horizontal="center" vertical="center"/>
    </xf>
    <xf numFmtId="164" fontId="48" fillId="21" borderId="26" xfId="29" applyFont="1" applyFill="1" applyBorder="1"/>
    <xf numFmtId="0" fontId="6" fillId="29" borderId="7" xfId="0" applyFont="1" applyFill="1" applyBorder="1" applyAlignment="1">
      <alignment vertical="center"/>
    </xf>
    <xf numFmtId="0" fontId="6" fillId="0" borderId="54" xfId="0" applyFont="1" applyFill="1" applyBorder="1" applyAlignment="1">
      <alignment horizontal="left"/>
    </xf>
    <xf numFmtId="0" fontId="6" fillId="0" borderId="0" xfId="0" applyFont="1" applyFill="1" applyBorder="1" applyAlignment="1">
      <alignment horizontal="left"/>
    </xf>
    <xf numFmtId="0" fontId="0" fillId="29" borderId="7" xfId="0" applyFill="1" applyBorder="1" applyAlignment="1">
      <alignment horizontal="center" vertical="center"/>
    </xf>
    <xf numFmtId="192" fontId="48" fillId="29" borderId="7" xfId="29" applyNumberFormat="1" applyFont="1" applyFill="1" applyBorder="1" applyAlignment="1">
      <alignment horizontal="center"/>
    </xf>
    <xf numFmtId="192" fontId="48" fillId="29" borderId="1" xfId="29" applyNumberFormat="1" applyFont="1" applyFill="1" applyBorder="1" applyAlignment="1">
      <alignment horizontal="center"/>
    </xf>
    <xf numFmtId="0" fontId="75" fillId="0" borderId="0" xfId="0" applyFont="1"/>
    <xf numFmtId="193" fontId="13" fillId="15" borderId="1" xfId="6" applyNumberFormat="1" applyFont="1" applyFill="1" applyBorder="1" applyAlignment="1">
      <alignment vertical="center"/>
    </xf>
    <xf numFmtId="0" fontId="76" fillId="0" borderId="7" xfId="0" applyFont="1" applyBorder="1" applyAlignment="1">
      <alignment horizontal="center" vertical="center"/>
    </xf>
    <xf numFmtId="0" fontId="76" fillId="0" borderId="7" xfId="0" applyFont="1" applyBorder="1" applyAlignment="1">
      <alignment horizontal="left" vertical="center" wrapText="1"/>
    </xf>
    <xf numFmtId="0" fontId="76" fillId="0" borderId="1" xfId="0" applyFont="1" applyBorder="1" applyAlignment="1">
      <alignment horizontal="center" vertical="center"/>
    </xf>
    <xf numFmtId="0" fontId="76" fillId="0" borderId="1" xfId="0" applyFont="1" applyBorder="1" applyAlignment="1">
      <alignment horizontal="left" vertical="center" wrapText="1"/>
    </xf>
    <xf numFmtId="0" fontId="77" fillId="26" borderId="28" xfId="0" applyFont="1" applyFill="1" applyBorder="1" applyAlignment="1">
      <alignment vertical="center"/>
    </xf>
    <xf numFmtId="0" fontId="75" fillId="26" borderId="2" xfId="0" applyFont="1" applyFill="1" applyBorder="1" applyAlignment="1">
      <alignment wrapText="1"/>
    </xf>
    <xf numFmtId="0" fontId="75" fillId="26" borderId="1" xfId="0" applyFont="1" applyFill="1" applyBorder="1" applyAlignment="1">
      <alignment horizontal="center" vertical="center"/>
    </xf>
    <xf numFmtId="0" fontId="75" fillId="26" borderId="1" xfId="0" applyFont="1" applyFill="1" applyBorder="1" applyAlignment="1">
      <alignment wrapText="1"/>
    </xf>
    <xf numFmtId="0" fontId="76" fillId="26" borderId="1" xfId="0" applyFont="1" applyFill="1" applyBorder="1" applyAlignment="1">
      <alignment horizontal="center" vertical="center"/>
    </xf>
    <xf numFmtId="0" fontId="75" fillId="26" borderId="1" xfId="0" applyFont="1" applyFill="1" applyBorder="1" applyAlignment="1">
      <alignment vertical="center"/>
    </xf>
    <xf numFmtId="0" fontId="75" fillId="26" borderId="1" xfId="0" applyFont="1" applyFill="1" applyBorder="1" applyAlignment="1">
      <alignment horizontal="left" vertical="center" wrapText="1"/>
    </xf>
    <xf numFmtId="164" fontId="76" fillId="0" borderId="0" xfId="0" applyNumberFormat="1" applyFont="1"/>
    <xf numFmtId="196" fontId="0" fillId="0" borderId="0" xfId="0" applyNumberFormat="1"/>
    <xf numFmtId="0" fontId="76" fillId="0" borderId="1" xfId="0" applyFont="1" applyBorder="1" applyAlignment="1">
      <alignment wrapText="1"/>
    </xf>
    <xf numFmtId="0" fontId="76" fillId="0" borderId="5" xfId="0" applyFont="1" applyBorder="1" applyAlignment="1">
      <alignment horizontal="center" vertical="center"/>
    </xf>
    <xf numFmtId="0" fontId="76" fillId="0" borderId="5" xfId="0" applyFont="1" applyBorder="1" applyAlignment="1">
      <alignment wrapText="1"/>
    </xf>
    <xf numFmtId="0" fontId="75" fillId="26" borderId="1" xfId="0" applyFont="1" applyFill="1" applyBorder="1" applyAlignment="1">
      <alignment horizontal="left" wrapText="1"/>
    </xf>
    <xf numFmtId="0" fontId="75" fillId="26" borderId="2" xfId="0" applyFont="1" applyFill="1" applyBorder="1" applyAlignment="1"/>
    <xf numFmtId="0" fontId="75" fillId="26" borderId="2" xfId="0" applyFont="1" applyFill="1" applyBorder="1" applyAlignment="1">
      <alignment vertical="center" wrapText="1"/>
    </xf>
    <xf numFmtId="192" fontId="78" fillId="26" borderId="1" xfId="29" applyNumberFormat="1" applyFont="1" applyFill="1" applyBorder="1" applyAlignment="1">
      <alignment horizontal="center"/>
    </xf>
    <xf numFmtId="0" fontId="75" fillId="29" borderId="1" xfId="0" applyFont="1" applyFill="1" applyBorder="1" applyAlignment="1">
      <alignment vertical="center" wrapText="1"/>
    </xf>
    <xf numFmtId="0" fontId="75" fillId="25" borderId="7" xfId="0" applyFont="1" applyFill="1" applyBorder="1"/>
    <xf numFmtId="0" fontId="75" fillId="25" borderId="1" xfId="0" applyFont="1" applyFill="1" applyBorder="1"/>
    <xf numFmtId="0" fontId="75" fillId="25" borderId="1" xfId="0" applyFont="1" applyFill="1" applyBorder="1" applyAlignment="1">
      <alignment horizontal="left" wrapText="1"/>
    </xf>
    <xf numFmtId="0" fontId="0" fillId="0" borderId="0" xfId="0" applyAlignment="1">
      <alignment horizontal="center" vertical="center"/>
    </xf>
    <xf numFmtId="169" fontId="0" fillId="0" borderId="0" xfId="25" applyFont="1"/>
    <xf numFmtId="169" fontId="50" fillId="0" borderId="0" xfId="25" applyFont="1" applyFill="1"/>
    <xf numFmtId="169" fontId="0" fillId="0" borderId="0" xfId="25" applyFont="1" applyAlignment="1">
      <alignment horizontal="left" vertical="center"/>
    </xf>
    <xf numFmtId="169" fontId="9" fillId="0" borderId="0" xfId="25" applyFont="1" applyFill="1" applyBorder="1" applyAlignment="1">
      <alignment horizontal="center" vertical="center"/>
    </xf>
    <xf numFmtId="169" fontId="6" fillId="0" borderId="0" xfId="25" applyFont="1"/>
    <xf numFmtId="169" fontId="51" fillId="0" borderId="0" xfId="25" applyFont="1" applyFill="1" applyAlignment="1"/>
    <xf numFmtId="169" fontId="0" fillId="0" borderId="0" xfId="25" applyFont="1" applyFill="1"/>
    <xf numFmtId="169" fontId="10" fillId="0" borderId="0" xfId="25" applyFont="1" applyFill="1" applyBorder="1" applyAlignment="1">
      <alignment vertical="center"/>
    </xf>
    <xf numFmtId="169" fontId="6" fillId="0" borderId="0" xfId="25" applyFont="1" applyFill="1"/>
    <xf numFmtId="169" fontId="6" fillId="0" borderId="0" xfId="25" applyFont="1" applyAlignment="1">
      <alignment vertical="center"/>
    </xf>
    <xf numFmtId="169" fontId="0" fillId="0" borderId="0" xfId="0" applyNumberFormat="1" applyAlignment="1">
      <alignment horizontal="left" vertical="center"/>
    </xf>
    <xf numFmtId="0" fontId="76" fillId="25" borderId="7" xfId="0" applyFont="1" applyFill="1" applyBorder="1" applyAlignment="1">
      <alignment horizontal="center" vertical="center"/>
    </xf>
    <xf numFmtId="0" fontId="75" fillId="29" borderId="0" xfId="0" applyFont="1" applyFill="1" applyAlignment="1">
      <alignment horizontal="center" vertical="center"/>
    </xf>
    <xf numFmtId="0" fontId="75" fillId="29" borderId="7" xfId="0" applyFont="1" applyFill="1" applyBorder="1" applyAlignment="1">
      <alignment vertical="center"/>
    </xf>
    <xf numFmtId="49" fontId="25" fillId="0" borderId="0" xfId="27" applyNumberFormat="1" applyFont="1" applyFill="1" applyBorder="1" applyAlignment="1">
      <alignment horizontal="center" vertical="center"/>
    </xf>
    <xf numFmtId="49" fontId="25" fillId="0" borderId="0" xfId="27" applyNumberFormat="1" applyFont="1" applyFill="1" applyAlignment="1">
      <alignment horizontal="center" vertical="center"/>
    </xf>
    <xf numFmtId="49" fontId="25" fillId="9" borderId="0" xfId="27" applyNumberFormat="1" applyFont="1" applyFill="1" applyBorder="1" applyAlignment="1">
      <alignment vertical="center"/>
    </xf>
    <xf numFmtId="49" fontId="12" fillId="9" borderId="0" xfId="27" applyNumberFormat="1" applyFont="1" applyFill="1" applyBorder="1" applyAlignment="1">
      <alignment horizontal="center" vertical="center"/>
    </xf>
    <xf numFmtId="0" fontId="25" fillId="9" borderId="0" xfId="27" applyFont="1" applyFill="1" applyBorder="1" applyAlignment="1">
      <alignment vertical="center"/>
    </xf>
    <xf numFmtId="3" fontId="25" fillId="9" borderId="0" xfId="27" applyNumberFormat="1" applyFont="1" applyFill="1" applyBorder="1" applyAlignment="1">
      <alignment horizontal="center" vertical="center"/>
    </xf>
    <xf numFmtId="0" fontId="25" fillId="9" borderId="0" xfId="27" applyFont="1" applyFill="1" applyBorder="1" applyAlignment="1">
      <alignment horizontal="center" vertical="center"/>
    </xf>
    <xf numFmtId="4" fontId="25" fillId="9" borderId="0" xfId="27" applyNumberFormat="1" applyFont="1" applyFill="1" applyBorder="1" applyAlignment="1">
      <alignment vertical="center"/>
    </xf>
    <xf numFmtId="0" fontId="25" fillId="9" borderId="0" xfId="27" applyFont="1" applyFill="1" applyAlignment="1">
      <alignment vertical="center"/>
    </xf>
    <xf numFmtId="0" fontId="0" fillId="9" borderId="0" xfId="0" applyFill="1"/>
    <xf numFmtId="49" fontId="25" fillId="9" borderId="0" xfId="27" applyNumberFormat="1" applyFont="1" applyFill="1" applyAlignment="1">
      <alignment vertical="center"/>
    </xf>
    <xf numFmtId="49" fontId="25" fillId="9" borderId="0" xfId="27" applyNumberFormat="1" applyFont="1" applyFill="1" applyBorder="1" applyAlignment="1">
      <alignment horizontal="center" vertical="center"/>
    </xf>
    <xf numFmtId="49" fontId="12" fillId="9" borderId="0" xfId="27" applyNumberFormat="1" applyFont="1" applyFill="1" applyAlignment="1">
      <alignment horizontal="center" vertical="center"/>
    </xf>
    <xf numFmtId="3" fontId="25" fillId="9" borderId="0" xfId="27" applyNumberFormat="1" applyFont="1" applyFill="1" applyAlignment="1">
      <alignment horizontal="center" vertical="center"/>
    </xf>
    <xf numFmtId="0" fontId="25" fillId="9" borderId="0" xfId="27" applyFont="1" applyFill="1" applyAlignment="1">
      <alignment horizontal="center" vertical="center"/>
    </xf>
    <xf numFmtId="4" fontId="25" fillId="9" borderId="0" xfId="27" applyNumberFormat="1" applyFont="1" applyFill="1" applyAlignment="1">
      <alignment vertical="center"/>
    </xf>
    <xf numFmtId="49" fontId="25" fillId="9" borderId="0" xfId="27" applyNumberFormat="1" applyFont="1" applyFill="1" applyAlignment="1">
      <alignment horizontal="center" vertical="center"/>
    </xf>
    <xf numFmtId="0" fontId="48" fillId="26" borderId="29" xfId="0" applyFont="1" applyFill="1" applyBorder="1" applyAlignment="1">
      <alignment vertical="center"/>
    </xf>
    <xf numFmtId="164" fontId="48" fillId="26" borderId="38" xfId="0" applyNumberFormat="1" applyFont="1" applyFill="1" applyBorder="1" applyAlignment="1">
      <alignment vertical="center"/>
    </xf>
    <xf numFmtId="164" fontId="80" fillId="0" borderId="7" xfId="29" applyFont="1" applyBorder="1" applyAlignment="1">
      <alignment horizontal="center" vertical="center"/>
    </xf>
    <xf numFmtId="196" fontId="80" fillId="0" borderId="7" xfId="29" applyNumberFormat="1" applyFont="1" applyBorder="1" applyAlignment="1">
      <alignment horizontal="center" vertical="center"/>
    </xf>
    <xf numFmtId="164" fontId="80" fillId="0" borderId="1" xfId="29" applyFont="1" applyBorder="1" applyAlignment="1">
      <alignment horizontal="center" vertical="center"/>
    </xf>
    <xf numFmtId="164" fontId="80" fillId="0" borderId="1" xfId="29" applyFont="1" applyFill="1" applyBorder="1" applyAlignment="1">
      <alignment horizontal="center" vertical="center"/>
    </xf>
    <xf numFmtId="164" fontId="78" fillId="26" borderId="38" xfId="0" applyNumberFormat="1" applyFont="1" applyFill="1" applyBorder="1" applyAlignment="1">
      <alignment vertical="center"/>
    </xf>
    <xf numFmtId="164" fontId="30" fillId="0" borderId="1" xfId="29" applyFont="1" applyBorder="1" applyAlignment="1">
      <alignment horizontal="center" vertical="center"/>
    </xf>
    <xf numFmtId="164" fontId="30" fillId="0" borderId="5" xfId="29" applyFont="1" applyBorder="1" applyAlignment="1">
      <alignment horizontal="center" vertical="center"/>
    </xf>
    <xf numFmtId="164" fontId="78" fillId="26" borderId="1" xfId="29" applyFont="1" applyFill="1" applyBorder="1" applyAlignment="1">
      <alignment horizontal="center"/>
    </xf>
    <xf numFmtId="164" fontId="30" fillId="0" borderId="1" xfId="29" applyFont="1" applyBorder="1" applyAlignment="1">
      <alignment horizontal="center"/>
    </xf>
    <xf numFmtId="0" fontId="78" fillId="26" borderId="4" xfId="0" applyFont="1" applyFill="1" applyBorder="1" applyAlignment="1">
      <alignment wrapText="1"/>
    </xf>
    <xf numFmtId="164" fontId="78" fillId="26" borderId="20" xfId="0" applyNumberFormat="1" applyFont="1" applyFill="1" applyBorder="1" applyAlignment="1">
      <alignment wrapText="1"/>
    </xf>
    <xf numFmtId="0" fontId="78" fillId="26" borderId="1" xfId="0" applyFont="1" applyFill="1" applyBorder="1" applyAlignment="1">
      <alignment vertical="center"/>
    </xf>
    <xf numFmtId="164" fontId="78" fillId="26" borderId="1" xfId="0" applyNumberFormat="1" applyFont="1" applyFill="1" applyBorder="1" applyAlignment="1">
      <alignment vertical="center"/>
    </xf>
    <xf numFmtId="164" fontId="30" fillId="0" borderId="5" xfId="29" applyFont="1" applyBorder="1" applyAlignment="1">
      <alignment horizontal="center"/>
    </xf>
    <xf numFmtId="0" fontId="48" fillId="26" borderId="1" xfId="0" applyFont="1" applyFill="1" applyBorder="1" applyAlignment="1">
      <alignment horizontal="center"/>
    </xf>
    <xf numFmtId="164" fontId="78" fillId="26" borderId="1" xfId="29" applyFont="1" applyFill="1" applyBorder="1"/>
    <xf numFmtId="164" fontId="30" fillId="0" borderId="1" xfId="29" applyFont="1" applyBorder="1"/>
    <xf numFmtId="164" fontId="30" fillId="0" borderId="0" xfId="29" applyFont="1" applyAlignment="1">
      <alignment horizontal="center"/>
    </xf>
    <xf numFmtId="164" fontId="30" fillId="0" borderId="5" xfId="29" applyFont="1" applyBorder="1"/>
    <xf numFmtId="0" fontId="48" fillId="26" borderId="1" xfId="0" applyFont="1" applyFill="1" applyBorder="1" applyAlignment="1">
      <alignment vertical="center"/>
    </xf>
    <xf numFmtId="164" fontId="48" fillId="26" borderId="1" xfId="0" applyNumberFormat="1" applyFont="1" applyFill="1" applyBorder="1" applyAlignment="1">
      <alignment vertical="center"/>
    </xf>
    <xf numFmtId="164" fontId="80" fillId="0" borderId="5" xfId="29" applyFont="1" applyBorder="1" applyAlignment="1">
      <alignment horizontal="center" vertical="center"/>
    </xf>
    <xf numFmtId="164" fontId="48" fillId="26" borderId="26" xfId="29" applyFont="1" applyFill="1" applyBorder="1" applyAlignment="1">
      <alignment horizontal="center" vertical="center"/>
    </xf>
    <xf numFmtId="164" fontId="80" fillId="26" borderId="1" xfId="29" applyFont="1" applyFill="1" applyBorder="1" applyAlignment="1">
      <alignment horizontal="center"/>
    </xf>
    <xf numFmtId="0" fontId="78" fillId="26" borderId="1" xfId="0" applyFont="1" applyFill="1" applyBorder="1" applyAlignment="1"/>
    <xf numFmtId="164" fontId="78" fillId="26" borderId="1" xfId="0" applyNumberFormat="1" applyFont="1" applyFill="1" applyBorder="1" applyAlignment="1"/>
    <xf numFmtId="0" fontId="78" fillId="26" borderId="1" xfId="0" applyFont="1" applyFill="1" applyBorder="1" applyAlignment="1">
      <alignment wrapText="1"/>
    </xf>
    <xf numFmtId="164" fontId="78" fillId="26" borderId="1" xfId="0" applyNumberFormat="1" applyFont="1" applyFill="1" applyBorder="1" applyAlignment="1">
      <alignment wrapText="1"/>
    </xf>
    <xf numFmtId="164" fontId="48" fillId="30" borderId="26" xfId="29" applyFont="1" applyFill="1" applyBorder="1" applyAlignment="1">
      <alignment vertical="center"/>
    </xf>
    <xf numFmtId="164" fontId="80" fillId="26" borderId="1" xfId="29" applyFont="1" applyFill="1" applyBorder="1" applyAlignment="1">
      <alignment horizontal="center" vertical="center"/>
    </xf>
    <xf numFmtId="164" fontId="78" fillId="26" borderId="1" xfId="29" applyFont="1" applyFill="1" applyBorder="1" applyAlignment="1">
      <alignment vertical="center"/>
    </xf>
    <xf numFmtId="164" fontId="78" fillId="26" borderId="1" xfId="29" applyFont="1" applyFill="1" applyBorder="1" applyAlignment="1">
      <alignment horizontal="center" vertical="center"/>
    </xf>
    <xf numFmtId="0" fontId="78" fillId="26" borderId="4" xfId="0" applyFont="1" applyFill="1" applyBorder="1" applyAlignment="1"/>
    <xf numFmtId="164" fontId="78" fillId="26" borderId="20" xfId="0" applyNumberFormat="1" applyFont="1" applyFill="1" applyBorder="1" applyAlignment="1"/>
    <xf numFmtId="0" fontId="78" fillId="26" borderId="4" xfId="0" applyFont="1" applyFill="1" applyBorder="1" applyAlignment="1">
      <alignment vertical="center" wrapText="1"/>
    </xf>
    <xf numFmtId="164" fontId="78" fillId="26" borderId="20" xfId="0" applyNumberFormat="1" applyFont="1" applyFill="1" applyBorder="1" applyAlignment="1">
      <alignment vertical="center" wrapText="1"/>
    </xf>
    <xf numFmtId="164" fontId="48" fillId="30" borderId="26" xfId="29" applyNumberFormat="1" applyFont="1" applyFill="1" applyBorder="1" applyAlignment="1"/>
    <xf numFmtId="0" fontId="30" fillId="0" borderId="0" xfId="0" applyFont="1" applyBorder="1" applyAlignment="1">
      <alignment horizontal="left" vertical="center"/>
    </xf>
    <xf numFmtId="164" fontId="30" fillId="0" borderId="0" xfId="29" applyFont="1" applyBorder="1" applyAlignment="1">
      <alignment horizontal="center"/>
    </xf>
    <xf numFmtId="164" fontId="30" fillId="29" borderId="7" xfId="29" applyFont="1" applyFill="1" applyBorder="1" applyAlignment="1">
      <alignment horizontal="center"/>
    </xf>
    <xf numFmtId="164" fontId="48" fillId="29" borderId="7" xfId="29" applyFont="1" applyFill="1" applyBorder="1" applyAlignment="1">
      <alignment horizontal="center" vertical="center"/>
    </xf>
    <xf numFmtId="164" fontId="80" fillId="29" borderId="1" xfId="29" applyFont="1" applyFill="1" applyBorder="1" applyAlignment="1">
      <alignment horizontal="center" vertical="center"/>
    </xf>
    <xf numFmtId="164" fontId="78" fillId="29" borderId="1" xfId="29" applyFont="1" applyFill="1" applyBorder="1" applyAlignment="1">
      <alignment horizontal="center" vertical="center"/>
    </xf>
    <xf numFmtId="164" fontId="81" fillId="29" borderId="6" xfId="0" applyNumberFormat="1" applyFont="1" applyFill="1" applyBorder="1" applyAlignment="1">
      <alignment vertical="center" wrapText="1"/>
    </xf>
    <xf numFmtId="164" fontId="78" fillId="25" borderId="7" xfId="29" applyFont="1" applyFill="1" applyBorder="1" applyAlignment="1">
      <alignment horizontal="center"/>
    </xf>
    <xf numFmtId="164" fontId="78" fillId="25" borderId="1" xfId="29" applyFont="1" applyFill="1" applyBorder="1" applyAlignment="1">
      <alignment horizontal="center"/>
    </xf>
    <xf numFmtId="164" fontId="78" fillId="25" borderId="1" xfId="29" applyFont="1" applyFill="1" applyBorder="1"/>
    <xf numFmtId="0" fontId="71" fillId="25" borderId="4" xfId="0" applyFont="1" applyFill="1" applyBorder="1" applyAlignment="1"/>
    <xf numFmtId="164" fontId="71" fillId="25" borderId="4" xfId="0" applyNumberFormat="1" applyFont="1" applyFill="1" applyBorder="1" applyAlignment="1"/>
    <xf numFmtId="164" fontId="48" fillId="25" borderId="1" xfId="29" applyFont="1" applyFill="1" applyBorder="1" applyAlignment="1">
      <alignment horizontal="center" vertical="center"/>
    </xf>
    <xf numFmtId="164" fontId="48" fillId="30" borderId="26" xfId="29" applyFont="1" applyFill="1" applyBorder="1" applyAlignment="1">
      <alignment horizontal="center"/>
    </xf>
    <xf numFmtId="164" fontId="78" fillId="29" borderId="7" xfId="29" applyFont="1" applyFill="1" applyBorder="1" applyAlignment="1">
      <alignment horizontal="center" vertical="center"/>
    </xf>
    <xf numFmtId="0" fontId="48" fillId="0" borderId="40" xfId="0" applyFont="1" applyFill="1" applyBorder="1" applyAlignment="1">
      <alignment horizontal="left"/>
    </xf>
    <xf numFmtId="164" fontId="48" fillId="0" borderId="19" xfId="29" applyFont="1" applyFill="1" applyBorder="1" applyAlignment="1">
      <alignment horizontal="center"/>
    </xf>
    <xf numFmtId="0" fontId="78" fillId="0" borderId="0" xfId="0" applyFont="1" applyBorder="1" applyAlignment="1">
      <alignment horizontal="center"/>
    </xf>
    <xf numFmtId="0" fontId="80" fillId="0" borderId="7" xfId="0" applyFont="1" applyBorder="1" applyAlignment="1">
      <alignment horizontal="center" vertical="center"/>
    </xf>
    <xf numFmtId="1" fontId="80" fillId="0" borderId="7" xfId="29" applyNumberFormat="1" applyFont="1" applyBorder="1" applyAlignment="1">
      <alignment horizontal="center" vertical="center"/>
    </xf>
    <xf numFmtId="0" fontId="80" fillId="0" borderId="1" xfId="0" applyFont="1" applyBorder="1" applyAlignment="1">
      <alignment horizontal="center" vertical="center"/>
    </xf>
    <xf numFmtId="1" fontId="80" fillId="0" borderId="1" xfId="29" applyNumberFormat="1" applyFont="1" applyBorder="1" applyAlignment="1">
      <alignment horizontal="center" vertical="center"/>
    </xf>
    <xf numFmtId="0" fontId="30" fillId="0" borderId="1" xfId="0" applyFont="1" applyBorder="1" applyAlignment="1">
      <alignment horizontal="center" vertical="center"/>
    </xf>
    <xf numFmtId="1" fontId="30" fillId="0" borderId="1" xfId="29" applyNumberFormat="1" applyFont="1" applyBorder="1" applyAlignment="1">
      <alignment horizontal="center" vertical="center"/>
    </xf>
    <xf numFmtId="0" fontId="30" fillId="0" borderId="5" xfId="0" applyFont="1" applyBorder="1" applyAlignment="1">
      <alignment horizontal="center" vertical="center"/>
    </xf>
    <xf numFmtId="1" fontId="30" fillId="0" borderId="5" xfId="29" applyNumberFormat="1" applyFont="1" applyBorder="1" applyAlignment="1">
      <alignment horizontal="center" vertical="center"/>
    </xf>
    <xf numFmtId="0" fontId="78" fillId="26" borderId="1" xfId="0" applyFont="1" applyFill="1" applyBorder="1" applyAlignment="1">
      <alignment horizontal="center"/>
    </xf>
    <xf numFmtId="1" fontId="78" fillId="26" borderId="1" xfId="29" applyNumberFormat="1" applyFont="1" applyFill="1" applyBorder="1" applyAlignment="1">
      <alignment horizontal="center"/>
    </xf>
    <xf numFmtId="0" fontId="30" fillId="0" borderId="1" xfId="0" applyFont="1" applyBorder="1" applyAlignment="1">
      <alignment horizontal="center"/>
    </xf>
    <xf numFmtId="1" fontId="30" fillId="0" borderId="1" xfId="29" applyNumberFormat="1" applyFont="1" applyBorder="1" applyAlignment="1">
      <alignment horizontal="center"/>
    </xf>
    <xf numFmtId="0" fontId="30" fillId="0" borderId="5" xfId="0" applyFont="1" applyBorder="1" applyAlignment="1">
      <alignment horizontal="center"/>
    </xf>
    <xf numFmtId="1" fontId="30" fillId="0" borderId="5" xfId="29" applyNumberFormat="1" applyFont="1" applyBorder="1" applyAlignment="1">
      <alignment horizontal="center"/>
    </xf>
    <xf numFmtId="0" fontId="30" fillId="0" borderId="0" xfId="0" applyFont="1" applyAlignment="1">
      <alignment horizontal="center"/>
    </xf>
    <xf numFmtId="1" fontId="30" fillId="0" borderId="0" xfId="29" applyNumberFormat="1" applyFont="1" applyAlignment="1">
      <alignment horizontal="center"/>
    </xf>
    <xf numFmtId="0" fontId="80" fillId="0" borderId="5" xfId="0" applyFont="1" applyBorder="1" applyAlignment="1">
      <alignment horizontal="center" vertical="center"/>
    </xf>
    <xf numFmtId="1" fontId="80" fillId="0" borderId="5" xfId="29" applyNumberFormat="1" applyFont="1" applyBorder="1" applyAlignment="1">
      <alignment horizontal="center" vertical="center"/>
    </xf>
    <xf numFmtId="0" fontId="80" fillId="26" borderId="1" xfId="0" applyFont="1" applyFill="1" applyBorder="1" applyAlignment="1">
      <alignment horizontal="center"/>
    </xf>
    <xf numFmtId="1" fontId="80" fillId="26" borderId="1" xfId="29" applyNumberFormat="1" applyFont="1" applyFill="1" applyBorder="1" applyAlignment="1">
      <alignment horizontal="center"/>
    </xf>
    <xf numFmtId="1" fontId="80" fillId="26" borderId="1" xfId="29" applyNumberFormat="1" applyFont="1" applyFill="1" applyBorder="1" applyAlignment="1">
      <alignment horizontal="center" vertical="center"/>
    </xf>
    <xf numFmtId="1" fontId="78" fillId="26" borderId="1" xfId="29" applyNumberFormat="1" applyFont="1" applyFill="1" applyBorder="1" applyAlignment="1">
      <alignment horizontal="center" vertical="center"/>
    </xf>
    <xf numFmtId="0" fontId="30" fillId="29" borderId="7" xfId="0" applyFont="1" applyFill="1" applyBorder="1" applyAlignment="1">
      <alignment horizontal="center"/>
    </xf>
    <xf numFmtId="1" fontId="30" fillId="29" borderId="7" xfId="29" applyNumberFormat="1" applyFont="1" applyFill="1" applyBorder="1" applyAlignment="1">
      <alignment horizontal="center"/>
    </xf>
    <xf numFmtId="0" fontId="80" fillId="29" borderId="1" xfId="0" applyFont="1" applyFill="1" applyBorder="1" applyAlignment="1">
      <alignment horizontal="center" vertical="center"/>
    </xf>
    <xf numFmtId="1" fontId="80" fillId="29" borderId="1" xfId="29" applyNumberFormat="1" applyFont="1" applyFill="1" applyBorder="1" applyAlignment="1">
      <alignment horizontal="center" vertical="center"/>
    </xf>
    <xf numFmtId="1" fontId="78" fillId="25" borderId="7" xfId="29" applyNumberFormat="1" applyFont="1" applyFill="1" applyBorder="1" applyAlignment="1">
      <alignment horizontal="center"/>
    </xf>
    <xf numFmtId="1" fontId="78" fillId="25" borderId="1" xfId="29" applyNumberFormat="1" applyFont="1" applyFill="1" applyBorder="1" applyAlignment="1">
      <alignment horizontal="center"/>
    </xf>
    <xf numFmtId="0" fontId="48" fillId="25" borderId="1" xfId="0" applyFont="1" applyFill="1" applyBorder="1" applyAlignment="1">
      <alignment horizontal="center" vertical="center"/>
    </xf>
    <xf numFmtId="1" fontId="48" fillId="25" borderId="1" xfId="29" applyNumberFormat="1" applyFont="1" applyFill="1" applyBorder="1" applyAlignment="1">
      <alignment horizontal="center" vertical="center"/>
    </xf>
    <xf numFmtId="0" fontId="78" fillId="25" borderId="7" xfId="0" applyFont="1" applyFill="1" applyBorder="1" applyAlignment="1">
      <alignment horizontal="center"/>
    </xf>
    <xf numFmtId="0" fontId="78" fillId="29" borderId="7" xfId="0" applyFont="1" applyFill="1" applyBorder="1" applyAlignment="1">
      <alignment horizontal="center" vertical="center"/>
    </xf>
    <xf numFmtId="1" fontId="78" fillId="29" borderId="7" xfId="29" applyNumberFormat="1" applyFont="1" applyFill="1" applyBorder="1" applyAlignment="1">
      <alignment horizontal="center" vertical="center"/>
    </xf>
    <xf numFmtId="0" fontId="48" fillId="0" borderId="0" xfId="0" applyFont="1" applyFill="1" applyBorder="1" applyAlignment="1">
      <alignment horizontal="left"/>
    </xf>
    <xf numFmtId="0" fontId="78" fillId="0" borderId="0" xfId="0" applyFont="1" applyAlignment="1">
      <alignment horizontal="center"/>
    </xf>
    <xf numFmtId="3" fontId="72" fillId="0" borderId="1" xfId="0" applyNumberFormat="1" applyFont="1" applyFill="1" applyBorder="1" applyAlignment="1">
      <alignment horizontal="center" vertical="center"/>
    </xf>
    <xf numFmtId="197" fontId="0" fillId="0" borderId="0" xfId="0" applyNumberFormat="1"/>
    <xf numFmtId="198" fontId="10" fillId="2" borderId="1" xfId="0" applyNumberFormat="1" applyFont="1" applyFill="1" applyBorder="1"/>
    <xf numFmtId="2" fontId="24" fillId="2" borderId="1" xfId="0" applyNumberFormat="1" applyFont="1" applyFill="1" applyBorder="1" applyAlignment="1">
      <alignment horizontal="center"/>
    </xf>
    <xf numFmtId="0" fontId="24" fillId="0" borderId="1" xfId="0" applyFont="1" applyBorder="1" applyAlignment="1">
      <alignment horizontal="center"/>
    </xf>
    <xf numFmtId="201" fontId="0" fillId="0" borderId="0" xfId="0" applyNumberFormat="1"/>
    <xf numFmtId="173" fontId="50" fillId="10" borderId="1" xfId="7" applyNumberFormat="1" applyFont="1" applyFill="1" applyBorder="1" applyAlignment="1" applyProtection="1">
      <alignment horizontal="center" vertical="center" wrapText="1"/>
    </xf>
    <xf numFmtId="202" fontId="13" fillId="15" borderId="1" xfId="6" applyNumberFormat="1" applyFont="1" applyFill="1" applyBorder="1" applyAlignment="1">
      <alignment vertical="center"/>
    </xf>
    <xf numFmtId="196" fontId="78" fillId="29" borderId="1" xfId="29" applyNumberFormat="1" applyFont="1" applyFill="1" applyBorder="1" applyAlignment="1">
      <alignment horizontal="center"/>
    </xf>
    <xf numFmtId="169" fontId="76" fillId="0" borderId="0" xfId="25" applyFont="1" applyAlignment="1">
      <alignment horizontal="left" vertical="center"/>
    </xf>
    <xf numFmtId="0" fontId="30" fillId="0" borderId="1" xfId="0" applyFont="1" applyFill="1" applyBorder="1" applyAlignment="1">
      <alignment horizontal="center"/>
    </xf>
    <xf numFmtId="176" fontId="30" fillId="0" borderId="1" xfId="29" applyNumberFormat="1" applyFont="1" applyFill="1" applyBorder="1" applyAlignment="1">
      <alignment horizontal="center"/>
    </xf>
    <xf numFmtId="1" fontId="30" fillId="0" borderId="1" xfId="29" applyNumberFormat="1" applyFont="1" applyFill="1" applyBorder="1" applyAlignment="1">
      <alignment horizontal="center"/>
    </xf>
    <xf numFmtId="169" fontId="76" fillId="0" borderId="0" xfId="25" applyFont="1" applyFill="1" applyAlignment="1">
      <alignment horizontal="center" vertical="center"/>
    </xf>
    <xf numFmtId="164" fontId="0" fillId="0" borderId="0" xfId="0" applyNumberFormat="1" applyFill="1"/>
    <xf numFmtId="164" fontId="30" fillId="0" borderId="1" xfId="29" applyFont="1" applyFill="1" applyBorder="1" applyAlignment="1">
      <alignment horizontal="center" vertical="center"/>
    </xf>
    <xf numFmtId="196" fontId="78" fillId="29" borderId="1" xfId="29" applyNumberFormat="1" applyFont="1" applyFill="1" applyBorder="1" applyAlignment="1">
      <alignment horizontal="center" vertical="center"/>
    </xf>
    <xf numFmtId="164" fontId="0" fillId="0" borderId="0" xfId="0" applyNumberFormat="1" applyAlignment="1">
      <alignment vertical="center"/>
    </xf>
    <xf numFmtId="169" fontId="0" fillId="0" borderId="0" xfId="25" applyFont="1" applyAlignment="1">
      <alignment vertical="center"/>
    </xf>
    <xf numFmtId="0" fontId="0" fillId="0" borderId="0" xfId="0" applyAlignment="1">
      <alignment vertical="center"/>
    </xf>
    <xf numFmtId="0" fontId="30" fillId="0" borderId="1" xfId="0" applyFont="1" applyFill="1" applyBorder="1" applyAlignment="1">
      <alignment horizontal="center" vertical="center"/>
    </xf>
    <xf numFmtId="1" fontId="30" fillId="0" borderId="1" xfId="29" applyNumberFormat="1" applyFont="1" applyFill="1" applyBorder="1" applyAlignment="1">
      <alignment horizontal="center" vertical="center"/>
    </xf>
    <xf numFmtId="2" fontId="30" fillId="0" borderId="1" xfId="29"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wrapText="1"/>
    </xf>
    <xf numFmtId="164" fontId="30" fillId="0" borderId="1" xfId="29" applyFont="1" applyFill="1" applyBorder="1" applyAlignment="1">
      <alignment horizontal="center"/>
    </xf>
    <xf numFmtId="0" fontId="0" fillId="0" borderId="1" xfId="0" applyFill="1" applyBorder="1" applyAlignment="1">
      <alignment horizontal="left" vertical="center" wrapText="1"/>
    </xf>
    <xf numFmtId="164" fontId="30" fillId="0" borderId="1" xfId="29" applyFont="1" applyFill="1" applyBorder="1" applyAlignment="1">
      <alignment vertical="center"/>
    </xf>
    <xf numFmtId="0" fontId="0" fillId="0" borderId="1" xfId="0" applyFill="1" applyBorder="1" applyAlignment="1">
      <alignment vertical="center" wrapText="1"/>
    </xf>
    <xf numFmtId="0" fontId="76" fillId="10" borderId="1" xfId="0" applyFont="1" applyFill="1" applyBorder="1" applyAlignment="1">
      <alignment wrapText="1"/>
    </xf>
    <xf numFmtId="180" fontId="24" fillId="0" borderId="1" xfId="0" applyNumberFormat="1" applyFont="1" applyFill="1" applyBorder="1" applyAlignment="1">
      <alignment horizontal="center"/>
    </xf>
    <xf numFmtId="194" fontId="45" fillId="30" borderId="1" xfId="0" applyNumberFormat="1" applyFont="1" applyFill="1" applyBorder="1" applyAlignment="1" applyProtection="1">
      <alignment horizontal="right" vertical="center"/>
    </xf>
    <xf numFmtId="0" fontId="60" fillId="0" borderId="1" xfId="12" applyFont="1" applyFill="1" applyBorder="1" applyAlignment="1">
      <alignment horizontal="justify" vertical="center" wrapText="1"/>
    </xf>
    <xf numFmtId="175" fontId="24" fillId="0" borderId="1" xfId="0" applyNumberFormat="1" applyFont="1" applyBorder="1"/>
    <xf numFmtId="175" fontId="24" fillId="0" borderId="1" xfId="0" applyNumberFormat="1" applyFont="1" applyBorder="1" applyAlignment="1">
      <alignment horizontal="left" vertical="center"/>
    </xf>
    <xf numFmtId="0" fontId="24" fillId="0" borderId="0" xfId="0" applyFont="1" applyFill="1" applyBorder="1"/>
    <xf numFmtId="0" fontId="24" fillId="0" borderId="1" xfId="28" applyNumberFormat="1" applyFont="1" applyBorder="1" applyAlignment="1">
      <alignment horizontal="center" vertical="center"/>
    </xf>
    <xf numFmtId="175" fontId="24" fillId="0" borderId="1" xfId="0" applyNumberFormat="1" applyFont="1" applyBorder="1" applyAlignment="1">
      <alignment horizontal="left"/>
    </xf>
    <xf numFmtId="176" fontId="24" fillId="0" borderId="1" xfId="0" applyNumberFormat="1" applyFont="1" applyFill="1" applyBorder="1" applyAlignment="1">
      <alignment horizontal="center"/>
    </xf>
    <xf numFmtId="176" fontId="24" fillId="0" borderId="1" xfId="0" applyNumberFormat="1" applyFont="1" applyBorder="1" applyAlignment="1">
      <alignment horizontal="center"/>
    </xf>
    <xf numFmtId="0" fontId="24" fillId="2" borderId="1" xfId="28" applyNumberFormat="1" applyFont="1" applyFill="1" applyBorder="1" applyAlignment="1">
      <alignment horizontal="center" vertical="center"/>
    </xf>
    <xf numFmtId="175" fontId="24" fillId="2" borderId="1" xfId="0" applyNumberFormat="1" applyFont="1" applyFill="1" applyBorder="1" applyAlignment="1">
      <alignment horizontal="right"/>
    </xf>
    <xf numFmtId="49" fontId="24" fillId="0" borderId="20" xfId="0" applyNumberFormat="1" applyFont="1" applyBorder="1" applyAlignment="1">
      <alignment horizontal="center"/>
    </xf>
    <xf numFmtId="175" fontId="24" fillId="8" borderId="1" xfId="0" applyNumberFormat="1" applyFont="1" applyFill="1" applyBorder="1" applyAlignment="1">
      <alignment vertical="center"/>
    </xf>
    <xf numFmtId="9" fontId="24" fillId="2" borderId="1" xfId="0" applyNumberFormat="1" applyFont="1" applyFill="1" applyBorder="1" applyAlignment="1">
      <alignment horizontal="center"/>
    </xf>
    <xf numFmtId="0" fontId="24" fillId="0" borderId="0" xfId="28" applyNumberFormat="1" applyFont="1" applyFill="1" applyBorder="1" applyAlignment="1">
      <alignment horizontal="center" vertical="center"/>
    </xf>
    <xf numFmtId="175" fontId="24" fillId="0" borderId="0" xfId="0" applyNumberFormat="1" applyFont="1" applyFill="1" applyBorder="1" applyAlignment="1">
      <alignment horizontal="right" vertical="center"/>
    </xf>
    <xf numFmtId="9" fontId="24" fillId="0" borderId="0" xfId="0" applyNumberFormat="1" applyFont="1" applyFill="1" applyBorder="1" applyAlignment="1">
      <alignment horizontal="center" vertical="center"/>
    </xf>
    <xf numFmtId="0" fontId="24" fillId="0" borderId="0" xfId="0" applyFont="1" applyFill="1" applyBorder="1" applyAlignment="1">
      <alignment horizontal="center" vertical="center"/>
    </xf>
    <xf numFmtId="49" fontId="24" fillId="0" borderId="1" xfId="0" applyNumberFormat="1" applyFont="1" applyFill="1" applyBorder="1" applyAlignment="1">
      <alignment horizontal="center"/>
    </xf>
    <xf numFmtId="49" fontId="24" fillId="0" borderId="1" xfId="0" applyNumberFormat="1" applyFont="1" applyFill="1" applyBorder="1"/>
    <xf numFmtId="178" fontId="24" fillId="0" borderId="1" xfId="0" applyNumberFormat="1" applyFont="1" applyBorder="1" applyAlignment="1">
      <alignment horizontal="center"/>
    </xf>
    <xf numFmtId="0" fontId="24" fillId="0" borderId="0" xfId="28" applyNumberFormat="1" applyFont="1" applyAlignment="1">
      <alignment horizontal="center" vertical="center"/>
    </xf>
    <xf numFmtId="175" fontId="24" fillId="0" borderId="0" xfId="0" applyNumberFormat="1" applyFont="1"/>
    <xf numFmtId="2" fontId="24" fillId="0" borderId="0" xfId="0" applyNumberFormat="1" applyFont="1"/>
    <xf numFmtId="170" fontId="24" fillId="0" borderId="0" xfId="0" applyNumberFormat="1" applyFont="1"/>
    <xf numFmtId="175" fontId="24" fillId="0" borderId="1" xfId="0" applyNumberFormat="1" applyFont="1" applyFill="1" applyBorder="1" applyAlignment="1">
      <alignment vertical="center"/>
    </xf>
    <xf numFmtId="9" fontId="24" fillId="0" borderId="1" xfId="0" applyNumberFormat="1" applyFont="1" applyFill="1" applyBorder="1" applyAlignment="1">
      <alignment horizontal="center"/>
    </xf>
    <xf numFmtId="180" fontId="10" fillId="0" borderId="2" xfId="0" applyNumberFormat="1" applyFont="1" applyFill="1" applyBorder="1" applyAlignment="1" applyProtection="1">
      <alignment horizontal="center" vertical="center"/>
      <protection locked="0"/>
    </xf>
    <xf numFmtId="0" fontId="60" fillId="0" borderId="1" xfId="0" applyFont="1" applyFill="1" applyBorder="1" applyAlignment="1">
      <alignment horizontal="justify" vertical="center"/>
    </xf>
    <xf numFmtId="170" fontId="60" fillId="0" borderId="1" xfId="0" applyNumberFormat="1" applyFont="1" applyFill="1" applyBorder="1" applyAlignment="1" applyProtection="1">
      <alignment horizontal="center" vertical="center"/>
      <protection locked="0"/>
    </xf>
    <xf numFmtId="173" fontId="60" fillId="0" borderId="1" xfId="0" applyNumberFormat="1" applyFont="1" applyFill="1" applyBorder="1" applyAlignment="1">
      <alignment horizontal="center" vertical="center" wrapText="1"/>
    </xf>
    <xf numFmtId="0" fontId="60" fillId="0" borderId="1" xfId="0" applyFont="1" applyFill="1" applyBorder="1" applyAlignment="1">
      <alignment horizontal="center" vertical="center"/>
    </xf>
    <xf numFmtId="173" fontId="60" fillId="0" borderId="1" xfId="0" applyNumberFormat="1" applyFont="1" applyFill="1" applyBorder="1" applyAlignment="1">
      <alignment horizontal="center" vertical="center"/>
    </xf>
    <xf numFmtId="180" fontId="60" fillId="0" borderId="1" xfId="0" applyNumberFormat="1" applyFont="1" applyFill="1" applyBorder="1" applyAlignment="1" applyProtection="1">
      <alignment horizontal="center" vertical="center" wrapText="1"/>
      <protection locked="0"/>
    </xf>
    <xf numFmtId="0" fontId="60" fillId="0" borderId="0" xfId="0" applyFont="1" applyFill="1" applyBorder="1" applyAlignment="1">
      <alignment vertical="center"/>
    </xf>
    <xf numFmtId="173" fontId="10" fillId="10" borderId="1" xfId="0" applyNumberFormat="1" applyFont="1" applyFill="1" applyBorder="1" applyAlignment="1">
      <alignment horizontal="center" vertical="center"/>
    </xf>
    <xf numFmtId="0" fontId="83" fillId="0" borderId="1" xfId="0" applyFont="1" applyBorder="1" applyAlignment="1">
      <alignment horizontal="center" vertical="center"/>
    </xf>
    <xf numFmtId="170" fontId="83" fillId="0" borderId="1" xfId="0" applyNumberFormat="1" applyFont="1" applyBorder="1" applyAlignment="1">
      <alignment horizontal="center" vertical="center"/>
    </xf>
    <xf numFmtId="49" fontId="10" fillId="0" borderId="5" xfId="0" applyNumberFormat="1" applyFont="1" applyBorder="1" applyAlignment="1">
      <alignment horizontal="center" vertical="center"/>
    </xf>
    <xf numFmtId="170" fontId="10" fillId="0" borderId="5" xfId="0" applyNumberFormat="1" applyFont="1" applyFill="1" applyBorder="1" applyAlignment="1">
      <alignment vertical="center"/>
    </xf>
    <xf numFmtId="170" fontId="10" fillId="0" borderId="5" xfId="0" applyNumberFormat="1" applyFont="1" applyBorder="1" applyAlignment="1">
      <alignment horizontal="center" vertical="center"/>
    </xf>
    <xf numFmtId="173" fontId="60" fillId="0" borderId="1" xfId="0" applyNumberFormat="1" applyFont="1" applyFill="1" applyBorder="1" applyAlignment="1" applyProtection="1">
      <alignment horizontal="center" vertical="center" wrapText="1"/>
      <protection locked="0"/>
    </xf>
    <xf numFmtId="170" fontId="11" fillId="0" borderId="0" xfId="0" applyNumberFormat="1" applyFont="1" applyFill="1" applyBorder="1" applyAlignment="1">
      <alignment horizontal="center"/>
    </xf>
    <xf numFmtId="2" fontId="24" fillId="0" borderId="1" xfId="0" applyNumberFormat="1" applyFont="1" applyFill="1" applyBorder="1" applyAlignment="1">
      <alignment horizontal="center"/>
    </xf>
    <xf numFmtId="0" fontId="9" fillId="2" borderId="1" xfId="32" applyNumberFormat="1" applyFont="1" applyFill="1" applyBorder="1" applyAlignment="1">
      <alignment horizontal="center" vertical="center"/>
    </xf>
    <xf numFmtId="0" fontId="10" fillId="0" borderId="1" xfId="32" applyNumberFormat="1" applyFont="1" applyBorder="1" applyAlignment="1">
      <alignment horizontal="center" vertical="center"/>
    </xf>
    <xf numFmtId="175" fontId="10" fillId="0" borderId="1" xfId="32" applyNumberFormat="1" applyFont="1" applyBorder="1" applyAlignment="1">
      <alignment horizontal="left"/>
    </xf>
    <xf numFmtId="2" fontId="10" fillId="0" borderId="1" xfId="32" applyNumberFormat="1" applyFont="1" applyFill="1" applyBorder="1" applyAlignment="1">
      <alignment horizontal="center"/>
    </xf>
    <xf numFmtId="0" fontId="10" fillId="0" borderId="1" xfId="32" applyFont="1" applyFill="1" applyBorder="1" applyAlignment="1">
      <alignment horizontal="center"/>
    </xf>
    <xf numFmtId="170" fontId="10" fillId="0" borderId="1" xfId="32" applyNumberFormat="1" applyFont="1" applyFill="1" applyBorder="1" applyAlignment="1">
      <alignment horizontal="center"/>
    </xf>
    <xf numFmtId="2" fontId="10" fillId="0" borderId="1" xfId="32" applyNumberFormat="1" applyFont="1" applyBorder="1" applyAlignment="1">
      <alignment horizontal="center"/>
    </xf>
    <xf numFmtId="0" fontId="10" fillId="0" borderId="1" xfId="32" applyFont="1" applyBorder="1" applyAlignment="1">
      <alignment horizontal="center"/>
    </xf>
    <xf numFmtId="170" fontId="10" fillId="0" borderId="1" xfId="32" applyNumberFormat="1" applyFont="1" applyBorder="1" applyAlignment="1">
      <alignment horizontal="center"/>
    </xf>
    <xf numFmtId="0" fontId="10" fillId="0" borderId="1" xfId="32" applyNumberFormat="1" applyFont="1" applyBorder="1" applyAlignment="1">
      <alignment horizontal="center"/>
    </xf>
    <xf numFmtId="175" fontId="10" fillId="0" borderId="1" xfId="32" applyNumberFormat="1" applyFont="1" applyBorder="1"/>
    <xf numFmtId="188" fontId="10" fillId="0" borderId="1" xfId="32" applyNumberFormat="1" applyFont="1" applyBorder="1" applyAlignment="1">
      <alignment horizontal="center"/>
    </xf>
    <xf numFmtId="0" fontId="10" fillId="2" borderId="1" xfId="32" applyNumberFormat="1" applyFont="1" applyFill="1" applyBorder="1" applyAlignment="1">
      <alignment horizontal="center"/>
    </xf>
    <xf numFmtId="175" fontId="10" fillId="2" borderId="1" xfId="32" applyNumberFormat="1" applyFont="1" applyFill="1" applyBorder="1"/>
    <xf numFmtId="2" fontId="10" fillId="2" borderId="1" xfId="32" applyNumberFormat="1" applyFont="1" applyFill="1" applyBorder="1" applyAlignment="1">
      <alignment horizontal="center"/>
    </xf>
    <xf numFmtId="0" fontId="10" fillId="0" borderId="0" xfId="32" applyFont="1" applyAlignment="1">
      <alignment horizontal="center"/>
    </xf>
    <xf numFmtId="170" fontId="10" fillId="0" borderId="0" xfId="32" applyNumberFormat="1" applyFont="1" applyAlignment="1">
      <alignment horizontal="center"/>
    </xf>
    <xf numFmtId="170" fontId="10" fillId="0" borderId="0" xfId="32" applyNumberFormat="1" applyFont="1" applyFill="1" applyAlignment="1">
      <alignment horizontal="center"/>
    </xf>
    <xf numFmtId="0" fontId="9" fillId="2" borderId="1" xfId="33" applyFont="1" applyFill="1" applyBorder="1" applyAlignment="1">
      <alignment horizontal="center"/>
    </xf>
    <xf numFmtId="0" fontId="10" fillId="0" borderId="1" xfId="33" applyFont="1" applyBorder="1" applyAlignment="1">
      <alignment horizontal="center"/>
    </xf>
    <xf numFmtId="0" fontId="10" fillId="0" borderId="1" xfId="33" applyFont="1" applyBorder="1" applyAlignment="1">
      <alignment horizontal="left"/>
    </xf>
    <xf numFmtId="0" fontId="10" fillId="0" borderId="2" xfId="33" applyFont="1" applyBorder="1" applyAlignment="1">
      <alignment horizontal="center"/>
    </xf>
    <xf numFmtId="176" fontId="10" fillId="0" borderId="1" xfId="33" applyNumberFormat="1" applyFont="1" applyBorder="1" applyAlignment="1">
      <alignment horizontal="center"/>
    </xf>
    <xf numFmtId="49" fontId="10" fillId="0" borderId="1" xfId="33" applyNumberFormat="1" applyFont="1" applyBorder="1" applyAlignment="1">
      <alignment horizontal="center"/>
    </xf>
    <xf numFmtId="171" fontId="10" fillId="0" borderId="1" xfId="33" applyNumberFormat="1" applyFont="1" applyBorder="1" applyAlignment="1">
      <alignment horizontal="center"/>
    </xf>
    <xf numFmtId="0" fontId="10" fillId="12" borderId="1" xfId="33" applyFont="1" applyFill="1" applyBorder="1" applyAlignment="1">
      <alignment horizontal="center" vertical="center"/>
    </xf>
    <xf numFmtId="186" fontId="10" fillId="12" borderId="1" xfId="33" applyNumberFormat="1" applyFont="1" applyFill="1" applyBorder="1" applyAlignment="1">
      <alignment horizontal="right"/>
    </xf>
    <xf numFmtId="49" fontId="10" fillId="0" borderId="20" xfId="33" applyNumberFormat="1" applyFont="1" applyBorder="1" applyAlignment="1">
      <alignment horizontal="center"/>
    </xf>
    <xf numFmtId="9" fontId="10" fillId="2" borderId="1" xfId="33" applyNumberFormat="1" applyFont="1" applyFill="1" applyBorder="1" applyAlignment="1">
      <alignment horizontal="center"/>
    </xf>
    <xf numFmtId="170" fontId="10" fillId="0" borderId="0" xfId="33" applyNumberFormat="1" applyFont="1" applyFill="1" applyBorder="1" applyAlignment="1">
      <alignment horizontal="left"/>
    </xf>
    <xf numFmtId="0" fontId="10" fillId="0" borderId="0" xfId="33" applyFont="1" applyFill="1" applyBorder="1" applyAlignment="1">
      <alignment horizontal="center"/>
    </xf>
    <xf numFmtId="164" fontId="10" fillId="0" borderId="1" xfId="34" applyFont="1" applyBorder="1" applyAlignment="1">
      <alignment horizontal="center"/>
    </xf>
    <xf numFmtId="0" fontId="10" fillId="0" borderId="0" xfId="33" applyFont="1" applyFill="1" applyBorder="1" applyAlignment="1">
      <alignment horizontal="center" vertical="center"/>
    </xf>
    <xf numFmtId="186" fontId="10" fillId="0" borderId="0" xfId="33" applyNumberFormat="1" applyFont="1" applyFill="1" applyBorder="1" applyAlignment="1">
      <alignment horizontal="right"/>
    </xf>
    <xf numFmtId="9" fontId="10" fillId="0" borderId="0" xfId="33" applyNumberFormat="1" applyFont="1" applyFill="1" applyBorder="1" applyAlignment="1">
      <alignment horizontal="center"/>
    </xf>
    <xf numFmtId="0" fontId="10" fillId="0" borderId="1" xfId="33" applyFont="1" applyBorder="1" applyAlignment="1">
      <alignment horizontal="left" wrapText="1"/>
    </xf>
    <xf numFmtId="0" fontId="10" fillId="0" borderId="1" xfId="33" applyFont="1" applyBorder="1" applyAlignment="1">
      <alignment horizontal="center" vertical="center"/>
    </xf>
    <xf numFmtId="0" fontId="10" fillId="0" borderId="20" xfId="33" applyFont="1" applyBorder="1" applyAlignment="1">
      <alignment horizontal="center" vertical="center"/>
    </xf>
    <xf numFmtId="164" fontId="10" fillId="0" borderId="1" xfId="29" applyFont="1" applyBorder="1" applyAlignment="1">
      <alignment horizontal="center" vertical="center"/>
    </xf>
    <xf numFmtId="0" fontId="10" fillId="0" borderId="1" xfId="33" applyFont="1" applyFill="1" applyBorder="1" applyAlignment="1">
      <alignment horizontal="center" vertical="center"/>
    </xf>
    <xf numFmtId="186" fontId="10" fillId="0" borderId="1" xfId="33" applyNumberFormat="1" applyFont="1" applyFill="1" applyBorder="1" applyAlignment="1">
      <alignment horizontal="right"/>
    </xf>
    <xf numFmtId="9" fontId="10" fillId="0" borderId="1" xfId="33" applyNumberFormat="1" applyFont="1" applyFill="1" applyBorder="1" applyAlignment="1">
      <alignment horizontal="center"/>
    </xf>
    <xf numFmtId="0" fontId="14" fillId="2" borderId="1" xfId="0" applyNumberFormat="1" applyFont="1" applyFill="1" applyBorder="1" applyAlignment="1">
      <alignment horizontal="center" vertical="center"/>
    </xf>
    <xf numFmtId="0" fontId="11" fillId="0" borderId="0" xfId="0" applyFont="1" applyAlignment="1">
      <alignment vertical="center"/>
    </xf>
    <xf numFmtId="0" fontId="11" fillId="0" borderId="1" xfId="0" applyFont="1" applyBorder="1" applyAlignment="1">
      <alignment horizontal="justify" vertical="center"/>
    </xf>
    <xf numFmtId="2" fontId="11" fillId="0" borderId="1" xfId="0" applyNumberFormat="1" applyFont="1" applyBorder="1" applyAlignment="1">
      <alignment horizontal="center" vertical="center"/>
    </xf>
    <xf numFmtId="170" fontId="11" fillId="0" borderId="1" xfId="0" applyNumberFormat="1" applyFont="1" applyFill="1" applyBorder="1" applyAlignment="1">
      <alignment horizontal="center" vertical="center"/>
    </xf>
    <xf numFmtId="0" fontId="11" fillId="0" borderId="1" xfId="6" applyFont="1" applyFill="1" applyBorder="1" applyAlignment="1">
      <alignment horizontal="center"/>
    </xf>
    <xf numFmtId="176" fontId="11" fillId="0" borderId="1" xfId="6" applyNumberFormat="1" applyFont="1" applyFill="1" applyBorder="1" applyAlignment="1">
      <alignment horizontal="center"/>
    </xf>
    <xf numFmtId="170" fontId="11" fillId="0" borderId="1" xfId="6" applyNumberFormat="1" applyFont="1" applyFill="1" applyBorder="1" applyAlignment="1">
      <alignment horizontal="center"/>
    </xf>
    <xf numFmtId="170" fontId="11" fillId="9" borderId="1" xfId="0" applyNumberFormat="1" applyFont="1" applyFill="1" applyBorder="1" applyAlignment="1">
      <alignment horizontal="center" vertical="center"/>
    </xf>
    <xf numFmtId="175" fontId="11" fillId="2" borderId="1" xfId="0" applyNumberFormat="1" applyFont="1" applyFill="1" applyBorder="1" applyAlignment="1">
      <alignment horizontal="right" vertical="center"/>
    </xf>
    <xf numFmtId="175" fontId="11" fillId="2" borderId="1" xfId="0" applyNumberFormat="1" applyFont="1" applyFill="1" applyBorder="1" applyAlignment="1">
      <alignment vertical="center"/>
    </xf>
    <xf numFmtId="0" fontId="11" fillId="0" borderId="0" xfId="0" applyFont="1" applyAlignment="1">
      <alignment horizontal="center" vertical="center"/>
    </xf>
    <xf numFmtId="170" fontId="11" fillId="0" borderId="0" xfId="0" applyNumberFormat="1" applyFont="1" applyAlignment="1">
      <alignment horizontal="center" vertical="center"/>
    </xf>
    <xf numFmtId="0" fontId="85" fillId="0" borderId="1" xfId="32" applyFont="1" applyBorder="1" applyAlignment="1">
      <alignment horizontal="center" vertical="center" wrapText="1"/>
    </xf>
    <xf numFmtId="0" fontId="85" fillId="0" borderId="61" xfId="32" applyFont="1" applyFill="1" applyBorder="1" applyAlignment="1">
      <alignment horizontal="center" vertical="center" wrapText="1"/>
    </xf>
    <xf numFmtId="2" fontId="50" fillId="0" borderId="20" xfId="7" applyNumberFormat="1" applyFont="1" applyFill="1" applyBorder="1" applyAlignment="1" applyProtection="1">
      <alignment horizontal="center" vertical="center" wrapText="1"/>
    </xf>
    <xf numFmtId="0" fontId="85" fillId="0" borderId="1" xfId="32" applyFont="1" applyFill="1" applyBorder="1" applyAlignment="1">
      <alignment horizontal="center" vertical="center" wrapText="1"/>
    </xf>
    <xf numFmtId="0" fontId="85" fillId="0" borderId="61" xfId="32" applyFont="1" applyBorder="1" applyAlignment="1">
      <alignment horizontal="center" vertical="center" wrapText="1"/>
    </xf>
    <xf numFmtId="2" fontId="50" fillId="0" borderId="4" xfId="7" applyNumberFormat="1" applyFont="1" applyFill="1" applyBorder="1" applyAlignment="1" applyProtection="1">
      <alignment horizontal="center" vertical="center" wrapText="1"/>
    </xf>
    <xf numFmtId="173" fontId="50" fillId="0" borderId="4" xfId="7" applyNumberFormat="1" applyFont="1" applyFill="1" applyBorder="1" applyAlignment="1" applyProtection="1">
      <alignment horizontal="center" vertical="center" wrapText="1"/>
    </xf>
    <xf numFmtId="204" fontId="85" fillId="0" borderId="61" xfId="35" applyNumberFormat="1" applyFont="1" applyFill="1" applyBorder="1" applyAlignment="1">
      <alignment horizontal="distributed" vertical="center"/>
    </xf>
    <xf numFmtId="2" fontId="10" fillId="0" borderId="4" xfId="0" applyNumberFormat="1" applyFont="1" applyFill="1" applyBorder="1" applyAlignment="1">
      <alignment horizontal="center"/>
    </xf>
    <xf numFmtId="181" fontId="62" fillId="26" borderId="20" xfId="29" applyNumberFormat="1" applyFont="1" applyFill="1" applyBorder="1" applyAlignment="1">
      <alignment vertical="center" wrapText="1"/>
    </xf>
    <xf numFmtId="0" fontId="10" fillId="9" borderId="1" xfId="33" applyFont="1" applyFill="1" applyBorder="1" applyAlignment="1">
      <alignment horizontal="center"/>
    </xf>
    <xf numFmtId="0" fontId="10" fillId="2" borderId="5" xfId="32" applyNumberFormat="1" applyFont="1" applyFill="1" applyBorder="1" applyAlignment="1">
      <alignment horizontal="center"/>
    </xf>
    <xf numFmtId="175" fontId="10" fillId="2" borderId="5" xfId="32" applyNumberFormat="1" applyFont="1" applyFill="1" applyBorder="1"/>
    <xf numFmtId="0" fontId="10" fillId="0" borderId="0" xfId="32" applyNumberFormat="1" applyFont="1" applyFill="1" applyBorder="1" applyAlignment="1">
      <alignment horizontal="center"/>
    </xf>
    <xf numFmtId="175" fontId="10" fillId="0" borderId="0" xfId="32" applyNumberFormat="1" applyFont="1" applyFill="1" applyBorder="1"/>
    <xf numFmtId="2" fontId="10" fillId="0" borderId="0" xfId="32" applyNumberFormat="1" applyFont="1" applyFill="1" applyBorder="1" applyAlignment="1">
      <alignment horizontal="center"/>
    </xf>
    <xf numFmtId="0" fontId="10" fillId="0" borderId="0" xfId="32" applyFont="1" applyFill="1" applyBorder="1" applyAlignment="1">
      <alignment horizontal="center"/>
    </xf>
    <xf numFmtId="2" fontId="10" fillId="0" borderId="5" xfId="32" applyNumberFormat="1" applyFont="1" applyFill="1" applyBorder="1" applyAlignment="1">
      <alignment horizontal="center"/>
    </xf>
    <xf numFmtId="0" fontId="9" fillId="2" borderId="7" xfId="33" applyFont="1" applyFill="1" applyBorder="1" applyAlignment="1">
      <alignment horizontal="center"/>
    </xf>
    <xf numFmtId="171" fontId="10" fillId="0" borderId="1" xfId="33" applyNumberFormat="1" applyFont="1" applyBorder="1" applyAlignment="1">
      <alignment horizontal="center" vertical="center"/>
    </xf>
    <xf numFmtId="0" fontId="89" fillId="0" borderId="1" xfId="36" applyFont="1" applyFill="1" applyBorder="1"/>
    <xf numFmtId="0" fontId="89" fillId="0" borderId="1" xfId="37" applyFont="1" applyFill="1" applyBorder="1"/>
    <xf numFmtId="0" fontId="89" fillId="0" borderId="1" xfId="36" applyFont="1" applyFill="1" applyBorder="1" applyAlignment="1">
      <alignment wrapText="1"/>
    </xf>
    <xf numFmtId="2" fontId="7" fillId="0" borderId="0" xfId="32" applyNumberFormat="1" applyFont="1" applyAlignment="1">
      <alignment horizontal="center" vertical="center"/>
    </xf>
    <xf numFmtId="0" fontId="7" fillId="0" borderId="1" xfId="33" applyFont="1" applyBorder="1" applyAlignment="1">
      <alignment horizontal="center"/>
    </xf>
    <xf numFmtId="0" fontId="24" fillId="0" borderId="2" xfId="7" applyFont="1" applyFill="1" applyBorder="1" applyAlignment="1">
      <alignment horizontal="justify" vertical="center" wrapText="1"/>
    </xf>
    <xf numFmtId="0" fontId="50" fillId="0" borderId="4" xfId="7" applyFont="1" applyFill="1" applyBorder="1" applyAlignment="1">
      <alignment horizontal="center" vertical="center" wrapText="1"/>
    </xf>
    <xf numFmtId="180" fontId="24" fillId="0" borderId="4" xfId="0" applyNumberFormat="1" applyFont="1" applyFill="1" applyBorder="1" applyAlignment="1" applyProtection="1">
      <alignment horizontal="center" vertical="center"/>
      <protection locked="0"/>
    </xf>
    <xf numFmtId="0" fontId="24" fillId="0" borderId="20" xfId="7" applyFont="1" applyFill="1" applyBorder="1" applyAlignment="1">
      <alignment horizontal="justify" vertical="top" wrapText="1"/>
    </xf>
    <xf numFmtId="173" fontId="86" fillId="0" borderId="1" xfId="7" applyNumberFormat="1" applyFont="1" applyFill="1" applyBorder="1" applyAlignment="1" applyProtection="1">
      <alignment horizontal="center" vertical="center" wrapText="1"/>
    </xf>
    <xf numFmtId="181" fontId="62" fillId="29" borderId="20" xfId="29" applyNumberFormat="1" applyFont="1" applyFill="1" applyBorder="1" applyAlignment="1">
      <alignment vertical="center" wrapText="1"/>
    </xf>
    <xf numFmtId="181" fontId="62" fillId="26" borderId="20" xfId="7" applyNumberFormat="1" applyFont="1" applyFill="1" applyBorder="1" applyAlignment="1">
      <alignment horizontal="center" vertical="center" wrapText="1"/>
    </xf>
    <xf numFmtId="2" fontId="13" fillId="0" borderId="21" xfId="0" applyNumberFormat="1" applyFont="1" applyFill="1" applyBorder="1" applyAlignment="1">
      <alignment horizontal="center" vertical="center" wrapText="1"/>
    </xf>
    <xf numFmtId="181" fontId="62" fillId="0" borderId="20" xfId="7" applyNumberFormat="1" applyFont="1" applyFill="1" applyBorder="1" applyAlignment="1">
      <alignment horizontal="center" vertical="center" wrapText="1"/>
    </xf>
    <xf numFmtId="0" fontId="62" fillId="0" borderId="1" xfId="7" applyFont="1" applyFill="1" applyBorder="1" applyAlignment="1" applyProtection="1">
      <alignment horizontal="left" vertical="center" wrapText="1"/>
    </xf>
    <xf numFmtId="0" fontId="24" fillId="0" borderId="1" xfId="0" applyFont="1" applyFill="1" applyBorder="1" applyAlignment="1">
      <alignment horizontal="center" vertical="center"/>
    </xf>
    <xf numFmtId="183" fontId="9" fillId="0" borderId="0" xfId="0" applyNumberFormat="1" applyFont="1" applyFill="1" applyBorder="1" applyAlignment="1">
      <alignment horizontal="center" vertical="center"/>
    </xf>
    <xf numFmtId="173" fontId="10" fillId="0" borderId="20" xfId="0" applyNumberFormat="1" applyFont="1" applyFill="1" applyBorder="1" applyAlignment="1">
      <alignment horizontal="center" vertical="center" wrapText="1"/>
    </xf>
    <xf numFmtId="0" fontId="85" fillId="12" borderId="61" xfId="35" applyFont="1" applyFill="1" applyBorder="1" applyAlignment="1">
      <alignment horizontal="left" vertical="center" wrapText="1"/>
    </xf>
    <xf numFmtId="0" fontId="85" fillId="0" borderId="61" xfId="32" applyFont="1" applyBorder="1" applyAlignment="1">
      <alignment horizontal="left" vertical="center" wrapText="1"/>
    </xf>
    <xf numFmtId="0" fontId="13" fillId="29" borderId="4" xfId="12" applyFont="1" applyFill="1" applyBorder="1" applyAlignment="1">
      <alignment horizontal="center" vertical="center" wrapText="1"/>
    </xf>
    <xf numFmtId="0" fontId="62" fillId="26" borderId="2" xfId="7" applyFont="1" applyFill="1" applyBorder="1" applyAlignment="1" applyProtection="1">
      <alignment horizontal="left" vertical="center" wrapText="1"/>
    </xf>
    <xf numFmtId="0" fontId="62" fillId="26" borderId="4" xfId="7" applyFont="1" applyFill="1" applyBorder="1" applyAlignment="1" applyProtection="1">
      <alignment horizontal="left" vertical="center" wrapText="1"/>
    </xf>
    <xf numFmtId="0" fontId="50" fillId="0" borderId="1" xfId="7" applyFont="1" applyFill="1" applyBorder="1" applyAlignment="1">
      <alignment horizontal="center"/>
    </xf>
    <xf numFmtId="195" fontId="50" fillId="0" borderId="1" xfId="7" applyNumberFormat="1" applyFont="1" applyFill="1" applyBorder="1" applyAlignment="1" applyProtection="1">
      <alignment horizontal="center" vertical="center" wrapText="1"/>
    </xf>
    <xf numFmtId="193" fontId="12" fillId="29" borderId="20" xfId="0" applyNumberFormat="1" applyFont="1" applyFill="1" applyBorder="1" applyAlignment="1" applyProtection="1">
      <alignment horizontal="center" vertical="center"/>
      <protection locked="0"/>
    </xf>
    <xf numFmtId="49" fontId="25" fillId="0" borderId="1" xfId="27" applyNumberFormat="1" applyFont="1" applyFill="1" applyBorder="1" applyAlignment="1">
      <alignment vertical="center"/>
    </xf>
    <xf numFmtId="205" fontId="24" fillId="0" borderId="1" xfId="27" applyNumberFormat="1" applyFont="1" applyFill="1" applyBorder="1" applyAlignment="1">
      <alignment horizontal="center" vertical="center"/>
    </xf>
    <xf numFmtId="0" fontId="0" fillId="0" borderId="0" xfId="0" applyFill="1" applyAlignment="1">
      <alignment vertical="center"/>
    </xf>
    <xf numFmtId="187" fontId="0" fillId="0" borderId="0" xfId="0" applyNumberFormat="1"/>
    <xf numFmtId="0" fontId="50" fillId="0" borderId="1" xfId="7" applyFont="1" applyFill="1" applyBorder="1" applyAlignment="1">
      <alignment horizontal="center"/>
    </xf>
    <xf numFmtId="0" fontId="50" fillId="0" borderId="1" xfId="7" applyFont="1" applyFill="1" applyBorder="1" applyAlignment="1">
      <alignment horizontal="center"/>
    </xf>
    <xf numFmtId="1" fontId="50" fillId="0" borderId="1" xfId="7" applyNumberFormat="1" applyFont="1" applyFill="1" applyBorder="1" applyAlignment="1">
      <alignment horizontal="center" vertical="center" wrapText="1"/>
    </xf>
    <xf numFmtId="173" fontId="24" fillId="0" borderId="1" xfId="0" applyNumberFormat="1" applyFont="1" applyBorder="1" applyAlignment="1">
      <alignment horizontal="center"/>
    </xf>
    <xf numFmtId="1" fontId="24" fillId="0" borderId="1" xfId="0" applyNumberFormat="1" applyFont="1" applyBorder="1" applyAlignment="1">
      <alignment horizontal="center" vertical="center"/>
    </xf>
    <xf numFmtId="175" fontId="24" fillId="0" borderId="1" xfId="0" applyNumberFormat="1" applyFont="1" applyBorder="1" applyAlignment="1">
      <alignment vertical="center"/>
    </xf>
    <xf numFmtId="170" fontId="24" fillId="0" borderId="1" xfId="0" applyNumberFormat="1" applyFont="1" applyFill="1" applyBorder="1" applyAlignment="1"/>
    <xf numFmtId="178" fontId="24" fillId="0" borderId="1" xfId="0" applyNumberFormat="1" applyFont="1" applyBorder="1" applyAlignment="1">
      <alignment horizontal="center" vertical="center"/>
    </xf>
    <xf numFmtId="49" fontId="24" fillId="0" borderId="1" xfId="0" applyNumberFormat="1" applyFont="1" applyBorder="1" applyAlignment="1">
      <alignment vertical="center"/>
    </xf>
    <xf numFmtId="175" fontId="24" fillId="8" borderId="1" xfId="0" applyNumberFormat="1" applyFont="1" applyFill="1" applyBorder="1"/>
    <xf numFmtId="0" fontId="10" fillId="0" borderId="2" xfId="0" applyFont="1" applyFill="1" applyBorder="1" applyAlignment="1">
      <alignment horizontal="justify" vertical="center"/>
    </xf>
    <xf numFmtId="180" fontId="10" fillId="0" borderId="4" xfId="0" applyNumberFormat="1" applyFont="1" applyFill="1" applyBorder="1" applyAlignment="1" applyProtection="1">
      <alignment horizontal="center" vertical="center"/>
      <protection locked="0"/>
    </xf>
    <xf numFmtId="9" fontId="10" fillId="0" borderId="1" xfId="0" applyNumberFormat="1" applyFont="1" applyFill="1" applyBorder="1" applyAlignment="1">
      <alignment horizontal="center" vertical="center"/>
    </xf>
    <xf numFmtId="0" fontId="18" fillId="0" borderId="1" xfId="0" applyFont="1" applyBorder="1" applyAlignment="1">
      <alignment horizontal="left"/>
    </xf>
    <xf numFmtId="180" fontId="11" fillId="0" borderId="0" xfId="0" applyNumberFormat="1" applyFont="1" applyBorder="1" applyAlignment="1">
      <alignment horizontal="center"/>
    </xf>
    <xf numFmtId="4" fontId="7" fillId="0" borderId="1" xfId="0" applyNumberFormat="1" applyFont="1" applyFill="1" applyBorder="1" applyAlignment="1">
      <alignment horizontal="center" vertical="center"/>
    </xf>
    <xf numFmtId="0" fontId="11" fillId="0" borderId="1" xfId="0" applyFont="1" applyBorder="1" applyAlignment="1">
      <alignment horizontal="left"/>
    </xf>
    <xf numFmtId="0" fontId="11" fillId="0" borderId="2" xfId="0" applyFont="1" applyBorder="1" applyAlignment="1">
      <alignment horizontal="left"/>
    </xf>
    <xf numFmtId="0" fontId="11" fillId="0" borderId="1" xfId="0" applyFont="1" applyFill="1" applyBorder="1" applyAlignment="1"/>
    <xf numFmtId="0" fontId="11" fillId="2" borderId="1" xfId="0" applyNumberFormat="1" applyFont="1" applyFill="1" applyBorder="1" applyAlignment="1">
      <alignment horizontal="center"/>
    </xf>
    <xf numFmtId="0" fontId="11" fillId="0" borderId="0" xfId="0" applyFont="1"/>
    <xf numFmtId="0" fontId="11" fillId="0" borderId="2" xfId="0" applyFont="1" applyFill="1" applyBorder="1" applyAlignment="1"/>
    <xf numFmtId="0" fontId="90" fillId="0" borderId="1" xfId="0" applyFont="1" applyFill="1" applyBorder="1" applyAlignment="1">
      <alignment horizontal="center"/>
    </xf>
    <xf numFmtId="0" fontId="11" fillId="0" borderId="1" xfId="0" applyFont="1" applyFill="1" applyBorder="1" applyAlignment="1">
      <alignment horizontal="center" wrapText="1"/>
    </xf>
    <xf numFmtId="175" fontId="11" fillId="0" borderId="5" xfId="0" applyNumberFormat="1" applyFont="1" applyBorder="1" applyAlignment="1">
      <alignment horizontal="left"/>
    </xf>
    <xf numFmtId="0" fontId="11" fillId="0" borderId="0" xfId="0" applyFont="1" applyFill="1" applyBorder="1" applyAlignment="1">
      <alignment wrapText="1"/>
    </xf>
    <xf numFmtId="0" fontId="11" fillId="0" borderId="2" xfId="0" applyFont="1" applyFill="1" applyBorder="1" applyAlignment="1">
      <alignment wrapText="1"/>
    </xf>
    <xf numFmtId="0" fontId="11" fillId="0" borderId="1" xfId="0" applyFont="1" applyBorder="1" applyAlignment="1">
      <alignment horizontal="left" wrapText="1"/>
    </xf>
    <xf numFmtId="0" fontId="11" fillId="0" borderId="1" xfId="0" applyFont="1" applyFill="1" applyBorder="1" applyAlignment="1">
      <alignment horizontal="left"/>
    </xf>
    <xf numFmtId="0" fontId="11" fillId="0" borderId="1" xfId="0" applyFont="1" applyFill="1" applyBorder="1" applyAlignment="1">
      <alignment horizontal="center" vertical="center"/>
    </xf>
    <xf numFmtId="180" fontId="11" fillId="0" borderId="1" xfId="0" applyNumberFormat="1" applyFont="1" applyFill="1" applyBorder="1" applyAlignment="1">
      <alignment horizontal="center" vertical="center"/>
    </xf>
    <xf numFmtId="180" fontId="11" fillId="0" borderId="1" xfId="0" applyNumberFormat="1" applyFont="1" applyBorder="1" applyAlignment="1">
      <alignment horizontal="center" vertical="center"/>
    </xf>
    <xf numFmtId="181" fontId="56" fillId="0" borderId="2" xfId="0" applyNumberFormat="1" applyFont="1" applyFill="1" applyBorder="1" applyAlignment="1"/>
    <xf numFmtId="0" fontId="10" fillId="0" borderId="20" xfId="0" applyFont="1" applyBorder="1" applyAlignment="1">
      <alignment horizontal="center"/>
    </xf>
    <xf numFmtId="170" fontId="10" fillId="10" borderId="1" xfId="0" applyNumberFormat="1" applyFont="1" applyFill="1" applyBorder="1" applyAlignment="1">
      <alignment horizontal="center"/>
    </xf>
    <xf numFmtId="0" fontId="10" fillId="0" borderId="1" xfId="0" quotePrefix="1" applyFont="1" applyBorder="1" applyAlignment="1">
      <alignment horizontal="left"/>
    </xf>
    <xf numFmtId="0" fontId="18" fillId="0" borderId="7" xfId="0" applyFont="1" applyBorder="1" applyAlignment="1">
      <alignment horizontal="left"/>
    </xf>
    <xf numFmtId="175" fontId="11" fillId="0" borderId="7" xfId="0" applyNumberFormat="1" applyFont="1" applyBorder="1" applyAlignment="1">
      <alignment horizontal="left"/>
    </xf>
    <xf numFmtId="0" fontId="18" fillId="0" borderId="7" xfId="0" applyFont="1" applyBorder="1"/>
    <xf numFmtId="0" fontId="18" fillId="0" borderId="22" xfId="0" applyFont="1" applyFill="1" applyBorder="1"/>
    <xf numFmtId="0" fontId="18" fillId="0" borderId="1" xfId="0" applyFont="1" applyFill="1" applyBorder="1"/>
    <xf numFmtId="0" fontId="10" fillId="0" borderId="1" xfId="0" applyFont="1" applyBorder="1" applyAlignment="1">
      <alignment horizontal="center"/>
    </xf>
    <xf numFmtId="0" fontId="18" fillId="0" borderId="1" xfId="0" applyFont="1" applyBorder="1" applyAlignment="1">
      <alignment horizontal="left" wrapText="1"/>
    </xf>
    <xf numFmtId="175" fontId="11" fillId="0" borderId="1" xfId="0" applyNumberFormat="1" applyFont="1" applyBorder="1" applyAlignment="1">
      <alignment horizontal="left" wrapText="1"/>
    </xf>
    <xf numFmtId="0" fontId="10" fillId="0" borderId="1" xfId="0" applyFont="1" applyBorder="1" applyAlignment="1">
      <alignment horizontal="center"/>
    </xf>
    <xf numFmtId="0" fontId="9" fillId="26" borderId="4" xfId="0" applyFont="1" applyFill="1" applyBorder="1" applyAlignment="1">
      <alignment horizontal="center" vertical="center" wrapText="1"/>
    </xf>
    <xf numFmtId="0" fontId="90" fillId="0" borderId="1" xfId="0" applyFont="1" applyFill="1" applyBorder="1" applyAlignment="1">
      <alignment horizontal="left"/>
    </xf>
    <xf numFmtId="4" fontId="60" fillId="0" borderId="1" xfId="0" applyNumberFormat="1" applyFont="1" applyFill="1" applyBorder="1" applyAlignment="1">
      <alignment horizontal="center"/>
    </xf>
    <xf numFmtId="0" fontId="76" fillId="0" borderId="1" xfId="0" applyFont="1" applyFill="1" applyBorder="1" applyAlignment="1">
      <alignment horizontal="left"/>
    </xf>
    <xf numFmtId="170" fontId="60" fillId="0" borderId="1" xfId="0" applyNumberFormat="1" applyFont="1" applyFill="1" applyBorder="1" applyAlignment="1">
      <alignment horizontal="center"/>
    </xf>
    <xf numFmtId="0" fontId="60" fillId="0" borderId="1" xfId="0" applyFont="1" applyFill="1" applyBorder="1" applyAlignment="1"/>
    <xf numFmtId="0" fontId="79" fillId="2" borderId="1" xfId="0" applyFont="1" applyFill="1" applyBorder="1" applyAlignment="1">
      <alignment horizontal="center"/>
    </xf>
    <xf numFmtId="0" fontId="60" fillId="0" borderId="1" xfId="0" applyFont="1" applyFill="1" applyBorder="1" applyAlignment="1">
      <alignment horizontal="center"/>
    </xf>
    <xf numFmtId="0" fontId="41" fillId="0" borderId="0" xfId="0" applyFont="1"/>
    <xf numFmtId="0" fontId="10" fillId="0" borderId="5" xfId="0" applyFont="1" applyFill="1" applyBorder="1" applyAlignment="1">
      <alignment horizontal="center" vertical="center"/>
    </xf>
    <xf numFmtId="175" fontId="10" fillId="0" borderId="3" xfId="0" applyNumberFormat="1" applyFont="1" applyFill="1" applyBorder="1"/>
    <xf numFmtId="9" fontId="10" fillId="0" borderId="18" xfId="0" applyNumberFormat="1" applyFont="1" applyFill="1" applyBorder="1" applyAlignment="1">
      <alignment horizontal="center"/>
    </xf>
    <xf numFmtId="0" fontId="13" fillId="0" borderId="0"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pplyProtection="1">
      <alignment horizontal="justify" vertical="center"/>
      <protection hidden="1"/>
    </xf>
    <xf numFmtId="0" fontId="10" fillId="22" borderId="1" xfId="39" applyFont="1" applyFill="1" applyBorder="1" applyAlignment="1">
      <alignment horizontal="justify" vertical="center"/>
    </xf>
    <xf numFmtId="0" fontId="9" fillId="26" borderId="1" xfId="0" applyFont="1" applyFill="1" applyBorder="1" applyAlignment="1">
      <alignment horizontal="justify" vertical="center"/>
    </xf>
    <xf numFmtId="0" fontId="9" fillId="26" borderId="1" xfId="0" applyFont="1" applyFill="1" applyBorder="1" applyAlignment="1">
      <alignment vertical="center" wrapText="1"/>
    </xf>
    <xf numFmtId="180" fontId="9" fillId="26" borderId="1" xfId="0" applyNumberFormat="1" applyFont="1" applyFill="1" applyBorder="1" applyAlignment="1">
      <alignment vertical="center" wrapText="1"/>
    </xf>
    <xf numFmtId="0" fontId="13" fillId="0" borderId="0" xfId="0" applyFont="1" applyBorder="1" applyAlignment="1">
      <alignment horizontal="center" vertical="center" wrapText="1"/>
    </xf>
    <xf numFmtId="4" fontId="10" fillId="0" borderId="1" xfId="0" applyNumberFormat="1" applyFont="1" applyFill="1" applyBorder="1" applyAlignment="1">
      <alignment horizontal="center" vertical="center"/>
    </xf>
    <xf numFmtId="1" fontId="10" fillId="0" borderId="1" xfId="38" applyNumberFormat="1" applyFont="1" applyFill="1" applyBorder="1" applyAlignment="1">
      <alignment horizontal="center" vertical="center" wrapText="1"/>
    </xf>
    <xf numFmtId="1" fontId="10" fillId="0" borderId="1" xfId="38" applyNumberFormat="1" applyFont="1" applyBorder="1" applyAlignment="1">
      <alignment horizontal="center" vertical="center" wrapText="1"/>
    </xf>
    <xf numFmtId="1" fontId="10" fillId="0" borderId="1" xfId="0" applyNumberFormat="1" applyFont="1" applyFill="1" applyBorder="1" applyAlignment="1" applyProtection="1">
      <alignment horizontal="center" vertical="center"/>
      <protection locked="0"/>
    </xf>
    <xf numFmtId="1" fontId="24" fillId="0" borderId="1" xfId="0" applyNumberFormat="1" applyFont="1" applyFill="1" applyBorder="1" applyAlignment="1" applyProtection="1">
      <alignment horizontal="center" vertical="center"/>
      <protection locked="0"/>
    </xf>
    <xf numFmtId="1" fontId="10" fillId="0" borderId="0" xfId="0" applyNumberFormat="1" applyFont="1" applyAlignment="1">
      <alignment horizontal="center" vertical="center"/>
    </xf>
    <xf numFmtId="1" fontId="10" fillId="9" borderId="1" xfId="38" applyNumberFormat="1" applyFont="1" applyFill="1" applyBorder="1" applyAlignment="1">
      <alignment horizontal="center" vertical="center" wrapText="1"/>
    </xf>
    <xf numFmtId="1" fontId="10" fillId="9"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0" fontId="10" fillId="0" borderId="1" xfId="0" applyFont="1" applyFill="1" applyBorder="1" applyAlignment="1">
      <alignment horizontal="justify" vertical="justify"/>
    </xf>
    <xf numFmtId="0" fontId="10" fillId="0" borderId="1" xfId="0" applyFont="1" applyBorder="1" applyAlignment="1">
      <alignment horizontal="left" wrapText="1"/>
    </xf>
    <xf numFmtId="0" fontId="10" fillId="0" borderId="1" xfId="0" applyFont="1" applyFill="1" applyBorder="1" applyAlignment="1" applyProtection="1">
      <alignment horizontal="justify" vertical="justify" wrapText="1"/>
      <protection hidden="1"/>
    </xf>
    <xf numFmtId="0" fontId="10" fillId="22" borderId="1" xfId="39" applyFont="1" applyFill="1" applyBorder="1" applyAlignment="1">
      <alignment horizontal="justify" vertical="center" wrapText="1"/>
    </xf>
    <xf numFmtId="1" fontId="13" fillId="0" borderId="0" xfId="0" applyNumberFormat="1" applyFont="1" applyBorder="1" applyAlignment="1">
      <alignment horizontal="center" vertical="center" wrapText="1"/>
    </xf>
    <xf numFmtId="1" fontId="9" fillId="14" borderId="1" xfId="0" applyNumberFormat="1" applyFont="1" applyFill="1" applyBorder="1" applyAlignment="1">
      <alignment horizontal="center" vertical="center" wrapText="1"/>
    </xf>
    <xf numFmtId="1" fontId="10" fillId="26" borderId="1" xfId="0" applyNumberFormat="1" applyFont="1" applyFill="1" applyBorder="1" applyAlignment="1" applyProtection="1">
      <alignment horizontal="center" vertical="center" wrapText="1"/>
      <protection locked="0"/>
    </xf>
    <xf numFmtId="1" fontId="9" fillId="26"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xf>
    <xf numFmtId="1" fontId="9" fillId="26" borderId="4" xfId="12" applyNumberFormat="1" applyFont="1" applyFill="1" applyBorder="1" applyAlignment="1">
      <alignment horizontal="center" vertical="center" wrapText="1"/>
    </xf>
    <xf numFmtId="1" fontId="9" fillId="29" borderId="1" xfId="0" applyNumberFormat="1" applyFont="1" applyFill="1" applyBorder="1" applyAlignment="1">
      <alignment horizontal="center" vertical="center" wrapText="1"/>
    </xf>
    <xf numFmtId="1" fontId="9" fillId="29" borderId="4" xfId="12" applyNumberFormat="1" applyFont="1" applyFill="1" applyBorder="1" applyAlignment="1">
      <alignment horizontal="center" vertical="center" wrapText="1"/>
    </xf>
    <xf numFmtId="1" fontId="9" fillId="26" borderId="4" xfId="0" applyNumberFormat="1" applyFont="1" applyFill="1" applyBorder="1" applyAlignment="1">
      <alignment horizontal="center" vertical="center" wrapText="1"/>
    </xf>
    <xf numFmtId="1" fontId="10" fillId="0" borderId="64" xfId="38" applyNumberFormat="1" applyFont="1" applyFill="1" applyBorder="1" applyAlignment="1">
      <alignment horizontal="center" vertical="center" wrapText="1"/>
    </xf>
    <xf numFmtId="1" fontId="50" fillId="0" borderId="0" xfId="7" applyNumberFormat="1" applyFont="1" applyFill="1" applyAlignment="1">
      <alignment horizontal="center" vertical="center"/>
    </xf>
    <xf numFmtId="0" fontId="50" fillId="0" borderId="0" xfId="7" applyFont="1" applyFill="1" applyAlignment="1">
      <alignment horizontal="center" vertical="center"/>
    </xf>
    <xf numFmtId="0" fontId="7" fillId="0" borderId="0" xfId="0" applyFont="1" applyBorder="1"/>
    <xf numFmtId="0" fontId="10" fillId="0" borderId="1" xfId="0" applyFont="1" applyBorder="1" applyAlignment="1">
      <alignment horizontal="center"/>
    </xf>
    <xf numFmtId="173" fontId="9" fillId="0" borderId="4" xfId="0" applyNumberFormat="1" applyFont="1" applyFill="1" applyBorder="1" applyAlignment="1">
      <alignment horizontal="center" vertical="center" wrapText="1"/>
    </xf>
    <xf numFmtId="164" fontId="9" fillId="14" borderId="1" xfId="29" applyFont="1" applyFill="1" applyBorder="1" applyAlignment="1">
      <alignment horizontal="center" vertical="center" wrapText="1"/>
    </xf>
    <xf numFmtId="164" fontId="9" fillId="26" borderId="1" xfId="29" applyFont="1" applyFill="1" applyBorder="1" applyAlignment="1">
      <alignment vertical="center" wrapText="1"/>
    </xf>
    <xf numFmtId="164" fontId="9" fillId="29" borderId="1" xfId="29" applyFont="1" applyFill="1" applyBorder="1" applyAlignment="1">
      <alignment vertical="center" wrapText="1"/>
    </xf>
    <xf numFmtId="164" fontId="10" fillId="0" borderId="0" xfId="29" applyFont="1" applyAlignment="1">
      <alignment vertical="center"/>
    </xf>
    <xf numFmtId="164" fontId="10" fillId="0" borderId="1" xfId="29" applyFont="1" applyBorder="1" applyAlignment="1">
      <alignment vertical="center"/>
    </xf>
    <xf numFmtId="164" fontId="10" fillId="26" borderId="1" xfId="29" applyFont="1" applyFill="1" applyBorder="1" applyAlignment="1" applyProtection="1">
      <alignment horizontal="center" vertical="center"/>
      <protection locked="0"/>
    </xf>
    <xf numFmtId="164" fontId="9" fillId="26" borderId="1" xfId="29" applyFont="1" applyFill="1" applyBorder="1" applyAlignment="1" applyProtection="1">
      <alignment horizontal="center" vertical="center"/>
      <protection locked="0"/>
    </xf>
    <xf numFmtId="164" fontId="13" fillId="26" borderId="1" xfId="29" applyFont="1" applyFill="1" applyBorder="1" applyAlignment="1">
      <alignment horizontal="center" vertical="center"/>
    </xf>
    <xf numFmtId="164" fontId="13" fillId="29" borderId="5" xfId="29" applyFont="1" applyFill="1" applyBorder="1" applyAlignment="1">
      <alignment horizontal="center" vertical="center"/>
    </xf>
    <xf numFmtId="164" fontId="13" fillId="29" borderId="1" xfId="29" applyFont="1" applyFill="1" applyBorder="1" applyAlignment="1">
      <alignment horizontal="center" vertical="center"/>
    </xf>
    <xf numFmtId="164" fontId="9" fillId="29" borderId="1" xfId="29" applyFont="1" applyFill="1" applyBorder="1" applyAlignment="1" applyProtection="1">
      <alignment horizontal="center" vertical="center"/>
      <protection locked="0"/>
    </xf>
    <xf numFmtId="164" fontId="10" fillId="0" borderId="1" xfId="29" applyFont="1" applyFill="1" applyBorder="1" applyAlignment="1">
      <alignment vertical="center" wrapText="1"/>
    </xf>
    <xf numFmtId="9" fontId="9" fillId="26" borderId="1" xfId="15" applyFont="1" applyFill="1" applyBorder="1" applyAlignment="1" applyProtection="1">
      <alignment vertical="center" wrapText="1"/>
      <protection locked="0"/>
    </xf>
    <xf numFmtId="164" fontId="9" fillId="0" borderId="0" xfId="29" applyFont="1" applyBorder="1" applyAlignment="1">
      <alignment vertical="center" wrapText="1"/>
    </xf>
    <xf numFmtId="164" fontId="9" fillId="14" borderId="1" xfId="29" applyFont="1" applyFill="1" applyBorder="1" applyAlignment="1">
      <alignment vertical="center" wrapText="1"/>
    </xf>
    <xf numFmtId="164" fontId="10" fillId="26" borderId="1" xfId="29" applyFont="1" applyFill="1" applyBorder="1" applyAlignment="1" applyProtection="1">
      <alignment vertical="center"/>
      <protection locked="0"/>
    </xf>
    <xf numFmtId="164" fontId="10" fillId="0" borderId="1" xfId="29" applyFont="1" applyBorder="1" applyAlignment="1">
      <alignment vertical="center" wrapText="1"/>
    </xf>
    <xf numFmtId="164" fontId="10" fillId="0" borderId="1" xfId="29" applyFont="1" applyFill="1" applyBorder="1" applyAlignment="1">
      <alignment vertical="center"/>
    </xf>
    <xf numFmtId="164" fontId="9" fillId="29" borderId="4" xfId="29" applyFont="1" applyFill="1" applyBorder="1" applyAlignment="1">
      <alignment vertical="center" wrapText="1"/>
    </xf>
    <xf numFmtId="164" fontId="9" fillId="29" borderId="20" xfId="29" applyFont="1" applyFill="1" applyBorder="1" applyAlignment="1">
      <alignment vertical="center" wrapText="1"/>
    </xf>
    <xf numFmtId="164" fontId="36" fillId="0" borderId="0" xfId="29" applyFont="1" applyFill="1" applyAlignment="1">
      <alignment vertical="center"/>
    </xf>
    <xf numFmtId="164" fontId="9" fillId="26" borderId="4" xfId="29" applyFont="1" applyFill="1" applyBorder="1" applyAlignment="1">
      <alignment vertical="center" wrapText="1"/>
    </xf>
    <xf numFmtId="0" fontId="9" fillId="29" borderId="2" xfId="0" applyFont="1" applyFill="1" applyBorder="1" applyAlignment="1">
      <alignment horizontal="left" vertical="center" wrapText="1"/>
    </xf>
    <xf numFmtId="0" fontId="9" fillId="29" borderId="4" xfId="0" applyFont="1" applyFill="1" applyBorder="1" applyAlignment="1">
      <alignment horizontal="left" vertical="center" wrapText="1"/>
    </xf>
    <xf numFmtId="0" fontId="9" fillId="26" borderId="4" xfId="12" applyFont="1" applyFill="1" applyBorder="1" applyAlignment="1">
      <alignment horizontal="center" vertical="center" wrapText="1"/>
    </xf>
    <xf numFmtId="0" fontId="9" fillId="29" borderId="4" xfId="12" applyFont="1" applyFill="1" applyBorder="1" applyAlignment="1">
      <alignment horizontal="center" vertical="center" wrapText="1"/>
    </xf>
    <xf numFmtId="0" fontId="9" fillId="29" borderId="1" xfId="0" applyFont="1" applyFill="1" applyBorder="1" applyAlignment="1">
      <alignment horizontal="center" vertical="center" wrapText="1"/>
    </xf>
    <xf numFmtId="175" fontId="11" fillId="0" borderId="1" xfId="0" applyNumberFormat="1" applyFont="1" applyBorder="1" applyAlignment="1">
      <alignment horizontal="center"/>
    </xf>
    <xf numFmtId="0" fontId="10" fillId="9" borderId="0" xfId="0" applyFont="1" applyFill="1" applyAlignment="1">
      <alignment vertical="center"/>
    </xf>
    <xf numFmtId="0" fontId="10" fillId="9" borderId="0" xfId="0" applyFont="1" applyFill="1" applyBorder="1"/>
    <xf numFmtId="0" fontId="10" fillId="0" borderId="1" xfId="32" applyFont="1" applyBorder="1" applyAlignment="1">
      <alignment horizontal="center" vertical="center" wrapText="1"/>
    </xf>
    <xf numFmtId="0" fontId="9" fillId="26" borderId="1" xfId="7" applyFont="1" applyFill="1" applyBorder="1" applyAlignment="1" applyProtection="1">
      <alignment horizontal="justify" vertical="center" wrapText="1"/>
    </xf>
    <xf numFmtId="0" fontId="10" fillId="0" borderId="1" xfId="32" applyFont="1" applyFill="1" applyBorder="1" applyAlignment="1">
      <alignment horizontal="center" vertical="center" wrapText="1"/>
    </xf>
    <xf numFmtId="181" fontId="10" fillId="0" borderId="1" xfId="7" applyNumberFormat="1" applyFont="1" applyFill="1" applyBorder="1" applyAlignment="1" applyProtection="1">
      <alignment horizontal="center" vertical="center" wrapText="1"/>
    </xf>
    <xf numFmtId="0" fontId="9" fillId="26" borderId="7" xfId="0" applyFont="1" applyFill="1" applyBorder="1" applyAlignment="1">
      <alignment horizontal="left" vertical="center" wrapText="1"/>
    </xf>
    <xf numFmtId="0" fontId="9" fillId="26" borderId="1" xfId="0" applyFont="1" applyFill="1" applyBorder="1" applyAlignment="1">
      <alignment horizontal="justify" vertical="center" wrapText="1"/>
    </xf>
    <xf numFmtId="0" fontId="10" fillId="0" borderId="61" xfId="32" applyFont="1" applyBorder="1" applyAlignment="1">
      <alignment horizontal="center" vertical="center" wrapText="1"/>
    </xf>
    <xf numFmtId="49" fontId="9" fillId="29" borderId="20" xfId="0" applyNumberFormat="1" applyFont="1" applyFill="1" applyBorder="1" applyAlignment="1">
      <alignment vertical="center" wrapText="1"/>
    </xf>
    <xf numFmtId="0" fontId="9" fillId="29" borderId="1" xfId="0" applyFont="1" applyFill="1" applyBorder="1" applyAlignment="1">
      <alignment horizontal="justify" vertical="center" wrapText="1"/>
    </xf>
    <xf numFmtId="9" fontId="9" fillId="29" borderId="20" xfId="15" applyFont="1" applyFill="1" applyBorder="1" applyAlignment="1" applyProtection="1">
      <alignment horizontal="center" vertical="center" wrapText="1"/>
      <protection locked="0"/>
    </xf>
    <xf numFmtId="193" fontId="9" fillId="32" borderId="1" xfId="0" applyNumberFormat="1" applyFont="1" applyFill="1" applyBorder="1" applyAlignment="1" applyProtection="1">
      <alignment horizontal="center" vertical="center" wrapText="1"/>
      <protection locked="0"/>
    </xf>
    <xf numFmtId="0" fontId="9" fillId="0" borderId="4" xfId="12" applyFont="1" applyFill="1" applyBorder="1" applyAlignment="1">
      <alignment horizontal="justify" vertical="center" wrapText="1"/>
    </xf>
    <xf numFmtId="2" fontId="10" fillId="0" borderId="4" xfId="0" applyNumberFormat="1" applyFont="1" applyFill="1" applyBorder="1" applyAlignment="1" applyProtection="1">
      <alignment horizontal="center" vertical="center" wrapText="1"/>
      <protection locked="0"/>
    </xf>
    <xf numFmtId="173" fontId="10" fillId="0" borderId="4" xfId="0" applyNumberFormat="1" applyFont="1" applyFill="1" applyBorder="1" applyAlignment="1" applyProtection="1">
      <alignment horizontal="center" vertical="center" wrapText="1"/>
      <protection locked="0"/>
    </xf>
    <xf numFmtId="180" fontId="10" fillId="0" borderId="4" xfId="0" applyNumberFormat="1" applyFont="1" applyFill="1" applyBorder="1" applyAlignment="1" applyProtection="1">
      <alignment horizontal="center" vertical="center" wrapText="1"/>
      <protection locked="0"/>
    </xf>
    <xf numFmtId="180" fontId="9" fillId="0" borderId="20" xfId="0" applyNumberFormat="1" applyFont="1" applyFill="1" applyBorder="1" applyAlignment="1" applyProtection="1">
      <alignment horizontal="center" vertical="center" wrapText="1"/>
      <protection locked="0"/>
    </xf>
    <xf numFmtId="0" fontId="10" fillId="0" borderId="20" xfId="7" applyFont="1" applyFill="1" applyBorder="1" applyAlignment="1">
      <alignment horizontal="justify" vertical="center" wrapText="1"/>
    </xf>
    <xf numFmtId="0" fontId="10" fillId="0" borderId="1" xfId="36" applyFont="1" applyFill="1" applyBorder="1"/>
    <xf numFmtId="0" fontId="10" fillId="0" borderId="1" xfId="37" applyFont="1" applyFill="1" applyBorder="1"/>
    <xf numFmtId="0" fontId="10" fillId="0" borderId="1" xfId="36" applyFont="1" applyFill="1" applyBorder="1" applyAlignment="1">
      <alignment wrapText="1"/>
    </xf>
    <xf numFmtId="0" fontId="10" fillId="0" borderId="1" xfId="7" applyFont="1" applyFill="1" applyBorder="1" applyAlignment="1">
      <alignment horizontal="justify" vertical="center" wrapText="1"/>
    </xf>
    <xf numFmtId="0" fontId="10" fillId="0" borderId="2" xfId="7" applyFont="1" applyFill="1" applyBorder="1" applyAlignment="1">
      <alignment horizontal="justify" vertical="center" wrapText="1"/>
    </xf>
    <xf numFmtId="0" fontId="10" fillId="0" borderId="20" xfId="7" applyFont="1" applyFill="1" applyBorder="1" applyAlignment="1">
      <alignment horizontal="justify" vertical="top" wrapText="1"/>
    </xf>
    <xf numFmtId="180" fontId="9" fillId="0" borderId="1" xfId="0" applyNumberFormat="1" applyFont="1" applyFill="1" applyBorder="1" applyAlignment="1" applyProtection="1">
      <alignment horizontal="center" vertical="center"/>
      <protection locked="0"/>
    </xf>
    <xf numFmtId="0" fontId="9" fillId="0" borderId="1" xfId="12" applyFont="1" applyFill="1" applyBorder="1" applyAlignment="1">
      <alignment horizontal="justify" vertical="center" wrapText="1"/>
    </xf>
    <xf numFmtId="194" fontId="9" fillId="32" borderId="1" xfId="0" applyNumberFormat="1" applyFont="1" applyFill="1" applyBorder="1" applyAlignment="1" applyProtection="1">
      <alignment horizontal="right" vertical="center"/>
    </xf>
    <xf numFmtId="164" fontId="9" fillId="26" borderId="1" xfId="29" applyFont="1" applyFill="1" applyBorder="1" applyAlignment="1">
      <alignment horizontal="center" vertical="center"/>
    </xf>
    <xf numFmtId="0" fontId="10" fillId="0" borderId="0" xfId="20" applyFont="1" applyFill="1" applyBorder="1" applyAlignment="1">
      <alignment horizontal="center" vertical="center" wrapText="1"/>
    </xf>
    <xf numFmtId="1" fontId="10" fillId="0" borderId="0" xfId="20" applyNumberFormat="1" applyFont="1" applyFill="1" applyBorder="1" applyAlignment="1">
      <alignment horizontal="center" vertical="center" wrapText="1"/>
    </xf>
    <xf numFmtId="164" fontId="10" fillId="0" borderId="0" xfId="29" applyFont="1" applyFill="1" applyBorder="1" applyAlignment="1">
      <alignment horizontal="center" vertical="center" wrapText="1"/>
    </xf>
    <xf numFmtId="164" fontId="9" fillId="29" borderId="5" xfId="29" applyFont="1" applyFill="1" applyBorder="1" applyAlignment="1">
      <alignment horizontal="center" vertical="center"/>
    </xf>
    <xf numFmtId="164" fontId="9" fillId="29" borderId="1" xfId="29" applyFont="1" applyFill="1" applyBorder="1" applyAlignment="1">
      <alignment horizontal="center" vertical="center"/>
    </xf>
    <xf numFmtId="0" fontId="10" fillId="0" borderId="1" xfId="36" applyFont="1" applyFill="1" applyBorder="1" applyAlignment="1">
      <alignment vertical="center" wrapText="1"/>
    </xf>
    <xf numFmtId="49" fontId="10" fillId="0" borderId="20" xfId="0" applyNumberFormat="1" applyFont="1" applyFill="1" applyBorder="1" applyAlignment="1">
      <alignment horizontal="center" vertical="center" wrapText="1"/>
    </xf>
    <xf numFmtId="0" fontId="50" fillId="0" borderId="1" xfId="7" applyFont="1" applyFill="1" applyBorder="1"/>
    <xf numFmtId="49" fontId="25" fillId="0" borderId="1" xfId="27" applyNumberFormat="1" applyFont="1" applyFill="1" applyBorder="1" applyAlignment="1">
      <alignment horizontal="center" vertical="center"/>
    </xf>
    <xf numFmtId="164" fontId="13" fillId="0" borderId="20" xfId="29" applyFont="1" applyFill="1" applyBorder="1" applyAlignment="1">
      <alignment horizontal="center" vertical="center"/>
    </xf>
    <xf numFmtId="0" fontId="25" fillId="0" borderId="0" xfId="0" applyFont="1" applyFill="1" applyBorder="1" applyAlignment="1">
      <alignment vertical="center"/>
    </xf>
    <xf numFmtId="0" fontId="13" fillId="0" borderId="2" xfId="12" applyFont="1" applyFill="1" applyBorder="1" applyAlignment="1">
      <alignment horizontal="center" vertical="center" wrapText="1"/>
    </xf>
    <xf numFmtId="0" fontId="13" fillId="0" borderId="4" xfId="12" applyFont="1" applyFill="1" applyBorder="1" applyAlignment="1">
      <alignment horizontal="center" vertical="center" wrapText="1"/>
    </xf>
    <xf numFmtId="0" fontId="13" fillId="0" borderId="20" xfId="12" applyFont="1" applyFill="1" applyBorder="1" applyAlignment="1">
      <alignment horizontal="center" vertical="center" wrapText="1"/>
    </xf>
    <xf numFmtId="193" fontId="12" fillId="0" borderId="1" xfId="0" applyNumberFormat="1" applyFont="1" applyFill="1" applyBorder="1" applyAlignment="1" applyProtection="1">
      <alignment horizontal="center" vertical="center"/>
      <protection locked="0"/>
    </xf>
    <xf numFmtId="9" fontId="9" fillId="29" borderId="1" xfId="15" applyFont="1" applyFill="1" applyBorder="1" applyAlignment="1">
      <alignment vertical="center" wrapText="1"/>
    </xf>
    <xf numFmtId="9" fontId="9" fillId="29" borderId="1" xfId="15" applyFont="1" applyFill="1" applyBorder="1" applyAlignment="1" applyProtection="1">
      <alignment vertical="center" wrapText="1"/>
      <protection locked="0"/>
    </xf>
    <xf numFmtId="9" fontId="9" fillId="29" borderId="1" xfId="15" applyFont="1" applyFill="1" applyBorder="1" applyAlignment="1">
      <alignment horizontal="center" vertical="center" wrapText="1"/>
    </xf>
    <xf numFmtId="9" fontId="9" fillId="29" borderId="1" xfId="15" applyNumberFormat="1" applyFont="1" applyFill="1" applyBorder="1" applyAlignment="1" applyProtection="1">
      <alignment horizontal="center" vertical="center" wrapText="1"/>
      <protection locked="0"/>
    </xf>
    <xf numFmtId="0" fontId="10" fillId="0" borderId="1" xfId="0" applyFont="1" applyBorder="1" applyAlignment="1">
      <alignment horizontal="center"/>
    </xf>
    <xf numFmtId="175" fontId="24" fillId="0" borderId="1" xfId="0" applyNumberFormat="1" applyFont="1" applyFill="1" applyBorder="1" applyAlignment="1"/>
    <xf numFmtId="173" fontId="10" fillId="0" borderId="1" xfId="7" applyNumberFormat="1" applyFont="1" applyFill="1" applyBorder="1" applyAlignment="1" applyProtection="1">
      <alignment horizontal="center" vertical="center" wrapText="1"/>
    </xf>
    <xf numFmtId="175" fontId="10" fillId="0" borderId="1" xfId="0" applyNumberFormat="1" applyFont="1" applyBorder="1" applyAlignment="1">
      <alignment horizontal="center" vertical="center"/>
    </xf>
    <xf numFmtId="0" fontId="13" fillId="2" borderId="1" xfId="38" applyNumberFormat="1" applyFont="1" applyFill="1" applyBorder="1" applyAlignment="1">
      <alignment horizontal="center" vertical="center"/>
    </xf>
    <xf numFmtId="0" fontId="24" fillId="0" borderId="1" xfId="38" applyNumberFormat="1" applyFont="1" applyBorder="1" applyAlignment="1">
      <alignment horizontal="center" vertical="center"/>
    </xf>
    <xf numFmtId="0" fontId="24" fillId="0" borderId="1" xfId="0" applyFont="1" applyFill="1" applyBorder="1" applyAlignment="1">
      <alignment horizontal="center"/>
    </xf>
    <xf numFmtId="170" fontId="24" fillId="0" borderId="1" xfId="0" applyNumberFormat="1" applyFont="1" applyFill="1" applyBorder="1" applyAlignment="1">
      <alignment horizontal="center"/>
    </xf>
    <xf numFmtId="0" fontId="7" fillId="0" borderId="1" xfId="0" applyFont="1" applyFill="1" applyBorder="1" applyAlignment="1">
      <alignment vertical="center" wrapText="1"/>
    </xf>
    <xf numFmtId="194" fontId="24" fillId="0" borderId="1" xfId="0" applyNumberFormat="1" applyFont="1" applyFill="1" applyBorder="1" applyAlignment="1">
      <alignment horizontal="center"/>
    </xf>
    <xf numFmtId="0" fontId="7" fillId="0" borderId="1" xfId="0" applyFont="1" applyFill="1" applyBorder="1" applyAlignment="1">
      <alignment vertical="center"/>
    </xf>
    <xf numFmtId="170" fontId="24" fillId="0" borderId="1" xfId="0" applyNumberFormat="1" applyFont="1" applyFill="1" applyBorder="1" applyAlignment="1">
      <alignment horizontal="left"/>
    </xf>
    <xf numFmtId="0" fontId="24" fillId="2" borderId="1" xfId="38" applyNumberFormat="1" applyFont="1" applyFill="1" applyBorder="1" applyAlignment="1">
      <alignment horizontal="center" vertical="center"/>
    </xf>
    <xf numFmtId="175" fontId="24" fillId="2" borderId="1" xfId="0" applyNumberFormat="1" applyFont="1" applyFill="1" applyBorder="1"/>
    <xf numFmtId="13" fontId="24" fillId="0" borderId="0" xfId="0" applyNumberFormat="1" applyFont="1"/>
    <xf numFmtId="0" fontId="24" fillId="0" borderId="2" xfId="38" applyNumberFormat="1" applyFont="1" applyBorder="1" applyAlignment="1">
      <alignment horizontal="center" vertical="center"/>
    </xf>
    <xf numFmtId="49" fontId="9" fillId="14" borderId="1" xfId="5" applyNumberFormat="1" applyFont="1" applyFill="1" applyBorder="1" applyAlignment="1">
      <alignment horizontal="center" vertical="center" wrapText="1"/>
    </xf>
    <xf numFmtId="0" fontId="9" fillId="14" borderId="1" xfId="5" applyFont="1" applyFill="1" applyBorder="1" applyAlignment="1">
      <alignment horizontal="center" vertical="center" wrapText="1"/>
    </xf>
    <xf numFmtId="1" fontId="9" fillId="14" borderId="1" xfId="5" applyNumberFormat="1" applyFont="1" applyFill="1" applyBorder="1" applyAlignment="1">
      <alignment horizontal="center" vertical="center" wrapText="1"/>
    </xf>
    <xf numFmtId="164" fontId="9" fillId="14" borderId="1" xfId="41" applyFont="1" applyFill="1" applyBorder="1" applyAlignment="1">
      <alignment horizontal="center" vertical="center" wrapText="1"/>
    </xf>
    <xf numFmtId="0" fontId="9" fillId="26" borderId="1" xfId="5" applyFont="1" applyFill="1" applyBorder="1" applyAlignment="1">
      <alignment horizontal="center" vertical="center" wrapText="1"/>
    </xf>
    <xf numFmtId="0" fontId="9" fillId="26" borderId="1" xfId="5" applyFont="1" applyFill="1" applyBorder="1" applyAlignment="1">
      <alignment vertical="center" wrapText="1"/>
    </xf>
    <xf numFmtId="1" fontId="9" fillId="26" borderId="1" xfId="5" applyNumberFormat="1" applyFont="1" applyFill="1" applyBorder="1" applyAlignment="1">
      <alignment horizontal="center" vertical="center" wrapText="1"/>
    </xf>
    <xf numFmtId="164" fontId="9" fillId="26" borderId="1" xfId="41" applyFont="1" applyFill="1" applyBorder="1" applyAlignment="1">
      <alignment vertical="center" wrapText="1"/>
    </xf>
    <xf numFmtId="0" fontId="10" fillId="0" borderId="1" xfId="5" applyFont="1" applyFill="1" applyBorder="1" applyAlignment="1">
      <alignment horizontal="justify" vertical="justify"/>
    </xf>
    <xf numFmtId="4" fontId="10" fillId="0" borderId="1" xfId="5" applyNumberFormat="1" applyFont="1" applyFill="1" applyBorder="1" applyAlignment="1">
      <alignment horizontal="center" vertical="center"/>
    </xf>
    <xf numFmtId="164" fontId="10" fillId="0" borderId="1" xfId="41" applyFont="1" applyFill="1" applyBorder="1" applyAlignment="1">
      <alignment vertical="center" wrapText="1"/>
    </xf>
    <xf numFmtId="0" fontId="10" fillId="0" borderId="63" xfId="5" applyFont="1" applyFill="1" applyBorder="1" applyAlignment="1">
      <alignment horizontal="justify" vertical="justify"/>
    </xf>
    <xf numFmtId="1" fontId="10" fillId="0" borderId="1" xfId="5" applyNumberFormat="1" applyFont="1" applyFill="1" applyBorder="1" applyAlignment="1">
      <alignment horizontal="center" vertical="center" wrapText="1"/>
    </xf>
    <xf numFmtId="0" fontId="10" fillId="0" borderId="64" xfId="5" applyFont="1" applyFill="1" applyBorder="1" applyAlignment="1">
      <alignment horizontal="justify" vertical="justify"/>
    </xf>
    <xf numFmtId="4" fontId="10" fillId="0" borderId="64" xfId="5" applyNumberFormat="1" applyFont="1" applyFill="1" applyBorder="1" applyAlignment="1">
      <alignment horizontal="center" vertical="center"/>
    </xf>
    <xf numFmtId="0" fontId="10" fillId="0" borderId="1" xfId="5" applyFont="1" applyBorder="1" applyAlignment="1">
      <alignment wrapText="1"/>
    </xf>
    <xf numFmtId="0" fontId="10" fillId="0" borderId="0" xfId="5" applyFont="1" applyAlignment="1">
      <alignment horizontal="justify" vertical="center"/>
    </xf>
    <xf numFmtId="0" fontId="10" fillId="0" borderId="1" xfId="5" applyFont="1" applyBorder="1" applyAlignment="1">
      <alignment horizontal="left" wrapText="1"/>
    </xf>
    <xf numFmtId="0" fontId="7" fillId="0" borderId="0" xfId="5" applyFont="1"/>
    <xf numFmtId="0" fontId="10" fillId="0" borderId="1" xfId="5" applyFont="1" applyFill="1" applyBorder="1" applyAlignment="1" applyProtection="1">
      <alignment horizontal="justify" vertical="justify" wrapText="1"/>
      <protection hidden="1"/>
    </xf>
    <xf numFmtId="1" fontId="10" fillId="0" borderId="1" xfId="5" applyNumberFormat="1" applyFont="1" applyFill="1" applyBorder="1" applyAlignment="1" applyProtection="1">
      <alignment horizontal="center" vertical="center"/>
      <protection locked="0"/>
    </xf>
    <xf numFmtId="0" fontId="10" fillId="0" borderId="2" xfId="5" applyFont="1" applyFill="1" applyBorder="1" applyAlignment="1">
      <alignment horizontal="left" vertical="center" wrapText="1"/>
    </xf>
    <xf numFmtId="0" fontId="10" fillId="0" borderId="4" xfId="5" applyFont="1" applyFill="1" applyBorder="1" applyAlignment="1">
      <alignment horizontal="center" vertical="center" wrapText="1"/>
    </xf>
    <xf numFmtId="0" fontId="9" fillId="26" borderId="2" xfId="5" applyFont="1" applyFill="1" applyBorder="1" applyAlignment="1">
      <alignment vertical="center" wrapText="1"/>
    </xf>
    <xf numFmtId="0" fontId="9" fillId="26" borderId="4" xfId="5" applyFont="1" applyFill="1" applyBorder="1" applyAlignment="1">
      <alignment horizontal="center" vertical="center" wrapText="1"/>
    </xf>
    <xf numFmtId="1" fontId="9" fillId="26" borderId="4" xfId="5" applyNumberFormat="1" applyFont="1" applyFill="1" applyBorder="1" applyAlignment="1">
      <alignment horizontal="center" vertical="center" wrapText="1"/>
    </xf>
    <xf numFmtId="164" fontId="9" fillId="26" borderId="4" xfId="41" applyFont="1" applyFill="1" applyBorder="1" applyAlignment="1">
      <alignment vertical="center" wrapText="1"/>
    </xf>
    <xf numFmtId="49" fontId="10" fillId="0" borderId="1" xfId="5" applyNumberFormat="1" applyFont="1" applyFill="1" applyBorder="1" applyAlignment="1">
      <alignment horizontal="center" vertical="center" wrapText="1"/>
    </xf>
    <xf numFmtId="0" fontId="10" fillId="0" borderId="1" xfId="5" applyFont="1" applyFill="1" applyBorder="1" applyAlignment="1">
      <alignment horizontal="justify" vertical="center"/>
    </xf>
    <xf numFmtId="1" fontId="10" fillId="0" borderId="1" xfId="5" applyNumberFormat="1" applyFont="1" applyFill="1" applyBorder="1" applyAlignment="1">
      <alignment horizontal="center" vertical="center"/>
    </xf>
    <xf numFmtId="164" fontId="10" fillId="0" borderId="1" xfId="41" applyFont="1" applyFill="1" applyBorder="1" applyAlignment="1" applyProtection="1">
      <alignment vertical="center"/>
      <protection locked="0"/>
    </xf>
    <xf numFmtId="164" fontId="10" fillId="0" borderId="1" xfId="41" applyFont="1" applyFill="1" applyBorder="1" applyAlignment="1" applyProtection="1">
      <alignment vertical="center" wrapText="1"/>
      <protection locked="0"/>
    </xf>
    <xf numFmtId="173" fontId="10" fillId="0" borderId="1" xfId="5" applyNumberFormat="1" applyFont="1" applyFill="1" applyBorder="1" applyAlignment="1">
      <alignment horizontal="center" vertical="center" wrapText="1"/>
    </xf>
    <xf numFmtId="0" fontId="10" fillId="0" borderId="0" xfId="5" applyFont="1" applyFill="1" applyBorder="1" applyAlignment="1">
      <alignment vertical="center"/>
    </xf>
    <xf numFmtId="49" fontId="9" fillId="30" borderId="2" xfId="5" applyNumberFormat="1" applyFont="1" applyFill="1" applyBorder="1" applyAlignment="1">
      <alignment horizontal="center" vertical="center" wrapText="1"/>
    </xf>
    <xf numFmtId="3" fontId="10" fillId="0" borderId="0" xfId="5" applyNumberFormat="1" applyFont="1" applyFill="1" applyBorder="1" applyAlignment="1">
      <alignment vertical="center"/>
    </xf>
    <xf numFmtId="0" fontId="9" fillId="26" borderId="5" xfId="5" applyFont="1" applyFill="1" applyBorder="1" applyAlignment="1">
      <alignment horizontal="justify" vertical="center"/>
    </xf>
    <xf numFmtId="2" fontId="10" fillId="26" borderId="5" xfId="5" applyNumberFormat="1" applyFont="1" applyFill="1" applyBorder="1" applyAlignment="1" applyProtection="1">
      <alignment horizontal="center" vertical="center" wrapText="1"/>
      <protection locked="0"/>
    </xf>
    <xf numFmtId="180" fontId="10" fillId="26" borderId="5" xfId="5" applyNumberFormat="1" applyFont="1" applyFill="1" applyBorder="1" applyAlignment="1" applyProtection="1">
      <alignment horizontal="center" vertical="center"/>
      <protection locked="0"/>
    </xf>
    <xf numFmtId="0" fontId="9" fillId="26" borderId="2" xfId="5" applyFont="1" applyFill="1" applyBorder="1" applyAlignment="1">
      <alignment horizontal="justify" vertical="center"/>
    </xf>
    <xf numFmtId="2" fontId="10" fillId="26" borderId="4" xfId="5" applyNumberFormat="1" applyFont="1" applyFill="1" applyBorder="1" applyAlignment="1" applyProtection="1">
      <alignment horizontal="center" vertical="center" wrapText="1"/>
      <protection locked="0"/>
    </xf>
    <xf numFmtId="0" fontId="10" fillId="0" borderId="7" xfId="5" applyFont="1" applyFill="1" applyBorder="1" applyAlignment="1">
      <alignment horizontal="justify" vertical="center"/>
    </xf>
    <xf numFmtId="0" fontId="10" fillId="0" borderId="7" xfId="5" applyFont="1" applyFill="1" applyBorder="1" applyAlignment="1">
      <alignment horizontal="center" vertical="center"/>
    </xf>
    <xf numFmtId="173" fontId="10" fillId="0" borderId="7" xfId="5" applyNumberFormat="1" applyFont="1" applyFill="1" applyBorder="1" applyAlignment="1">
      <alignment horizontal="center" vertical="center"/>
    </xf>
    <xf numFmtId="180" fontId="10" fillId="0" borderId="7" xfId="5" applyNumberFormat="1" applyFont="1" applyFill="1" applyBorder="1" applyAlignment="1" applyProtection="1">
      <alignment horizontal="center" vertical="center"/>
      <protection locked="0"/>
    </xf>
    <xf numFmtId="0" fontId="10" fillId="0" borderId="1" xfId="5" applyFont="1" applyFill="1" applyBorder="1" applyAlignment="1">
      <alignment horizontal="center" vertical="center" wrapText="1"/>
    </xf>
    <xf numFmtId="2" fontId="10" fillId="0" borderId="1" xfId="5" applyNumberFormat="1" applyFont="1" applyFill="1" applyBorder="1" applyAlignment="1" applyProtection="1">
      <alignment horizontal="center" vertical="center" wrapText="1"/>
      <protection locked="0"/>
    </xf>
    <xf numFmtId="180" fontId="10" fillId="0" borderId="1" xfId="5" applyNumberFormat="1" applyFont="1" applyFill="1" applyBorder="1" applyAlignment="1" applyProtection="1">
      <alignment horizontal="center" vertical="center"/>
      <protection locked="0"/>
    </xf>
    <xf numFmtId="0" fontId="10" fillId="0" borderId="1" xfId="5" applyFont="1" applyFill="1" applyBorder="1" applyAlignment="1">
      <alignment vertical="center" wrapText="1"/>
    </xf>
    <xf numFmtId="173" fontId="10" fillId="0" borderId="1" xfId="5" applyNumberFormat="1" applyFont="1" applyFill="1" applyBorder="1" applyAlignment="1">
      <alignment horizontal="center" vertical="center"/>
    </xf>
    <xf numFmtId="2" fontId="10" fillId="0" borderId="0" xfId="5" applyNumberFormat="1" applyFont="1" applyFill="1" applyBorder="1" applyAlignment="1">
      <alignment vertical="center"/>
    </xf>
    <xf numFmtId="0" fontId="10" fillId="0" borderId="1" xfId="5" applyFont="1" applyFill="1" applyBorder="1" applyAlignment="1">
      <alignment horizontal="justify" vertical="center" wrapText="1"/>
    </xf>
    <xf numFmtId="173" fontId="10" fillId="0" borderId="0" xfId="5" applyNumberFormat="1" applyFont="1" applyFill="1" applyBorder="1" applyAlignment="1">
      <alignment vertical="center"/>
    </xf>
    <xf numFmtId="3" fontId="10" fillId="0" borderId="1" xfId="5" applyNumberFormat="1" applyFont="1" applyFill="1" applyBorder="1" applyAlignment="1">
      <alignment horizontal="center" vertical="center"/>
    </xf>
    <xf numFmtId="173" fontId="10" fillId="0" borderId="0" xfId="5" applyNumberFormat="1" applyFont="1" applyFill="1" applyBorder="1" applyAlignment="1" applyProtection="1">
      <alignment horizontal="center" vertical="center"/>
      <protection locked="0"/>
    </xf>
    <xf numFmtId="0" fontId="10" fillId="0" borderId="1" xfId="5" applyFont="1" applyFill="1" applyBorder="1" applyAlignment="1">
      <alignment horizontal="left" vertical="center" wrapText="1"/>
    </xf>
    <xf numFmtId="183" fontId="10" fillId="0" borderId="1" xfId="5" applyNumberFormat="1" applyFont="1" applyFill="1" applyBorder="1" applyAlignment="1" applyProtection="1">
      <alignment horizontal="center" vertical="center"/>
      <protection locked="0"/>
    </xf>
    <xf numFmtId="0" fontId="9" fillId="26" borderId="4" xfId="5" applyFont="1" applyFill="1" applyBorder="1" applyAlignment="1">
      <alignment vertical="center" wrapText="1"/>
    </xf>
    <xf numFmtId="180" fontId="10" fillId="0" borderId="1" xfId="5" applyNumberFormat="1" applyFont="1" applyFill="1" applyBorder="1" applyAlignment="1" applyProtection="1">
      <alignment horizontal="center" vertical="center" wrapText="1"/>
      <protection locked="0"/>
    </xf>
    <xf numFmtId="173" fontId="10" fillId="0" borderId="1" xfId="5" applyNumberFormat="1" applyFont="1" applyFill="1" applyBorder="1" applyAlignment="1" applyProtection="1">
      <alignment horizontal="center" vertical="center" wrapText="1"/>
      <protection locked="0"/>
    </xf>
    <xf numFmtId="1" fontId="13" fillId="26" borderId="21" xfId="5" applyNumberFormat="1" applyFont="1" applyFill="1" applyBorder="1" applyAlignment="1">
      <alignment horizontal="center" vertical="center" wrapText="1"/>
    </xf>
    <xf numFmtId="0" fontId="9" fillId="26" borderId="1" xfId="5" applyFont="1" applyFill="1" applyBorder="1" applyAlignment="1">
      <alignment horizontal="left" vertical="center" wrapText="1"/>
    </xf>
    <xf numFmtId="0" fontId="9" fillId="26" borderId="7" xfId="5" applyFont="1" applyFill="1" applyBorder="1" applyAlignment="1">
      <alignment horizontal="left" vertical="center" wrapText="1"/>
    </xf>
    <xf numFmtId="0" fontId="9" fillId="26" borderId="1" xfId="5" applyFont="1" applyFill="1" applyBorder="1" applyAlignment="1">
      <alignment horizontal="justify" vertical="center" wrapText="1"/>
    </xf>
    <xf numFmtId="0" fontId="10" fillId="0" borderId="0" xfId="5" applyFont="1"/>
    <xf numFmtId="164" fontId="10" fillId="0" borderId="0" xfId="41" applyFont="1" applyAlignment="1">
      <alignment vertical="center"/>
    </xf>
    <xf numFmtId="0" fontId="9" fillId="26" borderId="1" xfId="5" applyFont="1" applyFill="1" applyBorder="1" applyAlignment="1">
      <alignment horizontal="justify" vertical="center"/>
    </xf>
    <xf numFmtId="1" fontId="10" fillId="26" borderId="1" xfId="5" applyNumberFormat="1" applyFont="1" applyFill="1" applyBorder="1" applyAlignment="1" applyProtection="1">
      <alignment horizontal="center" vertical="center" wrapText="1"/>
      <protection locked="0"/>
    </xf>
    <xf numFmtId="164" fontId="10" fillId="26" borderId="1" xfId="41" applyFont="1" applyFill="1" applyBorder="1" applyAlignment="1" applyProtection="1">
      <alignment horizontal="center" vertical="center"/>
      <protection locked="0"/>
    </xf>
    <xf numFmtId="164" fontId="10" fillId="0" borderId="1" xfId="41" applyFont="1" applyBorder="1" applyAlignment="1">
      <alignment vertical="center"/>
    </xf>
    <xf numFmtId="180" fontId="9" fillId="26" borderId="1" xfId="5" applyNumberFormat="1" applyFont="1" applyFill="1" applyBorder="1" applyAlignment="1">
      <alignment vertical="center" wrapText="1"/>
    </xf>
    <xf numFmtId="0" fontId="10" fillId="0" borderId="1" xfId="5" applyFont="1" applyBorder="1" applyAlignment="1">
      <alignment vertical="center" wrapText="1"/>
    </xf>
    <xf numFmtId="0" fontId="10" fillId="0" borderId="1" xfId="5" applyFont="1" applyBorder="1" applyAlignment="1">
      <alignment horizontal="left" vertical="center" wrapText="1"/>
    </xf>
    <xf numFmtId="0" fontId="10" fillId="0" borderId="1" xfId="5" applyFont="1" applyFill="1" applyBorder="1" applyAlignment="1" applyProtection="1">
      <alignment horizontal="justify" vertical="center"/>
      <protection hidden="1"/>
    </xf>
    <xf numFmtId="0" fontId="10" fillId="0" borderId="1" xfId="5" applyFont="1" applyBorder="1" applyAlignment="1">
      <alignment vertical="center"/>
    </xf>
    <xf numFmtId="0" fontId="10" fillId="0" borderId="0" xfId="5" applyNumberFormat="1" applyFont="1" applyFill="1" applyBorder="1" applyAlignment="1">
      <alignment horizontal="center" vertical="center" wrapText="1"/>
    </xf>
    <xf numFmtId="0" fontId="9" fillId="26" borderId="2" xfId="5" applyFont="1" applyFill="1" applyBorder="1" applyAlignment="1">
      <alignment vertical="center"/>
    </xf>
    <xf numFmtId="0" fontId="9" fillId="26" borderId="4" xfId="5" applyFont="1" applyFill="1" applyBorder="1" applyAlignment="1">
      <alignment vertical="center"/>
    </xf>
    <xf numFmtId="0" fontId="9" fillId="26" borderId="20" xfId="5" applyFont="1" applyFill="1" applyBorder="1" applyAlignment="1">
      <alignment vertical="center"/>
    </xf>
    <xf numFmtId="3" fontId="9" fillId="0" borderId="0" xfId="5" applyNumberFormat="1" applyFont="1" applyFill="1" applyBorder="1" applyAlignment="1">
      <alignment horizontal="center" vertical="center"/>
    </xf>
    <xf numFmtId="0" fontId="9" fillId="26" borderId="7" xfId="20" applyFont="1" applyFill="1" applyBorder="1" applyAlignment="1">
      <alignment horizontal="left" vertical="center" wrapText="1"/>
    </xf>
    <xf numFmtId="0" fontId="10" fillId="0" borderId="1" xfId="7" applyFont="1" applyFill="1" applyBorder="1" applyAlignment="1" applyProtection="1">
      <alignment horizontal="justify" vertical="center" wrapText="1"/>
    </xf>
    <xf numFmtId="0" fontId="10" fillId="26" borderId="1" xfId="5" applyFont="1" applyFill="1" applyBorder="1" applyAlignment="1">
      <alignment horizontal="center" vertical="center" wrapText="1"/>
    </xf>
    <xf numFmtId="4" fontId="10" fillId="26" borderId="1" xfId="5" applyNumberFormat="1" applyFont="1" applyFill="1" applyBorder="1" applyAlignment="1">
      <alignment horizontal="center" vertical="center" wrapText="1"/>
    </xf>
    <xf numFmtId="3" fontId="10" fillId="26" borderId="1" xfId="5" applyNumberFormat="1" applyFont="1" applyFill="1" applyBorder="1" applyAlignment="1">
      <alignment horizontal="center" vertical="center" wrapText="1"/>
    </xf>
    <xf numFmtId="0" fontId="9" fillId="26" borderId="1" xfId="20" applyFont="1" applyFill="1" applyBorder="1" applyAlignment="1">
      <alignment horizontal="left" vertical="center" wrapText="1"/>
    </xf>
    <xf numFmtId="0" fontId="9" fillId="26" borderId="1" xfId="7" applyFont="1" applyFill="1" applyBorder="1" applyAlignment="1">
      <alignment horizontal="justify" vertical="center" wrapText="1"/>
    </xf>
    <xf numFmtId="0" fontId="9" fillId="26" borderId="1" xfId="20" applyFont="1" applyFill="1" applyBorder="1" applyAlignment="1">
      <alignment horizontal="justify" vertical="center" wrapText="1"/>
    </xf>
    <xf numFmtId="0" fontId="10" fillId="0" borderId="1" xfId="20" applyFont="1" applyFill="1" applyBorder="1" applyAlignment="1">
      <alignment horizontal="justify" vertical="center" wrapText="1"/>
    </xf>
    <xf numFmtId="49" fontId="13" fillId="26" borderId="4" xfId="5" applyNumberFormat="1" applyFont="1" applyFill="1" applyBorder="1" applyAlignment="1">
      <alignment vertical="center" wrapText="1"/>
    </xf>
    <xf numFmtId="49" fontId="13" fillId="26" borderId="20" xfId="5" applyNumberFormat="1" applyFont="1" applyFill="1" applyBorder="1" applyAlignment="1">
      <alignment vertical="center" wrapText="1"/>
    </xf>
    <xf numFmtId="49" fontId="10" fillId="0" borderId="20" xfId="5" applyNumberFormat="1" applyFont="1" applyFill="1" applyBorder="1" applyAlignment="1">
      <alignment horizontal="center" vertical="center" wrapText="1"/>
    </xf>
    <xf numFmtId="0" fontId="10" fillId="0" borderId="2" xfId="5" applyFont="1" applyFill="1" applyBorder="1" applyAlignment="1">
      <alignment horizontal="justify" vertical="center"/>
    </xf>
    <xf numFmtId="0" fontId="9" fillId="29" borderId="1" xfId="5" applyFont="1" applyFill="1" applyBorder="1" applyAlignment="1">
      <alignment horizontal="center" vertical="center" wrapText="1"/>
    </xf>
    <xf numFmtId="164" fontId="9" fillId="29" borderId="4" xfId="41" applyFont="1" applyFill="1" applyBorder="1" applyAlignment="1">
      <alignment vertical="center" wrapText="1"/>
    </xf>
    <xf numFmtId="0" fontId="9" fillId="29" borderId="4" xfId="5" applyFont="1" applyFill="1" applyBorder="1" applyAlignment="1">
      <alignment vertical="center" wrapText="1"/>
    </xf>
    <xf numFmtId="49" fontId="13" fillId="29" borderId="4" xfId="5" applyNumberFormat="1" applyFont="1" applyFill="1" applyBorder="1" applyAlignment="1">
      <alignment vertical="center" wrapText="1"/>
    </xf>
    <xf numFmtId="49" fontId="9" fillId="29" borderId="20" xfId="5" applyNumberFormat="1" applyFont="1" applyFill="1" applyBorder="1" applyAlignment="1">
      <alignment vertical="center" wrapText="1"/>
    </xf>
    <xf numFmtId="0" fontId="9" fillId="29" borderId="1" xfId="5" applyFont="1" applyFill="1" applyBorder="1" applyAlignment="1">
      <alignment horizontal="justify" vertical="center" wrapText="1"/>
    </xf>
    <xf numFmtId="0" fontId="9" fillId="29" borderId="1" xfId="5" applyFont="1" applyFill="1" applyBorder="1" applyAlignment="1">
      <alignment horizontal="left" vertical="center" wrapText="1"/>
    </xf>
    <xf numFmtId="1" fontId="9" fillId="29" borderId="1" xfId="5" applyNumberFormat="1" applyFont="1" applyFill="1" applyBorder="1" applyAlignment="1">
      <alignment horizontal="center" vertical="center" wrapText="1"/>
    </xf>
    <xf numFmtId="164" fontId="9" fillId="29" borderId="1" xfId="41" applyFont="1" applyFill="1" applyBorder="1" applyAlignment="1">
      <alignment vertical="center" wrapText="1"/>
    </xf>
    <xf numFmtId="1" fontId="10" fillId="9" borderId="1" xfId="5" applyNumberFormat="1" applyFont="1" applyFill="1" applyBorder="1" applyAlignment="1">
      <alignment horizontal="center" vertical="center" wrapText="1"/>
    </xf>
    <xf numFmtId="0" fontId="10" fillId="0" borderId="1" xfId="5" applyFont="1" applyBorder="1" applyAlignment="1">
      <alignment horizontal="justify" vertical="center"/>
    </xf>
    <xf numFmtId="0" fontId="9" fillId="0" borderId="1" xfId="20" applyFont="1" applyFill="1" applyBorder="1" applyAlignment="1">
      <alignment horizontal="justify" vertical="center" wrapText="1"/>
    </xf>
    <xf numFmtId="164" fontId="9" fillId="26" borderId="1" xfId="29" applyFont="1" applyFill="1" applyBorder="1" applyAlignment="1" applyProtection="1">
      <alignment vertical="center"/>
      <protection locked="0"/>
    </xf>
    <xf numFmtId="0" fontId="9" fillId="0" borderId="2" xfId="7" applyFont="1" applyFill="1" applyBorder="1" applyAlignment="1">
      <alignment horizontal="justify" vertical="center" wrapText="1"/>
    </xf>
    <xf numFmtId="0" fontId="9" fillId="0" borderId="20" xfId="7" applyFont="1" applyFill="1" applyBorder="1" applyAlignment="1">
      <alignment horizontal="justify" vertical="center" wrapText="1"/>
    </xf>
    <xf numFmtId="0" fontId="11" fillId="0" borderId="1" xfId="0" applyNumberFormat="1" applyFont="1" applyFill="1" applyBorder="1" applyAlignment="1">
      <alignment horizontal="center"/>
    </xf>
    <xf numFmtId="175" fontId="11" fillId="0" borderId="2" xfId="0" applyNumberFormat="1" applyFont="1" applyFill="1" applyBorder="1"/>
    <xf numFmtId="2" fontId="11" fillId="0" borderId="4" xfId="0" applyNumberFormat="1" applyFont="1" applyFill="1" applyBorder="1" applyAlignment="1">
      <alignment horizontal="center"/>
    </xf>
    <xf numFmtId="180" fontId="11" fillId="0" borderId="0" xfId="0" applyNumberFormat="1" applyFont="1" applyFill="1" applyAlignment="1">
      <alignment horizontal="center"/>
    </xf>
    <xf numFmtId="173" fontId="10" fillId="0" borderId="1" xfId="0" applyNumberFormat="1" applyFont="1" applyBorder="1" applyAlignment="1">
      <alignment horizontal="center" vertical="center"/>
    </xf>
    <xf numFmtId="1" fontId="13" fillId="15" borderId="21" xfId="0" applyNumberFormat="1" applyFont="1" applyFill="1" applyBorder="1" applyAlignment="1">
      <alignment horizontal="center" vertical="center" wrapText="1"/>
    </xf>
    <xf numFmtId="49" fontId="10" fillId="0" borderId="0" xfId="5" applyNumberFormat="1" applyFont="1" applyFill="1" applyBorder="1" applyAlignment="1">
      <alignment horizontal="center" vertical="center" wrapText="1"/>
    </xf>
    <xf numFmtId="3" fontId="10" fillId="0" borderId="0" xfId="5" applyNumberFormat="1" applyFont="1" applyFill="1" applyBorder="1" applyAlignment="1" applyProtection="1">
      <alignment horizontal="center" vertical="center"/>
      <protection locked="0"/>
    </xf>
    <xf numFmtId="184" fontId="10" fillId="0" borderId="0" xfId="13" applyNumberFormat="1" applyFont="1" applyFill="1" applyBorder="1" applyAlignment="1">
      <alignment vertical="center"/>
    </xf>
    <xf numFmtId="0" fontId="9" fillId="15" borderId="1" xfId="5" applyFont="1" applyFill="1" applyBorder="1" applyAlignment="1">
      <alignment horizontal="center" vertical="center" wrapText="1"/>
    </xf>
    <xf numFmtId="0" fontId="9" fillId="15" borderId="4" xfId="5" applyFont="1" applyFill="1" applyBorder="1" applyAlignment="1">
      <alignment vertical="center" wrapText="1"/>
    </xf>
    <xf numFmtId="0" fontId="10" fillId="0" borderId="5" xfId="5" applyFont="1" applyFill="1" applyBorder="1" applyAlignment="1">
      <alignment horizontal="justify" vertical="justify"/>
    </xf>
    <xf numFmtId="204" fontId="10" fillId="0" borderId="1" xfId="35" applyNumberFormat="1" applyFont="1" applyFill="1" applyBorder="1" applyAlignment="1">
      <alignment horizontal="distributed" vertical="center"/>
    </xf>
    <xf numFmtId="0" fontId="10" fillId="0" borderId="1" xfId="7" applyFont="1" applyFill="1" applyBorder="1" applyAlignment="1" applyProtection="1">
      <alignment horizontal="left" vertical="center" wrapText="1"/>
    </xf>
    <xf numFmtId="175" fontId="10" fillId="0" borderId="1" xfId="0" applyNumberFormat="1" applyFont="1" applyFill="1" applyBorder="1" applyAlignment="1">
      <alignment horizontal="left" vertical="center"/>
    </xf>
    <xf numFmtId="0" fontId="24" fillId="0" borderId="1" xfId="0" applyFont="1" applyBorder="1" applyAlignment="1">
      <alignment vertical="center" wrapText="1"/>
    </xf>
    <xf numFmtId="2" fontId="24" fillId="2" borderId="1" xfId="0" applyNumberFormat="1" applyFont="1" applyFill="1" applyBorder="1" applyAlignment="1">
      <alignment horizontal="center" vertical="center"/>
    </xf>
    <xf numFmtId="175" fontId="24" fillId="0" borderId="2" xfId="0" applyNumberFormat="1" applyFont="1" applyFill="1" applyBorder="1"/>
    <xf numFmtId="164" fontId="7" fillId="0" borderId="0" xfId="5" applyNumberFormat="1" applyFont="1"/>
    <xf numFmtId="0" fontId="7" fillId="0" borderId="0" xfId="5" applyFont="1" applyFill="1"/>
    <xf numFmtId="0" fontId="9" fillId="26" borderId="1" xfId="7" applyFont="1" applyFill="1" applyBorder="1" applyAlignment="1">
      <alignment horizontal="center" vertical="center" wrapText="1"/>
    </xf>
    <xf numFmtId="0" fontId="10" fillId="26" borderId="5" xfId="7" applyFont="1" applyFill="1" applyBorder="1" applyAlignment="1">
      <alignment horizontal="center" vertical="center" wrapText="1"/>
    </xf>
    <xf numFmtId="181" fontId="10" fillId="26" borderId="5" xfId="7" applyNumberFormat="1" applyFont="1" applyFill="1" applyBorder="1" applyAlignment="1">
      <alignment horizontal="center" vertical="center" wrapText="1"/>
    </xf>
    <xf numFmtId="0" fontId="10" fillId="0" borderId="0" xfId="7" applyFont="1" applyFill="1"/>
    <xf numFmtId="0" fontId="9" fillId="26" borderId="2" xfId="7" applyFont="1" applyFill="1" applyBorder="1" applyAlignment="1">
      <alignment horizontal="center" vertical="center" wrapText="1"/>
    </xf>
    <xf numFmtId="0" fontId="10" fillId="26" borderId="4" xfId="7" applyFont="1" applyFill="1" applyBorder="1" applyAlignment="1">
      <alignment horizontal="center" vertical="center" wrapText="1"/>
    </xf>
    <xf numFmtId="181" fontId="10" fillId="26" borderId="4" xfId="7" applyNumberFormat="1" applyFont="1" applyFill="1" applyBorder="1" applyAlignment="1">
      <alignment horizontal="center" vertical="center" wrapText="1"/>
    </xf>
    <xf numFmtId="185" fontId="10" fillId="0" borderId="0" xfId="42" applyNumberFormat="1" applyFont="1" applyFill="1" applyBorder="1" applyAlignment="1">
      <alignment vertical="center"/>
    </xf>
    <xf numFmtId="0" fontId="13" fillId="26" borderId="21" xfId="7" applyFont="1" applyFill="1" applyBorder="1" applyAlignment="1">
      <alignment horizontal="center" vertical="center" wrapText="1"/>
    </xf>
    <xf numFmtId="0" fontId="9" fillId="26" borderId="1" xfId="7" applyFont="1" applyFill="1" applyBorder="1" applyAlignment="1">
      <alignment horizontal="left" vertical="center" wrapText="1"/>
    </xf>
    <xf numFmtId="0" fontId="10" fillId="26" borderId="0" xfId="7" applyFont="1" applyFill="1"/>
    <xf numFmtId="0" fontId="24" fillId="0" borderId="1" xfId="7" applyFont="1" applyFill="1" applyBorder="1" applyAlignment="1">
      <alignment horizontal="center"/>
    </xf>
    <xf numFmtId="0" fontId="10" fillId="0" borderId="1" xfId="7" applyFont="1" applyFill="1" applyBorder="1" applyAlignment="1" applyProtection="1">
      <alignment horizontal="center" vertical="center" wrapText="1"/>
    </xf>
    <xf numFmtId="195" fontId="10" fillId="0" borderId="1" xfId="7" applyNumberFormat="1" applyFont="1" applyFill="1" applyBorder="1" applyAlignment="1" applyProtection="1">
      <alignment horizontal="center" vertical="center" wrapText="1"/>
    </xf>
    <xf numFmtId="201" fontId="7" fillId="0" borderId="0" xfId="5" applyNumberFormat="1" applyFont="1"/>
    <xf numFmtId="0" fontId="7" fillId="0" borderId="0" xfId="5" applyFont="1" applyFill="1" applyBorder="1"/>
    <xf numFmtId="0" fontId="10" fillId="26" borderId="1" xfId="7" applyFont="1" applyFill="1" applyBorder="1" applyAlignment="1" applyProtection="1">
      <alignment horizontal="center" vertical="center" wrapText="1"/>
    </xf>
    <xf numFmtId="173" fontId="10" fillId="26" borderId="1" xfId="7" applyNumberFormat="1" applyFont="1" applyFill="1" applyBorder="1" applyAlignment="1" applyProtection="1">
      <alignment horizontal="center" vertical="center" wrapText="1"/>
    </xf>
    <xf numFmtId="181" fontId="10" fillId="26" borderId="1" xfId="7" applyNumberFormat="1" applyFont="1" applyFill="1" applyBorder="1" applyAlignment="1" applyProtection="1">
      <alignment horizontal="center" vertical="center" wrapText="1"/>
    </xf>
    <xf numFmtId="173" fontId="24" fillId="0" borderId="1" xfId="7" applyNumberFormat="1" applyFont="1" applyFill="1" applyBorder="1" applyAlignment="1" applyProtection="1">
      <alignment horizontal="center" vertical="center" wrapText="1"/>
    </xf>
    <xf numFmtId="0" fontId="10" fillId="26" borderId="1" xfId="7" applyFont="1" applyFill="1" applyBorder="1" applyAlignment="1">
      <alignment horizontal="center" vertical="center" wrapText="1"/>
    </xf>
    <xf numFmtId="0" fontId="7" fillId="0" borderId="6" xfId="5" applyFont="1" applyFill="1" applyBorder="1"/>
    <xf numFmtId="1" fontId="13" fillId="26" borderId="1" xfId="7" applyNumberFormat="1" applyFont="1" applyFill="1" applyBorder="1" applyAlignment="1" applyProtection="1">
      <alignment horizontal="center" vertical="center" wrapText="1"/>
    </xf>
    <xf numFmtId="181" fontId="9" fillId="26" borderId="1" xfId="7" applyNumberFormat="1" applyFont="1" applyFill="1" applyBorder="1" applyAlignment="1" applyProtection="1">
      <alignment horizontal="center" vertical="center" wrapText="1"/>
    </xf>
    <xf numFmtId="0" fontId="10" fillId="26" borderId="22" xfId="7" applyFont="1" applyFill="1" applyBorder="1" applyAlignment="1" applyProtection="1">
      <alignment horizontal="center" vertical="center" wrapText="1"/>
    </xf>
    <xf numFmtId="173" fontId="10" fillId="0" borderId="4" xfId="7" applyNumberFormat="1" applyFont="1" applyFill="1" applyBorder="1" applyAlignment="1" applyProtection="1">
      <alignment horizontal="center" vertical="center" wrapText="1"/>
    </xf>
    <xf numFmtId="181" fontId="7" fillId="0" borderId="0" xfId="5" applyNumberFormat="1" applyFont="1" applyFill="1"/>
    <xf numFmtId="0" fontId="9" fillId="26" borderId="2" xfId="7" applyFont="1" applyFill="1" applyBorder="1" applyAlignment="1">
      <alignment vertical="center" wrapText="1"/>
    </xf>
    <xf numFmtId="0" fontId="9" fillId="26" borderId="4" xfId="7" applyFont="1" applyFill="1" applyBorder="1" applyAlignment="1">
      <alignment vertical="center" wrapText="1"/>
    </xf>
    <xf numFmtId="181" fontId="9" fillId="26" borderId="20" xfId="41" applyNumberFormat="1" applyFont="1" applyFill="1" applyBorder="1" applyAlignment="1">
      <alignment vertical="center" wrapText="1"/>
    </xf>
    <xf numFmtId="0" fontId="24" fillId="0" borderId="1" xfId="7" applyFont="1" applyFill="1" applyBorder="1" applyAlignment="1">
      <alignment horizontal="center" vertical="center" wrapText="1"/>
    </xf>
    <xf numFmtId="0" fontId="10" fillId="0" borderId="1" xfId="7" applyFont="1" applyFill="1" applyBorder="1" applyAlignment="1">
      <alignment horizontal="center" vertical="center" wrapText="1"/>
    </xf>
    <xf numFmtId="2" fontId="10" fillId="0" borderId="1" xfId="7" applyNumberFormat="1" applyFont="1" applyFill="1" applyBorder="1" applyAlignment="1">
      <alignment horizontal="center" vertical="center" wrapText="1"/>
    </xf>
    <xf numFmtId="0" fontId="24" fillId="0" borderId="1" xfId="7" applyFont="1" applyFill="1" applyBorder="1" applyAlignment="1" applyProtection="1">
      <alignment horizontal="center" vertical="center" wrapText="1"/>
    </xf>
    <xf numFmtId="173" fontId="10" fillId="0" borderId="1" xfId="7" applyNumberFormat="1" applyFont="1" applyFill="1" applyBorder="1" applyAlignment="1">
      <alignment horizontal="center" vertical="center" wrapText="1"/>
    </xf>
    <xf numFmtId="0" fontId="10" fillId="0" borderId="4" xfId="7" applyFont="1" applyFill="1" applyBorder="1" applyAlignment="1">
      <alignment horizontal="center" vertical="center" wrapText="1"/>
    </xf>
    <xf numFmtId="181" fontId="9" fillId="26" borderId="20" xfId="29" applyNumberFormat="1" applyFont="1" applyFill="1" applyBorder="1" applyAlignment="1">
      <alignment vertical="center" wrapText="1"/>
    </xf>
    <xf numFmtId="164" fontId="10" fillId="26" borderId="1" xfId="41" applyFont="1" applyFill="1" applyBorder="1" applyAlignment="1">
      <alignment horizontal="center" vertical="center" wrapText="1"/>
    </xf>
    <xf numFmtId="0" fontId="13" fillId="26" borderId="1" xfId="7" applyFont="1" applyFill="1" applyBorder="1" applyAlignment="1">
      <alignment horizontal="left" vertical="center" wrapText="1"/>
    </xf>
    <xf numFmtId="0" fontId="13" fillId="26" borderId="1" xfId="7" applyFont="1" applyFill="1" applyBorder="1" applyAlignment="1">
      <alignment horizontal="center" vertical="center" wrapText="1"/>
    </xf>
    <xf numFmtId="181" fontId="13" fillId="26" borderId="1" xfId="7" applyNumberFormat="1" applyFont="1" applyFill="1" applyBorder="1" applyAlignment="1">
      <alignment horizontal="center" vertical="center" wrapText="1"/>
    </xf>
    <xf numFmtId="181" fontId="24" fillId="0" borderId="1" xfId="7" applyNumberFormat="1" applyFont="1" applyFill="1" applyBorder="1" applyAlignment="1" applyProtection="1">
      <alignment horizontal="center" vertical="center" wrapText="1"/>
    </xf>
    <xf numFmtId="181" fontId="24" fillId="0" borderId="1" xfId="7" applyNumberFormat="1" applyFont="1" applyFill="1" applyBorder="1" applyAlignment="1">
      <alignment horizontal="center" vertical="center" wrapText="1"/>
    </xf>
    <xf numFmtId="0" fontId="24" fillId="26" borderId="1" xfId="7" applyFont="1" applyFill="1" applyBorder="1" applyAlignment="1" applyProtection="1">
      <alignment horizontal="center" vertical="center" wrapText="1"/>
    </xf>
    <xf numFmtId="173" fontId="24" fillId="26" borderId="1" xfId="7" applyNumberFormat="1" applyFont="1" applyFill="1" applyBorder="1" applyAlignment="1" applyProtection="1">
      <alignment horizontal="center" vertical="center" wrapText="1"/>
    </xf>
    <xf numFmtId="181" fontId="24" fillId="26" borderId="1" xfId="7" applyNumberFormat="1" applyFont="1" applyFill="1" applyBorder="1" applyAlignment="1" applyProtection="1">
      <alignment horizontal="center" vertical="center" wrapText="1"/>
    </xf>
    <xf numFmtId="173" fontId="24" fillId="0" borderId="1" xfId="7" applyNumberFormat="1" applyFont="1" applyFill="1" applyBorder="1" applyAlignment="1">
      <alignment horizontal="center" vertical="center" wrapText="1"/>
    </xf>
    <xf numFmtId="0" fontId="24" fillId="26" borderId="1" xfId="7" applyFont="1" applyFill="1" applyBorder="1" applyAlignment="1">
      <alignment horizontal="center" vertical="center" wrapText="1"/>
    </xf>
    <xf numFmtId="181" fontId="24" fillId="26" borderId="1" xfId="7" applyNumberFormat="1" applyFont="1" applyFill="1" applyBorder="1" applyAlignment="1">
      <alignment horizontal="center" vertical="center" wrapText="1"/>
    </xf>
    <xf numFmtId="0" fontId="9" fillId="26" borderId="0" xfId="7" applyFont="1" applyFill="1"/>
    <xf numFmtId="0" fontId="24" fillId="26" borderId="0" xfId="7" applyFont="1" applyFill="1"/>
    <xf numFmtId="0" fontId="25" fillId="0" borderId="1" xfId="7" applyFont="1" applyFill="1" applyBorder="1" applyAlignment="1" applyProtection="1">
      <alignment horizontal="center" vertical="center" wrapText="1"/>
    </xf>
    <xf numFmtId="181" fontId="24" fillId="26" borderId="20" xfId="7" applyNumberFormat="1" applyFont="1" applyFill="1" applyBorder="1" applyAlignment="1">
      <alignment horizontal="center" vertical="center" wrapText="1"/>
    </xf>
    <xf numFmtId="164" fontId="9" fillId="29" borderId="20" xfId="41" applyFont="1" applyFill="1" applyBorder="1" applyAlignment="1">
      <alignment vertical="center" wrapText="1"/>
    </xf>
    <xf numFmtId="0" fontId="10" fillId="29" borderId="1" xfId="7" applyFont="1" applyFill="1" applyBorder="1" applyAlignment="1" applyProtection="1">
      <alignment horizontal="center" vertical="center" wrapText="1"/>
    </xf>
    <xf numFmtId="173" fontId="10" fillId="29" borderId="1" xfId="7" applyNumberFormat="1" applyFont="1" applyFill="1" applyBorder="1" applyAlignment="1" applyProtection="1">
      <alignment horizontal="center" vertical="center" wrapText="1"/>
    </xf>
    <xf numFmtId="181" fontId="10" fillId="29" borderId="1" xfId="7" applyNumberFormat="1" applyFont="1" applyFill="1" applyBorder="1" applyAlignment="1" applyProtection="1">
      <alignment horizontal="center" vertical="center" wrapText="1"/>
    </xf>
    <xf numFmtId="181" fontId="9" fillId="29" borderId="1" xfId="7" applyNumberFormat="1" applyFont="1" applyFill="1" applyBorder="1" applyAlignment="1">
      <alignment horizontal="center" vertical="center" wrapText="1"/>
    </xf>
    <xf numFmtId="0" fontId="13" fillId="0" borderId="1" xfId="7" applyFont="1" applyFill="1" applyBorder="1" applyAlignment="1">
      <alignment horizontal="center" vertical="center" wrapText="1"/>
    </xf>
    <xf numFmtId="0" fontId="9" fillId="15" borderId="2" xfId="7" applyFont="1" applyFill="1" applyBorder="1" applyAlignment="1">
      <alignment vertical="center" wrapText="1"/>
    </xf>
    <xf numFmtId="0" fontId="9" fillId="15" borderId="4" xfId="7" applyFont="1" applyFill="1" applyBorder="1" applyAlignment="1">
      <alignment vertical="center" wrapText="1"/>
    </xf>
    <xf numFmtId="181" fontId="9" fillId="15" borderId="20" xfId="29" applyNumberFormat="1" applyFont="1" applyFill="1" applyBorder="1" applyAlignment="1">
      <alignment vertical="center" wrapText="1"/>
    </xf>
    <xf numFmtId="180" fontId="10" fillId="0" borderId="0" xfId="5" applyNumberFormat="1" applyFont="1" applyFill="1" applyBorder="1" applyAlignment="1">
      <alignment vertical="center"/>
    </xf>
    <xf numFmtId="181" fontId="13" fillId="0" borderId="1" xfId="7" applyNumberFormat="1" applyFont="1" applyFill="1" applyBorder="1" applyAlignment="1">
      <alignment horizontal="center" vertical="center" wrapText="1"/>
    </xf>
    <xf numFmtId="0" fontId="24" fillId="29" borderId="1" xfId="7" applyFont="1" applyFill="1" applyBorder="1" applyAlignment="1">
      <alignment horizontal="center" vertical="center" wrapText="1"/>
    </xf>
    <xf numFmtId="181" fontId="24" fillId="29" borderId="20" xfId="7" applyNumberFormat="1" applyFont="1" applyFill="1" applyBorder="1" applyAlignment="1">
      <alignment horizontal="center" vertical="center" wrapText="1"/>
    </xf>
    <xf numFmtId="181" fontId="13" fillId="29" borderId="1" xfId="7" applyNumberFormat="1" applyFont="1" applyFill="1" applyBorder="1" applyAlignment="1">
      <alignment horizontal="center" vertical="center" wrapText="1"/>
    </xf>
    <xf numFmtId="49" fontId="45" fillId="30" borderId="1" xfId="5" applyNumberFormat="1" applyFont="1" applyFill="1" applyBorder="1" applyAlignment="1">
      <alignment horizontal="center" vertical="center" wrapText="1"/>
    </xf>
    <xf numFmtId="0" fontId="9" fillId="29"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170" fontId="24" fillId="0" borderId="0" xfId="0" applyNumberFormat="1" applyFont="1" applyBorder="1" applyAlignment="1">
      <alignment horizontal="center"/>
    </xf>
    <xf numFmtId="3" fontId="24" fillId="0" borderId="0" xfId="0" applyNumberFormat="1" applyFont="1" applyFill="1" applyBorder="1" applyAlignment="1">
      <alignment horizontal="center" vertical="center"/>
    </xf>
    <xf numFmtId="175" fontId="24" fillId="0" borderId="0" xfId="0" applyNumberFormat="1" applyFont="1" applyFill="1" applyBorder="1" applyAlignment="1">
      <alignment horizontal="center"/>
    </xf>
    <xf numFmtId="0" fontId="24" fillId="0" borderId="0" xfId="28" applyNumberFormat="1" applyFont="1" applyAlignment="1">
      <alignment vertical="center"/>
    </xf>
    <xf numFmtId="180" fontId="24" fillId="0" borderId="0" xfId="0" applyNumberFormat="1" applyFont="1" applyAlignment="1">
      <alignment horizontal="center"/>
    </xf>
    <xf numFmtId="180" fontId="24" fillId="0" borderId="0" xfId="0" applyNumberFormat="1" applyFont="1" applyFill="1" applyAlignment="1">
      <alignment horizontal="center"/>
    </xf>
    <xf numFmtId="2" fontId="24" fillId="0" borderId="1" xfId="0" applyNumberFormat="1" applyFont="1" applyFill="1" applyBorder="1" applyAlignment="1">
      <alignment horizontal="center" vertical="center"/>
    </xf>
    <xf numFmtId="180" fontId="24" fillId="0" borderId="1" xfId="0" applyNumberFormat="1" applyFont="1" applyFill="1" applyBorder="1" applyAlignment="1">
      <alignment horizontal="center" vertical="center"/>
    </xf>
    <xf numFmtId="0" fontId="24" fillId="0" borderId="0" xfId="0" applyFont="1" applyAlignment="1">
      <alignment horizontal="center" vertical="center"/>
    </xf>
    <xf numFmtId="180" fontId="24" fillId="0" borderId="0" xfId="0" applyNumberFormat="1" applyFont="1" applyFill="1" applyAlignment="1">
      <alignment horizontal="center" vertical="center"/>
    </xf>
    <xf numFmtId="180" fontId="24" fillId="0" borderId="0" xfId="0" applyNumberFormat="1" applyFont="1" applyAlignment="1">
      <alignment horizontal="center" vertical="center"/>
    </xf>
    <xf numFmtId="175" fontId="24" fillId="2" borderId="1" xfId="0" applyNumberFormat="1" applyFont="1" applyFill="1" applyBorder="1" applyAlignment="1">
      <alignment horizontal="right" vertical="center"/>
    </xf>
    <xf numFmtId="175" fontId="24" fillId="0" borderId="0" xfId="0" applyNumberFormat="1" applyFont="1" applyAlignment="1">
      <alignment horizontal="left"/>
    </xf>
    <xf numFmtId="2" fontId="24" fillId="0" borderId="0" xfId="0" applyNumberFormat="1" applyFont="1" applyAlignment="1">
      <alignment horizontal="center"/>
    </xf>
    <xf numFmtId="170" fontId="24" fillId="0" borderId="1" xfId="0" applyNumberFormat="1" applyFont="1" applyFill="1" applyBorder="1" applyAlignment="1">
      <alignment horizontal="center" vertical="center"/>
    </xf>
    <xf numFmtId="177" fontId="24" fillId="0" borderId="1" xfId="0" applyNumberFormat="1" applyFont="1" applyFill="1" applyBorder="1" applyAlignment="1">
      <alignment vertical="center"/>
    </xf>
    <xf numFmtId="170" fontId="24" fillId="0" borderId="1" xfId="0" applyNumberFormat="1" applyFont="1" applyFill="1" applyBorder="1" applyAlignment="1">
      <alignment vertical="center"/>
    </xf>
    <xf numFmtId="0" fontId="24" fillId="2" borderId="2" xfId="0" applyFont="1" applyFill="1" applyBorder="1" applyAlignment="1">
      <alignment horizontal="center" vertical="center"/>
    </xf>
    <xf numFmtId="177" fontId="24" fillId="0" borderId="19" xfId="0" applyNumberFormat="1" applyFont="1" applyFill="1" applyBorder="1" applyAlignment="1">
      <alignment vertical="center"/>
    </xf>
    <xf numFmtId="170" fontId="24" fillId="0" borderId="0" xfId="0" applyNumberFormat="1" applyFont="1" applyFill="1" applyBorder="1" applyAlignment="1">
      <alignment horizontal="center" vertical="center"/>
    </xf>
    <xf numFmtId="170" fontId="24" fillId="0" borderId="0" xfId="0" applyNumberFormat="1" applyFont="1" applyFill="1" applyBorder="1" applyAlignment="1">
      <alignment vertical="center"/>
    </xf>
    <xf numFmtId="0" fontId="24" fillId="0" borderId="3" xfId="28" applyNumberFormat="1" applyFont="1" applyFill="1" applyBorder="1" applyAlignment="1">
      <alignment horizontal="center" vertical="center"/>
    </xf>
    <xf numFmtId="175" fontId="24" fillId="0" borderId="0" xfId="0" applyNumberFormat="1" applyFont="1" applyFill="1" applyBorder="1" applyAlignment="1">
      <alignment horizontal="left"/>
    </xf>
    <xf numFmtId="170" fontId="24" fillId="0" borderId="0" xfId="0" applyNumberFormat="1" applyFont="1" applyFill="1" applyBorder="1" applyAlignment="1">
      <alignment horizontal="left"/>
    </xf>
    <xf numFmtId="170" fontId="24" fillId="0" borderId="1" xfId="0" applyNumberFormat="1" applyFont="1" applyBorder="1" applyAlignment="1">
      <alignment horizontal="center"/>
    </xf>
    <xf numFmtId="0" fontId="24" fillId="0" borderId="1" xfId="0" applyFont="1" applyBorder="1" applyAlignment="1">
      <alignment horizontal="left"/>
    </xf>
    <xf numFmtId="2" fontId="24" fillId="0" borderId="2" xfId="0" applyNumberFormat="1" applyFont="1" applyFill="1" applyBorder="1" applyAlignment="1">
      <alignment horizontal="center"/>
    </xf>
    <xf numFmtId="175" fontId="24" fillId="0" borderId="1" xfId="0" applyNumberFormat="1" applyFont="1" applyFill="1" applyBorder="1" applyAlignment="1">
      <alignment horizontal="left" vertical="center"/>
    </xf>
    <xf numFmtId="0" fontId="24" fillId="2" borderId="2" xfId="0" applyFont="1" applyFill="1" applyBorder="1" applyAlignment="1">
      <alignment horizontal="center"/>
    </xf>
    <xf numFmtId="0" fontId="24" fillId="0" borderId="19" xfId="0" applyFont="1" applyFill="1" applyBorder="1" applyAlignment="1">
      <alignment horizontal="center"/>
    </xf>
    <xf numFmtId="182" fontId="24" fillId="0" borderId="0" xfId="0" applyNumberFormat="1" applyFont="1" applyFill="1" applyBorder="1" applyAlignment="1">
      <alignment horizontal="center"/>
    </xf>
    <xf numFmtId="0" fontId="24" fillId="0" borderId="2" xfId="0" applyFont="1" applyBorder="1" applyAlignment="1">
      <alignment horizontal="center"/>
    </xf>
    <xf numFmtId="49" fontId="24" fillId="0" borderId="20" xfId="0" applyNumberFormat="1" applyFont="1" applyBorder="1" applyAlignment="1">
      <alignment horizontal="center" vertical="center"/>
    </xf>
    <xf numFmtId="9" fontId="24" fillId="2" borderId="1" xfId="0" applyNumberFormat="1" applyFont="1" applyFill="1" applyBorder="1" applyAlignment="1">
      <alignment horizontal="center" vertical="center"/>
    </xf>
    <xf numFmtId="164" fontId="9" fillId="14" borderId="2" xfId="29" applyFont="1" applyFill="1" applyBorder="1" applyAlignment="1">
      <alignment vertical="center" wrapText="1"/>
    </xf>
    <xf numFmtId="0" fontId="0" fillId="0" borderId="0" xfId="0" applyBorder="1"/>
    <xf numFmtId="0" fontId="25" fillId="0" borderId="0" xfId="0" applyFont="1" applyBorder="1" applyAlignment="1">
      <alignment vertical="center"/>
    </xf>
    <xf numFmtId="180" fontId="10" fillId="0" borderId="0" xfId="0" applyNumberFormat="1" applyFont="1" applyBorder="1"/>
    <xf numFmtId="164" fontId="0" fillId="0" borderId="0" xfId="0" applyNumberFormat="1" applyBorder="1"/>
    <xf numFmtId="164" fontId="10" fillId="0" borderId="65" xfId="29" applyFont="1" applyFill="1" applyBorder="1" applyAlignment="1">
      <alignment vertical="center"/>
    </xf>
    <xf numFmtId="164" fontId="10" fillId="0" borderId="66" xfId="29" applyFont="1" applyFill="1" applyBorder="1" applyAlignment="1">
      <alignment vertical="center"/>
    </xf>
    <xf numFmtId="164" fontId="10" fillId="0" borderId="57" xfId="29" applyFont="1" applyBorder="1" applyAlignment="1">
      <alignment vertical="center"/>
    </xf>
    <xf numFmtId="49" fontId="45" fillId="30" borderId="1" xfId="0" applyNumberFormat="1" applyFont="1" applyFill="1" applyBorder="1" applyAlignment="1">
      <alignment horizontal="center" vertical="center" wrapText="1"/>
    </xf>
    <xf numFmtId="164" fontId="9" fillId="26" borderId="1" xfId="29" applyFont="1" applyFill="1" applyBorder="1" applyAlignment="1">
      <alignment vertical="center"/>
    </xf>
    <xf numFmtId="49" fontId="13" fillId="29" borderId="1" xfId="0" applyNumberFormat="1" applyFont="1" applyFill="1" applyBorder="1" applyAlignment="1">
      <alignment horizontal="center" vertical="center" wrapText="1"/>
    </xf>
    <xf numFmtId="0" fontId="9" fillId="29" borderId="1" xfId="0" applyFont="1" applyFill="1" applyBorder="1" applyAlignment="1">
      <alignment vertical="center" wrapText="1"/>
    </xf>
    <xf numFmtId="0" fontId="10" fillId="0" borderId="1" xfId="0" applyFont="1" applyBorder="1" applyAlignment="1">
      <alignment horizontal="center"/>
    </xf>
    <xf numFmtId="0" fontId="94" fillId="28" borderId="1" xfId="43" applyFont="1" applyFill="1" applyBorder="1" applyAlignment="1">
      <alignment horizontal="center" vertical="center"/>
    </xf>
    <xf numFmtId="0" fontId="95" fillId="27" borderId="1" xfId="40" applyFont="1" applyFill="1" applyBorder="1" applyAlignment="1">
      <alignment horizontal="left" vertical="center" wrapText="1"/>
    </xf>
    <xf numFmtId="0" fontId="97" fillId="27" borderId="1" xfId="43" applyFont="1" applyFill="1" applyBorder="1" applyAlignment="1">
      <alignment vertical="center"/>
    </xf>
    <xf numFmtId="0" fontId="100" fillId="27" borderId="1" xfId="40" applyFont="1" applyFill="1" applyBorder="1" applyAlignment="1">
      <alignment horizontal="left" vertical="center" wrapText="1"/>
    </xf>
    <xf numFmtId="0" fontId="95" fillId="0" borderId="1" xfId="43" applyFont="1" applyFill="1" applyBorder="1" applyAlignment="1">
      <alignment horizontal="left" vertical="center" wrapText="1"/>
    </xf>
    <xf numFmtId="0" fontId="103" fillId="27" borderId="1" xfId="40" applyFont="1" applyFill="1" applyBorder="1" applyAlignment="1">
      <alignment horizontal="left" vertical="center" wrapText="1"/>
    </xf>
    <xf numFmtId="192" fontId="95" fillId="0" borderId="0" xfId="44" applyNumberFormat="1" applyFont="1" applyBorder="1" applyAlignment="1">
      <alignment horizontal="center" vertical="center"/>
    </xf>
    <xf numFmtId="0" fontId="95" fillId="0" borderId="0" xfId="43" applyFont="1" applyFill="1" applyBorder="1" applyAlignment="1">
      <alignment horizontal="left" vertical="center" wrapText="1"/>
    </xf>
    <xf numFmtId="164" fontId="97" fillId="27" borderId="1" xfId="29" applyFont="1" applyFill="1" applyBorder="1" applyAlignment="1">
      <alignment vertical="center"/>
    </xf>
    <xf numFmtId="164" fontId="97" fillId="0" borderId="1" xfId="29" applyFont="1" applyFill="1" applyBorder="1" applyAlignment="1">
      <alignment horizontal="center" vertical="center"/>
    </xf>
    <xf numFmtId="164" fontId="102" fillId="0" borderId="1" xfId="29" applyFont="1" applyFill="1" applyBorder="1" applyAlignment="1">
      <alignment vertical="center"/>
    </xf>
    <xf numFmtId="164" fontId="97" fillId="0" borderId="1" xfId="44" applyFont="1" applyFill="1" applyBorder="1" applyAlignment="1">
      <alignment horizontal="center" vertical="center"/>
    </xf>
    <xf numFmtId="0" fontId="10" fillId="0" borderId="1" xfId="0" applyFont="1" applyBorder="1" applyAlignment="1">
      <alignment horizontal="center"/>
    </xf>
    <xf numFmtId="0" fontId="14" fillId="0" borderId="1" xfId="0" applyNumberFormat="1" applyFont="1" applyFill="1" applyBorder="1" applyAlignment="1">
      <alignment horizontal="center" vertical="center" wrapText="1"/>
    </xf>
    <xf numFmtId="175" fontId="14" fillId="0" borderId="1" xfId="0" applyNumberFormat="1" applyFont="1" applyFill="1" applyBorder="1" applyAlignment="1">
      <alignment horizontal="left" vertical="center"/>
    </xf>
    <xf numFmtId="2" fontId="11" fillId="0" borderId="1" xfId="0" applyNumberFormat="1" applyFont="1" applyFill="1" applyBorder="1" applyAlignment="1">
      <alignment horizontal="center" vertical="center"/>
    </xf>
    <xf numFmtId="0" fontId="11" fillId="0" borderId="0" xfId="0" applyFont="1" applyFill="1" applyBorder="1" applyAlignment="1">
      <alignment vertical="center"/>
    </xf>
    <xf numFmtId="0" fontId="11" fillId="0" borderId="1" xfId="0" applyNumberFormat="1" applyFont="1" applyFill="1" applyBorder="1" applyAlignment="1">
      <alignment horizontal="center" vertical="center"/>
    </xf>
    <xf numFmtId="2" fontId="11" fillId="0" borderId="1" xfId="6" applyNumberFormat="1" applyFont="1" applyBorder="1" applyAlignment="1">
      <alignment horizontal="center" vertical="center"/>
    </xf>
    <xf numFmtId="49" fontId="11" fillId="0" borderId="1" xfId="0" applyNumberFormat="1" applyFont="1" applyFill="1" applyBorder="1" applyAlignment="1">
      <alignment horizontal="center" vertical="center"/>
    </xf>
    <xf numFmtId="170" fontId="11" fillId="0" borderId="1" xfId="0" applyNumberFormat="1" applyFont="1" applyFill="1" applyBorder="1" applyAlignment="1">
      <alignment horizontal="left" vertical="center" wrapText="1"/>
    </xf>
    <xf numFmtId="0" fontId="11" fillId="0" borderId="1" xfId="6" applyFont="1" applyFill="1" applyBorder="1" applyAlignment="1">
      <alignment horizontal="center" vertical="center"/>
    </xf>
    <xf numFmtId="0" fontId="11" fillId="0" borderId="1" xfId="6" applyFont="1" applyBorder="1" applyAlignment="1">
      <alignment horizontal="center" vertical="center"/>
    </xf>
    <xf numFmtId="170" fontId="11" fillId="0" borderId="1" xfId="6" applyNumberFormat="1" applyFont="1" applyFill="1" applyBorder="1" applyAlignment="1">
      <alignment horizontal="center" vertical="center"/>
    </xf>
    <xf numFmtId="170" fontId="11" fillId="0" borderId="1" xfId="6" applyNumberFormat="1" applyFont="1" applyBorder="1" applyAlignment="1">
      <alignment horizontal="center" vertical="center"/>
    </xf>
    <xf numFmtId="177" fontId="11" fillId="0" borderId="1" xfId="0" applyNumberFormat="1" applyFont="1" applyFill="1" applyBorder="1" applyAlignment="1">
      <alignment horizontal="center" vertical="center"/>
    </xf>
    <xf numFmtId="170" fontId="11" fillId="0" borderId="1" xfId="0" applyNumberFormat="1" applyFont="1" applyFill="1" applyBorder="1" applyAlignment="1">
      <alignment vertical="center"/>
    </xf>
    <xf numFmtId="2" fontId="11" fillId="2" borderId="2" xfId="0" applyNumberFormat="1" applyFont="1" applyFill="1" applyBorder="1" applyAlignment="1">
      <alignment horizontal="center" vertical="center"/>
    </xf>
    <xf numFmtId="177" fontId="11" fillId="0" borderId="19" xfId="0" applyNumberFormat="1" applyFont="1" applyFill="1" applyBorder="1" applyAlignment="1">
      <alignment horizontal="center" vertical="center"/>
    </xf>
    <xf numFmtId="170" fontId="11" fillId="0" borderId="0" xfId="0" applyNumberFormat="1" applyFont="1" applyFill="1" applyBorder="1" applyAlignment="1">
      <alignment vertical="center"/>
    </xf>
    <xf numFmtId="175" fontId="25" fillId="0" borderId="12" xfId="0" applyNumberFormat="1" applyFont="1" applyBorder="1" applyAlignment="1">
      <alignment horizontal="center" vertical="center"/>
    </xf>
    <xf numFmtId="183" fontId="9" fillId="0" borderId="0" xfId="0" applyNumberFormat="1" applyFont="1" applyFill="1" applyBorder="1" applyAlignment="1">
      <alignment horizontal="center" vertical="center"/>
    </xf>
    <xf numFmtId="0" fontId="9" fillId="26" borderId="2" xfId="12" applyFont="1" applyFill="1" applyBorder="1" applyAlignment="1">
      <alignment horizontal="center" vertical="center" wrapText="1"/>
    </xf>
    <xf numFmtId="0" fontId="9" fillId="26" borderId="4" xfId="12" applyFont="1" applyFill="1" applyBorder="1" applyAlignment="1">
      <alignment horizontal="center" vertical="center" wrapText="1"/>
    </xf>
    <xf numFmtId="0" fontId="9" fillId="29" borderId="2" xfId="12" applyFont="1" applyFill="1" applyBorder="1" applyAlignment="1">
      <alignment horizontal="center" vertical="center" wrapText="1"/>
    </xf>
    <xf numFmtId="0" fontId="9" fillId="29" borderId="4" xfId="12" applyFont="1" applyFill="1" applyBorder="1" applyAlignment="1">
      <alignment horizontal="center" vertical="center" wrapText="1"/>
    </xf>
    <xf numFmtId="0" fontId="9" fillId="26" borderId="2" xfId="7" applyFont="1" applyFill="1" applyBorder="1" applyAlignment="1" applyProtection="1">
      <alignment horizontal="left" vertical="center" wrapText="1"/>
    </xf>
    <xf numFmtId="0" fontId="9" fillId="26" borderId="4" xfId="7" applyFont="1" applyFill="1" applyBorder="1" applyAlignment="1" applyProtection="1">
      <alignment horizontal="left" vertical="center" wrapText="1"/>
    </xf>
    <xf numFmtId="0" fontId="9" fillId="29" borderId="1" xfId="0" applyFont="1" applyFill="1" applyBorder="1" applyAlignment="1">
      <alignment horizontal="center" vertical="center" wrapText="1"/>
    </xf>
    <xf numFmtId="0" fontId="9" fillId="29" borderId="1" xfId="0" applyFont="1" applyFill="1" applyBorder="1" applyAlignment="1">
      <alignment horizontal="left" vertical="center" wrapText="1"/>
    </xf>
    <xf numFmtId="0" fontId="9" fillId="2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0" borderId="6" xfId="7" applyFont="1" applyFill="1" applyBorder="1" applyAlignment="1">
      <alignment vertical="center" wrapText="1"/>
    </xf>
    <xf numFmtId="49" fontId="9" fillId="30" borderId="1" xfId="0" applyNumberFormat="1" applyFont="1" applyFill="1" applyBorder="1" applyAlignment="1">
      <alignment horizontal="center" vertical="center" wrapText="1"/>
    </xf>
    <xf numFmtId="0" fontId="24" fillId="0" borderId="1" xfId="7" applyFont="1" applyFill="1" applyBorder="1" applyAlignment="1">
      <alignment horizontal="center" vertical="center"/>
    </xf>
    <xf numFmtId="181" fontId="7" fillId="0" borderId="0" xfId="0" applyNumberFormat="1" applyFont="1" applyFill="1"/>
    <xf numFmtId="164" fontId="10" fillId="26" borderId="1" xfId="29" applyFont="1" applyFill="1" applyBorder="1" applyAlignment="1">
      <alignment horizontal="center" vertical="center" wrapText="1"/>
    </xf>
    <xf numFmtId="0" fontId="24" fillId="0" borderId="0" xfId="7" applyFont="1" applyFill="1"/>
    <xf numFmtId="187" fontId="10" fillId="0" borderId="0" xfId="7" applyNumberFormat="1" applyFont="1" applyFill="1"/>
    <xf numFmtId="164" fontId="10" fillId="0" borderId="0" xfId="29" applyFont="1" applyFill="1" applyBorder="1" applyAlignment="1">
      <alignment vertical="center"/>
    </xf>
    <xf numFmtId="199" fontId="10" fillId="0" borderId="0" xfId="0" applyNumberFormat="1" applyFont="1" applyFill="1" applyBorder="1" applyAlignment="1">
      <alignment vertical="center"/>
    </xf>
    <xf numFmtId="0" fontId="10" fillId="0" borderId="0" xfId="0" applyFont="1" applyFill="1" applyAlignment="1">
      <alignment horizontal="right" vertical="center" wrapText="1"/>
    </xf>
    <xf numFmtId="200" fontId="10" fillId="0" borderId="0" xfId="0" applyNumberFormat="1" applyFont="1" applyFill="1" applyBorder="1" applyAlignment="1">
      <alignment vertical="center"/>
    </xf>
    <xf numFmtId="164" fontId="10" fillId="0" borderId="0" xfId="29" applyFont="1" applyFill="1" applyBorder="1" applyAlignment="1" applyProtection="1">
      <alignment horizontal="center" vertical="center"/>
      <protection locked="0"/>
    </xf>
    <xf numFmtId="3" fontId="6" fillId="0" borderId="0" xfId="3" applyNumberFormat="1" applyFont="1" applyFill="1" applyBorder="1" applyAlignment="1" applyProtection="1">
      <alignment horizontal="left" vertical="center"/>
    </xf>
    <xf numFmtId="0" fontId="10" fillId="0" borderId="0" xfId="13" applyFont="1" applyFill="1" applyBorder="1" applyAlignment="1">
      <alignment horizontal="left" vertical="center"/>
    </xf>
    <xf numFmtId="0" fontId="9" fillId="0" borderId="0" xfId="13" applyFont="1" applyFill="1" applyBorder="1" applyAlignment="1">
      <alignment vertical="center"/>
    </xf>
    <xf numFmtId="3" fontId="9" fillId="0" borderId="0" xfId="0" applyNumberFormat="1" applyFont="1" applyFill="1" applyBorder="1" applyAlignment="1">
      <alignment horizontal="left" vertical="center"/>
    </xf>
    <xf numFmtId="1" fontId="9" fillId="0" borderId="0" xfId="0" applyNumberFormat="1" applyFont="1" applyFill="1" applyBorder="1" applyAlignment="1" applyProtection="1">
      <alignment vertical="center"/>
      <protection locked="0"/>
    </xf>
    <xf numFmtId="0" fontId="10" fillId="0" borderId="1" xfId="0" applyFont="1" applyFill="1" applyBorder="1" applyAlignment="1">
      <alignment horizontal="center" vertical="center" wrapText="1"/>
    </xf>
    <xf numFmtId="0" fontId="9" fillId="0" borderId="0" xfId="8" applyFont="1" applyFill="1" applyBorder="1" applyAlignment="1">
      <alignment horizontal="left" vertical="center" wrapText="1"/>
    </xf>
    <xf numFmtId="170" fontId="13" fillId="0" borderId="0" xfId="8" applyNumberFormat="1" applyFont="1" applyFill="1" applyBorder="1" applyAlignment="1">
      <alignment horizontal="center" vertical="center" wrapText="1"/>
    </xf>
    <xf numFmtId="0" fontId="24" fillId="0" borderId="1" xfId="0" applyNumberFormat="1" applyFont="1" applyBorder="1" applyAlignment="1">
      <alignment horizontal="center"/>
    </xf>
    <xf numFmtId="176" fontId="24" fillId="2" borderId="1" xfId="0" applyNumberFormat="1" applyFont="1" applyFill="1" applyBorder="1" applyAlignment="1">
      <alignment horizontal="center"/>
    </xf>
    <xf numFmtId="0" fontId="24" fillId="9" borderId="19" xfId="28" applyNumberFormat="1" applyFont="1" applyFill="1" applyBorder="1" applyAlignment="1">
      <alignment vertical="center"/>
    </xf>
    <xf numFmtId="0" fontId="24" fillId="9" borderId="0" xfId="0" applyFont="1" applyFill="1" applyBorder="1" applyAlignment="1">
      <alignment vertical="center"/>
    </xf>
    <xf numFmtId="49" fontId="13" fillId="11" borderId="1" xfId="28" applyNumberFormat="1" applyFont="1" applyFill="1" applyBorder="1" applyAlignment="1">
      <alignment horizontal="center" vertical="center"/>
    </xf>
    <xf numFmtId="0" fontId="13" fillId="0" borderId="0" xfId="0" applyFont="1" applyFill="1" applyBorder="1" applyAlignment="1">
      <alignment horizontal="center"/>
    </xf>
    <xf numFmtId="0" fontId="24" fillId="0" borderId="0" xfId="28" applyNumberFormat="1" applyFont="1" applyFill="1" applyAlignment="1">
      <alignment horizontal="center" vertical="center"/>
    </xf>
    <xf numFmtId="175" fontId="24" fillId="0" borderId="0" xfId="0" applyNumberFormat="1" applyFont="1" applyFill="1"/>
    <xf numFmtId="0" fontId="24" fillId="0" borderId="1" xfId="0" applyFont="1" applyBorder="1" applyAlignment="1">
      <alignment horizontal="left" vertical="center"/>
    </xf>
    <xf numFmtId="0" fontId="24" fillId="0" borderId="19" xfId="28" applyNumberFormat="1" applyFont="1" applyFill="1" applyBorder="1" applyAlignment="1">
      <alignment vertical="center"/>
    </xf>
    <xf numFmtId="0" fontId="24" fillId="0" borderId="0" xfId="0" applyFont="1" applyFill="1" applyBorder="1" applyAlignment="1"/>
    <xf numFmtId="0" fontId="24" fillId="0" borderId="1" xfId="0" applyFont="1" applyFill="1" applyBorder="1" applyAlignment="1">
      <alignment horizontal="left" wrapText="1"/>
    </xf>
    <xf numFmtId="176" fontId="24" fillId="0" borderId="4" xfId="0" applyNumberFormat="1" applyFont="1" applyFill="1" applyBorder="1" applyAlignment="1">
      <alignment horizontal="center"/>
    </xf>
    <xf numFmtId="170" fontId="24" fillId="0" borderId="0" xfId="0" applyNumberFormat="1" applyFont="1" applyFill="1"/>
    <xf numFmtId="170" fontId="24" fillId="0" borderId="1" xfId="0" applyNumberFormat="1" applyFont="1" applyBorder="1" applyAlignment="1">
      <alignment horizontal="center" vertical="center"/>
    </xf>
    <xf numFmtId="0" fontId="24" fillId="0" borderId="0" xfId="0" applyFont="1" applyBorder="1" applyAlignment="1">
      <alignment horizontal="center"/>
    </xf>
    <xf numFmtId="170" fontId="24" fillId="0" borderId="1" xfId="0" applyNumberFormat="1" applyFont="1" applyBorder="1"/>
    <xf numFmtId="2" fontId="24" fillId="0" borderId="0" xfId="0" applyNumberFormat="1" applyFont="1" applyFill="1"/>
    <xf numFmtId="0" fontId="89" fillId="0" borderId="0" xfId="33" applyFont="1"/>
    <xf numFmtId="2" fontId="7" fillId="0" borderId="1" xfId="32" applyNumberFormat="1" applyFont="1" applyFill="1" applyBorder="1" applyAlignment="1">
      <alignment horizontal="center" vertical="center"/>
    </xf>
    <xf numFmtId="203" fontId="7" fillId="0" borderId="1" xfId="32" applyNumberFormat="1" applyFont="1" applyFill="1" applyBorder="1" applyAlignment="1">
      <alignment horizontal="center" vertical="center"/>
    </xf>
    <xf numFmtId="203" fontId="7" fillId="0" borderId="20" xfId="32" applyNumberFormat="1" applyFont="1" applyFill="1" applyBorder="1" applyAlignment="1">
      <alignment horizontal="center" vertical="center"/>
    </xf>
    <xf numFmtId="2" fontId="7" fillId="0" borderId="5" xfId="32" applyNumberFormat="1" applyFont="1" applyFill="1" applyBorder="1" applyAlignment="1">
      <alignment horizontal="center" vertical="center"/>
    </xf>
    <xf numFmtId="0" fontId="7" fillId="0" borderId="1" xfId="32" applyFont="1" applyFill="1" applyBorder="1" applyAlignment="1">
      <alignment vertical="center"/>
    </xf>
    <xf numFmtId="0" fontId="10" fillId="0" borderId="0" xfId="31" applyNumberFormat="1" applyFont="1" applyFill="1" applyBorder="1" applyAlignment="1">
      <alignment horizontal="center" wrapText="1"/>
    </xf>
    <xf numFmtId="0" fontId="10" fillId="0" borderId="0" xfId="31" applyFont="1" applyFill="1" applyBorder="1" applyAlignment="1">
      <alignment horizontal="left" wrapText="1"/>
    </xf>
    <xf numFmtId="0" fontId="10" fillId="0" borderId="0" xfId="31" applyFont="1" applyFill="1" applyBorder="1" applyAlignment="1">
      <alignment horizontal="center" wrapText="1"/>
    </xf>
    <xf numFmtId="179" fontId="10" fillId="0" borderId="0" xfId="31" applyNumberFormat="1" applyFont="1" applyFill="1" applyBorder="1" applyAlignment="1">
      <alignment horizontal="right" wrapText="1"/>
    </xf>
    <xf numFmtId="170" fontId="10" fillId="0" borderId="0" xfId="31" applyNumberFormat="1" applyFont="1" applyFill="1" applyBorder="1" applyAlignment="1">
      <alignment horizontal="center" wrapText="1"/>
    </xf>
    <xf numFmtId="170" fontId="10" fillId="0" borderId="0" xfId="31" applyNumberFormat="1" applyFont="1" applyFill="1" applyBorder="1" applyAlignment="1">
      <alignment horizontal="right" wrapText="1"/>
    </xf>
    <xf numFmtId="170" fontId="10" fillId="0" borderId="0" xfId="31" applyNumberFormat="1" applyFont="1" applyFill="1" applyBorder="1" applyAlignment="1">
      <alignment horizontal="left" wrapText="1"/>
    </xf>
    <xf numFmtId="0" fontId="7" fillId="0" borderId="0" xfId="0" applyNumberFormat="1" applyFont="1" applyAlignment="1">
      <alignment horizontal="center"/>
    </xf>
    <xf numFmtId="49" fontId="13" fillId="0" borderId="1" xfId="27" applyNumberFormat="1" applyFont="1" applyFill="1" applyBorder="1" applyAlignment="1">
      <alignment horizontal="center" vertical="center"/>
    </xf>
    <xf numFmtId="10" fontId="13" fillId="23" borderId="1" xfId="27" applyNumberFormat="1" applyFont="1" applyFill="1" applyBorder="1" applyAlignment="1">
      <alignment horizontal="center" vertical="center"/>
    </xf>
    <xf numFmtId="0" fontId="106" fillId="0" borderId="0" xfId="27" applyFont="1" applyFill="1" applyAlignment="1">
      <alignment vertical="center"/>
    </xf>
    <xf numFmtId="2" fontId="106" fillId="0" borderId="0" xfId="27" applyNumberFormat="1" applyFont="1" applyFill="1" applyAlignment="1">
      <alignment vertical="center"/>
    </xf>
    <xf numFmtId="0" fontId="106" fillId="0" borderId="0" xfId="27" applyFont="1" applyAlignment="1">
      <alignment vertical="center"/>
    </xf>
    <xf numFmtId="49" fontId="24" fillId="0" borderId="1" xfId="27" applyNumberFormat="1" applyFont="1" applyFill="1" applyBorder="1" applyAlignment="1">
      <alignment horizontal="left" vertical="center"/>
    </xf>
    <xf numFmtId="49" fontId="13" fillId="23" borderId="1" xfId="27" applyNumberFormat="1" applyFont="1" applyFill="1" applyBorder="1" applyAlignment="1">
      <alignment horizontal="center" vertical="center"/>
    </xf>
    <xf numFmtId="49" fontId="13" fillId="23" borderId="20" xfId="27" applyNumberFormat="1" applyFont="1" applyFill="1" applyBorder="1" applyAlignment="1">
      <alignment horizontal="center" vertical="center"/>
    </xf>
    <xf numFmtId="4" fontId="13" fillId="23" borderId="1" xfId="27" applyNumberFormat="1" applyFont="1" applyFill="1" applyBorder="1" applyAlignment="1">
      <alignment vertical="center"/>
    </xf>
    <xf numFmtId="4" fontId="70" fillId="23" borderId="1" xfId="27" applyNumberFormat="1" applyFont="1" applyFill="1" applyBorder="1" applyAlignment="1">
      <alignment vertical="center"/>
    </xf>
    <xf numFmtId="9" fontId="25" fillId="0" borderId="1" xfId="27" applyNumberFormat="1" applyFont="1" applyFill="1" applyBorder="1" applyAlignment="1">
      <alignment horizontal="center" vertical="center"/>
    </xf>
    <xf numFmtId="207" fontId="25" fillId="9" borderId="0" xfId="27" applyNumberFormat="1" applyFont="1" applyFill="1" applyBorder="1" applyAlignment="1">
      <alignment vertical="center"/>
    </xf>
    <xf numFmtId="0" fontId="107" fillId="9" borderId="0" xfId="5" applyFont="1" applyFill="1" applyAlignment="1">
      <alignment vertical="center"/>
    </xf>
    <xf numFmtId="0" fontId="109" fillId="9" borderId="0" xfId="5" applyFont="1" applyFill="1" applyAlignment="1">
      <alignment horizontal="center" vertical="center"/>
    </xf>
    <xf numFmtId="0" fontId="107" fillId="9" borderId="0" xfId="5" applyFont="1" applyFill="1" applyAlignment="1">
      <alignment horizontal="centerContinuous" vertical="center"/>
    </xf>
    <xf numFmtId="0" fontId="110" fillId="9" borderId="1" xfId="5" applyFont="1" applyFill="1" applyBorder="1" applyAlignment="1">
      <alignment horizontal="center" vertical="center"/>
    </xf>
    <xf numFmtId="0" fontId="109" fillId="9" borderId="0" xfId="5" applyFont="1" applyFill="1" applyBorder="1" applyAlignment="1">
      <alignment horizontal="center" vertical="center"/>
    </xf>
    <xf numFmtId="0" fontId="109" fillId="9" borderId="0" xfId="5" applyFont="1" applyFill="1" applyBorder="1" applyAlignment="1">
      <alignment horizontal="left" vertical="center" wrapText="1"/>
    </xf>
    <xf numFmtId="0" fontId="109" fillId="9" borderId="0" xfId="5" applyFont="1" applyFill="1" applyBorder="1" applyAlignment="1">
      <alignment horizontal="center" vertical="center" wrapText="1"/>
    </xf>
    <xf numFmtId="173" fontId="109" fillId="9" borderId="1" xfId="5" applyNumberFormat="1" applyFont="1" applyFill="1" applyBorder="1" applyAlignment="1">
      <alignment horizontal="center" vertical="center"/>
    </xf>
    <xf numFmtId="0" fontId="109" fillId="9" borderId="1" xfId="5" applyFont="1" applyFill="1" applyBorder="1" applyAlignment="1">
      <alignment horizontal="left" vertical="center"/>
    </xf>
    <xf numFmtId="0" fontId="107" fillId="9" borderId="0" xfId="5" applyFont="1" applyFill="1" applyAlignment="1">
      <alignment horizontal="center" vertical="center"/>
    </xf>
    <xf numFmtId="0" fontId="109" fillId="12" borderId="1" xfId="5" applyFont="1" applyFill="1" applyBorder="1" applyAlignment="1">
      <alignment horizontal="center" vertical="center" wrapText="1"/>
    </xf>
    <xf numFmtId="0" fontId="109" fillId="12" borderId="1" xfId="5" quotePrefix="1" applyFont="1" applyFill="1" applyBorder="1" applyAlignment="1">
      <alignment horizontal="center" vertical="center"/>
    </xf>
    <xf numFmtId="0" fontId="109" fillId="12" borderId="1" xfId="5" applyFont="1" applyFill="1" applyBorder="1" applyAlignment="1">
      <alignment horizontal="center" vertical="center"/>
    </xf>
    <xf numFmtId="0" fontId="109" fillId="9" borderId="1" xfId="5" applyFont="1" applyFill="1" applyBorder="1" applyAlignment="1">
      <alignment horizontal="center" vertical="center"/>
    </xf>
    <xf numFmtId="0" fontId="107" fillId="9" borderId="1" xfId="5" applyFont="1" applyFill="1" applyBorder="1" applyAlignment="1">
      <alignment vertical="center"/>
    </xf>
    <xf numFmtId="173" fontId="107" fillId="9" borderId="1" xfId="5" applyNumberFormat="1" applyFont="1" applyFill="1" applyBorder="1" applyAlignment="1">
      <alignment horizontal="center" vertical="center"/>
    </xf>
    <xf numFmtId="0" fontId="107" fillId="9" borderId="1" xfId="5" applyFont="1" applyFill="1" applyBorder="1" applyAlignment="1">
      <alignment vertical="center" wrapText="1"/>
    </xf>
    <xf numFmtId="173" fontId="107" fillId="9" borderId="1" xfId="46" applyNumberFormat="1" applyFont="1" applyFill="1" applyBorder="1" applyAlignment="1">
      <alignment horizontal="center" vertical="center"/>
    </xf>
    <xf numFmtId="3" fontId="107" fillId="9" borderId="1" xfId="46" applyNumberFormat="1" applyFont="1" applyFill="1" applyBorder="1" applyAlignment="1">
      <alignment vertical="center"/>
    </xf>
    <xf numFmtId="9" fontId="107" fillId="9" borderId="1" xfId="5" applyNumberFormat="1" applyFont="1" applyFill="1" applyBorder="1" applyAlignment="1">
      <alignment horizontal="center" vertical="center"/>
    </xf>
    <xf numFmtId="1" fontId="107" fillId="9" borderId="1" xfId="46" applyNumberFormat="1" applyFont="1" applyFill="1" applyBorder="1" applyAlignment="1">
      <alignment horizontal="center" vertical="center"/>
    </xf>
    <xf numFmtId="0" fontId="109" fillId="9" borderId="1" xfId="5" applyFont="1" applyFill="1" applyBorder="1" applyAlignment="1">
      <alignment vertical="center"/>
    </xf>
    <xf numFmtId="173" fontId="107" fillId="9" borderId="1" xfId="46" applyNumberFormat="1" applyFont="1" applyFill="1" applyBorder="1" applyAlignment="1">
      <alignment vertical="center"/>
    </xf>
    <xf numFmtId="4" fontId="107" fillId="9" borderId="0" xfId="5" applyNumberFormat="1" applyFont="1" applyFill="1" applyAlignment="1">
      <alignment vertical="center"/>
    </xf>
    <xf numFmtId="0" fontId="107" fillId="9" borderId="1" xfId="5" applyFont="1" applyFill="1" applyBorder="1" applyAlignment="1">
      <alignment horizontal="center" vertical="center"/>
    </xf>
    <xf numFmtId="0" fontId="107" fillId="9" borderId="18" xfId="5" applyFont="1" applyFill="1" applyBorder="1" applyAlignment="1">
      <alignment horizontal="center" vertical="center"/>
    </xf>
    <xf numFmtId="0" fontId="107" fillId="9" borderId="18" xfId="5" applyFont="1" applyFill="1" applyBorder="1" applyAlignment="1">
      <alignment vertical="center"/>
    </xf>
    <xf numFmtId="172" fontId="107" fillId="9" borderId="18" xfId="46" applyNumberFormat="1" applyFont="1" applyFill="1" applyBorder="1" applyAlignment="1">
      <alignment horizontal="center" vertical="center"/>
    </xf>
    <xf numFmtId="172" fontId="107" fillId="9" borderId="18" xfId="46" applyNumberFormat="1" applyFont="1" applyFill="1" applyBorder="1" applyAlignment="1">
      <alignment vertical="center"/>
    </xf>
    <xf numFmtId="0" fontId="107" fillId="9" borderId="0" xfId="5" applyFont="1" applyFill="1" applyBorder="1" applyAlignment="1">
      <alignment horizontal="center" vertical="center"/>
    </xf>
    <xf numFmtId="0" fontId="107" fillId="9" borderId="0" xfId="5" applyFont="1" applyFill="1" applyBorder="1" applyAlignment="1">
      <alignment vertical="center"/>
    </xf>
    <xf numFmtId="172" fontId="107" fillId="9" borderId="0" xfId="46" applyNumberFormat="1" applyFont="1" applyFill="1" applyBorder="1" applyAlignment="1">
      <alignment horizontal="center" vertical="center"/>
    </xf>
    <xf numFmtId="172" fontId="107" fillId="9" borderId="0" xfId="46" applyNumberFormat="1" applyFont="1" applyFill="1" applyBorder="1" applyAlignment="1">
      <alignment vertical="center"/>
    </xf>
    <xf numFmtId="3" fontId="109" fillId="9" borderId="1" xfId="46" applyNumberFormat="1" applyFont="1" applyFill="1" applyBorder="1" applyAlignment="1">
      <alignment vertical="center"/>
    </xf>
    <xf numFmtId="208" fontId="107" fillId="9" borderId="1" xfId="46" applyNumberFormat="1" applyFont="1" applyFill="1" applyBorder="1" applyAlignment="1">
      <alignment vertical="center"/>
    </xf>
    <xf numFmtId="0" fontId="107" fillId="9" borderId="1" xfId="46" applyNumberFormat="1" applyFont="1" applyFill="1" applyBorder="1" applyAlignment="1">
      <alignment horizontal="center" vertical="center"/>
    </xf>
    <xf numFmtId="172" fontId="109" fillId="9" borderId="0" xfId="46" applyNumberFormat="1" applyFont="1" applyFill="1" applyBorder="1" applyAlignment="1">
      <alignment horizontal="center" vertical="center"/>
    </xf>
    <xf numFmtId="3" fontId="109" fillId="9" borderId="0" xfId="46" applyNumberFormat="1" applyFont="1" applyFill="1" applyBorder="1" applyAlignment="1">
      <alignment vertical="center"/>
    </xf>
    <xf numFmtId="172" fontId="109" fillId="9" borderId="0" xfId="46" applyNumberFormat="1" applyFont="1" applyFill="1" applyBorder="1" applyAlignment="1">
      <alignment vertical="center"/>
    </xf>
    <xf numFmtId="172" fontId="109" fillId="9" borderId="0" xfId="46" applyNumberFormat="1" applyFont="1" applyFill="1" applyBorder="1" applyAlignment="1">
      <alignment horizontal="right" vertical="center"/>
    </xf>
    <xf numFmtId="177" fontId="109" fillId="9" borderId="0" xfId="46" applyNumberFormat="1" applyFont="1" applyFill="1" applyBorder="1" applyAlignment="1">
      <alignment vertical="center"/>
    </xf>
    <xf numFmtId="0" fontId="111" fillId="9" borderId="0" xfId="5" applyFont="1" applyFill="1" applyBorder="1" applyAlignment="1">
      <alignment horizontal="right" vertical="center"/>
    </xf>
    <xf numFmtId="202" fontId="13" fillId="0" borderId="0" xfId="5" applyNumberFormat="1" applyFont="1" applyFill="1" applyBorder="1" applyAlignment="1" applyProtection="1">
      <alignment horizontal="center" vertical="center"/>
      <protection locked="0"/>
    </xf>
    <xf numFmtId="0" fontId="112" fillId="9" borderId="0" xfId="5" applyFont="1" applyFill="1" applyBorder="1"/>
    <xf numFmtId="0" fontId="109" fillId="9" borderId="0" xfId="5" applyFont="1" applyFill="1" applyBorder="1" applyAlignment="1">
      <alignment vertical="center"/>
    </xf>
    <xf numFmtId="10" fontId="107" fillId="9" borderId="0" xfId="15" applyNumberFormat="1" applyFont="1" applyFill="1" applyAlignment="1">
      <alignment vertical="center"/>
    </xf>
    <xf numFmtId="4" fontId="109" fillId="9" borderId="1" xfId="46" applyNumberFormat="1" applyFont="1" applyFill="1" applyBorder="1" applyAlignment="1">
      <alignment vertical="center"/>
    </xf>
    <xf numFmtId="3" fontId="107" fillId="9" borderId="0" xfId="5" applyNumberFormat="1" applyFont="1" applyFill="1" applyAlignment="1">
      <alignment vertical="center"/>
    </xf>
    <xf numFmtId="166" fontId="109" fillId="9" borderId="0" xfId="48" applyFont="1" applyFill="1" applyAlignment="1">
      <alignment vertical="center"/>
    </xf>
    <xf numFmtId="166" fontId="107" fillId="9" borderId="0" xfId="48" applyFont="1" applyFill="1" applyAlignment="1">
      <alignment vertical="center"/>
    </xf>
    <xf numFmtId="0" fontId="107" fillId="10" borderId="0" xfId="5" applyFont="1" applyFill="1" applyAlignment="1">
      <alignment vertical="center"/>
    </xf>
    <xf numFmtId="10" fontId="107" fillId="0" borderId="1" xfId="15" applyNumberFormat="1" applyFont="1" applyFill="1" applyBorder="1" applyAlignment="1">
      <alignment vertical="center"/>
    </xf>
    <xf numFmtId="183" fontId="9" fillId="0" borderId="0" xfId="0" applyNumberFormat="1" applyFont="1" applyFill="1" applyBorder="1" applyAlignment="1">
      <alignment horizontal="center" vertical="center"/>
    </xf>
    <xf numFmtId="0" fontId="24" fillId="0" borderId="20" xfId="8" applyBorder="1"/>
    <xf numFmtId="0" fontId="24" fillId="0" borderId="20" xfId="8" applyFont="1" applyBorder="1"/>
    <xf numFmtId="0" fontId="25" fillId="0" borderId="20" xfId="8" applyFont="1" applyFill="1" applyBorder="1"/>
    <xf numFmtId="0" fontId="24" fillId="0" borderId="0" xfId="8" applyAlignment="1">
      <alignment vertical="center" wrapText="1"/>
    </xf>
    <xf numFmtId="0" fontId="24" fillId="0" borderId="1" xfId="8" applyBorder="1" applyAlignment="1">
      <alignment horizontal="center"/>
    </xf>
    <xf numFmtId="0" fontId="9" fillId="0" borderId="1" xfId="8" applyFont="1" applyBorder="1" applyAlignment="1">
      <alignment horizontal="center" vertical="center"/>
    </xf>
    <xf numFmtId="0" fontId="25" fillId="0" borderId="0" xfId="8" applyFont="1" applyFill="1" applyBorder="1" applyAlignment="1">
      <alignment horizontal="center" vertical="center" wrapText="1"/>
    </xf>
    <xf numFmtId="0" fontId="26" fillId="0" borderId="18" xfId="8" applyFont="1" applyFill="1" applyBorder="1" applyAlignment="1">
      <alignment horizontal="center" vertical="center" wrapText="1"/>
    </xf>
    <xf numFmtId="49" fontId="12" fillId="0" borderId="18" xfId="8" applyNumberFormat="1" applyFont="1" applyFill="1" applyBorder="1" applyAlignment="1">
      <alignment horizontal="center" vertical="center" wrapText="1"/>
    </xf>
    <xf numFmtId="180" fontId="25" fillId="0" borderId="18" xfId="8" applyNumberFormat="1" applyFont="1" applyFill="1" applyBorder="1" applyAlignment="1">
      <alignment horizontal="center" vertical="center" wrapText="1"/>
    </xf>
    <xf numFmtId="170" fontId="24" fillId="0" borderId="1" xfId="8" applyNumberFormat="1" applyFill="1" applyBorder="1" applyAlignment="1">
      <alignment vertical="center"/>
    </xf>
    <xf numFmtId="0" fontId="13" fillId="31" borderId="1" xfId="8" applyFont="1" applyFill="1" applyBorder="1" applyAlignment="1">
      <alignment horizontal="center" vertical="center" wrapText="1"/>
    </xf>
    <xf numFmtId="0" fontId="13" fillId="31" borderId="1" xfId="8" applyFont="1" applyFill="1" applyBorder="1" applyAlignment="1">
      <alignment vertical="center" wrapText="1"/>
    </xf>
    <xf numFmtId="0" fontId="106" fillId="0" borderId="0" xfId="27" applyFont="1" applyFill="1" applyBorder="1" applyAlignment="1">
      <alignment vertical="center"/>
    </xf>
    <xf numFmtId="0" fontId="105" fillId="0" borderId="0" xfId="27" applyFont="1" applyFill="1" applyBorder="1" applyAlignment="1">
      <alignment horizontal="center" vertical="center"/>
    </xf>
    <xf numFmtId="0" fontId="105" fillId="0" borderId="0" xfId="27" applyFont="1" applyFill="1" applyBorder="1" applyAlignment="1">
      <alignment horizontal="center" vertical="center" wrapText="1"/>
    </xf>
    <xf numFmtId="169" fontId="106" fillId="0" borderId="0" xfId="27" applyNumberFormat="1" applyFont="1" applyFill="1" applyBorder="1" applyAlignment="1">
      <alignment vertical="center"/>
    </xf>
    <xf numFmtId="0" fontId="106" fillId="0" borderId="0" xfId="27" applyFont="1" applyFill="1" applyBorder="1" applyAlignment="1">
      <alignment horizontal="center" vertical="center"/>
    </xf>
    <xf numFmtId="169" fontId="106" fillId="0" borderId="0" xfId="25" applyFont="1" applyFill="1" applyBorder="1" applyAlignment="1">
      <alignment vertical="center"/>
    </xf>
    <xf numFmtId="169" fontId="106" fillId="0" borderId="0" xfId="27" applyNumberFormat="1" applyFont="1" applyFill="1" applyBorder="1" applyAlignment="1">
      <alignment horizontal="right" vertical="center"/>
    </xf>
    <xf numFmtId="164" fontId="106" fillId="0" borderId="0" xfId="29" applyFont="1" applyFill="1" applyBorder="1" applyAlignment="1">
      <alignment vertical="center"/>
    </xf>
    <xf numFmtId="0" fontId="106" fillId="0" borderId="0" xfId="27" applyFont="1" applyFill="1" applyBorder="1" applyAlignment="1">
      <alignment horizontal="left" vertical="top" wrapText="1"/>
    </xf>
    <xf numFmtId="49" fontId="60" fillId="0" borderId="1" xfId="0" applyNumberFormat="1" applyFont="1" applyFill="1" applyBorder="1"/>
    <xf numFmtId="0" fontId="60" fillId="0" borderId="1" xfId="0" applyFont="1" applyFill="1" applyBorder="1"/>
    <xf numFmtId="178" fontId="60" fillId="0" borderId="1" xfId="0" applyNumberFormat="1" applyFont="1" applyFill="1" applyBorder="1" applyAlignment="1">
      <alignment horizontal="center"/>
    </xf>
    <xf numFmtId="175" fontId="60" fillId="0" borderId="1" xfId="0" applyNumberFormat="1" applyFont="1" applyFill="1" applyBorder="1" applyAlignment="1">
      <alignment horizontal="left"/>
    </xf>
    <xf numFmtId="180" fontId="60" fillId="0" borderId="1" xfId="0" applyNumberFormat="1" applyFont="1" applyFill="1" applyBorder="1" applyAlignment="1">
      <alignment horizontal="center"/>
    </xf>
    <xf numFmtId="2" fontId="11" fillId="0" borderId="1" xfId="6" applyNumberFormat="1" applyFont="1" applyFill="1" applyBorder="1" applyAlignment="1">
      <alignment horizontal="center" vertical="center"/>
    </xf>
    <xf numFmtId="0" fontId="11" fillId="0" borderId="2" xfId="0" applyFont="1" applyFill="1" applyBorder="1" applyAlignment="1">
      <alignment horizontal="center"/>
    </xf>
    <xf numFmtId="0" fontId="10" fillId="0" borderId="1" xfId="6" applyFont="1" applyFill="1" applyBorder="1" applyAlignment="1">
      <alignment horizontal="center"/>
    </xf>
    <xf numFmtId="0" fontId="60" fillId="0" borderId="1" xfId="0" applyFont="1" applyFill="1" applyBorder="1" applyAlignment="1">
      <alignment horizontal="left"/>
    </xf>
    <xf numFmtId="41" fontId="10" fillId="0" borderId="0" xfId="50" applyFont="1" applyAlignment="1">
      <alignment horizontal="center" vertical="center"/>
    </xf>
    <xf numFmtId="49" fontId="79" fillId="0" borderId="1" xfId="0" applyNumberFormat="1" applyFont="1" applyFill="1" applyBorder="1" applyAlignment="1">
      <alignment horizontal="left"/>
    </xf>
    <xf numFmtId="49" fontId="79" fillId="0" borderId="1" xfId="0" applyNumberFormat="1" applyFont="1" applyFill="1" applyBorder="1"/>
    <xf numFmtId="0" fontId="79" fillId="0" borderId="1" xfId="0" applyFont="1" applyFill="1" applyBorder="1" applyAlignment="1">
      <alignment horizontal="left"/>
    </xf>
    <xf numFmtId="180" fontId="24" fillId="0" borderId="0" xfId="0" applyNumberFormat="1" applyFont="1"/>
    <xf numFmtId="4" fontId="24" fillId="0" borderId="0" xfId="0" applyNumberFormat="1" applyFont="1"/>
    <xf numFmtId="180" fontId="24" fillId="0" borderId="0" xfId="0" applyNumberFormat="1" applyFont="1" applyFill="1"/>
    <xf numFmtId="0" fontId="13" fillId="2" borderId="1" xfId="0" applyFont="1" applyFill="1" applyBorder="1" applyAlignment="1">
      <alignment horizontal="center"/>
    </xf>
    <xf numFmtId="0" fontId="24" fillId="2" borderId="1" xfId="0" applyFont="1" applyFill="1" applyBorder="1" applyAlignment="1">
      <alignment horizontal="center" vertical="center"/>
    </xf>
    <xf numFmtId="41" fontId="24" fillId="0" borderId="0" xfId="50" applyFont="1" applyFill="1" applyBorder="1" applyAlignment="1">
      <alignment horizontal="center"/>
    </xf>
    <xf numFmtId="9" fontId="24" fillId="0" borderId="4" xfId="0" applyNumberFormat="1" applyFont="1" applyFill="1" applyBorder="1" applyAlignment="1">
      <alignment horizontal="center"/>
    </xf>
    <xf numFmtId="0" fontId="30" fillId="0" borderId="0" xfId="0" applyFont="1" applyFill="1"/>
    <xf numFmtId="0" fontId="24" fillId="2" borderId="1" xfId="0" applyNumberFormat="1" applyFont="1" applyFill="1" applyBorder="1" applyAlignment="1">
      <alignment horizontal="center" vertical="center"/>
    </xf>
    <xf numFmtId="0" fontId="24" fillId="0" borderId="1" xfId="0" applyNumberFormat="1" applyFont="1" applyFill="1" applyBorder="1" applyAlignment="1">
      <alignment horizontal="center"/>
    </xf>
    <xf numFmtId="0" fontId="24" fillId="0" borderId="1" xfId="0" applyNumberFormat="1" applyFont="1" applyFill="1" applyBorder="1" applyAlignment="1">
      <alignment horizontal="center" vertical="center"/>
    </xf>
    <xf numFmtId="0" fontId="24" fillId="0" borderId="1" xfId="0" applyNumberFormat="1" applyFont="1" applyBorder="1" applyAlignment="1">
      <alignment horizontal="center" vertical="center"/>
    </xf>
    <xf numFmtId="175" fontId="30" fillId="0" borderId="1" xfId="0" applyNumberFormat="1" applyFont="1" applyBorder="1"/>
    <xf numFmtId="0" fontId="24" fillId="2" borderId="1" xfId="0" applyFont="1" applyFill="1" applyBorder="1" applyAlignment="1">
      <alignment horizontal="center"/>
    </xf>
    <xf numFmtId="0" fontId="24" fillId="0" borderId="0" xfId="0" applyNumberFormat="1" applyFont="1" applyFill="1" applyAlignment="1">
      <alignment horizontal="center"/>
    </xf>
    <xf numFmtId="2" fontId="13" fillId="2" borderId="1" xfId="0" applyNumberFormat="1" applyFont="1" applyFill="1" applyBorder="1" applyAlignment="1">
      <alignment horizontal="center"/>
    </xf>
    <xf numFmtId="0" fontId="24" fillId="0" borderId="1" xfId="20" applyNumberFormat="1" applyFont="1" applyBorder="1" applyAlignment="1">
      <alignment horizontal="center"/>
    </xf>
    <xf numFmtId="2" fontId="24" fillId="0" borderId="1" xfId="20" applyNumberFormat="1" applyFont="1" applyBorder="1" applyAlignment="1">
      <alignment horizontal="center"/>
    </xf>
    <xf numFmtId="0" fontId="30" fillId="0" borderId="0" xfId="0" applyFont="1" applyFill="1" applyBorder="1"/>
    <xf numFmtId="0" fontId="24" fillId="0" borderId="1" xfId="20" applyFont="1" applyBorder="1"/>
    <xf numFmtId="49" fontId="24" fillId="0" borderId="1" xfId="20" applyNumberFormat="1" applyFont="1" applyBorder="1" applyAlignment="1">
      <alignment horizontal="center"/>
    </xf>
    <xf numFmtId="170" fontId="24" fillId="0" borderId="1" xfId="20" applyNumberFormat="1" applyFont="1" applyBorder="1" applyAlignment="1">
      <alignment horizontal="center"/>
    </xf>
    <xf numFmtId="175" fontId="24" fillId="0" borderId="2" xfId="0" applyNumberFormat="1" applyFont="1" applyFill="1" applyBorder="1" applyAlignment="1">
      <alignment horizontal="right"/>
    </xf>
    <xf numFmtId="180" fontId="24" fillId="0" borderId="6" xfId="0" applyNumberFormat="1" applyFont="1" applyFill="1" applyBorder="1" applyAlignment="1">
      <alignment horizontal="center"/>
    </xf>
    <xf numFmtId="175" fontId="24" fillId="0" borderId="1" xfId="0" applyNumberFormat="1" applyFont="1" applyFill="1" applyBorder="1" applyAlignment="1">
      <alignment horizontal="right"/>
    </xf>
    <xf numFmtId="49" fontId="24" fillId="0" borderId="20" xfId="0" applyNumberFormat="1" applyFont="1" applyFill="1" applyBorder="1" applyAlignment="1">
      <alignment horizontal="center"/>
    </xf>
    <xf numFmtId="0" fontId="13" fillId="2" borderId="1" xfId="0" applyFont="1" applyFill="1" applyBorder="1" applyAlignment="1">
      <alignment horizontal="center" vertical="center"/>
    </xf>
    <xf numFmtId="4" fontId="24" fillId="0" borderId="1" xfId="0" applyNumberFormat="1" applyFont="1" applyBorder="1" applyAlignment="1">
      <alignment horizontal="center"/>
    </xf>
    <xf numFmtId="175" fontId="30" fillId="0" borderId="1" xfId="0" applyNumberFormat="1" applyFont="1" applyFill="1" applyBorder="1" applyAlignment="1">
      <alignment horizontal="justify" vertical="top"/>
    </xf>
    <xf numFmtId="180" fontId="24" fillId="0" borderId="1" xfId="0" applyNumberFormat="1" applyFont="1" applyBorder="1"/>
    <xf numFmtId="0" fontId="114" fillId="0" borderId="1" xfId="0" applyFont="1" applyBorder="1" applyAlignment="1">
      <alignment horizontal="center"/>
    </xf>
    <xf numFmtId="0" fontId="30" fillId="0" borderId="1" xfId="0" applyFont="1" applyBorder="1" applyAlignment="1">
      <alignment horizontal="left"/>
    </xf>
    <xf numFmtId="0" fontId="24" fillId="0" borderId="1" xfId="0" applyFont="1" applyBorder="1" applyAlignment="1"/>
    <xf numFmtId="0" fontId="24" fillId="0" borderId="1" xfId="0" applyFont="1" applyFill="1" applyBorder="1" applyAlignment="1"/>
    <xf numFmtId="4" fontId="24" fillId="2" borderId="1" xfId="0" applyNumberFormat="1" applyFont="1" applyFill="1" applyBorder="1" applyAlignment="1">
      <alignment horizontal="center"/>
    </xf>
    <xf numFmtId="4" fontId="24" fillId="0" borderId="4" xfId="0" applyNumberFormat="1" applyFont="1" applyFill="1" applyBorder="1" applyAlignment="1">
      <alignment horizontal="center"/>
    </xf>
    <xf numFmtId="4" fontId="24" fillId="0" borderId="1" xfId="0" applyNumberFormat="1" applyFont="1" applyFill="1" applyBorder="1" applyAlignment="1">
      <alignment horizontal="center"/>
    </xf>
    <xf numFmtId="0" fontId="24" fillId="0" borderId="20" xfId="0" applyFont="1" applyBorder="1" applyAlignment="1">
      <alignment horizontal="center"/>
    </xf>
    <xf numFmtId="0" fontId="30" fillId="0" borderId="46" xfId="0" applyFont="1" applyFill="1" applyBorder="1" applyAlignment="1">
      <alignment horizontal="center" vertical="center"/>
    </xf>
    <xf numFmtId="0" fontId="30" fillId="0" borderId="1" xfId="0" applyFont="1" applyFill="1" applyBorder="1" applyAlignment="1">
      <alignment horizontal="justify" vertical="top" wrapText="1"/>
    </xf>
    <xf numFmtId="0" fontId="30" fillId="0" borderId="20" xfId="0" applyFont="1" applyFill="1" applyBorder="1" applyAlignment="1">
      <alignment horizontal="center" vertical="center"/>
    </xf>
    <xf numFmtId="0" fontId="24" fillId="0" borderId="1" xfId="0" applyFont="1" applyBorder="1" applyAlignment="1">
      <alignment horizontal="right"/>
    </xf>
    <xf numFmtId="0" fontId="30" fillId="0" borderId="1" xfId="0" applyFont="1" applyFill="1" applyBorder="1" applyAlignment="1">
      <alignment horizontal="justify" vertical="top"/>
    </xf>
    <xf numFmtId="0" fontId="24" fillId="0" borderId="1" xfId="0" applyFont="1" applyFill="1" applyBorder="1" applyAlignment="1">
      <alignment horizontal="left"/>
    </xf>
    <xf numFmtId="179" fontId="24" fillId="0" borderId="1" xfId="0" applyNumberFormat="1" applyFont="1" applyBorder="1" applyAlignment="1">
      <alignment horizontal="center"/>
    </xf>
    <xf numFmtId="4" fontId="24" fillId="0" borderId="0" xfId="0" applyNumberFormat="1" applyFont="1" applyFill="1" applyAlignment="1">
      <alignment horizontal="center"/>
    </xf>
    <xf numFmtId="170" fontId="24" fillId="5" borderId="1" xfId="0" applyNumberFormat="1" applyFont="1" applyFill="1" applyBorder="1" applyAlignment="1">
      <alignment horizontal="center"/>
    </xf>
    <xf numFmtId="0" fontId="24" fillId="10" borderId="1" xfId="0" applyFont="1" applyFill="1" applyBorder="1" applyAlignment="1"/>
    <xf numFmtId="170" fontId="24" fillId="10" borderId="1" xfId="0" applyNumberFormat="1" applyFont="1" applyFill="1" applyBorder="1" applyAlignment="1">
      <alignment horizontal="center"/>
    </xf>
    <xf numFmtId="0" fontId="24" fillId="0" borderId="20" xfId="0" applyFont="1" applyFill="1" applyBorder="1" applyAlignment="1">
      <alignment horizontal="center"/>
    </xf>
    <xf numFmtId="0" fontId="13" fillId="2" borderId="1" xfId="0" applyNumberFormat="1" applyFont="1" applyFill="1" applyBorder="1" applyAlignment="1">
      <alignment horizontal="center" vertical="center"/>
    </xf>
    <xf numFmtId="0" fontId="24" fillId="2" borderId="1" xfId="0" applyNumberFormat="1" applyFont="1" applyFill="1" applyBorder="1" applyAlignment="1">
      <alignment horizontal="center"/>
    </xf>
    <xf numFmtId="0" fontId="30" fillId="0" borderId="7" xfId="0" applyFont="1" applyBorder="1" applyAlignment="1">
      <alignment horizontal="left"/>
    </xf>
    <xf numFmtId="175" fontId="24" fillId="0" borderId="7" xfId="0" applyNumberFormat="1" applyFont="1" applyBorder="1" applyAlignment="1">
      <alignment horizontal="left"/>
    </xf>
    <xf numFmtId="0" fontId="30" fillId="0" borderId="7" xfId="0" applyFont="1" applyBorder="1"/>
    <xf numFmtId="0" fontId="30" fillId="0" borderId="22" xfId="0" applyFont="1" applyFill="1" applyBorder="1"/>
    <xf numFmtId="0" fontId="30" fillId="0" borderId="1" xfId="0" applyFont="1" applyFill="1" applyBorder="1"/>
    <xf numFmtId="0" fontId="30" fillId="0" borderId="1" xfId="0" applyFont="1" applyBorder="1" applyAlignment="1">
      <alignment horizontal="left" wrapText="1"/>
    </xf>
    <xf numFmtId="175" fontId="24" fillId="0" borderId="1" xfId="0" applyNumberFormat="1" applyFont="1" applyBorder="1" applyAlignment="1">
      <alignment horizontal="left" wrapText="1"/>
    </xf>
    <xf numFmtId="0" fontId="115" fillId="0" borderId="1" xfId="0" applyFont="1" applyFill="1" applyBorder="1" applyAlignment="1">
      <alignment horizontal="left"/>
    </xf>
    <xf numFmtId="0" fontId="30" fillId="0" borderId="1" xfId="0" applyFont="1" applyFill="1" applyBorder="1" applyAlignment="1">
      <alignment horizontal="left"/>
    </xf>
    <xf numFmtId="0" fontId="24" fillId="0" borderId="1" xfId="0" applyFont="1" applyFill="1" applyBorder="1" applyAlignment="1">
      <alignment wrapText="1"/>
    </xf>
    <xf numFmtId="179" fontId="24" fillId="0" borderId="1" xfId="0" applyNumberFormat="1" applyFont="1" applyFill="1" applyBorder="1" applyAlignment="1">
      <alignment horizontal="center"/>
    </xf>
    <xf numFmtId="0" fontId="24" fillId="0" borderId="1" xfId="0" applyFont="1" applyBorder="1" applyAlignment="1">
      <alignment horizontal="left" wrapText="1"/>
    </xf>
    <xf numFmtId="4" fontId="24" fillId="0" borderId="1" xfId="0" applyNumberFormat="1" applyFont="1" applyFill="1" applyBorder="1" applyAlignment="1">
      <alignment horizontal="center" vertical="center"/>
    </xf>
    <xf numFmtId="0" fontId="24" fillId="0" borderId="1" xfId="0" applyFont="1" applyFill="1" applyBorder="1" applyAlignment="1">
      <alignment horizontal="right"/>
    </xf>
    <xf numFmtId="49" fontId="24" fillId="0" borderId="6" xfId="0" applyNumberFormat="1" applyFont="1" applyFill="1" applyBorder="1" applyAlignment="1">
      <alignment horizontal="center"/>
    </xf>
    <xf numFmtId="0" fontId="24" fillId="2" borderId="7" xfId="0" applyFont="1" applyFill="1" applyBorder="1" applyAlignment="1">
      <alignment horizontal="center"/>
    </xf>
    <xf numFmtId="49" fontId="24" fillId="0" borderId="2" xfId="0" applyNumberFormat="1" applyFont="1" applyFill="1" applyBorder="1" applyAlignment="1">
      <alignment horizontal="center"/>
    </xf>
    <xf numFmtId="49" fontId="24" fillId="0" borderId="0" xfId="0" applyNumberFormat="1" applyFont="1" applyFill="1" applyBorder="1" applyAlignment="1">
      <alignment horizontal="center"/>
    </xf>
    <xf numFmtId="41" fontId="24" fillId="0" borderId="0" xfId="50" applyFont="1" applyAlignment="1">
      <alignment horizontal="center"/>
    </xf>
    <xf numFmtId="180" fontId="10" fillId="0" borderId="0" xfId="0" applyNumberFormat="1" applyFont="1" applyFill="1" applyAlignment="1">
      <alignment horizontal="right"/>
    </xf>
    <xf numFmtId="0" fontId="9" fillId="0" borderId="8" xfId="0" applyFont="1" applyFill="1" applyBorder="1" applyAlignment="1">
      <alignment horizontal="center" vertical="center"/>
    </xf>
    <xf numFmtId="180" fontId="10" fillId="0" borderId="1" xfId="0" applyNumberFormat="1" applyFont="1" applyFill="1" applyBorder="1" applyAlignment="1">
      <alignment horizontal="right"/>
    </xf>
    <xf numFmtId="180" fontId="10" fillId="0" borderId="0" xfId="0" applyNumberFormat="1" applyFont="1" applyFill="1" applyBorder="1" applyAlignment="1">
      <alignment horizontal="right"/>
    </xf>
    <xf numFmtId="180" fontId="9" fillId="0" borderId="1" xfId="0" applyNumberFormat="1" applyFont="1" applyFill="1" applyBorder="1" applyAlignment="1">
      <alignment horizontal="right"/>
    </xf>
    <xf numFmtId="180" fontId="10" fillId="0" borderId="2" xfId="0" applyNumberFormat="1" applyFont="1" applyFill="1" applyBorder="1" applyAlignment="1">
      <alignment horizontal="right"/>
    </xf>
    <xf numFmtId="180" fontId="60" fillId="0" borderId="1" xfId="0" applyNumberFormat="1" applyFont="1" applyFill="1" applyBorder="1" applyAlignment="1">
      <alignment horizontal="right"/>
    </xf>
    <xf numFmtId="49" fontId="10" fillId="0" borderId="4" xfId="0" applyNumberFormat="1" applyFont="1" applyFill="1" applyBorder="1" applyAlignment="1">
      <alignment horizontal="center"/>
    </xf>
    <xf numFmtId="49" fontId="60" fillId="0" borderId="4" xfId="0" applyNumberFormat="1" applyFont="1" applyFill="1" applyBorder="1" applyAlignment="1">
      <alignment horizontal="center"/>
    </xf>
    <xf numFmtId="171" fontId="10" fillId="0" borderId="1" xfId="0" applyNumberFormat="1" applyFont="1" applyFill="1" applyBorder="1" applyAlignment="1">
      <alignment horizontal="center"/>
    </xf>
    <xf numFmtId="180" fontId="10" fillId="0" borderId="7" xfId="0" applyNumberFormat="1" applyFont="1" applyFill="1" applyBorder="1" applyAlignment="1">
      <alignment horizontal="right"/>
    </xf>
    <xf numFmtId="180" fontId="10" fillId="0" borderId="5" xfId="0" applyNumberFormat="1" applyFont="1" applyFill="1" applyBorder="1" applyAlignment="1">
      <alignment horizontal="center"/>
    </xf>
    <xf numFmtId="178" fontId="10" fillId="0" borderId="7" xfId="0" applyNumberFormat="1" applyFont="1" applyFill="1" applyBorder="1" applyAlignment="1">
      <alignment horizontal="center"/>
    </xf>
    <xf numFmtId="180" fontId="10" fillId="0" borderId="7" xfId="0" applyNumberFormat="1" applyFont="1" applyFill="1" applyBorder="1" applyAlignment="1">
      <alignment horizontal="center"/>
    </xf>
    <xf numFmtId="49" fontId="60" fillId="0" borderId="1" xfId="0" applyNumberFormat="1" applyFont="1" applyFill="1" applyBorder="1" applyAlignment="1">
      <alignment horizontal="center"/>
    </xf>
    <xf numFmtId="49" fontId="60" fillId="0" borderId="2" xfId="0" applyNumberFormat="1" applyFont="1" applyFill="1" applyBorder="1" applyAlignment="1">
      <alignment horizontal="center"/>
    </xf>
    <xf numFmtId="49" fontId="10" fillId="0" borderId="0" xfId="27" applyNumberFormat="1" applyFont="1" applyFill="1" applyBorder="1" applyAlignment="1">
      <alignment horizontal="center" vertical="center"/>
    </xf>
    <xf numFmtId="49" fontId="10" fillId="0" borderId="0" xfId="27" applyNumberFormat="1" applyFont="1" applyFill="1" applyBorder="1" applyAlignment="1">
      <alignment vertical="center"/>
    </xf>
    <xf numFmtId="49" fontId="10" fillId="0" borderId="0" xfId="27" applyNumberFormat="1" applyFont="1" applyFill="1" applyAlignment="1">
      <alignment vertical="center"/>
    </xf>
    <xf numFmtId="49" fontId="10" fillId="0" borderId="0" xfId="27" applyNumberFormat="1" applyFont="1" applyFill="1" applyAlignment="1">
      <alignment horizontal="center" vertical="center"/>
    </xf>
    <xf numFmtId="0" fontId="60" fillId="0" borderId="4" xfId="0" applyFont="1" applyFill="1" applyBorder="1" applyAlignment="1">
      <alignment horizontal="center"/>
    </xf>
    <xf numFmtId="0" fontId="79" fillId="0" borderId="1" xfId="0" applyFont="1" applyFill="1" applyBorder="1"/>
    <xf numFmtId="41" fontId="10" fillId="0" borderId="1" xfId="50" applyFont="1" applyFill="1" applyBorder="1" applyAlignment="1">
      <alignment horizontal="center"/>
    </xf>
    <xf numFmtId="41" fontId="10" fillId="0" borderId="1" xfId="50" applyFont="1" applyFill="1" applyBorder="1"/>
    <xf numFmtId="41" fontId="10" fillId="0" borderId="4" xfId="50" applyFont="1" applyFill="1" applyBorder="1" applyAlignment="1">
      <alignment horizontal="center"/>
    </xf>
    <xf numFmtId="41" fontId="10" fillId="0" borderId="1" xfId="50" applyFont="1" applyFill="1" applyBorder="1" applyAlignment="1">
      <alignment horizontal="right"/>
    </xf>
    <xf numFmtId="41" fontId="10" fillId="0" borderId="0" xfId="50" applyFont="1" applyFill="1"/>
    <xf numFmtId="0" fontId="10" fillId="9" borderId="1" xfId="0" applyFont="1" applyFill="1" applyBorder="1" applyAlignment="1">
      <alignment horizontal="center" vertical="center" wrapText="1"/>
    </xf>
    <xf numFmtId="41" fontId="11" fillId="0" borderId="19" xfId="50" applyFont="1" applyFill="1" applyBorder="1" applyAlignment="1">
      <alignment horizontal="center"/>
    </xf>
    <xf numFmtId="49" fontId="60" fillId="0" borderId="1" xfId="0" applyNumberFormat="1" applyFont="1" applyFill="1" applyBorder="1" applyAlignment="1">
      <alignment horizontal="left" wrapText="1"/>
    </xf>
    <xf numFmtId="49" fontId="60" fillId="0" borderId="1" xfId="0" applyNumberFormat="1" applyFont="1" applyFill="1" applyBorder="1" applyAlignment="1">
      <alignment horizontal="center" vertical="center"/>
    </xf>
    <xf numFmtId="180" fontId="60" fillId="0" borderId="1" xfId="0" applyNumberFormat="1" applyFont="1" applyFill="1" applyBorder="1" applyAlignment="1">
      <alignment horizontal="center" vertical="center"/>
    </xf>
    <xf numFmtId="0" fontId="9" fillId="38" borderId="1" xfId="33" applyFont="1" applyFill="1" applyBorder="1" applyAlignment="1">
      <alignment horizontal="center"/>
    </xf>
    <xf numFmtId="194" fontId="10" fillId="0" borderId="1" xfId="0" applyNumberFormat="1" applyFont="1" applyFill="1" applyBorder="1" applyAlignment="1">
      <alignment horizont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50" fillId="0" borderId="1" xfId="7" applyFont="1" applyFill="1" applyBorder="1" applyAlignment="1">
      <alignment horizontal="center"/>
    </xf>
    <xf numFmtId="41" fontId="24" fillId="0" borderId="0" xfId="50" applyFont="1"/>
    <xf numFmtId="170" fontId="24" fillId="0" borderId="1" xfId="0" applyNumberFormat="1" applyFont="1" applyFill="1" applyBorder="1" applyAlignment="1">
      <alignment horizontal="left" vertical="center"/>
    </xf>
    <xf numFmtId="194" fontId="24" fillId="0" borderId="1" xfId="0" applyNumberFormat="1" applyFont="1" applyFill="1" applyBorder="1" applyAlignment="1">
      <alignment horizontal="center" vertical="center"/>
    </xf>
    <xf numFmtId="0" fontId="9" fillId="8" borderId="1" xfId="0" applyNumberFormat="1" applyFont="1" applyFill="1" applyBorder="1" applyAlignment="1">
      <alignment horizontal="center"/>
    </xf>
    <xf numFmtId="0" fontId="10" fillId="0" borderId="2" xfId="0" applyFont="1" applyFill="1" applyBorder="1" applyAlignment="1">
      <alignment horizontal="center" vertical="center"/>
    </xf>
    <xf numFmtId="41" fontId="10" fillId="0" borderId="0" xfId="50" applyFont="1" applyAlignment="1">
      <alignment horizontal="center"/>
    </xf>
    <xf numFmtId="0" fontId="10" fillId="0" borderId="1" xfId="0" applyNumberFormat="1" applyFont="1" applyFill="1" applyBorder="1" applyAlignment="1">
      <alignment horizontal="center" vertical="center" wrapText="1"/>
    </xf>
    <xf numFmtId="0" fontId="11" fillId="0" borderId="1" xfId="0" applyFont="1" applyBorder="1" applyAlignment="1">
      <alignment vertical="center"/>
    </xf>
    <xf numFmtId="0" fontId="10" fillId="0" borderId="1" xfId="33" applyFont="1" applyBorder="1" applyAlignment="1">
      <alignment horizontal="left" vertical="center" wrapText="1"/>
    </xf>
    <xf numFmtId="178" fontId="10" fillId="0" borderId="1" xfId="33" applyNumberFormat="1" applyFont="1" applyBorder="1" applyAlignment="1">
      <alignment horizontal="center"/>
    </xf>
    <xf numFmtId="0" fontId="9" fillId="8" borderId="1" xfId="0" applyFont="1" applyFill="1" applyBorder="1" applyAlignment="1">
      <alignment horizontal="center"/>
    </xf>
    <xf numFmtId="49" fontId="60" fillId="0" borderId="1" xfId="0" applyNumberFormat="1" applyFont="1" applyFill="1" applyBorder="1" applyAlignment="1">
      <alignment wrapText="1"/>
    </xf>
    <xf numFmtId="180" fontId="60" fillId="0" borderId="1" xfId="0" applyNumberFormat="1" applyFont="1" applyFill="1" applyBorder="1" applyAlignment="1">
      <alignment horizontal="right" vertical="center"/>
    </xf>
    <xf numFmtId="0" fontId="62" fillId="29" borderId="1" xfId="7" applyFont="1" applyFill="1" applyBorder="1" applyAlignment="1">
      <alignment horizontal="center" vertical="center" wrapText="1"/>
    </xf>
    <xf numFmtId="181" fontId="50" fillId="29" borderId="1" xfId="7" applyNumberFormat="1" applyFont="1" applyFill="1" applyBorder="1" applyAlignment="1">
      <alignment horizontal="center" vertical="center" wrapText="1"/>
    </xf>
    <xf numFmtId="193" fontId="9" fillId="26" borderId="5" xfId="0" applyNumberFormat="1" applyFont="1" applyFill="1" applyBorder="1" applyAlignment="1" applyProtection="1">
      <alignment horizontal="center" vertical="center"/>
      <protection locked="0"/>
    </xf>
    <xf numFmtId="49" fontId="13" fillId="29" borderId="27" xfId="0" applyNumberFormat="1" applyFont="1" applyFill="1" applyBorder="1" applyAlignment="1">
      <alignment vertical="center" wrapText="1"/>
    </xf>
    <xf numFmtId="49" fontId="13" fillId="29" borderId="6" xfId="0" applyNumberFormat="1" applyFont="1" applyFill="1" applyBorder="1" applyAlignment="1">
      <alignment horizontal="center" vertical="center" wrapText="1"/>
    </xf>
    <xf numFmtId="49" fontId="13" fillId="29" borderId="21" xfId="0" applyNumberFormat="1" applyFont="1" applyFill="1" applyBorder="1" applyAlignment="1">
      <alignment vertical="center" wrapText="1"/>
    </xf>
    <xf numFmtId="0" fontId="25" fillId="9" borderId="2" xfId="0" applyFont="1" applyFill="1" applyBorder="1" applyAlignment="1">
      <alignment vertical="center"/>
    </xf>
    <xf numFmtId="173" fontId="24" fillId="9" borderId="4" xfId="0" applyNumberFormat="1" applyFont="1" applyFill="1" applyBorder="1" applyAlignment="1">
      <alignment horizontal="center" vertical="center" wrapText="1"/>
    </xf>
    <xf numFmtId="0" fontId="24" fillId="9" borderId="4" xfId="12" applyFont="1" applyFill="1" applyBorder="1" applyAlignment="1">
      <alignment horizontal="justify" vertical="center" wrapText="1"/>
    </xf>
    <xf numFmtId="2" fontId="25" fillId="9" borderId="4" xfId="0" applyNumberFormat="1" applyFont="1" applyFill="1" applyBorder="1" applyAlignment="1" applyProtection="1">
      <alignment horizontal="center" vertical="center" wrapText="1"/>
      <protection locked="0"/>
    </xf>
    <xf numFmtId="173" fontId="25" fillId="9" borderId="4" xfId="0" applyNumberFormat="1" applyFont="1" applyFill="1" applyBorder="1" applyAlignment="1" applyProtection="1">
      <alignment horizontal="center" vertical="center" wrapText="1"/>
      <protection locked="0"/>
    </xf>
    <xf numFmtId="180" fontId="25" fillId="9" borderId="4" xfId="0" applyNumberFormat="1" applyFont="1" applyFill="1" applyBorder="1" applyAlignment="1" applyProtection="1">
      <alignment horizontal="center" vertical="center" wrapText="1"/>
      <protection locked="0"/>
    </xf>
    <xf numFmtId="180" fontId="25" fillId="9" borderId="20" xfId="0" applyNumberFormat="1" applyFont="1" applyFill="1" applyBorder="1" applyAlignment="1" applyProtection="1">
      <alignment horizontal="center" vertical="center"/>
      <protection locked="0"/>
    </xf>
    <xf numFmtId="175" fontId="10" fillId="8" borderId="1" xfId="0" applyNumberFormat="1" applyFont="1" applyFill="1" applyBorder="1" applyAlignment="1">
      <alignment vertical="center"/>
    </xf>
    <xf numFmtId="2" fontId="10" fillId="8" borderId="1" xfId="0" applyNumberFormat="1" applyFont="1" applyFill="1" applyBorder="1" applyAlignment="1">
      <alignment horizontal="center" vertical="center"/>
    </xf>
    <xf numFmtId="0" fontId="13" fillId="8" borderId="1" xfId="28" applyNumberFormat="1" applyFont="1" applyFill="1" applyBorder="1" applyAlignment="1">
      <alignment horizontal="center" vertical="center"/>
    </xf>
    <xf numFmtId="49" fontId="13" fillId="8" borderId="1" xfId="28" applyNumberFormat="1" applyFont="1" applyFill="1" applyBorder="1" applyAlignment="1">
      <alignment horizontal="center" vertical="center"/>
    </xf>
    <xf numFmtId="0" fontId="9" fillId="8" borderId="1" xfId="0" applyNumberFormat="1" applyFont="1" applyFill="1" applyBorder="1" applyAlignment="1">
      <alignment horizontal="center" vertical="center"/>
    </xf>
    <xf numFmtId="2" fontId="9" fillId="8" borderId="1" xfId="0" applyNumberFormat="1" applyFont="1" applyFill="1" applyBorder="1" applyAlignment="1">
      <alignment horizontal="center" vertical="center"/>
    </xf>
    <xf numFmtId="0" fontId="9" fillId="8" borderId="2" xfId="0" quotePrefix="1" applyFont="1" applyFill="1" applyBorder="1" applyAlignment="1">
      <alignment horizontal="left" vertical="center" wrapText="1"/>
    </xf>
    <xf numFmtId="180" fontId="10" fillId="0" borderId="0" xfId="0" applyNumberFormat="1" applyFont="1" applyFill="1" applyBorder="1" applyAlignment="1"/>
    <xf numFmtId="183" fontId="9" fillId="0" borderId="0" xfId="0" applyNumberFormat="1" applyFont="1" applyFill="1" applyBorder="1" applyAlignment="1">
      <alignment vertical="center"/>
    </xf>
    <xf numFmtId="210" fontId="10" fillId="0" borderId="1" xfId="33" applyNumberFormat="1" applyFont="1" applyBorder="1" applyAlignment="1">
      <alignment horizontal="center"/>
    </xf>
    <xf numFmtId="176" fontId="10" fillId="0" borderId="1" xfId="33" applyNumberFormat="1" applyFont="1" applyBorder="1" applyAlignment="1">
      <alignment horizontal="center" vertical="center"/>
    </xf>
    <xf numFmtId="0" fontId="10" fillId="0" borderId="5" xfId="33" applyFont="1" applyBorder="1" applyAlignment="1">
      <alignment horizontal="center" vertical="center"/>
    </xf>
    <xf numFmtId="2" fontId="10" fillId="0" borderId="1" xfId="32" applyNumberFormat="1" applyFont="1" applyBorder="1" applyAlignment="1">
      <alignment horizontal="center" vertical="center"/>
    </xf>
    <xf numFmtId="0" fontId="10" fillId="0" borderId="1" xfId="32" applyFont="1" applyBorder="1" applyAlignment="1">
      <alignment horizontal="center" vertical="center"/>
    </xf>
    <xf numFmtId="170" fontId="10" fillId="0" borderId="1" xfId="32" applyNumberFormat="1" applyFont="1" applyBorder="1" applyAlignment="1">
      <alignment horizontal="center" vertical="center"/>
    </xf>
    <xf numFmtId="49" fontId="10" fillId="0" borderId="20" xfId="33" applyNumberFormat="1" applyFont="1" applyBorder="1" applyAlignment="1">
      <alignment horizontal="center" vertical="center"/>
    </xf>
    <xf numFmtId="49" fontId="10" fillId="0" borderId="1" xfId="33" applyNumberFormat="1" applyFont="1" applyBorder="1" applyAlignment="1">
      <alignment horizontal="center" vertical="center"/>
    </xf>
    <xf numFmtId="178" fontId="10" fillId="0" borderId="1" xfId="33" applyNumberFormat="1" applyFont="1" applyBorder="1" applyAlignment="1">
      <alignment horizontal="center" vertical="center"/>
    </xf>
    <xf numFmtId="178" fontId="10" fillId="0" borderId="0" xfId="33" applyNumberFormat="1" applyFont="1" applyFill="1" applyBorder="1" applyAlignment="1">
      <alignment horizontal="center"/>
    </xf>
    <xf numFmtId="178" fontId="10" fillId="0" borderId="0" xfId="33" applyNumberFormat="1" applyFont="1" applyFill="1" applyBorder="1" applyAlignment="1">
      <alignment horizontal="left"/>
    </xf>
    <xf numFmtId="173" fontId="10" fillId="0" borderId="1" xfId="33" applyNumberFormat="1" applyFont="1" applyBorder="1" applyAlignment="1">
      <alignment horizontal="center"/>
    </xf>
    <xf numFmtId="0" fontId="10" fillId="0" borderId="2" xfId="7"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80" fontId="10" fillId="0" borderId="0" xfId="0" applyNumberFormat="1" applyFont="1" applyBorder="1" applyAlignment="1"/>
    <xf numFmtId="175" fontId="11" fillId="0" borderId="1" xfId="0" applyNumberFormat="1" applyFont="1" applyFill="1" applyBorder="1" applyAlignment="1">
      <alignment horizontal="left"/>
    </xf>
    <xf numFmtId="2" fontId="10" fillId="0" borderId="1" xfId="33" applyNumberFormat="1" applyFont="1" applyBorder="1" applyAlignment="1">
      <alignment horizontal="center"/>
    </xf>
    <xf numFmtId="41" fontId="10" fillId="0" borderId="0" xfId="50" applyFont="1" applyFill="1" applyBorder="1" applyAlignment="1">
      <alignment horizontal="center" vertical="center"/>
    </xf>
    <xf numFmtId="0" fontId="10" fillId="0" borderId="1" xfId="0" applyFont="1" applyFill="1" applyBorder="1" applyAlignment="1">
      <alignment horizontal="center" vertical="center" wrapText="1"/>
    </xf>
    <xf numFmtId="0" fontId="60" fillId="0" borderId="2" xfId="0" applyFont="1" applyFill="1" applyBorder="1" applyAlignment="1">
      <alignment horizontal="center"/>
    </xf>
    <xf numFmtId="0" fontId="9" fillId="8" borderId="1" xfId="33" applyFont="1" applyFill="1" applyBorder="1" applyAlignment="1">
      <alignment horizontal="center"/>
    </xf>
    <xf numFmtId="0" fontId="10" fillId="8" borderId="1" xfId="33" applyFont="1" applyFill="1" applyBorder="1" applyAlignment="1">
      <alignment horizontal="center" vertical="center"/>
    </xf>
    <xf numFmtId="186" fontId="10" fillId="8" borderId="1" xfId="33" applyNumberFormat="1" applyFont="1" applyFill="1" applyBorder="1" applyAlignment="1">
      <alignment horizontal="right"/>
    </xf>
    <xf numFmtId="9" fontId="10" fillId="8" borderId="1" xfId="33" applyNumberFormat="1" applyFont="1" applyFill="1" applyBorder="1" applyAlignment="1">
      <alignment horizontal="center"/>
    </xf>
    <xf numFmtId="2" fontId="13" fillId="8" borderId="1" xfId="0" applyNumberFormat="1" applyFont="1" applyFill="1" applyBorder="1" applyAlignment="1">
      <alignment horizontal="center"/>
    </xf>
    <xf numFmtId="181" fontId="24" fillId="0" borderId="20" xfId="7" applyNumberFormat="1" applyFont="1" applyFill="1" applyBorder="1" applyAlignment="1">
      <alignment horizontal="center" vertical="center" wrapText="1"/>
    </xf>
    <xf numFmtId="0" fontId="24" fillId="0" borderId="1" xfId="20" applyFont="1" applyFill="1" applyBorder="1" applyAlignment="1">
      <alignment horizontal="justify" vertical="center" wrapText="1"/>
    </xf>
    <xf numFmtId="10" fontId="9" fillId="26" borderId="1" xfId="15" applyNumberFormat="1" applyFont="1" applyFill="1" applyBorder="1" applyAlignment="1" applyProtection="1">
      <alignment horizontal="center" vertical="center" wrapText="1"/>
      <protection locked="0"/>
    </xf>
    <xf numFmtId="10" fontId="9" fillId="29" borderId="1" xfId="15" applyNumberFormat="1" applyFont="1" applyFill="1" applyBorder="1" applyAlignment="1">
      <alignment horizontal="center" vertical="center" wrapText="1"/>
    </xf>
    <xf numFmtId="194" fontId="33" fillId="39" borderId="1" xfId="0" applyNumberFormat="1" applyFont="1" applyFill="1" applyBorder="1" applyAlignment="1" applyProtection="1">
      <alignment horizontal="right" vertical="center"/>
    </xf>
    <xf numFmtId="0" fontId="9" fillId="26" borderId="4" xfId="7" applyFont="1" applyFill="1" applyBorder="1" applyAlignment="1" applyProtection="1">
      <alignment horizontal="left" vertical="center" wrapText="1"/>
    </xf>
    <xf numFmtId="0" fontId="107" fillId="9" borderId="1" xfId="5" applyFont="1" applyFill="1" applyBorder="1" applyAlignment="1">
      <alignment horizontal="center" vertical="center"/>
    </xf>
    <xf numFmtId="10" fontId="9" fillId="29" borderId="1" xfId="15" applyNumberFormat="1" applyFont="1" applyFill="1" applyBorder="1" applyAlignment="1">
      <alignment vertical="center" wrapText="1"/>
    </xf>
    <xf numFmtId="164" fontId="10" fillId="0" borderId="2" xfId="29" applyFont="1" applyFill="1" applyBorder="1" applyAlignment="1">
      <alignment vertical="center" wrapText="1"/>
    </xf>
    <xf numFmtId="10" fontId="9" fillId="29" borderId="2" xfId="15" applyNumberFormat="1" applyFont="1" applyFill="1" applyBorder="1" applyAlignment="1">
      <alignment vertical="center" wrapText="1"/>
    </xf>
    <xf numFmtId="9" fontId="9" fillId="29" borderId="2" xfId="15" applyFont="1" applyFill="1" applyBorder="1" applyAlignment="1">
      <alignment vertical="center" wrapText="1"/>
    </xf>
    <xf numFmtId="9" fontId="9" fillId="29" borderId="2" xfId="15" applyFont="1" applyFill="1" applyBorder="1" applyAlignment="1" applyProtection="1">
      <alignment vertical="center" wrapText="1"/>
      <protection locked="0"/>
    </xf>
    <xf numFmtId="164" fontId="9" fillId="29" borderId="2" xfId="29" applyFont="1" applyFill="1" applyBorder="1" applyAlignment="1">
      <alignment vertical="center" wrapText="1"/>
    </xf>
    <xf numFmtId="164" fontId="9" fillId="29" borderId="1" xfId="29" applyFont="1" applyFill="1" applyBorder="1" applyAlignment="1">
      <alignment vertical="center"/>
    </xf>
    <xf numFmtId="164" fontId="9" fillId="29" borderId="1" xfId="29" applyFont="1" applyFill="1" applyBorder="1" applyAlignment="1" applyProtection="1">
      <alignment vertical="center"/>
      <protection locked="0"/>
    </xf>
    <xf numFmtId="10" fontId="9" fillId="26" borderId="2" xfId="15" applyNumberFormat="1" applyFont="1" applyFill="1" applyBorder="1" applyAlignment="1">
      <alignment vertical="center" wrapText="1"/>
    </xf>
    <xf numFmtId="9" fontId="9" fillId="26" borderId="2" xfId="15" applyFont="1" applyFill="1" applyBorder="1" applyAlignment="1" applyProtection="1">
      <alignment vertical="center" wrapText="1"/>
      <protection locked="0"/>
    </xf>
    <xf numFmtId="10" fontId="9" fillId="29" borderId="1" xfId="15" applyNumberFormat="1" applyFont="1" applyFill="1" applyBorder="1" applyAlignment="1" applyProtection="1">
      <alignment horizontal="center" vertical="center" wrapText="1"/>
      <protection locked="0"/>
    </xf>
    <xf numFmtId="10" fontId="9" fillId="26" borderId="1" xfId="29" applyNumberFormat="1" applyFont="1" applyFill="1" applyBorder="1" applyAlignment="1">
      <alignment horizontal="center" vertical="center" wrapText="1"/>
    </xf>
    <xf numFmtId="192" fontId="9" fillId="26" borderId="1" xfId="29" applyNumberFormat="1" applyFont="1" applyFill="1" applyBorder="1" applyAlignment="1">
      <alignment vertical="center"/>
    </xf>
    <xf numFmtId="195" fontId="7" fillId="0" borderId="0" xfId="5" applyNumberFormat="1" applyFont="1" applyFill="1"/>
    <xf numFmtId="0" fontId="10" fillId="0" borderId="1" xfId="5" applyNumberFormat="1" applyFont="1" applyFill="1" applyBorder="1" applyAlignment="1">
      <alignment horizontal="center" vertical="center" wrapText="1"/>
    </xf>
    <xf numFmtId="192" fontId="9" fillId="29" borderId="1" xfId="29" applyNumberFormat="1" applyFont="1" applyFill="1" applyBorder="1" applyAlignment="1">
      <alignment vertical="center"/>
    </xf>
    <xf numFmtId="195" fontId="9" fillId="26" borderId="20" xfId="41" applyNumberFormat="1" applyFont="1" applyFill="1" applyBorder="1" applyAlignment="1">
      <alignment vertical="center" wrapText="1"/>
    </xf>
    <xf numFmtId="204" fontId="9" fillId="26" borderId="20" xfId="41" applyNumberFormat="1" applyFont="1" applyFill="1" applyBorder="1" applyAlignment="1">
      <alignment vertical="center" wrapText="1"/>
    </xf>
    <xf numFmtId="193" fontId="9" fillId="26" borderId="20" xfId="5" applyNumberFormat="1" applyFont="1" applyFill="1" applyBorder="1" applyAlignment="1" applyProtection="1">
      <alignment horizontal="center" vertical="center"/>
      <protection locked="0"/>
    </xf>
    <xf numFmtId="0" fontId="10" fillId="9" borderId="1" xfId="0" applyFont="1" applyFill="1" applyBorder="1" applyAlignment="1">
      <alignment horizontal="center" vertical="center"/>
    </xf>
    <xf numFmtId="1" fontId="10" fillId="9" borderId="1" xfId="0" applyNumberFormat="1" applyFont="1" applyFill="1" applyBorder="1" applyAlignment="1">
      <alignment horizontal="center" vertical="center"/>
    </xf>
    <xf numFmtId="0" fontId="10" fillId="9" borderId="1" xfId="0" applyFont="1" applyFill="1" applyBorder="1" applyAlignment="1">
      <alignment horizontal="justify" vertical="center"/>
    </xf>
    <xf numFmtId="164" fontId="10" fillId="9" borderId="2" xfId="29" applyFont="1" applyFill="1" applyBorder="1" applyAlignment="1" applyProtection="1">
      <alignment vertical="center"/>
      <protection locked="0"/>
    </xf>
    <xf numFmtId="0" fontId="10" fillId="9" borderId="0" xfId="0" applyFont="1" applyFill="1" applyBorder="1" applyAlignment="1">
      <alignment vertical="center"/>
    </xf>
    <xf numFmtId="164" fontId="10" fillId="9" borderId="1" xfId="29" applyFont="1" applyFill="1" applyBorder="1" applyAlignment="1" applyProtection="1">
      <alignment vertical="center" wrapText="1"/>
      <protection locked="0"/>
    </xf>
    <xf numFmtId="164" fontId="10" fillId="9" borderId="1" xfId="29" applyFont="1" applyFill="1" applyBorder="1" applyAlignment="1" applyProtection="1">
      <alignment vertical="center"/>
      <protection locked="0"/>
    </xf>
    <xf numFmtId="0" fontId="10" fillId="9" borderId="1" xfId="0" applyFont="1" applyFill="1" applyBorder="1" applyAlignment="1">
      <alignment vertical="center"/>
    </xf>
    <xf numFmtId="49" fontId="45" fillId="30" borderId="2" xfId="0" applyNumberFormat="1" applyFont="1" applyFill="1" applyBorder="1" applyAlignment="1">
      <alignment horizontal="center" vertical="center" wrapText="1"/>
    </xf>
    <xf numFmtId="180" fontId="10" fillId="0" borderId="1" xfId="0" applyNumberFormat="1" applyFont="1" applyFill="1" applyBorder="1" applyAlignment="1">
      <alignment horizontal="center" vertical="center" wrapText="1"/>
    </xf>
    <xf numFmtId="0" fontId="10" fillId="0" borderId="1" xfId="0" quotePrefix="1" applyFont="1" applyFill="1" applyBorder="1" applyAlignment="1">
      <alignment vertical="center" wrapText="1"/>
    </xf>
    <xf numFmtId="164" fontId="10" fillId="0" borderId="1" xfId="29" applyFont="1" applyFill="1" applyBorder="1" applyAlignment="1">
      <alignment horizontal="center" vertical="center" wrapText="1"/>
    </xf>
    <xf numFmtId="164" fontId="10" fillId="9" borderId="1" xfId="29" applyFont="1" applyFill="1" applyBorder="1" applyAlignment="1">
      <alignment horizontal="center" vertical="center" wrapText="1"/>
    </xf>
    <xf numFmtId="9" fontId="9" fillId="26" borderId="1" xfId="15" applyNumberFormat="1" applyFont="1" applyFill="1" applyBorder="1" applyAlignment="1" applyProtection="1">
      <alignment horizontal="center" vertical="center" wrapText="1"/>
      <protection locked="0"/>
    </xf>
    <xf numFmtId="192" fontId="9" fillId="26" borderId="1" xfId="29" applyNumberFormat="1" applyFont="1" applyFill="1" applyBorder="1" applyAlignment="1" applyProtection="1">
      <alignment vertical="center"/>
      <protection locked="0"/>
    </xf>
    <xf numFmtId="192" fontId="9" fillId="26" borderId="20" xfId="41" applyNumberFormat="1" applyFont="1" applyFill="1" applyBorder="1" applyAlignment="1" applyProtection="1">
      <alignment vertical="center"/>
      <protection locked="0"/>
    </xf>
    <xf numFmtId="192" fontId="9" fillId="26" borderId="1" xfId="29" applyNumberFormat="1" applyFont="1" applyFill="1" applyBorder="1" applyAlignment="1">
      <alignment horizontal="center" vertical="center"/>
    </xf>
    <xf numFmtId="192" fontId="7" fillId="0" borderId="0" xfId="0" applyNumberFormat="1" applyFont="1"/>
    <xf numFmtId="193" fontId="9" fillId="26" borderId="20" xfId="0" applyNumberFormat="1" applyFont="1" applyFill="1" applyBorder="1" applyAlignment="1" applyProtection="1">
      <alignment horizontal="center" vertical="center"/>
      <protection locked="0"/>
    </xf>
    <xf numFmtId="193" fontId="9" fillId="15" borderId="20" xfId="5" applyNumberFormat="1" applyFont="1" applyFill="1" applyBorder="1" applyAlignment="1" applyProtection="1">
      <alignment horizontal="center" vertical="center"/>
      <protection locked="0"/>
    </xf>
    <xf numFmtId="192" fontId="9" fillId="29" borderId="1" xfId="29" applyNumberFormat="1" applyFont="1" applyFill="1" applyBorder="1" applyAlignment="1">
      <alignment vertical="center" wrapText="1"/>
    </xf>
    <xf numFmtId="193" fontId="9" fillId="29" borderId="20" xfId="0" applyNumberFormat="1" applyFont="1" applyFill="1" applyBorder="1" applyAlignment="1">
      <alignment vertical="center" wrapText="1"/>
    </xf>
    <xf numFmtId="195" fontId="9" fillId="29" borderId="1" xfId="7" applyNumberFormat="1" applyFont="1" applyFill="1" applyBorder="1" applyAlignment="1">
      <alignment horizontal="center" vertical="center" wrapText="1"/>
    </xf>
    <xf numFmtId="195" fontId="9" fillId="29" borderId="20" xfId="29" applyNumberFormat="1" applyFont="1" applyFill="1" applyBorder="1" applyAlignment="1">
      <alignment vertical="center" wrapText="1"/>
    </xf>
    <xf numFmtId="192" fontId="9" fillId="29" borderId="5" xfId="29" applyNumberFormat="1" applyFont="1" applyFill="1" applyBorder="1" applyAlignment="1">
      <alignment horizontal="center" vertical="center"/>
    </xf>
    <xf numFmtId="193" fontId="9" fillId="29" borderId="20" xfId="5" applyNumberFormat="1" applyFont="1" applyFill="1" applyBorder="1" applyAlignment="1">
      <alignment vertical="center" wrapText="1"/>
    </xf>
    <xf numFmtId="192" fontId="9" fillId="29" borderId="1" xfId="29" applyNumberFormat="1" applyFont="1" applyFill="1" applyBorder="1" applyAlignment="1">
      <alignment horizontal="center" vertical="center"/>
    </xf>
    <xf numFmtId="192" fontId="9" fillId="29" borderId="1" xfId="29" applyNumberFormat="1" applyFont="1" applyFill="1" applyBorder="1" applyAlignment="1" applyProtection="1">
      <alignment horizontal="center" vertical="center"/>
      <protection locked="0"/>
    </xf>
    <xf numFmtId="10" fontId="9" fillId="26" borderId="1" xfId="15" applyNumberFormat="1" applyFont="1" applyFill="1" applyBorder="1" applyAlignment="1">
      <alignment horizontal="center" vertical="center" wrapText="1"/>
    </xf>
    <xf numFmtId="193" fontId="24" fillId="9" borderId="1" xfId="6" applyNumberFormat="1" applyFont="1" applyFill="1" applyBorder="1" applyAlignment="1">
      <alignment horizontal="center" vertical="center"/>
    </xf>
    <xf numFmtId="193" fontId="13" fillId="9" borderId="1" xfId="6" applyNumberFormat="1" applyFont="1" applyFill="1" applyBorder="1" applyAlignment="1">
      <alignment horizontal="center" vertical="center"/>
    </xf>
    <xf numFmtId="181" fontId="10" fillId="9" borderId="1" xfId="7" applyNumberFormat="1" applyFont="1" applyFill="1" applyBorder="1" applyAlignment="1" applyProtection="1">
      <alignment horizontal="center" vertical="center" wrapText="1"/>
    </xf>
    <xf numFmtId="0" fontId="10" fillId="9" borderId="1" xfId="7" applyFont="1" applyFill="1" applyBorder="1" applyAlignment="1" applyProtection="1">
      <alignment horizontal="left" vertical="center" wrapText="1"/>
    </xf>
    <xf numFmtId="0" fontId="10" fillId="9" borderId="1" xfId="7" applyFont="1" applyFill="1" applyBorder="1" applyAlignment="1" applyProtection="1">
      <alignment horizontal="center" vertical="center" wrapText="1"/>
    </xf>
    <xf numFmtId="173" fontId="10" fillId="9" borderId="1" xfId="7" applyNumberFormat="1" applyFont="1" applyFill="1" applyBorder="1" applyAlignment="1" applyProtection="1">
      <alignment horizontal="center" vertical="center" wrapText="1"/>
    </xf>
    <xf numFmtId="164" fontId="10" fillId="0" borderId="1" xfId="29" applyFont="1" applyFill="1" applyBorder="1"/>
    <xf numFmtId="0" fontId="10" fillId="9" borderId="20" xfId="7" applyFont="1" applyFill="1" applyBorder="1" applyAlignment="1">
      <alignment horizontal="justify" vertical="center" wrapText="1"/>
    </xf>
    <xf numFmtId="173" fontId="10" fillId="9" borderId="1" xfId="7" applyNumberFormat="1" applyFont="1" applyFill="1" applyBorder="1" applyAlignment="1">
      <alignment horizontal="center" vertical="center" wrapText="1"/>
    </xf>
    <xf numFmtId="180" fontId="10" fillId="9" borderId="1" xfId="0" applyNumberFormat="1" applyFont="1" applyFill="1" applyBorder="1" applyAlignment="1" applyProtection="1">
      <alignment horizontal="center" vertical="center"/>
      <protection locked="0"/>
    </xf>
    <xf numFmtId="0" fontId="10" fillId="9" borderId="1" xfId="7" applyFont="1" applyFill="1" applyBorder="1" applyAlignment="1">
      <alignment horizontal="center" vertical="center" wrapText="1"/>
    </xf>
    <xf numFmtId="0" fontId="10" fillId="9" borderId="1" xfId="36" applyFont="1" applyFill="1" applyBorder="1"/>
    <xf numFmtId="0" fontId="10" fillId="9" borderId="1" xfId="37" applyFont="1" applyFill="1" applyBorder="1"/>
    <xf numFmtId="0" fontId="10" fillId="9" borderId="1" xfId="36" applyFont="1" applyFill="1" applyBorder="1" applyAlignment="1">
      <alignment wrapText="1"/>
    </xf>
    <xf numFmtId="0" fontId="10" fillId="9" borderId="1" xfId="7" applyFont="1" applyFill="1" applyBorder="1" applyAlignment="1">
      <alignment horizontal="justify" vertical="center" wrapText="1"/>
    </xf>
    <xf numFmtId="0" fontId="10" fillId="9" borderId="2" xfId="7" applyFont="1" applyFill="1" applyBorder="1" applyAlignment="1">
      <alignment horizontal="center" vertical="center" wrapText="1"/>
    </xf>
    <xf numFmtId="0" fontId="10" fillId="9" borderId="2" xfId="7" applyFont="1" applyFill="1" applyBorder="1" applyAlignment="1">
      <alignment horizontal="justify" vertical="center" wrapText="1"/>
    </xf>
    <xf numFmtId="0" fontId="10" fillId="9" borderId="4" xfId="7" applyFont="1" applyFill="1" applyBorder="1" applyAlignment="1">
      <alignment horizontal="center" vertical="center" wrapText="1"/>
    </xf>
    <xf numFmtId="180" fontId="10" fillId="9" borderId="4" xfId="0" applyNumberFormat="1" applyFont="1" applyFill="1" applyBorder="1" applyAlignment="1" applyProtection="1">
      <alignment horizontal="center" vertical="center"/>
      <protection locked="0"/>
    </xf>
    <xf numFmtId="0" fontId="10" fillId="9" borderId="1" xfId="0" applyFont="1" applyFill="1" applyBorder="1"/>
    <xf numFmtId="0" fontId="10" fillId="9" borderId="20" xfId="7" applyFont="1" applyFill="1" applyBorder="1" applyAlignment="1">
      <alignment horizontal="justify" vertical="top" wrapText="1"/>
    </xf>
    <xf numFmtId="0" fontId="10" fillId="9" borderId="1" xfId="36" applyFont="1" applyFill="1" applyBorder="1" applyAlignment="1">
      <alignment vertical="center" wrapText="1"/>
    </xf>
    <xf numFmtId="173" fontId="10" fillId="9" borderId="1" xfId="0" applyNumberFormat="1" applyFont="1" applyFill="1" applyBorder="1" applyAlignment="1">
      <alignment horizontal="center" vertical="center"/>
    </xf>
    <xf numFmtId="0" fontId="13" fillId="26" borderId="0" xfId="7" applyFont="1" applyFill="1"/>
    <xf numFmtId="0" fontId="24" fillId="9" borderId="1" xfId="7" applyFont="1" applyFill="1" applyBorder="1" applyAlignment="1">
      <alignment horizontal="justify" vertical="center" wrapText="1"/>
    </xf>
    <xf numFmtId="0" fontId="24" fillId="9" borderId="1" xfId="7" applyFont="1" applyFill="1" applyBorder="1" applyAlignment="1">
      <alignment horizontal="center" vertical="center" wrapText="1"/>
    </xf>
    <xf numFmtId="181" fontId="24" fillId="9" borderId="1" xfId="7" applyNumberFormat="1" applyFont="1" applyFill="1" applyBorder="1" applyAlignment="1">
      <alignment horizontal="center" vertical="center" wrapText="1"/>
    </xf>
    <xf numFmtId="0" fontId="25" fillId="0" borderId="1" xfId="7" applyFont="1" applyFill="1" applyBorder="1" applyAlignment="1" applyProtection="1">
      <alignment horizontal="justify" vertical="center" wrapText="1"/>
    </xf>
    <xf numFmtId="181" fontId="24" fillId="29" borderId="1" xfId="7" applyNumberFormat="1" applyFont="1" applyFill="1" applyBorder="1" applyAlignment="1">
      <alignment horizontal="center" vertical="center" wrapText="1"/>
    </xf>
    <xf numFmtId="181" fontId="24" fillId="0" borderId="20" xfId="7" applyNumberFormat="1" applyFont="1" applyFill="1" applyBorder="1" applyAlignment="1" applyProtection="1">
      <alignment horizontal="center" vertical="center" wrapText="1"/>
    </xf>
    <xf numFmtId="0" fontId="24" fillId="9" borderId="1" xfId="20" applyFont="1" applyFill="1" applyBorder="1" applyAlignment="1">
      <alignment horizontal="justify" vertical="center" wrapText="1"/>
    </xf>
    <xf numFmtId="181" fontId="24" fillId="9" borderId="20" xfId="7" applyNumberFormat="1" applyFont="1" applyFill="1" applyBorder="1" applyAlignment="1">
      <alignment horizontal="center" vertical="center" wrapText="1"/>
    </xf>
    <xf numFmtId="164" fontId="10" fillId="9" borderId="1" xfId="29" applyFont="1" applyFill="1" applyBorder="1" applyAlignment="1" applyProtection="1">
      <alignment horizontal="center" vertical="center"/>
      <protection locked="0"/>
    </xf>
    <xf numFmtId="192" fontId="9" fillId="0" borderId="0" xfId="29" applyNumberFormat="1" applyFont="1" applyFill="1" applyBorder="1" applyAlignment="1">
      <alignment horizontal="center" vertical="center"/>
    </xf>
    <xf numFmtId="192" fontId="95" fillId="27" borderId="2" xfId="44" applyNumberFormat="1" applyFont="1" applyFill="1" applyBorder="1" applyAlignment="1">
      <alignment vertical="center"/>
    </xf>
    <xf numFmtId="192" fontId="92" fillId="0" borderId="0" xfId="44" applyNumberFormat="1" applyFont="1" applyAlignment="1">
      <alignment vertical="center"/>
    </xf>
    <xf numFmtId="192" fontId="95" fillId="28" borderId="2" xfId="44" applyNumberFormat="1" applyFont="1" applyFill="1" applyBorder="1" applyAlignment="1">
      <alignment vertical="center"/>
    </xf>
    <xf numFmtId="192" fontId="92" fillId="27" borderId="2" xfId="44" applyNumberFormat="1" applyFont="1" applyFill="1" applyBorder="1" applyAlignment="1">
      <alignment vertical="center"/>
    </xf>
    <xf numFmtId="192" fontId="95" fillId="0" borderId="1" xfId="44" applyNumberFormat="1" applyFont="1" applyBorder="1" applyAlignment="1">
      <alignment horizontal="center" vertical="center"/>
    </xf>
    <xf numFmtId="2" fontId="107" fillId="9" borderId="1" xfId="46" applyNumberFormat="1" applyFont="1" applyFill="1" applyBorder="1" applyAlignment="1">
      <alignment vertical="center"/>
    </xf>
    <xf numFmtId="205" fontId="9" fillId="12" borderId="1" xfId="15" applyNumberFormat="1" applyFont="1" applyFill="1" applyBorder="1" applyAlignment="1">
      <alignment horizontal="center" vertical="center" wrapText="1"/>
    </xf>
    <xf numFmtId="0" fontId="24" fillId="0" borderId="0" xfId="8" applyFill="1"/>
    <xf numFmtId="170" fontId="13" fillId="0" borderId="0" xfId="8" applyNumberFormat="1" applyFont="1" applyFill="1" applyBorder="1" applyAlignment="1">
      <alignment vertical="center" wrapText="1"/>
    </xf>
    <xf numFmtId="205" fontId="107" fillId="0" borderId="1" xfId="15" applyNumberFormat="1" applyFont="1" applyFill="1" applyBorder="1" applyAlignment="1">
      <alignment vertical="center"/>
    </xf>
    <xf numFmtId="180" fontId="10" fillId="9" borderId="20" xfId="0" applyNumberFormat="1" applyFont="1" applyFill="1" applyBorder="1" applyAlignment="1" applyProtection="1">
      <alignment horizontal="center" vertical="center"/>
      <protection locked="0"/>
    </xf>
    <xf numFmtId="0" fontId="60" fillId="0" borderId="2" xfId="0" applyFont="1" applyFill="1" applyBorder="1" applyAlignment="1">
      <alignment horizontal="center" vertical="center"/>
    </xf>
    <xf numFmtId="49" fontId="60" fillId="0" borderId="1" xfId="0" applyNumberFormat="1" applyFont="1" applyFill="1" applyBorder="1" applyAlignment="1">
      <alignment vertical="center" wrapText="1"/>
    </xf>
    <xf numFmtId="49" fontId="60" fillId="0" borderId="1" xfId="0" applyNumberFormat="1" applyFont="1" applyFill="1" applyBorder="1" applyAlignment="1">
      <alignment horizontal="left"/>
    </xf>
    <xf numFmtId="0" fontId="9" fillId="0" borderId="20" xfId="0" applyFont="1" applyFill="1" applyBorder="1" applyAlignment="1">
      <alignment horizontal="center"/>
    </xf>
    <xf numFmtId="49" fontId="10" fillId="0" borderId="7" xfId="0" applyNumberFormat="1" applyFont="1" applyFill="1" applyBorder="1"/>
    <xf numFmtId="49" fontId="10" fillId="0" borderId="27" xfId="0" applyNumberFormat="1" applyFont="1" applyFill="1" applyBorder="1" applyAlignment="1">
      <alignment horizontal="center"/>
    </xf>
    <xf numFmtId="49" fontId="60" fillId="0" borderId="0" xfId="0" applyNumberFormat="1" applyFont="1" applyFill="1" applyBorder="1" applyAlignment="1">
      <alignment wrapText="1"/>
    </xf>
    <xf numFmtId="49" fontId="10" fillId="0" borderId="0" xfId="0" applyNumberFormat="1" applyFont="1" applyFill="1" applyBorder="1" applyAlignment="1">
      <alignment horizontal="center" vertical="center"/>
    </xf>
    <xf numFmtId="180" fontId="60" fillId="0" borderId="0" xfId="0" applyNumberFormat="1" applyFont="1" applyFill="1" applyBorder="1" applyAlignment="1">
      <alignment horizontal="right" vertical="center"/>
    </xf>
    <xf numFmtId="180" fontId="10" fillId="0" borderId="5" xfId="0" applyNumberFormat="1" applyFont="1" applyFill="1" applyBorder="1" applyAlignment="1">
      <alignment horizontal="right"/>
    </xf>
    <xf numFmtId="2" fontId="60" fillId="0" borderId="1" xfId="0" applyNumberFormat="1" applyFont="1" applyFill="1" applyBorder="1" applyAlignment="1">
      <alignment horizontal="left"/>
    </xf>
    <xf numFmtId="10" fontId="60" fillId="0" borderId="1" xfId="15" applyNumberFormat="1" applyFont="1" applyFill="1" applyBorder="1" applyAlignment="1">
      <alignment horizontal="right"/>
    </xf>
    <xf numFmtId="49" fontId="60" fillId="0" borderId="2" xfId="0" applyNumberFormat="1" applyFont="1" applyFill="1" applyBorder="1" applyAlignment="1">
      <alignment horizontal="center" vertical="center"/>
    </xf>
    <xf numFmtId="0" fontId="116" fillId="0" borderId="1" xfId="20" applyFont="1" applyFill="1" applyBorder="1" applyAlignment="1">
      <alignment horizontal="center" vertical="center" wrapText="1"/>
    </xf>
    <xf numFmtId="49" fontId="13" fillId="2" borderId="1" xfId="0" applyNumberFormat="1" applyFont="1" applyFill="1" applyBorder="1" applyAlignment="1">
      <alignment horizontal="center"/>
    </xf>
    <xf numFmtId="0" fontId="10" fillId="0" borderId="0" xfId="28" applyNumberFormat="1" applyFont="1" applyFill="1" applyBorder="1" applyAlignment="1">
      <alignment horizontal="center" vertical="center"/>
    </xf>
    <xf numFmtId="49" fontId="10" fillId="0" borderId="0" xfId="5" applyNumberFormat="1" applyFont="1" applyFill="1" applyBorder="1" applyAlignment="1">
      <alignment horizontal="center"/>
    </xf>
    <xf numFmtId="170" fontId="10" fillId="0" borderId="0" xfId="5" applyNumberFormat="1" applyFont="1" applyFill="1" applyBorder="1" applyAlignment="1">
      <alignment horizontal="center"/>
    </xf>
    <xf numFmtId="0" fontId="10" fillId="9" borderId="1" xfId="28" applyNumberFormat="1" applyFont="1" applyFill="1" applyBorder="1" applyAlignment="1">
      <alignment horizontal="center" vertical="center" wrapText="1"/>
    </xf>
    <xf numFmtId="9" fontId="10" fillId="9" borderId="4" xfId="0" quotePrefix="1" applyNumberFormat="1" applyFont="1" applyFill="1" applyBorder="1" applyAlignment="1">
      <alignment horizontal="center" vertical="center"/>
    </xf>
    <xf numFmtId="0" fontId="10" fillId="9" borderId="0" xfId="0" applyFont="1" applyFill="1" applyBorder="1" applyAlignment="1"/>
    <xf numFmtId="0" fontId="10" fillId="9" borderId="0" xfId="0" applyFont="1" applyFill="1"/>
    <xf numFmtId="0" fontId="10" fillId="9" borderId="71" xfId="28" applyNumberFormat="1" applyFont="1" applyFill="1" applyBorder="1" applyAlignment="1">
      <alignment horizontal="center" vertical="center" wrapText="1"/>
    </xf>
    <xf numFmtId="9" fontId="10" fillId="9" borderId="71" xfId="0" quotePrefix="1" applyNumberFormat="1" applyFont="1" applyFill="1" applyBorder="1" applyAlignment="1">
      <alignment horizontal="center" vertical="center"/>
    </xf>
    <xf numFmtId="0" fontId="10" fillId="9" borderId="71" xfId="0" applyFont="1" applyFill="1" applyBorder="1" applyAlignment="1"/>
    <xf numFmtId="0" fontId="13" fillId="9" borderId="70" xfId="0" applyFont="1" applyFill="1" applyBorder="1" applyAlignment="1">
      <alignment horizontal="center" vertical="center" wrapText="1"/>
    </xf>
    <xf numFmtId="0" fontId="13" fillId="9" borderId="71" xfId="0" applyFont="1" applyFill="1" applyBorder="1" applyAlignment="1">
      <alignment horizontal="center" vertical="center" wrapText="1"/>
    </xf>
    <xf numFmtId="0" fontId="24" fillId="9" borderId="0" xfId="28" applyNumberFormat="1" applyFont="1" applyFill="1" applyBorder="1" applyAlignment="1">
      <alignment horizontal="center" vertical="center"/>
    </xf>
    <xf numFmtId="9" fontId="24" fillId="9" borderId="0" xfId="0" applyNumberFormat="1" applyFont="1" applyFill="1" applyBorder="1" applyAlignment="1">
      <alignment horizontal="center"/>
    </xf>
    <xf numFmtId="0" fontId="24" fillId="9" borderId="0" xfId="0" applyFont="1" applyFill="1" applyBorder="1" applyAlignment="1">
      <alignment horizontal="center"/>
    </xf>
    <xf numFmtId="180" fontId="24" fillId="9" borderId="0" xfId="0" applyNumberFormat="1" applyFont="1" applyFill="1" applyBorder="1" applyAlignment="1">
      <alignment horizontal="center"/>
    </xf>
    <xf numFmtId="0" fontId="13" fillId="9" borderId="0" xfId="0" applyFont="1" applyFill="1" applyBorder="1" applyAlignment="1">
      <alignment horizontal="center"/>
    </xf>
    <xf numFmtId="49" fontId="9" fillId="12" borderId="1" xfId="0" applyNumberFormat="1" applyFont="1" applyFill="1" applyBorder="1" applyAlignment="1">
      <alignment horizontal="center" vertical="center"/>
    </xf>
    <xf numFmtId="49" fontId="9" fillId="8" borderId="1" xfId="0" applyNumberFormat="1" applyFont="1" applyFill="1" applyBorder="1" applyAlignment="1">
      <alignment horizontal="center" vertical="center"/>
    </xf>
    <xf numFmtId="175" fontId="10" fillId="0" borderId="0" xfId="0" applyNumberFormat="1" applyFont="1" applyBorder="1" applyAlignment="1">
      <alignment horizontal="center" vertical="center"/>
    </xf>
    <xf numFmtId="2" fontId="11" fillId="0" borderId="0" xfId="0" applyNumberFormat="1" applyFont="1" applyFill="1" applyBorder="1" applyAlignment="1">
      <alignment horizontal="center"/>
    </xf>
    <xf numFmtId="185" fontId="10" fillId="9" borderId="0" xfId="25" applyNumberFormat="1" applyFont="1" applyFill="1"/>
    <xf numFmtId="1" fontId="9" fillId="2" borderId="1" xfId="0" applyNumberFormat="1" applyFont="1" applyFill="1" applyBorder="1" applyAlignment="1">
      <alignment horizontal="center"/>
    </xf>
    <xf numFmtId="49" fontId="13" fillId="8" borderId="1" xfId="0" applyNumberFormat="1" applyFont="1" applyFill="1" applyBorder="1" applyAlignment="1">
      <alignment horizontal="center"/>
    </xf>
    <xf numFmtId="192" fontId="7" fillId="0" borderId="0" xfId="5" applyNumberFormat="1" applyFont="1" applyFill="1"/>
    <xf numFmtId="193" fontId="10" fillId="0" borderId="0" xfId="7" applyNumberFormat="1" applyFont="1" applyFill="1"/>
    <xf numFmtId="211" fontId="7" fillId="0" borderId="0" xfId="50" applyNumberFormat="1" applyFont="1" applyFill="1"/>
    <xf numFmtId="183" fontId="10" fillId="0" borderId="0" xfId="5" applyNumberFormat="1" applyFont="1" applyFill="1" applyBorder="1" applyAlignment="1" applyProtection="1">
      <alignment horizontal="center" vertical="center"/>
      <protection locked="0"/>
    </xf>
    <xf numFmtId="0" fontId="7" fillId="0" borderId="0" xfId="5" applyFont="1" applyAlignment="1">
      <alignment horizontal="center"/>
    </xf>
    <xf numFmtId="164" fontId="7" fillId="0" borderId="0" xfId="5" applyNumberFormat="1" applyFont="1" applyAlignment="1">
      <alignment horizontal="center"/>
    </xf>
    <xf numFmtId="0" fontId="10" fillId="0" borderId="0" xfId="7" applyFont="1" applyFill="1" applyAlignment="1">
      <alignment horizontal="center"/>
    </xf>
    <xf numFmtId="180" fontId="10" fillId="0" borderId="0" xfId="7" applyNumberFormat="1" applyFont="1" applyFill="1" applyAlignment="1">
      <alignment horizontal="center"/>
    </xf>
    <xf numFmtId="164" fontId="10" fillId="0" borderId="0" xfId="41" applyFont="1" applyFill="1" applyBorder="1" applyAlignment="1">
      <alignment horizontal="center" vertical="center"/>
    </xf>
    <xf numFmtId="199" fontId="10" fillId="0" borderId="0" xfId="5" applyNumberFormat="1" applyFont="1" applyFill="1" applyBorder="1" applyAlignment="1">
      <alignment horizontal="center" vertical="center"/>
    </xf>
    <xf numFmtId="0" fontId="10" fillId="0" borderId="0" xfId="5" applyFont="1" applyFill="1" applyBorder="1" applyAlignment="1">
      <alignment horizontal="center" vertical="center"/>
    </xf>
    <xf numFmtId="173" fontId="10" fillId="0" borderId="0" xfId="5" applyNumberFormat="1" applyFont="1" applyFill="1" applyBorder="1" applyAlignment="1">
      <alignment horizontal="center" vertical="center"/>
    </xf>
    <xf numFmtId="3" fontId="10" fillId="0" borderId="0" xfId="5" applyNumberFormat="1" applyFont="1" applyFill="1" applyBorder="1" applyAlignment="1">
      <alignment horizontal="center" vertical="center"/>
    </xf>
    <xf numFmtId="4" fontId="10" fillId="0" borderId="0" xfId="5" applyNumberFormat="1" applyFont="1" applyFill="1" applyBorder="1" applyAlignment="1">
      <alignment horizontal="center" vertical="center"/>
    </xf>
    <xf numFmtId="183" fontId="10" fillId="0" borderId="0" xfId="5" applyNumberFormat="1" applyFont="1" applyFill="1" applyBorder="1" applyAlignment="1">
      <alignment horizontal="center" vertical="center"/>
    </xf>
    <xf numFmtId="0" fontId="7" fillId="0" borderId="0" xfId="5" applyFont="1" applyFill="1" applyAlignment="1">
      <alignment horizontal="center"/>
    </xf>
    <xf numFmtId="164" fontId="7" fillId="0" borderId="0" xfId="29" applyFont="1" applyFill="1" applyAlignment="1">
      <alignment horizontal="center"/>
    </xf>
    <xf numFmtId="164" fontId="7" fillId="0" borderId="0" xfId="29" applyFont="1" applyAlignment="1">
      <alignment horizontal="center"/>
    </xf>
    <xf numFmtId="0" fontId="24" fillId="0" borderId="0" xfId="8" applyFont="1" applyAlignment="1">
      <alignment horizontal="center"/>
    </xf>
    <xf numFmtId="197" fontId="7" fillId="0" borderId="0" xfId="5" applyNumberFormat="1" applyFont="1" applyAlignment="1">
      <alignment horizontal="center"/>
    </xf>
    <xf numFmtId="200" fontId="10" fillId="0" borderId="0" xfId="5" applyNumberFormat="1" applyFont="1" applyFill="1" applyBorder="1" applyAlignment="1">
      <alignment horizontal="center" vertical="center"/>
    </xf>
    <xf numFmtId="164" fontId="7" fillId="0" borderId="0" xfId="0" applyNumberFormat="1" applyFont="1" applyAlignment="1">
      <alignment horizontal="center"/>
    </xf>
    <xf numFmtId="164" fontId="7" fillId="0" borderId="0" xfId="29" applyFont="1" applyAlignment="1">
      <alignment horizontal="center" vertical="center"/>
    </xf>
    <xf numFmtId="196" fontId="76" fillId="0" borderId="0" xfId="0" applyNumberFormat="1" applyFont="1" applyBorder="1" applyAlignment="1">
      <alignment horizontal="center" vertical="center"/>
    </xf>
    <xf numFmtId="3" fontId="60" fillId="0" borderId="0" xfId="0" applyNumberFormat="1" applyFont="1" applyFill="1" applyBorder="1" applyAlignment="1">
      <alignment vertical="center"/>
    </xf>
    <xf numFmtId="195" fontId="9" fillId="26" borderId="1" xfId="7" applyNumberFormat="1" applyFont="1" applyFill="1" applyBorder="1" applyAlignment="1">
      <alignment horizontal="center" vertical="center" wrapText="1"/>
    </xf>
    <xf numFmtId="195" fontId="9" fillId="26" borderId="1" xfId="7" applyNumberFormat="1" applyFont="1" applyFill="1" applyBorder="1" applyAlignment="1" applyProtection="1">
      <alignment horizontal="center" vertical="center" wrapText="1"/>
    </xf>
    <xf numFmtId="195" fontId="9" fillId="26" borderId="20" xfId="7" applyNumberFormat="1" applyFont="1" applyFill="1" applyBorder="1" applyAlignment="1">
      <alignment horizontal="center" vertical="center" wrapText="1"/>
    </xf>
    <xf numFmtId="195" fontId="9" fillId="26" borderId="20" xfId="29" applyNumberFormat="1" applyFont="1" applyFill="1" applyBorder="1" applyAlignment="1">
      <alignment vertical="center" wrapText="1"/>
    </xf>
    <xf numFmtId="193" fontId="76" fillId="0" borderId="0" xfId="0" applyNumberFormat="1" applyFont="1"/>
    <xf numFmtId="0" fontId="76" fillId="0" borderId="0" xfId="0" applyFont="1"/>
    <xf numFmtId="192" fontId="10" fillId="0" borderId="1" xfId="29" applyNumberFormat="1" applyFont="1" applyBorder="1" applyAlignment="1">
      <alignment vertical="center"/>
    </xf>
    <xf numFmtId="192" fontId="76" fillId="0" borderId="0" xfId="0" applyNumberFormat="1" applyFont="1"/>
    <xf numFmtId="183" fontId="60" fillId="0" borderId="0" xfId="0" applyNumberFormat="1" applyFont="1" applyFill="1" applyBorder="1" applyAlignment="1">
      <alignment vertical="center"/>
    </xf>
    <xf numFmtId="195" fontId="13" fillId="26" borderId="1" xfId="7" applyNumberFormat="1" applyFont="1" applyFill="1" applyBorder="1" applyAlignment="1">
      <alignment horizontal="center" vertical="center" wrapText="1"/>
    </xf>
    <xf numFmtId="193" fontId="76" fillId="0" borderId="0" xfId="0" applyNumberFormat="1" applyFont="1" applyAlignment="1">
      <alignment horizontal="center" vertical="center"/>
    </xf>
    <xf numFmtId="164" fontId="76" fillId="0" borderId="0" xfId="0" applyNumberFormat="1" applyFont="1" applyAlignment="1">
      <alignment horizontal="center" vertical="center"/>
    </xf>
    <xf numFmtId="0" fontId="76" fillId="0" borderId="0" xfId="0" applyFont="1" applyAlignment="1">
      <alignment vertical="center"/>
    </xf>
    <xf numFmtId="193" fontId="10" fillId="9" borderId="1" xfId="0" applyNumberFormat="1" applyFont="1" applyFill="1" applyBorder="1" applyAlignment="1" applyProtection="1">
      <alignment horizontal="center" vertical="center" wrapText="1"/>
      <protection locked="0"/>
    </xf>
    <xf numFmtId="192" fontId="10" fillId="0" borderId="1" xfId="29" applyNumberFormat="1" applyFont="1" applyBorder="1" applyAlignment="1">
      <alignment vertical="center" wrapText="1"/>
    </xf>
    <xf numFmtId="192" fontId="76" fillId="0" borderId="0" xfId="0" applyNumberFormat="1" applyFont="1" applyFill="1" applyBorder="1" applyAlignment="1">
      <alignment vertical="center"/>
    </xf>
    <xf numFmtId="164" fontId="76" fillId="0" borderId="0" xfId="0" applyNumberFormat="1" applyFont="1" applyBorder="1" applyAlignment="1">
      <alignment vertical="center"/>
    </xf>
    <xf numFmtId="183" fontId="60" fillId="0" borderId="0" xfId="0" applyNumberFormat="1" applyFont="1" applyFill="1" applyBorder="1" applyAlignment="1" applyProtection="1">
      <alignment horizontal="center" vertical="center"/>
      <protection locked="0"/>
    </xf>
    <xf numFmtId="192" fontId="76" fillId="0" borderId="0" xfId="0" applyNumberFormat="1" applyFont="1" applyAlignment="1">
      <alignment horizontal="center" vertical="center"/>
    </xf>
    <xf numFmtId="0" fontId="76" fillId="0" borderId="0" xfId="0" applyFont="1" applyAlignment="1">
      <alignment horizontal="center" vertical="center"/>
    </xf>
    <xf numFmtId="193" fontId="9" fillId="29" borderId="1" xfId="0" applyNumberFormat="1" applyFont="1" applyFill="1" applyBorder="1" applyAlignment="1">
      <alignment vertical="center" wrapText="1"/>
    </xf>
    <xf numFmtId="10" fontId="9" fillId="0" borderId="8" xfId="15" applyNumberFormat="1" applyFont="1" applyFill="1" applyBorder="1" applyAlignment="1">
      <alignment horizontal="center" vertical="center"/>
    </xf>
    <xf numFmtId="205" fontId="9" fillId="26" borderId="1" xfId="15" applyNumberFormat="1" applyFont="1" applyFill="1" applyBorder="1" applyAlignment="1" applyProtection="1">
      <alignment horizontal="center" vertical="center" wrapText="1"/>
      <protection locked="0"/>
    </xf>
    <xf numFmtId="205" fontId="9" fillId="26" borderId="2" xfId="15" applyNumberFormat="1" applyFont="1" applyFill="1" applyBorder="1" applyAlignment="1">
      <alignment vertical="center" wrapText="1"/>
    </xf>
    <xf numFmtId="205" fontId="9" fillId="26" borderId="1" xfId="15" applyNumberFormat="1" applyFont="1" applyFill="1" applyBorder="1" applyAlignment="1">
      <alignment horizontal="center" vertical="center" wrapText="1"/>
    </xf>
    <xf numFmtId="193" fontId="10" fillId="0" borderId="1" xfId="0" applyNumberFormat="1" applyFont="1" applyFill="1" applyBorder="1" applyAlignment="1" applyProtection="1">
      <alignment horizontal="center" vertical="center"/>
      <protection locked="0"/>
    </xf>
    <xf numFmtId="205" fontId="9" fillId="26" borderId="1" xfId="15" applyNumberFormat="1" applyFont="1" applyFill="1" applyBorder="1" applyAlignment="1">
      <alignment vertical="center" wrapText="1"/>
    </xf>
    <xf numFmtId="192" fontId="0" fillId="0" borderId="0" xfId="29" applyNumberFormat="1" applyFont="1" applyBorder="1"/>
    <xf numFmtId="192" fontId="9" fillId="29" borderId="3" xfId="29" applyNumberFormat="1" applyFont="1" applyFill="1" applyBorder="1" applyAlignment="1">
      <alignment vertical="center"/>
    </xf>
    <xf numFmtId="192" fontId="9" fillId="29" borderId="2" xfId="29" applyNumberFormat="1" applyFont="1" applyFill="1" applyBorder="1" applyAlignment="1">
      <alignment vertical="center"/>
    </xf>
    <xf numFmtId="192" fontId="45" fillId="40" borderId="1" xfId="29" applyNumberFormat="1" applyFont="1" applyFill="1" applyBorder="1" applyAlignment="1">
      <alignment vertical="center" wrapText="1"/>
    </xf>
    <xf numFmtId="192" fontId="13" fillId="26" borderId="1" xfId="29" applyNumberFormat="1" applyFont="1" applyFill="1" applyBorder="1" applyAlignment="1">
      <alignment horizontal="center" vertical="center"/>
    </xf>
    <xf numFmtId="192" fontId="13" fillId="29" borderId="5" xfId="29" applyNumberFormat="1" applyFont="1" applyFill="1" applyBorder="1" applyAlignment="1">
      <alignment horizontal="center" vertical="center"/>
    </xf>
    <xf numFmtId="192" fontId="13" fillId="29" borderId="1" xfId="29" applyNumberFormat="1" applyFont="1" applyFill="1" applyBorder="1" applyAlignment="1">
      <alignment horizontal="center" vertical="center"/>
    </xf>
    <xf numFmtId="164" fontId="7" fillId="0" borderId="0" xfId="29" applyFont="1"/>
    <xf numFmtId="213" fontId="7" fillId="0" borderId="0" xfId="5" applyNumberFormat="1" applyFont="1"/>
    <xf numFmtId="212" fontId="24" fillId="9" borderId="1" xfId="6" applyNumberFormat="1" applyFont="1" applyFill="1" applyBorder="1" applyAlignment="1">
      <alignment horizontal="center" vertical="center"/>
    </xf>
    <xf numFmtId="190" fontId="9" fillId="26" borderId="1" xfId="15" applyNumberFormat="1" applyFont="1" applyFill="1" applyBorder="1" applyAlignment="1">
      <alignment vertical="center" wrapText="1"/>
    </xf>
    <xf numFmtId="164" fontId="10" fillId="0" borderId="0" xfId="29" applyFont="1" applyFill="1"/>
    <xf numFmtId="41" fontId="30" fillId="0" borderId="0" xfId="50" applyFont="1"/>
    <xf numFmtId="0" fontId="92" fillId="0" borderId="0" xfId="43" applyFont="1" applyAlignment="1">
      <alignment horizontal="left" vertical="center"/>
    </xf>
    <xf numFmtId="192" fontId="0" fillId="0" borderId="0" xfId="44" applyNumberFormat="1" applyFont="1" applyAlignment="1">
      <alignment vertical="center"/>
    </xf>
    <xf numFmtId="0" fontId="3" fillId="0" borderId="0" xfId="43" applyAlignment="1">
      <alignment vertical="center"/>
    </xf>
    <xf numFmtId="1" fontId="96" fillId="28" borderId="1" xfId="29" applyNumberFormat="1" applyFont="1" applyFill="1" applyBorder="1" applyAlignment="1">
      <alignment horizontal="center" vertical="center"/>
    </xf>
    <xf numFmtId="1" fontId="96" fillId="28" borderId="1" xfId="43" applyNumberFormat="1" applyFont="1" applyFill="1" applyBorder="1" applyAlignment="1">
      <alignment horizontal="center" vertical="center"/>
    </xf>
    <xf numFmtId="192" fontId="0" fillId="28" borderId="0" xfId="44" applyNumberFormat="1" applyFont="1" applyFill="1" applyAlignment="1">
      <alignment vertical="center"/>
    </xf>
    <xf numFmtId="0" fontId="3" fillId="28" borderId="0" xfId="43" applyFill="1" applyAlignment="1">
      <alignment vertical="center"/>
    </xf>
    <xf numFmtId="164" fontId="97" fillId="0" borderId="1" xfId="29" applyFont="1" applyBorder="1" applyAlignment="1">
      <alignment horizontal="center" vertical="center"/>
    </xf>
    <xf numFmtId="0" fontId="97" fillId="0" borderId="1" xfId="43" applyFont="1" applyBorder="1" applyAlignment="1">
      <alignment horizontal="center" vertical="center"/>
    </xf>
    <xf numFmtId="164" fontId="97" fillId="0" borderId="1" xfId="29" applyFont="1" applyBorder="1" applyAlignment="1">
      <alignment vertical="center"/>
    </xf>
    <xf numFmtId="164" fontId="97" fillId="0" borderId="1" xfId="29" applyFont="1" applyFill="1" applyBorder="1" applyAlignment="1">
      <alignment vertical="center"/>
    </xf>
    <xf numFmtId="164" fontId="97" fillId="25" borderId="1" xfId="29" applyFont="1" applyFill="1" applyBorder="1" applyAlignment="1">
      <alignment vertical="center"/>
    </xf>
    <xf numFmtId="0" fontId="97" fillId="0" borderId="1" xfId="43" applyFont="1" applyBorder="1" applyAlignment="1">
      <alignment vertical="center"/>
    </xf>
    <xf numFmtId="0" fontId="99" fillId="0" borderId="0" xfId="43" applyFont="1" applyBorder="1" applyAlignment="1">
      <alignment vertical="center"/>
    </xf>
    <xf numFmtId="0" fontId="3" fillId="25" borderId="1" xfId="43" applyFill="1" applyBorder="1" applyAlignment="1">
      <alignment vertical="center"/>
    </xf>
    <xf numFmtId="0" fontId="3" fillId="0" borderId="1" xfId="43" applyBorder="1" applyAlignment="1">
      <alignment vertical="center"/>
    </xf>
    <xf numFmtId="0" fontId="97" fillId="0" borderId="1" xfId="43" applyFont="1" applyFill="1" applyBorder="1" applyAlignment="1">
      <alignment vertical="center"/>
    </xf>
    <xf numFmtId="164" fontId="97" fillId="0" borderId="1" xfId="44" applyFont="1" applyFill="1" applyBorder="1" applyAlignment="1">
      <alignment vertical="center"/>
    </xf>
    <xf numFmtId="164" fontId="99" fillId="0" borderId="0" xfId="29" applyFont="1" applyBorder="1" applyAlignment="1">
      <alignment vertical="center"/>
    </xf>
    <xf numFmtId="206" fontId="3" fillId="0" borderId="0" xfId="43" applyNumberFormat="1" applyAlignment="1">
      <alignment vertical="center"/>
    </xf>
    <xf numFmtId="164" fontId="97" fillId="0" borderId="1" xfId="29" applyNumberFormat="1" applyFont="1" applyBorder="1" applyAlignment="1">
      <alignment vertical="center"/>
    </xf>
    <xf numFmtId="196" fontId="0" fillId="0" borderId="0" xfId="44" applyNumberFormat="1" applyFont="1" applyAlignment="1">
      <alignment vertical="center"/>
    </xf>
    <xf numFmtId="164" fontId="97" fillId="0" borderId="1" xfId="44" applyFont="1" applyBorder="1" applyAlignment="1">
      <alignment vertical="center"/>
    </xf>
    <xf numFmtId="0" fontId="95" fillId="0" borderId="0" xfId="43" applyFont="1" applyAlignment="1">
      <alignment horizontal="left" vertical="center"/>
    </xf>
    <xf numFmtId="164" fontId="97" fillId="0" borderId="0" xfId="29" applyFont="1" applyBorder="1" applyAlignment="1">
      <alignment vertical="center"/>
    </xf>
    <xf numFmtId="0" fontId="97" fillId="0" borderId="0" xfId="43" applyFont="1" applyBorder="1" applyAlignment="1">
      <alignment vertical="center"/>
    </xf>
    <xf numFmtId="10" fontId="97" fillId="0" borderId="1" xfId="15" applyNumberFormat="1" applyFont="1" applyBorder="1" applyAlignment="1">
      <alignment horizontal="center" vertical="center"/>
    </xf>
    <xf numFmtId="212" fontId="97" fillId="0" borderId="1" xfId="15" applyNumberFormat="1" applyFont="1" applyBorder="1" applyAlignment="1">
      <alignment horizontal="center" vertical="center"/>
    </xf>
    <xf numFmtId="192" fontId="91" fillId="0" borderId="0" xfId="44" applyNumberFormat="1" applyFont="1" applyAlignment="1">
      <alignment vertical="center"/>
    </xf>
    <xf numFmtId="164" fontId="99" fillId="0" borderId="0" xfId="43" applyNumberFormat="1" applyFont="1" applyBorder="1" applyAlignment="1">
      <alignment vertical="center"/>
    </xf>
    <xf numFmtId="205" fontId="13" fillId="15" borderId="1" xfId="15" applyNumberFormat="1" applyFont="1" applyFill="1" applyBorder="1" applyAlignment="1">
      <alignment horizontal="center" vertical="center"/>
    </xf>
    <xf numFmtId="0" fontId="118" fillId="0" borderId="0" xfId="0" applyFont="1"/>
    <xf numFmtId="0" fontId="117" fillId="0" borderId="54" xfId="0" applyFont="1" applyBorder="1" applyAlignment="1">
      <alignment horizontal="center" vertical="center" wrapText="1"/>
    </xf>
    <xf numFmtId="0" fontId="117" fillId="0" borderId="0" xfId="0" applyFont="1" applyAlignment="1">
      <alignment horizontal="center" vertical="center" wrapText="1"/>
    </xf>
    <xf numFmtId="0" fontId="117" fillId="0" borderId="55" xfId="0" applyFont="1" applyBorder="1" applyAlignment="1">
      <alignment horizontal="center" vertical="center" wrapText="1"/>
    </xf>
    <xf numFmtId="0" fontId="117" fillId="0" borderId="11" xfId="0" applyFont="1" applyBorder="1" applyAlignment="1">
      <alignment horizontal="center" vertical="center" wrapText="1"/>
    </xf>
    <xf numFmtId="0" fontId="117" fillId="0" borderId="1" xfId="0" applyFont="1" applyBorder="1" applyAlignment="1">
      <alignment horizontal="center" vertical="center" wrapText="1"/>
    </xf>
    <xf numFmtId="0" fontId="118" fillId="0" borderId="55" xfId="0" applyFont="1" applyBorder="1"/>
    <xf numFmtId="0" fontId="118" fillId="0" borderId="11" xfId="0" applyFont="1" applyBorder="1" applyAlignment="1">
      <alignment horizontal="center" vertical="center" wrapText="1"/>
    </xf>
    <xf numFmtId="0" fontId="118" fillId="0" borderId="1" xfId="0" applyFont="1" applyBorder="1" applyAlignment="1">
      <alignment horizontal="center" vertical="center" wrapText="1"/>
    </xf>
    <xf numFmtId="10" fontId="118" fillId="0" borderId="1" xfId="0" applyNumberFormat="1" applyFont="1" applyBorder="1" applyAlignment="1">
      <alignment horizontal="center" vertical="center" wrapText="1"/>
    </xf>
    <xf numFmtId="9" fontId="117" fillId="0" borderId="1" xfId="0" applyNumberFormat="1" applyFont="1" applyBorder="1" applyAlignment="1">
      <alignment horizontal="center" vertical="center" wrapText="1"/>
    </xf>
    <xf numFmtId="9" fontId="117" fillId="0" borderId="0" xfId="0" applyNumberFormat="1" applyFont="1" applyAlignment="1">
      <alignment horizontal="center" vertical="center" wrapText="1"/>
    </xf>
    <xf numFmtId="0" fontId="117" fillId="0" borderId="15" xfId="0" applyFont="1" applyBorder="1" applyAlignment="1">
      <alignment horizontal="center" vertical="center" wrapText="1"/>
    </xf>
    <xf numFmtId="214" fontId="118" fillId="0" borderId="1" xfId="0" applyNumberFormat="1" applyFont="1" applyBorder="1" applyAlignment="1">
      <alignment horizontal="center" vertical="center" wrapText="1"/>
    </xf>
    <xf numFmtId="175" fontId="118" fillId="0" borderId="1" xfId="0" applyNumberFormat="1" applyFont="1" applyBorder="1" applyAlignment="1">
      <alignment horizontal="center" vertical="center" wrapText="1"/>
    </xf>
    <xf numFmtId="175" fontId="118" fillId="0" borderId="15" xfId="0" applyNumberFormat="1" applyFont="1" applyBorder="1" applyAlignment="1">
      <alignment horizontal="center" vertical="center" wrapText="1"/>
    </xf>
    <xf numFmtId="0" fontId="118" fillId="0" borderId="62" xfId="0" applyFont="1" applyBorder="1" applyAlignment="1">
      <alignment vertical="center" wrapText="1"/>
    </xf>
    <xf numFmtId="0" fontId="118" fillId="0" borderId="32" xfId="0" applyFont="1" applyBorder="1" applyAlignment="1">
      <alignment vertical="center" wrapText="1"/>
    </xf>
    <xf numFmtId="0" fontId="118" fillId="0" borderId="33" xfId="0" applyFont="1" applyBorder="1" applyAlignment="1">
      <alignment vertical="center" wrapText="1"/>
    </xf>
    <xf numFmtId="175" fontId="118" fillId="0" borderId="13" xfId="0" applyNumberFormat="1" applyFont="1" applyBorder="1" applyAlignment="1">
      <alignment horizontal="center" vertical="center" wrapText="1"/>
    </xf>
    <xf numFmtId="175" fontId="118" fillId="0" borderId="16" xfId="0" applyNumberFormat="1" applyFont="1" applyBorder="1" applyAlignment="1">
      <alignment horizontal="center" vertical="center" wrapText="1"/>
    </xf>
    <xf numFmtId="175" fontId="118" fillId="9" borderId="0" xfId="0" applyNumberFormat="1" applyFont="1" applyFill="1" applyAlignment="1">
      <alignment horizontal="center" vertical="center" wrapText="1"/>
    </xf>
    <xf numFmtId="175" fontId="118" fillId="9" borderId="55" xfId="0" applyNumberFormat="1" applyFont="1" applyFill="1" applyBorder="1" applyAlignment="1">
      <alignment horizontal="center" vertical="center" wrapText="1"/>
    </xf>
    <xf numFmtId="214" fontId="117" fillId="0" borderId="56" xfId="0" applyNumberFormat="1" applyFont="1" applyBorder="1" applyAlignment="1">
      <alignment horizontal="center" vertical="center" wrapText="1"/>
    </xf>
    <xf numFmtId="175" fontId="117" fillId="0" borderId="56" xfId="0" applyNumberFormat="1" applyFont="1" applyBorder="1" applyAlignment="1">
      <alignment horizontal="center" vertical="center" wrapText="1"/>
    </xf>
    <xf numFmtId="175" fontId="117" fillId="0" borderId="26" xfId="0" applyNumberFormat="1" applyFont="1" applyBorder="1" applyAlignment="1">
      <alignment horizontal="center" vertical="center" wrapText="1"/>
    </xf>
    <xf numFmtId="214" fontId="118" fillId="0" borderId="9" xfId="0" applyNumberFormat="1" applyFont="1" applyBorder="1" applyAlignment="1">
      <alignment horizontal="center" vertical="center" wrapText="1"/>
    </xf>
    <xf numFmtId="175" fontId="118" fillId="0" borderId="9" xfId="0" applyNumberFormat="1" applyFont="1" applyBorder="1" applyAlignment="1">
      <alignment horizontal="center" vertical="center" wrapText="1"/>
    </xf>
    <xf numFmtId="175" fontId="118" fillId="0" borderId="23" xfId="0" applyNumberFormat="1" applyFont="1" applyBorder="1" applyAlignment="1">
      <alignment horizontal="center" vertical="center" wrapText="1"/>
    </xf>
    <xf numFmtId="214" fontId="118" fillId="0" borderId="13" xfId="0" applyNumberFormat="1" applyFont="1" applyBorder="1" applyAlignment="1">
      <alignment horizontal="center" vertical="center" wrapText="1"/>
    </xf>
    <xf numFmtId="0" fontId="118" fillId="9" borderId="54" xfId="0" applyFont="1" applyFill="1" applyBorder="1" applyAlignment="1">
      <alignment horizontal="left" vertical="center" wrapText="1"/>
    </xf>
    <xf numFmtId="0" fontId="118" fillId="9" borderId="0" xfId="0" applyFont="1" applyFill="1" applyAlignment="1">
      <alignment horizontal="left" vertical="center" wrapText="1"/>
    </xf>
    <xf numFmtId="175" fontId="119" fillId="9" borderId="0" xfId="0" applyNumberFormat="1" applyFont="1" applyFill="1" applyAlignment="1">
      <alignment horizontal="center" vertical="center" wrapText="1"/>
    </xf>
    <xf numFmtId="214" fontId="118" fillId="9" borderId="0" xfId="0" applyNumberFormat="1" applyFont="1" applyFill="1" applyAlignment="1">
      <alignment horizontal="center" vertical="center" wrapText="1"/>
    </xf>
    <xf numFmtId="0" fontId="117" fillId="9" borderId="54" xfId="0" applyFont="1" applyFill="1" applyBorder="1" applyAlignment="1">
      <alignment horizontal="center" vertical="center" wrapText="1"/>
    </xf>
    <xf numFmtId="0" fontId="117" fillId="9" borderId="0" xfId="0" applyFont="1" applyFill="1" applyAlignment="1">
      <alignment horizontal="center" vertical="center" wrapText="1"/>
    </xf>
    <xf numFmtId="214" fontId="117" fillId="9" borderId="0" xfId="0" applyNumberFormat="1" applyFont="1" applyFill="1" applyAlignment="1">
      <alignment horizontal="center" vertical="center" wrapText="1"/>
    </xf>
    <xf numFmtId="175" fontId="117" fillId="9" borderId="0" xfId="0" applyNumberFormat="1" applyFont="1" applyFill="1" applyAlignment="1">
      <alignment horizontal="center" vertical="center" wrapText="1"/>
    </xf>
    <xf numFmtId="175" fontId="117" fillId="9" borderId="55" xfId="0" applyNumberFormat="1" applyFont="1" applyFill="1" applyBorder="1" applyAlignment="1">
      <alignment horizontal="center" vertical="center" wrapText="1"/>
    </xf>
    <xf numFmtId="175" fontId="117" fillId="0" borderId="9" xfId="0" applyNumberFormat="1" applyFont="1" applyBorder="1" applyAlignment="1">
      <alignment horizontal="center" vertical="center" wrapText="1"/>
    </xf>
    <xf numFmtId="175" fontId="117" fillId="0" borderId="23" xfId="0" applyNumberFormat="1" applyFont="1" applyBorder="1" applyAlignment="1">
      <alignment horizontal="center" vertical="center" wrapText="1"/>
    </xf>
    <xf numFmtId="175" fontId="117" fillId="0" borderId="1" xfId="0" applyNumberFormat="1" applyFont="1" applyBorder="1" applyAlignment="1">
      <alignment horizontal="center" vertical="center" wrapText="1"/>
    </xf>
    <xf numFmtId="175" fontId="117" fillId="0" borderId="15" xfId="0" applyNumberFormat="1" applyFont="1" applyBorder="1" applyAlignment="1">
      <alignment horizontal="center" vertical="center" wrapText="1"/>
    </xf>
    <xf numFmtId="175" fontId="117" fillId="0" borderId="13" xfId="0" applyNumberFormat="1" applyFont="1" applyBorder="1" applyAlignment="1">
      <alignment horizontal="center" vertical="center" wrapText="1"/>
    </xf>
    <xf numFmtId="175" fontId="117" fillId="0" borderId="16" xfId="0" applyNumberFormat="1" applyFont="1" applyBorder="1" applyAlignment="1">
      <alignment horizontal="center" vertical="center" wrapText="1"/>
    </xf>
    <xf numFmtId="214" fontId="119" fillId="9" borderId="0" xfId="0" applyNumberFormat="1" applyFont="1" applyFill="1" applyAlignment="1">
      <alignment horizontal="center" vertical="center" wrapText="1"/>
    </xf>
    <xf numFmtId="175" fontId="118" fillId="0" borderId="0" xfId="0" applyNumberFormat="1" applyFont="1"/>
    <xf numFmtId="3" fontId="118" fillId="0" borderId="0" xfId="0" applyNumberFormat="1" applyFont="1"/>
    <xf numFmtId="198" fontId="117" fillId="0" borderId="56" xfId="0" applyNumberFormat="1" applyFont="1" applyBorder="1" applyAlignment="1">
      <alignment horizontal="center" vertical="center" wrapText="1"/>
    </xf>
    <xf numFmtId="214" fontId="118" fillId="0" borderId="0" xfId="0" applyNumberFormat="1" applyFont="1" applyFill="1" applyAlignment="1">
      <alignment horizontal="center" vertical="center" wrapText="1"/>
    </xf>
    <xf numFmtId="10" fontId="118" fillId="0" borderId="9" xfId="15" applyNumberFormat="1" applyFont="1" applyBorder="1" applyAlignment="1">
      <alignment horizontal="center" vertical="center" wrapText="1"/>
    </xf>
    <xf numFmtId="164" fontId="30" fillId="0" borderId="0" xfId="29" applyFont="1"/>
    <xf numFmtId="164" fontId="0" fillId="0" borderId="0" xfId="29" applyFont="1"/>
    <xf numFmtId="0" fontId="122" fillId="0" borderId="0" xfId="51" applyFont="1"/>
    <xf numFmtId="0" fontId="120" fillId="0" borderId="1" xfId="51" applyFont="1" applyBorder="1" applyAlignment="1">
      <alignment wrapText="1"/>
    </xf>
    <xf numFmtId="0" fontId="120" fillId="0" borderId="19" xfId="51" applyFont="1" applyBorder="1" applyAlignment="1">
      <alignment wrapText="1"/>
    </xf>
    <xf numFmtId="0" fontId="120" fillId="0" borderId="0" xfId="51" applyFont="1" applyAlignment="1">
      <alignment wrapText="1"/>
    </xf>
    <xf numFmtId="0" fontId="120" fillId="0" borderId="40" xfId="51" applyFont="1" applyBorder="1" applyAlignment="1">
      <alignment wrapText="1"/>
    </xf>
    <xf numFmtId="0" fontId="121" fillId="0" borderId="1" xfId="51" applyFont="1" applyBorder="1" applyAlignment="1">
      <alignment horizontal="center" vertical="top" wrapText="1"/>
    </xf>
    <xf numFmtId="215" fontId="120" fillId="0" borderId="1" xfId="52" applyNumberFormat="1" applyFont="1" applyBorder="1" applyAlignment="1">
      <alignment horizontal="center" vertical="top" wrapText="1"/>
    </xf>
    <xf numFmtId="215" fontId="120" fillId="2" borderId="1" xfId="52" applyNumberFormat="1" applyFont="1" applyFill="1" applyBorder="1" applyAlignment="1">
      <alignment horizontal="center" vertical="top" wrapText="1"/>
    </xf>
    <xf numFmtId="215" fontId="120" fillId="0" borderId="1" xfId="52" applyNumberFormat="1" applyFont="1" applyBorder="1" applyAlignment="1">
      <alignment wrapText="1"/>
    </xf>
    <xf numFmtId="215" fontId="120" fillId="0" borderId="1" xfId="52" applyNumberFormat="1" applyFont="1" applyBorder="1" applyAlignment="1">
      <alignment vertical="top" wrapText="1"/>
    </xf>
    <xf numFmtId="215" fontId="120" fillId="2" borderId="1" xfId="52" applyNumberFormat="1" applyFont="1" applyFill="1" applyBorder="1" applyAlignment="1">
      <alignment vertical="top" wrapText="1"/>
    </xf>
    <xf numFmtId="0" fontId="120" fillId="0" borderId="0" xfId="51" applyFont="1" applyAlignment="1">
      <alignment vertical="top" wrapText="1"/>
    </xf>
    <xf numFmtId="0" fontId="120" fillId="0" borderId="0" xfId="51" applyFont="1" applyAlignment="1">
      <alignment horizontal="center" vertical="top" wrapText="1"/>
    </xf>
    <xf numFmtId="0" fontId="120" fillId="0" borderId="1" xfId="51" applyFont="1" applyBorder="1" applyAlignment="1">
      <alignment horizontal="center" vertical="top" wrapText="1"/>
    </xf>
    <xf numFmtId="0" fontId="120" fillId="0" borderId="1" xfId="51" applyFont="1" applyBorder="1" applyAlignment="1">
      <alignment horizontal="center" wrapText="1"/>
    </xf>
    <xf numFmtId="0" fontId="121" fillId="0" borderId="1" xfId="51" applyFont="1" applyBorder="1" applyAlignment="1">
      <alignment horizontal="center" vertical="center" wrapText="1"/>
    </xf>
    <xf numFmtId="0" fontId="122" fillId="0" borderId="0" xfId="51" applyFont="1" applyAlignment="1">
      <alignment vertical="center"/>
    </xf>
    <xf numFmtId="0" fontId="120" fillId="2" borderId="1" xfId="51" applyFont="1" applyFill="1" applyBorder="1" applyAlignment="1">
      <alignment horizontal="center" vertical="top" wrapText="1"/>
    </xf>
    <xf numFmtId="0" fontId="120" fillId="0" borderId="1" xfId="51" applyFont="1" applyBorder="1"/>
    <xf numFmtId="0" fontId="124" fillId="0" borderId="1" xfId="51" applyFont="1" applyBorder="1"/>
    <xf numFmtId="0" fontId="120" fillId="0" borderId="19" xfId="51" applyFont="1" applyBorder="1"/>
    <xf numFmtId="0" fontId="120" fillId="0" borderId="0" xfId="51" applyFont="1"/>
    <xf numFmtId="0" fontId="120" fillId="0" borderId="38" xfId="51" applyFont="1" applyBorder="1" applyAlignment="1">
      <alignment horizontal="center" wrapText="1"/>
    </xf>
    <xf numFmtId="0" fontId="90" fillId="0" borderId="73" xfId="51" applyFont="1" applyBorder="1" applyAlignment="1">
      <alignment horizontal="center" wrapText="1"/>
    </xf>
    <xf numFmtId="0" fontId="120" fillId="0" borderId="72" xfId="51" applyFont="1" applyBorder="1" applyAlignment="1">
      <alignment wrapText="1"/>
    </xf>
    <xf numFmtId="0" fontId="120" fillId="0" borderId="29" xfId="51" applyFont="1" applyBorder="1" applyAlignment="1">
      <alignment wrapText="1"/>
    </xf>
    <xf numFmtId="0" fontId="120" fillId="0" borderId="38" xfId="51" applyFont="1" applyBorder="1" applyAlignment="1">
      <alignment wrapText="1"/>
    </xf>
    <xf numFmtId="0" fontId="120" fillId="0" borderId="73" xfId="51" applyFont="1" applyBorder="1" applyAlignment="1">
      <alignment wrapText="1"/>
    </xf>
    <xf numFmtId="0" fontId="120" fillId="0" borderId="75" xfId="51" applyFont="1" applyBorder="1" applyAlignment="1">
      <alignment horizontal="center" wrapText="1"/>
    </xf>
    <xf numFmtId="0" fontId="120" fillId="0" borderId="73" xfId="51" applyFont="1" applyBorder="1" applyAlignment="1">
      <alignment horizontal="center" wrapText="1"/>
    </xf>
    <xf numFmtId="0" fontId="120" fillId="0" borderId="60" xfId="51" applyFont="1" applyBorder="1" applyAlignment="1">
      <alignment wrapText="1"/>
    </xf>
    <xf numFmtId="0" fontId="126" fillId="0" borderId="73" xfId="51" applyFont="1" applyBorder="1" applyAlignment="1">
      <alignment horizontal="center" wrapText="1"/>
    </xf>
    <xf numFmtId="0" fontId="126" fillId="0" borderId="73" xfId="51" applyFont="1" applyBorder="1" applyAlignment="1">
      <alignment horizontal="center" vertical="center" wrapText="1"/>
    </xf>
    <xf numFmtId="3" fontId="126" fillId="0" borderId="73" xfId="51" applyNumberFormat="1" applyFont="1" applyBorder="1" applyAlignment="1">
      <alignment horizontal="center" vertical="center" wrapText="1"/>
    </xf>
    <xf numFmtId="0" fontId="120" fillId="0" borderId="60" xfId="51" applyFont="1" applyBorder="1" applyAlignment="1">
      <alignment horizontal="center" vertical="center" wrapText="1"/>
    </xf>
    <xf numFmtId="0" fontId="120" fillId="0" borderId="60" xfId="51" applyFont="1" applyBorder="1" applyAlignment="1">
      <alignment horizontal="center" wrapText="1"/>
    </xf>
    <xf numFmtId="0" fontId="127" fillId="0" borderId="73" xfId="51" applyFont="1" applyBorder="1" applyAlignment="1">
      <alignment horizontal="center" wrapText="1"/>
    </xf>
    <xf numFmtId="0" fontId="90" fillId="0" borderId="73" xfId="51" applyFont="1" applyBorder="1" applyAlignment="1">
      <alignment horizontal="center" vertical="center" wrapText="1"/>
    </xf>
    <xf numFmtId="3" fontId="90" fillId="0" borderId="73" xfId="51" applyNumberFormat="1" applyFont="1" applyBorder="1" applyAlignment="1">
      <alignment horizontal="center" vertical="center" wrapText="1"/>
    </xf>
    <xf numFmtId="0" fontId="127" fillId="0" borderId="73" xfId="51" applyFont="1" applyBorder="1" applyAlignment="1">
      <alignment horizontal="center" vertical="center" wrapText="1"/>
    </xf>
    <xf numFmtId="0" fontId="120" fillId="0" borderId="73" xfId="51" applyFont="1" applyBorder="1" applyAlignment="1">
      <alignment horizontal="center" vertical="top" wrapText="1"/>
    </xf>
    <xf numFmtId="0" fontId="120" fillId="0" borderId="73" xfId="51" applyFont="1" applyBorder="1" applyAlignment="1">
      <alignment horizontal="center" vertical="center" wrapText="1"/>
    </xf>
    <xf numFmtId="0" fontId="120" fillId="0" borderId="73" xfId="51" applyFont="1" applyBorder="1" applyAlignment="1">
      <alignment horizontal="left" vertical="top" wrapText="1" indent="2"/>
    </xf>
    <xf numFmtId="0" fontId="120" fillId="9" borderId="73" xfId="51" applyFont="1" applyFill="1" applyBorder="1" applyAlignment="1">
      <alignment horizontal="center" vertical="center" wrapText="1"/>
    </xf>
    <xf numFmtId="0" fontId="120" fillId="9" borderId="73" xfId="51" applyFont="1" applyFill="1" applyBorder="1" applyAlignment="1">
      <alignment horizontal="center" vertical="center"/>
    </xf>
    <xf numFmtId="0" fontId="120" fillId="0" borderId="73" xfId="51" applyFont="1" applyBorder="1" applyAlignment="1">
      <alignment horizontal="center" vertical="top"/>
    </xf>
    <xf numFmtId="0" fontId="124" fillId="0" borderId="73" xfId="51" applyFont="1" applyBorder="1" applyAlignment="1">
      <alignment horizontal="center" vertical="center" wrapText="1"/>
    </xf>
    <xf numFmtId="0" fontId="120" fillId="0" borderId="73" xfId="51" applyFont="1" applyBorder="1" applyAlignment="1">
      <alignment horizontal="center" vertical="center"/>
    </xf>
    <xf numFmtId="0" fontId="125" fillId="0" borderId="1" xfId="51" applyFont="1" applyBorder="1" applyAlignment="1">
      <alignment horizontal="center" wrapText="1"/>
    </xf>
    <xf numFmtId="0" fontId="120" fillId="0" borderId="1" xfId="51" applyFont="1" applyBorder="1" applyAlignment="1">
      <alignment horizontal="center" vertical="center" wrapText="1"/>
    </xf>
    <xf numFmtId="0" fontId="123" fillId="0" borderId="1" xfId="51" applyFont="1" applyBorder="1"/>
    <xf numFmtId="0" fontId="107" fillId="0" borderId="1" xfId="51" applyFont="1" applyBorder="1" applyAlignment="1">
      <alignment horizontal="center" vertical="center"/>
    </xf>
    <xf numFmtId="0" fontId="125" fillId="0" borderId="1" xfId="51" applyFont="1" applyBorder="1" applyAlignment="1">
      <alignment horizontal="center" vertical="center" wrapText="1"/>
    </xf>
    <xf numFmtId="0" fontId="123" fillId="0" borderId="1" xfId="51" applyFont="1" applyBorder="1" applyAlignment="1">
      <alignment horizontal="center" vertical="center"/>
    </xf>
    <xf numFmtId="0" fontId="128" fillId="0" borderId="7" xfId="51" applyFont="1" applyBorder="1" applyAlignment="1">
      <alignment vertical="center" wrapText="1"/>
    </xf>
    <xf numFmtId="0" fontId="125" fillId="0" borderId="7" xfId="51" applyFont="1" applyBorder="1" applyAlignment="1">
      <alignment horizontal="center" vertical="center" wrapText="1"/>
    </xf>
    <xf numFmtId="0" fontId="125" fillId="0" borderId="7" xfId="51" applyFont="1" applyBorder="1" applyAlignment="1">
      <alignment vertical="center" wrapText="1"/>
    </xf>
    <xf numFmtId="0" fontId="120" fillId="0" borderId="40" xfId="51" applyFont="1" applyBorder="1" applyAlignment="1">
      <alignment horizontal="center" vertical="top" wrapText="1"/>
    </xf>
    <xf numFmtId="0" fontId="125" fillId="0" borderId="1" xfId="51" applyFont="1" applyBorder="1" applyAlignment="1">
      <alignment horizontal="left" vertical="center" wrapText="1"/>
    </xf>
    <xf numFmtId="0" fontId="125" fillId="0" borderId="1" xfId="51" applyFont="1" applyBorder="1" applyAlignment="1">
      <alignment vertical="center" wrapText="1"/>
    </xf>
    <xf numFmtId="0" fontId="120" fillId="0" borderId="40" xfId="51" applyFont="1" applyBorder="1"/>
    <xf numFmtId="0" fontId="120" fillId="0" borderId="73" xfId="51" applyFont="1" applyBorder="1" applyAlignment="1">
      <alignment horizontal="center"/>
    </xf>
    <xf numFmtId="0" fontId="120" fillId="0" borderId="73" xfId="51" applyFont="1" applyBorder="1"/>
    <xf numFmtId="0" fontId="120" fillId="0" borderId="69" xfId="51" applyFont="1" applyBorder="1" applyAlignment="1">
      <alignment horizontal="center" vertical="top" wrapText="1"/>
    </xf>
    <xf numFmtId="1" fontId="120" fillId="0" borderId="1" xfId="52" applyNumberFormat="1" applyFont="1" applyBorder="1" applyAlignment="1">
      <alignment horizontal="center" vertical="top" wrapText="1"/>
    </xf>
    <xf numFmtId="173" fontId="120" fillId="0" borderId="73" xfId="53" applyNumberFormat="1" applyFont="1" applyBorder="1" applyAlignment="1">
      <alignment horizontal="center"/>
    </xf>
    <xf numFmtId="1" fontId="120" fillId="0" borderId="73" xfId="51" applyNumberFormat="1" applyFont="1" applyBorder="1" applyAlignment="1">
      <alignment horizontal="center" vertical="center"/>
    </xf>
    <xf numFmtId="0" fontId="120" fillId="0" borderId="69" xfId="51" applyFont="1" applyBorder="1"/>
    <xf numFmtId="2" fontId="120" fillId="0" borderId="69" xfId="51" applyNumberFormat="1" applyFont="1" applyBorder="1" applyAlignment="1">
      <alignment horizontal="center"/>
    </xf>
    <xf numFmtId="1" fontId="120" fillId="0" borderId="69" xfId="51" applyNumberFormat="1" applyFont="1" applyBorder="1" applyAlignment="1">
      <alignment horizontal="center"/>
    </xf>
    <xf numFmtId="0" fontId="120" fillId="0" borderId="55" xfId="51" applyFont="1" applyBorder="1" applyAlignment="1">
      <alignment horizontal="center" vertical="top" wrapText="1"/>
    </xf>
    <xf numFmtId="0" fontId="120" fillId="0" borderId="55" xfId="51" applyFont="1" applyBorder="1" applyAlignment="1">
      <alignment horizontal="center"/>
    </xf>
    <xf numFmtId="0" fontId="120" fillId="0" borderId="69" xfId="51" applyFont="1" applyBorder="1" applyAlignment="1">
      <alignment horizontal="center"/>
    </xf>
    <xf numFmtId="0" fontId="120" fillId="0" borderId="69" xfId="51" applyFont="1" applyBorder="1" applyAlignment="1">
      <alignment horizontal="center" vertical="center"/>
    </xf>
    <xf numFmtId="0" fontId="123" fillId="0" borderId="19" xfId="51" applyFont="1" applyBorder="1"/>
    <xf numFmtId="0" fontId="128" fillId="0" borderId="1" xfId="51" applyFont="1" applyBorder="1" applyAlignment="1">
      <alignment horizontal="center" vertical="top" wrapText="1"/>
    </xf>
    <xf numFmtId="0" fontId="123" fillId="0" borderId="0" xfId="51" applyFont="1"/>
    <xf numFmtId="0" fontId="125" fillId="0" borderId="1" xfId="51" applyFont="1" applyBorder="1" applyAlignment="1">
      <alignment wrapText="1"/>
    </xf>
    <xf numFmtId="0" fontId="123" fillId="0" borderId="1" xfId="51" applyFont="1" applyBorder="1" applyAlignment="1">
      <alignment wrapText="1"/>
    </xf>
    <xf numFmtId="0" fontId="128" fillId="0" borderId="9" xfId="51" applyFont="1" applyBorder="1" applyAlignment="1">
      <alignment horizontal="center" vertical="center" wrapText="1"/>
    </xf>
    <xf numFmtId="0" fontId="123" fillId="0" borderId="1" xfId="51" applyFont="1" applyBorder="1" applyAlignment="1">
      <alignment horizontal="center"/>
    </xf>
    <xf numFmtId="0" fontId="125" fillId="0" borderId="7" xfId="51" applyFont="1" applyBorder="1" applyAlignment="1">
      <alignment horizontal="center" wrapText="1"/>
    </xf>
    <xf numFmtId="0" fontId="123" fillId="0" borderId="13" xfId="51" applyFont="1" applyBorder="1" applyAlignment="1">
      <alignment horizontal="center"/>
    </xf>
    <xf numFmtId="0" fontId="120" fillId="0" borderId="19" xfId="51" applyFont="1" applyBorder="1" applyAlignment="1">
      <alignment vertical="top" wrapText="1"/>
    </xf>
    <xf numFmtId="0" fontId="120" fillId="0" borderId="78" xfId="51" applyFont="1" applyBorder="1" applyAlignment="1">
      <alignment vertical="top" wrapText="1"/>
    </xf>
    <xf numFmtId="0" fontId="120" fillId="0" borderId="42" xfId="51" applyFont="1" applyBorder="1" applyAlignment="1">
      <alignment vertical="top" wrapText="1"/>
    </xf>
    <xf numFmtId="0" fontId="120" fillId="0" borderId="42" xfId="51" applyFont="1" applyBorder="1"/>
    <xf numFmtId="0" fontId="120" fillId="0" borderId="42" xfId="51" applyFont="1" applyBorder="1" applyAlignment="1">
      <alignment wrapText="1"/>
    </xf>
    <xf numFmtId="0" fontId="121" fillId="0" borderId="38" xfId="51" applyFont="1" applyBorder="1" applyAlignment="1">
      <alignment horizontal="center" vertical="center"/>
    </xf>
    <xf numFmtId="0" fontId="121" fillId="0" borderId="30" xfId="51" applyFont="1" applyBorder="1" applyAlignment="1">
      <alignment horizontal="center" vertical="center"/>
    </xf>
    <xf numFmtId="0" fontId="121" fillId="42" borderId="28" xfId="51" applyFont="1" applyFill="1" applyBorder="1" applyAlignment="1">
      <alignment vertical="center"/>
    </xf>
    <xf numFmtId="0" fontId="121" fillId="42" borderId="29" xfId="51" applyFont="1" applyFill="1" applyBorder="1" applyAlignment="1">
      <alignment vertical="center"/>
    </xf>
    <xf numFmtId="0" fontId="116" fillId="42" borderId="29" xfId="51" applyFont="1" applyFill="1" applyBorder="1" applyAlignment="1">
      <alignment vertical="center"/>
    </xf>
    <xf numFmtId="0" fontId="116" fillId="42" borderId="38" xfId="51" applyFont="1" applyFill="1" applyBorder="1" applyAlignment="1">
      <alignment vertical="center"/>
    </xf>
    <xf numFmtId="0" fontId="132" fillId="0" borderId="0" xfId="51" applyFont="1"/>
    <xf numFmtId="0" fontId="121" fillId="0" borderId="82" xfId="51" applyFont="1" applyBorder="1" applyAlignment="1">
      <alignment horizontal="center"/>
    </xf>
    <xf numFmtId="0" fontId="121" fillId="0" borderId="83" xfId="51" applyFont="1" applyBorder="1" applyAlignment="1">
      <alignment horizontal="center"/>
    </xf>
    <xf numFmtId="168" fontId="121" fillId="0" borderId="69" xfId="51" applyNumberFormat="1" applyFont="1" applyBorder="1" applyAlignment="1">
      <alignment horizontal="center"/>
    </xf>
    <xf numFmtId="0" fontId="121" fillId="0" borderId="81" xfId="51" applyFont="1" applyBorder="1" applyAlignment="1">
      <alignment horizontal="center"/>
    </xf>
    <xf numFmtId="0" fontId="121" fillId="0" borderId="79" xfId="51" applyFont="1" applyBorder="1" applyAlignment="1">
      <alignment horizontal="center"/>
    </xf>
    <xf numFmtId="0" fontId="120" fillId="22" borderId="28" xfId="51" applyFont="1" applyFill="1" applyBorder="1" applyAlignment="1">
      <alignment horizontal="left" vertical="center" wrapText="1"/>
    </xf>
    <xf numFmtId="0" fontId="120" fillId="22" borderId="38" xfId="51" applyFont="1" applyFill="1" applyBorder="1" applyAlignment="1">
      <alignment horizontal="left" vertical="center" wrapText="1"/>
    </xf>
    <xf numFmtId="0" fontId="121" fillId="0" borderId="73" xfId="51" applyFont="1" applyBorder="1" applyAlignment="1">
      <alignment horizontal="center"/>
    </xf>
    <xf numFmtId="0" fontId="121" fillId="0" borderId="73" xfId="51" applyFont="1" applyBorder="1" applyAlignment="1">
      <alignment horizontal="center" vertical="center"/>
    </xf>
    <xf numFmtId="168" fontId="121" fillId="0" borderId="69" xfId="51" applyNumberFormat="1" applyFont="1" applyBorder="1" applyAlignment="1">
      <alignment horizontal="center" vertical="center"/>
    </xf>
    <xf numFmtId="1" fontId="121" fillId="0" borderId="73" xfId="53" applyNumberFormat="1" applyFont="1" applyBorder="1" applyAlignment="1">
      <alignment horizontal="center" vertical="center"/>
    </xf>
    <xf numFmtId="1" fontId="121" fillId="0" borderId="73" xfId="51" applyNumberFormat="1" applyFont="1" applyBorder="1" applyAlignment="1">
      <alignment horizontal="center" vertical="center"/>
    </xf>
    <xf numFmtId="217" fontId="121" fillId="0" borderId="69" xfId="51" applyNumberFormat="1" applyFont="1" applyBorder="1" applyAlignment="1">
      <alignment horizontal="center" vertical="center"/>
    </xf>
    <xf numFmtId="0" fontId="121" fillId="9" borderId="29" xfId="51" applyFont="1" applyFill="1" applyBorder="1" applyAlignment="1">
      <alignment horizontal="left" vertical="center" wrapText="1"/>
    </xf>
    <xf numFmtId="0" fontId="121" fillId="9" borderId="42" xfId="51" applyFont="1" applyFill="1" applyBorder="1" applyAlignment="1">
      <alignment horizontal="center" vertical="center"/>
    </xf>
    <xf numFmtId="217" fontId="121" fillId="9" borderId="29" xfId="51" applyNumberFormat="1" applyFont="1" applyFill="1" applyBorder="1" applyAlignment="1">
      <alignment horizontal="center" vertical="center"/>
    </xf>
    <xf numFmtId="0" fontId="121" fillId="9" borderId="29" xfId="51" applyFont="1" applyFill="1" applyBorder="1" applyAlignment="1">
      <alignment horizontal="center"/>
    </xf>
    <xf numFmtId="0" fontId="121" fillId="9" borderId="42" xfId="51" applyFont="1" applyFill="1" applyBorder="1" applyAlignment="1">
      <alignment horizontal="center"/>
    </xf>
    <xf numFmtId="0" fontId="123" fillId="0" borderId="28" xfId="51" applyFont="1" applyBorder="1" applyAlignment="1">
      <alignment horizontal="center"/>
    </xf>
    <xf numFmtId="0" fontId="123" fillId="0" borderId="38" xfId="51" applyFont="1" applyBorder="1" applyAlignment="1">
      <alignment horizontal="center"/>
    </xf>
    <xf numFmtId="0" fontId="120" fillId="22" borderId="72" xfId="51" applyFont="1" applyFill="1" applyBorder="1" applyAlignment="1">
      <alignment horizontal="left" vertical="center" wrapText="1"/>
    </xf>
    <xf numFmtId="0" fontId="120" fillId="22" borderId="29" xfId="51" applyFont="1" applyFill="1" applyBorder="1" applyAlignment="1">
      <alignment horizontal="left" vertical="center" wrapText="1"/>
    </xf>
    <xf numFmtId="0" fontId="121" fillId="0" borderId="69" xfId="51" applyFont="1" applyBorder="1" applyAlignment="1">
      <alignment horizontal="center"/>
    </xf>
    <xf numFmtId="0" fontId="121" fillId="0" borderId="38" xfId="51" applyFont="1" applyBorder="1" applyAlignment="1">
      <alignment horizontal="center"/>
    </xf>
    <xf numFmtId="0" fontId="121" fillId="22" borderId="38" xfId="51" applyFont="1" applyFill="1" applyBorder="1" applyAlignment="1">
      <alignment horizontal="center" vertical="center" wrapText="1"/>
    </xf>
    <xf numFmtId="0" fontId="121" fillId="22" borderId="38" xfId="51" applyFont="1" applyFill="1" applyBorder="1" applyAlignment="1">
      <alignment horizontal="left" vertical="center" wrapText="1"/>
    </xf>
    <xf numFmtId="169" fontId="133" fillId="0" borderId="69" xfId="51" applyNumberFormat="1" applyFont="1" applyBorder="1" applyAlignment="1">
      <alignment horizontal="center"/>
    </xf>
    <xf numFmtId="168" fontId="121" fillId="0" borderId="28" xfId="51" applyNumberFormat="1" applyFont="1" applyBorder="1" applyAlignment="1">
      <alignment horizontal="center"/>
    </xf>
    <xf numFmtId="168" fontId="121" fillId="0" borderId="79" xfId="51" applyNumberFormat="1" applyFont="1" applyBorder="1" applyAlignment="1">
      <alignment horizontal="center"/>
    </xf>
    <xf numFmtId="0" fontId="121" fillId="0" borderId="28" xfId="51" applyFont="1" applyBorder="1" applyAlignment="1">
      <alignment horizontal="center"/>
    </xf>
    <xf numFmtId="165" fontId="120" fillId="0" borderId="0" xfId="51" applyNumberFormat="1" applyFont="1"/>
    <xf numFmtId="166" fontId="120" fillId="0" borderId="40" xfId="55" applyFont="1" applyBorder="1"/>
    <xf numFmtId="0" fontId="121" fillId="0" borderId="38" xfId="51" applyFont="1" applyBorder="1" applyAlignment="1">
      <alignment horizontal="center" vertical="center" wrapText="1"/>
    </xf>
    <xf numFmtId="0" fontId="120" fillId="0" borderId="74" xfId="51" applyFont="1" applyBorder="1"/>
    <xf numFmtId="0" fontId="120" fillId="0" borderId="77" xfId="51" applyFont="1" applyBorder="1"/>
    <xf numFmtId="0" fontId="121" fillId="0" borderId="38" xfId="51" applyFont="1" applyBorder="1" applyAlignment="1">
      <alignment horizontal="center" wrapText="1"/>
    </xf>
    <xf numFmtId="0" fontId="121" fillId="0" borderId="40" xfId="51" applyFont="1" applyBorder="1" applyAlignment="1">
      <alignment wrapText="1"/>
    </xf>
    <xf numFmtId="0" fontId="121" fillId="0" borderId="73" xfId="51" applyFont="1" applyBorder="1" applyAlignment="1">
      <alignment wrapText="1"/>
    </xf>
    <xf numFmtId="0" fontId="121" fillId="0" borderId="73" xfId="51" applyFont="1" applyBorder="1" applyAlignment="1">
      <alignment horizontal="center" wrapText="1"/>
    </xf>
    <xf numFmtId="0" fontId="121" fillId="0" borderId="40" xfId="51" applyFont="1" applyBorder="1" applyAlignment="1">
      <alignment horizontal="center"/>
    </xf>
    <xf numFmtId="0" fontId="121" fillId="0" borderId="30" xfId="51" applyFont="1" applyBorder="1" applyAlignment="1">
      <alignment horizontal="center"/>
    </xf>
    <xf numFmtId="0" fontId="120" fillId="0" borderId="19" xfId="51" applyFont="1" applyBorder="1" applyAlignment="1">
      <alignment horizontal="center" wrapText="1"/>
    </xf>
    <xf numFmtId="0" fontId="134" fillId="9" borderId="19" xfId="51" applyFont="1" applyFill="1" applyBorder="1"/>
    <xf numFmtId="0" fontId="135" fillId="9" borderId="0" xfId="51" applyFont="1" applyFill="1"/>
    <xf numFmtId="0" fontId="134" fillId="9" borderId="40" xfId="51" applyFont="1" applyFill="1" applyBorder="1"/>
    <xf numFmtId="0" fontId="134" fillId="9" borderId="78" xfId="51" applyFont="1" applyFill="1" applyBorder="1"/>
    <xf numFmtId="0" fontId="134" fillId="9" borderId="42" xfId="51" applyFont="1" applyFill="1" applyBorder="1"/>
    <xf numFmtId="0" fontId="134" fillId="0" borderId="19" xfId="51" applyFont="1" applyBorder="1" applyAlignment="1">
      <alignment vertical="center"/>
    </xf>
    <xf numFmtId="0" fontId="135" fillId="0" borderId="0" xfId="51" applyFont="1"/>
    <xf numFmtId="0" fontId="134" fillId="0" borderId="0" xfId="51" applyFont="1"/>
    <xf numFmtId="0" fontId="134" fillId="0" borderId="19" xfId="51" applyFont="1" applyBorder="1" applyAlignment="1">
      <alignment vertical="center" wrapText="1"/>
    </xf>
    <xf numFmtId="0" fontId="134" fillId="0" borderId="0" xfId="51" applyFont="1" applyAlignment="1">
      <alignment wrapText="1"/>
    </xf>
    <xf numFmtId="0" fontId="134" fillId="0" borderId="0" xfId="51" applyFont="1" applyAlignment="1">
      <alignment vertical="center" wrapText="1"/>
    </xf>
    <xf numFmtId="0" fontId="135" fillId="0" borderId="18" xfId="51" applyFont="1" applyBorder="1"/>
    <xf numFmtId="0" fontId="120" fillId="0" borderId="73" xfId="51" applyFont="1" applyFill="1" applyBorder="1" applyAlignment="1">
      <alignment horizontal="center"/>
    </xf>
    <xf numFmtId="0" fontId="120" fillId="0" borderId="73" xfId="51" applyFont="1" applyFill="1" applyBorder="1" applyAlignment="1">
      <alignment horizontal="center" vertical="center"/>
    </xf>
    <xf numFmtId="0" fontId="121" fillId="0" borderId="81" xfId="51" applyFont="1" applyFill="1" applyBorder="1" applyAlignment="1">
      <alignment horizontal="center"/>
    </xf>
    <xf numFmtId="0" fontId="121" fillId="0" borderId="79" xfId="51" applyFont="1" applyFill="1" applyBorder="1" applyAlignment="1">
      <alignment horizontal="center"/>
    </xf>
    <xf numFmtId="168" fontId="121" fillId="0" borderId="69" xfId="51" applyNumberFormat="1" applyFont="1" applyFill="1" applyBorder="1" applyAlignment="1">
      <alignment horizontal="center"/>
    </xf>
    <xf numFmtId="0" fontId="122" fillId="0" borderId="0" xfId="51" applyFont="1" applyFill="1"/>
    <xf numFmtId="0" fontId="121" fillId="0" borderId="81" xfId="51" applyFont="1" applyBorder="1" applyAlignment="1">
      <alignment horizontal="center" vertical="center"/>
    </xf>
    <xf numFmtId="0" fontId="121" fillId="0" borderId="79" xfId="51" applyFont="1" applyBorder="1" applyAlignment="1">
      <alignment horizontal="center" vertical="center"/>
    </xf>
    <xf numFmtId="168" fontId="121" fillId="0" borderId="81" xfId="51" applyNumberFormat="1" applyFont="1" applyBorder="1" applyAlignment="1">
      <alignment horizontal="center" vertical="center"/>
    </xf>
    <xf numFmtId="164" fontId="121" fillId="0" borderId="79" xfId="29" applyFont="1" applyBorder="1" applyAlignment="1">
      <alignment horizontal="center"/>
    </xf>
    <xf numFmtId="10" fontId="121" fillId="0" borderId="73" xfId="15" applyNumberFormat="1" applyFont="1" applyBorder="1" applyAlignment="1">
      <alignment horizontal="center" vertical="center"/>
    </xf>
    <xf numFmtId="212" fontId="121" fillId="0" borderId="73" xfId="15" applyNumberFormat="1" applyFont="1" applyBorder="1" applyAlignment="1">
      <alignment horizontal="center" vertical="center"/>
    </xf>
    <xf numFmtId="168" fontId="121" fillId="0" borderId="69" xfId="51" applyNumberFormat="1" applyFont="1" applyFill="1" applyBorder="1" applyAlignment="1">
      <alignment horizontal="center" vertical="center"/>
    </xf>
    <xf numFmtId="0" fontId="122" fillId="0" borderId="0" xfId="51" applyFont="1" applyFill="1" applyAlignment="1">
      <alignment vertical="center"/>
    </xf>
    <xf numFmtId="0" fontId="123" fillId="0" borderId="0" xfId="51" applyFont="1" applyAlignment="1">
      <alignment vertical="center"/>
    </xf>
    <xf numFmtId="190" fontId="121" fillId="0" borderId="73" xfId="15" applyNumberFormat="1" applyFont="1" applyBorder="1" applyAlignment="1">
      <alignment horizontal="center"/>
    </xf>
    <xf numFmtId="0" fontId="121" fillId="0" borderId="82" xfId="51" applyFont="1" applyFill="1" applyBorder="1" applyAlignment="1">
      <alignment horizontal="center"/>
    </xf>
    <xf numFmtId="0" fontId="121" fillId="0" borderId="83" xfId="51" applyFont="1" applyFill="1" applyBorder="1" applyAlignment="1">
      <alignment horizontal="center"/>
    </xf>
    <xf numFmtId="49" fontId="13" fillId="23" borderId="1" xfId="27" applyNumberFormat="1" applyFont="1" applyFill="1" applyBorder="1" applyAlignment="1">
      <alignment horizontal="center" vertical="center"/>
    </xf>
    <xf numFmtId="193" fontId="73" fillId="0" borderId="0" xfId="0" applyNumberFormat="1" applyFont="1"/>
    <xf numFmtId="173" fontId="10" fillId="0" borderId="7" xfId="0" applyNumberFormat="1" applyFont="1" applyFill="1" applyBorder="1" applyAlignment="1">
      <alignment horizontal="center" vertical="center"/>
    </xf>
    <xf numFmtId="2" fontId="10" fillId="0" borderId="1" xfId="7" applyNumberFormat="1" applyFont="1" applyFill="1" applyBorder="1" applyAlignment="1" applyProtection="1">
      <alignment horizontal="center" vertical="center" wrapText="1"/>
    </xf>
    <xf numFmtId="0" fontId="24" fillId="9" borderId="1" xfId="0" applyFont="1" applyFill="1" applyBorder="1" applyAlignment="1">
      <alignment vertical="center"/>
    </xf>
    <xf numFmtId="0" fontId="139" fillId="0" borderId="1" xfId="0" applyFont="1" applyFill="1" applyBorder="1"/>
    <xf numFmtId="0" fontId="139" fillId="0" borderId="1" xfId="0" applyFont="1" applyFill="1" applyBorder="1" applyAlignment="1">
      <alignment horizontal="center"/>
    </xf>
    <xf numFmtId="180" fontId="139" fillId="0" borderId="1" xfId="0" applyNumberFormat="1" applyFont="1" applyFill="1" applyBorder="1" applyAlignment="1">
      <alignment horizontal="center"/>
    </xf>
    <xf numFmtId="49" fontId="139" fillId="0" borderId="4" xfId="0" applyNumberFormat="1" applyFont="1" applyFill="1" applyBorder="1" applyAlignment="1">
      <alignment horizontal="center"/>
    </xf>
    <xf numFmtId="178" fontId="139" fillId="0" borderId="1" xfId="0" applyNumberFormat="1" applyFont="1" applyFill="1" applyBorder="1" applyAlignment="1">
      <alignment horizontal="center"/>
    </xf>
    <xf numFmtId="0" fontId="7" fillId="0" borderId="0" xfId="5" applyFont="1" applyBorder="1"/>
    <xf numFmtId="0" fontId="10" fillId="0" borderId="0" xfId="7" applyFont="1" applyFill="1" applyBorder="1"/>
    <xf numFmtId="0" fontId="10" fillId="0" borderId="1" xfId="0" applyFont="1" applyFill="1" applyBorder="1" applyAlignment="1">
      <alignment horizontal="center" vertical="center" wrapText="1"/>
    </xf>
    <xf numFmtId="193" fontId="10" fillId="26" borderId="20" xfId="0" applyNumberFormat="1" applyFont="1" applyFill="1" applyBorder="1" applyAlignment="1" applyProtection="1">
      <alignment horizontal="center" vertical="center"/>
      <protection locked="0"/>
    </xf>
    <xf numFmtId="193" fontId="10" fillId="0" borderId="7" xfId="0" applyNumberFormat="1" applyFont="1" applyFill="1" applyBorder="1" applyAlignment="1" applyProtection="1">
      <alignment horizontal="center" vertical="center"/>
      <protection locked="0"/>
    </xf>
    <xf numFmtId="193" fontId="10" fillId="0" borderId="1" xfId="0" applyNumberFormat="1" applyFont="1" applyFill="1" applyBorder="1" applyAlignment="1" applyProtection="1">
      <alignment horizontal="center" vertical="center" wrapText="1"/>
      <protection locked="0"/>
    </xf>
    <xf numFmtId="192" fontId="10" fillId="0" borderId="1" xfId="29" applyNumberFormat="1" applyFont="1" applyFill="1" applyBorder="1" applyAlignment="1" applyProtection="1">
      <alignment vertical="center" wrapText="1"/>
      <protection locked="0"/>
    </xf>
    <xf numFmtId="192" fontId="9" fillId="29" borderId="2" xfId="29" applyNumberFormat="1" applyFont="1" applyFill="1" applyBorder="1" applyAlignment="1" applyProtection="1">
      <alignment vertical="center"/>
      <protection locked="0"/>
    </xf>
    <xf numFmtId="195" fontId="62" fillId="26" borderId="1" xfId="7" applyNumberFormat="1" applyFont="1" applyFill="1" applyBorder="1" applyAlignment="1">
      <alignment horizontal="center" vertical="center" wrapText="1"/>
    </xf>
    <xf numFmtId="192" fontId="10" fillId="0" borderId="1" xfId="29" applyNumberFormat="1" applyFont="1" applyFill="1" applyBorder="1" applyAlignment="1">
      <alignment vertical="center"/>
    </xf>
    <xf numFmtId="195" fontId="9" fillId="29" borderId="20" xfId="41" applyNumberFormat="1" applyFont="1" applyFill="1" applyBorder="1" applyAlignment="1">
      <alignment vertical="center" wrapText="1"/>
    </xf>
    <xf numFmtId="195" fontId="9" fillId="15" borderId="20" xfId="29" applyNumberFormat="1" applyFont="1" applyFill="1" applyBorder="1" applyAlignment="1">
      <alignment vertical="center" wrapText="1"/>
    </xf>
    <xf numFmtId="192" fontId="9" fillId="29" borderId="1" xfId="41" applyNumberFormat="1" applyFont="1" applyFill="1" applyBorder="1" applyAlignment="1">
      <alignment vertical="center" wrapText="1"/>
    </xf>
    <xf numFmtId="0" fontId="24" fillId="0" borderId="1" xfId="0" applyFont="1" applyFill="1" applyBorder="1" applyAlignment="1">
      <alignment horizontal="center" vertical="center"/>
    </xf>
    <xf numFmtId="180" fontId="24" fillId="0" borderId="1" xfId="0" applyNumberFormat="1" applyFont="1" applyBorder="1" applyAlignment="1">
      <alignment horizontal="center"/>
    </xf>
    <xf numFmtId="214" fontId="118"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xf>
    <xf numFmtId="0" fontId="10" fillId="0" borderId="1" xfId="0" applyFont="1" applyBorder="1" applyAlignment="1">
      <alignment horizontal="center"/>
    </xf>
    <xf numFmtId="180" fontId="24" fillId="0" borderId="1" xfId="0" applyNumberFormat="1" applyFont="1" applyBorder="1" applyAlignment="1">
      <alignment horizontal="center"/>
    </xf>
    <xf numFmtId="49" fontId="24" fillId="0" borderId="1" xfId="0" applyNumberFormat="1" applyFont="1" applyFill="1" applyBorder="1" applyAlignment="1">
      <alignment horizontal="center" vertical="center"/>
    </xf>
    <xf numFmtId="0" fontId="9" fillId="8" borderId="4" xfId="0" applyFont="1" applyFill="1" applyBorder="1" applyAlignment="1">
      <alignment horizontal="left" vertical="center" wrapText="1"/>
    </xf>
    <xf numFmtId="0" fontId="9" fillId="8" borderId="20" xfId="0" applyFont="1" applyFill="1" applyBorder="1" applyAlignment="1">
      <alignment horizontal="left" vertical="center" wrapText="1"/>
    </xf>
    <xf numFmtId="49" fontId="10" fillId="0" borderId="1" xfId="0" applyNumberFormat="1" applyFont="1" applyFill="1" applyBorder="1" applyAlignment="1">
      <alignment horizontal="center" vertical="center"/>
    </xf>
    <xf numFmtId="0" fontId="10" fillId="0" borderId="1" xfId="0" applyFont="1" applyBorder="1" applyAlignment="1">
      <alignment horizontal="center" vertical="center"/>
    </xf>
    <xf numFmtId="193" fontId="24" fillId="0" borderId="1" xfId="6" applyNumberFormat="1" applyFont="1" applyFill="1" applyBorder="1" applyAlignment="1">
      <alignment horizontal="center" vertical="center"/>
    </xf>
    <xf numFmtId="2" fontId="13" fillId="11" borderId="1" xfId="0" applyNumberFormat="1" applyFont="1" applyFill="1" applyBorder="1" applyAlignment="1">
      <alignment horizontal="center"/>
    </xf>
    <xf numFmtId="176" fontId="24" fillId="0" borderId="1" xfId="20" applyNumberFormat="1" applyFont="1" applyBorder="1" applyAlignment="1">
      <alignment horizontal="center"/>
    </xf>
    <xf numFmtId="175" fontId="24" fillId="2" borderId="2" xfId="0" applyNumberFormat="1" applyFont="1" applyFill="1" applyBorder="1"/>
    <xf numFmtId="180" fontId="10" fillId="0" borderId="1" xfId="0" applyNumberFormat="1" applyFont="1" applyBorder="1" applyAlignment="1">
      <alignment horizontal="center"/>
    </xf>
    <xf numFmtId="0" fontId="24" fillId="0" borderId="1" xfId="0" applyFont="1" applyFill="1" applyBorder="1" applyAlignment="1">
      <alignment horizontal="center" vertical="center"/>
    </xf>
    <xf numFmtId="0" fontId="10" fillId="0" borderId="1" xfId="0" applyFont="1" applyBorder="1" applyAlignment="1">
      <alignment horizontal="center"/>
    </xf>
    <xf numFmtId="180" fontId="10" fillId="0" borderId="0" xfId="0" applyNumberFormat="1" applyFont="1" applyBorder="1" applyAlignment="1">
      <alignment horizontal="center"/>
    </xf>
    <xf numFmtId="180" fontId="24" fillId="0" borderId="1" xfId="0" applyNumberFormat="1" applyFont="1" applyBorder="1" applyAlignment="1">
      <alignment horizontal="center"/>
    </xf>
    <xf numFmtId="0" fontId="10" fillId="0" borderId="1" xfId="0" applyFont="1" applyBorder="1" applyAlignment="1">
      <alignment horizontal="center" vertical="center"/>
    </xf>
    <xf numFmtId="176" fontId="10" fillId="0" borderId="1" xfId="5" applyNumberFormat="1" applyFont="1" applyFill="1" applyBorder="1" applyAlignment="1">
      <alignment horizontal="center"/>
    </xf>
    <xf numFmtId="175" fontId="24" fillId="8" borderId="1" xfId="0" applyNumberFormat="1" applyFont="1" applyFill="1" applyBorder="1" applyAlignment="1">
      <alignment horizontal="right" vertical="center"/>
    </xf>
    <xf numFmtId="0" fontId="140" fillId="0" borderId="0" xfId="0" applyFont="1"/>
    <xf numFmtId="178" fontId="24" fillId="0" borderId="1" xfId="0" applyNumberFormat="1" applyFont="1" applyFill="1" applyBorder="1" applyAlignment="1">
      <alignment horizontal="center" vertical="center"/>
    </xf>
    <xf numFmtId="186" fontId="10" fillId="0" borderId="0" xfId="0" applyNumberFormat="1" applyFont="1" applyFill="1" applyBorder="1" applyAlignment="1">
      <alignment horizontal="right"/>
    </xf>
    <xf numFmtId="0" fontId="24" fillId="10" borderId="0" xfId="0" applyFont="1" applyFill="1"/>
    <xf numFmtId="2" fontId="24" fillId="10" borderId="0" xfId="0" applyNumberFormat="1" applyFont="1" applyFill="1"/>
    <xf numFmtId="0" fontId="24" fillId="0" borderId="1" xfId="0" applyFont="1" applyFill="1" applyBorder="1" applyAlignment="1">
      <alignment horizontal="left" vertical="center"/>
    </xf>
    <xf numFmtId="175" fontId="10" fillId="9" borderId="2" xfId="0" applyNumberFormat="1" applyFont="1" applyFill="1" applyBorder="1" applyAlignment="1">
      <alignment vertical="center"/>
    </xf>
    <xf numFmtId="175" fontId="10" fillId="9" borderId="71" xfId="0" applyNumberFormat="1" applyFont="1" applyFill="1" applyBorder="1" applyAlignment="1">
      <alignment vertical="center"/>
    </xf>
    <xf numFmtId="0" fontId="24" fillId="9" borderId="3" xfId="28" applyNumberFormat="1" applyFont="1" applyFill="1" applyBorder="1" applyAlignment="1">
      <alignment horizontal="center" vertical="center"/>
    </xf>
    <xf numFmtId="175" fontId="24" fillId="9" borderId="18" xfId="0" applyNumberFormat="1" applyFont="1" applyFill="1" applyBorder="1"/>
    <xf numFmtId="2" fontId="24" fillId="9" borderId="18" xfId="0" applyNumberFormat="1" applyFont="1" applyFill="1" applyBorder="1" applyAlignment="1">
      <alignment horizontal="center" vertical="center"/>
    </xf>
    <xf numFmtId="0" fontId="24" fillId="9" borderId="0" xfId="0" applyFont="1" applyFill="1" applyAlignment="1">
      <alignment horizontal="center" vertical="center"/>
    </xf>
    <xf numFmtId="0" fontId="24" fillId="9" borderId="0" xfId="0" applyFont="1" applyFill="1" applyAlignment="1">
      <alignment vertical="center"/>
    </xf>
    <xf numFmtId="0" fontId="24" fillId="9" borderId="70" xfId="28" applyNumberFormat="1" applyFont="1" applyFill="1" applyBorder="1" applyAlignment="1">
      <alignment horizontal="center" vertical="center"/>
    </xf>
    <xf numFmtId="175" fontId="24" fillId="9" borderId="70" xfId="0" applyNumberFormat="1" applyFont="1" applyFill="1" applyBorder="1"/>
    <xf numFmtId="2" fontId="24" fillId="9" borderId="70" xfId="0" applyNumberFormat="1" applyFont="1" applyFill="1" applyBorder="1" applyAlignment="1">
      <alignment horizontal="center" vertical="center"/>
    </xf>
    <xf numFmtId="0" fontId="24" fillId="9" borderId="70" xfId="0" applyFont="1" applyFill="1" applyBorder="1" applyAlignment="1">
      <alignment horizontal="center" vertical="center"/>
    </xf>
    <xf numFmtId="0" fontId="24" fillId="9" borderId="70" xfId="0" applyFont="1" applyFill="1" applyBorder="1" applyAlignment="1">
      <alignment vertical="center"/>
    </xf>
    <xf numFmtId="175" fontId="24" fillId="9" borderId="0" xfId="0" applyNumberFormat="1" applyFont="1" applyFill="1" applyBorder="1" applyAlignment="1">
      <alignment vertical="center"/>
    </xf>
    <xf numFmtId="0" fontId="24" fillId="9" borderId="0" xfId="0" applyFont="1" applyFill="1" applyBorder="1"/>
    <xf numFmtId="175" fontId="24" fillId="0" borderId="1" xfId="0" applyNumberFormat="1" applyFont="1" applyFill="1" applyBorder="1" applyAlignment="1">
      <alignment vertical="center" wrapText="1"/>
    </xf>
    <xf numFmtId="0" fontId="24" fillId="9" borderId="70" xfId="0" applyFont="1" applyFill="1" applyBorder="1"/>
    <xf numFmtId="0" fontId="141" fillId="0" borderId="0" xfId="10" applyFont="1" applyFill="1" applyBorder="1" applyAlignment="1">
      <alignment horizontal="left"/>
    </xf>
    <xf numFmtId="0" fontId="142" fillId="0" borderId="0" xfId="10" applyFont="1" applyFill="1" applyBorder="1" applyAlignment="1">
      <alignment horizontal="left"/>
    </xf>
    <xf numFmtId="176" fontId="7" fillId="0" borderId="0" xfId="0" applyNumberFormat="1" applyFont="1" applyFill="1"/>
    <xf numFmtId="0" fontId="141" fillId="0" borderId="0" xfId="10" applyFont="1" applyFill="1" applyBorder="1" applyAlignment="1">
      <alignment horizontal="left" wrapText="1"/>
    </xf>
    <xf numFmtId="0" fontId="141" fillId="0" borderId="0" xfId="10" applyFont="1" applyFill="1" applyBorder="1" applyAlignment="1">
      <alignment horizontal="center" wrapText="1"/>
    </xf>
    <xf numFmtId="179" fontId="141" fillId="0" borderId="0" xfId="10" applyNumberFormat="1" applyFont="1" applyFill="1" applyBorder="1" applyAlignment="1">
      <alignment horizontal="right" wrapText="1"/>
    </xf>
    <xf numFmtId="1" fontId="141" fillId="0" borderId="0" xfId="10" applyNumberFormat="1" applyFont="1" applyFill="1" applyBorder="1" applyAlignment="1">
      <alignment horizontal="center" wrapText="1"/>
    </xf>
    <xf numFmtId="3" fontId="141" fillId="0" borderId="0" xfId="10" applyNumberFormat="1" applyFont="1" applyFill="1" applyBorder="1" applyAlignment="1">
      <alignment horizontal="right" wrapText="1"/>
    </xf>
    <xf numFmtId="0" fontId="142" fillId="0" borderId="0" xfId="10" applyFont="1" applyFill="1" applyBorder="1" applyAlignment="1">
      <alignment horizontal="left" wrapText="1"/>
    </xf>
    <xf numFmtId="0" fontId="142" fillId="0" borderId="0" xfId="10" applyFont="1" applyFill="1" applyBorder="1" applyAlignment="1">
      <alignment horizontal="center" wrapText="1"/>
    </xf>
    <xf numFmtId="179" fontId="142" fillId="0" borderId="0" xfId="10" applyNumberFormat="1" applyFont="1" applyFill="1" applyBorder="1" applyAlignment="1">
      <alignment horizontal="right" wrapText="1"/>
    </xf>
    <xf numFmtId="170" fontId="142" fillId="0" borderId="0" xfId="10" applyNumberFormat="1" applyFont="1" applyFill="1" applyBorder="1" applyAlignment="1">
      <alignment horizontal="center" wrapText="1"/>
    </xf>
    <xf numFmtId="170" fontId="142" fillId="0" borderId="0" xfId="10" applyNumberFormat="1" applyFont="1" applyFill="1" applyBorder="1" applyAlignment="1">
      <alignment horizontal="right" wrapText="1"/>
    </xf>
    <xf numFmtId="170" fontId="142" fillId="0" borderId="0" xfId="10" applyNumberFormat="1" applyFont="1" applyFill="1" applyBorder="1" applyAlignment="1">
      <alignment horizontal="left" wrapText="1"/>
    </xf>
    <xf numFmtId="1" fontId="142" fillId="0" borderId="0" xfId="10" applyNumberFormat="1" applyFont="1" applyFill="1" applyBorder="1" applyAlignment="1">
      <alignment horizontal="center" wrapText="1"/>
    </xf>
    <xf numFmtId="3" fontId="142" fillId="0" borderId="0" xfId="10" applyNumberFormat="1" applyFont="1" applyFill="1" applyBorder="1" applyAlignment="1">
      <alignment horizontal="right" wrapText="1"/>
    </xf>
    <xf numFmtId="0" fontId="7" fillId="0" borderId="0" xfId="0" applyFont="1" applyFill="1" applyBorder="1"/>
    <xf numFmtId="175" fontId="11" fillId="8" borderId="1" xfId="0" applyNumberFormat="1" applyFont="1" applyFill="1" applyBorder="1"/>
    <xf numFmtId="175" fontId="11" fillId="0" borderId="0" xfId="0" applyNumberFormat="1" applyFont="1" applyFill="1" applyBorder="1"/>
    <xf numFmtId="188" fontId="11" fillId="0" borderId="1" xfId="0" applyNumberFormat="1" applyFont="1" applyFill="1" applyBorder="1" applyAlignment="1">
      <alignment horizontal="center"/>
    </xf>
    <xf numFmtId="178" fontId="10" fillId="0" borderId="1" xfId="33" applyNumberFormat="1" applyFont="1" applyFill="1" applyBorder="1" applyAlignment="1">
      <alignment horizontal="center"/>
    </xf>
    <xf numFmtId="178" fontId="89" fillId="0" borderId="1" xfId="33" applyNumberFormat="1" applyFont="1" applyBorder="1"/>
    <xf numFmtId="178" fontId="89" fillId="0" borderId="0" xfId="33" applyNumberFormat="1" applyFont="1"/>
    <xf numFmtId="0" fontId="10" fillId="0" borderId="1" xfId="33" applyFont="1" applyFill="1" applyBorder="1" applyAlignment="1">
      <alignment horizontal="left"/>
    </xf>
    <xf numFmtId="0" fontId="89" fillId="0" borderId="0" xfId="33" applyFont="1" applyFill="1"/>
    <xf numFmtId="173" fontId="10" fillId="0" borderId="1" xfId="32" applyNumberFormat="1" applyFont="1" applyBorder="1" applyAlignment="1">
      <alignment horizontal="center"/>
    </xf>
    <xf numFmtId="175" fontId="10" fillId="0" borderId="1" xfId="32" applyNumberFormat="1" applyFont="1" applyBorder="1" applyAlignment="1">
      <alignment horizontal="left" wrapText="1"/>
    </xf>
    <xf numFmtId="0" fontId="10" fillId="0" borderId="1" xfId="33" applyFont="1" applyFill="1" applyBorder="1" applyAlignment="1">
      <alignment horizontal="left" wrapText="1"/>
    </xf>
    <xf numFmtId="164" fontId="10" fillId="0" borderId="1" xfId="29" applyFont="1" applyFill="1" applyBorder="1" applyAlignment="1">
      <alignment horizontal="center" vertical="center"/>
    </xf>
    <xf numFmtId="175" fontId="11" fillId="0" borderId="1" xfId="0" applyNumberFormat="1" applyFont="1" applyFill="1" applyBorder="1" applyAlignment="1">
      <alignment wrapText="1"/>
    </xf>
    <xf numFmtId="0" fontId="89" fillId="0" borderId="0" xfId="33" applyFont="1" applyAlignment="1">
      <alignment vertical="center"/>
    </xf>
    <xf numFmtId="0" fontId="11" fillId="0" borderId="1" xfId="0" applyFont="1" applyFill="1" applyBorder="1" applyAlignment="1">
      <alignment wrapText="1"/>
    </xf>
    <xf numFmtId="0" fontId="9" fillId="2" borderId="0" xfId="0" applyNumberFormat="1" applyFont="1" applyFill="1" applyBorder="1" applyAlignment="1">
      <alignment horizontal="center"/>
    </xf>
    <xf numFmtId="175" fontId="10" fillId="0" borderId="0" xfId="0" applyNumberFormat="1" applyFont="1" applyBorder="1" applyAlignment="1">
      <alignment horizontal="left"/>
    </xf>
    <xf numFmtId="176" fontId="10" fillId="0" borderId="0" xfId="0" applyNumberFormat="1" applyFont="1" applyBorder="1" applyAlignment="1">
      <alignment horizontal="center"/>
    </xf>
    <xf numFmtId="49" fontId="10" fillId="0" borderId="0" xfId="0" applyNumberFormat="1" applyFont="1" applyBorder="1" applyAlignment="1">
      <alignment horizontal="center"/>
    </xf>
    <xf numFmtId="0" fontId="10" fillId="2" borderId="0" xfId="0" applyNumberFormat="1" applyFont="1" applyFill="1" applyBorder="1" applyAlignment="1">
      <alignment horizontal="center" vertical="center"/>
    </xf>
    <xf numFmtId="175" fontId="10" fillId="2" borderId="0" xfId="0" applyNumberFormat="1" applyFont="1" applyFill="1" applyBorder="1" applyAlignment="1">
      <alignment horizontal="right"/>
    </xf>
    <xf numFmtId="175" fontId="10" fillId="2" borderId="0" xfId="0" applyNumberFormat="1" applyFont="1" applyFill="1" applyBorder="1"/>
    <xf numFmtId="9" fontId="10" fillId="2" borderId="0" xfId="0" applyNumberFormat="1" applyFont="1" applyFill="1" applyBorder="1" applyAlignment="1">
      <alignment horizontal="center"/>
    </xf>
    <xf numFmtId="0" fontId="45" fillId="11" borderId="0" xfId="0" applyNumberFormat="1" applyFont="1" applyFill="1" applyBorder="1" applyAlignment="1">
      <alignment horizontal="center"/>
    </xf>
    <xf numFmtId="176" fontId="10" fillId="0" borderId="0" xfId="0" applyNumberFormat="1" applyFont="1" applyFill="1" applyBorder="1" applyAlignment="1">
      <alignment horizontal="center"/>
    </xf>
    <xf numFmtId="0" fontId="9" fillId="2" borderId="0" xfId="0" applyFont="1" applyFill="1" applyBorder="1" applyAlignment="1">
      <alignment horizontal="center"/>
    </xf>
    <xf numFmtId="175" fontId="10" fillId="0" borderId="0" xfId="0" applyNumberFormat="1" applyFont="1" applyBorder="1"/>
    <xf numFmtId="0" fontId="10" fillId="2" borderId="0" xfId="0" applyFont="1" applyFill="1" applyBorder="1" applyAlignment="1">
      <alignment horizontal="center" vertical="center"/>
    </xf>
    <xf numFmtId="2" fontId="10" fillId="0" borderId="0" xfId="0" applyNumberFormat="1" applyFont="1" applyBorder="1" applyAlignment="1">
      <alignment horizontal="center"/>
    </xf>
    <xf numFmtId="0" fontId="26" fillId="0" borderId="0" xfId="28" applyNumberFormat="1" applyFont="1" applyBorder="1" applyAlignment="1">
      <alignment horizontal="center" vertical="center"/>
    </xf>
    <xf numFmtId="175" fontId="26" fillId="0" borderId="0" xfId="0" applyNumberFormat="1" applyFont="1" applyBorder="1"/>
    <xf numFmtId="2" fontId="26" fillId="0" borderId="0" xfId="0" applyNumberFormat="1" applyFont="1" applyBorder="1"/>
    <xf numFmtId="0" fontId="26" fillId="0" borderId="0" xfId="0" applyFont="1" applyBorder="1"/>
    <xf numFmtId="170" fontId="26" fillId="0" borderId="0" xfId="0" applyNumberFormat="1" applyFont="1" applyBorder="1"/>
    <xf numFmtId="0" fontId="45" fillId="11" borderId="0" xfId="0" applyFont="1" applyFill="1" applyBorder="1" applyAlignment="1">
      <alignment horizontal="center"/>
    </xf>
    <xf numFmtId="0" fontId="10" fillId="0" borderId="0" xfId="20" applyNumberFormat="1" applyFont="1" applyBorder="1" applyAlignment="1">
      <alignment horizontal="center"/>
    </xf>
    <xf numFmtId="0" fontId="10" fillId="0" borderId="0" xfId="20" applyFont="1" applyBorder="1"/>
    <xf numFmtId="176" fontId="10" fillId="0" borderId="0" xfId="20" applyNumberFormat="1" applyFont="1" applyBorder="1" applyAlignment="1">
      <alignment horizontal="center"/>
    </xf>
    <xf numFmtId="49" fontId="10" fillId="0" borderId="0" xfId="20" applyNumberFormat="1" applyFont="1" applyBorder="1" applyAlignment="1">
      <alignment horizontal="center"/>
    </xf>
    <xf numFmtId="180" fontId="24" fillId="0" borderId="0" xfId="0" applyNumberFormat="1" applyFont="1" applyBorder="1" applyAlignment="1">
      <alignment horizontal="center"/>
    </xf>
    <xf numFmtId="0" fontId="10" fillId="0" borderId="0" xfId="0" applyNumberFormat="1" applyFont="1" applyBorder="1" applyAlignment="1">
      <alignment horizontal="center" vertical="center"/>
    </xf>
    <xf numFmtId="175" fontId="7" fillId="0" borderId="0" xfId="0" applyNumberFormat="1" applyFont="1" applyBorder="1"/>
    <xf numFmtId="0" fontId="10" fillId="2" borderId="0" xfId="0" applyFont="1" applyFill="1" applyBorder="1" applyAlignment="1">
      <alignment horizontal="center"/>
    </xf>
    <xf numFmtId="0" fontId="10" fillId="0" borderId="0" xfId="0" applyFont="1" applyBorder="1"/>
    <xf numFmtId="178" fontId="10" fillId="0" borderId="0" xfId="0" applyNumberFormat="1" applyFont="1" applyBorder="1" applyAlignment="1">
      <alignment horizontal="center"/>
    </xf>
    <xf numFmtId="0" fontId="24" fillId="0" borderId="0" xfId="28" applyNumberFormat="1" applyFont="1" applyBorder="1" applyAlignment="1">
      <alignment horizontal="center" vertical="center"/>
    </xf>
    <xf numFmtId="175" fontId="24" fillId="0" borderId="0" xfId="0" applyNumberFormat="1" applyFont="1" applyBorder="1"/>
    <xf numFmtId="2" fontId="24" fillId="0" borderId="0" xfId="0" applyNumberFormat="1" applyFont="1" applyBorder="1"/>
    <xf numFmtId="0" fontId="24" fillId="0" borderId="0" xfId="0" applyFont="1" applyBorder="1"/>
    <xf numFmtId="170" fontId="24" fillId="0" borderId="0" xfId="0" applyNumberFormat="1" applyFont="1" applyBorder="1"/>
    <xf numFmtId="175" fontId="10" fillId="8" borderId="1" xfId="20" applyNumberFormat="1" applyFont="1" applyFill="1" applyBorder="1"/>
    <xf numFmtId="178" fontId="10" fillId="0" borderId="1" xfId="0" applyNumberFormat="1" applyFont="1" applyFill="1" applyBorder="1" applyAlignment="1">
      <alignment horizontal="center" vertical="center"/>
    </xf>
    <xf numFmtId="205" fontId="109" fillId="9" borderId="1" xfId="15" applyNumberFormat="1" applyFont="1" applyFill="1" applyBorder="1" applyAlignment="1">
      <alignment vertical="center"/>
    </xf>
    <xf numFmtId="2" fontId="10" fillId="0" borderId="1" xfId="5" applyNumberFormat="1" applyFont="1" applyFill="1" applyBorder="1" applyAlignment="1">
      <alignment horizontal="center" vertical="center"/>
    </xf>
    <xf numFmtId="181" fontId="7" fillId="0" borderId="0" xfId="0" applyNumberFormat="1" applyFont="1"/>
    <xf numFmtId="167" fontId="7" fillId="0" borderId="0" xfId="28" applyFont="1"/>
    <xf numFmtId="192" fontId="7" fillId="0" borderId="0" xfId="5" applyNumberFormat="1" applyFont="1"/>
    <xf numFmtId="193" fontId="7" fillId="0" borderId="0" xfId="5" applyNumberFormat="1" applyFont="1" applyAlignment="1">
      <alignment horizontal="center"/>
    </xf>
    <xf numFmtId="164" fontId="7" fillId="0" borderId="0" xfId="29" applyFont="1" applyFill="1"/>
    <xf numFmtId="192" fontId="7" fillId="0" borderId="0" xfId="29" applyNumberFormat="1" applyFont="1" applyAlignment="1">
      <alignment horizontal="center"/>
    </xf>
    <xf numFmtId="183" fontId="10" fillId="0" borderId="0" xfId="5" applyNumberFormat="1" applyFont="1" applyFill="1" applyBorder="1" applyAlignment="1">
      <alignment vertical="center"/>
    </xf>
    <xf numFmtId="192" fontId="10" fillId="0" borderId="0" xfId="29" applyNumberFormat="1" applyFont="1" applyFill="1" applyAlignment="1">
      <alignment horizontal="center"/>
    </xf>
    <xf numFmtId="164" fontId="10" fillId="0" borderId="0" xfId="29" applyFont="1" applyFill="1" applyBorder="1" applyAlignment="1">
      <alignment horizontal="center" vertical="center"/>
    </xf>
    <xf numFmtId="195" fontId="7" fillId="0" borderId="0" xfId="5" applyNumberFormat="1" applyFont="1" applyFill="1" applyAlignment="1">
      <alignment horizontal="center"/>
    </xf>
    <xf numFmtId="195" fontId="7" fillId="0" borderId="0" xfId="0" applyNumberFormat="1" applyFont="1" applyFill="1"/>
    <xf numFmtId="192" fontId="10" fillId="0" borderId="0" xfId="29" applyNumberFormat="1" applyFont="1" applyFill="1" applyBorder="1" applyAlignment="1">
      <alignment vertical="center"/>
    </xf>
    <xf numFmtId="193" fontId="30" fillId="0" borderId="0" xfId="0" applyNumberFormat="1" applyFont="1"/>
    <xf numFmtId="180" fontId="24" fillId="0" borderId="1" xfId="0" applyNumberFormat="1" applyFont="1" applyBorder="1" applyAlignment="1">
      <alignment horizontal="center"/>
    </xf>
    <xf numFmtId="49" fontId="10"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176" fontId="24" fillId="0" borderId="0" xfId="0" applyNumberFormat="1" applyFont="1" applyFill="1" applyBorder="1" applyAlignment="1">
      <alignment horizontal="center"/>
    </xf>
    <xf numFmtId="180" fontId="60" fillId="26" borderId="20" xfId="0" applyNumberFormat="1" applyFont="1" applyFill="1" applyBorder="1" applyAlignment="1" applyProtection="1">
      <alignment horizontal="center" vertical="center"/>
      <protection locked="0"/>
    </xf>
    <xf numFmtId="0" fontId="60" fillId="0" borderId="1" xfId="0" applyNumberFormat="1" applyFont="1" applyFill="1" applyBorder="1" applyAlignment="1">
      <alignment horizontal="center" vertical="center" wrapText="1"/>
    </xf>
    <xf numFmtId="49" fontId="60" fillId="0" borderId="1" xfId="0" applyNumberFormat="1" applyFont="1" applyFill="1" applyBorder="1" applyAlignment="1">
      <alignment horizontal="center" vertical="center" wrapText="1"/>
    </xf>
    <xf numFmtId="164" fontId="10" fillId="0" borderId="0" xfId="5" applyNumberFormat="1" applyFont="1" applyFill="1" applyBorder="1" applyAlignment="1">
      <alignment horizontal="center" vertical="center"/>
    </xf>
    <xf numFmtId="180" fontId="60" fillId="0" borderId="1" xfId="0" applyNumberFormat="1" applyFont="1" applyFill="1" applyBorder="1" applyAlignment="1" applyProtection="1">
      <alignment horizontal="center" vertical="center"/>
      <protection locked="0"/>
    </xf>
    <xf numFmtId="0" fontId="60" fillId="0" borderId="1" xfId="0" applyFont="1" applyFill="1" applyBorder="1" applyAlignment="1">
      <alignment vertical="center"/>
    </xf>
    <xf numFmtId="193" fontId="60" fillId="0" borderId="1" xfId="0" applyNumberFormat="1" applyFont="1" applyFill="1" applyBorder="1" applyAlignment="1" applyProtection="1">
      <alignment horizontal="center" vertical="center"/>
      <protection locked="0"/>
    </xf>
    <xf numFmtId="49" fontId="13" fillId="43" borderId="1" xfId="28" applyNumberFormat="1" applyFont="1" applyFill="1" applyBorder="1" applyAlignment="1">
      <alignment horizontal="center" vertical="center"/>
    </xf>
    <xf numFmtId="170" fontId="24" fillId="0" borderId="1" xfId="0" applyNumberFormat="1" applyFont="1" applyBorder="1" applyAlignment="1">
      <alignment horizontal="left"/>
    </xf>
    <xf numFmtId="0" fontId="24" fillId="43" borderId="1" xfId="28" applyNumberFormat="1" applyFont="1" applyFill="1" applyBorder="1" applyAlignment="1">
      <alignment horizontal="center" vertical="center"/>
    </xf>
    <xf numFmtId="175" fontId="24" fillId="43" borderId="1" xfId="0" applyNumberFormat="1" applyFont="1" applyFill="1" applyBorder="1" applyAlignment="1">
      <alignment horizontal="right"/>
    </xf>
    <xf numFmtId="175" fontId="24" fillId="44" borderId="1" xfId="0" applyNumberFormat="1" applyFont="1" applyFill="1" applyBorder="1"/>
    <xf numFmtId="176" fontId="24" fillId="43" borderId="1" xfId="0" applyNumberFormat="1" applyFont="1" applyFill="1" applyBorder="1" applyAlignment="1">
      <alignment horizontal="center"/>
    </xf>
    <xf numFmtId="0" fontId="24" fillId="45" borderId="19" xfId="28" applyNumberFormat="1" applyFont="1" applyFill="1" applyBorder="1" applyAlignment="1">
      <alignment vertical="center"/>
    </xf>
    <xf numFmtId="0" fontId="24" fillId="45" borderId="0" xfId="0" applyFont="1" applyFill="1" applyAlignment="1">
      <alignment vertical="center"/>
    </xf>
    <xf numFmtId="49" fontId="13" fillId="44" borderId="1" xfId="28" applyNumberFormat="1" applyFont="1" applyFill="1" applyBorder="1" applyAlignment="1">
      <alignment horizontal="center" vertical="center"/>
    </xf>
    <xf numFmtId="49" fontId="24" fillId="0" borderId="1" xfId="0" applyNumberFormat="1" applyFont="1" applyBorder="1"/>
    <xf numFmtId="0" fontId="13" fillId="8" borderId="1" xfId="0" applyFont="1" applyFill="1" applyBorder="1" applyAlignment="1">
      <alignment horizontal="center"/>
    </xf>
    <xf numFmtId="49" fontId="24" fillId="45" borderId="0" xfId="0" applyNumberFormat="1" applyFont="1" applyFill="1" applyAlignment="1">
      <alignment vertical="center"/>
    </xf>
    <xf numFmtId="164" fontId="60" fillId="0" borderId="1" xfId="29" applyFont="1" applyFill="1" applyBorder="1" applyAlignment="1" applyProtection="1">
      <alignment horizontal="center" vertical="center"/>
      <protection locked="0"/>
    </xf>
    <xf numFmtId="164" fontId="60" fillId="0" borderId="1" xfId="29" applyFont="1" applyFill="1" applyBorder="1" applyAlignment="1">
      <alignment vertical="center"/>
    </xf>
    <xf numFmtId="180" fontId="24" fillId="0" borderId="1" xfId="0" applyNumberFormat="1" applyFont="1" applyBorder="1" applyAlignment="1">
      <alignment horizontal="center"/>
    </xf>
    <xf numFmtId="49" fontId="10"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44" fillId="0" borderId="1" xfId="0" applyFont="1" applyFill="1" applyBorder="1"/>
    <xf numFmtId="0" fontId="144" fillId="0" borderId="1" xfId="0" applyFont="1" applyFill="1" applyBorder="1" applyAlignment="1">
      <alignment horizontal="center"/>
    </xf>
    <xf numFmtId="0" fontId="144" fillId="0" borderId="1" xfId="0" applyFont="1" applyFill="1" applyBorder="1" applyAlignment="1">
      <alignment horizontal="justify" vertical="center"/>
    </xf>
    <xf numFmtId="0" fontId="144" fillId="0" borderId="1" xfId="0" applyFont="1" applyFill="1" applyBorder="1" applyAlignment="1">
      <alignment vertical="center"/>
    </xf>
    <xf numFmtId="164" fontId="144" fillId="0" borderId="1" xfId="29" applyFont="1" applyFill="1" applyBorder="1"/>
    <xf numFmtId="180" fontId="144" fillId="0" borderId="1" xfId="0" applyNumberFormat="1" applyFont="1" applyFill="1" applyBorder="1" applyAlignment="1">
      <alignment horizontal="center"/>
    </xf>
    <xf numFmtId="193" fontId="79" fillId="29" borderId="1" xfId="0" applyNumberFormat="1" applyFont="1" applyFill="1" applyBorder="1" applyAlignment="1">
      <alignment vertical="center" wrapText="1"/>
    </xf>
    <xf numFmtId="0" fontId="60" fillId="0" borderId="1" xfId="0" applyFont="1" applyFill="1" applyBorder="1" applyAlignment="1">
      <alignment horizontal="left" vertical="center" wrapText="1"/>
    </xf>
    <xf numFmtId="0" fontId="81" fillId="2" borderId="1" xfId="28" applyNumberFormat="1" applyFont="1" applyFill="1" applyBorder="1" applyAlignment="1">
      <alignment horizontal="center" vertical="center"/>
    </xf>
    <xf numFmtId="0" fontId="86" fillId="0" borderId="1" xfId="28" applyNumberFormat="1" applyFont="1" applyBorder="1" applyAlignment="1">
      <alignment horizontal="center" vertical="center"/>
    </xf>
    <xf numFmtId="0" fontId="86" fillId="0" borderId="1" xfId="0" applyFont="1" applyBorder="1"/>
    <xf numFmtId="0" fontId="86" fillId="0" borderId="1" xfId="0" applyNumberFormat="1" applyFont="1" applyBorder="1" applyAlignment="1">
      <alignment horizontal="center"/>
    </xf>
    <xf numFmtId="0" fontId="86" fillId="0" borderId="1" xfId="0" applyFont="1" applyBorder="1" applyAlignment="1">
      <alignment horizontal="center"/>
    </xf>
    <xf numFmtId="0" fontId="86" fillId="0" borderId="1" xfId="28" applyNumberFormat="1" applyFont="1" applyFill="1" applyBorder="1" applyAlignment="1">
      <alignment horizontal="center" vertical="center"/>
    </xf>
    <xf numFmtId="0" fontId="86" fillId="0" borderId="1" xfId="0" applyFont="1" applyFill="1" applyBorder="1"/>
    <xf numFmtId="2" fontId="86" fillId="0" borderId="1" xfId="0" applyNumberFormat="1" applyFont="1" applyFill="1" applyBorder="1" applyAlignment="1">
      <alignment horizontal="center"/>
    </xf>
    <xf numFmtId="49" fontId="86" fillId="0" borderId="1" xfId="0" applyNumberFormat="1" applyFont="1" applyBorder="1" applyAlignment="1">
      <alignment horizontal="center"/>
    </xf>
    <xf numFmtId="180" fontId="86" fillId="0" borderId="1" xfId="0" applyNumberFormat="1" applyFont="1" applyFill="1" applyBorder="1" applyAlignment="1">
      <alignment horizontal="center"/>
    </xf>
    <xf numFmtId="180" fontId="86" fillId="0" borderId="1" xfId="0" applyNumberFormat="1" applyFont="1" applyBorder="1" applyAlignment="1">
      <alignment horizontal="center"/>
    </xf>
    <xf numFmtId="0" fontId="60" fillId="0" borderId="1" xfId="28" applyNumberFormat="1" applyFont="1" applyBorder="1" applyAlignment="1">
      <alignment horizontal="center" vertical="center"/>
    </xf>
    <xf numFmtId="2" fontId="86" fillId="0" borderId="1" xfId="0" applyNumberFormat="1" applyFont="1" applyBorder="1" applyAlignment="1">
      <alignment horizontal="center" vertical="center"/>
    </xf>
    <xf numFmtId="0" fontId="60" fillId="0" borderId="1" xfId="0" applyFont="1" applyBorder="1" applyAlignment="1">
      <alignment horizontal="center" vertical="center"/>
    </xf>
    <xf numFmtId="180" fontId="86" fillId="0" borderId="1" xfId="0" applyNumberFormat="1" applyFont="1" applyBorder="1" applyAlignment="1">
      <alignment horizontal="center" vertical="center"/>
    </xf>
    <xf numFmtId="170" fontId="86" fillId="0" borderId="1" xfId="0" applyNumberFormat="1" applyFont="1" applyFill="1" applyBorder="1" applyAlignment="1">
      <alignment horizontal="left"/>
    </xf>
    <xf numFmtId="0" fontId="86" fillId="2" borderId="1" xfId="28" applyNumberFormat="1" applyFont="1" applyFill="1" applyBorder="1" applyAlignment="1">
      <alignment horizontal="center" vertical="center"/>
    </xf>
    <xf numFmtId="175" fontId="86" fillId="2" borderId="1" xfId="0" applyNumberFormat="1" applyFont="1" applyFill="1" applyBorder="1" applyAlignment="1">
      <alignment horizontal="right"/>
    </xf>
    <xf numFmtId="176" fontId="86" fillId="0" borderId="1" xfId="0" applyNumberFormat="1" applyFont="1" applyBorder="1" applyAlignment="1">
      <alignment horizontal="center"/>
    </xf>
    <xf numFmtId="175" fontId="86" fillId="8" borderId="1" xfId="0" applyNumberFormat="1" applyFont="1" applyFill="1" applyBorder="1"/>
    <xf numFmtId="176" fontId="86" fillId="2" borderId="1" xfId="0" applyNumberFormat="1" applyFont="1" applyFill="1" applyBorder="1" applyAlignment="1">
      <alignment horizontal="center"/>
    </xf>
    <xf numFmtId="0" fontId="86" fillId="0" borderId="0" xfId="0" applyFont="1" applyAlignment="1">
      <alignment horizontal="center"/>
    </xf>
    <xf numFmtId="41" fontId="86" fillId="0" borderId="0" xfId="50" applyFont="1" applyAlignment="1">
      <alignment horizontal="center"/>
    </xf>
    <xf numFmtId="0" fontId="86" fillId="9" borderId="19" xfId="28" applyNumberFormat="1" applyFont="1" applyFill="1" applyBorder="1" applyAlignment="1">
      <alignment vertical="center"/>
    </xf>
    <xf numFmtId="0" fontId="86" fillId="9" borderId="0" xfId="0" applyFont="1" applyFill="1" applyBorder="1" applyAlignment="1">
      <alignment vertical="center"/>
    </xf>
    <xf numFmtId="49" fontId="86" fillId="0" borderId="1" xfId="0" applyNumberFormat="1" applyFont="1" applyFill="1" applyBorder="1"/>
    <xf numFmtId="176" fontId="86" fillId="0" borderId="1" xfId="0" applyNumberFormat="1" applyFont="1" applyBorder="1" applyAlignment="1">
      <alignment horizontal="center" vertical="center"/>
    </xf>
    <xf numFmtId="178" fontId="86" fillId="0" borderId="1" xfId="0" applyNumberFormat="1" applyFont="1" applyBorder="1" applyAlignment="1">
      <alignment horizontal="center"/>
    </xf>
    <xf numFmtId="2" fontId="60" fillId="0" borderId="0" xfId="0" applyNumberFormat="1" applyFont="1" applyFill="1" applyBorder="1" applyAlignment="1">
      <alignment horizontal="center" vertical="center"/>
    </xf>
    <xf numFmtId="180" fontId="60" fillId="0" borderId="0" xfId="0" applyNumberFormat="1" applyFont="1" applyFill="1" applyBorder="1" applyAlignment="1">
      <alignment vertical="center"/>
    </xf>
    <xf numFmtId="49" fontId="81" fillId="43" borderId="1" xfId="28" applyNumberFormat="1" applyFont="1" applyFill="1" applyBorder="1" applyAlignment="1">
      <alignment horizontal="center" vertical="center"/>
    </xf>
    <xf numFmtId="2" fontId="86" fillId="0" borderId="1" xfId="0" applyNumberFormat="1" applyFont="1" applyBorder="1" applyAlignment="1">
      <alignment horizontal="center"/>
    </xf>
    <xf numFmtId="170" fontId="86" fillId="0" borderId="1" xfId="0" applyNumberFormat="1" applyFont="1" applyBorder="1" applyAlignment="1">
      <alignment horizontal="left"/>
    </xf>
    <xf numFmtId="0" fontId="86" fillId="43" borderId="1" xfId="28" applyNumberFormat="1" applyFont="1" applyFill="1" applyBorder="1" applyAlignment="1">
      <alignment horizontal="center" vertical="center"/>
    </xf>
    <xf numFmtId="175" fontId="86" fillId="43" borderId="1" xfId="0" applyNumberFormat="1" applyFont="1" applyFill="1" applyBorder="1" applyAlignment="1">
      <alignment horizontal="right"/>
    </xf>
    <xf numFmtId="175" fontId="86" fillId="44" borderId="1" xfId="0" applyNumberFormat="1" applyFont="1" applyFill="1" applyBorder="1"/>
    <xf numFmtId="176" fontId="86" fillId="43" borderId="1" xfId="0" applyNumberFormat="1" applyFont="1" applyFill="1" applyBorder="1" applyAlignment="1">
      <alignment horizontal="center"/>
    </xf>
    <xf numFmtId="0" fontId="86" fillId="45" borderId="19" xfId="28" applyNumberFormat="1" applyFont="1" applyFill="1" applyBorder="1" applyAlignment="1">
      <alignment vertical="center"/>
    </xf>
    <xf numFmtId="0" fontId="86" fillId="45" borderId="0" xfId="0" applyFont="1" applyFill="1" applyAlignment="1">
      <alignment vertical="center"/>
    </xf>
    <xf numFmtId="49" fontId="81" fillId="44" borderId="1" xfId="28" applyNumberFormat="1" applyFont="1" applyFill="1" applyBorder="1" applyAlignment="1">
      <alignment horizontal="center" vertical="center"/>
    </xf>
    <xf numFmtId="49" fontId="86" fillId="0" borderId="1" xfId="0" applyNumberFormat="1" applyFont="1" applyBorder="1"/>
    <xf numFmtId="0" fontId="10" fillId="0" borderId="7" xfId="12" applyFont="1" applyFill="1" applyBorder="1" applyAlignment="1">
      <alignment horizontal="justify" vertical="center" wrapText="1"/>
    </xf>
    <xf numFmtId="173" fontId="10" fillId="0" borderId="7" xfId="5" applyNumberFormat="1" applyFont="1" applyFill="1" applyBorder="1" applyAlignment="1" applyProtection="1">
      <alignment horizontal="center" vertical="center" wrapText="1"/>
      <protection locked="0"/>
    </xf>
    <xf numFmtId="0" fontId="146" fillId="0" borderId="1" xfId="43" applyFont="1" applyBorder="1" applyAlignment="1">
      <alignment horizontal="left" vertical="center"/>
    </xf>
    <xf numFmtId="192" fontId="147" fillId="0" borderId="1" xfId="44" applyNumberFormat="1" applyFont="1" applyBorder="1" applyAlignment="1">
      <alignment vertical="center"/>
    </xf>
    <xf numFmtId="0" fontId="146" fillId="0" borderId="1" xfId="43" applyFont="1" applyFill="1" applyBorder="1" applyAlignment="1">
      <alignment horizontal="left" vertical="center" wrapText="1"/>
    </xf>
    <xf numFmtId="1" fontId="60" fillId="0" borderId="1" xfId="0" applyNumberFormat="1" applyFont="1" applyFill="1" applyBorder="1" applyAlignment="1">
      <alignment horizontal="center" vertical="center"/>
    </xf>
    <xf numFmtId="0" fontId="90" fillId="0" borderId="0" xfId="0" applyFont="1" applyFill="1" applyBorder="1" applyAlignment="1"/>
    <xf numFmtId="0" fontId="90" fillId="0" borderId="0" xfId="0" applyFont="1" applyFill="1" applyBorder="1" applyAlignment="1">
      <alignment horizontal="left"/>
    </xf>
    <xf numFmtId="0" fontId="18" fillId="0" borderId="0" xfId="0" applyFont="1" applyBorder="1" applyAlignment="1">
      <alignment horizontal="left"/>
    </xf>
    <xf numFmtId="1" fontId="60" fillId="0" borderId="0" xfId="0" applyNumberFormat="1" applyFont="1" applyFill="1" applyBorder="1" applyAlignment="1">
      <alignment horizontal="center" vertical="center"/>
    </xf>
    <xf numFmtId="0" fontId="145" fillId="0" borderId="0" xfId="0" applyFont="1" applyFill="1"/>
    <xf numFmtId="0" fontId="148" fillId="0" borderId="0" xfId="0" applyFont="1" applyFill="1"/>
    <xf numFmtId="3" fontId="148" fillId="0" borderId="0" xfId="0" applyNumberFormat="1" applyFont="1" applyFill="1" applyBorder="1" applyAlignment="1">
      <alignment horizontal="center" vertical="center"/>
    </xf>
    <xf numFmtId="0" fontId="148" fillId="0" borderId="0" xfId="0" applyFont="1" applyFill="1" applyBorder="1"/>
    <xf numFmtId="2" fontId="40" fillId="0" borderId="0" xfId="0" applyNumberFormat="1" applyFont="1" applyFill="1" applyBorder="1" applyAlignment="1">
      <alignment horizontal="center"/>
    </xf>
    <xf numFmtId="180" fontId="149" fillId="0" borderId="19" xfId="0" applyNumberFormat="1" applyFont="1" applyFill="1" applyBorder="1" applyAlignment="1">
      <alignment horizontal="center"/>
    </xf>
    <xf numFmtId="41" fontId="149" fillId="0" borderId="19" xfId="50" applyFont="1" applyFill="1" applyBorder="1" applyAlignment="1">
      <alignment horizontal="center"/>
    </xf>
    <xf numFmtId="0" fontId="91" fillId="0" borderId="0" xfId="33" applyFont="1" applyFill="1"/>
    <xf numFmtId="0" fontId="40" fillId="0" borderId="0" xfId="0" applyFont="1" applyFill="1"/>
    <xf numFmtId="0" fontId="148" fillId="0" borderId="0" xfId="0" applyFont="1" applyFill="1" applyAlignment="1">
      <alignment vertical="center"/>
    </xf>
    <xf numFmtId="0" fontId="40" fillId="0" borderId="0" xfId="0" applyFont="1" applyFill="1" applyAlignment="1">
      <alignment vertical="center" wrapText="1"/>
    </xf>
    <xf numFmtId="0" fontId="40" fillId="0" borderId="0" xfId="0" applyFont="1" applyFill="1" applyBorder="1" applyAlignment="1">
      <alignment vertical="center"/>
    </xf>
    <xf numFmtId="0" fontId="40" fillId="0" borderId="0" xfId="0" applyFont="1" applyFill="1" applyAlignment="1">
      <alignment vertical="center"/>
    </xf>
    <xf numFmtId="0" fontId="145" fillId="0" borderId="0" xfId="0" applyFont="1" applyFill="1" applyBorder="1" applyAlignment="1">
      <alignment vertical="center"/>
    </xf>
    <xf numFmtId="0" fontId="145" fillId="0" borderId="0" xfId="0" applyFont="1" applyFill="1" applyAlignment="1">
      <alignment vertical="center"/>
    </xf>
    <xf numFmtId="0" fontId="145" fillId="0" borderId="0" xfId="0" applyFont="1" applyFill="1" applyBorder="1"/>
    <xf numFmtId="0" fontId="40" fillId="0" borderId="0" xfId="0" applyFont="1" applyFill="1" applyBorder="1"/>
    <xf numFmtId="0" fontId="91" fillId="0" borderId="0" xfId="33" applyFont="1" applyFill="1" applyAlignment="1">
      <alignment vertical="center"/>
    </xf>
    <xf numFmtId="0" fontId="33" fillId="0" borderId="0" xfId="0" applyFont="1" applyFill="1" applyBorder="1"/>
    <xf numFmtId="193" fontId="0" fillId="0" borderId="0" xfId="0" applyNumberFormat="1"/>
    <xf numFmtId="219" fontId="0" fillId="0" borderId="0" xfId="0" applyNumberFormat="1"/>
    <xf numFmtId="0" fontId="146" fillId="10" borderId="1" xfId="43" applyFont="1" applyFill="1" applyBorder="1" applyAlignment="1">
      <alignment horizontal="left" vertical="center" wrapText="1"/>
    </xf>
    <xf numFmtId="192" fontId="95" fillId="10" borderId="1" xfId="44" applyNumberFormat="1" applyFont="1" applyFill="1" applyBorder="1" applyAlignment="1">
      <alignment horizontal="center" vertical="center"/>
    </xf>
    <xf numFmtId="49" fontId="13" fillId="2" borderId="4" xfId="27" applyNumberFormat="1" applyFont="1" applyFill="1" applyBorder="1" applyAlignment="1">
      <alignment horizontal="center" vertical="center"/>
    </xf>
    <xf numFmtId="0" fontId="13" fillId="2" borderId="20" xfId="27" applyFont="1" applyFill="1" applyBorder="1" applyAlignment="1">
      <alignment horizontal="center" vertical="center"/>
    </xf>
    <xf numFmtId="49" fontId="25" fillId="0" borderId="20" xfId="27" applyNumberFormat="1" applyFont="1" applyFill="1" applyBorder="1" applyAlignment="1">
      <alignment horizontal="center" vertical="center"/>
    </xf>
    <xf numFmtId="0" fontId="10" fillId="0" borderId="1" xfId="6" applyFont="1" applyBorder="1" applyAlignment="1">
      <alignment horizontal="center" vertical="center" wrapText="1"/>
    </xf>
    <xf numFmtId="180" fontId="10" fillId="0" borderId="1" xfId="0" applyNumberFormat="1" applyFont="1" applyBorder="1" applyAlignment="1">
      <alignment horizontal="center"/>
    </xf>
    <xf numFmtId="0" fontId="10" fillId="0" borderId="1" xfId="0" applyFont="1" applyBorder="1" applyAlignment="1">
      <alignment horizontal="center"/>
    </xf>
    <xf numFmtId="0" fontId="9" fillId="26" borderId="1" xfId="0" applyFont="1" applyFill="1" applyBorder="1" applyAlignment="1">
      <alignment horizontal="center" vertical="center" wrapText="1"/>
    </xf>
    <xf numFmtId="183" fontId="9" fillId="0" borderId="0" xfId="0" applyNumberFormat="1" applyFont="1" applyFill="1" applyBorder="1" applyAlignment="1">
      <alignment horizontal="center" vertical="center"/>
    </xf>
    <xf numFmtId="49" fontId="9" fillId="30" borderId="1" xfId="5"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9" fillId="26" borderId="2" xfId="7" applyFont="1" applyFill="1" applyBorder="1" applyAlignment="1" applyProtection="1">
      <alignment horizontal="left" vertical="center" wrapText="1"/>
    </xf>
    <xf numFmtId="0" fontId="9" fillId="26" borderId="4" xfId="7" applyFont="1" applyFill="1" applyBorder="1" applyAlignment="1" applyProtection="1">
      <alignment horizontal="left" vertical="center" wrapText="1"/>
    </xf>
    <xf numFmtId="0" fontId="9" fillId="29" borderId="2" xfId="5" applyFont="1" applyFill="1" applyBorder="1" applyAlignment="1">
      <alignment horizontal="left" vertical="center" wrapText="1"/>
    </xf>
    <xf numFmtId="0" fontId="9" fillId="29" borderId="4" xfId="5" applyFont="1" applyFill="1" applyBorder="1" applyAlignment="1">
      <alignment horizontal="left" vertical="center" wrapText="1"/>
    </xf>
    <xf numFmtId="183" fontId="9" fillId="0" borderId="0" xfId="5" applyNumberFormat="1" applyFont="1" applyFill="1" applyBorder="1" applyAlignment="1">
      <alignment horizontal="center" vertical="center"/>
    </xf>
    <xf numFmtId="0" fontId="85" fillId="0" borderId="0" xfId="35" applyFont="1" applyFill="1" applyBorder="1" applyAlignment="1">
      <alignment horizontal="left" vertical="center" wrapText="1"/>
    </xf>
    <xf numFmtId="0" fontId="85" fillId="0" borderId="0" xfId="32" applyFont="1" applyFill="1" applyBorder="1" applyAlignment="1">
      <alignment horizontal="left" vertical="center" wrapText="1"/>
    </xf>
    <xf numFmtId="0" fontId="107" fillId="9" borderId="1" xfId="5" applyFont="1" applyFill="1" applyBorder="1" applyAlignment="1">
      <alignment horizontal="center" vertical="center"/>
    </xf>
    <xf numFmtId="0" fontId="109" fillId="9" borderId="1" xfId="5" applyFont="1" applyFill="1" applyBorder="1" applyAlignment="1">
      <alignment horizontal="center" vertical="center"/>
    </xf>
    <xf numFmtId="0" fontId="109" fillId="9" borderId="0" xfId="5" applyFont="1" applyFill="1" applyAlignment="1">
      <alignment horizontal="left" vertical="center" wrapText="1"/>
    </xf>
    <xf numFmtId="0" fontId="109" fillId="9" borderId="0" xfId="5" applyFont="1" applyFill="1" applyAlignment="1">
      <alignment horizontal="center" vertical="center" wrapText="1"/>
    </xf>
    <xf numFmtId="0" fontId="107" fillId="9" borderId="1" xfId="46" applyFont="1" applyFill="1" applyBorder="1" applyAlignment="1">
      <alignment horizontal="center" vertical="center"/>
    </xf>
    <xf numFmtId="0" fontId="111" fillId="9" borderId="0" xfId="5" applyFont="1" applyFill="1" applyAlignment="1">
      <alignment horizontal="right" vertical="center"/>
    </xf>
    <xf numFmtId="202" fontId="13" fillId="0" borderId="0" xfId="5" applyNumberFormat="1" applyFont="1" applyAlignment="1" applyProtection="1">
      <alignment horizontal="center" vertical="center"/>
      <protection locked="0"/>
    </xf>
    <xf numFmtId="0" fontId="112" fillId="9" borderId="0" xfId="5" applyFont="1" applyFill="1"/>
    <xf numFmtId="0" fontId="109" fillId="9" borderId="0" xfId="5" applyFont="1" applyFill="1" applyAlignment="1">
      <alignment vertical="center"/>
    </xf>
    <xf numFmtId="169" fontId="107" fillId="9" borderId="0" xfId="42" applyFont="1" applyFill="1" applyAlignment="1">
      <alignment vertical="center"/>
    </xf>
    <xf numFmtId="165" fontId="107" fillId="9" borderId="0" xfId="5" applyNumberFormat="1" applyFont="1" applyFill="1" applyAlignment="1">
      <alignment vertical="center"/>
    </xf>
    <xf numFmtId="193" fontId="9" fillId="46" borderId="1" xfId="0" applyNumberFormat="1" applyFont="1" applyFill="1" applyBorder="1" applyAlignment="1" applyProtection="1">
      <alignment horizontal="center" vertical="center"/>
      <protection locked="0"/>
    </xf>
    <xf numFmtId="3" fontId="10" fillId="46" borderId="0" xfId="0" applyNumberFormat="1" applyFont="1" applyFill="1" applyBorder="1" applyAlignment="1">
      <alignment horizontal="center" vertical="center"/>
    </xf>
    <xf numFmtId="3" fontId="10" fillId="46" borderId="0" xfId="0" applyNumberFormat="1" applyFont="1" applyFill="1" applyBorder="1" applyAlignment="1">
      <alignment vertical="center"/>
    </xf>
    <xf numFmtId="0" fontId="10" fillId="46" borderId="0" xfId="13" applyFont="1" applyFill="1" applyBorder="1" applyAlignment="1">
      <alignment vertical="center"/>
    </xf>
    <xf numFmtId="184" fontId="10" fillId="46" borderId="0" xfId="13" applyNumberFormat="1" applyFont="1" applyFill="1" applyBorder="1" applyAlignment="1">
      <alignment vertical="center"/>
    </xf>
    <xf numFmtId="173" fontId="10" fillId="46" borderId="0" xfId="13" applyNumberFormat="1" applyFont="1" applyFill="1" applyBorder="1" applyAlignment="1">
      <alignment vertical="center"/>
    </xf>
    <xf numFmtId="3" fontId="10" fillId="46" borderId="0" xfId="13" applyNumberFormat="1" applyFont="1" applyFill="1" applyBorder="1" applyAlignment="1">
      <alignment horizontal="center" vertical="center"/>
    </xf>
    <xf numFmtId="0" fontId="10" fillId="46" borderId="0" xfId="0" applyFont="1" applyFill="1" applyBorder="1" applyAlignment="1">
      <alignment vertical="center"/>
    </xf>
    <xf numFmtId="10" fontId="9" fillId="46" borderId="1" xfId="15" applyNumberFormat="1" applyFont="1" applyFill="1" applyBorder="1" applyAlignment="1" applyProtection="1">
      <alignment horizontal="center" vertical="center" wrapText="1"/>
      <protection locked="0"/>
    </xf>
    <xf numFmtId="205" fontId="9" fillId="46" borderId="1" xfId="15" applyNumberFormat="1" applyFont="1" applyFill="1" applyBorder="1" applyAlignment="1" applyProtection="1">
      <alignment horizontal="center" vertical="center" wrapText="1"/>
      <protection locked="0"/>
    </xf>
    <xf numFmtId="9" fontId="9" fillId="46" borderId="1" xfId="15" applyFont="1" applyFill="1" applyBorder="1" applyAlignment="1" applyProtection="1">
      <alignment horizontal="center" vertical="center" wrapText="1"/>
      <protection locked="0"/>
    </xf>
    <xf numFmtId="193" fontId="9" fillId="15" borderId="1" xfId="0" applyNumberFormat="1" applyFont="1" applyFill="1" applyBorder="1" applyAlignment="1" applyProtection="1">
      <alignment horizontal="center" vertical="center"/>
      <protection locked="0"/>
    </xf>
    <xf numFmtId="10" fontId="9" fillId="15" borderId="20" xfId="15" applyNumberFormat="1" applyFont="1" applyFill="1" applyBorder="1" applyAlignment="1">
      <alignment vertical="center" wrapText="1"/>
    </xf>
    <xf numFmtId="192" fontId="9" fillId="15" borderId="5" xfId="29" applyNumberFormat="1" applyFont="1" applyFill="1" applyBorder="1" applyAlignment="1">
      <alignment horizontal="center" vertical="center"/>
    </xf>
    <xf numFmtId="10" fontId="9" fillId="15" borderId="1" xfId="15" applyNumberFormat="1" applyFont="1" applyFill="1" applyBorder="1" applyAlignment="1">
      <alignment horizontal="center" vertical="center" wrapText="1"/>
    </xf>
    <xf numFmtId="192" fontId="9" fillId="15" borderId="1" xfId="29" applyNumberFormat="1" applyFont="1" applyFill="1" applyBorder="1" applyAlignment="1">
      <alignment horizontal="center" vertical="center"/>
    </xf>
    <xf numFmtId="180" fontId="9" fillId="15" borderId="5" xfId="5" applyNumberFormat="1" applyFont="1" applyFill="1" applyBorder="1" applyAlignment="1" applyProtection="1">
      <alignment horizontal="center" vertical="center"/>
      <protection locked="0"/>
    </xf>
    <xf numFmtId="169" fontId="25" fillId="0" borderId="0" xfId="25" applyFont="1" applyFill="1" applyAlignment="1">
      <alignment vertical="center"/>
    </xf>
    <xf numFmtId="213" fontId="10" fillId="0" borderId="0" xfId="5" applyNumberFormat="1" applyFont="1" applyFill="1" applyBorder="1" applyAlignment="1">
      <alignment vertical="center"/>
    </xf>
    <xf numFmtId="4" fontId="13" fillId="0" borderId="1" xfId="27" applyNumberFormat="1" applyFont="1" applyFill="1" applyBorder="1" applyAlignment="1">
      <alignment horizontal="center" vertical="center" wrapText="1"/>
    </xf>
    <xf numFmtId="190" fontId="25" fillId="0" borderId="0" xfId="15" applyNumberFormat="1" applyFont="1" applyFill="1" applyAlignment="1">
      <alignment vertical="center"/>
    </xf>
    <xf numFmtId="190" fontId="25" fillId="0" borderId="0" xfId="27" applyNumberFormat="1" applyFont="1" applyFill="1" applyAlignment="1">
      <alignment vertical="center"/>
    </xf>
    <xf numFmtId="49" fontId="24" fillId="0" borderId="1" xfId="27" applyNumberFormat="1" applyFont="1" applyFill="1" applyBorder="1" applyAlignment="1">
      <alignment horizontal="left" vertical="center" wrapText="1"/>
    </xf>
    <xf numFmtId="221" fontId="25" fillId="0" borderId="1" xfId="25" applyNumberFormat="1" applyFont="1" applyFill="1" applyBorder="1" applyAlignment="1">
      <alignment vertical="center"/>
    </xf>
    <xf numFmtId="220" fontId="25" fillId="0" borderId="0" xfId="15" applyNumberFormat="1" applyFont="1" applyFill="1" applyBorder="1" applyAlignment="1">
      <alignment vertical="center"/>
    </xf>
    <xf numFmtId="185" fontId="25" fillId="0" borderId="0" xfId="27" applyNumberFormat="1" applyFont="1" applyFill="1" applyBorder="1" applyAlignment="1">
      <alignment vertical="center"/>
    </xf>
    <xf numFmtId="190" fontId="13" fillId="23" borderId="1" xfId="27" applyNumberFormat="1" applyFont="1" applyFill="1" applyBorder="1" applyAlignment="1">
      <alignment horizontal="center" vertical="center"/>
    </xf>
    <xf numFmtId="222" fontId="25" fillId="0" borderId="0" xfId="25" applyNumberFormat="1" applyFont="1" applyFill="1" applyAlignment="1">
      <alignment vertical="center"/>
    </xf>
    <xf numFmtId="192" fontId="7" fillId="0" borderId="0" xfId="5" applyNumberFormat="1" applyFont="1" applyAlignment="1">
      <alignment horizontal="center"/>
    </xf>
    <xf numFmtId="193" fontId="10" fillId="0" borderId="0" xfId="7" applyNumberFormat="1" applyFont="1" applyFill="1" applyAlignment="1">
      <alignment horizontal="center"/>
    </xf>
    <xf numFmtId="181" fontId="7" fillId="0" borderId="0" xfId="5" applyNumberFormat="1" applyFont="1"/>
    <xf numFmtId="195" fontId="7" fillId="0" borderId="0" xfId="5" applyNumberFormat="1" applyFont="1" applyAlignment="1">
      <alignment horizontal="center"/>
    </xf>
    <xf numFmtId="193" fontId="10" fillId="0" borderId="0" xfId="5" applyNumberFormat="1" applyFont="1" applyFill="1" applyBorder="1" applyAlignment="1">
      <alignment horizontal="center" vertical="center" wrapText="1"/>
    </xf>
    <xf numFmtId="193" fontId="7" fillId="0" borderId="0" xfId="5" applyNumberFormat="1" applyFont="1" applyFill="1"/>
    <xf numFmtId="180" fontId="9" fillId="15" borderId="20" xfId="5" applyNumberFormat="1" applyFont="1" applyFill="1" applyBorder="1" applyAlignment="1">
      <alignment vertical="center" wrapText="1"/>
    </xf>
    <xf numFmtId="164" fontId="10" fillId="0" borderId="1" xfId="41" applyFont="1" applyFill="1" applyBorder="1" applyAlignment="1">
      <alignment vertical="center"/>
    </xf>
    <xf numFmtId="0" fontId="10" fillId="0" borderId="1" xfId="5" applyFont="1" applyFill="1" applyBorder="1" applyAlignment="1">
      <alignment vertical="center"/>
    </xf>
    <xf numFmtId="0" fontId="10" fillId="0" borderId="1" xfId="5" applyFont="1" applyFill="1" applyBorder="1" applyAlignment="1">
      <alignment wrapText="1"/>
    </xf>
    <xf numFmtId="1" fontId="24" fillId="0" borderId="1" xfId="5" applyNumberFormat="1" applyFont="1" applyFill="1" applyBorder="1" applyAlignment="1" applyProtection="1">
      <alignment horizontal="center" vertical="center"/>
      <protection locked="0"/>
    </xf>
    <xf numFmtId="0" fontId="153" fillId="0" borderId="0" xfId="0" applyFont="1" applyAlignment="1">
      <alignment horizontal="center"/>
    </xf>
    <xf numFmtId="0" fontId="153" fillId="0" borderId="0" xfId="0" applyFont="1"/>
    <xf numFmtId="0" fontId="152" fillId="0" borderId="84" xfId="0" applyFont="1" applyBorder="1" applyAlignment="1">
      <alignment horizontal="center"/>
    </xf>
    <xf numFmtId="2" fontId="152" fillId="0" borderId="84" xfId="0" applyNumberFormat="1" applyFont="1" applyBorder="1" applyAlignment="1">
      <alignment horizontal="center"/>
    </xf>
    <xf numFmtId="0" fontId="152" fillId="0" borderId="84" xfId="0" applyFont="1" applyBorder="1"/>
    <xf numFmtId="176" fontId="152" fillId="0" borderId="84" xfId="15" applyNumberFormat="1" applyFont="1" applyFill="1" applyBorder="1" applyAlignment="1">
      <alignment horizontal="center"/>
    </xf>
    <xf numFmtId="9" fontId="152" fillId="0" borderId="0" xfId="0" applyNumberFormat="1" applyFont="1" applyAlignment="1">
      <alignment horizontal="center"/>
    </xf>
    <xf numFmtId="0" fontId="152" fillId="0" borderId="0" xfId="0" applyFont="1"/>
    <xf numFmtId="0" fontId="152" fillId="0" borderId="0" xfId="0" applyFont="1" applyAlignment="1">
      <alignment horizontal="center"/>
    </xf>
    <xf numFmtId="0" fontId="153" fillId="0" borderId="84" xfId="0" applyFont="1" applyBorder="1" applyAlignment="1">
      <alignment horizontal="center"/>
    </xf>
    <xf numFmtId="0" fontId="153" fillId="0" borderId="84" xfId="0" applyFont="1" applyBorder="1" applyAlignment="1">
      <alignment horizontal="left"/>
    </xf>
    <xf numFmtId="176" fontId="153" fillId="0" borderId="84" xfId="0" applyNumberFormat="1" applyFont="1" applyBorder="1" applyAlignment="1">
      <alignment horizontal="center"/>
    </xf>
    <xf numFmtId="0" fontId="153" fillId="0" borderId="84" xfId="0" applyFont="1" applyBorder="1" applyAlignment="1">
      <alignment horizontal="left" vertical="center"/>
    </xf>
    <xf numFmtId="0" fontId="153" fillId="0" borderId="84" xfId="0" applyFont="1" applyBorder="1" applyAlignment="1">
      <alignment horizontal="left" vertical="center" wrapText="1"/>
    </xf>
    <xf numFmtId="0" fontId="153" fillId="0" borderId="84" xfId="0" applyFont="1" applyBorder="1"/>
    <xf numFmtId="10" fontId="153" fillId="0" borderId="0" xfId="0" applyNumberFormat="1" applyFont="1" applyAlignment="1">
      <alignment horizontal="center"/>
    </xf>
    <xf numFmtId="9" fontId="153" fillId="0" borderId="0" xfId="0" applyNumberFormat="1" applyFont="1" applyAlignment="1">
      <alignment horizontal="center" vertical="center"/>
    </xf>
    <xf numFmtId="9" fontId="153" fillId="0" borderId="0" xfId="0" applyNumberFormat="1" applyFont="1" applyAlignment="1">
      <alignment horizontal="center"/>
    </xf>
    <xf numFmtId="176" fontId="153" fillId="0" borderId="0" xfId="0" applyNumberFormat="1" applyFont="1" applyAlignment="1">
      <alignment horizontal="center"/>
    </xf>
    <xf numFmtId="2" fontId="152" fillId="0" borderId="84" xfId="15" applyNumberFormat="1" applyFont="1" applyFill="1" applyBorder="1" applyAlignment="1">
      <alignment horizontal="center"/>
    </xf>
    <xf numFmtId="176" fontId="152" fillId="0" borderId="0" xfId="0" applyNumberFormat="1" applyFont="1" applyAlignment="1">
      <alignment horizontal="center"/>
    </xf>
    <xf numFmtId="0" fontId="152" fillId="0" borderId="84" xfId="0" applyFont="1" applyBorder="1" applyAlignment="1">
      <alignment horizontal="right"/>
    </xf>
    <xf numFmtId="2" fontId="153" fillId="0" borderId="0" xfId="0" applyNumberFormat="1" applyFont="1" applyAlignment="1">
      <alignment horizontal="center"/>
    </xf>
    <xf numFmtId="223" fontId="153" fillId="0" borderId="0" xfId="0" applyNumberFormat="1" applyFont="1" applyAlignment="1">
      <alignment horizontal="center"/>
    </xf>
    <xf numFmtId="176" fontId="153" fillId="0" borderId="0" xfId="0" applyNumberFormat="1" applyFont="1"/>
    <xf numFmtId="0" fontId="85" fillId="0" borderId="0" xfId="35" applyFont="1" applyFill="1" applyBorder="1" applyAlignment="1">
      <alignment horizontal="left" vertical="center" wrapText="1"/>
    </xf>
    <xf numFmtId="0" fontId="85" fillId="0" borderId="0" xfId="32" applyFont="1" applyFill="1" applyBorder="1" applyAlignment="1">
      <alignment horizontal="left" vertical="center" wrapText="1"/>
    </xf>
    <xf numFmtId="183" fontId="9" fillId="0" borderId="0" xfId="5" applyNumberFormat="1" applyFont="1" applyFill="1" applyBorder="1" applyAlignment="1">
      <alignment horizontal="center" vertical="center"/>
    </xf>
    <xf numFmtId="0" fontId="9" fillId="26" borderId="2" xfId="7" applyFont="1" applyFill="1" applyBorder="1" applyAlignment="1" applyProtection="1">
      <alignment horizontal="left" vertical="center" wrapText="1"/>
    </xf>
    <xf numFmtId="0" fontId="9" fillId="26" borderId="4" xfId="7" applyFont="1" applyFill="1" applyBorder="1" applyAlignment="1" applyProtection="1">
      <alignment horizontal="left" vertical="center" wrapText="1"/>
    </xf>
    <xf numFmtId="49" fontId="9" fillId="30" borderId="1" xfId="5" applyNumberFormat="1" applyFont="1" applyFill="1" applyBorder="1" applyAlignment="1">
      <alignment horizontal="center" vertical="center" wrapText="1"/>
    </xf>
    <xf numFmtId="0" fontId="9" fillId="29" borderId="2" xfId="5" applyFont="1" applyFill="1" applyBorder="1" applyAlignment="1">
      <alignment horizontal="left" vertical="center" wrapText="1"/>
    </xf>
    <xf numFmtId="0" fontId="9" fillId="29" borderId="4" xfId="5" applyFont="1" applyFill="1" applyBorder="1" applyAlignment="1">
      <alignment horizontal="left" vertical="center" wrapText="1"/>
    </xf>
    <xf numFmtId="0" fontId="9" fillId="26" borderId="1" xfId="0" applyFont="1" applyFill="1" applyBorder="1" applyAlignment="1">
      <alignment horizontal="center" vertical="center" wrapText="1"/>
    </xf>
    <xf numFmtId="183" fontId="9" fillId="0" borderId="0"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169" fontId="7" fillId="0" borderId="0" xfId="25" applyFont="1" applyAlignment="1">
      <alignment horizontal="center"/>
    </xf>
    <xf numFmtId="165" fontId="7" fillId="0" borderId="0" xfId="0" applyNumberFormat="1" applyFont="1" applyFill="1"/>
    <xf numFmtId="169" fontId="7" fillId="0" borderId="0" xfId="5" applyNumberFormat="1" applyFont="1" applyAlignment="1">
      <alignment horizontal="center"/>
    </xf>
    <xf numFmtId="169" fontId="107" fillId="9" borderId="0" xfId="25" applyFont="1" applyFill="1" applyAlignment="1">
      <alignment vertical="center"/>
    </xf>
    <xf numFmtId="49" fontId="24" fillId="10" borderId="1" xfId="27" applyNumberFormat="1" applyFont="1" applyFill="1" applyBorder="1" applyAlignment="1">
      <alignment horizontal="center" vertical="center"/>
    </xf>
    <xf numFmtId="49" fontId="24" fillId="10" borderId="1" xfId="27" applyNumberFormat="1" applyFont="1" applyFill="1" applyBorder="1" applyAlignment="1">
      <alignment vertical="center"/>
    </xf>
    <xf numFmtId="2" fontId="24" fillId="10" borderId="1" xfId="27" applyNumberFormat="1" applyFont="1" applyFill="1" applyBorder="1" applyAlignment="1">
      <alignment horizontal="center" vertical="center"/>
    </xf>
    <xf numFmtId="205" fontId="24" fillId="10" borderId="1" xfId="27" applyNumberFormat="1" applyFont="1" applyFill="1" applyBorder="1" applyAlignment="1">
      <alignment horizontal="center" vertical="center"/>
    </xf>
    <xf numFmtId="3" fontId="24" fillId="10" borderId="1" xfId="27" applyNumberFormat="1" applyFont="1" applyFill="1" applyBorder="1" applyAlignment="1">
      <alignment horizontal="center" vertical="center"/>
    </xf>
    <xf numFmtId="190" fontId="24" fillId="10" borderId="1" xfId="27" applyNumberFormat="1" applyFont="1" applyFill="1" applyBorder="1" applyAlignment="1">
      <alignment horizontal="center" vertical="center"/>
    </xf>
    <xf numFmtId="3" fontId="24" fillId="10" borderId="1" xfId="27" applyNumberFormat="1" applyFont="1" applyFill="1" applyBorder="1" applyAlignment="1">
      <alignment vertical="center"/>
    </xf>
    <xf numFmtId="185" fontId="25" fillId="10" borderId="0" xfId="27" applyNumberFormat="1" applyFont="1" applyFill="1" applyAlignment="1">
      <alignment vertical="center"/>
    </xf>
    <xf numFmtId="0" fontId="106" fillId="10" borderId="0" xfId="27" applyFont="1" applyFill="1" applyBorder="1" applyAlignment="1">
      <alignment vertical="center"/>
    </xf>
    <xf numFmtId="169" fontId="106" fillId="10" borderId="0" xfId="25" applyFont="1" applyFill="1" applyBorder="1" applyAlignment="1">
      <alignment vertical="center"/>
    </xf>
    <xf numFmtId="0" fontId="106" fillId="10" borderId="0" xfId="27" applyFont="1" applyFill="1" applyAlignment="1">
      <alignment vertical="center"/>
    </xf>
    <xf numFmtId="0" fontId="0" fillId="10" borderId="0" xfId="0" applyFill="1"/>
    <xf numFmtId="49" fontId="24" fillId="10" borderId="1" xfId="27" applyNumberFormat="1" applyFont="1" applyFill="1" applyBorder="1" applyAlignment="1">
      <alignment vertical="center" wrapText="1"/>
    </xf>
    <xf numFmtId="0" fontId="25" fillId="10" borderId="0" xfId="27" applyFont="1" applyFill="1" applyAlignment="1">
      <alignment vertical="center"/>
    </xf>
    <xf numFmtId="0" fontId="140" fillId="0" borderId="0" xfId="0" applyFont="1" applyBorder="1" applyAlignment="1">
      <alignment vertical="center" wrapText="1"/>
    </xf>
    <xf numFmtId="0" fontId="155" fillId="0" borderId="0" xfId="0" applyFont="1" applyBorder="1" applyAlignment="1">
      <alignment horizontal="right" vertical="center" wrapText="1"/>
    </xf>
    <xf numFmtId="0" fontId="143" fillId="0" borderId="0" xfId="0" applyFont="1" applyBorder="1" applyAlignment="1">
      <alignment horizontal="center" vertical="center" wrapText="1"/>
    </xf>
    <xf numFmtId="0" fontId="155" fillId="0" borderId="0" xfId="0" applyFont="1" applyBorder="1" applyAlignment="1">
      <alignment horizontal="center" vertical="center" wrapText="1"/>
    </xf>
    <xf numFmtId="0" fontId="143" fillId="0" borderId="0" xfId="0" applyFont="1" applyBorder="1" applyAlignment="1">
      <alignment horizontal="left" vertical="center" wrapText="1"/>
    </xf>
    <xf numFmtId="0" fontId="90" fillId="0" borderId="0" xfId="5" applyFont="1"/>
    <xf numFmtId="0" fontId="90" fillId="0" borderId="0" xfId="5" applyFont="1" applyFill="1"/>
    <xf numFmtId="0" fontId="90" fillId="0" borderId="86" xfId="5" applyFont="1" applyBorder="1"/>
    <xf numFmtId="0" fontId="90" fillId="0" borderId="87" xfId="5" applyFont="1" applyBorder="1"/>
    <xf numFmtId="0" fontId="90" fillId="0" borderId="88" xfId="5" applyFont="1" applyFill="1" applyBorder="1"/>
    <xf numFmtId="0" fontId="90" fillId="0" borderId="89" xfId="5" applyFont="1" applyBorder="1"/>
    <xf numFmtId="0" fontId="90" fillId="0" borderId="0" xfId="5" applyFont="1" applyBorder="1"/>
    <xf numFmtId="0" fontId="90" fillId="0" borderId="85" xfId="5" applyFont="1" applyFill="1" applyBorder="1"/>
    <xf numFmtId="0" fontId="157" fillId="0" borderId="0" xfId="5" applyFont="1" applyBorder="1"/>
    <xf numFmtId="0" fontId="158" fillId="0" borderId="0" xfId="5" applyFont="1" applyBorder="1"/>
    <xf numFmtId="0" fontId="154" fillId="0" borderId="85" xfId="5" applyFont="1" applyFill="1" applyBorder="1" applyAlignment="1">
      <alignment horizontal="center" wrapText="1"/>
    </xf>
    <xf numFmtId="0" fontId="30" fillId="0" borderId="0" xfId="5" applyFont="1" applyBorder="1"/>
    <xf numFmtId="0" fontId="56" fillId="0" borderId="85" xfId="59" applyFont="1" applyFill="1" applyBorder="1" applyAlignment="1">
      <alignment horizontal="center" vertical="center"/>
    </xf>
    <xf numFmtId="0" fontId="56" fillId="0" borderId="85" xfId="5" applyFont="1" applyFill="1" applyBorder="1" applyAlignment="1">
      <alignment horizontal="center" vertical="center"/>
    </xf>
    <xf numFmtId="0" fontId="30" fillId="0" borderId="94" xfId="5" applyFont="1" applyBorder="1" applyAlignment="1">
      <alignment horizontal="center"/>
    </xf>
    <xf numFmtId="0" fontId="48" fillId="0" borderId="18" xfId="5" applyFont="1" applyBorder="1" applyAlignment="1">
      <alignment horizontal="center"/>
    </xf>
    <xf numFmtId="0" fontId="30" fillId="0" borderId="18" xfId="5" applyFont="1" applyBorder="1" applyAlignment="1">
      <alignment vertical="center"/>
    </xf>
    <xf numFmtId="0" fontId="30" fillId="0" borderId="93" xfId="5" applyFont="1" applyBorder="1" applyAlignment="1">
      <alignment vertical="center"/>
    </xf>
    <xf numFmtId="0" fontId="56" fillId="0" borderId="85" xfId="5" applyFont="1" applyFill="1" applyBorder="1" applyAlignment="1">
      <alignment vertical="center"/>
    </xf>
    <xf numFmtId="0" fontId="30" fillId="0" borderId="76" xfId="5" applyFont="1" applyBorder="1" applyAlignment="1">
      <alignment horizontal="center"/>
    </xf>
    <xf numFmtId="0" fontId="48" fillId="0" borderId="52" xfId="5" applyFont="1" applyBorder="1" applyAlignment="1">
      <alignment horizontal="center"/>
    </xf>
    <xf numFmtId="0" fontId="30" fillId="0" borderId="52" xfId="5" applyFont="1" applyBorder="1" applyAlignment="1">
      <alignment horizontal="right" vertical="center"/>
    </xf>
    <xf numFmtId="0" fontId="30" fillId="0" borderId="9" xfId="5" applyFont="1" applyBorder="1" applyAlignment="1">
      <alignment horizontal="center" vertical="center"/>
    </xf>
    <xf numFmtId="0" fontId="30" fillId="0" borderId="23" xfId="5" applyFont="1" applyBorder="1" applyAlignment="1">
      <alignment horizontal="center" vertical="center"/>
    </xf>
    <xf numFmtId="0" fontId="30" fillId="0" borderId="54" xfId="5" applyFont="1" applyBorder="1" applyAlignment="1">
      <alignment horizontal="center"/>
    </xf>
    <xf numFmtId="0" fontId="48" fillId="0" borderId="0" xfId="5" applyFont="1" applyBorder="1" applyAlignment="1">
      <alignment horizontal="center"/>
    </xf>
    <xf numFmtId="0" fontId="30" fillId="0" borderId="0" xfId="5" applyFont="1" applyBorder="1" applyAlignment="1">
      <alignment horizontal="right" vertical="center"/>
    </xf>
    <xf numFmtId="1" fontId="30" fillId="0" borderId="1" xfId="5" applyNumberFormat="1" applyFont="1" applyBorder="1" applyAlignment="1">
      <alignment horizontal="center" vertical="center"/>
    </xf>
    <xf numFmtId="1" fontId="30" fillId="0" borderId="15" xfId="5" applyNumberFormat="1" applyFont="1" applyBorder="1" applyAlignment="1">
      <alignment horizontal="center" vertical="center"/>
    </xf>
    <xf numFmtId="1" fontId="56" fillId="0" borderId="85" xfId="5" applyNumberFormat="1" applyFont="1" applyFill="1" applyBorder="1" applyAlignment="1">
      <alignment horizontal="center" vertical="center"/>
    </xf>
    <xf numFmtId="1" fontId="30" fillId="0" borderId="55" xfId="5" applyNumberFormat="1" applyFont="1" applyBorder="1" applyAlignment="1">
      <alignment horizontal="center" vertical="center"/>
    </xf>
    <xf numFmtId="0" fontId="30" fillId="0" borderId="95" xfId="5" applyFont="1" applyBorder="1" applyAlignment="1">
      <alignment horizontal="left"/>
    </xf>
    <xf numFmtId="0" fontId="30" fillId="0" borderId="6" xfId="5" applyFont="1" applyBorder="1" applyAlignment="1">
      <alignment horizontal="center"/>
    </xf>
    <xf numFmtId="0" fontId="30" fillId="0" borderId="92" xfId="5" applyFont="1" applyBorder="1" applyAlignment="1">
      <alignment horizontal="center"/>
    </xf>
    <xf numFmtId="0" fontId="56" fillId="0" borderId="85" xfId="5" applyFont="1" applyFill="1" applyBorder="1" applyAlignment="1">
      <alignment horizontal="center"/>
    </xf>
    <xf numFmtId="0" fontId="30" fillId="0" borderId="62" xfId="5" applyFont="1" applyBorder="1"/>
    <xf numFmtId="0" fontId="30" fillId="0" borderId="32" xfId="5" applyFont="1" applyBorder="1"/>
    <xf numFmtId="0" fontId="30" fillId="0" borderId="67" xfId="5" applyFont="1" applyBorder="1"/>
    <xf numFmtId="0" fontId="30" fillId="0" borderId="76" xfId="5" applyFont="1" applyBorder="1"/>
    <xf numFmtId="0" fontId="30" fillId="0" borderId="52" xfId="5" applyFont="1" applyBorder="1"/>
    <xf numFmtId="0" fontId="30" fillId="0" borderId="75" xfId="5" applyFont="1" applyBorder="1"/>
    <xf numFmtId="0" fontId="162" fillId="0" borderId="85" xfId="5" applyFont="1" applyFill="1" applyBorder="1" applyAlignment="1" applyProtection="1">
      <alignment horizontal="center"/>
      <protection locked="0"/>
    </xf>
    <xf numFmtId="0" fontId="30" fillId="0" borderId="54" xfId="5" applyFont="1" applyBorder="1"/>
    <xf numFmtId="0" fontId="30" fillId="0" borderId="55" xfId="5" applyFont="1" applyBorder="1"/>
    <xf numFmtId="0" fontId="48" fillId="47" borderId="96" xfId="5" applyFont="1" applyFill="1" applyBorder="1" applyAlignment="1">
      <alignment horizontal="center" vertical="center"/>
    </xf>
    <xf numFmtId="0" fontId="162" fillId="0" borderId="85" xfId="5" applyFont="1" applyFill="1" applyBorder="1" applyAlignment="1">
      <alignment horizontal="center" vertical="center"/>
    </xf>
    <xf numFmtId="0" fontId="30" fillId="47" borderId="97" xfId="5" applyFont="1" applyFill="1" applyBorder="1" applyAlignment="1">
      <alignment horizontal="center" vertical="center"/>
    </xf>
    <xf numFmtId="4" fontId="30" fillId="47" borderId="97" xfId="5" applyNumberFormat="1" applyFont="1" applyFill="1" applyBorder="1" applyAlignment="1">
      <alignment horizontal="center" vertical="center"/>
    </xf>
    <xf numFmtId="4" fontId="90" fillId="0" borderId="85" xfId="5" applyNumberFormat="1" applyFont="1" applyFill="1" applyBorder="1" applyAlignment="1">
      <alignment horizontal="center" vertical="center"/>
    </xf>
    <xf numFmtId="0" fontId="162" fillId="0" borderId="85" xfId="5" applyFont="1" applyFill="1" applyBorder="1" applyAlignment="1">
      <alignment horizontal="left" vertical="center"/>
    </xf>
    <xf numFmtId="0" fontId="48" fillId="47" borderId="9" xfId="5" applyFont="1" applyFill="1" applyBorder="1" applyAlignment="1">
      <alignment horizontal="center"/>
    </xf>
    <xf numFmtId="0" fontId="48" fillId="47" borderId="23" xfId="5" applyFont="1" applyFill="1" applyBorder="1" applyAlignment="1">
      <alignment horizontal="center"/>
    </xf>
    <xf numFmtId="0" fontId="162" fillId="0" borderId="85" xfId="5" applyFont="1" applyFill="1" applyBorder="1" applyAlignment="1">
      <alignment horizontal="center"/>
    </xf>
    <xf numFmtId="172" fontId="30" fillId="0" borderId="1" xfId="38" applyFont="1" applyBorder="1"/>
    <xf numFmtId="172" fontId="30" fillId="0" borderId="15" xfId="38" applyFont="1" applyBorder="1"/>
    <xf numFmtId="172" fontId="90" fillId="0" borderId="85" xfId="38" applyFont="1" applyFill="1" applyBorder="1"/>
    <xf numFmtId="0" fontId="30" fillId="0" borderId="94" xfId="5" applyFont="1" applyBorder="1"/>
    <xf numFmtId="0" fontId="30" fillId="0" borderId="18" xfId="5" applyFont="1" applyBorder="1"/>
    <xf numFmtId="0" fontId="30" fillId="0" borderId="39" xfId="5" applyFont="1" applyBorder="1"/>
    <xf numFmtId="0" fontId="30" fillId="0" borderId="3" xfId="5" applyFont="1" applyBorder="1"/>
    <xf numFmtId="172" fontId="30" fillId="0" borderId="98" xfId="38" applyFont="1" applyBorder="1"/>
    <xf numFmtId="172" fontId="30" fillId="0" borderId="8" xfId="5" applyNumberFormat="1" applyFont="1" applyBorder="1"/>
    <xf numFmtId="172" fontId="90" fillId="0" borderId="85" xfId="5" applyNumberFormat="1" applyFont="1" applyFill="1" applyBorder="1"/>
    <xf numFmtId="0" fontId="48" fillId="47" borderId="34" xfId="5" applyFont="1" applyFill="1" applyBorder="1" applyAlignment="1">
      <alignment horizontal="center"/>
    </xf>
    <xf numFmtId="0" fontId="30" fillId="0" borderId="4" xfId="5" applyFont="1" applyBorder="1" applyAlignment="1">
      <alignment horizontal="center"/>
    </xf>
    <xf numFmtId="2" fontId="30" fillId="0" borderId="1" xfId="5" applyNumberFormat="1" applyFont="1" applyBorder="1"/>
    <xf numFmtId="0" fontId="30" fillId="0" borderId="13" xfId="5" applyFont="1" applyBorder="1"/>
    <xf numFmtId="172" fontId="30" fillId="0" borderId="16" xfId="38" applyFont="1" applyBorder="1"/>
    <xf numFmtId="172" fontId="30" fillId="0" borderId="8" xfId="38" applyFont="1" applyBorder="1"/>
    <xf numFmtId="0" fontId="48" fillId="47" borderId="35" xfId="5" applyFont="1" applyFill="1" applyBorder="1" applyAlignment="1">
      <alignment horizontal="center"/>
    </xf>
    <xf numFmtId="0" fontId="48" fillId="47" borderId="9" xfId="5" applyFont="1" applyFill="1" applyBorder="1"/>
    <xf numFmtId="2" fontId="30" fillId="0" borderId="1" xfId="5" applyNumberFormat="1" applyFont="1" applyBorder="1" applyAlignment="1">
      <alignment horizontal="center"/>
    </xf>
    <xf numFmtId="2" fontId="30" fillId="0" borderId="4" xfId="5" applyNumberFormat="1" applyFont="1" applyBorder="1" applyAlignment="1">
      <alignment horizontal="center"/>
    </xf>
    <xf numFmtId="0" fontId="30" fillId="0" borderId="98" xfId="5" applyFont="1" applyBorder="1"/>
    <xf numFmtId="0" fontId="30" fillId="0" borderId="42" xfId="5" applyFont="1" applyBorder="1"/>
    <xf numFmtId="172" fontId="30" fillId="0" borderId="60" xfId="38" applyFont="1" applyBorder="1"/>
    <xf numFmtId="0" fontId="48" fillId="47" borderId="35" xfId="5" applyFont="1" applyFill="1" applyBorder="1" applyAlignment="1">
      <alignment horizontal="center" wrapText="1"/>
    </xf>
    <xf numFmtId="0" fontId="48" fillId="47" borderId="9" xfId="5" applyFont="1" applyFill="1" applyBorder="1" applyAlignment="1">
      <alignment horizontal="center" wrapText="1"/>
    </xf>
    <xf numFmtId="0" fontId="48" fillId="47" borderId="23" xfId="5" applyFont="1" applyFill="1" applyBorder="1" applyAlignment="1">
      <alignment horizontal="center" wrapText="1"/>
    </xf>
    <xf numFmtId="0" fontId="162" fillId="0" borderId="85" xfId="5" applyFont="1" applyFill="1" applyBorder="1" applyAlignment="1">
      <alignment horizontal="center" wrapText="1"/>
    </xf>
    <xf numFmtId="0" fontId="30" fillId="0" borderId="53" xfId="5" applyFont="1" applyBorder="1" applyAlignment="1">
      <alignment horizontal="left"/>
    </xf>
    <xf numFmtId="0" fontId="30" fillId="0" borderId="4" xfId="5" applyFont="1" applyBorder="1" applyAlignment="1">
      <alignment horizontal="left"/>
    </xf>
    <xf numFmtId="172" fontId="30" fillId="0" borderId="1" xfId="38" applyFont="1" applyBorder="1" applyAlignment="1">
      <alignment horizontal="center"/>
    </xf>
    <xf numFmtId="0" fontId="30" fillId="0" borderId="4" xfId="15" applyNumberFormat="1" applyFont="1" applyBorder="1" applyAlignment="1">
      <alignment horizontal="center"/>
    </xf>
    <xf numFmtId="224" fontId="30" fillId="0" borderId="7" xfId="5" applyNumberFormat="1" applyFont="1" applyBorder="1" applyAlignment="1">
      <alignment horizontal="center" wrapText="1"/>
    </xf>
    <xf numFmtId="172" fontId="30" fillId="0" borderId="99" xfId="38" applyFont="1" applyBorder="1" applyAlignment="1">
      <alignment horizontal="center" wrapText="1"/>
    </xf>
    <xf numFmtId="172" fontId="90" fillId="0" borderId="85" xfId="38" applyFont="1" applyFill="1" applyBorder="1" applyAlignment="1">
      <alignment horizontal="center" wrapText="1"/>
    </xf>
    <xf numFmtId="224" fontId="30" fillId="47" borderId="8" xfId="5" applyNumberFormat="1" applyFont="1" applyFill="1" applyBorder="1"/>
    <xf numFmtId="224" fontId="90" fillId="0" borderId="85" xfId="5" applyNumberFormat="1" applyFont="1" applyFill="1" applyBorder="1"/>
    <xf numFmtId="0" fontId="48" fillId="47" borderId="37" xfId="5" applyFont="1" applyFill="1" applyBorder="1" applyAlignment="1">
      <alignment horizontal="center" wrapText="1"/>
    </xf>
    <xf numFmtId="43" fontId="30" fillId="0" borderId="4" xfId="38" applyNumberFormat="1" applyFont="1" applyBorder="1"/>
    <xf numFmtId="9" fontId="30" fillId="0" borderId="20" xfId="15" applyFont="1" applyBorder="1"/>
    <xf numFmtId="9" fontId="30" fillId="0" borderId="1" xfId="15" applyFont="1" applyBorder="1" applyAlignment="1">
      <alignment horizontal="center"/>
    </xf>
    <xf numFmtId="43" fontId="30" fillId="0" borderId="15" xfId="38" applyNumberFormat="1" applyFont="1" applyBorder="1"/>
    <xf numFmtId="43" fontId="90" fillId="0" borderId="85" xfId="38" applyNumberFormat="1" applyFont="1" applyFill="1" applyBorder="1"/>
    <xf numFmtId="43" fontId="30" fillId="0" borderId="32" xfId="38" applyNumberFormat="1" applyFont="1" applyBorder="1"/>
    <xf numFmtId="9" fontId="30" fillId="0" borderId="33" xfId="15" applyFont="1" applyBorder="1"/>
    <xf numFmtId="43" fontId="30" fillId="0" borderId="8" xfId="5" applyNumberFormat="1" applyFont="1" applyBorder="1"/>
    <xf numFmtId="43" fontId="90" fillId="0" borderId="85" xfId="5" applyNumberFormat="1" applyFont="1" applyFill="1" applyBorder="1"/>
    <xf numFmtId="43" fontId="30" fillId="47" borderId="8" xfId="5" applyNumberFormat="1" applyFont="1" applyFill="1" applyBorder="1"/>
    <xf numFmtId="0" fontId="30" fillId="0" borderId="6" xfId="5" applyFont="1" applyBorder="1"/>
    <xf numFmtId="0" fontId="164" fillId="0" borderId="85" xfId="5" applyFont="1" applyFill="1" applyBorder="1"/>
    <xf numFmtId="0" fontId="30" fillId="0" borderId="0" xfId="5" applyFont="1" applyBorder="1" applyAlignment="1">
      <alignment horizontal="center"/>
    </xf>
    <xf numFmtId="0" fontId="30" fillId="0" borderId="55" xfId="5" applyFont="1" applyBorder="1" applyAlignment="1">
      <alignment horizontal="center"/>
    </xf>
    <xf numFmtId="0" fontId="90" fillId="0" borderId="85" xfId="5" applyFont="1" applyFill="1" applyBorder="1" applyAlignment="1">
      <alignment horizontal="center"/>
    </xf>
    <xf numFmtId="0" fontId="48" fillId="0" borderId="53" xfId="5" applyFont="1" applyBorder="1"/>
    <xf numFmtId="0" fontId="30" fillId="0" borderId="4" xfId="5" applyFont="1" applyBorder="1"/>
    <xf numFmtId="0" fontId="30" fillId="0" borderId="41" xfId="5" applyFont="1" applyBorder="1"/>
    <xf numFmtId="0" fontId="48" fillId="0" borderId="54" xfId="5" applyFont="1" applyBorder="1" applyAlignment="1">
      <alignment horizontal="left"/>
    </xf>
    <xf numFmtId="0" fontId="6" fillId="0" borderId="85" xfId="5" applyFont="1" applyFill="1" applyBorder="1" applyAlignment="1">
      <alignment wrapText="1"/>
    </xf>
    <xf numFmtId="0" fontId="30" fillId="0" borderId="0" xfId="5" applyFont="1" applyBorder="1" applyAlignment="1">
      <alignment horizontal="left"/>
    </xf>
    <xf numFmtId="0" fontId="30" fillId="0" borderId="54" xfId="5" applyFont="1" applyBorder="1" applyAlignment="1">
      <alignment horizontal="left"/>
    </xf>
    <xf numFmtId="0" fontId="154" fillId="0" borderId="85" xfId="5" applyFont="1" applyFill="1" applyBorder="1" applyAlignment="1">
      <alignment horizontal="right"/>
    </xf>
    <xf numFmtId="0" fontId="90" fillId="0" borderId="100" xfId="5" applyFont="1" applyBorder="1"/>
    <xf numFmtId="0" fontId="90" fillId="0" borderId="101" xfId="5" applyFont="1" applyBorder="1"/>
    <xf numFmtId="0" fontId="90" fillId="0" borderId="102" xfId="5" applyFont="1" applyFill="1" applyBorder="1"/>
    <xf numFmtId="0" fontId="0" fillId="0" borderId="0" xfId="0" applyAlignment="1">
      <alignment horizontal="center" vertical="center"/>
    </xf>
    <xf numFmtId="225" fontId="41" fillId="0" borderId="1" xfId="0" applyNumberFormat="1" applyFont="1" applyFill="1" applyBorder="1" applyAlignment="1">
      <alignment horizontal="left" readingOrder="1"/>
    </xf>
    <xf numFmtId="225" fontId="74" fillId="0" borderId="1" xfId="0" applyNumberFormat="1" applyFont="1" applyFill="1" applyBorder="1" applyAlignment="1">
      <alignment horizontal="left" readingOrder="1"/>
    </xf>
    <xf numFmtId="0" fontId="41" fillId="0" borderId="1" xfId="0" applyFont="1" applyFill="1" applyBorder="1"/>
    <xf numFmtId="0" fontId="154" fillId="0" borderId="85" xfId="21" applyFont="1" applyBorder="1" applyAlignment="1">
      <alignment vertical="center"/>
    </xf>
    <xf numFmtId="0" fontId="154" fillId="0" borderId="0" xfId="21" applyFont="1" applyAlignment="1">
      <alignment vertical="center"/>
    </xf>
    <xf numFmtId="0" fontId="115" fillId="0" borderId="0" xfId="21" applyFont="1" applyAlignment="1">
      <alignment vertical="center"/>
    </xf>
    <xf numFmtId="0" fontId="156" fillId="0" borderId="0" xfId="0" applyFont="1" applyBorder="1" applyAlignment="1">
      <alignment vertical="center"/>
    </xf>
    <xf numFmtId="0" fontId="154" fillId="0" borderId="0" xfId="21" applyFont="1" applyBorder="1" applyAlignment="1">
      <alignment vertical="center"/>
    </xf>
    <xf numFmtId="0" fontId="7" fillId="0" borderId="0" xfId="5" applyFont="1" applyAlignment="1">
      <alignment horizontal="center" vertical="center"/>
    </xf>
    <xf numFmtId="0" fontId="7" fillId="0" borderId="0" xfId="5" applyFont="1" applyFill="1" applyAlignment="1">
      <alignment vertical="center"/>
    </xf>
    <xf numFmtId="0" fontId="7" fillId="0" borderId="0" xfId="5" applyFont="1" applyAlignment="1">
      <alignment vertical="center"/>
    </xf>
    <xf numFmtId="0" fontId="7" fillId="0" borderId="0" xfId="5" applyFont="1" applyBorder="1" applyAlignment="1">
      <alignment vertical="center"/>
    </xf>
    <xf numFmtId="225" fontId="74" fillId="48" borderId="1" xfId="0" applyNumberFormat="1" applyFont="1" applyFill="1" applyBorder="1" applyAlignment="1">
      <alignment horizontal="left" vertical="center"/>
    </xf>
    <xf numFmtId="0" fontId="6" fillId="48" borderId="1" xfId="0" applyFont="1" applyFill="1" applyBorder="1" applyAlignment="1">
      <alignment vertical="center" wrapText="1"/>
    </xf>
    <xf numFmtId="0" fontId="6" fillId="48" borderId="1" xfId="0" applyFont="1" applyFill="1" applyBorder="1" applyAlignment="1">
      <alignment horizontal="center" vertical="center"/>
    </xf>
    <xf numFmtId="169" fontId="6" fillId="48" borderId="1" xfId="25" applyFont="1" applyFill="1" applyBorder="1" applyAlignment="1">
      <alignment vertical="center"/>
    </xf>
    <xf numFmtId="225" fontId="41" fillId="0" borderId="1" xfId="0" applyNumberFormat="1" applyFont="1" applyFill="1" applyBorder="1" applyAlignment="1">
      <alignment horizontal="left" vertical="center"/>
    </xf>
    <xf numFmtId="169" fontId="0" fillId="0" borderId="1" xfId="25" applyFont="1" applyBorder="1" applyAlignment="1">
      <alignment vertical="center"/>
    </xf>
    <xf numFmtId="225" fontId="74" fillId="0" borderId="1" xfId="0" applyNumberFormat="1" applyFont="1" applyFill="1" applyBorder="1" applyAlignment="1">
      <alignment horizontal="left" vertical="center"/>
    </xf>
    <xf numFmtId="0" fontId="6" fillId="0" borderId="1" xfId="0" applyFont="1" applyBorder="1" applyAlignment="1">
      <alignment vertical="center" wrapText="1"/>
    </xf>
    <xf numFmtId="0" fontId="6" fillId="0" borderId="1" xfId="0" applyFont="1" applyBorder="1" applyAlignment="1">
      <alignment horizontal="center" vertical="center"/>
    </xf>
    <xf numFmtId="169" fontId="6" fillId="0" borderId="1" xfId="25" applyFont="1" applyBorder="1" applyAlignment="1">
      <alignment vertical="center"/>
    </xf>
    <xf numFmtId="225" fontId="6" fillId="0" borderId="1" xfId="0" applyNumberFormat="1" applyFont="1" applyFill="1" applyBorder="1" applyAlignment="1">
      <alignment horizontal="left" vertical="center"/>
    </xf>
    <xf numFmtId="225" fontId="7" fillId="0" borderId="1" xfId="0" applyNumberFormat="1" applyFont="1" applyFill="1" applyBorder="1" applyAlignment="1">
      <alignment horizontal="left" vertical="center"/>
    </xf>
    <xf numFmtId="0" fontId="41" fillId="0" borderId="1" xfId="0" applyFont="1" applyFill="1" applyBorder="1" applyAlignment="1">
      <alignment vertical="center"/>
    </xf>
    <xf numFmtId="0" fontId="0" fillId="0" borderId="1" xfId="0" applyBorder="1" applyAlignment="1">
      <alignment vertical="center"/>
    </xf>
    <xf numFmtId="0" fontId="0" fillId="0" borderId="0" xfId="0" applyAlignment="1">
      <alignment vertical="center" wrapText="1"/>
    </xf>
    <xf numFmtId="0" fontId="155" fillId="0" borderId="1" xfId="0" applyFont="1" applyBorder="1" applyAlignment="1">
      <alignment horizontal="right" vertical="center" wrapText="1"/>
    </xf>
    <xf numFmtId="0" fontId="143" fillId="0" borderId="1" xfId="0" applyFont="1" applyBorder="1" applyAlignment="1">
      <alignment horizontal="center" vertical="center" wrapText="1"/>
    </xf>
    <xf numFmtId="0" fontId="155" fillId="0" borderId="1" xfId="0" applyFont="1" applyBorder="1" applyAlignment="1">
      <alignment horizontal="center" vertical="center" wrapText="1"/>
    </xf>
    <xf numFmtId="0" fontId="143" fillId="0" borderId="1" xfId="0" applyFont="1" applyBorder="1" applyAlignment="1">
      <alignment horizontal="left" vertical="center" wrapText="1"/>
    </xf>
    <xf numFmtId="226" fontId="74" fillId="0" borderId="1" xfId="0" applyNumberFormat="1" applyFont="1" applyFill="1" applyBorder="1" applyAlignment="1">
      <alignment horizontal="left" vertical="center"/>
    </xf>
    <xf numFmtId="227" fontId="7" fillId="0" borderId="1" xfId="0" applyNumberFormat="1" applyFont="1" applyFill="1" applyBorder="1" applyAlignment="1">
      <alignment horizontal="left" vertical="center"/>
    </xf>
    <xf numFmtId="0" fontId="74" fillId="0" borderId="1" xfId="0" applyFont="1" applyFill="1" applyBorder="1"/>
    <xf numFmtId="0" fontId="41" fillId="0" borderId="1" xfId="0" applyFont="1" applyFill="1" applyBorder="1" applyAlignment="1">
      <alignment horizontal="center"/>
    </xf>
    <xf numFmtId="0" fontId="0" fillId="0" borderId="1" xfId="0" applyFont="1" applyFill="1" applyBorder="1"/>
    <xf numFmtId="4" fontId="41" fillId="0" borderId="1" xfId="0" applyNumberFormat="1" applyFont="1" applyFill="1" applyBorder="1"/>
    <xf numFmtId="3" fontId="41" fillId="0" borderId="1" xfId="0" applyNumberFormat="1" applyFont="1" applyFill="1" applyBorder="1" applyAlignment="1">
      <alignment horizontal="right" indent="1"/>
    </xf>
    <xf numFmtId="42" fontId="41" fillId="0" borderId="1" xfId="29" applyNumberFormat="1" applyFont="1" applyFill="1" applyBorder="1"/>
    <xf numFmtId="0" fontId="41" fillId="0" borderId="1" xfId="0" applyNumberFormat="1" applyFont="1" applyFill="1" applyBorder="1" applyAlignment="1">
      <alignment horizontal="center"/>
    </xf>
    <xf numFmtId="0" fontId="41" fillId="0" borderId="1" xfId="0" applyNumberFormat="1" applyFont="1" applyFill="1" applyBorder="1"/>
    <xf numFmtId="164" fontId="9" fillId="15" borderId="1" xfId="0" applyNumberFormat="1" applyFont="1" applyFill="1" applyBorder="1" applyAlignment="1" applyProtection="1">
      <alignment horizontal="center" vertical="center"/>
      <protection locked="0"/>
    </xf>
    <xf numFmtId="164" fontId="9" fillId="15" borderId="5" xfId="5" applyNumberFormat="1" applyFont="1" applyFill="1" applyBorder="1" applyAlignment="1" applyProtection="1">
      <alignment horizontal="center" vertical="center"/>
      <protection locked="0"/>
    </xf>
    <xf numFmtId="164" fontId="9" fillId="15" borderId="5" xfId="29" applyNumberFormat="1" applyFont="1" applyFill="1" applyBorder="1" applyAlignment="1">
      <alignment horizontal="center" vertical="center"/>
    </xf>
    <xf numFmtId="164" fontId="9" fillId="15" borderId="1" xfId="29" applyNumberFormat="1" applyFont="1" applyFill="1" applyBorder="1" applyAlignment="1">
      <alignment horizontal="center" vertical="center"/>
    </xf>
    <xf numFmtId="49" fontId="12" fillId="2" borderId="9" xfId="9" applyNumberFormat="1" applyFont="1" applyFill="1" applyBorder="1" applyAlignment="1">
      <alignment horizontal="center" vertical="center"/>
    </xf>
    <xf numFmtId="49" fontId="12" fillId="2" borderId="23" xfId="9" applyNumberFormat="1" applyFont="1" applyFill="1" applyBorder="1" applyAlignment="1">
      <alignment horizontal="center" vertical="center"/>
    </xf>
    <xf numFmtId="49" fontId="12" fillId="2" borderId="34" xfId="9" applyNumberFormat="1" applyFont="1" applyFill="1" applyBorder="1" applyAlignment="1">
      <alignment horizontal="center" vertical="center"/>
    </xf>
    <xf numFmtId="49" fontId="12" fillId="2" borderId="35" xfId="9" applyNumberFormat="1" applyFont="1" applyFill="1" applyBorder="1" applyAlignment="1">
      <alignment horizontal="center" vertical="center"/>
    </xf>
    <xf numFmtId="49" fontId="12" fillId="2" borderId="36" xfId="9" applyNumberFormat="1" applyFont="1" applyFill="1" applyBorder="1" applyAlignment="1">
      <alignment horizontal="center" vertical="center"/>
    </xf>
    <xf numFmtId="49" fontId="12" fillId="3" borderId="13" xfId="9" applyNumberFormat="1" applyFont="1" applyFill="1" applyBorder="1" applyAlignment="1">
      <alignment horizontal="center" vertical="center"/>
    </xf>
    <xf numFmtId="0" fontId="12" fillId="2" borderId="34" xfId="9" applyFont="1" applyFill="1" applyBorder="1" applyAlignment="1">
      <alignment horizontal="left" vertical="center"/>
    </xf>
    <xf numFmtId="0" fontId="12" fillId="2" borderId="35" xfId="9" applyFont="1" applyFill="1" applyBorder="1" applyAlignment="1">
      <alignment horizontal="left" vertical="center"/>
    </xf>
    <xf numFmtId="0" fontId="12" fillId="2" borderId="37" xfId="9" applyFont="1" applyFill="1" applyBorder="1" applyAlignment="1">
      <alignment horizontal="left" vertical="center"/>
    </xf>
    <xf numFmtId="49" fontId="25" fillId="0" borderId="0" xfId="9" applyNumberFormat="1" applyFont="1" applyFill="1" applyAlignment="1">
      <alignment horizontal="center" vertical="center"/>
    </xf>
    <xf numFmtId="49" fontId="12" fillId="5" borderId="1" xfId="9" applyNumberFormat="1" applyFont="1" applyFill="1" applyBorder="1" applyAlignment="1">
      <alignment horizontal="center" vertical="center"/>
    </xf>
    <xf numFmtId="49" fontId="25" fillId="0" borderId="0" xfId="9" applyNumberFormat="1" applyFont="1" applyFill="1" applyBorder="1" applyAlignment="1">
      <alignment horizontal="center" vertical="center"/>
    </xf>
    <xf numFmtId="49" fontId="27" fillId="3" borderId="28" xfId="9" applyNumberFormat="1" applyFont="1" applyFill="1" applyBorder="1" applyAlignment="1">
      <alignment horizontal="center" vertical="center"/>
    </xf>
    <xf numFmtId="49" fontId="27" fillId="3" borderId="29" xfId="9" applyNumberFormat="1" applyFont="1" applyFill="1" applyBorder="1" applyAlignment="1">
      <alignment horizontal="center" vertical="center"/>
    </xf>
    <xf numFmtId="49" fontId="27" fillId="3" borderId="30" xfId="9" applyNumberFormat="1" applyFont="1" applyFill="1" applyBorder="1" applyAlignment="1">
      <alignment horizontal="center" vertical="center"/>
    </xf>
    <xf numFmtId="49" fontId="12" fillId="0" borderId="0" xfId="9" applyNumberFormat="1" applyFont="1" applyFill="1" applyBorder="1" applyAlignment="1">
      <alignment horizontal="center" vertical="center"/>
    </xf>
    <xf numFmtId="49" fontId="12" fillId="3" borderId="31" xfId="9" applyNumberFormat="1" applyFont="1" applyFill="1" applyBorder="1" applyAlignment="1">
      <alignment horizontal="center" vertical="center"/>
    </xf>
    <xf numFmtId="49" fontId="12" fillId="3" borderId="32" xfId="9" applyNumberFormat="1" applyFont="1" applyFill="1" applyBorder="1" applyAlignment="1">
      <alignment horizontal="center" vertical="center"/>
    </xf>
    <xf numFmtId="49" fontId="12" fillId="3" borderId="33" xfId="9" applyNumberFormat="1" applyFont="1" applyFill="1" applyBorder="1" applyAlignment="1">
      <alignment horizontal="center" vertical="center"/>
    </xf>
    <xf numFmtId="49" fontId="25" fillId="0" borderId="2" xfId="9" applyNumberFormat="1" applyFont="1" applyFill="1" applyBorder="1" applyAlignment="1">
      <alignment horizontal="left" vertical="center"/>
    </xf>
    <xf numFmtId="49" fontId="25" fillId="0" borderId="4" xfId="9" applyNumberFormat="1" applyFont="1" applyFill="1" applyBorder="1" applyAlignment="1">
      <alignment horizontal="left" vertical="center"/>
    </xf>
    <xf numFmtId="49" fontId="25" fillId="0" borderId="20" xfId="9" applyNumberFormat="1" applyFont="1" applyFill="1" applyBorder="1" applyAlignment="1">
      <alignment horizontal="left" vertical="center"/>
    </xf>
    <xf numFmtId="0" fontId="12" fillId="0" borderId="1" xfId="27" applyFont="1" applyFill="1" applyBorder="1" applyAlignment="1">
      <alignment horizontal="center" vertical="center"/>
    </xf>
    <xf numFmtId="0" fontId="25" fillId="0" borderId="1" xfId="27" applyFont="1" applyFill="1" applyBorder="1" applyAlignment="1">
      <alignment horizontal="left" vertical="top" wrapText="1"/>
    </xf>
    <xf numFmtId="49" fontId="13" fillId="0" borderId="1" xfId="27" applyNumberFormat="1" applyFont="1" applyFill="1" applyBorder="1" applyAlignment="1">
      <alignment horizontal="center" vertical="center"/>
    </xf>
    <xf numFmtId="49" fontId="13" fillId="23" borderId="2" xfId="27" applyNumberFormat="1" applyFont="1" applyFill="1" applyBorder="1" applyAlignment="1">
      <alignment horizontal="center" vertical="center"/>
    </xf>
    <xf numFmtId="49" fontId="13" fillId="23" borderId="4" xfId="27" applyNumberFormat="1" applyFont="1" applyFill="1" applyBorder="1" applyAlignment="1">
      <alignment horizontal="center" vertical="center"/>
    </xf>
    <xf numFmtId="49" fontId="13" fillId="23" borderId="20" xfId="27" applyNumberFormat="1" applyFont="1" applyFill="1" applyBorder="1" applyAlignment="1">
      <alignment horizontal="center" vertical="center"/>
    </xf>
    <xf numFmtId="49" fontId="13" fillId="2" borderId="2" xfId="27" applyNumberFormat="1" applyFont="1" applyFill="1" applyBorder="1" applyAlignment="1">
      <alignment horizontal="center" vertical="center"/>
    </xf>
    <xf numFmtId="49" fontId="13" fillId="2" borderId="4" xfId="27" applyNumberFormat="1" applyFont="1" applyFill="1" applyBorder="1" applyAlignment="1">
      <alignment horizontal="center" vertical="center"/>
    </xf>
    <xf numFmtId="49" fontId="24" fillId="0" borderId="1" xfId="27" quotePrefix="1" applyNumberFormat="1" applyFont="1" applyFill="1" applyBorder="1" applyAlignment="1">
      <alignment horizontal="left" vertical="center"/>
    </xf>
    <xf numFmtId="49" fontId="24" fillId="0" borderId="1" xfId="27" applyNumberFormat="1" applyFont="1" applyFill="1" applyBorder="1" applyAlignment="1">
      <alignment horizontal="left" vertical="center"/>
    </xf>
    <xf numFmtId="49" fontId="13" fillId="23" borderId="1" xfId="27" applyNumberFormat="1" applyFont="1" applyFill="1" applyBorder="1" applyAlignment="1">
      <alignment horizontal="center" vertical="center"/>
    </xf>
    <xf numFmtId="0" fontId="13" fillId="2" borderId="2" xfId="27" applyFont="1" applyFill="1" applyBorder="1" applyAlignment="1">
      <alignment horizontal="center" vertical="center"/>
    </xf>
    <xf numFmtId="0" fontId="13" fillId="2" borderId="4" xfId="27" applyFont="1" applyFill="1" applyBorder="1" applyAlignment="1">
      <alignment horizontal="center" vertical="center"/>
    </xf>
    <xf numFmtId="0" fontId="13" fillId="2" borderId="20" xfId="27" applyFont="1" applyFill="1" applyBorder="1" applyAlignment="1">
      <alignment horizontal="center" vertical="center"/>
    </xf>
    <xf numFmtId="49" fontId="25" fillId="0" borderId="2" xfId="27" applyNumberFormat="1" applyFont="1" applyFill="1" applyBorder="1" applyAlignment="1">
      <alignment horizontal="center" vertical="center"/>
    </xf>
    <xf numFmtId="49" fontId="25" fillId="0" borderId="4" xfId="27" applyNumberFormat="1" applyFont="1" applyFill="1" applyBorder="1" applyAlignment="1">
      <alignment horizontal="center" vertical="center"/>
    </xf>
    <xf numFmtId="49" fontId="25" fillId="0" borderId="20" xfId="27" applyNumberFormat="1" applyFont="1" applyFill="1" applyBorder="1" applyAlignment="1">
      <alignment horizontal="center" vertical="center"/>
    </xf>
    <xf numFmtId="49" fontId="13" fillId="15" borderId="1" xfId="27" quotePrefix="1" applyNumberFormat="1" applyFont="1" applyFill="1" applyBorder="1" applyAlignment="1">
      <alignment horizontal="center" vertical="center"/>
    </xf>
    <xf numFmtId="0" fontId="24" fillId="0" borderId="5" xfId="6" applyFont="1" applyBorder="1" applyAlignment="1">
      <alignment horizontal="center" vertical="center" wrapText="1"/>
    </xf>
    <xf numFmtId="0" fontId="24" fillId="0" borderId="22" xfId="6" applyFont="1" applyBorder="1" applyAlignment="1">
      <alignment horizontal="center" vertical="center" wrapText="1"/>
    </xf>
    <xf numFmtId="0" fontId="24" fillId="0" borderId="7" xfId="6" applyFont="1" applyBorder="1" applyAlignment="1">
      <alignment horizontal="center" vertical="center" wrapText="1"/>
    </xf>
    <xf numFmtId="0" fontId="10" fillId="0" borderId="1" xfId="6" applyFont="1" applyBorder="1" applyAlignment="1">
      <alignment horizontal="center" vertical="center" wrapText="1"/>
    </xf>
    <xf numFmtId="0" fontId="24" fillId="0" borderId="1" xfId="6" applyFont="1" applyBorder="1" applyAlignment="1">
      <alignment horizontal="center" vertical="center" wrapText="1"/>
    </xf>
    <xf numFmtId="0" fontId="152" fillId="0" borderId="84" xfId="0" applyFont="1" applyBorder="1" applyAlignment="1">
      <alignment horizontal="center" vertical="center" wrapText="1"/>
    </xf>
    <xf numFmtId="0" fontId="152" fillId="0" borderId="84" xfId="0" applyFont="1" applyBorder="1" applyAlignment="1">
      <alignment horizontal="center" vertical="center"/>
    </xf>
    <xf numFmtId="0" fontId="109" fillId="9" borderId="1" xfId="5" applyFont="1" applyFill="1" applyBorder="1" applyAlignment="1">
      <alignment horizontal="center" vertical="center"/>
    </xf>
    <xf numFmtId="172" fontId="109" fillId="9" borderId="1" xfId="46" applyNumberFormat="1" applyFont="1" applyFill="1" applyBorder="1" applyAlignment="1">
      <alignment horizontal="center" vertical="center"/>
    </xf>
    <xf numFmtId="0" fontId="109" fillId="12" borderId="5" xfId="5" applyFont="1" applyFill="1" applyBorder="1" applyAlignment="1">
      <alignment horizontal="center" vertical="center"/>
    </xf>
    <xf numFmtId="0" fontId="109" fillId="12" borderId="7" xfId="5" applyFont="1" applyFill="1" applyBorder="1" applyAlignment="1">
      <alignment horizontal="center" vertical="center"/>
    </xf>
    <xf numFmtId="49" fontId="107" fillId="9" borderId="3" xfId="5" applyNumberFormat="1" applyFont="1" applyFill="1" applyBorder="1" applyAlignment="1">
      <alignment horizontal="center" vertical="center" wrapText="1"/>
    </xf>
    <xf numFmtId="49" fontId="107" fillId="9" borderId="39" xfId="5" applyNumberFormat="1" applyFont="1" applyFill="1" applyBorder="1" applyAlignment="1">
      <alignment horizontal="center" vertical="center" wrapText="1"/>
    </xf>
    <xf numFmtId="49" fontId="107" fillId="9" borderId="19" xfId="5" applyNumberFormat="1" applyFont="1" applyFill="1" applyBorder="1" applyAlignment="1">
      <alignment horizontal="center" vertical="center" wrapText="1"/>
    </xf>
    <xf numFmtId="49" fontId="107" fillId="9" borderId="40" xfId="5" applyNumberFormat="1" applyFont="1" applyFill="1" applyBorder="1" applyAlignment="1">
      <alignment horizontal="center" vertical="center" wrapText="1"/>
    </xf>
    <xf numFmtId="49" fontId="107" fillId="9" borderId="27" xfId="5" applyNumberFormat="1" applyFont="1" applyFill="1" applyBorder="1" applyAlignment="1">
      <alignment horizontal="center" vertical="center" wrapText="1"/>
    </xf>
    <xf numFmtId="49" fontId="107" fillId="9" borderId="21" xfId="5" applyNumberFormat="1" applyFont="1" applyFill="1" applyBorder="1" applyAlignment="1">
      <alignment horizontal="center" vertical="center" wrapText="1"/>
    </xf>
    <xf numFmtId="0" fontId="108" fillId="37" borderId="1" xfId="5" applyFont="1" applyFill="1" applyBorder="1" applyAlignment="1">
      <alignment horizontal="center" vertical="center" wrapText="1"/>
    </xf>
    <xf numFmtId="0" fontId="107" fillId="9" borderId="1" xfId="5" applyFont="1" applyFill="1" applyBorder="1" applyAlignment="1">
      <alignment horizontal="center" vertical="center"/>
    </xf>
    <xf numFmtId="0" fontId="108" fillId="37" borderId="1" xfId="5" applyFont="1" applyFill="1" applyBorder="1" applyAlignment="1">
      <alignment horizontal="center" vertical="center"/>
    </xf>
    <xf numFmtId="0" fontId="110" fillId="9" borderId="2" xfId="5" applyFont="1" applyFill="1" applyBorder="1" applyAlignment="1">
      <alignment horizontal="center" vertical="center" wrapText="1"/>
    </xf>
    <xf numFmtId="0" fontId="110" fillId="9" borderId="4" xfId="5" applyFont="1" applyFill="1" applyBorder="1" applyAlignment="1">
      <alignment horizontal="center" vertical="center" wrapText="1"/>
    </xf>
    <xf numFmtId="0" fontId="110" fillId="9" borderId="20" xfId="5" applyFont="1" applyFill="1" applyBorder="1" applyAlignment="1">
      <alignment horizontal="center" vertical="center" wrapText="1"/>
    </xf>
    <xf numFmtId="172" fontId="107" fillId="9" borderId="1" xfId="46" applyNumberFormat="1" applyFont="1" applyFill="1" applyBorder="1" applyAlignment="1">
      <alignment horizontal="center" vertical="center"/>
    </xf>
    <xf numFmtId="10" fontId="13" fillId="31" borderId="2" xfId="15" applyNumberFormat="1" applyFont="1" applyFill="1" applyBorder="1" applyAlignment="1">
      <alignment horizontal="center"/>
    </xf>
    <xf numFmtId="10" fontId="13" fillId="31" borderId="4" xfId="15" applyNumberFormat="1" applyFont="1" applyFill="1" applyBorder="1" applyAlignment="1">
      <alignment horizontal="center"/>
    </xf>
    <xf numFmtId="10" fontId="13" fillId="31" borderId="20" xfId="15" applyNumberFormat="1" applyFont="1" applyFill="1" applyBorder="1" applyAlignment="1">
      <alignment horizontal="center"/>
    </xf>
    <xf numFmtId="170" fontId="13" fillId="31" borderId="1" xfId="8" applyNumberFormat="1" applyFont="1" applyFill="1" applyBorder="1" applyAlignment="1">
      <alignment horizontal="center" vertical="center" wrapText="1"/>
    </xf>
    <xf numFmtId="0" fontId="24" fillId="0" borderId="5" xfId="8" applyBorder="1" applyAlignment="1">
      <alignment horizontal="center" vertical="center" wrapText="1"/>
    </xf>
    <xf numFmtId="0" fontId="24" fillId="0" borderId="22" xfId="8" applyBorder="1" applyAlignment="1">
      <alignment horizontal="center" vertical="center" wrapText="1"/>
    </xf>
    <xf numFmtId="0" fontId="24" fillId="0" borderId="7" xfId="8" applyBorder="1" applyAlignment="1">
      <alignment horizontal="center" vertical="center" wrapText="1"/>
    </xf>
    <xf numFmtId="10" fontId="10" fillId="0" borderId="1" xfId="15" applyNumberFormat="1" applyFont="1" applyBorder="1" applyAlignment="1">
      <alignment horizontal="center" vertical="center"/>
    </xf>
    <xf numFmtId="0" fontId="9" fillId="31" borderId="1" xfId="8" applyFont="1" applyFill="1" applyBorder="1" applyAlignment="1">
      <alignment horizontal="center" vertical="center" wrapText="1"/>
    </xf>
    <xf numFmtId="0" fontId="13" fillId="31" borderId="2" xfId="8" applyFont="1" applyFill="1" applyBorder="1" applyAlignment="1">
      <alignment horizontal="center"/>
    </xf>
    <xf numFmtId="0" fontId="13" fillId="31" borderId="20" xfId="8" applyFont="1" applyFill="1" applyBorder="1" applyAlignment="1">
      <alignment horizontal="center"/>
    </xf>
    <xf numFmtId="49" fontId="12" fillId="5" borderId="1" xfId="8" applyNumberFormat="1" applyFont="1" applyFill="1" applyBorder="1" applyAlignment="1">
      <alignment horizontal="center" vertical="center" wrapText="1"/>
    </xf>
    <xf numFmtId="0" fontId="13" fillId="31" borderId="1" xfId="8" applyFont="1" applyFill="1" applyBorder="1" applyAlignment="1">
      <alignment horizontal="center"/>
    </xf>
    <xf numFmtId="0" fontId="24" fillId="0" borderId="2" xfId="11" applyFont="1" applyFill="1" applyBorder="1" applyAlignment="1" applyProtection="1">
      <alignment horizontal="center" wrapText="1"/>
      <protection locked="0"/>
    </xf>
    <xf numFmtId="0" fontId="24" fillId="0" borderId="4" xfId="11" applyFont="1" applyFill="1" applyBorder="1" applyAlignment="1" applyProtection="1">
      <alignment horizontal="center" wrapText="1"/>
      <protection locked="0"/>
    </xf>
    <xf numFmtId="0" fontId="24" fillId="0" borderId="20" xfId="11" applyFont="1" applyFill="1" applyBorder="1" applyAlignment="1" applyProtection="1">
      <alignment horizontal="center" wrapText="1"/>
      <protection locked="0"/>
    </xf>
    <xf numFmtId="0" fontId="24" fillId="0" borderId="1" xfId="11" applyFont="1" applyFill="1" applyBorder="1" applyAlignment="1" applyProtection="1">
      <alignment horizontal="center"/>
      <protection locked="0"/>
    </xf>
    <xf numFmtId="0" fontId="13" fillId="0" borderId="3" xfId="11" applyFont="1" applyFill="1" applyBorder="1" applyAlignment="1" applyProtection="1">
      <alignment horizontal="center" vertical="center" wrapText="1"/>
      <protection locked="0"/>
    </xf>
    <xf numFmtId="0" fontId="13" fillId="0" borderId="18" xfId="11" applyFont="1" applyFill="1" applyBorder="1" applyAlignment="1" applyProtection="1">
      <alignment horizontal="center" vertical="center" wrapText="1"/>
      <protection locked="0"/>
    </xf>
    <xf numFmtId="0" fontId="13" fillId="0" borderId="39" xfId="11" applyFont="1" applyFill="1" applyBorder="1" applyAlignment="1" applyProtection="1">
      <alignment horizontal="center" vertical="center" wrapText="1"/>
      <protection locked="0"/>
    </xf>
    <xf numFmtId="0" fontId="13" fillId="0" borderId="19" xfId="11" applyFont="1" applyFill="1" applyBorder="1" applyAlignment="1" applyProtection="1">
      <alignment horizontal="center" vertical="center" wrapText="1"/>
      <protection locked="0"/>
    </xf>
    <xf numFmtId="0" fontId="13" fillId="0" borderId="0" xfId="11" applyFont="1" applyFill="1" applyBorder="1" applyAlignment="1" applyProtection="1">
      <alignment horizontal="center" vertical="center" wrapText="1"/>
      <protection locked="0"/>
    </xf>
    <xf numFmtId="0" fontId="13" fillId="0" borderId="40" xfId="11" applyFont="1" applyFill="1" applyBorder="1" applyAlignment="1" applyProtection="1">
      <alignment horizontal="center" vertical="center" wrapText="1"/>
      <protection locked="0"/>
    </xf>
    <xf numFmtId="0" fontId="13" fillId="0" borderId="27" xfId="11" applyFont="1" applyFill="1" applyBorder="1" applyAlignment="1" applyProtection="1">
      <alignment horizontal="center" vertical="center" wrapText="1"/>
      <protection locked="0"/>
    </xf>
    <xf numFmtId="0" fontId="13" fillId="0" borderId="6" xfId="11" applyFont="1" applyFill="1" applyBorder="1" applyAlignment="1" applyProtection="1">
      <alignment horizontal="center" vertical="center" wrapText="1"/>
      <protection locked="0"/>
    </xf>
    <xf numFmtId="0" fontId="13" fillId="0" borderId="21" xfId="11" applyFont="1" applyFill="1" applyBorder="1" applyAlignment="1" applyProtection="1">
      <alignment horizontal="center" vertical="center" wrapText="1"/>
      <protection locked="0"/>
    </xf>
    <xf numFmtId="1" fontId="13" fillId="0" borderId="5" xfId="11" applyNumberFormat="1" applyFont="1" applyFill="1" applyBorder="1" applyAlignment="1" applyProtection="1">
      <alignment horizontal="center" vertical="center" wrapText="1"/>
      <protection locked="0"/>
    </xf>
    <xf numFmtId="1" fontId="13" fillId="0" borderId="22" xfId="11" applyNumberFormat="1" applyFont="1" applyFill="1" applyBorder="1" applyAlignment="1" applyProtection="1">
      <alignment horizontal="center" vertical="center" wrapText="1"/>
      <protection locked="0"/>
    </xf>
    <xf numFmtId="1" fontId="13" fillId="0" borderId="7" xfId="11" applyNumberFormat="1" applyFont="1" applyFill="1" applyBorder="1" applyAlignment="1" applyProtection="1">
      <alignment horizontal="center" vertical="center" wrapText="1"/>
      <protection locked="0"/>
    </xf>
    <xf numFmtId="0" fontId="10" fillId="0" borderId="2" xfId="0" applyFont="1" applyBorder="1" applyAlignment="1">
      <alignment horizontal="center"/>
    </xf>
    <xf numFmtId="49" fontId="72" fillId="0" borderId="10" xfId="0" applyNumberFormat="1" applyFont="1" applyFill="1" applyBorder="1" applyAlignment="1">
      <alignment horizontal="center" vertical="center" wrapText="1"/>
    </xf>
    <xf numFmtId="0" fontId="72" fillId="0" borderId="9" xfId="0" applyFont="1" applyFill="1" applyBorder="1" applyAlignment="1">
      <alignment horizontal="center" vertical="center" wrapText="1"/>
    </xf>
    <xf numFmtId="180" fontId="10" fillId="0" borderId="9" xfId="0" applyNumberFormat="1" applyFont="1" applyBorder="1" applyAlignment="1">
      <alignment horizontal="center"/>
    </xf>
    <xf numFmtId="180" fontId="10" fillId="0" borderId="23" xfId="0" applyNumberFormat="1" applyFont="1" applyBorder="1" applyAlignment="1">
      <alignment horizontal="center"/>
    </xf>
    <xf numFmtId="180" fontId="10" fillId="0" borderId="1" xfId="0" applyNumberFormat="1" applyFont="1" applyBorder="1" applyAlignment="1">
      <alignment horizontal="center"/>
    </xf>
    <xf numFmtId="180" fontId="10" fillId="0" borderId="15" xfId="0" applyNumberFormat="1" applyFont="1" applyBorder="1" applyAlignment="1">
      <alignment horizontal="center"/>
    </xf>
    <xf numFmtId="180" fontId="10" fillId="0" borderId="13" xfId="0" applyNumberFormat="1" applyFont="1" applyBorder="1" applyAlignment="1">
      <alignment horizontal="center"/>
    </xf>
    <xf numFmtId="180" fontId="10" fillId="0" borderId="16" xfId="0" applyNumberFormat="1" applyFont="1" applyBorder="1" applyAlignment="1">
      <alignment horizontal="center"/>
    </xf>
    <xf numFmtId="49" fontId="24" fillId="0" borderId="11" xfId="0" applyNumberFormat="1" applyFont="1" applyFill="1" applyBorder="1" applyAlignment="1">
      <alignment horizontal="center" vertical="center"/>
    </xf>
    <xf numFmtId="0" fontId="24" fillId="0" borderId="1" xfId="0" applyFont="1" applyFill="1" applyBorder="1" applyAlignment="1">
      <alignment horizontal="center" vertical="center"/>
    </xf>
    <xf numFmtId="175" fontId="25" fillId="0" borderId="12" xfId="0" applyNumberFormat="1" applyFont="1" applyBorder="1" applyAlignment="1">
      <alignment horizontal="center" vertical="center"/>
    </xf>
    <xf numFmtId="175" fontId="25" fillId="0" borderId="13" xfId="0" applyNumberFormat="1" applyFont="1" applyBorder="1" applyAlignment="1">
      <alignment horizontal="center" vertical="center"/>
    </xf>
    <xf numFmtId="0" fontId="72" fillId="0" borderId="13" xfId="0" applyNumberFormat="1" applyFont="1" applyBorder="1" applyAlignment="1">
      <alignment horizontal="center" vertical="center"/>
    </xf>
    <xf numFmtId="0" fontId="9" fillId="2" borderId="1" xfId="13" applyFont="1" applyFill="1" applyBorder="1" applyAlignment="1">
      <alignment horizontal="left" vertical="center" wrapText="1" shrinkToFit="1"/>
    </xf>
    <xf numFmtId="180" fontId="9" fillId="3" borderId="28" xfId="0" applyNumberFormat="1" applyFont="1" applyFill="1" applyBorder="1" applyAlignment="1">
      <alignment horizontal="center"/>
    </xf>
    <xf numFmtId="180" fontId="9" fillId="3" borderId="29" xfId="0" applyNumberFormat="1" applyFont="1" applyFill="1" applyBorder="1" applyAlignment="1">
      <alignment horizontal="center"/>
    </xf>
    <xf numFmtId="180" fontId="9" fillId="3" borderId="38" xfId="0" applyNumberFormat="1" applyFont="1" applyFill="1" applyBorder="1" applyAlignment="1">
      <alignment horizontal="center"/>
    </xf>
    <xf numFmtId="0" fontId="10" fillId="0" borderId="1" xfId="0" applyFont="1" applyBorder="1" applyAlignment="1">
      <alignment horizontal="center"/>
    </xf>
    <xf numFmtId="0" fontId="9" fillId="6" borderId="28" xfId="0" applyFont="1" applyFill="1" applyBorder="1" applyAlignment="1">
      <alignment horizontal="center" vertical="center"/>
    </xf>
    <xf numFmtId="0" fontId="9" fillId="6" borderId="29" xfId="0" applyFont="1" applyFill="1" applyBorder="1" applyAlignment="1">
      <alignment horizontal="center" vertical="center"/>
    </xf>
    <xf numFmtId="0" fontId="9" fillId="6" borderId="38" xfId="0" applyFont="1" applyFill="1" applyBorder="1" applyAlignment="1">
      <alignment horizontal="center" vertical="center"/>
    </xf>
    <xf numFmtId="175" fontId="25" fillId="0" borderId="1" xfId="0" applyNumberFormat="1" applyFont="1" applyBorder="1" applyAlignment="1">
      <alignment horizontal="center" vertical="center"/>
    </xf>
    <xf numFmtId="49" fontId="25" fillId="0" borderId="2" xfId="0" applyNumberFormat="1" applyFont="1" applyFill="1" applyBorder="1" applyAlignment="1">
      <alignment horizontal="center" vertical="center" wrapText="1"/>
    </xf>
    <xf numFmtId="49" fontId="25" fillId="0" borderId="4" xfId="0" applyNumberFormat="1" applyFont="1" applyFill="1" applyBorder="1" applyAlignment="1">
      <alignment horizontal="center" vertical="center" wrapText="1"/>
    </xf>
    <xf numFmtId="49" fontId="25" fillId="0" borderId="20" xfId="0" applyNumberFormat="1" applyFont="1" applyFill="1" applyBorder="1" applyAlignment="1">
      <alignment horizontal="center" vertical="center" wrapText="1"/>
    </xf>
    <xf numFmtId="49" fontId="25" fillId="0" borderId="2" xfId="0" applyNumberFormat="1" applyFont="1" applyFill="1" applyBorder="1" applyAlignment="1">
      <alignment horizontal="center" vertical="center"/>
    </xf>
    <xf numFmtId="49" fontId="25" fillId="0" borderId="4" xfId="0" applyNumberFormat="1" applyFont="1" applyFill="1" applyBorder="1" applyAlignment="1">
      <alignment horizontal="center" vertical="center"/>
    </xf>
    <xf numFmtId="49" fontId="25" fillId="0" borderId="20" xfId="0" applyNumberFormat="1" applyFont="1" applyFill="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20" xfId="0" applyFont="1" applyBorder="1" applyAlignment="1">
      <alignment horizontal="center" vertical="center"/>
    </xf>
    <xf numFmtId="180" fontId="10" fillId="0" borderId="5" xfId="0" applyNumberFormat="1" applyFont="1" applyBorder="1" applyAlignment="1">
      <alignment horizontal="center"/>
    </xf>
    <xf numFmtId="180" fontId="10" fillId="0" borderId="22" xfId="0" applyNumberFormat="1" applyFont="1" applyBorder="1" applyAlignment="1">
      <alignment horizontal="center"/>
    </xf>
    <xf numFmtId="180" fontId="10" fillId="0" borderId="7" xfId="0" applyNumberFormat="1" applyFont="1" applyBorder="1" applyAlignment="1">
      <alignment horizontal="center"/>
    </xf>
    <xf numFmtId="0" fontId="9" fillId="27" borderId="34" xfId="5" applyFont="1" applyFill="1" applyBorder="1" applyAlignment="1">
      <alignment horizontal="center" vertical="center" wrapText="1"/>
    </xf>
    <xf numFmtId="0" fontId="9" fillId="27" borderId="35" xfId="5" applyFont="1" applyFill="1" applyBorder="1" applyAlignment="1">
      <alignment horizontal="center" vertical="center" wrapText="1"/>
    </xf>
    <xf numFmtId="0" fontId="9" fillId="27" borderId="37" xfId="5" applyFont="1" applyFill="1" applyBorder="1" applyAlignment="1">
      <alignment horizontal="center" vertical="center" wrapText="1"/>
    </xf>
    <xf numFmtId="0" fontId="150" fillId="0" borderId="0" xfId="5" applyFont="1" applyAlignment="1">
      <alignment horizontal="center" wrapText="1"/>
    </xf>
    <xf numFmtId="0" fontId="151" fillId="36" borderId="28" xfId="5" applyFont="1" applyFill="1" applyBorder="1" applyAlignment="1" applyProtection="1">
      <alignment horizontal="center" vertical="center" wrapText="1"/>
      <protection hidden="1"/>
    </xf>
    <xf numFmtId="0" fontId="151" fillId="36" borderId="29" xfId="5" applyFont="1" applyFill="1" applyBorder="1" applyAlignment="1" applyProtection="1">
      <alignment horizontal="center" vertical="center" wrapText="1"/>
      <protection hidden="1"/>
    </xf>
    <xf numFmtId="0" fontId="151" fillId="36" borderId="38" xfId="5" applyFont="1" applyFill="1" applyBorder="1" applyAlignment="1" applyProtection="1">
      <alignment horizontal="center" vertical="center" wrapText="1"/>
      <protection hidden="1"/>
    </xf>
    <xf numFmtId="0" fontId="9" fillId="30" borderId="1" xfId="5" applyFont="1" applyFill="1" applyBorder="1" applyAlignment="1">
      <alignment horizontal="center" vertical="center" wrapText="1"/>
    </xf>
    <xf numFmtId="0" fontId="9" fillId="30" borderId="2" xfId="5" applyFont="1" applyFill="1" applyBorder="1" applyAlignment="1">
      <alignment horizontal="center" vertical="center" wrapText="1"/>
    </xf>
    <xf numFmtId="0" fontId="9" fillId="30" borderId="4" xfId="5" applyFont="1" applyFill="1" applyBorder="1" applyAlignment="1">
      <alignment horizontal="center" vertical="center" wrapText="1"/>
    </xf>
    <xf numFmtId="0" fontId="9" fillId="30" borderId="20" xfId="5" applyFont="1" applyFill="1" applyBorder="1" applyAlignment="1">
      <alignment horizontal="center" vertical="center" wrapText="1"/>
    </xf>
    <xf numFmtId="0" fontId="85" fillId="0" borderId="0" xfId="35" applyFont="1" applyFill="1" applyBorder="1" applyAlignment="1">
      <alignment horizontal="left" vertical="center" wrapText="1"/>
    </xf>
    <xf numFmtId="0" fontId="85" fillId="0" borderId="0" xfId="32" applyFont="1" applyFill="1" applyBorder="1" applyAlignment="1">
      <alignment horizontal="left" vertical="center" wrapText="1"/>
    </xf>
    <xf numFmtId="183" fontId="9" fillId="0" borderId="0" xfId="5" applyNumberFormat="1" applyFont="1" applyFill="1" applyBorder="1" applyAlignment="1">
      <alignment horizontal="center" vertical="center"/>
    </xf>
    <xf numFmtId="0" fontId="9" fillId="26" borderId="2" xfId="7" applyFont="1" applyFill="1" applyBorder="1" applyAlignment="1" applyProtection="1">
      <alignment horizontal="left" vertical="center" wrapText="1"/>
    </xf>
    <xf numFmtId="0" fontId="9" fillId="26" borderId="4" xfId="7" applyFont="1" applyFill="1" applyBorder="1" applyAlignment="1" applyProtection="1">
      <alignment horizontal="left" vertical="center" wrapText="1"/>
    </xf>
    <xf numFmtId="49" fontId="13" fillId="26" borderId="4" xfId="5" applyNumberFormat="1" applyFont="1" applyFill="1" applyBorder="1" applyAlignment="1">
      <alignment horizontal="center" vertical="center" wrapText="1"/>
    </xf>
    <xf numFmtId="49" fontId="13" fillId="26" borderId="20" xfId="5" applyNumberFormat="1" applyFont="1" applyFill="1" applyBorder="1" applyAlignment="1">
      <alignment horizontal="center" vertical="center" wrapText="1"/>
    </xf>
    <xf numFmtId="0" fontId="13" fillId="32" borderId="4" xfId="12" applyFont="1" applyFill="1" applyBorder="1" applyAlignment="1">
      <alignment horizontal="center" vertical="center" wrapText="1"/>
    </xf>
    <xf numFmtId="0" fontId="13" fillId="32" borderId="20" xfId="12" applyFont="1" applyFill="1" applyBorder="1" applyAlignment="1">
      <alignment horizontal="center" vertical="center" wrapText="1"/>
    </xf>
    <xf numFmtId="49" fontId="9" fillId="30" borderId="1" xfId="5" applyNumberFormat="1" applyFont="1" applyFill="1" applyBorder="1" applyAlignment="1">
      <alignment horizontal="center" vertical="center" wrapText="1"/>
    </xf>
    <xf numFmtId="0" fontId="9" fillId="27" borderId="27" xfId="5" applyFont="1" applyFill="1" applyBorder="1" applyAlignment="1">
      <alignment horizontal="center" vertical="center" wrapText="1"/>
    </xf>
    <xf numFmtId="0" fontId="9" fillId="27" borderId="21" xfId="5" applyFont="1" applyFill="1" applyBorder="1" applyAlignment="1">
      <alignment horizontal="center" vertical="center" wrapText="1"/>
    </xf>
    <xf numFmtId="0" fontId="9" fillId="29" borderId="2" xfId="5" applyFont="1" applyFill="1" applyBorder="1" applyAlignment="1">
      <alignment horizontal="left" vertical="center" wrapText="1"/>
    </xf>
    <xf numFmtId="0" fontId="9" fillId="29" borderId="4" xfId="5" applyFont="1" applyFill="1" applyBorder="1" applyAlignment="1">
      <alignment horizontal="left" vertical="center" wrapText="1"/>
    </xf>
    <xf numFmtId="0" fontId="9" fillId="46" borderId="2" xfId="12" applyFont="1" applyFill="1" applyBorder="1" applyAlignment="1">
      <alignment horizontal="left" vertical="center" wrapText="1"/>
    </xf>
    <xf numFmtId="0" fontId="9" fillId="46" borderId="4" xfId="12" applyFont="1" applyFill="1" applyBorder="1" applyAlignment="1">
      <alignment horizontal="left" vertical="center" wrapText="1"/>
    </xf>
    <xf numFmtId="0" fontId="9" fillId="46" borderId="20" xfId="12" applyFont="1" applyFill="1" applyBorder="1" applyAlignment="1">
      <alignment horizontal="left" vertical="center" wrapText="1"/>
    </xf>
    <xf numFmtId="0" fontId="9" fillId="46" borderId="2" xfId="12" applyFont="1" applyFill="1" applyBorder="1" applyAlignment="1">
      <alignment horizontal="center" vertical="center" wrapText="1"/>
    </xf>
    <xf numFmtId="0" fontId="9" fillId="46" borderId="4" xfId="12" applyFont="1" applyFill="1" applyBorder="1" applyAlignment="1">
      <alignment horizontal="center" vertical="center" wrapText="1"/>
    </xf>
    <xf numFmtId="0" fontId="9" fillId="46" borderId="20" xfId="12" applyFont="1" applyFill="1" applyBorder="1" applyAlignment="1">
      <alignment horizontal="center" vertical="center" wrapText="1"/>
    </xf>
    <xf numFmtId="0" fontId="150" fillId="36" borderId="2" xfId="5" applyFont="1" applyFill="1" applyBorder="1" applyAlignment="1" applyProtection="1">
      <alignment horizontal="center" vertical="center"/>
      <protection hidden="1"/>
    </xf>
    <xf numFmtId="0" fontId="150" fillId="36" borderId="4" xfId="5" applyFont="1" applyFill="1" applyBorder="1" applyAlignment="1" applyProtection="1">
      <alignment horizontal="center" vertical="center"/>
      <protection hidden="1"/>
    </xf>
    <xf numFmtId="0" fontId="150" fillId="36" borderId="20" xfId="5" applyFont="1" applyFill="1" applyBorder="1" applyAlignment="1" applyProtection="1">
      <alignment horizontal="center" vertical="center"/>
      <protection hidden="1"/>
    </xf>
    <xf numFmtId="0" fontId="9" fillId="15" borderId="2" xfId="5" applyFont="1" applyFill="1" applyBorder="1" applyAlignment="1">
      <alignment horizontal="left" vertical="center" wrapText="1"/>
    </xf>
    <xf numFmtId="0" fontId="9" fillId="15" borderId="4" xfId="5" applyFont="1" applyFill="1" applyBorder="1" applyAlignment="1">
      <alignment horizontal="left" vertical="center" wrapText="1"/>
    </xf>
    <xf numFmtId="49" fontId="9" fillId="29" borderId="4" xfId="5" applyNumberFormat="1" applyFont="1" applyFill="1" applyBorder="1" applyAlignment="1">
      <alignment horizontal="center" vertical="center" wrapText="1"/>
    </xf>
    <xf numFmtId="0" fontId="9" fillId="27" borderId="6" xfId="5" applyFont="1" applyFill="1" applyBorder="1" applyAlignment="1">
      <alignment horizontal="center" vertical="center" wrapText="1"/>
    </xf>
    <xf numFmtId="0" fontId="9" fillId="15" borderId="1" xfId="7" applyFont="1" applyFill="1" applyBorder="1" applyAlignment="1">
      <alignment horizontal="center" vertical="center" wrapText="1"/>
    </xf>
    <xf numFmtId="49" fontId="9" fillId="27" borderId="34" xfId="5" applyNumberFormat="1" applyFont="1" applyFill="1" applyBorder="1" applyAlignment="1">
      <alignment horizontal="center" vertical="center" wrapText="1"/>
    </xf>
    <xf numFmtId="49" fontId="9" fillId="29" borderId="4" xfId="5" applyNumberFormat="1" applyFont="1" applyFill="1" applyBorder="1" applyAlignment="1">
      <alignment horizontal="left" vertical="center" wrapText="1"/>
    </xf>
    <xf numFmtId="0" fontId="9" fillId="15" borderId="5" xfId="7" applyFont="1" applyFill="1" applyBorder="1" applyAlignment="1">
      <alignment horizontal="center" vertical="center" wrapText="1"/>
    </xf>
    <xf numFmtId="173" fontId="9" fillId="15" borderId="1" xfId="0" applyNumberFormat="1" applyFont="1" applyFill="1" applyBorder="1" applyAlignment="1">
      <alignment horizontal="center" vertical="center" wrapText="1"/>
    </xf>
    <xf numFmtId="0" fontId="9" fillId="15" borderId="2" xfId="7" applyFont="1" applyFill="1" applyBorder="1" applyAlignment="1">
      <alignment horizontal="center" vertical="center" wrapText="1"/>
    </xf>
    <xf numFmtId="0" fontId="9" fillId="15" borderId="4" xfId="7" applyFont="1" applyFill="1" applyBorder="1" applyAlignment="1">
      <alignment horizontal="center" vertical="center" wrapText="1"/>
    </xf>
    <xf numFmtId="0" fontId="9" fillId="15" borderId="20" xfId="7" applyFont="1" applyFill="1" applyBorder="1" applyAlignment="1">
      <alignment horizontal="center" vertical="center" wrapText="1"/>
    </xf>
    <xf numFmtId="0" fontId="9" fillId="15" borderId="4" xfId="0" applyFont="1" applyFill="1" applyBorder="1" applyAlignment="1">
      <alignment horizontal="center" vertical="center" wrapText="1"/>
    </xf>
    <xf numFmtId="173" fontId="9" fillId="15" borderId="2" xfId="0" applyNumberFormat="1" applyFont="1" applyFill="1" applyBorder="1" applyAlignment="1">
      <alignment horizontal="center" vertical="center" wrapText="1"/>
    </xf>
    <xf numFmtId="173" fontId="9" fillId="15" borderId="4" xfId="0" applyNumberFormat="1" applyFont="1" applyFill="1" applyBorder="1" applyAlignment="1">
      <alignment horizontal="center" vertical="center" wrapText="1"/>
    </xf>
    <xf numFmtId="173" fontId="9" fillId="15" borderId="20" xfId="0" applyNumberFormat="1" applyFont="1" applyFill="1" applyBorder="1" applyAlignment="1">
      <alignment horizontal="center" vertical="center" wrapText="1"/>
    </xf>
    <xf numFmtId="0" fontId="9" fillId="27" borderId="1" xfId="5" applyFont="1" applyFill="1" applyBorder="1" applyAlignment="1">
      <alignment horizontal="center" vertical="center" wrapText="1"/>
    </xf>
    <xf numFmtId="0" fontId="154" fillId="0" borderId="1" xfId="21" applyFont="1" applyBorder="1" applyAlignment="1">
      <alignment horizontal="center" vertical="center" wrapText="1"/>
    </xf>
    <xf numFmtId="0" fontId="140" fillId="0" borderId="1" xfId="0" applyFont="1" applyBorder="1" applyAlignment="1">
      <alignment horizontal="center" vertical="center" wrapText="1"/>
    </xf>
    <xf numFmtId="0" fontId="154" fillId="0" borderId="0" xfId="21" applyFont="1" applyBorder="1" applyAlignment="1">
      <alignment horizontal="center" vertical="center" wrapText="1"/>
    </xf>
    <xf numFmtId="0" fontId="9" fillId="25" borderId="1" xfId="5" applyFont="1" applyFill="1" applyBorder="1" applyAlignment="1">
      <alignment horizontal="center" vertical="center" wrapText="1"/>
    </xf>
    <xf numFmtId="0" fontId="30" fillId="8" borderId="1" xfId="5" applyFont="1" applyFill="1" applyBorder="1" applyAlignment="1">
      <alignment horizontal="center" vertical="center" wrapText="1"/>
    </xf>
    <xf numFmtId="0" fontId="160" fillId="0" borderId="90" xfId="58" applyFont="1" applyBorder="1" applyAlignment="1" applyProtection="1">
      <alignment horizontal="center"/>
    </xf>
    <xf numFmtId="0" fontId="160" fillId="0" borderId="91" xfId="58" applyFont="1" applyBorder="1" applyAlignment="1" applyProtection="1">
      <alignment horizontal="center"/>
    </xf>
    <xf numFmtId="0" fontId="48" fillId="0" borderId="74" xfId="5" applyFont="1" applyBorder="1" applyAlignment="1">
      <alignment horizontal="center"/>
    </xf>
    <xf numFmtId="0" fontId="48" fillId="0" borderId="52" xfId="5" applyFont="1" applyBorder="1" applyAlignment="1">
      <alignment horizontal="center"/>
    </xf>
    <xf numFmtId="0" fontId="48" fillId="0" borderId="77" xfId="5" applyFont="1" applyBorder="1" applyAlignment="1">
      <alignment horizontal="center"/>
    </xf>
    <xf numFmtId="0" fontId="30" fillId="0" borderId="74" xfId="59" applyFont="1" applyBorder="1" applyAlignment="1">
      <alignment horizontal="center" vertical="center"/>
    </xf>
    <xf numFmtId="0" fontId="30" fillId="0" borderId="52" xfId="59" applyFont="1" applyBorder="1" applyAlignment="1">
      <alignment horizontal="center" vertical="center"/>
    </xf>
    <xf numFmtId="0" fontId="30" fillId="0" borderId="75" xfId="59" applyFont="1" applyBorder="1" applyAlignment="1">
      <alignment horizontal="center" vertical="center"/>
    </xf>
    <xf numFmtId="0" fontId="30" fillId="0" borderId="27" xfId="59" applyFont="1" applyBorder="1" applyAlignment="1">
      <alignment horizontal="center" vertical="center"/>
    </xf>
    <xf numFmtId="0" fontId="30" fillId="0" borderId="6" xfId="59" applyFont="1" applyBorder="1" applyAlignment="1">
      <alignment horizontal="center" vertical="center"/>
    </xf>
    <xf numFmtId="0" fontId="30" fillId="0" borderId="92" xfId="59" applyFont="1" applyBorder="1" applyAlignment="1">
      <alignment horizontal="center" vertical="center"/>
    </xf>
    <xf numFmtId="0" fontId="48" fillId="0" borderId="19" xfId="5" applyFont="1" applyBorder="1" applyAlignment="1">
      <alignment horizontal="center"/>
    </xf>
    <xf numFmtId="0" fontId="48" fillId="0" borderId="0" xfId="5" applyFont="1" applyBorder="1" applyAlignment="1">
      <alignment horizontal="center"/>
    </xf>
    <xf numFmtId="0" fontId="48" fillId="0" borderId="40" xfId="5" applyFont="1" applyBorder="1" applyAlignment="1">
      <alignment horizontal="center"/>
    </xf>
    <xf numFmtId="0" fontId="30" fillId="0" borderId="5" xfId="59" applyFont="1" applyBorder="1" applyAlignment="1">
      <alignment horizontal="center" vertical="center"/>
    </xf>
    <xf numFmtId="0" fontId="30" fillId="0" borderId="7" xfId="5" applyFont="1" applyBorder="1" applyAlignment="1">
      <alignment horizontal="center" vertical="center"/>
    </xf>
    <xf numFmtId="0" fontId="30" fillId="0" borderId="3" xfId="59" applyFont="1" applyBorder="1" applyAlignment="1">
      <alignment horizontal="center" vertical="center"/>
    </xf>
    <xf numFmtId="0" fontId="30" fillId="0" borderId="18" xfId="59" applyFont="1" applyBorder="1" applyAlignment="1">
      <alignment horizontal="center" vertical="center"/>
    </xf>
    <xf numFmtId="0" fontId="30" fillId="0" borderId="93" xfId="59" applyFont="1" applyBorder="1" applyAlignment="1">
      <alignment horizontal="center" vertical="center"/>
    </xf>
    <xf numFmtId="0" fontId="30" fillId="0" borderId="27" xfId="5" applyFont="1" applyBorder="1" applyAlignment="1">
      <alignment horizontal="center" vertical="center"/>
    </xf>
    <xf numFmtId="0" fontId="30" fillId="0" borderId="6" xfId="5" applyFont="1" applyBorder="1" applyAlignment="1">
      <alignment horizontal="center" vertical="center"/>
    </xf>
    <xf numFmtId="0" fontId="30" fillId="0" borderId="92" xfId="5" applyFont="1" applyBorder="1" applyAlignment="1">
      <alignment horizontal="center" vertical="center"/>
    </xf>
    <xf numFmtId="0" fontId="48" fillId="0" borderId="19" xfId="5" applyFont="1" applyBorder="1" applyAlignment="1">
      <alignment horizontal="center" vertical="center" wrapText="1"/>
    </xf>
    <xf numFmtId="0" fontId="48" fillId="0" borderId="0" xfId="5" applyFont="1" applyBorder="1" applyAlignment="1">
      <alignment horizontal="center" vertical="center" wrapText="1"/>
    </xf>
    <xf numFmtId="0" fontId="48" fillId="0" borderId="40" xfId="5" applyFont="1" applyBorder="1" applyAlignment="1">
      <alignment horizontal="center" vertical="center" wrapText="1"/>
    </xf>
    <xf numFmtId="0" fontId="30" fillId="0" borderId="22" xfId="59" applyFont="1" applyBorder="1" applyAlignment="1">
      <alignment horizontal="center" vertical="center"/>
    </xf>
    <xf numFmtId="0" fontId="30" fillId="0" borderId="25" xfId="59" applyFont="1" applyBorder="1" applyAlignment="1">
      <alignment horizontal="center" vertical="center"/>
    </xf>
    <xf numFmtId="0" fontId="30" fillId="0" borderId="59" xfId="59" applyFont="1" applyBorder="1" applyAlignment="1">
      <alignment horizontal="center" vertical="center"/>
    </xf>
    <xf numFmtId="0" fontId="30" fillId="0" borderId="53" xfId="5" applyFont="1" applyBorder="1" applyAlignment="1"/>
    <xf numFmtId="0" fontId="30" fillId="0" borderId="4" xfId="5" applyFont="1" applyBorder="1" applyAlignment="1"/>
    <xf numFmtId="0" fontId="30" fillId="0" borderId="20" xfId="5" applyFont="1" applyBorder="1" applyAlignment="1"/>
    <xf numFmtId="0" fontId="30" fillId="0" borderId="2" xfId="5" applyFont="1" applyBorder="1" applyAlignment="1"/>
    <xf numFmtId="0" fontId="30" fillId="0" borderId="2" xfId="5" applyFont="1" applyBorder="1" applyAlignment="1">
      <alignment horizontal="center"/>
    </xf>
    <xf numFmtId="0" fontId="30" fillId="0" borderId="20" xfId="5" applyFont="1" applyBorder="1" applyAlignment="1">
      <alignment horizontal="center"/>
    </xf>
    <xf numFmtId="0" fontId="48" fillId="0" borderId="54" xfId="5" applyFont="1" applyBorder="1" applyAlignment="1">
      <alignment horizontal="right" vertical="center"/>
    </xf>
    <xf numFmtId="0" fontId="48" fillId="0" borderId="0" xfId="5" applyFont="1" applyBorder="1" applyAlignment="1">
      <alignment horizontal="right" vertical="center"/>
    </xf>
    <xf numFmtId="0" fontId="48" fillId="0" borderId="76" xfId="5" applyFont="1" applyBorder="1" applyAlignment="1" applyProtection="1">
      <alignment horizontal="center"/>
      <protection locked="0"/>
    </xf>
    <xf numFmtId="0" fontId="48" fillId="0" borderId="52" xfId="5" applyFont="1" applyBorder="1" applyAlignment="1" applyProtection="1">
      <alignment horizontal="center"/>
      <protection locked="0"/>
    </xf>
    <xf numFmtId="0" fontId="48" fillId="0" borderId="75" xfId="5" applyFont="1" applyBorder="1" applyAlignment="1" applyProtection="1">
      <alignment horizontal="center"/>
      <protection locked="0"/>
    </xf>
    <xf numFmtId="0" fontId="48" fillId="47" borderId="43" xfId="5" applyFont="1" applyFill="1" applyBorder="1" applyAlignment="1">
      <alignment horizontal="center" vertical="center" wrapText="1"/>
    </xf>
    <xf numFmtId="0" fontId="48" fillId="47" borderId="35" xfId="5" applyFont="1" applyFill="1" applyBorder="1" applyAlignment="1">
      <alignment horizontal="center" vertical="center" wrapText="1"/>
    </xf>
    <xf numFmtId="0" fontId="48" fillId="47" borderId="36" xfId="5" applyFont="1" applyFill="1" applyBorder="1" applyAlignment="1">
      <alignment horizontal="center" vertical="center" wrapText="1"/>
    </xf>
    <xf numFmtId="0" fontId="48" fillId="47" borderId="43" xfId="5" applyFont="1" applyFill="1" applyBorder="1" applyAlignment="1">
      <alignment horizontal="center" vertical="center"/>
    </xf>
    <xf numFmtId="0" fontId="48" fillId="47" borderId="36" xfId="5" applyFont="1" applyFill="1" applyBorder="1" applyAlignment="1">
      <alignment horizontal="center" vertical="center"/>
    </xf>
    <xf numFmtId="0" fontId="30" fillId="47" borderId="62" xfId="5" applyFont="1" applyFill="1" applyBorder="1" applyAlignment="1">
      <alignment horizontal="center" vertical="center"/>
    </xf>
    <xf numFmtId="0" fontId="30" fillId="47" borderId="32" xfId="5" applyFont="1" applyFill="1" applyBorder="1" applyAlignment="1">
      <alignment horizontal="center" vertical="center"/>
    </xf>
    <xf numFmtId="0" fontId="30" fillId="47" borderId="67" xfId="5" applyFont="1" applyFill="1" applyBorder="1" applyAlignment="1">
      <alignment horizontal="center" vertical="center"/>
    </xf>
    <xf numFmtId="0" fontId="48" fillId="0" borderId="76" xfId="5" applyFont="1" applyBorder="1" applyAlignment="1">
      <alignment horizontal="left" vertical="center"/>
    </xf>
    <xf numFmtId="0" fontId="48" fillId="0" borderId="52" xfId="5" applyFont="1" applyBorder="1" applyAlignment="1">
      <alignment horizontal="left" vertical="center"/>
    </xf>
    <xf numFmtId="0" fontId="48" fillId="0" borderId="75" xfId="5" applyFont="1" applyBorder="1" applyAlignment="1">
      <alignment horizontal="left" vertical="center"/>
    </xf>
    <xf numFmtId="0" fontId="48" fillId="0" borderId="54" xfId="5" applyFont="1" applyBorder="1" applyAlignment="1">
      <alignment horizontal="left" vertical="center"/>
    </xf>
    <xf numFmtId="0" fontId="48" fillId="0" borderId="0" xfId="5" applyFont="1" applyBorder="1" applyAlignment="1">
      <alignment horizontal="left" vertical="center"/>
    </xf>
    <xf numFmtId="0" fontId="48" fillId="0" borderId="55" xfId="5" applyFont="1" applyBorder="1" applyAlignment="1">
      <alignment horizontal="left" vertical="center"/>
    </xf>
    <xf numFmtId="0" fontId="48" fillId="0" borderId="68" xfId="5" applyFont="1" applyBorder="1" applyAlignment="1">
      <alignment horizontal="left" vertical="center"/>
    </xf>
    <xf numFmtId="0" fontId="48" fillId="0" borderId="42" xfId="5" applyFont="1" applyBorder="1" applyAlignment="1">
      <alignment horizontal="left" vertical="center"/>
    </xf>
    <xf numFmtId="0" fontId="48" fillId="0" borderId="73" xfId="5" applyFont="1" applyBorder="1" applyAlignment="1">
      <alignment horizontal="left" vertical="center"/>
    </xf>
    <xf numFmtId="0" fontId="48" fillId="47" borderId="43" xfId="5" applyFont="1" applyFill="1" applyBorder="1" applyAlignment="1">
      <alignment horizontal="center"/>
    </xf>
    <xf numFmtId="0" fontId="30" fillId="47" borderId="35" xfId="5" applyFont="1" applyFill="1" applyBorder="1" applyAlignment="1">
      <alignment horizontal="center"/>
    </xf>
    <xf numFmtId="0" fontId="30" fillId="47" borderId="37" xfId="5" applyFont="1" applyFill="1" applyBorder="1" applyAlignment="1">
      <alignment horizontal="center"/>
    </xf>
    <xf numFmtId="0" fontId="48" fillId="47" borderId="34" xfId="5" applyFont="1" applyFill="1" applyBorder="1" applyAlignment="1">
      <alignment horizontal="center"/>
    </xf>
    <xf numFmtId="0" fontId="48" fillId="47" borderId="27" xfId="5" applyFont="1" applyFill="1" applyBorder="1" applyAlignment="1">
      <alignment horizontal="center"/>
    </xf>
    <xf numFmtId="0" fontId="48" fillId="47" borderId="21" xfId="5" applyFont="1" applyFill="1" applyBorder="1" applyAlignment="1">
      <alignment horizontal="center"/>
    </xf>
    <xf numFmtId="0" fontId="48" fillId="47" borderId="37" xfId="5" applyFont="1" applyFill="1" applyBorder="1" applyAlignment="1">
      <alignment horizontal="center"/>
    </xf>
    <xf numFmtId="0" fontId="30" fillId="0" borderId="62" xfId="5" applyFont="1" applyBorder="1" applyAlignment="1"/>
    <xf numFmtId="0" fontId="30" fillId="0" borderId="32" xfId="5" applyFont="1" applyBorder="1" applyAlignment="1"/>
    <xf numFmtId="0" fontId="30" fillId="0" borderId="33" xfId="5" applyFont="1" applyBorder="1" applyAlignment="1"/>
    <xf numFmtId="0" fontId="30" fillId="0" borderId="31" xfId="5" applyFont="1" applyBorder="1" applyAlignment="1">
      <alignment horizontal="center"/>
    </xf>
    <xf numFmtId="0" fontId="30" fillId="0" borderId="33" xfId="5" applyFont="1" applyBorder="1" applyAlignment="1">
      <alignment horizontal="center"/>
    </xf>
    <xf numFmtId="0" fontId="30" fillId="0" borderId="31" xfId="5" applyFont="1" applyBorder="1" applyAlignment="1"/>
    <xf numFmtId="2" fontId="30" fillId="0" borderId="31" xfId="5" applyNumberFormat="1" applyFont="1" applyBorder="1" applyAlignment="1">
      <alignment horizontal="center"/>
    </xf>
    <xf numFmtId="2" fontId="30" fillId="0" borderId="33" xfId="5" applyNumberFormat="1" applyFont="1" applyBorder="1" applyAlignment="1">
      <alignment horizontal="center"/>
    </xf>
    <xf numFmtId="0" fontId="48" fillId="0" borderId="28" xfId="5" applyFont="1" applyBorder="1" applyAlignment="1">
      <alignment horizontal="right"/>
    </xf>
    <xf numFmtId="0" fontId="48" fillId="0" borderId="29" xfId="5" applyFont="1" applyBorder="1" applyAlignment="1">
      <alignment horizontal="right"/>
    </xf>
    <xf numFmtId="0" fontId="48" fillId="0" borderId="38" xfId="5" applyFont="1" applyBorder="1" applyAlignment="1">
      <alignment horizontal="right"/>
    </xf>
    <xf numFmtId="0" fontId="48" fillId="47" borderId="35" xfId="5" applyFont="1" applyFill="1" applyBorder="1" applyAlignment="1">
      <alignment horizontal="center"/>
    </xf>
    <xf numFmtId="172" fontId="30" fillId="0" borderId="2" xfId="38" applyFont="1" applyBorder="1" applyAlignment="1">
      <alignment horizontal="center"/>
    </xf>
    <xf numFmtId="172" fontId="30" fillId="0" borderId="20" xfId="38" applyFont="1" applyBorder="1" applyAlignment="1">
      <alignment horizontal="center"/>
    </xf>
    <xf numFmtId="2" fontId="30" fillId="0" borderId="2" xfId="5" applyNumberFormat="1" applyFont="1" applyBorder="1" applyAlignment="1">
      <alignment horizontal="center"/>
    </xf>
    <xf numFmtId="2" fontId="30" fillId="0" borderId="20" xfId="5" applyNumberFormat="1" applyFont="1" applyBorder="1" applyAlignment="1">
      <alignment horizontal="center"/>
    </xf>
    <xf numFmtId="0" fontId="48" fillId="47" borderId="34" xfId="5" applyFont="1" applyFill="1" applyBorder="1" applyAlignment="1">
      <alignment horizontal="center" wrapText="1"/>
    </xf>
    <xf numFmtId="0" fontId="48" fillId="47" borderId="37" xfId="5" applyFont="1" applyFill="1" applyBorder="1" applyAlignment="1">
      <alignment horizontal="center" wrapText="1"/>
    </xf>
    <xf numFmtId="43" fontId="30" fillId="0" borderId="2" xfId="38" applyNumberFormat="1" applyFont="1" applyBorder="1" applyAlignment="1">
      <alignment horizontal="center"/>
    </xf>
    <xf numFmtId="43" fontId="30" fillId="0" borderId="20" xfId="38" applyNumberFormat="1" applyFont="1" applyBorder="1" applyAlignment="1">
      <alignment horizontal="center"/>
    </xf>
    <xf numFmtId="2" fontId="30" fillId="0" borderId="2" xfId="5" applyNumberFormat="1" applyFont="1" applyBorder="1" applyAlignment="1">
      <alignment horizontal="center" wrapText="1"/>
    </xf>
    <xf numFmtId="2" fontId="30" fillId="0" borderId="20" xfId="5" applyNumberFormat="1" applyFont="1" applyBorder="1" applyAlignment="1">
      <alignment horizontal="center" wrapText="1"/>
    </xf>
    <xf numFmtId="0" fontId="48" fillId="0" borderId="54" xfId="5" applyFont="1" applyBorder="1" applyAlignment="1">
      <alignment wrapText="1"/>
    </xf>
    <xf numFmtId="0" fontId="48" fillId="0" borderId="0" xfId="5" applyFont="1" applyBorder="1" applyAlignment="1">
      <alignment wrapText="1"/>
    </xf>
    <xf numFmtId="0" fontId="48" fillId="0" borderId="55" xfId="5" applyFont="1" applyBorder="1" applyAlignment="1">
      <alignment wrapText="1"/>
    </xf>
    <xf numFmtId="0" fontId="30" fillId="0" borderId="0" xfId="5" applyFont="1" applyBorder="1" applyAlignment="1">
      <alignment horizontal="right"/>
    </xf>
    <xf numFmtId="0" fontId="30" fillId="0" borderId="55" xfId="5" applyFont="1" applyBorder="1" applyAlignment="1">
      <alignment horizontal="right"/>
    </xf>
    <xf numFmtId="0" fontId="30" fillId="0" borderId="42" xfId="5" applyFont="1" applyBorder="1" applyAlignment="1">
      <alignment horizontal="right"/>
    </xf>
    <xf numFmtId="0" fontId="30" fillId="0" borderId="73" xfId="5" applyFont="1" applyBorder="1" applyAlignment="1">
      <alignment horizontal="right"/>
    </xf>
    <xf numFmtId="0" fontId="30" fillId="0" borderId="68" xfId="5" applyFont="1" applyBorder="1" applyAlignment="1">
      <alignment horizontal="left"/>
    </xf>
    <xf numFmtId="0" fontId="30" fillId="0" borderId="42" xfId="5" applyFont="1" applyBorder="1" applyAlignment="1">
      <alignment horizontal="left"/>
    </xf>
    <xf numFmtId="0" fontId="140" fillId="0" borderId="0" xfId="0" applyFont="1" applyBorder="1" applyAlignment="1">
      <alignment horizontal="center" vertical="center" wrapText="1"/>
    </xf>
    <xf numFmtId="43" fontId="30" fillId="0" borderId="31" xfId="38" applyNumberFormat="1" applyFont="1" applyBorder="1" applyAlignment="1">
      <alignment horizontal="center"/>
    </xf>
    <xf numFmtId="43" fontId="30" fillId="0" borderId="33" xfId="38" applyNumberFormat="1" applyFont="1" applyBorder="1" applyAlignment="1">
      <alignment horizontal="center"/>
    </xf>
    <xf numFmtId="0" fontId="48" fillId="47" borderId="28" xfId="5" applyFont="1" applyFill="1" applyBorder="1" applyAlignment="1">
      <alignment horizontal="right"/>
    </xf>
    <xf numFmtId="0" fontId="48" fillId="47" borderId="29" xfId="5" applyFont="1" applyFill="1" applyBorder="1" applyAlignment="1">
      <alignment horizontal="right"/>
    </xf>
    <xf numFmtId="0" fontId="48" fillId="47" borderId="38" xfId="5" applyFont="1" applyFill="1" applyBorder="1" applyAlignment="1">
      <alignment horizontal="right"/>
    </xf>
    <xf numFmtId="0" fontId="30" fillId="0" borderId="53" xfId="5" applyFont="1" applyBorder="1" applyAlignment="1">
      <alignment horizontal="center"/>
    </xf>
    <xf numFmtId="0" fontId="30" fillId="0" borderId="4" xfId="5" applyFont="1" applyBorder="1" applyAlignment="1">
      <alignment horizontal="center"/>
    </xf>
    <xf numFmtId="0" fontId="30" fillId="0" borderId="41" xfId="5"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175" fontId="25" fillId="0" borderId="9" xfId="0" applyNumberFormat="1" applyFont="1" applyBorder="1" applyAlignment="1">
      <alignment horizontal="center" vertical="top" wrapText="1"/>
    </xf>
    <xf numFmtId="0" fontId="25" fillId="0" borderId="13" xfId="0" applyFont="1" applyBorder="1" applyAlignment="1">
      <alignment horizontal="center" vertical="center"/>
    </xf>
    <xf numFmtId="180" fontId="52" fillId="0" borderId="0" xfId="0" applyNumberFormat="1" applyFont="1" applyFill="1" applyAlignment="1">
      <alignment horizontal="right"/>
    </xf>
    <xf numFmtId="175" fontId="6" fillId="0" borderId="0" xfId="0" applyNumberFormat="1" applyFont="1" applyAlignment="1">
      <alignment horizontal="center"/>
    </xf>
    <xf numFmtId="0" fontId="9" fillId="29" borderId="1" xfId="0" applyFont="1" applyFill="1" applyBorder="1" applyAlignment="1">
      <alignment horizontal="left" vertical="center" wrapText="1"/>
    </xf>
    <xf numFmtId="0" fontId="45" fillId="30" borderId="2" xfId="0" applyFont="1" applyFill="1" applyBorder="1" applyAlignment="1">
      <alignment horizontal="center" vertical="center"/>
    </xf>
    <xf numFmtId="0" fontId="45" fillId="30" borderId="4" xfId="0" applyFont="1" applyFill="1" applyBorder="1" applyAlignment="1">
      <alignment horizontal="center" vertical="center"/>
    </xf>
    <xf numFmtId="0" fontId="45" fillId="30" borderId="20" xfId="0" applyFont="1" applyFill="1" applyBorder="1" applyAlignment="1">
      <alignment horizontal="center" vertical="center"/>
    </xf>
    <xf numFmtId="173" fontId="9" fillId="29" borderId="1" xfId="0" applyNumberFormat="1" applyFont="1" applyFill="1" applyBorder="1" applyAlignment="1">
      <alignment horizontal="center" vertical="center" wrapText="1"/>
    </xf>
    <xf numFmtId="0" fontId="9" fillId="29" borderId="4" xfId="0" applyFont="1" applyFill="1" applyBorder="1" applyAlignment="1">
      <alignment horizontal="center" vertical="center" wrapText="1"/>
    </xf>
    <xf numFmtId="0" fontId="9" fillId="29" borderId="1" xfId="0" applyFont="1" applyFill="1" applyBorder="1" applyAlignment="1">
      <alignment horizontal="center" vertical="center" wrapText="1"/>
    </xf>
    <xf numFmtId="0" fontId="10" fillId="0" borderId="43" xfId="0" applyFont="1" applyBorder="1" applyAlignment="1">
      <alignment horizontal="center"/>
    </xf>
    <xf numFmtId="0" fontId="10" fillId="0" borderId="53" xfId="0" applyFont="1" applyBorder="1" applyAlignment="1">
      <alignment horizontal="center"/>
    </xf>
    <xf numFmtId="0" fontId="10" fillId="0" borderId="62" xfId="0" applyFont="1" applyBorder="1" applyAlignment="1">
      <alignment horizontal="center"/>
    </xf>
    <xf numFmtId="180" fontId="10" fillId="0" borderId="0" xfId="0" applyNumberFormat="1" applyFont="1" applyBorder="1" applyAlignment="1">
      <alignment horizontal="center"/>
    </xf>
    <xf numFmtId="49" fontId="25" fillId="0" borderId="43" xfId="0" applyNumberFormat="1" applyFont="1" applyFill="1" applyBorder="1" applyAlignment="1">
      <alignment horizontal="center" vertical="center" wrapText="1"/>
    </xf>
    <xf numFmtId="49" fontId="25" fillId="0" borderId="35" xfId="0" applyNumberFormat="1" applyFont="1" applyFill="1" applyBorder="1" applyAlignment="1">
      <alignment horizontal="center" vertical="center" wrapText="1"/>
    </xf>
    <xf numFmtId="49" fontId="25" fillId="0" borderId="36" xfId="0" applyNumberFormat="1" applyFont="1" applyFill="1" applyBorder="1" applyAlignment="1">
      <alignment horizontal="center" vertical="center" wrapText="1"/>
    </xf>
    <xf numFmtId="0" fontId="25" fillId="0" borderId="31" xfId="0" applyFont="1" applyBorder="1" applyAlignment="1">
      <alignment horizontal="center" vertical="center"/>
    </xf>
    <xf numFmtId="0" fontId="25" fillId="0" borderId="67" xfId="0" applyFont="1" applyBorder="1" applyAlignment="1">
      <alignment horizontal="center" vertical="center"/>
    </xf>
    <xf numFmtId="49" fontId="25" fillId="0" borderId="53" xfId="0" applyNumberFormat="1" applyFont="1" applyFill="1" applyBorder="1" applyAlignment="1">
      <alignment horizontal="center" vertical="center"/>
    </xf>
    <xf numFmtId="49" fontId="25" fillId="0" borderId="41" xfId="0" applyNumberFormat="1" applyFont="1" applyFill="1" applyBorder="1" applyAlignment="1">
      <alignment horizontal="center" vertical="center"/>
    </xf>
    <xf numFmtId="49" fontId="45" fillId="30" borderId="2" xfId="5" applyNumberFormat="1" applyFont="1" applyFill="1" applyBorder="1" applyAlignment="1">
      <alignment horizontal="center" vertical="center" wrapText="1"/>
    </xf>
    <xf numFmtId="49" fontId="45" fillId="30" borderId="4" xfId="5" applyNumberFormat="1" applyFont="1" applyFill="1" applyBorder="1" applyAlignment="1">
      <alignment horizontal="center" vertical="center" wrapText="1"/>
    </xf>
    <xf numFmtId="49" fontId="45" fillId="30" borderId="20" xfId="5" applyNumberFormat="1" applyFont="1" applyFill="1" applyBorder="1" applyAlignment="1">
      <alignment horizontal="center" vertical="center" wrapText="1"/>
    </xf>
    <xf numFmtId="0" fontId="9" fillId="29" borderId="2" xfId="0" applyFont="1" applyFill="1" applyBorder="1" applyAlignment="1">
      <alignment horizontal="left" vertical="center" wrapText="1"/>
    </xf>
    <xf numFmtId="0" fontId="9" fillId="29" borderId="4" xfId="0" applyFont="1" applyFill="1" applyBorder="1" applyAlignment="1">
      <alignment horizontal="left" vertical="center" wrapText="1"/>
    </xf>
    <xf numFmtId="0" fontId="9" fillId="27" borderId="1" xfId="0" applyFont="1" applyFill="1" applyBorder="1" applyAlignment="1">
      <alignment horizontal="center" vertical="center" wrapText="1"/>
    </xf>
    <xf numFmtId="0" fontId="45" fillId="30" borderId="1" xfId="0" applyFont="1" applyFill="1" applyBorder="1" applyAlignment="1">
      <alignment horizontal="center" vertical="center" wrapText="1"/>
    </xf>
    <xf numFmtId="0" fontId="9" fillId="29" borderId="2" xfId="12" applyFont="1" applyFill="1" applyBorder="1" applyAlignment="1">
      <alignment horizontal="center" vertical="center" wrapText="1"/>
    </xf>
    <xf numFmtId="0" fontId="9" fillId="29" borderId="4" xfId="12" applyFont="1" applyFill="1" applyBorder="1" applyAlignment="1">
      <alignment horizontal="center" vertical="center" wrapText="1"/>
    </xf>
    <xf numFmtId="0" fontId="9" fillId="29" borderId="20" xfId="12" applyFont="1" applyFill="1" applyBorder="1" applyAlignment="1">
      <alignment horizontal="center" vertical="center" wrapText="1"/>
    </xf>
    <xf numFmtId="0" fontId="9" fillId="26" borderId="2" xfId="12" applyFont="1" applyFill="1" applyBorder="1" applyAlignment="1">
      <alignment horizontal="center" vertical="center" wrapText="1"/>
    </xf>
    <xf numFmtId="0" fontId="9" fillId="26" borderId="4" xfId="12" applyFont="1" applyFill="1" applyBorder="1" applyAlignment="1">
      <alignment horizontal="center" vertical="center" wrapText="1"/>
    </xf>
    <xf numFmtId="0" fontId="9" fillId="26" borderId="20" xfId="12" applyFont="1" applyFill="1" applyBorder="1" applyAlignment="1">
      <alignment horizontal="center" vertical="center" wrapText="1"/>
    </xf>
    <xf numFmtId="173" fontId="9" fillId="26" borderId="2" xfId="0" applyNumberFormat="1" applyFont="1" applyFill="1" applyBorder="1" applyAlignment="1">
      <alignment horizontal="center" vertical="center" wrapText="1"/>
    </xf>
    <xf numFmtId="173" fontId="9" fillId="26" borderId="4" xfId="0" applyNumberFormat="1" applyFont="1" applyFill="1" applyBorder="1" applyAlignment="1">
      <alignment horizontal="center" vertical="center" wrapText="1"/>
    </xf>
    <xf numFmtId="0" fontId="9" fillId="29" borderId="5" xfId="7" applyFont="1" applyFill="1" applyBorder="1" applyAlignment="1">
      <alignment horizontal="center" vertical="center" wrapText="1"/>
    </xf>
    <xf numFmtId="0" fontId="9" fillId="26" borderId="2" xfId="0" applyFont="1" applyFill="1" applyBorder="1" applyAlignment="1">
      <alignment horizontal="center" vertical="center" wrapText="1"/>
    </xf>
    <xf numFmtId="0" fontId="9" fillId="26" borderId="4" xfId="0" applyFont="1" applyFill="1" applyBorder="1" applyAlignment="1">
      <alignment horizontal="center" vertical="center" wrapText="1"/>
    </xf>
    <xf numFmtId="0" fontId="9" fillId="26" borderId="2" xfId="0" quotePrefix="1" applyFont="1" applyFill="1" applyBorder="1" applyAlignment="1">
      <alignment horizontal="center" vertical="center" wrapText="1"/>
    </xf>
    <xf numFmtId="0" fontId="9" fillId="26" borderId="4" xfId="0" quotePrefix="1" applyFont="1" applyFill="1" applyBorder="1" applyAlignment="1">
      <alignment horizontal="center" vertical="center" wrapText="1"/>
    </xf>
    <xf numFmtId="0" fontId="9" fillId="26" borderId="20" xfId="0" quotePrefix="1" applyFont="1" applyFill="1" applyBorder="1" applyAlignment="1">
      <alignment horizontal="center" vertical="center" wrapText="1"/>
    </xf>
    <xf numFmtId="0" fontId="9" fillId="26" borderId="1" xfId="0" applyFont="1" applyFill="1" applyBorder="1" applyAlignment="1">
      <alignment horizontal="center" vertical="center" wrapText="1"/>
    </xf>
    <xf numFmtId="0" fontId="9" fillId="26" borderId="1" xfId="0" quotePrefix="1" applyFont="1" applyFill="1" applyBorder="1" applyAlignment="1">
      <alignment horizontal="center" vertical="center" wrapText="1"/>
    </xf>
    <xf numFmtId="173" fontId="9" fillId="26" borderId="1" xfId="0" applyNumberFormat="1" applyFont="1" applyFill="1" applyBorder="1" applyAlignment="1">
      <alignment horizontal="center" vertical="center" wrapText="1"/>
    </xf>
    <xf numFmtId="0" fontId="9" fillId="29" borderId="3" xfId="7" applyFont="1" applyFill="1" applyBorder="1" applyAlignment="1">
      <alignment horizontal="center" vertical="center" wrapText="1"/>
    </xf>
    <xf numFmtId="0" fontId="45" fillId="11" borderId="0"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0" xfId="0" applyFont="1" applyFill="1" applyBorder="1" applyAlignment="1">
      <alignment horizontal="left"/>
    </xf>
    <xf numFmtId="0" fontId="45" fillId="11" borderId="0" xfId="0" applyFont="1" applyFill="1" applyBorder="1" applyAlignment="1">
      <alignment horizontal="left"/>
    </xf>
    <xf numFmtId="0" fontId="9" fillId="2" borderId="2"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0" xfId="13" applyFont="1" applyFill="1" applyBorder="1" applyAlignment="1">
      <alignment horizontal="left" vertical="center" wrapText="1" shrinkToFit="1"/>
    </xf>
    <xf numFmtId="0" fontId="45" fillId="11" borderId="0" xfId="13" applyFont="1" applyFill="1" applyBorder="1" applyAlignment="1">
      <alignment horizontal="left" vertical="center" wrapText="1" shrinkToFit="1"/>
    </xf>
    <xf numFmtId="0" fontId="14" fillId="2" borderId="2" xfId="0" applyFont="1" applyFill="1" applyBorder="1" applyAlignment="1">
      <alignment horizontal="left" wrapText="1"/>
    </xf>
    <xf numFmtId="0" fontId="14" fillId="2" borderId="4" xfId="0" applyFont="1" applyFill="1" applyBorder="1" applyAlignment="1">
      <alignment horizontal="left" wrapText="1"/>
    </xf>
    <xf numFmtId="0" fontId="14" fillId="2" borderId="20" xfId="0" applyFont="1" applyFill="1" applyBorder="1" applyAlignment="1">
      <alignment horizontal="left" wrapText="1"/>
    </xf>
    <xf numFmtId="0" fontId="14" fillId="2" borderId="2" xfId="0" applyFont="1" applyFill="1" applyBorder="1" applyAlignment="1">
      <alignment horizontal="left"/>
    </xf>
    <xf numFmtId="0" fontId="14" fillId="2" borderId="4" xfId="0" applyFont="1" applyFill="1" applyBorder="1" applyAlignment="1">
      <alignment horizontal="left"/>
    </xf>
    <xf numFmtId="0" fontId="14" fillId="2" borderId="20" xfId="0" applyFont="1" applyFill="1" applyBorder="1" applyAlignment="1">
      <alignment horizontal="left"/>
    </xf>
    <xf numFmtId="0" fontId="9" fillId="2" borderId="1" xfId="0" applyFont="1" applyFill="1" applyBorder="1" applyAlignment="1">
      <alignment horizontal="left" vertical="top"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3" fillId="2" borderId="1" xfId="0" applyFont="1" applyFill="1" applyBorder="1" applyAlignment="1">
      <alignment horizontal="left"/>
    </xf>
    <xf numFmtId="0" fontId="13" fillId="2" borderId="2" xfId="0" applyFont="1" applyFill="1" applyBorder="1" applyAlignment="1">
      <alignment horizontal="left"/>
    </xf>
    <xf numFmtId="0" fontId="13" fillId="2" borderId="4" xfId="0" applyFont="1" applyFill="1" applyBorder="1" applyAlignment="1">
      <alignment horizontal="left"/>
    </xf>
    <xf numFmtId="0" fontId="13" fillId="2" borderId="20" xfId="0" applyFont="1" applyFill="1" applyBorder="1" applyAlignment="1">
      <alignment horizontal="left"/>
    </xf>
    <xf numFmtId="0" fontId="13" fillId="2" borderId="2"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20"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2" xfId="0" applyFont="1" applyFill="1" applyBorder="1" applyAlignment="1">
      <alignment horizontal="left" wrapText="1"/>
    </xf>
    <xf numFmtId="0" fontId="13" fillId="2" borderId="4" xfId="0" applyFont="1" applyFill="1" applyBorder="1" applyAlignment="1">
      <alignment horizontal="left" wrapText="1"/>
    </xf>
    <xf numFmtId="0" fontId="13" fillId="2" borderId="20" xfId="0" applyFont="1" applyFill="1" applyBorder="1" applyAlignment="1">
      <alignment horizontal="left" wrapText="1"/>
    </xf>
    <xf numFmtId="0" fontId="13" fillId="2" borderId="1" xfId="13" applyFont="1" applyFill="1" applyBorder="1" applyAlignment="1">
      <alignment horizontal="left" vertical="center" wrapText="1" shrinkToFit="1"/>
    </xf>
    <xf numFmtId="0" fontId="13" fillId="11" borderId="1" xfId="0" applyFont="1" applyFill="1" applyBorder="1" applyAlignment="1">
      <alignment horizontal="left"/>
    </xf>
    <xf numFmtId="0" fontId="24" fillId="0" borderId="10" xfId="0" applyFont="1" applyBorder="1" applyAlignment="1">
      <alignment horizontal="center"/>
    </xf>
    <xf numFmtId="0" fontId="24" fillId="0" borderId="11" xfId="0" applyFont="1" applyBorder="1" applyAlignment="1">
      <alignment horizontal="center"/>
    </xf>
    <xf numFmtId="0" fontId="24" fillId="0" borderId="12" xfId="0" applyFont="1" applyBorder="1" applyAlignment="1">
      <alignment horizontal="center"/>
    </xf>
    <xf numFmtId="49" fontId="24" fillId="0" borderId="9" xfId="0"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180" fontId="24" fillId="0" borderId="9" xfId="0" applyNumberFormat="1" applyFont="1" applyBorder="1" applyAlignment="1">
      <alignment horizontal="center"/>
    </xf>
    <xf numFmtId="180" fontId="24" fillId="0" borderId="23" xfId="0" applyNumberFormat="1" applyFont="1" applyBorder="1" applyAlignment="1">
      <alignment horizontal="center"/>
    </xf>
    <xf numFmtId="180" fontId="24" fillId="0" borderId="1" xfId="0" applyNumberFormat="1" applyFont="1" applyBorder="1" applyAlignment="1">
      <alignment horizontal="center"/>
    </xf>
    <xf numFmtId="180" fontId="24" fillId="0" borderId="15" xfId="0" applyNumberFormat="1" applyFont="1" applyBorder="1" applyAlignment="1">
      <alignment horizontal="center"/>
    </xf>
    <xf numFmtId="180" fontId="24" fillId="0" borderId="13" xfId="0" applyNumberFormat="1" applyFont="1" applyBorder="1" applyAlignment="1">
      <alignment horizontal="center"/>
    </xf>
    <xf numFmtId="180" fontId="24" fillId="0" borderId="16" xfId="0" applyNumberFormat="1" applyFont="1" applyBorder="1" applyAlignment="1">
      <alignment horizontal="center"/>
    </xf>
    <xf numFmtId="49" fontId="24" fillId="0" borderId="1" xfId="0" applyNumberFormat="1" applyFont="1" applyFill="1" applyBorder="1" applyAlignment="1">
      <alignment horizontal="center" vertical="center"/>
    </xf>
    <xf numFmtId="175" fontId="24" fillId="0" borderId="13" xfId="0" applyNumberFormat="1"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13" fillId="4" borderId="2"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20" xfId="0" applyFont="1" applyFill="1" applyBorder="1" applyAlignment="1">
      <alignment horizontal="center" vertical="center"/>
    </xf>
    <xf numFmtId="0" fontId="13" fillId="2" borderId="2" xfId="13" applyFont="1" applyFill="1" applyBorder="1" applyAlignment="1">
      <alignment horizontal="left" vertical="center" wrapText="1" shrinkToFit="1"/>
    </xf>
    <xf numFmtId="0" fontId="13" fillId="2" borderId="4" xfId="13" applyFont="1" applyFill="1" applyBorder="1" applyAlignment="1">
      <alignment horizontal="left" vertical="center" wrapText="1" shrinkToFit="1"/>
    </xf>
    <xf numFmtId="0" fontId="13" fillId="2" borderId="20" xfId="13" applyFont="1" applyFill="1" applyBorder="1" applyAlignment="1">
      <alignment horizontal="left" vertical="center" wrapText="1" shrinkToFit="1"/>
    </xf>
    <xf numFmtId="0" fontId="45" fillId="30" borderId="2" xfId="0" applyFont="1" applyFill="1" applyBorder="1" applyAlignment="1">
      <alignment horizontal="left" vertical="center"/>
    </xf>
    <xf numFmtId="0" fontId="45" fillId="30" borderId="4" xfId="0" applyFont="1" applyFill="1" applyBorder="1" applyAlignment="1">
      <alignment horizontal="left" vertical="center"/>
    </xf>
    <xf numFmtId="0" fontId="45" fillId="30" borderId="20" xfId="0" applyFont="1" applyFill="1" applyBorder="1" applyAlignment="1">
      <alignment horizontal="left" vertical="center"/>
    </xf>
    <xf numFmtId="49" fontId="45" fillId="30" borderId="1" xfId="5" applyNumberFormat="1" applyFont="1" applyFill="1" applyBorder="1" applyAlignment="1">
      <alignment horizontal="center" vertical="center" wrapText="1"/>
    </xf>
    <xf numFmtId="0" fontId="45" fillId="30" borderId="2" xfId="0" applyFont="1" applyFill="1" applyBorder="1" applyAlignment="1">
      <alignment horizontal="center" vertical="center" wrapText="1"/>
    </xf>
    <xf numFmtId="0" fontId="45" fillId="30" borderId="4" xfId="0" applyFont="1" applyFill="1" applyBorder="1" applyAlignment="1">
      <alignment horizontal="center" vertical="center" wrapText="1"/>
    </xf>
    <xf numFmtId="0" fontId="45" fillId="30" borderId="20" xfId="0" applyFont="1" applyFill="1" applyBorder="1" applyAlignment="1">
      <alignment horizontal="center" vertical="center" wrapText="1"/>
    </xf>
    <xf numFmtId="0" fontId="9" fillId="26" borderId="2" xfId="12" applyFont="1" applyFill="1" applyBorder="1" applyAlignment="1">
      <alignment horizontal="left" vertical="center" wrapText="1"/>
    </xf>
    <xf numFmtId="0" fontId="9" fillId="26" borderId="4" xfId="12" applyFont="1" applyFill="1" applyBorder="1" applyAlignment="1">
      <alignment horizontal="left" vertical="center" wrapText="1"/>
    </xf>
    <xf numFmtId="0" fontId="9" fillId="26" borderId="20" xfId="12" applyFont="1" applyFill="1" applyBorder="1" applyAlignment="1">
      <alignment horizontal="left" vertical="center" wrapText="1"/>
    </xf>
    <xf numFmtId="0" fontId="14" fillId="29" borderId="2" xfId="12" applyFont="1" applyFill="1" applyBorder="1" applyAlignment="1">
      <alignment horizontal="center" vertical="center" wrapText="1"/>
    </xf>
    <xf numFmtId="0" fontId="14" fillId="29" borderId="4" xfId="12" applyFont="1" applyFill="1" applyBorder="1" applyAlignment="1">
      <alignment horizontal="center" vertical="center" wrapText="1"/>
    </xf>
    <xf numFmtId="0" fontId="14" fillId="29" borderId="20" xfId="12" applyFont="1" applyFill="1" applyBorder="1" applyAlignment="1">
      <alignment horizontal="center" vertical="center" wrapText="1"/>
    </xf>
    <xf numFmtId="49" fontId="25" fillId="0" borderId="37" xfId="0" applyNumberFormat="1" applyFont="1" applyFill="1" applyBorder="1" applyAlignment="1">
      <alignment horizontal="center" vertical="center" wrapText="1"/>
    </xf>
    <xf numFmtId="0" fontId="25" fillId="0" borderId="32" xfId="0" applyFont="1" applyBorder="1" applyAlignment="1">
      <alignment horizontal="center" vertical="center"/>
    </xf>
    <xf numFmtId="0" fontId="25" fillId="0" borderId="33" xfId="0" applyFont="1" applyBorder="1" applyAlignment="1">
      <alignment horizontal="center" vertical="center"/>
    </xf>
    <xf numFmtId="0" fontId="24" fillId="0" borderId="58" xfId="0" applyFont="1" applyFill="1" applyBorder="1" applyAlignment="1">
      <alignment horizontal="center" vertical="center"/>
    </xf>
    <xf numFmtId="0" fontId="24" fillId="0" borderId="59" xfId="0" applyFont="1" applyFill="1" applyBorder="1" applyAlignment="1">
      <alignment horizontal="center" vertical="center"/>
    </xf>
    <xf numFmtId="0" fontId="24" fillId="0" borderId="60" xfId="0" applyFont="1" applyFill="1" applyBorder="1" applyAlignment="1">
      <alignment horizontal="center" vertical="center"/>
    </xf>
    <xf numFmtId="0" fontId="13" fillId="4" borderId="2" xfId="0" applyFont="1" applyFill="1" applyBorder="1" applyAlignment="1">
      <alignment horizontal="center"/>
    </xf>
    <xf numFmtId="0" fontId="13" fillId="4" borderId="4" xfId="0" applyFont="1" applyFill="1" applyBorder="1" applyAlignment="1">
      <alignment horizontal="center"/>
    </xf>
    <xf numFmtId="0" fontId="13" fillId="4" borderId="20" xfId="0" applyFont="1" applyFill="1" applyBorder="1" applyAlignment="1">
      <alignment horizontal="center"/>
    </xf>
    <xf numFmtId="0" fontId="13" fillId="2" borderId="2"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9" fillId="12" borderId="2" xfId="0" applyFont="1" applyFill="1" applyBorder="1" applyAlignment="1">
      <alignment horizontal="left" vertical="center"/>
    </xf>
    <xf numFmtId="0" fontId="9" fillId="12" borderId="4" xfId="0" applyFont="1" applyFill="1" applyBorder="1" applyAlignment="1">
      <alignment horizontal="left" vertical="center"/>
    </xf>
    <xf numFmtId="0" fontId="9" fillId="12" borderId="20" xfId="0" applyFont="1" applyFill="1" applyBorder="1" applyAlignment="1">
      <alignment horizontal="left" vertical="center"/>
    </xf>
    <xf numFmtId="0" fontId="13" fillId="8" borderId="1" xfId="0" applyFont="1" applyFill="1" applyBorder="1" applyAlignment="1">
      <alignment horizontal="left"/>
    </xf>
    <xf numFmtId="49" fontId="25" fillId="0" borderId="9" xfId="0" applyNumberFormat="1" applyFont="1" applyFill="1" applyBorder="1" applyAlignment="1">
      <alignment horizontal="center" vertical="center" wrapText="1"/>
    </xf>
    <xf numFmtId="0" fontId="25" fillId="0" borderId="9" xfId="0" applyFont="1" applyFill="1" applyBorder="1" applyAlignment="1">
      <alignment horizontal="center" vertical="center" wrapText="1"/>
    </xf>
    <xf numFmtId="49" fontId="25"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0" fontId="9" fillId="2" borderId="1" xfId="32" applyFont="1" applyFill="1" applyBorder="1" applyAlignment="1">
      <alignment horizontal="left" vertical="top" wrapText="1"/>
    </xf>
    <xf numFmtId="0" fontId="9" fillId="12" borderId="1" xfId="0" applyFont="1" applyFill="1" applyBorder="1" applyAlignment="1">
      <alignment horizontal="left" vertical="center" wrapText="1"/>
    </xf>
    <xf numFmtId="49" fontId="13" fillId="7" borderId="1" xfId="0" applyNumberFormat="1" applyFont="1" applyFill="1" applyBorder="1" applyAlignment="1">
      <alignment horizontal="center" vertical="center" wrapText="1"/>
    </xf>
    <xf numFmtId="0" fontId="13" fillId="2" borderId="1" xfId="0" applyFont="1" applyFill="1" applyBorder="1" applyAlignment="1">
      <alignment horizontal="left" vertical="center"/>
    </xf>
    <xf numFmtId="0" fontId="13" fillId="4" borderId="1" xfId="0" applyFont="1" applyFill="1" applyBorder="1" applyAlignment="1">
      <alignment horizontal="center"/>
    </xf>
    <xf numFmtId="0" fontId="13" fillId="2"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9" fillId="12" borderId="1" xfId="0" applyFont="1" applyFill="1" applyBorder="1" applyAlignment="1">
      <alignment horizontal="left" vertical="top" wrapText="1"/>
    </xf>
    <xf numFmtId="0" fontId="9" fillId="12" borderId="2" xfId="0" applyFont="1" applyFill="1" applyBorder="1" applyAlignment="1">
      <alignment horizontal="left" vertical="center" wrapText="1"/>
    </xf>
    <xf numFmtId="0" fontId="9" fillId="12" borderId="4" xfId="0" applyFont="1" applyFill="1" applyBorder="1" applyAlignment="1">
      <alignment horizontal="left" vertical="center" wrapText="1"/>
    </xf>
    <xf numFmtId="0" fontId="9" fillId="12" borderId="20" xfId="0" applyFont="1" applyFill="1" applyBorder="1" applyAlignment="1">
      <alignment horizontal="left" vertical="center" wrapText="1"/>
    </xf>
    <xf numFmtId="0" fontId="13" fillId="2" borderId="2" xfId="0" applyFont="1" applyFill="1" applyBorder="1" applyAlignment="1">
      <alignment horizontal="left" vertical="center"/>
    </xf>
    <xf numFmtId="0" fontId="13" fillId="2" borderId="4" xfId="0" applyFont="1" applyFill="1" applyBorder="1" applyAlignment="1">
      <alignment horizontal="left" vertical="center"/>
    </xf>
    <xf numFmtId="0" fontId="13" fillId="2" borderId="20" xfId="0" applyFont="1" applyFill="1" applyBorder="1" applyAlignment="1">
      <alignment horizontal="left" vertical="center"/>
    </xf>
    <xf numFmtId="0" fontId="81" fillId="2" borderId="2" xfId="0" applyFont="1" applyFill="1" applyBorder="1" applyAlignment="1">
      <alignment horizontal="left"/>
    </xf>
    <xf numFmtId="0" fontId="81" fillId="2" borderId="4" xfId="0" applyFont="1" applyFill="1" applyBorder="1" applyAlignment="1">
      <alignment horizontal="left"/>
    </xf>
    <xf numFmtId="0" fontId="81" fillId="2" borderId="20" xfId="0" applyFont="1" applyFill="1" applyBorder="1" applyAlignment="1">
      <alignment horizontal="left"/>
    </xf>
    <xf numFmtId="0" fontId="81" fillId="8" borderId="1" xfId="0" applyFont="1" applyFill="1" applyBorder="1" applyAlignment="1">
      <alignment horizontal="left"/>
    </xf>
    <xf numFmtId="0" fontId="13" fillId="8" borderId="2" xfId="0" applyFont="1" applyFill="1" applyBorder="1" applyAlignment="1">
      <alignment horizontal="left" wrapText="1"/>
    </xf>
    <xf numFmtId="0" fontId="13" fillId="8" borderId="4" xfId="0" applyFont="1" applyFill="1" applyBorder="1" applyAlignment="1">
      <alignment horizontal="left" wrapText="1"/>
    </xf>
    <xf numFmtId="0" fontId="13" fillId="8" borderId="20" xfId="0" applyFont="1" applyFill="1" applyBorder="1" applyAlignment="1">
      <alignment horizontal="left" wrapText="1"/>
    </xf>
    <xf numFmtId="0" fontId="13" fillId="8" borderId="1" xfId="13" applyFont="1" applyFill="1" applyBorder="1" applyAlignment="1">
      <alignment horizontal="left" vertical="center" wrapText="1" shrinkToFit="1"/>
    </xf>
    <xf numFmtId="3" fontId="9" fillId="12" borderId="2" xfId="0" applyNumberFormat="1" applyFont="1" applyFill="1" applyBorder="1" applyAlignment="1">
      <alignment horizontal="left" vertical="center" wrapText="1"/>
    </xf>
    <xf numFmtId="3" fontId="9" fillId="8" borderId="2" xfId="0" applyNumberFormat="1" applyFont="1" applyFill="1" applyBorder="1" applyAlignment="1">
      <alignment horizontal="left" vertical="center" wrapText="1"/>
    </xf>
    <xf numFmtId="0" fontId="9" fillId="8" borderId="4" xfId="0" applyFont="1" applyFill="1" applyBorder="1" applyAlignment="1">
      <alignment horizontal="left" vertical="center" wrapText="1"/>
    </xf>
    <xf numFmtId="0" fontId="9" fillId="8" borderId="20" xfId="0" applyFont="1" applyFill="1" applyBorder="1" applyAlignment="1">
      <alignment horizontal="left" vertical="center" wrapText="1"/>
    </xf>
    <xf numFmtId="0" fontId="9" fillId="12" borderId="1" xfId="0" applyFont="1" applyFill="1" applyBorder="1" applyAlignment="1">
      <alignment horizontal="left" vertical="center"/>
    </xf>
    <xf numFmtId="0" fontId="13" fillId="44" borderId="2" xfId="0" applyFont="1" applyFill="1" applyBorder="1" applyAlignment="1">
      <alignment horizontal="left"/>
    </xf>
    <xf numFmtId="0" fontId="13" fillId="44" borderId="4" xfId="0" applyFont="1" applyFill="1" applyBorder="1" applyAlignment="1">
      <alignment horizontal="left"/>
    </xf>
    <xf numFmtId="0" fontId="13" fillId="44" borderId="20" xfId="0" applyFont="1" applyFill="1" applyBorder="1" applyAlignment="1">
      <alignment horizontal="left"/>
    </xf>
    <xf numFmtId="0" fontId="81" fillId="43" borderId="2" xfId="0" applyFont="1" applyFill="1" applyBorder="1" applyAlignment="1">
      <alignment horizontal="left"/>
    </xf>
    <xf numFmtId="0" fontId="81" fillId="43" borderId="4" xfId="0" applyFont="1" applyFill="1" applyBorder="1" applyAlignment="1">
      <alignment horizontal="left"/>
    </xf>
    <xf numFmtId="0" fontId="81" fillId="43" borderId="20" xfId="0" applyFont="1" applyFill="1" applyBorder="1" applyAlignment="1">
      <alignment horizontal="left"/>
    </xf>
    <xf numFmtId="0" fontId="81" fillId="44" borderId="2" xfId="0" applyFont="1" applyFill="1" applyBorder="1" applyAlignment="1">
      <alignment horizontal="left"/>
    </xf>
    <xf numFmtId="0" fontId="81" fillId="44" borderId="4" xfId="0" applyFont="1" applyFill="1" applyBorder="1" applyAlignment="1">
      <alignment horizontal="left"/>
    </xf>
    <xf numFmtId="0" fontId="81" fillId="44" borderId="20" xfId="0" applyFont="1" applyFill="1" applyBorder="1" applyAlignment="1">
      <alignment horizontal="left"/>
    </xf>
    <xf numFmtId="0" fontId="13" fillId="43" borderId="2" xfId="0" applyFont="1" applyFill="1" applyBorder="1" applyAlignment="1">
      <alignment horizontal="left"/>
    </xf>
    <xf numFmtId="0" fontId="13" fillId="43" borderId="4" xfId="0" applyFont="1" applyFill="1" applyBorder="1" applyAlignment="1">
      <alignment horizontal="left"/>
    </xf>
    <xf numFmtId="0" fontId="13" fillId="43" borderId="20" xfId="0" applyFont="1" applyFill="1" applyBorder="1" applyAlignment="1">
      <alignment horizontal="left"/>
    </xf>
    <xf numFmtId="0" fontId="7" fillId="0" borderId="4" xfId="0" applyFont="1" applyBorder="1" applyAlignment="1">
      <alignment wrapText="1"/>
    </xf>
    <xf numFmtId="0" fontId="7" fillId="0" borderId="20" xfId="0" applyFont="1" applyBorder="1" applyAlignment="1">
      <alignment wrapText="1"/>
    </xf>
    <xf numFmtId="0" fontId="7" fillId="8" borderId="4" xfId="0" applyFont="1" applyFill="1" applyBorder="1" applyAlignment="1">
      <alignment wrapText="1"/>
    </xf>
    <xf numFmtId="0" fontId="7" fillId="8" borderId="20" xfId="0" applyFont="1" applyFill="1" applyBorder="1" applyAlignment="1">
      <alignment wrapText="1"/>
    </xf>
    <xf numFmtId="0" fontId="13" fillId="11" borderId="2" xfId="0" applyFont="1" applyFill="1" applyBorder="1" applyAlignment="1">
      <alignment horizontal="left" wrapText="1"/>
    </xf>
    <xf numFmtId="0" fontId="13" fillId="11" borderId="4" xfId="0" applyFont="1" applyFill="1" applyBorder="1" applyAlignment="1">
      <alignment horizontal="left" wrapText="1"/>
    </xf>
    <xf numFmtId="0" fontId="13" fillId="11" borderId="20" xfId="0" applyFont="1" applyFill="1" applyBorder="1" applyAlignment="1">
      <alignment horizontal="left" wrapText="1"/>
    </xf>
    <xf numFmtId="0" fontId="13" fillId="14" borderId="1" xfId="0" applyFont="1" applyFill="1" applyBorder="1" applyAlignment="1">
      <alignment horizontal="left"/>
    </xf>
    <xf numFmtId="0" fontId="9" fillId="8"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15" borderId="4" xfId="0" applyFont="1" applyFill="1" applyBorder="1" applyAlignment="1">
      <alignment horizontal="left" vertical="center" wrapText="1"/>
    </xf>
    <xf numFmtId="0" fontId="9" fillId="15" borderId="20" xfId="0" applyFont="1" applyFill="1" applyBorder="1" applyAlignment="1">
      <alignment horizontal="left" vertical="center" wrapText="1"/>
    </xf>
    <xf numFmtId="2" fontId="48" fillId="15" borderId="43" xfId="30" applyNumberFormat="1" applyFont="1" applyFill="1" applyBorder="1" applyAlignment="1">
      <alignment horizontal="center" vertical="center" wrapText="1"/>
    </xf>
    <xf numFmtId="2" fontId="48" fillId="15" borderId="35" xfId="30" applyNumberFormat="1" applyFont="1" applyFill="1" applyBorder="1" applyAlignment="1">
      <alignment horizontal="center" vertical="center" wrapText="1"/>
    </xf>
    <xf numFmtId="2" fontId="48" fillId="15" borderId="36" xfId="30" applyNumberFormat="1" applyFont="1" applyFill="1" applyBorder="1" applyAlignment="1">
      <alignment horizontal="center" vertical="center" wrapText="1"/>
    </xf>
    <xf numFmtId="0" fontId="48" fillId="12" borderId="53" xfId="7" applyFont="1" applyFill="1" applyBorder="1" applyAlignment="1">
      <alignment horizontal="center" vertical="center" wrapText="1"/>
    </xf>
    <xf numFmtId="0" fontId="48" fillId="12" borderId="4" xfId="7" applyFont="1" applyFill="1" applyBorder="1" applyAlignment="1">
      <alignment horizontal="center" vertical="center" wrapText="1"/>
    </xf>
    <xf numFmtId="0" fontId="48" fillId="12" borderId="41" xfId="7" applyFont="1" applyFill="1" applyBorder="1" applyAlignment="1">
      <alignment horizontal="center" vertical="center" wrapText="1"/>
    </xf>
    <xf numFmtId="0" fontId="9" fillId="8" borderId="1" xfId="7" applyFont="1" applyFill="1" applyBorder="1" applyAlignment="1">
      <alignment horizontal="center" vertical="center" wrapText="1"/>
    </xf>
    <xf numFmtId="0" fontId="59" fillId="14" borderId="53" xfId="7" applyFont="1" applyFill="1" applyBorder="1" applyAlignment="1">
      <alignment horizontal="center" vertical="center" wrapText="1"/>
    </xf>
    <xf numFmtId="0" fontId="59" fillId="14" borderId="4" xfId="7" applyFont="1" applyFill="1" applyBorder="1" applyAlignment="1">
      <alignment horizontal="center" vertical="center" wrapText="1"/>
    </xf>
    <xf numFmtId="0" fontId="59" fillId="14" borderId="41" xfId="7"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1" xfId="0" applyFont="1" applyBorder="1" applyAlignment="1">
      <alignment horizontal="center" vertical="center"/>
    </xf>
    <xf numFmtId="0" fontId="9" fillId="4" borderId="2" xfId="0" applyFont="1" applyFill="1" applyBorder="1" applyAlignment="1">
      <alignment horizontal="center" vertical="center"/>
    </xf>
    <xf numFmtId="0" fontId="9" fillId="4" borderId="4" xfId="0" applyFont="1" applyFill="1" applyBorder="1" applyAlignment="1">
      <alignment horizontal="center" vertical="center"/>
    </xf>
    <xf numFmtId="0" fontId="75" fillId="0" borderId="0" xfId="0" applyFont="1" applyAlignment="1">
      <alignment horizontal="center"/>
    </xf>
    <xf numFmtId="0" fontId="75" fillId="0" borderId="40" xfId="0" applyFont="1" applyBorder="1" applyAlignment="1">
      <alignment horizontal="center"/>
    </xf>
    <xf numFmtId="0" fontId="6" fillId="0" borderId="54" xfId="0" applyFont="1" applyFill="1" applyBorder="1" applyAlignment="1">
      <alignment horizontal="center" vertical="center"/>
    </xf>
    <xf numFmtId="0" fontId="6" fillId="0" borderId="0" xfId="0" applyFont="1" applyFill="1" applyBorder="1" applyAlignment="1">
      <alignment horizontal="center" vertical="center"/>
    </xf>
    <xf numFmtId="0" fontId="71" fillId="0" borderId="0" xfId="0" applyFont="1" applyFill="1" applyBorder="1" applyAlignment="1">
      <alignment horizontal="center" vertical="center"/>
    </xf>
    <xf numFmtId="0" fontId="48" fillId="0" borderId="0" xfId="0" applyFont="1" applyFill="1" applyBorder="1" applyAlignment="1">
      <alignment horizontal="center"/>
    </xf>
    <xf numFmtId="0" fontId="0" fillId="0" borderId="0" xfId="0" applyAlignment="1">
      <alignment horizontal="center" vertical="center"/>
    </xf>
    <xf numFmtId="0" fontId="6" fillId="30" borderId="28" xfId="0" applyFont="1" applyFill="1" applyBorder="1" applyAlignment="1">
      <alignment horizontal="left"/>
    </xf>
    <xf numFmtId="0" fontId="6" fillId="30" borderId="29" xfId="0" applyFont="1" applyFill="1" applyBorder="1" applyAlignment="1">
      <alignment horizontal="left"/>
    </xf>
    <xf numFmtId="0" fontId="6" fillId="30" borderId="30" xfId="0" applyFont="1" applyFill="1" applyBorder="1" applyAlignment="1">
      <alignment horizontal="left"/>
    </xf>
    <xf numFmtId="0" fontId="48" fillId="0" borderId="52" xfId="0" applyFont="1" applyFill="1" applyBorder="1" applyAlignment="1">
      <alignment horizontal="center"/>
    </xf>
    <xf numFmtId="0" fontId="6" fillId="0" borderId="19" xfId="0" applyFont="1" applyFill="1" applyBorder="1" applyAlignment="1">
      <alignment horizontal="center"/>
    </xf>
    <xf numFmtId="0" fontId="6" fillId="0" borderId="0" xfId="0" applyFont="1" applyFill="1" applyBorder="1" applyAlignment="1">
      <alignment horizontal="center"/>
    </xf>
    <xf numFmtId="0" fontId="48" fillId="0" borderId="0" xfId="0" applyFont="1" applyFill="1" applyBorder="1" applyAlignment="1">
      <alignment horizontal="center" vertical="center" wrapText="1"/>
    </xf>
    <xf numFmtId="0" fontId="48" fillId="0" borderId="28" xfId="0" applyFont="1" applyFill="1" applyBorder="1" applyAlignment="1">
      <alignment horizontal="center" vertical="center"/>
    </xf>
    <xf numFmtId="0" fontId="48" fillId="0" borderId="29" xfId="0" applyFont="1" applyFill="1" applyBorder="1" applyAlignment="1">
      <alignment horizontal="center" vertical="center"/>
    </xf>
    <xf numFmtId="191" fontId="78" fillId="29" borderId="53" xfId="28" applyNumberFormat="1" applyFont="1" applyFill="1" applyBorder="1" applyAlignment="1">
      <alignment horizontal="left" vertical="center"/>
    </xf>
    <xf numFmtId="191" fontId="78" fillId="29" borderId="4" xfId="28" applyNumberFormat="1" applyFont="1" applyFill="1" applyBorder="1" applyAlignment="1">
      <alignment horizontal="left" vertical="center"/>
    </xf>
    <xf numFmtId="191" fontId="78" fillId="29" borderId="20" xfId="28" applyNumberFormat="1" applyFont="1" applyFill="1" applyBorder="1" applyAlignment="1">
      <alignment horizontal="left" vertical="center"/>
    </xf>
    <xf numFmtId="191" fontId="78" fillId="26" borderId="53" xfId="28" applyNumberFormat="1" applyFont="1" applyFill="1" applyBorder="1" applyAlignment="1">
      <alignment horizontal="left" vertical="center"/>
    </xf>
    <xf numFmtId="191" fontId="78" fillId="26" borderId="4" xfId="28" applyNumberFormat="1" applyFont="1" applyFill="1" applyBorder="1" applyAlignment="1">
      <alignment horizontal="left" vertical="center"/>
    </xf>
    <xf numFmtId="191" fontId="78" fillId="26" borderId="20" xfId="28" applyNumberFormat="1" applyFont="1" applyFill="1" applyBorder="1" applyAlignment="1">
      <alignment horizontal="left" vertical="center"/>
    </xf>
    <xf numFmtId="191" fontId="78" fillId="29" borderId="1" xfId="28" applyNumberFormat="1" applyFont="1" applyFill="1" applyBorder="1" applyAlignment="1">
      <alignment horizontal="left" vertical="center" wrapText="1"/>
    </xf>
    <xf numFmtId="0" fontId="0" fillId="25" borderId="27" xfId="0" applyFill="1" applyBorder="1" applyAlignment="1">
      <alignment horizontal="center" vertical="center"/>
    </xf>
    <xf numFmtId="0" fontId="0" fillId="25" borderId="6" xfId="0" applyFill="1" applyBorder="1" applyAlignment="1">
      <alignment horizontal="center" vertical="center"/>
    </xf>
    <xf numFmtId="0" fontId="71" fillId="32" borderId="28" xfId="0" applyFont="1" applyFill="1" applyBorder="1" applyAlignment="1">
      <alignment horizontal="center" vertical="center"/>
    </xf>
    <xf numFmtId="0" fontId="71" fillId="32" borderId="29" xfId="0" applyFont="1" applyFill="1" applyBorder="1" applyAlignment="1">
      <alignment horizontal="center" vertical="center"/>
    </xf>
    <xf numFmtId="0" fontId="71" fillId="21" borderId="28" xfId="0" applyFont="1" applyFill="1" applyBorder="1" applyAlignment="1">
      <alignment horizontal="center" vertical="center"/>
    </xf>
    <xf numFmtId="0" fontId="71" fillId="21" borderId="29" xfId="0" applyFont="1" applyFill="1" applyBorder="1" applyAlignment="1">
      <alignment horizontal="center" vertical="center"/>
    </xf>
    <xf numFmtId="2" fontId="48" fillId="32" borderId="28" xfId="30" applyNumberFormat="1" applyFont="1" applyFill="1" applyBorder="1" applyAlignment="1">
      <alignment horizontal="center" vertical="center" wrapText="1"/>
    </xf>
    <xf numFmtId="2" fontId="48" fillId="32" borderId="29" xfId="30" applyNumberFormat="1" applyFont="1" applyFill="1" applyBorder="1" applyAlignment="1">
      <alignment horizontal="center" vertical="center" wrapText="1"/>
    </xf>
    <xf numFmtId="2" fontId="48" fillId="32" borderId="38" xfId="30" applyNumberFormat="1" applyFont="1" applyFill="1" applyBorder="1" applyAlignment="1">
      <alignment horizontal="center" vertical="center" wrapText="1"/>
    </xf>
    <xf numFmtId="0" fontId="48" fillId="0" borderId="54" xfId="0" applyFont="1" applyFill="1" applyBorder="1" applyAlignment="1">
      <alignment horizontal="center" vertical="center"/>
    </xf>
    <xf numFmtId="0" fontId="48" fillId="0" borderId="0" xfId="0" applyFont="1" applyFill="1" applyBorder="1" applyAlignment="1">
      <alignment horizontal="center" vertical="center"/>
    </xf>
    <xf numFmtId="0" fontId="6" fillId="26" borderId="28" xfId="0" applyFont="1" applyFill="1" applyBorder="1" applyAlignment="1">
      <alignment horizontal="left" wrapText="1"/>
    </xf>
    <xf numFmtId="0" fontId="6" fillId="26" borderId="29" xfId="0" applyFont="1" applyFill="1" applyBorder="1" applyAlignment="1">
      <alignment horizontal="left" wrapText="1"/>
    </xf>
    <xf numFmtId="0" fontId="6" fillId="26" borderId="30" xfId="0" applyFont="1" applyFill="1" applyBorder="1" applyAlignment="1">
      <alignment horizontal="left" wrapText="1"/>
    </xf>
    <xf numFmtId="183" fontId="9" fillId="0" borderId="0" xfId="0" applyNumberFormat="1" applyFont="1" applyFill="1" applyBorder="1" applyAlignment="1">
      <alignment horizontal="center" vertical="center"/>
    </xf>
    <xf numFmtId="49" fontId="9" fillId="0" borderId="6" xfId="0" applyNumberFormat="1" applyFont="1" applyFill="1" applyBorder="1" applyAlignment="1">
      <alignment horizontal="left" vertical="center" wrapText="1"/>
    </xf>
    <xf numFmtId="49" fontId="13" fillId="26" borderId="4" xfId="0" applyNumberFormat="1" applyFont="1" applyFill="1" applyBorder="1" applyAlignment="1">
      <alignment horizontal="center" vertical="center" wrapText="1"/>
    </xf>
    <xf numFmtId="49" fontId="13" fillId="26" borderId="20" xfId="0" applyNumberFormat="1" applyFont="1" applyFill="1" applyBorder="1" applyAlignment="1">
      <alignment horizontal="center" vertical="center" wrapText="1"/>
    </xf>
    <xf numFmtId="0" fontId="48" fillId="0" borderId="54" xfId="0" applyFont="1" applyFill="1" applyBorder="1" applyAlignment="1">
      <alignment horizontal="center" vertical="center" wrapText="1"/>
    </xf>
    <xf numFmtId="0" fontId="48" fillId="0" borderId="28" xfId="0" applyFont="1" applyFill="1" applyBorder="1" applyAlignment="1">
      <alignment horizontal="center" vertical="center" wrapText="1"/>
    </xf>
    <xf numFmtId="2" fontId="48" fillId="30" borderId="28" xfId="30" applyNumberFormat="1" applyFont="1" applyFill="1" applyBorder="1" applyAlignment="1">
      <alignment horizontal="center" vertical="center" wrapText="1"/>
    </xf>
    <xf numFmtId="2" fontId="48" fillId="30" borderId="29" xfId="30" applyNumberFormat="1" applyFont="1" applyFill="1" applyBorder="1" applyAlignment="1">
      <alignment horizontal="center" vertical="center" wrapText="1"/>
    </xf>
    <xf numFmtId="2" fontId="48" fillId="30" borderId="38" xfId="30" applyNumberFormat="1" applyFont="1" applyFill="1" applyBorder="1" applyAlignment="1">
      <alignment horizontal="center" vertical="center" wrapText="1"/>
    </xf>
    <xf numFmtId="0" fontId="76" fillId="0" borderId="2" xfId="0" applyFont="1" applyBorder="1" applyAlignment="1">
      <alignment horizontal="center" vertical="center" wrapText="1"/>
    </xf>
    <xf numFmtId="0" fontId="76" fillId="0" borderId="20" xfId="0" applyFont="1" applyBorder="1" applyAlignment="1">
      <alignment horizontal="center" vertical="center" wrapText="1"/>
    </xf>
    <xf numFmtId="0" fontId="62" fillId="26" borderId="2" xfId="7" applyFont="1" applyFill="1" applyBorder="1" applyAlignment="1" applyProtection="1">
      <alignment horizontal="left" vertical="center" wrapText="1"/>
    </xf>
    <xf numFmtId="0" fontId="62" fillId="26" borderId="4" xfId="7" applyFont="1" applyFill="1" applyBorder="1" applyAlignment="1" applyProtection="1">
      <alignment horizontal="left" vertical="center" wrapText="1"/>
    </xf>
    <xf numFmtId="0" fontId="85" fillId="12" borderId="61" xfId="35" applyFont="1" applyFill="1" applyBorder="1" applyAlignment="1">
      <alignment horizontal="left" vertical="center" wrapText="1"/>
    </xf>
    <xf numFmtId="0" fontId="85" fillId="0" borderId="61" xfId="32" applyFont="1" applyBorder="1" applyAlignment="1">
      <alignment horizontal="left" vertical="center" wrapText="1"/>
    </xf>
    <xf numFmtId="0" fontId="48" fillId="28" borderId="28" xfId="0" applyFont="1" applyFill="1" applyBorder="1" applyAlignment="1">
      <alignment horizontal="left" vertical="center" wrapText="1"/>
    </xf>
    <xf numFmtId="0" fontId="48" fillId="28" borderId="29" xfId="0" applyFont="1" applyFill="1" applyBorder="1" applyAlignment="1">
      <alignment horizontal="left" vertical="center" wrapText="1"/>
    </xf>
    <xf numFmtId="0" fontId="48" fillId="28" borderId="30" xfId="0" applyFont="1" applyFill="1" applyBorder="1" applyAlignment="1">
      <alignment horizontal="left" vertical="center" wrapText="1"/>
    </xf>
    <xf numFmtId="0" fontId="6" fillId="30" borderId="28" xfId="0" applyFont="1" applyFill="1" applyBorder="1" applyAlignment="1">
      <alignment horizontal="center"/>
    </xf>
    <xf numFmtId="0" fontId="6" fillId="30" borderId="29" xfId="0" applyFont="1" applyFill="1" applyBorder="1" applyAlignment="1">
      <alignment horizontal="center"/>
    </xf>
    <xf numFmtId="0" fontId="6" fillId="30" borderId="30" xfId="0" applyFont="1" applyFill="1" applyBorder="1" applyAlignment="1">
      <alignment horizontal="center"/>
    </xf>
    <xf numFmtId="0" fontId="13" fillId="29" borderId="4" xfId="12" applyFont="1" applyFill="1" applyBorder="1" applyAlignment="1">
      <alignment horizontal="center" vertical="center" wrapText="1"/>
    </xf>
    <xf numFmtId="0" fontId="13" fillId="29" borderId="20" xfId="12" applyFont="1" applyFill="1" applyBorder="1" applyAlignment="1">
      <alignment horizontal="center" vertical="center" wrapText="1"/>
    </xf>
    <xf numFmtId="49" fontId="13" fillId="29" borderId="4" xfId="0" applyNumberFormat="1" applyFont="1" applyFill="1" applyBorder="1" applyAlignment="1">
      <alignment horizontal="center" vertical="center" wrapText="1"/>
    </xf>
    <xf numFmtId="0" fontId="13" fillId="29" borderId="4" xfId="12" applyFont="1" applyFill="1" applyBorder="1" applyAlignment="1">
      <alignment horizontal="left" vertical="center" wrapText="1"/>
    </xf>
    <xf numFmtId="0" fontId="13" fillId="29" borderId="20" xfId="12" applyFont="1" applyFill="1" applyBorder="1" applyAlignment="1">
      <alignment horizontal="left" vertical="center" wrapText="1"/>
    </xf>
    <xf numFmtId="0" fontId="48" fillId="21" borderId="28" xfId="0" applyFont="1" applyFill="1" applyBorder="1" applyAlignment="1">
      <alignment horizontal="center" vertical="center"/>
    </xf>
    <xf numFmtId="0" fontId="48" fillId="21" borderId="29" xfId="0" applyFont="1" applyFill="1" applyBorder="1" applyAlignment="1">
      <alignment horizontal="center" vertical="center"/>
    </xf>
    <xf numFmtId="0" fontId="48" fillId="21" borderId="30" xfId="0" applyFont="1" applyFill="1" applyBorder="1" applyAlignment="1">
      <alignment horizontal="center" vertical="center"/>
    </xf>
    <xf numFmtId="0" fontId="48" fillId="30" borderId="19" xfId="0" applyFont="1" applyFill="1" applyBorder="1" applyAlignment="1">
      <alignment horizontal="left"/>
    </xf>
    <xf numFmtId="0" fontId="48" fillId="30" borderId="0" xfId="0" applyFont="1" applyFill="1" applyBorder="1" applyAlignment="1">
      <alignment horizontal="left"/>
    </xf>
    <xf numFmtId="0" fontId="48" fillId="30" borderId="40" xfId="0" applyFont="1" applyFill="1" applyBorder="1" applyAlignment="1">
      <alignment horizontal="left"/>
    </xf>
    <xf numFmtId="0" fontId="6" fillId="27" borderId="28" xfId="0" applyFont="1" applyFill="1" applyBorder="1" applyAlignment="1">
      <alignment horizontal="center" vertical="center"/>
    </xf>
    <xf numFmtId="0" fontId="6" fillId="27" borderId="29" xfId="0" applyFont="1" applyFill="1" applyBorder="1" applyAlignment="1">
      <alignment horizontal="center" vertical="center"/>
    </xf>
    <xf numFmtId="0" fontId="6" fillId="27" borderId="30" xfId="0" applyFont="1" applyFill="1" applyBorder="1" applyAlignment="1">
      <alignment horizontal="center" vertical="center"/>
    </xf>
    <xf numFmtId="0" fontId="6" fillId="30" borderId="28" xfId="0" applyFont="1" applyFill="1" applyBorder="1" applyAlignment="1">
      <alignment horizontal="center" vertical="center"/>
    </xf>
    <xf numFmtId="0" fontId="6" fillId="30" borderId="29" xfId="0" applyFont="1" applyFill="1" applyBorder="1" applyAlignment="1">
      <alignment horizontal="center" vertical="center"/>
    </xf>
    <xf numFmtId="0" fontId="6" fillId="30" borderId="30" xfId="0" applyFont="1" applyFill="1" applyBorder="1" applyAlignment="1">
      <alignment horizontal="center" vertical="center"/>
    </xf>
    <xf numFmtId="0" fontId="6" fillId="26" borderId="1" xfId="0" applyFont="1" applyFill="1" applyBorder="1" applyAlignment="1">
      <alignment horizontal="center" vertical="center"/>
    </xf>
    <xf numFmtId="0" fontId="6" fillId="26" borderId="1" xfId="0" applyFont="1" applyFill="1" applyBorder="1" applyAlignment="1">
      <alignment horizontal="center"/>
    </xf>
    <xf numFmtId="0" fontId="6" fillId="0" borderId="54" xfId="0" applyFont="1" applyFill="1" applyBorder="1" applyAlignment="1">
      <alignment horizontal="center" wrapText="1"/>
    </xf>
    <xf numFmtId="0" fontId="6" fillId="0" borderId="0" xfId="0" applyFont="1" applyFill="1" applyBorder="1" applyAlignment="1">
      <alignment horizontal="center" wrapText="1"/>
    </xf>
    <xf numFmtId="0" fontId="6" fillId="0" borderId="28" xfId="0" applyFont="1" applyFill="1" applyBorder="1" applyAlignment="1">
      <alignment horizontal="center" wrapText="1"/>
    </xf>
    <xf numFmtId="191" fontId="48" fillId="29" borderId="11" xfId="28" applyNumberFormat="1" applyFont="1" applyFill="1" applyBorder="1" applyAlignment="1">
      <alignment horizontal="left" vertical="center"/>
    </xf>
    <xf numFmtId="191" fontId="48" fillId="29" borderId="1" xfId="28" applyNumberFormat="1" applyFont="1" applyFill="1" applyBorder="1" applyAlignment="1">
      <alignment horizontal="left" vertical="center"/>
    </xf>
    <xf numFmtId="191" fontId="48" fillId="25" borderId="11" xfId="28" applyNumberFormat="1" applyFont="1" applyFill="1" applyBorder="1" applyAlignment="1">
      <alignment horizontal="left" vertical="center"/>
    </xf>
    <xf numFmtId="191" fontId="48" fillId="25" borderId="1" xfId="28" applyNumberFormat="1" applyFont="1" applyFill="1" applyBorder="1" applyAlignment="1">
      <alignment horizontal="left" vertical="center"/>
    </xf>
    <xf numFmtId="2" fontId="48" fillId="30" borderId="54" xfId="30" applyNumberFormat="1" applyFont="1" applyFill="1" applyBorder="1" applyAlignment="1">
      <alignment horizontal="center" vertical="center" wrapText="1"/>
    </xf>
    <xf numFmtId="2" fontId="48" fillId="30" borderId="0" xfId="30" applyNumberFormat="1" applyFont="1" applyFill="1" applyBorder="1" applyAlignment="1">
      <alignment horizontal="center" vertical="center" wrapText="1"/>
    </xf>
    <xf numFmtId="191" fontId="71" fillId="26" borderId="11" xfId="28" applyNumberFormat="1" applyFont="1" applyFill="1" applyBorder="1" applyAlignment="1">
      <alignment horizontal="left" vertical="center"/>
    </xf>
    <xf numFmtId="191" fontId="71" fillId="26" borderId="1" xfId="28" applyNumberFormat="1" applyFont="1" applyFill="1" applyBorder="1" applyAlignment="1">
      <alignment horizontal="left" vertical="center"/>
    </xf>
    <xf numFmtId="0" fontId="71" fillId="29" borderId="28" xfId="0" applyFont="1" applyFill="1" applyBorder="1" applyAlignment="1">
      <alignment horizontal="center" vertical="center"/>
    </xf>
    <xf numFmtId="0" fontId="71" fillId="29" borderId="29" xfId="0" applyFont="1" applyFill="1" applyBorder="1" applyAlignment="1">
      <alignment horizontal="center" vertical="center"/>
    </xf>
    <xf numFmtId="2" fontId="48" fillId="24" borderId="28" xfId="30" applyNumberFormat="1" applyFont="1" applyFill="1" applyBorder="1" applyAlignment="1">
      <alignment horizontal="center" vertical="center" wrapText="1"/>
    </xf>
    <xf numFmtId="2" fontId="48" fillId="24" borderId="29" xfId="30" applyNumberFormat="1" applyFont="1" applyFill="1" applyBorder="1" applyAlignment="1">
      <alignment horizontal="center" vertical="center" wrapText="1"/>
    </xf>
    <xf numFmtId="0" fontId="71" fillId="30" borderId="28" xfId="0" applyFont="1" applyFill="1" applyBorder="1" applyAlignment="1">
      <alignment horizontal="center" vertical="center"/>
    </xf>
    <xf numFmtId="0" fontId="71" fillId="30" borderId="29" xfId="0" applyFont="1" applyFill="1" applyBorder="1" applyAlignment="1">
      <alignment horizontal="center" vertical="center"/>
    </xf>
    <xf numFmtId="0" fontId="6" fillId="26" borderId="2" xfId="0" applyFont="1" applyFill="1" applyBorder="1" applyAlignment="1">
      <alignment horizontal="center"/>
    </xf>
    <xf numFmtId="0" fontId="6" fillId="26" borderId="4" xfId="0" applyFont="1" applyFill="1" applyBorder="1" applyAlignment="1">
      <alignment horizontal="center"/>
    </xf>
    <xf numFmtId="0" fontId="6" fillId="26" borderId="20" xfId="0" applyFont="1" applyFill="1" applyBorder="1" applyAlignment="1">
      <alignment horizontal="center"/>
    </xf>
    <xf numFmtId="0" fontId="71" fillId="28" borderId="28" xfId="0" applyFont="1" applyFill="1" applyBorder="1" applyAlignment="1">
      <alignment horizontal="center" vertical="center"/>
    </xf>
    <xf numFmtId="0" fontId="71" fillId="28" borderId="29" xfId="0" applyFont="1" applyFill="1" applyBorder="1" applyAlignment="1">
      <alignment horizontal="center" vertical="center"/>
    </xf>
    <xf numFmtId="191" fontId="48" fillId="29" borderId="17" xfId="28" applyNumberFormat="1" applyFont="1" applyFill="1" applyBorder="1" applyAlignment="1">
      <alignment horizontal="left" vertical="center"/>
    </xf>
    <xf numFmtId="191" fontId="48" fillId="29" borderId="7" xfId="28" applyNumberFormat="1" applyFont="1" applyFill="1" applyBorder="1" applyAlignment="1">
      <alignment horizontal="left" vertical="center"/>
    </xf>
    <xf numFmtId="191" fontId="78" fillId="29" borderId="11" xfId="28" applyNumberFormat="1" applyFont="1" applyFill="1" applyBorder="1" applyAlignment="1">
      <alignment horizontal="left" vertical="center"/>
    </xf>
    <xf numFmtId="191" fontId="78" fillId="29" borderId="1" xfId="28" applyNumberFormat="1" applyFont="1" applyFill="1" applyBorder="1" applyAlignment="1">
      <alignment horizontal="left" vertical="center"/>
    </xf>
    <xf numFmtId="0" fontId="0" fillId="25" borderId="27" xfId="0" applyFill="1" applyBorder="1" applyAlignment="1">
      <alignment horizontal="center"/>
    </xf>
    <xf numFmtId="0" fontId="0" fillId="25" borderId="6" xfId="0" applyFill="1" applyBorder="1" applyAlignment="1">
      <alignment horizontal="center"/>
    </xf>
    <xf numFmtId="0" fontId="0" fillId="25" borderId="21" xfId="0" applyFill="1" applyBorder="1" applyAlignment="1">
      <alignment horizontal="center"/>
    </xf>
    <xf numFmtId="0" fontId="48" fillId="21" borderId="28" xfId="0" applyFont="1" applyFill="1" applyBorder="1" applyAlignment="1">
      <alignment horizontal="left"/>
    </xf>
    <xf numFmtId="0" fontId="48" fillId="21" borderId="29" xfId="0" applyFont="1" applyFill="1" applyBorder="1" applyAlignment="1">
      <alignment horizontal="left"/>
    </xf>
    <xf numFmtId="0" fontId="48" fillId="21" borderId="30" xfId="0" applyFont="1" applyFill="1" applyBorder="1" applyAlignment="1">
      <alignment horizontal="left"/>
    </xf>
    <xf numFmtId="0" fontId="73" fillId="26" borderId="28" xfId="0" applyFont="1" applyFill="1" applyBorder="1" applyAlignment="1">
      <alignment horizontal="center" vertical="center"/>
    </xf>
    <xf numFmtId="0" fontId="73" fillId="26" borderId="42" xfId="0" applyFont="1" applyFill="1" applyBorder="1" applyAlignment="1">
      <alignment horizontal="center" vertical="center"/>
    </xf>
    <xf numFmtId="0" fontId="73" fillId="26" borderId="38" xfId="0" applyFont="1" applyFill="1" applyBorder="1" applyAlignment="1">
      <alignment horizontal="center" vertical="center"/>
    </xf>
    <xf numFmtId="49" fontId="72" fillId="0" borderId="9" xfId="0" applyNumberFormat="1" applyFont="1" applyFill="1" applyBorder="1" applyAlignment="1">
      <alignment horizontal="center" vertical="center" wrapText="1"/>
    </xf>
    <xf numFmtId="0" fontId="72" fillId="0" borderId="1" xfId="0" applyFont="1" applyFill="1" applyBorder="1" applyAlignment="1">
      <alignment horizontal="center" vertical="center" wrapText="1"/>
    </xf>
    <xf numFmtId="3" fontId="82" fillId="0" borderId="1" xfId="7" applyNumberFormat="1" applyFont="1" applyFill="1" applyBorder="1" applyAlignment="1">
      <alignment horizontal="center" vertical="center" wrapText="1"/>
    </xf>
    <xf numFmtId="49" fontId="24" fillId="0" borderId="58"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0" fontId="73" fillId="0" borderId="54" xfId="0" applyFont="1" applyFill="1" applyBorder="1" applyAlignment="1">
      <alignment horizontal="center" vertical="center"/>
    </xf>
    <xf numFmtId="0" fontId="73" fillId="0" borderId="0" xfId="0" applyFont="1" applyFill="1" applyBorder="1" applyAlignment="1">
      <alignment horizontal="center" vertical="center"/>
    </xf>
    <xf numFmtId="0" fontId="73" fillId="0" borderId="28" xfId="0" applyFont="1" applyFill="1" applyBorder="1" applyAlignment="1">
      <alignment horizontal="center" vertical="center"/>
    </xf>
    <xf numFmtId="0" fontId="48" fillId="26" borderId="28" xfId="0" applyFont="1" applyFill="1" applyBorder="1" applyAlignment="1">
      <alignment horizontal="center" vertical="center"/>
    </xf>
    <xf numFmtId="0" fontId="48" fillId="26" borderId="29" xfId="0" applyFont="1" applyFill="1" applyBorder="1" applyAlignment="1">
      <alignment horizontal="center" vertical="center"/>
    </xf>
    <xf numFmtId="0" fontId="48" fillId="26" borderId="30" xfId="0" applyFont="1" applyFill="1" applyBorder="1" applyAlignment="1">
      <alignment horizontal="center" vertical="center"/>
    </xf>
    <xf numFmtId="0" fontId="48" fillId="26" borderId="28" xfId="0" applyFont="1" applyFill="1" applyBorder="1" applyAlignment="1">
      <alignment horizontal="center" vertical="center" wrapText="1"/>
    </xf>
    <xf numFmtId="0" fontId="48" fillId="26" borderId="29" xfId="0" applyFont="1" applyFill="1" applyBorder="1" applyAlignment="1">
      <alignment horizontal="center" vertical="center" wrapText="1"/>
    </xf>
    <xf numFmtId="0" fontId="48" fillId="26" borderId="30" xfId="0" applyFont="1" applyFill="1" applyBorder="1" applyAlignment="1">
      <alignment horizontal="center" vertical="center" wrapText="1"/>
    </xf>
    <xf numFmtId="0" fontId="48" fillId="26" borderId="14" xfId="0" applyFont="1" applyFill="1" applyBorder="1" applyAlignment="1">
      <alignment horizontal="center" vertical="center"/>
    </xf>
    <xf numFmtId="0" fontId="48" fillId="26" borderId="56" xfId="0" applyFont="1" applyFill="1" applyBorder="1" applyAlignment="1">
      <alignment horizontal="center" vertical="center"/>
    </xf>
    <xf numFmtId="0" fontId="48" fillId="26" borderId="26" xfId="0" applyFont="1" applyFill="1" applyBorder="1" applyAlignment="1">
      <alignment horizontal="center" vertical="center"/>
    </xf>
    <xf numFmtId="0" fontId="6" fillId="26" borderId="34" xfId="0" applyFont="1" applyFill="1" applyBorder="1" applyAlignment="1">
      <alignment horizontal="center" vertical="center"/>
    </xf>
    <xf numFmtId="0" fontId="6" fillId="26" borderId="35" xfId="0" applyFont="1" applyFill="1" applyBorder="1" applyAlignment="1">
      <alignment horizontal="center" vertical="center"/>
    </xf>
    <xf numFmtId="0" fontId="6" fillId="26" borderId="37" xfId="0" applyFont="1" applyFill="1" applyBorder="1" applyAlignment="1">
      <alignment horizontal="center" vertical="center"/>
    </xf>
    <xf numFmtId="2" fontId="48" fillId="24" borderId="38" xfId="30" applyNumberFormat="1" applyFont="1" applyFill="1" applyBorder="1" applyAlignment="1">
      <alignment horizontal="center" vertical="center" wrapText="1"/>
    </xf>
    <xf numFmtId="0" fontId="79" fillId="29" borderId="27" xfId="0" applyFont="1" applyFill="1" applyBorder="1" applyAlignment="1">
      <alignment horizontal="left" vertical="center" wrapText="1"/>
    </xf>
    <xf numFmtId="0" fontId="79" fillId="29" borderId="6" xfId="0" applyFont="1" applyFill="1" applyBorder="1" applyAlignment="1">
      <alignment horizontal="left" vertical="center" wrapText="1"/>
    </xf>
    <xf numFmtId="191" fontId="78" fillId="26" borderId="11" xfId="28" applyNumberFormat="1" applyFont="1" applyFill="1" applyBorder="1" applyAlignment="1">
      <alignment horizontal="left" vertical="center"/>
    </xf>
    <xf numFmtId="191" fontId="78" fillId="26" borderId="1" xfId="28" applyNumberFormat="1" applyFont="1" applyFill="1" applyBorder="1" applyAlignment="1">
      <alignment horizontal="left" vertical="center"/>
    </xf>
    <xf numFmtId="0" fontId="6" fillId="30" borderId="28" xfId="0" applyFont="1" applyFill="1" applyBorder="1" applyAlignment="1">
      <alignment horizontal="left" wrapText="1"/>
    </xf>
    <xf numFmtId="0" fontId="6" fillId="30" borderId="29" xfId="0" applyFont="1" applyFill="1" applyBorder="1" applyAlignment="1">
      <alignment horizontal="left" wrapText="1"/>
    </xf>
    <xf numFmtId="0" fontId="6" fillId="30" borderId="30" xfId="0" applyFont="1" applyFill="1" applyBorder="1" applyAlignment="1">
      <alignment horizontal="left" wrapText="1"/>
    </xf>
    <xf numFmtId="2" fontId="48" fillId="21" borderId="28" xfId="30" applyNumberFormat="1" applyFont="1" applyFill="1" applyBorder="1" applyAlignment="1">
      <alignment horizontal="center" vertical="center" wrapText="1"/>
    </xf>
    <xf numFmtId="2" fontId="48" fillId="21" borderId="29" xfId="30" applyNumberFormat="1" applyFont="1" applyFill="1" applyBorder="1" applyAlignment="1">
      <alignment horizontal="center" vertical="center" wrapText="1"/>
    </xf>
    <xf numFmtId="2" fontId="48" fillId="21" borderId="38" xfId="30" applyNumberFormat="1" applyFont="1" applyFill="1" applyBorder="1" applyAlignment="1">
      <alignment horizontal="center" vertical="center" wrapText="1"/>
    </xf>
    <xf numFmtId="0" fontId="71" fillId="30" borderId="38" xfId="0" applyFont="1" applyFill="1" applyBorder="1" applyAlignment="1">
      <alignment horizontal="center" vertical="center"/>
    </xf>
    <xf numFmtId="2" fontId="48" fillId="28" borderId="28" xfId="30" applyNumberFormat="1" applyFont="1" applyFill="1" applyBorder="1" applyAlignment="1">
      <alignment horizontal="center" vertical="center" wrapText="1"/>
    </xf>
    <xf numFmtId="2" fontId="48" fillId="28" borderId="29" xfId="30" applyNumberFormat="1" applyFont="1" applyFill="1" applyBorder="1" applyAlignment="1">
      <alignment horizontal="center" vertical="center" wrapText="1"/>
    </xf>
    <xf numFmtId="2" fontId="48" fillId="28" borderId="38" xfId="30" applyNumberFormat="1" applyFont="1" applyFill="1" applyBorder="1" applyAlignment="1">
      <alignment horizontal="center" vertical="center" wrapText="1"/>
    </xf>
    <xf numFmtId="0" fontId="48" fillId="0" borderId="54" xfId="0" applyFont="1" applyFill="1" applyBorder="1" applyAlignment="1">
      <alignment horizontal="center"/>
    </xf>
    <xf numFmtId="0" fontId="48" fillId="0" borderId="28" xfId="0" applyFont="1" applyFill="1" applyBorder="1" applyAlignment="1">
      <alignment horizontal="center"/>
    </xf>
    <xf numFmtId="0" fontId="13" fillId="26" borderId="4" xfId="12" applyFont="1" applyFill="1" applyBorder="1" applyAlignment="1">
      <alignment horizontal="center" vertical="center" wrapText="1"/>
    </xf>
    <xf numFmtId="0" fontId="13" fillId="26" borderId="20" xfId="12" applyFont="1" applyFill="1" applyBorder="1" applyAlignment="1">
      <alignment horizontal="center" vertical="center" wrapText="1"/>
    </xf>
    <xf numFmtId="0" fontId="12" fillId="32" borderId="4" xfId="12" applyFont="1" applyFill="1" applyBorder="1" applyAlignment="1">
      <alignment horizontal="center" vertical="center" wrapText="1"/>
    </xf>
    <xf numFmtId="0" fontId="9" fillId="12" borderId="1" xfId="33" applyFont="1" applyFill="1" applyBorder="1" applyAlignment="1">
      <alignment horizontal="left" vertical="top" wrapText="1"/>
    </xf>
    <xf numFmtId="0" fontId="9" fillId="12" borderId="2" xfId="33" applyFont="1" applyFill="1" applyBorder="1" applyAlignment="1">
      <alignment horizontal="left" vertical="top" wrapText="1"/>
    </xf>
    <xf numFmtId="0" fontId="9" fillId="12" borderId="4" xfId="33" applyFont="1" applyFill="1" applyBorder="1" applyAlignment="1">
      <alignment horizontal="left" vertical="top" wrapText="1"/>
    </xf>
    <xf numFmtId="0" fontId="9" fillId="8" borderId="2" xfId="0" applyFont="1" applyFill="1" applyBorder="1" applyAlignment="1">
      <alignment horizontal="left"/>
    </xf>
    <xf numFmtId="0" fontId="9" fillId="8" borderId="4" xfId="0" applyFont="1" applyFill="1" applyBorder="1" applyAlignment="1">
      <alignment horizontal="left"/>
    </xf>
    <xf numFmtId="0" fontId="9" fillId="8" borderId="20" xfId="0" applyFont="1" applyFill="1" applyBorder="1" applyAlignment="1">
      <alignment horizontal="left"/>
    </xf>
    <xf numFmtId="0" fontId="9" fillId="2" borderId="2" xfId="0" applyFont="1" applyFill="1" applyBorder="1" applyAlignment="1">
      <alignment horizontal="left"/>
    </xf>
    <xf numFmtId="0" fontId="9" fillId="2" borderId="4" xfId="0" applyFont="1" applyFill="1" applyBorder="1" applyAlignment="1">
      <alignment horizontal="left"/>
    </xf>
    <xf numFmtId="0" fontId="9" fillId="2" borderId="20" xfId="0" applyFont="1" applyFill="1" applyBorder="1" applyAlignment="1">
      <alignment horizontal="left"/>
    </xf>
    <xf numFmtId="0" fontId="9" fillId="12" borderId="20" xfId="33" applyFont="1" applyFill="1" applyBorder="1" applyAlignment="1">
      <alignment horizontal="left" vertical="top" wrapText="1"/>
    </xf>
    <xf numFmtId="0" fontId="9" fillId="2" borderId="2"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20" xfId="0" applyFont="1" applyFill="1" applyBorder="1" applyAlignment="1">
      <alignment horizontal="justify" vertical="center" wrapText="1"/>
    </xf>
    <xf numFmtId="0" fontId="14" fillId="2" borderId="2" xfId="0" applyFont="1" applyFill="1" applyBorder="1" applyAlignment="1">
      <alignment horizontal="left" vertical="top" wrapText="1"/>
    </xf>
    <xf numFmtId="0" fontId="14" fillId="2" borderId="4" xfId="0" applyFont="1" applyFill="1" applyBorder="1" applyAlignment="1">
      <alignment horizontal="left" vertical="top" wrapText="1"/>
    </xf>
    <xf numFmtId="0" fontId="14" fillId="2" borderId="20" xfId="0" applyFont="1" applyFill="1" applyBorder="1" applyAlignment="1">
      <alignment horizontal="left" vertical="top" wrapText="1"/>
    </xf>
    <xf numFmtId="0" fontId="9" fillId="8" borderId="1" xfId="33" applyFont="1" applyFill="1" applyBorder="1" applyAlignment="1">
      <alignment horizontal="left" vertical="top" wrapText="1"/>
    </xf>
    <xf numFmtId="175" fontId="10" fillId="0" borderId="13" xfId="0" applyNumberFormat="1" applyFont="1" applyBorder="1" applyAlignment="1">
      <alignment horizontal="center" vertical="center"/>
    </xf>
    <xf numFmtId="0" fontId="10" fillId="0" borderId="13" xfId="0" applyFont="1" applyBorder="1" applyAlignment="1">
      <alignment horizontal="center" vertical="center"/>
    </xf>
    <xf numFmtId="0" fontId="14" fillId="2" borderId="2" xfId="20" applyFont="1" applyFill="1" applyBorder="1" applyAlignment="1">
      <alignment horizontal="left"/>
    </xf>
    <xf numFmtId="0" fontId="14" fillId="2" borderId="4" xfId="20" applyFont="1" applyFill="1" applyBorder="1" applyAlignment="1">
      <alignment horizontal="left"/>
    </xf>
    <xf numFmtId="0" fontId="14" fillId="2" borderId="20" xfId="20" applyFont="1" applyFill="1" applyBorder="1" applyAlignment="1">
      <alignment horizontal="left"/>
    </xf>
    <xf numFmtId="0" fontId="9" fillId="2" borderId="1" xfId="0" applyFont="1" applyFill="1" applyBorder="1" applyAlignment="1">
      <alignment horizontal="left"/>
    </xf>
    <xf numFmtId="0" fontId="45" fillId="11" borderId="1" xfId="0" applyFont="1" applyFill="1" applyBorder="1" applyAlignment="1">
      <alignment horizontal="left" vertical="top" wrapText="1"/>
    </xf>
    <xf numFmtId="0" fontId="45" fillId="11" borderId="1" xfId="0" applyFont="1" applyFill="1" applyBorder="1" applyAlignment="1">
      <alignment horizontal="left"/>
    </xf>
    <xf numFmtId="0" fontId="45" fillId="11" borderId="2" xfId="0" applyFont="1" applyFill="1" applyBorder="1" applyAlignment="1">
      <alignment horizontal="left" vertical="top" wrapText="1"/>
    </xf>
    <xf numFmtId="0" fontId="45" fillId="11" borderId="4" xfId="0" applyFont="1" applyFill="1" applyBorder="1" applyAlignment="1">
      <alignment horizontal="left" vertical="top" wrapText="1"/>
    </xf>
    <xf numFmtId="0" fontId="45" fillId="11" borderId="20" xfId="0" applyFont="1" applyFill="1" applyBorder="1" applyAlignment="1">
      <alignment horizontal="left" vertical="top" wrapText="1"/>
    </xf>
    <xf numFmtId="0" fontId="45" fillId="11" borderId="2" xfId="0" applyFont="1" applyFill="1" applyBorder="1" applyAlignment="1">
      <alignment horizontal="left" vertical="center" wrapText="1"/>
    </xf>
    <xf numFmtId="0" fontId="45" fillId="11" borderId="4" xfId="0" applyFont="1" applyFill="1" applyBorder="1" applyAlignment="1">
      <alignment horizontal="left" vertical="center" wrapText="1"/>
    </xf>
    <xf numFmtId="0" fontId="45" fillId="11" borderId="20"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20" xfId="0" applyFont="1" applyFill="1" applyBorder="1" applyAlignment="1">
      <alignment horizontal="left" vertical="center" wrapText="1"/>
    </xf>
    <xf numFmtId="0" fontId="45" fillId="11" borderId="2" xfId="0" applyFont="1" applyFill="1" applyBorder="1" applyAlignment="1">
      <alignment horizontal="left"/>
    </xf>
    <xf numFmtId="0" fontId="45" fillId="11" borderId="4" xfId="0" applyFont="1" applyFill="1" applyBorder="1" applyAlignment="1">
      <alignment horizontal="left"/>
    </xf>
    <xf numFmtId="0" fontId="45" fillId="11" borderId="20" xfId="0" applyFont="1" applyFill="1" applyBorder="1" applyAlignment="1">
      <alignment horizontal="left"/>
    </xf>
    <xf numFmtId="170" fontId="67" fillId="0" borderId="6" xfId="3" applyNumberFormat="1" applyFont="1" applyFill="1" applyBorder="1" applyAlignment="1" applyProtection="1">
      <alignment horizontal="center" vertical="center"/>
    </xf>
    <xf numFmtId="170" fontId="67" fillId="0" borderId="0" xfId="3" applyNumberFormat="1" applyFont="1" applyFill="1" applyBorder="1" applyAlignment="1" applyProtection="1">
      <alignment horizontal="center"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6" borderId="2" xfId="0" applyFont="1" applyFill="1" applyBorder="1" applyAlignment="1">
      <alignment horizontal="center" vertical="center"/>
    </xf>
    <xf numFmtId="0" fontId="9" fillId="6" borderId="4" xfId="0" applyFont="1" applyFill="1" applyBorder="1" applyAlignment="1">
      <alignment horizontal="center" vertical="center"/>
    </xf>
    <xf numFmtId="0" fontId="9" fillId="6" borderId="20" xfId="0" applyFont="1" applyFill="1" applyBorder="1" applyAlignment="1">
      <alignment horizontal="center" vertical="center"/>
    </xf>
    <xf numFmtId="0" fontId="9" fillId="4" borderId="20" xfId="0" applyFont="1" applyFill="1" applyBorder="1" applyAlignment="1">
      <alignment horizontal="center" vertical="center"/>
    </xf>
    <xf numFmtId="0" fontId="9" fillId="2" borderId="2" xfId="0" applyFont="1" applyFill="1" applyBorder="1" applyAlignment="1">
      <alignment horizontal="justify" vertical="top" wrapText="1"/>
    </xf>
    <xf numFmtId="0" fontId="9" fillId="2" borderId="4" xfId="0" applyFont="1" applyFill="1" applyBorder="1" applyAlignment="1">
      <alignment horizontal="justify" vertical="top" wrapText="1"/>
    </xf>
    <xf numFmtId="0" fontId="9" fillId="0" borderId="0" xfId="0" applyFont="1" applyFill="1" applyBorder="1" applyAlignment="1">
      <alignment horizontal="left" vertical="top" wrapText="1"/>
    </xf>
    <xf numFmtId="0" fontId="45" fillId="11" borderId="1" xfId="13" applyFont="1" applyFill="1" applyBorder="1" applyAlignment="1">
      <alignment horizontal="justify" vertical="center" wrapText="1"/>
    </xf>
    <xf numFmtId="0" fontId="9" fillId="2" borderId="2" xfId="0" applyFont="1" applyFill="1" applyBorder="1" applyAlignment="1">
      <alignment horizontal="left" wrapText="1"/>
    </xf>
    <xf numFmtId="0" fontId="9" fillId="2" borderId="4" xfId="0" applyFont="1" applyFill="1" applyBorder="1" applyAlignment="1">
      <alignment horizontal="left" wrapText="1"/>
    </xf>
    <xf numFmtId="0" fontId="9" fillId="2" borderId="20" xfId="0" applyFont="1" applyFill="1" applyBorder="1" applyAlignment="1">
      <alignment horizontal="left" wrapText="1"/>
    </xf>
    <xf numFmtId="0" fontId="45" fillId="11" borderId="2" xfId="0" applyFont="1" applyFill="1" applyBorder="1" applyAlignment="1">
      <alignment horizontal="left" wrapText="1"/>
    </xf>
    <xf numFmtId="0" fontId="45" fillId="11" borderId="4" xfId="0" applyFont="1" applyFill="1" applyBorder="1" applyAlignment="1">
      <alignment horizontal="left" wrapText="1"/>
    </xf>
    <xf numFmtId="0" fontId="45" fillId="11" borderId="20" xfId="0" applyFont="1" applyFill="1" applyBorder="1" applyAlignment="1">
      <alignment horizontal="left" wrapText="1"/>
    </xf>
    <xf numFmtId="0" fontId="9" fillId="2" borderId="2" xfId="13" applyFont="1" applyFill="1" applyBorder="1" applyAlignment="1">
      <alignment horizontal="justify" vertical="center" wrapText="1"/>
    </xf>
    <xf numFmtId="0" fontId="9" fillId="2" borderId="4" xfId="13" applyFont="1" applyFill="1" applyBorder="1" applyAlignment="1">
      <alignment horizontal="justify" vertical="center" wrapText="1"/>
    </xf>
    <xf numFmtId="0" fontId="9" fillId="2" borderId="20" xfId="13" applyFont="1" applyFill="1" applyBorder="1" applyAlignment="1">
      <alignment horizontal="justify" vertical="center" wrapText="1"/>
    </xf>
    <xf numFmtId="0" fontId="45" fillId="11" borderId="2" xfId="13" applyFont="1" applyFill="1" applyBorder="1" applyAlignment="1">
      <alignment horizontal="justify" vertical="center" wrapText="1"/>
    </xf>
    <xf numFmtId="0" fontId="45" fillId="11" borderId="4" xfId="13" applyFont="1" applyFill="1" applyBorder="1" applyAlignment="1">
      <alignment horizontal="justify" vertical="center" wrapText="1"/>
    </xf>
    <xf numFmtId="0" fontId="45" fillId="11" borderId="20" xfId="13" applyFont="1" applyFill="1" applyBorder="1" applyAlignment="1">
      <alignment horizontal="justify" vertical="center" wrapText="1"/>
    </xf>
    <xf numFmtId="0" fontId="9" fillId="2" borderId="1" xfId="13" applyFont="1" applyFill="1" applyBorder="1" applyAlignment="1">
      <alignment horizontal="justify" vertical="center" wrapText="1"/>
    </xf>
    <xf numFmtId="0" fontId="45" fillId="11" borderId="1" xfId="0" applyFont="1" applyFill="1" applyBorder="1" applyAlignment="1">
      <alignment horizontal="left" vertical="center" wrapText="1"/>
    </xf>
    <xf numFmtId="17" fontId="24" fillId="0" borderId="13" xfId="0" applyNumberFormat="1" applyFont="1" applyBorder="1" applyAlignment="1">
      <alignment horizontal="center" vertical="center"/>
    </xf>
    <xf numFmtId="0" fontId="24" fillId="0" borderId="13" xfId="0" applyFont="1" applyBorder="1" applyAlignment="1">
      <alignment horizontal="center" vertical="center"/>
    </xf>
    <xf numFmtId="173" fontId="9" fillId="29" borderId="2" xfId="0" applyNumberFormat="1" applyFont="1" applyFill="1" applyBorder="1" applyAlignment="1">
      <alignment horizontal="center" vertical="center" wrapText="1"/>
    </xf>
    <xf numFmtId="173" fontId="9" fillId="29" borderId="4" xfId="0" applyNumberFormat="1" applyFont="1" applyFill="1" applyBorder="1" applyAlignment="1">
      <alignment horizontal="center" vertical="center" wrapText="1"/>
    </xf>
    <xf numFmtId="173" fontId="9" fillId="29" borderId="20" xfId="0" applyNumberFormat="1" applyFont="1" applyFill="1" applyBorder="1" applyAlignment="1">
      <alignment horizontal="center" vertical="center" wrapText="1"/>
    </xf>
    <xf numFmtId="0" fontId="9" fillId="26" borderId="20" xfId="0" applyFont="1" applyFill="1" applyBorder="1" applyAlignment="1">
      <alignment horizontal="center" vertical="center" wrapText="1"/>
    </xf>
    <xf numFmtId="173" fontId="9" fillId="26" borderId="20" xfId="0" applyNumberFormat="1" applyFont="1" applyFill="1" applyBorder="1" applyAlignment="1">
      <alignment horizontal="center" vertical="center" wrapText="1"/>
    </xf>
    <xf numFmtId="0" fontId="33" fillId="40" borderId="2" xfId="7" applyFont="1" applyFill="1" applyBorder="1" applyAlignment="1">
      <alignment horizontal="left" vertical="center" wrapText="1"/>
    </xf>
    <xf numFmtId="0" fontId="33" fillId="40" borderId="4" xfId="7" applyFont="1" applyFill="1" applyBorder="1" applyAlignment="1">
      <alignment horizontal="left" vertical="center" wrapText="1"/>
    </xf>
    <xf numFmtId="0" fontId="33" fillId="40" borderId="20" xfId="7" applyFont="1" applyFill="1" applyBorder="1" applyAlignment="1">
      <alignment horizontal="left" vertical="center" wrapText="1"/>
    </xf>
    <xf numFmtId="0" fontId="9" fillId="29" borderId="1" xfId="7" applyFont="1" applyFill="1" applyBorder="1" applyAlignment="1">
      <alignment horizontal="center" vertical="center" wrapText="1"/>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3" fillId="29" borderId="2" xfId="12" applyFont="1" applyFill="1" applyBorder="1" applyAlignment="1">
      <alignment horizontal="center" vertical="center" wrapText="1"/>
    </xf>
    <xf numFmtId="49" fontId="12" fillId="33" borderId="1" xfId="0" applyNumberFormat="1" applyFont="1" applyFill="1" applyBorder="1" applyAlignment="1">
      <alignment horizontal="center" vertical="center" wrapText="1"/>
    </xf>
    <xf numFmtId="49" fontId="9" fillId="29" borderId="4" xfId="0" applyNumberFormat="1" applyFont="1" applyFill="1" applyBorder="1" applyAlignment="1">
      <alignment horizontal="center" vertical="center" wrapText="1"/>
    </xf>
    <xf numFmtId="0" fontId="9" fillId="30" borderId="1" xfId="0" applyFont="1" applyFill="1" applyBorder="1" applyAlignment="1">
      <alignment horizontal="center" vertical="center" wrapText="1"/>
    </xf>
    <xf numFmtId="0" fontId="9" fillId="32" borderId="2" xfId="0" applyFont="1" applyFill="1" applyBorder="1" applyAlignment="1">
      <alignment horizontal="left" vertical="center"/>
    </xf>
    <xf numFmtId="0" fontId="9" fillId="32" borderId="4" xfId="0" applyFont="1" applyFill="1" applyBorder="1" applyAlignment="1">
      <alignment horizontal="left" vertical="center"/>
    </xf>
    <xf numFmtId="0" fontId="9" fillId="32" borderId="20" xfId="0" applyFont="1" applyFill="1" applyBorder="1" applyAlignment="1">
      <alignment horizontal="left" vertical="center"/>
    </xf>
    <xf numFmtId="0" fontId="24" fillId="0" borderId="18" xfId="0" applyFont="1" applyFill="1" applyBorder="1" applyAlignment="1">
      <alignment horizontal="left" vertical="center" wrapText="1"/>
    </xf>
    <xf numFmtId="0" fontId="9" fillId="29" borderId="39" xfId="7" applyFont="1" applyFill="1" applyBorder="1" applyAlignment="1">
      <alignment horizontal="center" vertical="center" wrapText="1"/>
    </xf>
    <xf numFmtId="0" fontId="9" fillId="29" borderId="20" xfId="0" applyFont="1" applyFill="1" applyBorder="1" applyAlignment="1">
      <alignment horizontal="center" vertical="center" wrapText="1"/>
    </xf>
    <xf numFmtId="0" fontId="50" fillId="0" borderId="10" xfId="7" applyFont="1" applyFill="1" applyBorder="1" applyAlignment="1">
      <alignment horizontal="center"/>
    </xf>
    <xf numFmtId="0" fontId="50" fillId="0" borderId="9" xfId="7" applyFont="1" applyFill="1" applyBorder="1" applyAlignment="1">
      <alignment horizontal="center"/>
    </xf>
    <xf numFmtId="0" fontId="50" fillId="0" borderId="11" xfId="7" applyFont="1" applyFill="1" applyBorder="1" applyAlignment="1">
      <alignment horizontal="center"/>
    </xf>
    <xf numFmtId="0" fontId="50" fillId="0" borderId="1" xfId="7" applyFont="1" applyFill="1" applyBorder="1" applyAlignment="1">
      <alignment horizontal="center"/>
    </xf>
    <xf numFmtId="0" fontId="50" fillId="0" borderId="12" xfId="7" applyFont="1" applyFill="1" applyBorder="1" applyAlignment="1">
      <alignment horizontal="center"/>
    </xf>
    <xf numFmtId="0" fontId="50" fillId="0" borderId="13" xfId="7" applyFont="1" applyFill="1" applyBorder="1" applyAlignment="1">
      <alignment horizontal="center"/>
    </xf>
    <xf numFmtId="0" fontId="10" fillId="0" borderId="23"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quotePrefix="1" applyFont="1" applyFill="1" applyBorder="1" applyAlignment="1">
      <alignment horizontal="center" vertical="center" wrapText="1"/>
    </xf>
    <xf numFmtId="3" fontId="50" fillId="0" borderId="31" xfId="7" applyNumberFormat="1" applyFont="1" applyFill="1" applyBorder="1" applyAlignment="1">
      <alignment horizontal="center" vertical="center" wrapText="1"/>
    </xf>
    <xf numFmtId="0" fontId="50" fillId="0" borderId="32" xfId="7" applyFont="1" applyFill="1" applyBorder="1" applyAlignment="1">
      <alignment horizontal="center" vertical="center" wrapText="1"/>
    </xf>
    <xf numFmtId="0" fontId="50" fillId="0" borderId="33" xfId="7" applyFont="1" applyFill="1" applyBorder="1" applyAlignment="1">
      <alignment horizontal="center" vertical="center" wrapText="1"/>
    </xf>
    <xf numFmtId="0" fontId="33" fillId="39" borderId="2" xfId="0" applyFont="1" applyFill="1" applyBorder="1" applyAlignment="1">
      <alignment horizontal="center" vertical="center"/>
    </xf>
    <xf numFmtId="0" fontId="33" fillId="39" borderId="4" xfId="0" applyFont="1" applyFill="1" applyBorder="1" applyAlignment="1">
      <alignment horizontal="center" vertical="center"/>
    </xf>
    <xf numFmtId="0" fontId="33" fillId="39" borderId="20" xfId="0" applyFont="1" applyFill="1" applyBorder="1" applyAlignment="1">
      <alignment horizontal="center" vertical="center"/>
    </xf>
    <xf numFmtId="49" fontId="12" fillId="21" borderId="1" xfId="0" applyNumberFormat="1" applyFont="1" applyFill="1" applyBorder="1" applyAlignment="1">
      <alignment horizontal="center" vertical="center" wrapText="1"/>
    </xf>
    <xf numFmtId="49" fontId="9" fillId="0" borderId="6" xfId="20" applyNumberFormat="1" applyFont="1" applyFill="1" applyBorder="1" applyAlignment="1">
      <alignment horizontal="left" vertical="center" wrapText="1"/>
    </xf>
    <xf numFmtId="49" fontId="13" fillId="26" borderId="2" xfId="0" applyNumberFormat="1" applyFont="1" applyFill="1" applyBorder="1" applyAlignment="1">
      <alignment horizontal="center" vertical="center" wrapText="1"/>
    </xf>
    <xf numFmtId="49" fontId="13" fillId="29" borderId="6" xfId="0" applyNumberFormat="1" applyFont="1" applyFill="1" applyBorder="1" applyAlignment="1">
      <alignment horizontal="center" vertical="center" wrapText="1"/>
    </xf>
    <xf numFmtId="0" fontId="9" fillId="26" borderId="3" xfId="12" applyFont="1" applyFill="1" applyBorder="1" applyAlignment="1">
      <alignment horizontal="left" vertical="center" wrapText="1"/>
    </xf>
    <xf numFmtId="0" fontId="9" fillId="26" borderId="18" xfId="12" applyFont="1" applyFill="1" applyBorder="1" applyAlignment="1">
      <alignment horizontal="left" vertical="center" wrapText="1"/>
    </xf>
    <xf numFmtId="0" fontId="9" fillId="26" borderId="39" xfId="12" applyFont="1" applyFill="1" applyBorder="1" applyAlignment="1">
      <alignment horizontal="left" vertical="center" wrapText="1"/>
    </xf>
    <xf numFmtId="0" fontId="13" fillId="8" borderId="2" xfId="0" applyFont="1" applyFill="1" applyBorder="1" applyAlignment="1">
      <alignment horizontal="left"/>
    </xf>
    <xf numFmtId="0" fontId="13" fillId="8" borderId="4" xfId="0" applyFont="1" applyFill="1" applyBorder="1" applyAlignment="1">
      <alignment horizontal="left"/>
    </xf>
    <xf numFmtId="0" fontId="13" fillId="8" borderId="20" xfId="0" applyFont="1" applyFill="1" applyBorder="1" applyAlignment="1">
      <alignment horizontal="left"/>
    </xf>
    <xf numFmtId="0" fontId="9" fillId="8" borderId="1" xfId="0" applyFont="1" applyFill="1" applyBorder="1" applyAlignment="1">
      <alignment horizontal="left" vertical="top" wrapText="1"/>
    </xf>
    <xf numFmtId="0" fontId="9" fillId="2" borderId="1" xfId="0" applyFont="1" applyFill="1" applyBorder="1" applyAlignment="1">
      <alignment horizontal="left" wrapText="1"/>
    </xf>
    <xf numFmtId="0" fontId="9" fillId="12" borderId="2" xfId="0" applyFont="1" applyFill="1" applyBorder="1" applyAlignment="1">
      <alignment horizontal="left" wrapText="1"/>
    </xf>
    <xf numFmtId="0" fontId="9" fillId="12" borderId="4" xfId="0" applyFont="1" applyFill="1" applyBorder="1" applyAlignment="1">
      <alignment horizontal="left" wrapText="1"/>
    </xf>
    <xf numFmtId="0" fontId="9" fillId="12" borderId="20" xfId="0" applyFont="1" applyFill="1" applyBorder="1" applyAlignment="1">
      <alignment horizontal="left" wrapText="1"/>
    </xf>
    <xf numFmtId="0" fontId="9" fillId="4" borderId="2" xfId="20" applyFont="1" applyFill="1" applyBorder="1" applyAlignment="1">
      <alignment horizontal="center" vertical="center"/>
    </xf>
    <xf numFmtId="0" fontId="9" fillId="4" borderId="4" xfId="20" applyFont="1" applyFill="1" applyBorder="1" applyAlignment="1">
      <alignment horizontal="center" vertical="center"/>
    </xf>
    <xf numFmtId="0" fontId="9" fillId="4" borderId="20" xfId="20" applyFont="1" applyFill="1" applyBorder="1" applyAlignment="1">
      <alignment horizontal="center" vertical="center"/>
    </xf>
    <xf numFmtId="0" fontId="9" fillId="2" borderId="2" xfId="20" applyFont="1" applyFill="1" applyBorder="1" applyAlignment="1">
      <alignment horizontal="left" vertical="top" wrapText="1"/>
    </xf>
    <xf numFmtId="0" fontId="9" fillId="2" borderId="4" xfId="20" applyFont="1" applyFill="1" applyBorder="1" applyAlignment="1">
      <alignment horizontal="left" vertical="top" wrapText="1"/>
    </xf>
    <xf numFmtId="0" fontId="9" fillId="2" borderId="20" xfId="20" applyFont="1" applyFill="1" applyBorder="1" applyAlignment="1">
      <alignment horizontal="left" vertical="top" wrapText="1"/>
    </xf>
    <xf numFmtId="0" fontId="9" fillId="25" borderId="2" xfId="20" applyFont="1" applyFill="1" applyBorder="1" applyAlignment="1">
      <alignment horizontal="center" vertical="center"/>
    </xf>
    <xf numFmtId="0" fontId="9" fillId="25" borderId="4" xfId="20" applyFont="1" applyFill="1" applyBorder="1" applyAlignment="1">
      <alignment horizontal="center" vertical="center"/>
    </xf>
    <xf numFmtId="0" fontId="9" fillId="25" borderId="20" xfId="20" applyFont="1" applyFill="1" applyBorder="1" applyAlignment="1">
      <alignment horizontal="center" vertical="center"/>
    </xf>
    <xf numFmtId="0" fontId="9" fillId="2" borderId="2" xfId="20" applyFont="1" applyFill="1" applyBorder="1" applyAlignment="1">
      <alignment horizontal="left"/>
    </xf>
    <xf numFmtId="0" fontId="9" fillId="2" borderId="4" xfId="20" applyFont="1" applyFill="1" applyBorder="1" applyAlignment="1">
      <alignment horizontal="left"/>
    </xf>
    <xf numFmtId="0" fontId="9" fillId="2" borderId="20" xfId="20" applyFont="1" applyFill="1" applyBorder="1" applyAlignment="1">
      <alignment horizontal="left"/>
    </xf>
    <xf numFmtId="0" fontId="10" fillId="0" borderId="10" xfId="0" applyNumberFormat="1" applyFont="1" applyBorder="1" applyAlignment="1">
      <alignment horizontal="center"/>
    </xf>
    <xf numFmtId="0" fontId="10" fillId="0" borderId="11" xfId="0" applyNumberFormat="1" applyFont="1" applyBorder="1" applyAlignment="1">
      <alignment horizontal="center"/>
    </xf>
    <xf numFmtId="0" fontId="10" fillId="0" borderId="12" xfId="0" applyNumberFormat="1" applyFont="1" applyBorder="1" applyAlignment="1">
      <alignment horizontal="center"/>
    </xf>
    <xf numFmtId="175" fontId="25" fillId="0" borderId="9" xfId="0" applyNumberFormat="1" applyFont="1" applyBorder="1" applyAlignment="1">
      <alignment horizontal="center" vertical="center" wrapText="1"/>
    </xf>
    <xf numFmtId="175" fontId="24" fillId="0" borderId="1" xfId="0" applyNumberFormat="1" applyFont="1" applyBorder="1" applyAlignment="1">
      <alignment horizontal="center" vertical="center"/>
    </xf>
    <xf numFmtId="0" fontId="13" fillId="8" borderId="1" xfId="0" applyFont="1" applyFill="1" applyBorder="1" applyAlignment="1">
      <alignment horizontal="left" vertical="top" wrapText="1"/>
    </xf>
    <xf numFmtId="0" fontId="13" fillId="8" borderId="6" xfId="0" applyFont="1" applyFill="1" applyBorder="1" applyAlignment="1">
      <alignment horizontal="left"/>
    </xf>
    <xf numFmtId="0" fontId="13" fillId="8" borderId="21" xfId="0" applyFont="1" applyFill="1" applyBorder="1" applyAlignment="1">
      <alignment horizontal="left"/>
    </xf>
    <xf numFmtId="0" fontId="9" fillId="2" borderId="1" xfId="20" applyFont="1" applyFill="1" applyBorder="1" applyAlignment="1">
      <alignment horizontal="left" vertical="top" wrapText="1"/>
    </xf>
    <xf numFmtId="0" fontId="9" fillId="2" borderId="1" xfId="20" applyFont="1" applyFill="1" applyBorder="1" applyAlignment="1">
      <alignment horizontal="left"/>
    </xf>
    <xf numFmtId="170" fontId="104" fillId="0" borderId="0" xfId="19" applyNumberFormat="1" applyFont="1" applyFill="1" applyBorder="1" applyAlignment="1" applyProtection="1">
      <alignment horizontal="center" vertical="center"/>
    </xf>
    <xf numFmtId="0" fontId="13" fillId="15" borderId="1" xfId="6" applyFont="1" applyFill="1" applyBorder="1" applyAlignment="1">
      <alignment horizontal="left" vertical="center"/>
    </xf>
    <xf numFmtId="49" fontId="27" fillId="15" borderId="1" xfId="0" applyNumberFormat="1" applyFont="1" applyFill="1" applyBorder="1" applyAlignment="1">
      <alignment horizontal="center" vertical="center" wrapText="1"/>
    </xf>
    <xf numFmtId="49" fontId="12" fillId="12" borderId="1" xfId="6" applyNumberFormat="1" applyFont="1" applyFill="1" applyBorder="1" applyAlignment="1">
      <alignment horizontal="center" vertical="center" wrapText="1"/>
    </xf>
    <xf numFmtId="0" fontId="9" fillId="12" borderId="1" xfId="6" applyFont="1" applyFill="1" applyBorder="1" applyAlignment="1">
      <alignment horizontal="center" vertical="center" wrapText="1"/>
    </xf>
    <xf numFmtId="0" fontId="24" fillId="9" borderId="1" xfId="6" applyNumberFormat="1" applyFont="1" applyFill="1" applyBorder="1" applyAlignment="1">
      <alignment horizontal="left" vertical="center" wrapText="1"/>
    </xf>
    <xf numFmtId="0" fontId="24" fillId="9" borderId="2" xfId="6" applyNumberFormat="1" applyFont="1" applyFill="1" applyBorder="1" applyAlignment="1">
      <alignment horizontal="left" vertical="center" wrapText="1"/>
    </xf>
    <xf numFmtId="0" fontId="24" fillId="9" borderId="4" xfId="6" applyNumberFormat="1" applyFont="1" applyFill="1" applyBorder="1" applyAlignment="1">
      <alignment horizontal="left" vertical="center" wrapText="1"/>
    </xf>
    <xf numFmtId="0" fontId="24" fillId="9" borderId="20" xfId="6" applyNumberFormat="1" applyFont="1" applyFill="1" applyBorder="1" applyAlignment="1">
      <alignment horizontal="left" vertical="center" wrapText="1"/>
    </xf>
    <xf numFmtId="49" fontId="13" fillId="8" borderId="1" xfId="6" applyNumberFormat="1" applyFont="1" applyFill="1" applyBorder="1" applyAlignment="1">
      <alignment horizontal="center" vertical="center" wrapText="1"/>
    </xf>
    <xf numFmtId="0" fontId="13" fillId="15" borderId="2" xfId="6" applyFont="1" applyFill="1" applyBorder="1" applyAlignment="1">
      <alignment horizontal="left" vertical="center"/>
    </xf>
    <xf numFmtId="0" fontId="13" fillId="15" borderId="4" xfId="6" applyFont="1" applyFill="1" applyBorder="1" applyAlignment="1">
      <alignment horizontal="left" vertical="center"/>
    </xf>
    <xf numFmtId="0" fontId="13" fillId="15" borderId="20" xfId="6" applyFont="1" applyFill="1" applyBorder="1" applyAlignment="1">
      <alignment horizontal="left" vertical="center"/>
    </xf>
    <xf numFmtId="0" fontId="92" fillId="0" borderId="1" xfId="43" applyFont="1" applyBorder="1" applyAlignment="1">
      <alignment horizontal="left" vertical="center" wrapText="1"/>
    </xf>
    <xf numFmtId="192" fontId="92" fillId="0" borderId="2" xfId="44" applyNumberFormat="1" applyFont="1" applyBorder="1" applyAlignment="1">
      <alignment horizontal="center" vertical="center"/>
    </xf>
    <xf numFmtId="192" fontId="92" fillId="0" borderId="3" xfId="44" applyNumberFormat="1" applyFont="1" applyBorder="1" applyAlignment="1">
      <alignment horizontal="center" vertical="center"/>
    </xf>
    <xf numFmtId="192" fontId="92" fillId="0" borderId="27" xfId="44" applyNumberFormat="1" applyFont="1" applyBorder="1" applyAlignment="1">
      <alignment horizontal="center" vertical="center"/>
    </xf>
    <xf numFmtId="0" fontId="102" fillId="0" borderId="2" xfId="43" applyFont="1" applyBorder="1" applyAlignment="1">
      <alignment horizontal="center" vertical="center"/>
    </xf>
    <xf numFmtId="0" fontId="102" fillId="0" borderId="20" xfId="43" applyFont="1" applyBorder="1" applyAlignment="1">
      <alignment horizontal="center" vertical="center"/>
    </xf>
    <xf numFmtId="0" fontId="102" fillId="0" borderId="2" xfId="43" applyFont="1" applyBorder="1" applyAlignment="1">
      <alignment horizontal="center" vertical="center" wrapText="1"/>
    </xf>
    <xf numFmtId="0" fontId="102" fillId="0" borderId="20" xfId="43" applyFont="1" applyBorder="1" applyAlignment="1">
      <alignment horizontal="center" vertical="center" wrapText="1"/>
    </xf>
    <xf numFmtId="0" fontId="92" fillId="0" borderId="5" xfId="43" applyFont="1" applyFill="1" applyBorder="1" applyAlignment="1">
      <alignment horizontal="left" vertical="center" wrapText="1"/>
    </xf>
    <xf numFmtId="0" fontId="92" fillId="0" borderId="7" xfId="43" applyFont="1" applyFill="1" applyBorder="1" applyAlignment="1">
      <alignment horizontal="left" vertical="center" wrapText="1"/>
    </xf>
    <xf numFmtId="192" fontId="92" fillId="0" borderId="3" xfId="44" applyNumberFormat="1" applyFont="1" applyFill="1" applyBorder="1" applyAlignment="1">
      <alignment horizontal="center" vertical="center" wrapText="1"/>
    </xf>
    <xf numFmtId="192" fontId="92" fillId="0" borderId="27" xfId="44" applyNumberFormat="1" applyFont="1" applyFill="1" applyBorder="1" applyAlignment="1">
      <alignment horizontal="center" vertical="center" wrapText="1"/>
    </xf>
    <xf numFmtId="0" fontId="92" fillId="0" borderId="1" xfId="43" applyFont="1" applyFill="1" applyBorder="1" applyAlignment="1">
      <alignment horizontal="left" vertical="center" wrapText="1"/>
    </xf>
    <xf numFmtId="192" fontId="92" fillId="0" borderId="2" xfId="44" applyNumberFormat="1" applyFont="1" applyFill="1" applyBorder="1" applyAlignment="1">
      <alignment horizontal="left" vertical="center"/>
    </xf>
    <xf numFmtId="192" fontId="92" fillId="0" borderId="2" xfId="44" applyNumberFormat="1" applyFont="1" applyFill="1" applyBorder="1" applyAlignment="1">
      <alignment horizontal="center" vertical="center"/>
    </xf>
    <xf numFmtId="192" fontId="92" fillId="0" borderId="2" xfId="43" applyNumberFormat="1" applyFont="1" applyFill="1" applyBorder="1" applyAlignment="1">
      <alignment horizontal="left" vertical="center"/>
    </xf>
    <xf numFmtId="0" fontId="102" fillId="29" borderId="68" xfId="43" applyFont="1" applyFill="1" applyBorder="1" applyAlignment="1">
      <alignment horizontal="center" vertical="center"/>
    </xf>
    <xf numFmtId="0" fontId="102" fillId="29" borderId="69" xfId="43" applyFont="1" applyFill="1" applyBorder="1" applyAlignment="1">
      <alignment horizontal="center" vertical="center"/>
    </xf>
    <xf numFmtId="0" fontId="101" fillId="0" borderId="1" xfId="43" applyFont="1" applyFill="1" applyBorder="1" applyAlignment="1">
      <alignment horizontal="left" vertical="center" wrapText="1"/>
    </xf>
    <xf numFmtId="0" fontId="101" fillId="0" borderId="1" xfId="43" applyFont="1" applyFill="1" applyBorder="1" applyAlignment="1">
      <alignment horizontal="left" vertical="center"/>
    </xf>
    <xf numFmtId="0" fontId="92" fillId="0" borderId="3" xfId="43" applyFont="1" applyFill="1" applyBorder="1" applyAlignment="1">
      <alignment horizontal="center" vertical="center" wrapText="1"/>
    </xf>
    <xf numFmtId="0" fontId="92" fillId="0" borderId="18" xfId="43" applyFont="1" applyFill="1" applyBorder="1" applyAlignment="1">
      <alignment horizontal="center" vertical="center" wrapText="1"/>
    </xf>
    <xf numFmtId="0" fontId="92" fillId="0" borderId="27" xfId="43" applyFont="1" applyFill="1" applyBorder="1" applyAlignment="1">
      <alignment horizontal="center" vertical="center" wrapText="1"/>
    </xf>
    <xf numFmtId="0" fontId="92" fillId="0" borderId="6" xfId="43" applyFont="1" applyFill="1" applyBorder="1" applyAlignment="1">
      <alignment horizontal="center" vertical="center" wrapText="1"/>
    </xf>
    <xf numFmtId="0" fontId="92" fillId="0" borderId="1" xfId="43" applyFont="1" applyFill="1" applyBorder="1" applyAlignment="1">
      <alignment horizontal="left" vertical="center"/>
    </xf>
    <xf numFmtId="192" fontId="92" fillId="0" borderId="3" xfId="44" applyNumberFormat="1" applyFont="1" applyFill="1" applyBorder="1" applyAlignment="1">
      <alignment horizontal="center" vertical="center"/>
    </xf>
    <xf numFmtId="192" fontId="92" fillId="0" borderId="27" xfId="44" applyNumberFormat="1" applyFont="1" applyFill="1" applyBorder="1" applyAlignment="1">
      <alignment horizontal="center" vertical="center"/>
    </xf>
    <xf numFmtId="0" fontId="98" fillId="0" borderId="1" xfId="43" applyFont="1" applyBorder="1" applyAlignment="1">
      <alignment horizontal="left" vertical="center" wrapText="1"/>
    </xf>
    <xf numFmtId="0" fontId="98" fillId="0" borderId="1" xfId="43" applyFont="1" applyFill="1" applyBorder="1" applyAlignment="1">
      <alignment horizontal="left" vertical="center" wrapText="1"/>
    </xf>
    <xf numFmtId="0" fontId="98" fillId="0" borderId="1" xfId="43" applyFont="1" applyFill="1" applyBorder="1" applyAlignment="1">
      <alignment horizontal="left" vertical="center"/>
    </xf>
    <xf numFmtId="0" fontId="93" fillId="0" borderId="6" xfId="43" applyFont="1" applyBorder="1" applyAlignment="1">
      <alignment horizontal="center" vertical="center"/>
    </xf>
    <xf numFmtId="0" fontId="95" fillId="31" borderId="2" xfId="43" applyFont="1" applyFill="1" applyBorder="1" applyAlignment="1">
      <alignment horizontal="center" vertical="center"/>
    </xf>
    <xf numFmtId="0" fontId="95" fillId="31" borderId="20" xfId="43" applyFont="1" applyFill="1" applyBorder="1" applyAlignment="1">
      <alignment horizontal="center" vertical="center"/>
    </xf>
    <xf numFmtId="0" fontId="117" fillId="0" borderId="10" xfId="0" applyFont="1" applyBorder="1" applyAlignment="1">
      <alignment horizontal="center" vertical="center" wrapText="1"/>
    </xf>
    <xf numFmtId="0" fontId="117" fillId="0" borderId="9" xfId="0" applyFont="1" applyBorder="1" applyAlignment="1">
      <alignment horizontal="center" vertical="center" wrapText="1"/>
    </xf>
    <xf numFmtId="0" fontId="117" fillId="0" borderId="23" xfId="0" applyFont="1" applyBorder="1" applyAlignment="1">
      <alignment horizontal="center" vertical="center" wrapText="1"/>
    </xf>
    <xf numFmtId="0" fontId="117" fillId="0" borderId="11" xfId="0" applyFont="1" applyBorder="1" applyAlignment="1">
      <alignment horizontal="center" vertical="center" wrapText="1"/>
    </xf>
    <xf numFmtId="0" fontId="117" fillId="0" borderId="1" xfId="0" applyFont="1" applyBorder="1" applyAlignment="1">
      <alignment horizontal="center" vertical="center" wrapText="1"/>
    </xf>
    <xf numFmtId="0" fontId="117" fillId="0" borderId="15" xfId="0" applyFont="1" applyBorder="1" applyAlignment="1">
      <alignment horizontal="center" vertical="center" wrapText="1"/>
    </xf>
    <xf numFmtId="0" fontId="118" fillId="0" borderId="12" xfId="0" applyFont="1" applyBorder="1" applyAlignment="1">
      <alignment horizontal="left" vertical="center" wrapText="1"/>
    </xf>
    <xf numFmtId="0" fontId="118" fillId="0" borderId="13" xfId="0" applyFont="1" applyBorder="1" applyAlignment="1">
      <alignment horizontal="left" vertical="center" wrapText="1"/>
    </xf>
    <xf numFmtId="0" fontId="118" fillId="0" borderId="53" xfId="0" applyFont="1" applyBorder="1" applyAlignment="1">
      <alignment horizontal="left" vertical="center" wrapText="1"/>
    </xf>
    <xf numFmtId="0" fontId="118" fillId="0" borderId="4" xfId="0" applyFont="1" applyBorder="1" applyAlignment="1">
      <alignment horizontal="left" vertical="center" wrapText="1"/>
    </xf>
    <xf numFmtId="0" fontId="118" fillId="0" borderId="20" xfId="0" applyFont="1" applyBorder="1" applyAlignment="1">
      <alignment horizontal="left" vertical="center" wrapText="1"/>
    </xf>
    <xf numFmtId="0" fontId="118" fillId="9" borderId="54" xfId="0" applyFont="1" applyFill="1" applyBorder="1" applyAlignment="1">
      <alignment horizontal="left" vertical="center" wrapText="1"/>
    </xf>
    <xf numFmtId="0" fontId="118" fillId="9" borderId="0" xfId="0" applyFont="1" applyFill="1" applyAlignment="1">
      <alignment horizontal="left" vertical="center" wrapText="1"/>
    </xf>
    <xf numFmtId="0" fontId="117" fillId="0" borderId="14" xfId="0" applyFont="1" applyBorder="1" applyAlignment="1">
      <alignment horizontal="left" vertical="center" wrapText="1"/>
    </xf>
    <xf numFmtId="0" fontId="117" fillId="0" borderId="56" xfId="0" applyFont="1" applyBorder="1" applyAlignment="1">
      <alignment horizontal="left" vertical="center" wrapText="1"/>
    </xf>
    <xf numFmtId="0" fontId="118" fillId="0" borderId="10" xfId="0" applyFont="1" applyBorder="1" applyAlignment="1">
      <alignment horizontal="left" vertical="center" wrapText="1"/>
    </xf>
    <xf numFmtId="0" fontId="118" fillId="0" borderId="9" xfId="0" applyFont="1" applyBorder="1" applyAlignment="1">
      <alignment horizontal="left" vertical="center" wrapText="1"/>
    </xf>
    <xf numFmtId="175" fontId="117" fillId="0" borderId="72" xfId="0" applyNumberFormat="1" applyFont="1" applyBorder="1" applyAlignment="1">
      <alignment horizontal="center" vertical="center" wrapText="1"/>
    </xf>
    <xf numFmtId="175" fontId="117" fillId="0" borderId="29" xfId="0" applyNumberFormat="1" applyFont="1" applyBorder="1" applyAlignment="1">
      <alignment horizontal="center" vertical="center" wrapText="1"/>
    </xf>
    <xf numFmtId="175" fontId="117" fillId="0" borderId="38" xfId="0" applyNumberFormat="1" applyFont="1" applyBorder="1" applyAlignment="1">
      <alignment horizontal="center" vertical="center" wrapText="1"/>
    </xf>
    <xf numFmtId="0" fontId="117" fillId="0" borderId="14" xfId="0" applyFont="1" applyBorder="1" applyAlignment="1">
      <alignment horizontal="center" vertical="center" wrapText="1"/>
    </xf>
    <xf numFmtId="0" fontId="117" fillId="0" borderId="56" xfId="0" applyFont="1" applyBorder="1" applyAlignment="1">
      <alignment horizontal="center" vertical="center" wrapText="1"/>
    </xf>
    <xf numFmtId="0" fontId="118" fillId="0" borderId="11" xfId="0" applyFont="1" applyBorder="1" applyAlignment="1">
      <alignment horizontal="left" vertical="center" wrapText="1"/>
    </xf>
    <xf numFmtId="0" fontId="118" fillId="0" borderId="1" xfId="0" applyFont="1" applyBorder="1" applyAlignment="1">
      <alignment horizontal="left" vertical="center" wrapText="1"/>
    </xf>
    <xf numFmtId="9" fontId="118" fillId="0" borderId="11" xfId="0" applyNumberFormat="1" applyFont="1" applyBorder="1" applyAlignment="1">
      <alignment horizontal="left" vertical="center" wrapText="1"/>
    </xf>
    <xf numFmtId="0" fontId="120" fillId="0" borderId="3" xfId="51" applyFont="1" applyBorder="1" applyAlignment="1">
      <alignment horizontal="center" wrapText="1"/>
    </xf>
    <xf numFmtId="0" fontId="120" fillId="0" borderId="18" xfId="51" applyFont="1" applyBorder="1" applyAlignment="1">
      <alignment horizontal="center" wrapText="1"/>
    </xf>
    <xf numFmtId="0" fontId="120" fillId="0" borderId="39" xfId="51" applyFont="1" applyBorder="1" applyAlignment="1">
      <alignment horizontal="center" wrapText="1"/>
    </xf>
    <xf numFmtId="0" fontId="121" fillId="0" borderId="3" xfId="51" applyFont="1" applyBorder="1" applyAlignment="1">
      <alignment horizontal="center" wrapText="1"/>
    </xf>
    <xf numFmtId="0" fontId="121" fillId="0" borderId="18" xfId="51" applyFont="1" applyBorder="1" applyAlignment="1">
      <alignment horizontal="center" wrapText="1"/>
    </xf>
    <xf numFmtId="0" fontId="121" fillId="0" borderId="39" xfId="51" applyFont="1" applyBorder="1" applyAlignment="1">
      <alignment horizontal="center" wrapText="1"/>
    </xf>
    <xf numFmtId="0" fontId="120" fillId="0" borderId="1" xfId="51" applyFont="1" applyBorder="1" applyAlignment="1">
      <alignment vertical="center" wrapText="1"/>
    </xf>
    <xf numFmtId="0" fontId="120" fillId="0" borderId="1" xfId="51" applyFont="1" applyBorder="1" applyAlignment="1">
      <alignment wrapText="1"/>
    </xf>
    <xf numFmtId="0" fontId="120" fillId="0" borderId="1" xfId="51" applyFont="1" applyBorder="1" applyAlignment="1">
      <alignment horizontal="center" wrapText="1"/>
    </xf>
    <xf numFmtId="0" fontId="120" fillId="22" borderId="3" xfId="51" applyFont="1" applyFill="1" applyBorder="1" applyAlignment="1">
      <alignment horizontal="center"/>
    </xf>
    <xf numFmtId="0" fontId="120" fillId="22" borderId="39" xfId="51" applyFont="1" applyFill="1" applyBorder="1" applyAlignment="1">
      <alignment horizontal="center"/>
    </xf>
    <xf numFmtId="0" fontId="120" fillId="22" borderId="19" xfId="51" applyFont="1" applyFill="1" applyBorder="1" applyAlignment="1">
      <alignment horizontal="center"/>
    </xf>
    <xf numFmtId="0" fontId="120" fillId="22" borderId="40" xfId="51" applyFont="1" applyFill="1" applyBorder="1" applyAlignment="1">
      <alignment horizontal="center"/>
    </xf>
    <xf numFmtId="0" fontId="120" fillId="22" borderId="27" xfId="51" applyFont="1" applyFill="1" applyBorder="1" applyAlignment="1">
      <alignment horizontal="center"/>
    </xf>
    <xf numFmtId="0" fontId="120" fillId="22" borderId="21" xfId="51" applyFont="1" applyFill="1" applyBorder="1" applyAlignment="1">
      <alignment horizontal="center"/>
    </xf>
    <xf numFmtId="0" fontId="121" fillId="22" borderId="3" xfId="51" applyFont="1" applyFill="1" applyBorder="1" applyAlignment="1">
      <alignment horizontal="center" vertical="center"/>
    </xf>
    <xf numFmtId="0" fontId="121" fillId="22" borderId="18" xfId="51" applyFont="1" applyFill="1" applyBorder="1" applyAlignment="1">
      <alignment horizontal="center" vertical="center"/>
    </xf>
    <xf numFmtId="0" fontId="121" fillId="22" borderId="39" xfId="51" applyFont="1" applyFill="1" applyBorder="1" applyAlignment="1">
      <alignment horizontal="center" vertical="center"/>
    </xf>
    <xf numFmtId="0" fontId="121" fillId="22" borderId="19" xfId="51" applyFont="1" applyFill="1" applyBorder="1" applyAlignment="1">
      <alignment horizontal="center" vertical="center"/>
    </xf>
    <xf numFmtId="0" fontId="121" fillId="22" borderId="0" xfId="51" applyFont="1" applyFill="1" applyAlignment="1">
      <alignment horizontal="center" vertical="center"/>
    </xf>
    <xf numFmtId="0" fontId="121" fillId="22" borderId="40" xfId="51" applyFont="1" applyFill="1" applyBorder="1" applyAlignment="1">
      <alignment horizontal="center" vertical="center"/>
    </xf>
    <xf numFmtId="0" fontId="121" fillId="22" borderId="27" xfId="51" applyFont="1" applyFill="1" applyBorder="1" applyAlignment="1">
      <alignment horizontal="center" vertical="center"/>
    </xf>
    <xf numFmtId="0" fontId="121" fillId="22" borderId="6" xfId="51" applyFont="1" applyFill="1" applyBorder="1" applyAlignment="1">
      <alignment horizontal="center" vertical="center"/>
    </xf>
    <xf numFmtId="0" fontId="121" fillId="22" borderId="21" xfId="51" applyFont="1" applyFill="1" applyBorder="1" applyAlignment="1">
      <alignment horizontal="center" vertical="center"/>
    </xf>
    <xf numFmtId="0" fontId="120" fillId="0" borderId="2" xfId="51" applyFont="1" applyBorder="1" applyAlignment="1">
      <alignment horizontal="left" vertical="center" wrapText="1"/>
    </xf>
    <xf numFmtId="0" fontId="120" fillId="0" borderId="20" xfId="51" applyFont="1" applyBorder="1" applyAlignment="1">
      <alignment horizontal="left" vertical="center" wrapText="1"/>
    </xf>
    <xf numFmtId="0" fontId="123" fillId="0" borderId="2" xfId="51" applyFont="1" applyBorder="1" applyAlignment="1">
      <alignment horizontal="center"/>
    </xf>
    <xf numFmtId="0" fontId="123" fillId="0" borderId="4" xfId="51" applyFont="1" applyBorder="1" applyAlignment="1">
      <alignment horizontal="center"/>
    </xf>
    <xf numFmtId="0" fontId="120" fillId="0" borderId="2" xfId="51" applyFont="1" applyBorder="1" applyAlignment="1">
      <alignment horizontal="center" vertical="center" wrapText="1"/>
    </xf>
    <xf numFmtId="0" fontId="120" fillId="0" borderId="20" xfId="51" applyFont="1" applyBorder="1" applyAlignment="1">
      <alignment horizontal="center" vertical="center" wrapText="1"/>
    </xf>
    <xf numFmtId="0" fontId="120" fillId="0" borderId="2" xfId="51" applyFont="1" applyBorder="1" applyAlignment="1">
      <alignment wrapText="1"/>
    </xf>
    <xf numFmtId="0" fontId="120" fillId="0" borderId="4" xfId="51" applyFont="1" applyBorder="1" applyAlignment="1">
      <alignment wrapText="1"/>
    </xf>
    <xf numFmtId="0" fontId="120" fillId="0" borderId="20" xfId="51" applyFont="1" applyBorder="1" applyAlignment="1">
      <alignment wrapText="1"/>
    </xf>
    <xf numFmtId="0" fontId="120" fillId="0" borderId="19" xfId="51" applyFont="1" applyBorder="1"/>
    <xf numFmtId="0" fontId="120" fillId="0" borderId="0" xfId="51" applyFont="1"/>
    <xf numFmtId="0" fontId="120" fillId="0" borderId="19" xfId="51" applyFont="1" applyBorder="1" applyAlignment="1">
      <alignment wrapText="1"/>
    </xf>
    <xf numFmtId="0" fontId="120" fillId="0" borderId="0" xfId="51" applyFont="1" applyAlignment="1">
      <alignment wrapText="1"/>
    </xf>
    <xf numFmtId="0" fontId="120" fillId="0" borderId="40" xfId="51" applyFont="1" applyBorder="1" applyAlignment="1">
      <alignment wrapText="1"/>
    </xf>
    <xf numFmtId="0" fontId="121" fillId="0" borderId="1" xfId="51" applyFont="1" applyBorder="1" applyAlignment="1">
      <alignment horizontal="center" vertical="top" wrapText="1"/>
    </xf>
    <xf numFmtId="0" fontId="120" fillId="0" borderId="1" xfId="51" applyFont="1" applyBorder="1" applyAlignment="1">
      <alignment horizontal="center"/>
    </xf>
    <xf numFmtId="0" fontId="120" fillId="0" borderId="1" xfId="51" applyFont="1" applyBorder="1"/>
    <xf numFmtId="0" fontId="124" fillId="0" borderId="1" xfId="51" applyFont="1" applyBorder="1" applyAlignment="1">
      <alignment horizontal="center"/>
    </xf>
    <xf numFmtId="173" fontId="120" fillId="9" borderId="1" xfId="51" applyNumberFormat="1" applyFont="1" applyFill="1" applyBorder="1" applyAlignment="1">
      <alignment horizontal="center" vertical="center" wrapText="1"/>
    </xf>
    <xf numFmtId="0" fontId="121" fillId="0" borderId="1" xfId="51" applyFont="1" applyBorder="1" applyAlignment="1">
      <alignment horizontal="center" vertical="center"/>
    </xf>
    <xf numFmtId="0" fontId="121" fillId="2" borderId="1" xfId="51" applyFont="1" applyFill="1" applyBorder="1" applyAlignment="1">
      <alignment horizontal="center"/>
    </xf>
    <xf numFmtId="205" fontId="120" fillId="0" borderId="1" xfId="53" applyNumberFormat="1" applyFont="1" applyBorder="1" applyAlignment="1">
      <alignment horizontal="center" vertical="center" wrapText="1"/>
    </xf>
    <xf numFmtId="0" fontId="120" fillId="0" borderId="1" xfId="51" applyFont="1" applyBorder="1" applyAlignment="1">
      <alignment horizontal="center" vertical="center" wrapText="1"/>
    </xf>
    <xf numFmtId="0" fontId="120" fillId="0" borderId="1" xfId="51" applyFont="1" applyBorder="1" applyAlignment="1">
      <alignment horizontal="center" vertical="center"/>
    </xf>
    <xf numFmtId="0" fontId="120" fillId="0" borderId="1" xfId="51" applyFont="1" applyBorder="1" applyAlignment="1">
      <alignment horizontal="center" vertical="top" wrapText="1"/>
    </xf>
    <xf numFmtId="0" fontId="120" fillId="0" borderId="1" xfId="51" applyFont="1" applyBorder="1" applyAlignment="1">
      <alignment vertical="top" wrapText="1"/>
    </xf>
    <xf numFmtId="205" fontId="120" fillId="0" borderId="1" xfId="51" applyNumberFormat="1" applyFont="1" applyBorder="1" applyAlignment="1">
      <alignment horizontal="center" vertical="center" wrapText="1"/>
    </xf>
    <xf numFmtId="9" fontId="120" fillId="0" borderId="1" xfId="51" applyNumberFormat="1" applyFont="1" applyBorder="1" applyAlignment="1">
      <alignment horizontal="center" vertical="center" wrapText="1"/>
    </xf>
    <xf numFmtId="0" fontId="124" fillId="0" borderId="1" xfId="51" applyFont="1" applyBorder="1" applyAlignment="1">
      <alignment horizontal="center" vertical="center"/>
    </xf>
    <xf numFmtId="173" fontId="120" fillId="0" borderId="1" xfId="51" applyNumberFormat="1" applyFont="1" applyBorder="1" applyAlignment="1">
      <alignment horizontal="center" vertical="center" wrapText="1"/>
    </xf>
    <xf numFmtId="0" fontId="125" fillId="0" borderId="1" xfId="51" applyFont="1" applyBorder="1" applyAlignment="1">
      <alignment horizontal="left" vertical="top" wrapText="1"/>
    </xf>
    <xf numFmtId="0" fontId="120" fillId="0" borderId="1" xfId="51" applyFont="1" applyBorder="1" applyAlignment="1">
      <alignment horizontal="left" vertical="top" wrapText="1"/>
    </xf>
    <xf numFmtId="0" fontId="120" fillId="0" borderId="72" xfId="51" applyFont="1" applyBorder="1" applyAlignment="1">
      <alignment wrapText="1"/>
    </xf>
    <xf numFmtId="0" fontId="120" fillId="0" borderId="29" xfId="51" applyFont="1" applyBorder="1" applyAlignment="1">
      <alignment wrapText="1"/>
    </xf>
    <xf numFmtId="0" fontId="120" fillId="0" borderId="38" xfId="51" applyFont="1" applyBorder="1" applyAlignment="1">
      <alignment wrapText="1"/>
    </xf>
    <xf numFmtId="0" fontId="90" fillId="0" borderId="28" xfId="51" applyFont="1" applyBorder="1" applyAlignment="1">
      <alignment horizontal="center" wrapText="1"/>
    </xf>
    <xf numFmtId="0" fontId="90" fillId="0" borderId="38" xfId="51" applyFont="1" applyBorder="1" applyAlignment="1">
      <alignment horizontal="center" wrapText="1"/>
    </xf>
    <xf numFmtId="0" fontId="120" fillId="0" borderId="28" xfId="51" applyFont="1" applyBorder="1" applyAlignment="1">
      <alignment horizontal="center" wrapText="1"/>
    </xf>
    <xf numFmtId="0" fontId="120" fillId="0" borderId="29" xfId="51" applyFont="1" applyBorder="1" applyAlignment="1">
      <alignment horizontal="center" wrapText="1"/>
    </xf>
    <xf numFmtId="0" fontId="120" fillId="0" borderId="30" xfId="51" applyFont="1" applyBorder="1" applyAlignment="1">
      <alignment horizontal="center" wrapText="1"/>
    </xf>
    <xf numFmtId="0" fontId="120" fillId="0" borderId="28" xfId="51" applyFont="1" applyBorder="1" applyAlignment="1">
      <alignment horizontal="center" vertical="center" wrapText="1"/>
    </xf>
    <xf numFmtId="0" fontId="120" fillId="0" borderId="38" xfId="51" applyFont="1" applyBorder="1" applyAlignment="1">
      <alignment horizontal="center" vertical="center" wrapText="1"/>
    </xf>
    <xf numFmtId="0" fontId="120" fillId="0" borderId="29" xfId="51" applyFont="1" applyBorder="1" applyAlignment="1">
      <alignment horizontal="center" vertical="center" wrapText="1"/>
    </xf>
    <xf numFmtId="0" fontId="120" fillId="0" borderId="30" xfId="51" applyFont="1" applyBorder="1" applyAlignment="1">
      <alignment horizontal="center" vertical="center" wrapText="1"/>
    </xf>
    <xf numFmtId="0" fontId="120" fillId="0" borderId="38" xfId="51" applyFont="1" applyBorder="1" applyAlignment="1">
      <alignment horizontal="center" wrapText="1"/>
    </xf>
    <xf numFmtId="0" fontId="120" fillId="0" borderId="74" xfId="51" applyFont="1" applyBorder="1" applyAlignment="1">
      <alignment horizontal="center" wrapText="1"/>
    </xf>
    <xf numFmtId="0" fontId="120" fillId="0" borderId="52" xfId="51" applyFont="1" applyBorder="1" applyAlignment="1">
      <alignment horizontal="center" wrapText="1"/>
    </xf>
    <xf numFmtId="0" fontId="120" fillId="0" borderId="75" xfId="51" applyFont="1" applyBorder="1" applyAlignment="1">
      <alignment horizontal="center" wrapText="1"/>
    </xf>
    <xf numFmtId="0" fontId="120" fillId="0" borderId="78" xfId="51" applyFont="1" applyBorder="1" applyAlignment="1">
      <alignment horizontal="center" wrapText="1"/>
    </xf>
    <xf numFmtId="0" fontId="120" fillId="0" borderId="42" xfId="51" applyFont="1" applyBorder="1" applyAlignment="1">
      <alignment horizontal="center" wrapText="1"/>
    </xf>
    <xf numFmtId="0" fontId="120" fillId="0" borderId="73" xfId="51" applyFont="1" applyBorder="1" applyAlignment="1">
      <alignment horizontal="center" wrapText="1"/>
    </xf>
    <xf numFmtId="0" fontId="120" fillId="0" borderId="76" xfId="51" applyFont="1" applyBorder="1" applyAlignment="1">
      <alignment horizontal="center" wrapText="1"/>
    </xf>
    <xf numFmtId="0" fontId="120" fillId="0" borderId="77" xfId="51" applyFont="1" applyBorder="1" applyAlignment="1">
      <alignment horizontal="center" wrapText="1"/>
    </xf>
    <xf numFmtId="0" fontId="120" fillId="0" borderId="68" xfId="51" applyFont="1" applyBorder="1" applyAlignment="1">
      <alignment horizontal="center" wrapText="1"/>
    </xf>
    <xf numFmtId="0" fontId="120" fillId="0" borderId="69" xfId="51" applyFont="1" applyBorder="1" applyAlignment="1">
      <alignment horizontal="center" wrapText="1"/>
    </xf>
    <xf numFmtId="0" fontId="120" fillId="0" borderId="28" xfId="51" applyFont="1" applyBorder="1" applyAlignment="1">
      <alignment horizontal="justify" wrapText="1"/>
    </xf>
    <xf numFmtId="0" fontId="120" fillId="0" borderId="30" xfId="51" applyFont="1" applyBorder="1" applyAlignment="1">
      <alignment horizontal="justify" wrapText="1"/>
    </xf>
    <xf numFmtId="0" fontId="120" fillId="0" borderId="58" xfId="51" applyFont="1" applyBorder="1" applyAlignment="1">
      <alignment vertical="center" wrapText="1"/>
    </xf>
    <xf numFmtId="0" fontId="120" fillId="0" borderId="60" xfId="51" applyFont="1" applyBorder="1" applyAlignment="1">
      <alignment vertical="center" wrapText="1"/>
    </xf>
    <xf numFmtId="0" fontId="121" fillId="0" borderId="72" xfId="51" applyFont="1" applyBorder="1" applyAlignment="1">
      <alignment horizontal="center" wrapText="1"/>
    </xf>
    <xf numFmtId="0" fontId="121" fillId="0" borderId="29" xfId="51" applyFont="1" applyBorder="1" applyAlignment="1">
      <alignment horizontal="center" wrapText="1"/>
    </xf>
    <xf numFmtId="0" fontId="121" fillId="0" borderId="38" xfId="51" applyFont="1" applyBorder="1" applyAlignment="1">
      <alignment horizontal="center" wrapText="1"/>
    </xf>
    <xf numFmtId="0" fontId="120" fillId="2" borderId="28" xfId="51" applyFont="1" applyFill="1" applyBorder="1" applyAlignment="1">
      <alignment horizontal="center" wrapText="1"/>
    </xf>
    <xf numFmtId="0" fontId="120" fillId="2" borderId="29" xfId="51" applyFont="1" applyFill="1" applyBorder="1" applyAlignment="1">
      <alignment horizontal="center" wrapText="1"/>
    </xf>
    <xf numFmtId="0" fontId="120" fillId="2" borderId="30" xfId="51" applyFont="1" applyFill="1" applyBorder="1" applyAlignment="1">
      <alignment horizontal="center" wrapText="1"/>
    </xf>
    <xf numFmtId="0" fontId="120" fillId="0" borderId="58" xfId="51" applyFont="1" applyBorder="1" applyAlignment="1">
      <alignment horizontal="center" vertical="center" wrapText="1"/>
    </xf>
    <xf numFmtId="0" fontId="120" fillId="0" borderId="60" xfId="51" applyFont="1" applyBorder="1" applyAlignment="1">
      <alignment horizontal="center" vertical="center" wrapText="1"/>
    </xf>
    <xf numFmtId="0" fontId="121" fillId="0" borderId="78" xfId="51" applyFont="1" applyBorder="1" applyAlignment="1">
      <alignment horizontal="center" wrapText="1"/>
    </xf>
    <xf numFmtId="0" fontId="121" fillId="0" borderId="42" xfId="51" applyFont="1" applyBorder="1" applyAlignment="1">
      <alignment horizontal="center" wrapText="1"/>
    </xf>
    <xf numFmtId="0" fontId="121" fillId="0" borderId="73" xfId="51" applyFont="1" applyBorder="1" applyAlignment="1">
      <alignment horizontal="center" wrapText="1"/>
    </xf>
    <xf numFmtId="0" fontId="120" fillId="0" borderId="58" xfId="51" applyFont="1" applyBorder="1" applyAlignment="1">
      <alignment horizontal="center" wrapText="1"/>
    </xf>
    <xf numFmtId="0" fontId="120" fillId="0" borderId="60" xfId="51" applyFont="1" applyBorder="1" applyAlignment="1">
      <alignment horizontal="center" wrapText="1"/>
    </xf>
    <xf numFmtId="0" fontId="120" fillId="0" borderId="28" xfId="51" applyFont="1" applyBorder="1" applyAlignment="1">
      <alignment horizontal="center" vertical="top" wrapText="1"/>
    </xf>
    <xf numFmtId="0" fontId="120" fillId="0" borderId="30" xfId="51" applyFont="1" applyBorder="1" applyAlignment="1">
      <alignment horizontal="center" vertical="top" wrapText="1"/>
    </xf>
    <xf numFmtId="0" fontId="120" fillId="0" borderId="79" xfId="51" applyFont="1" applyBorder="1" applyAlignment="1">
      <alignment horizontal="center" vertical="center" wrapText="1"/>
    </xf>
    <xf numFmtId="0" fontId="120" fillId="0" borderId="80" xfId="51" applyFont="1" applyBorder="1" applyAlignment="1">
      <alignment horizontal="center" vertical="center" wrapText="1"/>
    </xf>
    <xf numFmtId="0" fontId="120" fillId="0" borderId="79" xfId="51" applyFont="1" applyBorder="1" applyAlignment="1">
      <alignment horizontal="center" wrapText="1"/>
    </xf>
    <xf numFmtId="0" fontId="125" fillId="0" borderId="1" xfId="51" applyFont="1" applyBorder="1" applyAlignment="1">
      <alignment horizontal="left" vertical="center" wrapText="1"/>
    </xf>
    <xf numFmtId="0" fontId="121" fillId="0" borderId="19" xfId="51" applyFont="1" applyBorder="1" applyAlignment="1">
      <alignment horizontal="center" wrapText="1"/>
    </xf>
    <xf numFmtId="0" fontId="121" fillId="0" borderId="0" xfId="51" applyFont="1" applyAlignment="1">
      <alignment horizontal="center" wrapText="1"/>
    </xf>
    <xf numFmtId="0" fontId="121" fillId="0" borderId="55" xfId="51" applyFont="1" applyBorder="1" applyAlignment="1">
      <alignment horizontal="center" wrapText="1"/>
    </xf>
    <xf numFmtId="0" fontId="120" fillId="2" borderId="76" xfId="51" applyFont="1" applyFill="1" applyBorder="1" applyAlignment="1">
      <alignment horizontal="center" wrapText="1"/>
    </xf>
    <xf numFmtId="0" fontId="120" fillId="2" borderId="52" xfId="51" applyFont="1" applyFill="1" applyBorder="1" applyAlignment="1">
      <alignment horizontal="center" wrapText="1"/>
    </xf>
    <xf numFmtId="0" fontId="120" fillId="2" borderId="77" xfId="51" applyFont="1" applyFill="1" applyBorder="1" applyAlignment="1">
      <alignment horizontal="center" wrapText="1"/>
    </xf>
    <xf numFmtId="0" fontId="125" fillId="0" borderId="7" xfId="51" applyFont="1" applyBorder="1" applyAlignment="1">
      <alignment horizontal="left" vertical="center" wrapText="1"/>
    </xf>
    <xf numFmtId="0" fontId="120" fillId="0" borderId="19" xfId="51" applyFont="1" applyBorder="1" applyAlignment="1">
      <alignment horizontal="justify" wrapText="1"/>
    </xf>
    <xf numFmtId="0" fontId="120" fillId="0" borderId="0" xfId="51" applyFont="1" applyAlignment="1">
      <alignment horizontal="justify" wrapText="1"/>
    </xf>
    <xf numFmtId="0" fontId="120" fillId="0" borderId="40" xfId="51" applyFont="1" applyBorder="1" applyAlignment="1">
      <alignment horizontal="justify" wrapText="1"/>
    </xf>
    <xf numFmtId="0" fontId="120" fillId="0" borderId="78" xfId="51" applyFont="1" applyBorder="1" applyAlignment="1">
      <alignment horizontal="justify" wrapText="1"/>
    </xf>
    <xf numFmtId="0" fontId="120" fillId="0" borderId="42" xfId="51" applyFont="1" applyBorder="1" applyAlignment="1">
      <alignment horizontal="justify" wrapText="1"/>
    </xf>
    <xf numFmtId="0" fontId="120" fillId="0" borderId="69" xfId="51" applyFont="1" applyBorder="1" applyAlignment="1">
      <alignment horizontal="justify" wrapText="1"/>
    </xf>
    <xf numFmtId="0" fontId="121" fillId="41" borderId="72" xfId="51" applyFont="1" applyFill="1" applyBorder="1" applyAlignment="1">
      <alignment horizontal="center" wrapText="1"/>
    </xf>
    <xf numFmtId="0" fontId="121" fillId="41" borderId="29" xfId="51" applyFont="1" applyFill="1" applyBorder="1" applyAlignment="1">
      <alignment horizontal="center" wrapText="1"/>
    </xf>
    <xf numFmtId="0" fontId="121" fillId="41" borderId="30" xfId="51" applyFont="1" applyFill="1" applyBorder="1" applyAlignment="1">
      <alignment horizontal="center" wrapText="1"/>
    </xf>
    <xf numFmtId="0" fontId="121" fillId="0" borderId="74" xfId="51" applyFont="1" applyBorder="1" applyAlignment="1">
      <alignment vertical="center"/>
    </xf>
    <xf numFmtId="0" fontId="121" fillId="0" borderId="52" xfId="51" applyFont="1" applyBorder="1" applyAlignment="1">
      <alignment vertical="center"/>
    </xf>
    <xf numFmtId="0" fontId="121" fillId="2" borderId="72" xfId="51" applyFont="1" applyFill="1" applyBorder="1" applyAlignment="1">
      <alignment horizontal="center"/>
    </xf>
    <xf numFmtId="0" fontId="121" fillId="2" borderId="29" xfId="51" applyFont="1" applyFill="1" applyBorder="1" applyAlignment="1">
      <alignment horizontal="center"/>
    </xf>
    <xf numFmtId="0" fontId="121" fillId="2" borderId="38" xfId="51" applyFont="1" applyFill="1" applyBorder="1" applyAlignment="1">
      <alignment horizontal="center"/>
    </xf>
    <xf numFmtId="0" fontId="121" fillId="2" borderId="28" xfId="51" applyFont="1" applyFill="1" applyBorder="1" applyAlignment="1">
      <alignment horizontal="center"/>
    </xf>
    <xf numFmtId="0" fontId="121" fillId="2" borderId="30" xfId="51" applyFont="1" applyFill="1" applyBorder="1" applyAlignment="1">
      <alignment horizontal="center"/>
    </xf>
    <xf numFmtId="0" fontId="120" fillId="0" borderId="72" xfId="51" applyFont="1" applyBorder="1" applyAlignment="1">
      <alignment vertical="top" wrapText="1"/>
    </xf>
    <xf numFmtId="0" fontId="120" fillId="0" borderId="29" xfId="51" applyFont="1" applyBorder="1" applyAlignment="1">
      <alignment vertical="top" wrapText="1"/>
    </xf>
    <xf numFmtId="0" fontId="120" fillId="0" borderId="38" xfId="51" applyFont="1" applyBorder="1" applyAlignment="1">
      <alignment vertical="top" wrapText="1"/>
    </xf>
    <xf numFmtId="0" fontId="120" fillId="0" borderId="28" xfId="51" applyFont="1" applyBorder="1" applyAlignment="1">
      <alignment vertical="top" wrapText="1"/>
    </xf>
    <xf numFmtId="0" fontId="120" fillId="0" borderId="79" xfId="51" applyFont="1" applyBorder="1" applyAlignment="1">
      <alignment vertical="top" wrapText="1"/>
    </xf>
    <xf numFmtId="0" fontId="120" fillId="0" borderId="78" xfId="51" applyFont="1" applyBorder="1" applyAlignment="1">
      <alignment horizontal="justify" vertical="center" wrapText="1"/>
    </xf>
    <xf numFmtId="0" fontId="120" fillId="0" borderId="42" xfId="51" applyFont="1" applyBorder="1" applyAlignment="1">
      <alignment horizontal="justify" vertical="center"/>
    </xf>
    <xf numFmtId="0" fontId="120" fillId="0" borderId="69" xfId="51" applyFont="1" applyBorder="1" applyAlignment="1">
      <alignment horizontal="justify" vertical="center"/>
    </xf>
    <xf numFmtId="0" fontId="120" fillId="0" borderId="78" xfId="51" applyFont="1" applyBorder="1" applyAlignment="1">
      <alignment horizontal="justify" vertical="top" wrapText="1"/>
    </xf>
    <xf numFmtId="0" fontId="120" fillId="0" borderId="42" xfId="51" applyFont="1" applyBorder="1" applyAlignment="1">
      <alignment horizontal="justify" vertical="top"/>
    </xf>
    <xf numFmtId="0" fontId="120" fillId="0" borderId="69" xfId="51" applyFont="1" applyBorder="1" applyAlignment="1">
      <alignment horizontal="justify" vertical="top"/>
    </xf>
    <xf numFmtId="0" fontId="121" fillId="0" borderId="74" xfId="51" applyFont="1" applyBorder="1"/>
    <xf numFmtId="0" fontId="121" fillId="0" borderId="52" xfId="51" applyFont="1" applyBorder="1"/>
    <xf numFmtId="0" fontId="120" fillId="0" borderId="1" xfId="51" applyFont="1" applyBorder="1" applyAlignment="1">
      <alignment horizontal="justify" vertical="center"/>
    </xf>
    <xf numFmtId="0" fontId="120" fillId="0" borderId="78" xfId="51" applyFont="1" applyBorder="1"/>
    <xf numFmtId="0" fontId="120" fillId="0" borderId="42" xfId="51" applyFont="1" applyBorder="1"/>
    <xf numFmtId="0" fontId="121" fillId="2" borderId="79" xfId="51" applyFont="1" applyFill="1" applyBorder="1" applyAlignment="1">
      <alignment horizontal="center"/>
    </xf>
    <xf numFmtId="0" fontId="120" fillId="0" borderId="81" xfId="51" applyFont="1" applyBorder="1" applyAlignment="1">
      <alignment vertical="top" wrapText="1"/>
    </xf>
    <xf numFmtId="0" fontId="120" fillId="0" borderId="74" xfId="51" applyFont="1" applyBorder="1" applyAlignment="1">
      <alignment vertical="top" wrapText="1"/>
    </xf>
    <xf numFmtId="0" fontId="120" fillId="0" borderId="52" xfId="51" applyFont="1" applyBorder="1" applyAlignment="1">
      <alignment vertical="top" wrapText="1"/>
    </xf>
    <xf numFmtId="0" fontId="120" fillId="0" borderId="75" xfId="51" applyFont="1" applyBorder="1" applyAlignment="1">
      <alignment vertical="top" wrapText="1"/>
    </xf>
    <xf numFmtId="0" fontId="120" fillId="0" borderId="76" xfId="51" applyFont="1" applyBorder="1" applyAlignment="1">
      <alignment horizontal="justify" vertical="top" wrapText="1"/>
    </xf>
    <xf numFmtId="0" fontId="120" fillId="0" borderId="52" xfId="51" applyFont="1" applyBorder="1" applyAlignment="1">
      <alignment horizontal="justify" vertical="top" wrapText="1"/>
    </xf>
    <xf numFmtId="0" fontId="120" fillId="0" borderId="77" xfId="51" applyFont="1" applyBorder="1" applyAlignment="1">
      <alignment horizontal="justify" vertical="top" wrapText="1"/>
    </xf>
    <xf numFmtId="0" fontId="120" fillId="0" borderId="54" xfId="51" applyFont="1" applyBorder="1" applyAlignment="1">
      <alignment horizontal="justify" vertical="top" wrapText="1"/>
    </xf>
    <xf numFmtId="0" fontId="120" fillId="0" borderId="0" xfId="51" applyFont="1" applyAlignment="1">
      <alignment horizontal="justify" vertical="top" wrapText="1"/>
    </xf>
    <xf numFmtId="0" fontId="120" fillId="0" borderId="40" xfId="51" applyFont="1" applyBorder="1" applyAlignment="1">
      <alignment horizontal="justify" vertical="top" wrapText="1"/>
    </xf>
    <xf numFmtId="0" fontId="120" fillId="0" borderId="68" xfId="51" applyFont="1" applyBorder="1" applyAlignment="1">
      <alignment horizontal="justify" vertical="top" wrapText="1"/>
    </xf>
    <xf numFmtId="0" fontId="120" fillId="0" borderId="42" xfId="51" applyFont="1" applyBorder="1" applyAlignment="1">
      <alignment horizontal="justify" vertical="top" wrapText="1"/>
    </xf>
    <xf numFmtId="0" fontId="120" fillId="0" borderId="69" xfId="51" applyFont="1" applyBorder="1" applyAlignment="1">
      <alignment horizontal="justify" vertical="top" wrapText="1"/>
    </xf>
    <xf numFmtId="0" fontId="121" fillId="2" borderId="28" xfId="51" applyFont="1" applyFill="1" applyBorder="1" applyAlignment="1">
      <alignment horizontal="center" vertical="top"/>
    </xf>
    <xf numFmtId="0" fontId="121" fillId="2" borderId="29" xfId="51" applyFont="1" applyFill="1" applyBorder="1" applyAlignment="1">
      <alignment horizontal="center" vertical="top"/>
    </xf>
    <xf numFmtId="0" fontId="121" fillId="2" borderId="30" xfId="51" applyFont="1" applyFill="1" applyBorder="1" applyAlignment="1">
      <alignment horizontal="center" vertical="top"/>
    </xf>
    <xf numFmtId="0" fontId="128" fillId="0" borderId="1" xfId="51" applyFont="1" applyBorder="1" applyAlignment="1">
      <alignment horizontal="center" vertical="center" wrapText="1"/>
    </xf>
    <xf numFmtId="0" fontId="128" fillId="0" borderId="74" xfId="51" applyFont="1" applyBorder="1" applyAlignment="1">
      <alignment horizontal="left" vertical="top" wrapText="1"/>
    </xf>
    <xf numFmtId="0" fontId="128" fillId="0" borderId="52" xfId="51" applyFont="1" applyBorder="1" applyAlignment="1">
      <alignment horizontal="left" vertical="top" wrapText="1"/>
    </xf>
    <xf numFmtId="0" fontId="128" fillId="0" borderId="19" xfId="51" applyFont="1" applyBorder="1" applyAlignment="1">
      <alignment horizontal="left" vertical="top" wrapText="1"/>
    </xf>
    <xf numFmtId="0" fontId="128" fillId="0" borderId="0" xfId="51" applyFont="1" applyAlignment="1">
      <alignment horizontal="left" vertical="top" wrapText="1"/>
    </xf>
    <xf numFmtId="0" fontId="131" fillId="0" borderId="9" xfId="51" applyFont="1" applyBorder="1" applyAlignment="1">
      <alignment horizontal="center" vertical="center"/>
    </xf>
    <xf numFmtId="0" fontId="121" fillId="0" borderId="81" xfId="51" applyFont="1" applyBorder="1" applyAlignment="1">
      <alignment horizontal="center" vertical="center"/>
    </xf>
    <xf numFmtId="0" fontId="121" fillId="0" borderId="79" xfId="51" applyFont="1" applyBorder="1" applyAlignment="1">
      <alignment horizontal="center" vertical="center"/>
    </xf>
    <xf numFmtId="0" fontId="121" fillId="0" borderId="29" xfId="51" applyFont="1" applyBorder="1" applyAlignment="1">
      <alignment horizontal="left" vertical="center"/>
    </xf>
    <xf numFmtId="0" fontId="126" fillId="22" borderId="28" xfId="51" applyFont="1" applyFill="1" applyBorder="1" applyAlignment="1">
      <alignment horizontal="left" vertical="center" wrapText="1"/>
    </xf>
    <xf numFmtId="0" fontId="126" fillId="22" borderId="38" xfId="51" applyFont="1" applyFill="1" applyBorder="1" applyAlignment="1">
      <alignment horizontal="left" vertical="center" wrapText="1"/>
    </xf>
    <xf numFmtId="168" fontId="121" fillId="0" borderId="28" xfId="54" applyFont="1" applyBorder="1"/>
    <xf numFmtId="168" fontId="121" fillId="0" borderId="79" xfId="54" applyFont="1" applyBorder="1"/>
    <xf numFmtId="0" fontId="125" fillId="0" borderId="13" xfId="51" applyFont="1" applyBorder="1" applyAlignment="1">
      <alignment horizontal="left" vertical="center" wrapText="1"/>
    </xf>
    <xf numFmtId="0" fontId="128" fillId="0" borderId="13" xfId="51" applyFont="1" applyBorder="1" applyAlignment="1">
      <alignment horizontal="center" vertical="center" wrapText="1"/>
    </xf>
    <xf numFmtId="0" fontId="120" fillId="0" borderId="19" xfId="51" applyFont="1" applyBorder="1" applyAlignment="1">
      <alignment horizontal="left" vertical="top"/>
    </xf>
    <xf numFmtId="0" fontId="120" fillId="0" borderId="0" xfId="51" applyFont="1" applyAlignment="1">
      <alignment horizontal="left" vertical="top"/>
    </xf>
    <xf numFmtId="0" fontId="120" fillId="0" borderId="72" xfId="51" applyFont="1" applyBorder="1"/>
    <xf numFmtId="0" fontId="120" fillId="0" borderId="29" xfId="51" applyFont="1" applyBorder="1"/>
    <xf numFmtId="0" fontId="121" fillId="0" borderId="72" xfId="51" applyFont="1" applyBorder="1" applyAlignment="1">
      <alignment horizontal="center" vertical="center"/>
    </xf>
    <xf numFmtId="0" fontId="121" fillId="0" borderId="38" xfId="51" applyFont="1" applyBorder="1" applyAlignment="1">
      <alignment horizontal="center" vertical="center"/>
    </xf>
    <xf numFmtId="0" fontId="121" fillId="0" borderId="28" xfId="51" applyFont="1" applyBorder="1" applyAlignment="1">
      <alignment horizontal="center" vertical="center" wrapText="1"/>
    </xf>
    <xf numFmtId="0" fontId="121" fillId="0" borderId="79" xfId="51" applyFont="1" applyBorder="1" applyAlignment="1">
      <alignment horizontal="center" vertical="center" wrapText="1"/>
    </xf>
    <xf numFmtId="0" fontId="126" fillId="0" borderId="28" xfId="51" applyFont="1" applyFill="1" applyBorder="1" applyAlignment="1">
      <alignment horizontal="left" vertical="center" wrapText="1"/>
    </xf>
    <xf numFmtId="0" fontId="126" fillId="0" borderId="38" xfId="51" applyFont="1" applyFill="1" applyBorder="1" applyAlignment="1">
      <alignment horizontal="left" vertical="center" wrapText="1"/>
    </xf>
    <xf numFmtId="168" fontId="121" fillId="0" borderId="28" xfId="54" applyFont="1" applyFill="1" applyBorder="1"/>
    <xf numFmtId="168" fontId="121" fillId="0" borderId="79" xfId="54" applyFont="1" applyFill="1" applyBorder="1"/>
    <xf numFmtId="168" fontId="121" fillId="0" borderId="28" xfId="54" applyFont="1" applyFill="1" applyBorder="1" applyAlignment="1">
      <alignment vertical="center"/>
    </xf>
    <xf numFmtId="168" fontId="121" fillId="0" borderId="79" xfId="54" applyFont="1" applyFill="1" applyBorder="1" applyAlignment="1">
      <alignment vertical="center"/>
    </xf>
    <xf numFmtId="168" fontId="121" fillId="0" borderId="28" xfId="54" applyFont="1" applyBorder="1" applyAlignment="1">
      <alignment vertical="center"/>
    </xf>
    <xf numFmtId="168" fontId="121" fillId="0" borderId="79" xfId="54" applyFont="1" applyBorder="1" applyAlignment="1">
      <alignment vertical="center"/>
    </xf>
    <xf numFmtId="0" fontId="121" fillId="22" borderId="28" xfId="51" applyFont="1" applyFill="1" applyBorder="1" applyAlignment="1">
      <alignment horizontal="left" vertical="center" wrapText="1"/>
    </xf>
    <xf numFmtId="0" fontId="121" fillId="22" borderId="38" xfId="51" applyFont="1" applyFill="1" applyBorder="1" applyAlignment="1">
      <alignment horizontal="left" vertical="center" wrapText="1"/>
    </xf>
    <xf numFmtId="216" fontId="121" fillId="0" borderId="28" xfId="51" applyNumberFormat="1" applyFont="1" applyBorder="1" applyAlignment="1">
      <alignment horizontal="center" vertical="center"/>
    </xf>
    <xf numFmtId="216" fontId="121" fillId="0" borderId="79" xfId="51" applyNumberFormat="1" applyFont="1" applyBorder="1" applyAlignment="1">
      <alignment horizontal="center" vertical="center"/>
    </xf>
    <xf numFmtId="0" fontId="121" fillId="22" borderId="72" xfId="51" applyFont="1" applyFill="1" applyBorder="1" applyAlignment="1">
      <alignment horizontal="left" vertical="center" wrapText="1"/>
    </xf>
    <xf numFmtId="0" fontId="121" fillId="9" borderId="29" xfId="51" applyFont="1" applyFill="1" applyBorder="1" applyAlignment="1">
      <alignment horizontal="left" vertical="center" wrapText="1"/>
    </xf>
    <xf numFmtId="168" fontId="121" fillId="0" borderId="28" xfId="51" applyNumberFormat="1" applyFont="1" applyBorder="1" applyAlignment="1">
      <alignment horizontal="center" vertical="center"/>
    </xf>
    <xf numFmtId="168" fontId="121" fillId="0" borderId="79" xfId="51" applyNumberFormat="1" applyFont="1" applyBorder="1" applyAlignment="1">
      <alignment horizontal="center" vertical="center"/>
    </xf>
    <xf numFmtId="168" fontId="121" fillId="0" borderId="28" xfId="54" applyFont="1" applyBorder="1" applyAlignment="1">
      <alignment horizontal="center" vertical="center"/>
    </xf>
    <xf numFmtId="168" fontId="121" fillId="0" borderId="79" xfId="54" applyFont="1" applyBorder="1" applyAlignment="1">
      <alignment horizontal="center" vertical="center"/>
    </xf>
    <xf numFmtId="217" fontId="121" fillId="0" borderId="28" xfId="51" applyNumberFormat="1" applyFont="1" applyBorder="1" applyAlignment="1">
      <alignment horizontal="center" vertical="center"/>
    </xf>
    <xf numFmtId="217" fontId="121" fillId="0" borderId="79" xfId="51" applyNumberFormat="1" applyFont="1" applyBorder="1" applyAlignment="1">
      <alignment horizontal="center" vertical="center"/>
    </xf>
    <xf numFmtId="168" fontId="121" fillId="0" borderId="28" xfId="54" applyFont="1" applyFill="1" applyBorder="1" applyAlignment="1">
      <alignment horizontal="center" vertical="center"/>
    </xf>
    <xf numFmtId="168" fontId="121" fillId="0" borderId="79" xfId="54" applyFont="1" applyFill="1" applyBorder="1" applyAlignment="1">
      <alignment horizontal="center" vertical="center"/>
    </xf>
    <xf numFmtId="0" fontId="123" fillId="0" borderId="28" xfId="51" applyFont="1" applyBorder="1" applyAlignment="1">
      <alignment horizontal="center"/>
    </xf>
    <xf numFmtId="0" fontId="123" fillId="0" borderId="38" xfId="51" applyFont="1" applyBorder="1" applyAlignment="1">
      <alignment horizontal="center"/>
    </xf>
    <xf numFmtId="0" fontId="123" fillId="0" borderId="28" xfId="51" applyFont="1" applyFill="1" applyBorder="1" applyAlignment="1">
      <alignment horizontal="center"/>
    </xf>
    <xf numFmtId="0" fontId="123" fillId="0" borderId="38" xfId="51" applyFont="1" applyFill="1" applyBorder="1" applyAlignment="1">
      <alignment horizontal="center"/>
    </xf>
    <xf numFmtId="49" fontId="126" fillId="0" borderId="28" xfId="51" applyNumberFormat="1" applyFont="1" applyFill="1" applyBorder="1" applyAlignment="1">
      <alignment horizontal="left" vertical="center" wrapText="1"/>
    </xf>
    <xf numFmtId="168" fontId="121" fillId="0" borderId="28" xfId="51" applyNumberFormat="1" applyFont="1" applyBorder="1" applyAlignment="1">
      <alignment horizontal="center"/>
    </xf>
    <xf numFmtId="168" fontId="121" fillId="0" borderId="79" xfId="51" applyNumberFormat="1" applyFont="1" applyBorder="1" applyAlignment="1">
      <alignment horizontal="center"/>
    </xf>
    <xf numFmtId="49" fontId="126" fillId="22" borderId="28" xfId="51" applyNumberFormat="1" applyFont="1" applyFill="1" applyBorder="1" applyAlignment="1">
      <alignment horizontal="left" vertical="center" wrapText="1"/>
    </xf>
    <xf numFmtId="0" fontId="121" fillId="0" borderId="28" xfId="51" applyFont="1" applyBorder="1" applyAlignment="1">
      <alignment horizontal="center"/>
    </xf>
    <xf numFmtId="0" fontId="121" fillId="0" borderId="79" xfId="51" applyFont="1" applyBorder="1" applyAlignment="1">
      <alignment horizontal="center"/>
    </xf>
    <xf numFmtId="0" fontId="133" fillId="0" borderId="72" xfId="51" applyFont="1" applyBorder="1" applyAlignment="1">
      <alignment horizontal="left" vertical="center" wrapText="1"/>
    </xf>
    <xf numFmtId="0" fontId="133" fillId="0" borderId="29" xfId="51" applyFont="1" applyBorder="1" applyAlignment="1">
      <alignment horizontal="left" vertical="center" wrapText="1"/>
    </xf>
    <xf numFmtId="0" fontId="133" fillId="0" borderId="79" xfId="51" applyFont="1" applyBorder="1" applyAlignment="1">
      <alignment horizontal="left" vertical="center" wrapText="1"/>
    </xf>
    <xf numFmtId="0" fontId="120" fillId="22" borderId="72" xfId="51" applyFont="1" applyFill="1" applyBorder="1" applyAlignment="1">
      <alignment horizontal="left" vertical="center" wrapText="1"/>
    </xf>
    <xf numFmtId="0" fontId="120" fillId="22" borderId="29" xfId="51" applyFont="1" applyFill="1" applyBorder="1" applyAlignment="1">
      <alignment horizontal="left" vertical="center" wrapText="1"/>
    </xf>
    <xf numFmtId="0" fontId="121" fillId="0" borderId="72" xfId="51" applyFont="1" applyBorder="1" applyAlignment="1">
      <alignment horizontal="center"/>
    </xf>
    <xf numFmtId="0" fontId="121" fillId="0" borderId="38" xfId="51" applyFont="1" applyBorder="1" applyAlignment="1">
      <alignment horizontal="center"/>
    </xf>
    <xf numFmtId="0" fontId="121" fillId="0" borderId="28" xfId="51" applyFont="1" applyBorder="1" applyAlignment="1">
      <alignment horizontal="center" vertical="center"/>
    </xf>
    <xf numFmtId="0" fontId="121" fillId="0" borderId="30" xfId="51" applyFont="1" applyBorder="1" applyAlignment="1">
      <alignment horizontal="center" vertical="center"/>
    </xf>
    <xf numFmtId="185" fontId="120" fillId="0" borderId="28" xfId="56" applyNumberFormat="1" applyFont="1" applyBorder="1" applyAlignment="1">
      <alignment horizontal="center" vertical="center"/>
    </xf>
    <xf numFmtId="185" fontId="120" fillId="0" borderId="38" xfId="56" applyNumberFormat="1" applyFont="1" applyBorder="1" applyAlignment="1">
      <alignment horizontal="center" vertical="center"/>
    </xf>
    <xf numFmtId="169" fontId="120" fillId="0" borderId="81" xfId="56" applyFont="1" applyBorder="1" applyAlignment="1">
      <alignment horizontal="center" vertical="center"/>
    </xf>
    <xf numFmtId="169" fontId="120" fillId="0" borderId="38" xfId="56" applyFont="1" applyBorder="1" applyAlignment="1">
      <alignment horizontal="center" vertical="center"/>
    </xf>
    <xf numFmtId="0" fontId="120" fillId="0" borderId="72" xfId="51" applyFont="1" applyBorder="1" applyAlignment="1">
      <alignment horizontal="center"/>
    </xf>
    <xf numFmtId="0" fontId="120" fillId="0" borderId="38" xfId="51" applyFont="1" applyBorder="1" applyAlignment="1">
      <alignment horizontal="center"/>
    </xf>
    <xf numFmtId="169" fontId="120" fillId="0" borderId="28" xfId="51" applyNumberFormat="1" applyFont="1" applyBorder="1" applyAlignment="1">
      <alignment horizontal="right"/>
    </xf>
    <xf numFmtId="0" fontId="120" fillId="0" borderId="38" xfId="51" applyFont="1" applyBorder="1" applyAlignment="1">
      <alignment horizontal="right"/>
    </xf>
    <xf numFmtId="169" fontId="120" fillId="0" borderId="28" xfId="51" applyNumberFormat="1" applyFont="1" applyBorder="1" applyAlignment="1">
      <alignment horizontal="center"/>
    </xf>
    <xf numFmtId="0" fontId="120" fillId="0" borderId="72" xfId="51" applyFont="1" applyBorder="1" applyAlignment="1">
      <alignment horizontal="left" vertical="center" wrapText="1"/>
    </xf>
    <xf numFmtId="0" fontId="120" fillId="0" borderId="79" xfId="51" applyFont="1" applyBorder="1" applyAlignment="1">
      <alignment horizontal="left" vertical="center" wrapText="1"/>
    </xf>
    <xf numFmtId="185" fontId="120" fillId="0" borderId="81" xfId="56" applyNumberFormat="1" applyFont="1" applyBorder="1" applyAlignment="1">
      <alignment horizontal="center" vertical="center"/>
    </xf>
    <xf numFmtId="0" fontId="120" fillId="0" borderId="72" xfId="51" applyFont="1" applyBorder="1" applyAlignment="1">
      <alignment vertical="center" wrapText="1"/>
    </xf>
    <xf numFmtId="0" fontId="120" fillId="0" borderId="38" xfId="51" applyFont="1" applyBorder="1" applyAlignment="1">
      <alignment vertical="center" wrapText="1"/>
    </xf>
    <xf numFmtId="0" fontId="121" fillId="0" borderId="72" xfId="51" applyFont="1" applyBorder="1" applyAlignment="1">
      <alignment vertical="center" wrapText="1"/>
    </xf>
    <xf numFmtId="0" fontId="121" fillId="0" borderId="79" xfId="51" applyFont="1" applyBorder="1" applyAlignment="1">
      <alignment vertical="center" wrapText="1"/>
    </xf>
    <xf numFmtId="185" fontId="120" fillId="0" borderId="81" xfId="51" applyNumberFormat="1" applyFont="1" applyBorder="1" applyAlignment="1">
      <alignment horizontal="center" vertical="center"/>
    </xf>
    <xf numFmtId="185" fontId="120" fillId="0" borderId="38" xfId="51" applyNumberFormat="1" applyFont="1" applyBorder="1" applyAlignment="1">
      <alignment horizontal="center" vertical="center"/>
    </xf>
    <xf numFmtId="0" fontId="120" fillId="0" borderId="28" xfId="51" applyFont="1" applyBorder="1" applyAlignment="1">
      <alignment horizontal="center" vertical="center"/>
    </xf>
    <xf numFmtId="0" fontId="120" fillId="0" borderId="79" xfId="51" applyFont="1" applyBorder="1" applyAlignment="1">
      <alignment horizontal="center" vertical="center"/>
    </xf>
    <xf numFmtId="0" fontId="120" fillId="0" borderId="81" xfId="51" applyFont="1" applyBorder="1" applyAlignment="1">
      <alignment horizontal="center" vertical="center"/>
    </xf>
    <xf numFmtId="0" fontId="120" fillId="0" borderId="29" xfId="51" applyFont="1" applyBorder="1" applyAlignment="1">
      <alignment horizontal="center" vertical="center"/>
    </xf>
    <xf numFmtId="0" fontId="120" fillId="0" borderId="30" xfId="51" applyFont="1" applyBorder="1" applyAlignment="1">
      <alignment horizontal="center" vertical="center"/>
    </xf>
    <xf numFmtId="0" fontId="120" fillId="0" borderId="38" xfId="51" applyFont="1" applyBorder="1" applyAlignment="1">
      <alignment horizontal="center" vertical="center"/>
    </xf>
    <xf numFmtId="9" fontId="120" fillId="0" borderId="28" xfId="51" applyNumberFormat="1" applyFont="1" applyBorder="1" applyAlignment="1">
      <alignment horizontal="center"/>
    </xf>
    <xf numFmtId="0" fontId="121" fillId="0" borderId="19" xfId="51" applyFont="1" applyBorder="1"/>
    <xf numFmtId="0" fontId="121" fillId="0" borderId="0" xfId="51" applyFont="1"/>
    <xf numFmtId="0" fontId="121" fillId="0" borderId="81" xfId="51" applyFont="1" applyBorder="1" applyAlignment="1">
      <alignment horizontal="center"/>
    </xf>
    <xf numFmtId="0" fontId="121" fillId="0" borderId="29" xfId="51" applyFont="1" applyBorder="1" applyAlignment="1">
      <alignment horizontal="center"/>
    </xf>
    <xf numFmtId="0" fontId="121" fillId="0" borderId="30" xfId="51" applyFont="1" applyBorder="1" applyAlignment="1">
      <alignment horizontal="center"/>
    </xf>
    <xf numFmtId="0" fontId="120" fillId="0" borderId="28" xfId="51" applyFont="1" applyBorder="1" applyAlignment="1">
      <alignment horizontal="center"/>
    </xf>
    <xf numFmtId="0" fontId="120" fillId="0" borderId="79" xfId="51" applyFont="1" applyBorder="1" applyAlignment="1">
      <alignment horizontal="center"/>
    </xf>
    <xf numFmtId="0" fontId="120" fillId="0" borderId="74" xfId="51" applyFont="1" applyBorder="1" applyAlignment="1">
      <alignment wrapText="1"/>
    </xf>
    <xf numFmtId="0" fontId="120" fillId="0" borderId="52" xfId="51" applyFont="1" applyBorder="1" applyAlignment="1">
      <alignment wrapText="1"/>
    </xf>
    <xf numFmtId="0" fontId="120" fillId="0" borderId="77" xfId="51" applyFont="1" applyBorder="1" applyAlignment="1">
      <alignment wrapText="1"/>
    </xf>
    <xf numFmtId="0" fontId="121" fillId="0" borderId="72" xfId="51" applyFont="1" applyBorder="1" applyAlignment="1">
      <alignment wrapText="1"/>
    </xf>
    <xf numFmtId="0" fontId="121" fillId="0" borderId="29" xfId="51" applyFont="1" applyBorder="1" applyAlignment="1">
      <alignment wrapText="1"/>
    </xf>
    <xf numFmtId="0" fontId="121" fillId="0" borderId="38" xfId="51" applyFont="1" applyBorder="1" applyAlignment="1">
      <alignment wrapText="1"/>
    </xf>
    <xf numFmtId="0" fontId="121" fillId="0" borderId="72" xfId="51" applyFont="1" applyBorder="1" applyAlignment="1">
      <alignment horizontal="center" vertical="center" wrapText="1"/>
    </xf>
    <xf numFmtId="0" fontId="120" fillId="0" borderId="38" xfId="51" applyFont="1" applyBorder="1"/>
    <xf numFmtId="0" fontId="120" fillId="0" borderId="81" xfId="51" applyFont="1" applyBorder="1" applyAlignment="1">
      <alignment horizontal="center"/>
    </xf>
    <xf numFmtId="0" fontId="120" fillId="0" borderId="29" xfId="51" applyFont="1" applyBorder="1" applyAlignment="1">
      <alignment horizontal="center"/>
    </xf>
    <xf numFmtId="0" fontId="120" fillId="0" borderId="30" xfId="51" applyFont="1" applyBorder="1" applyAlignment="1">
      <alignment horizontal="center"/>
    </xf>
    <xf numFmtId="3" fontId="121" fillId="0" borderId="28" xfId="51" applyNumberFormat="1" applyFont="1" applyBorder="1" applyAlignment="1">
      <alignment horizontal="center" wrapText="1"/>
    </xf>
    <xf numFmtId="0" fontId="121" fillId="0" borderId="28" xfId="51" applyFont="1" applyBorder="1" applyAlignment="1">
      <alignment horizontal="center" wrapText="1"/>
    </xf>
    <xf numFmtId="0" fontId="121" fillId="0" borderId="40" xfId="51" applyFont="1" applyBorder="1" applyAlignment="1">
      <alignment horizontal="center" wrapText="1"/>
    </xf>
    <xf numFmtId="0" fontId="121" fillId="0" borderId="29" xfId="51" applyFont="1" applyBorder="1" applyAlignment="1">
      <alignment vertical="center" wrapText="1"/>
    </xf>
    <xf numFmtId="0" fontId="121" fillId="0" borderId="38" xfId="51" applyFont="1" applyBorder="1" applyAlignment="1">
      <alignment vertical="center" wrapText="1"/>
    </xf>
    <xf numFmtId="0" fontId="121" fillId="0" borderId="38" xfId="51" applyFont="1" applyBorder="1" applyAlignment="1">
      <alignment horizontal="center" vertical="center" wrapText="1"/>
    </xf>
    <xf numFmtId="0" fontId="120" fillId="0" borderId="40" xfId="51" applyFont="1" applyBorder="1"/>
    <xf numFmtId="0" fontId="121" fillId="0" borderId="78" xfId="51" applyFont="1" applyBorder="1"/>
    <xf numFmtId="0" fontId="121" fillId="0" borderId="42" xfId="51" applyFont="1" applyBorder="1"/>
    <xf numFmtId="0" fontId="121" fillId="0" borderId="69" xfId="51" applyFont="1" applyBorder="1"/>
    <xf numFmtId="0" fontId="121" fillId="0" borderId="72" xfId="51" applyFont="1" applyBorder="1"/>
    <xf numFmtId="0" fontId="121" fillId="0" borderId="29" xfId="51" applyFont="1" applyBorder="1"/>
    <xf numFmtId="0" fontId="121" fillId="0" borderId="38" xfId="51" applyFont="1" applyBorder="1"/>
    <xf numFmtId="0" fontId="120" fillId="0" borderId="28" xfId="51" applyFont="1" applyBorder="1"/>
    <xf numFmtId="0" fontId="120" fillId="0" borderId="30" xfId="51" applyFont="1" applyBorder="1"/>
    <xf numFmtId="218" fontId="121" fillId="0" borderId="28" xfId="51" applyNumberFormat="1" applyFont="1" applyBorder="1" applyAlignment="1">
      <alignment horizontal="center"/>
    </xf>
    <xf numFmtId="218" fontId="121" fillId="0" borderId="79" xfId="51" applyNumberFormat="1" applyFont="1" applyBorder="1" applyAlignment="1">
      <alignment horizontal="center"/>
    </xf>
    <xf numFmtId="217" fontId="121" fillId="0" borderId="28" xfId="51" applyNumberFormat="1" applyFont="1" applyBorder="1" applyAlignment="1">
      <alignment horizontal="center"/>
    </xf>
    <xf numFmtId="217" fontId="121" fillId="0" borderId="79" xfId="51" applyNumberFormat="1" applyFont="1" applyBorder="1" applyAlignment="1">
      <alignment horizontal="center"/>
    </xf>
    <xf numFmtId="0" fontId="136" fillId="0" borderId="0" xfId="57" applyAlignment="1">
      <alignment wrapText="1"/>
    </xf>
    <xf numFmtId="0" fontId="137" fillId="0" borderId="0" xfId="51" applyFont="1" applyAlignment="1">
      <alignment wrapText="1"/>
    </xf>
    <xf numFmtId="0" fontId="138" fillId="0" borderId="0" xfId="57" applyFont="1" applyAlignment="1">
      <alignment wrapText="1"/>
    </xf>
    <xf numFmtId="0" fontId="137" fillId="0" borderId="40" xfId="51" applyFont="1" applyBorder="1" applyAlignment="1">
      <alignment wrapText="1"/>
    </xf>
    <xf numFmtId="0" fontId="134" fillId="0" borderId="6" xfId="51" applyFont="1" applyBorder="1" applyAlignment="1">
      <alignment horizontal="left" wrapText="1"/>
    </xf>
    <xf numFmtId="0" fontId="134" fillId="0" borderId="21" xfId="51" applyFont="1" applyBorder="1" applyAlignment="1">
      <alignment horizontal="left" wrapText="1"/>
    </xf>
    <xf numFmtId="0" fontId="135" fillId="0" borderId="0" xfId="51" applyFont="1"/>
    <xf numFmtId="0" fontId="135" fillId="0" borderId="40" xfId="51" applyFont="1" applyBorder="1"/>
    <xf numFmtId="0" fontId="135" fillId="0" borderId="0" xfId="51" applyFont="1" applyAlignment="1">
      <alignment wrapText="1"/>
    </xf>
    <xf numFmtId="0" fontId="135" fillId="0" borderId="40" xfId="51" applyFont="1" applyBorder="1" applyAlignment="1">
      <alignment wrapText="1"/>
    </xf>
    <xf numFmtId="0" fontId="120" fillId="0" borderId="74" xfId="51" applyFont="1" applyBorder="1"/>
    <xf numFmtId="0" fontId="120" fillId="0" borderId="52" xfId="51" applyFont="1" applyBorder="1"/>
    <xf numFmtId="0" fontId="121" fillId="0" borderId="40" xfId="51" applyFont="1" applyBorder="1"/>
    <xf numFmtId="0" fontId="121" fillId="0" borderId="40" xfId="51" applyFont="1" applyBorder="1" applyAlignment="1">
      <alignment horizontal="center"/>
    </xf>
    <xf numFmtId="0" fontId="121" fillId="0" borderId="69" xfId="51" applyFont="1" applyBorder="1" applyAlignment="1">
      <alignment horizontal="center"/>
    </xf>
    <xf numFmtId="0" fontId="79" fillId="2" borderId="2" xfId="0" applyFont="1" applyFill="1" applyBorder="1" applyAlignment="1">
      <alignment horizontal="left" vertical="top" wrapText="1"/>
    </xf>
    <xf numFmtId="0" fontId="79" fillId="2" borderId="4" xfId="0" applyFont="1" applyFill="1" applyBorder="1" applyAlignment="1">
      <alignment horizontal="left" vertical="top" wrapText="1"/>
    </xf>
    <xf numFmtId="0" fontId="79" fillId="2" borderId="20" xfId="0" applyFont="1" applyFill="1" applyBorder="1" applyAlignment="1">
      <alignment horizontal="left" vertical="top" wrapText="1"/>
    </xf>
    <xf numFmtId="164" fontId="7" fillId="0" borderId="0" xfId="0" applyNumberFormat="1" applyFont="1" applyFill="1"/>
    <xf numFmtId="0" fontId="9" fillId="49" borderId="1" xfId="7" applyFont="1" applyFill="1" applyBorder="1" applyAlignment="1">
      <alignment horizontal="right" vertical="center" wrapText="1"/>
    </xf>
    <xf numFmtId="10" fontId="9" fillId="49" borderId="39" xfId="15" applyNumberFormat="1" applyFont="1" applyFill="1" applyBorder="1" applyAlignment="1">
      <alignment vertical="center" wrapText="1"/>
    </xf>
    <xf numFmtId="164" fontId="9" fillId="49" borderId="5" xfId="5" applyNumberFormat="1" applyFont="1" applyFill="1" applyBorder="1" applyAlignment="1" applyProtection="1">
      <alignment horizontal="center" vertical="center"/>
      <protection locked="0"/>
    </xf>
    <xf numFmtId="0" fontId="9" fillId="49" borderId="2" xfId="0" applyFont="1" applyFill="1" applyBorder="1" applyAlignment="1">
      <alignment horizontal="center" vertical="center" wrapText="1"/>
    </xf>
    <xf numFmtId="0" fontId="9" fillId="49" borderId="4" xfId="0" applyFont="1" applyFill="1" applyBorder="1" applyAlignment="1">
      <alignment horizontal="center" vertical="center" wrapText="1"/>
    </xf>
    <xf numFmtId="10" fontId="9" fillId="49" borderId="1" xfId="15" applyNumberFormat="1" applyFont="1" applyFill="1" applyBorder="1" applyAlignment="1">
      <alignment horizontal="center" vertical="center" wrapText="1"/>
    </xf>
    <xf numFmtId="164" fontId="9" fillId="49" borderId="5" xfId="29" applyNumberFormat="1" applyFont="1" applyFill="1" applyBorder="1" applyAlignment="1">
      <alignment horizontal="center" vertical="center"/>
    </xf>
  </cellXfs>
  <cellStyles count="60">
    <cellStyle name="Bueno" xfId="36" builtinId="26"/>
    <cellStyle name="Estilo 1" xfId="1"/>
    <cellStyle name="Euro" xfId="2"/>
    <cellStyle name="Hipervínculo" xfId="3" builtinId="8"/>
    <cellStyle name="Hipervínculo 2" xfId="19"/>
    <cellStyle name="Hipervínculo 3" xfId="57"/>
    <cellStyle name="Hipervínculo 4" xfId="58"/>
    <cellStyle name="Incorrecto" xfId="37" builtinId="27"/>
    <cellStyle name="Millares" xfId="28" builtinId="3"/>
    <cellStyle name="Millares [0]" xfId="50" builtinId="6"/>
    <cellStyle name="Millares [0] 2" xfId="48"/>
    <cellStyle name="Millares [0] 3" xfId="55"/>
    <cellStyle name="Millares 2" xfId="38"/>
    <cellStyle name="Millares 2 2" xfId="46"/>
    <cellStyle name="Millares 3" xfId="52"/>
    <cellStyle name="Millares 4" xfId="49"/>
    <cellStyle name="Millares_FORMULARIO 21 AIUI SANTA HELENA FEBRERO 29" xfId="4"/>
    <cellStyle name="Moneda" xfId="25" builtinId="4"/>
    <cellStyle name="Moneda [0]" xfId="29" builtinId="7"/>
    <cellStyle name="Moneda [0] 2" xfId="34"/>
    <cellStyle name="Moneda [0] 3" xfId="41"/>
    <cellStyle name="Moneda [0] 4" xfId="44"/>
    <cellStyle name="Moneda [0] 5" xfId="47"/>
    <cellStyle name="Moneda [0] 6" xfId="54"/>
    <cellStyle name="Moneda 2" xfId="17"/>
    <cellStyle name="Moneda 3" xfId="18"/>
    <cellStyle name="Moneda 4" xfId="23"/>
    <cellStyle name="Moneda 5" xfId="24"/>
    <cellStyle name="Moneda 6" xfId="42"/>
    <cellStyle name="Moneda 7" xfId="56"/>
    <cellStyle name="Normal" xfId="0" builtinId="0"/>
    <cellStyle name="Normal 10" xfId="5"/>
    <cellStyle name="Normal 2" xfId="20"/>
    <cellStyle name="Normal 2 2" xfId="6"/>
    <cellStyle name="Normal 2 3" xfId="32"/>
    <cellStyle name="Normal 2 5" xfId="40"/>
    <cellStyle name="Normal 3" xfId="21"/>
    <cellStyle name="Normal 4" xfId="33"/>
    <cellStyle name="Normal 5" xfId="43"/>
    <cellStyle name="Normal 6" xfId="39"/>
    <cellStyle name="Normal 7" xfId="51"/>
    <cellStyle name="Normal_CANTIDADES DE OBRA Y PRESUPUESTO BRICENO corregidas" xfId="7"/>
    <cellStyle name="Normal_Cuadro de jornales CAÑASGORDA" xfId="8"/>
    <cellStyle name="Normal_FORMULARIO 21 AIUI SANTA HELENA FEBRERO 29" xfId="9"/>
    <cellStyle name="Normal_FORMULARIO 21 AIUI SANTA HELENA FEBRERO 29 2" xfId="27"/>
    <cellStyle name="Normal_Hoja1" xfId="10"/>
    <cellStyle name="Normal_Hoja1 2" xfId="31"/>
    <cellStyle name="Normal_HV2-2002 Seccion 2 Formularios" xfId="11"/>
    <cellStyle name="Normal_MANDES_AA_D_IN_2_DyA_T-6.5" xfId="30"/>
    <cellStyle name="Normal_modelo ACTA OBRA y MODIFICACION" xfId="59"/>
    <cellStyle name="Normal_obras civiles_OBRAS DE APROVECHAMIENTO" xfId="12"/>
    <cellStyle name="Normal_Precios Contrato Ramirez y Cía1" xfId="26"/>
    <cellStyle name="Normal_PRESUPUESTO" xfId="13"/>
    <cellStyle name="Normal_presupuestocolectorsanpedro" xfId="35"/>
    <cellStyle name="Porcentaje" xfId="15" builtinId="5"/>
    <cellStyle name="Porcentaje 2" xfId="14"/>
    <cellStyle name="Porcentaje 3" xfId="45"/>
    <cellStyle name="Porcentaje 4" xfId="53"/>
    <cellStyle name="Porcentual 2" xfId="22"/>
    <cellStyle name="resaltado" xfId="16"/>
  </cellStyles>
  <dxfs count="7">
    <dxf>
      <font>
        <color theme="0"/>
      </font>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justify"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double">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justify"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rial"/>
        <scheme val="none"/>
      </font>
      <numFmt numFmtId="2" formatCode="0.00"/>
      <fill>
        <patternFill patternType="solid">
          <fgColor indexed="64"/>
          <bgColor rgb="FF002060"/>
        </patternFill>
      </fill>
      <alignment horizontal="center" vertical="center" textRotation="0" wrapText="0" indent="0" justifyLastLine="0" shrinkToFit="0" readingOrder="0"/>
    </dxf>
  </dxfs>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8.xml"/><Relationship Id="rId21" Type="http://schemas.openxmlformats.org/officeDocument/2006/relationships/worksheet" Target="worksheets/sheet20.xml"/><Relationship Id="rId42" Type="http://schemas.openxmlformats.org/officeDocument/2006/relationships/externalLink" Target="externalLinks/externalLink3.xml"/><Relationship Id="rId63" Type="http://schemas.openxmlformats.org/officeDocument/2006/relationships/externalLink" Target="externalLinks/externalLink24.xml"/><Relationship Id="rId84" Type="http://schemas.openxmlformats.org/officeDocument/2006/relationships/externalLink" Target="externalLinks/externalLink45.xml"/><Relationship Id="rId138" Type="http://schemas.openxmlformats.org/officeDocument/2006/relationships/externalLink" Target="externalLinks/externalLink99.xml"/><Relationship Id="rId159" Type="http://schemas.openxmlformats.org/officeDocument/2006/relationships/externalLink" Target="externalLinks/externalLink120.xml"/><Relationship Id="rId170" Type="http://schemas.openxmlformats.org/officeDocument/2006/relationships/externalLink" Target="externalLinks/externalLink131.xml"/><Relationship Id="rId107" Type="http://schemas.openxmlformats.org/officeDocument/2006/relationships/externalLink" Target="externalLinks/externalLink68.xml"/><Relationship Id="rId11" Type="http://schemas.openxmlformats.org/officeDocument/2006/relationships/worksheet" Target="worksheets/sheet11.xml"/><Relationship Id="rId32" Type="http://schemas.openxmlformats.org/officeDocument/2006/relationships/worksheet" Target="worksheets/sheet31.xml"/><Relationship Id="rId53" Type="http://schemas.openxmlformats.org/officeDocument/2006/relationships/externalLink" Target="externalLinks/externalLink14.xml"/><Relationship Id="rId74" Type="http://schemas.openxmlformats.org/officeDocument/2006/relationships/externalLink" Target="externalLinks/externalLink35.xml"/><Relationship Id="rId128" Type="http://schemas.openxmlformats.org/officeDocument/2006/relationships/externalLink" Target="externalLinks/externalLink89.xml"/><Relationship Id="rId149" Type="http://schemas.openxmlformats.org/officeDocument/2006/relationships/externalLink" Target="externalLinks/externalLink110.xml"/><Relationship Id="rId5" Type="http://schemas.openxmlformats.org/officeDocument/2006/relationships/worksheet" Target="worksheets/sheet5.xml"/><Relationship Id="rId95" Type="http://schemas.openxmlformats.org/officeDocument/2006/relationships/externalLink" Target="externalLinks/externalLink56.xml"/><Relationship Id="rId160" Type="http://schemas.openxmlformats.org/officeDocument/2006/relationships/externalLink" Target="externalLinks/externalLink121.xml"/><Relationship Id="rId22" Type="http://schemas.openxmlformats.org/officeDocument/2006/relationships/worksheet" Target="worksheets/sheet21.xml"/><Relationship Id="rId43" Type="http://schemas.openxmlformats.org/officeDocument/2006/relationships/externalLink" Target="externalLinks/externalLink4.xml"/><Relationship Id="rId64" Type="http://schemas.openxmlformats.org/officeDocument/2006/relationships/externalLink" Target="externalLinks/externalLink25.xml"/><Relationship Id="rId118" Type="http://schemas.openxmlformats.org/officeDocument/2006/relationships/externalLink" Target="externalLinks/externalLink79.xml"/><Relationship Id="rId139" Type="http://schemas.openxmlformats.org/officeDocument/2006/relationships/externalLink" Target="externalLinks/externalLink100.xml"/><Relationship Id="rId85" Type="http://schemas.openxmlformats.org/officeDocument/2006/relationships/externalLink" Target="externalLinks/externalLink46.xml"/><Relationship Id="rId150" Type="http://schemas.openxmlformats.org/officeDocument/2006/relationships/externalLink" Target="externalLinks/externalLink111.xml"/><Relationship Id="rId171" Type="http://schemas.openxmlformats.org/officeDocument/2006/relationships/externalLink" Target="externalLinks/externalLink132.xml"/><Relationship Id="rId12" Type="http://schemas.openxmlformats.org/officeDocument/2006/relationships/worksheet" Target="worksheets/sheet12.xml"/><Relationship Id="rId33" Type="http://schemas.openxmlformats.org/officeDocument/2006/relationships/worksheet" Target="worksheets/sheet32.xml"/><Relationship Id="rId108" Type="http://schemas.openxmlformats.org/officeDocument/2006/relationships/externalLink" Target="externalLinks/externalLink69.xml"/><Relationship Id="rId129" Type="http://schemas.openxmlformats.org/officeDocument/2006/relationships/externalLink" Target="externalLinks/externalLink90.xml"/><Relationship Id="rId54" Type="http://schemas.openxmlformats.org/officeDocument/2006/relationships/externalLink" Target="externalLinks/externalLink15.xml"/><Relationship Id="rId75" Type="http://schemas.openxmlformats.org/officeDocument/2006/relationships/externalLink" Target="externalLinks/externalLink36.xml"/><Relationship Id="rId96" Type="http://schemas.openxmlformats.org/officeDocument/2006/relationships/externalLink" Target="externalLinks/externalLink57.xml"/><Relationship Id="rId140" Type="http://schemas.openxmlformats.org/officeDocument/2006/relationships/externalLink" Target="externalLinks/externalLink101.xml"/><Relationship Id="rId161" Type="http://schemas.openxmlformats.org/officeDocument/2006/relationships/externalLink" Target="externalLinks/externalLink12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2.xml"/><Relationship Id="rId28" Type="http://schemas.openxmlformats.org/officeDocument/2006/relationships/worksheet" Target="worksheets/sheet27.xml"/><Relationship Id="rId49" Type="http://schemas.openxmlformats.org/officeDocument/2006/relationships/externalLink" Target="externalLinks/externalLink10.xml"/><Relationship Id="rId114" Type="http://schemas.openxmlformats.org/officeDocument/2006/relationships/externalLink" Target="externalLinks/externalLink75.xml"/><Relationship Id="rId119" Type="http://schemas.openxmlformats.org/officeDocument/2006/relationships/externalLink" Target="externalLinks/externalLink80.xml"/><Relationship Id="rId44" Type="http://schemas.openxmlformats.org/officeDocument/2006/relationships/externalLink" Target="externalLinks/externalLink5.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81" Type="http://schemas.openxmlformats.org/officeDocument/2006/relationships/externalLink" Target="externalLinks/externalLink42.xml"/><Relationship Id="rId86" Type="http://schemas.openxmlformats.org/officeDocument/2006/relationships/externalLink" Target="externalLinks/externalLink47.xml"/><Relationship Id="rId130" Type="http://schemas.openxmlformats.org/officeDocument/2006/relationships/externalLink" Target="externalLinks/externalLink91.xml"/><Relationship Id="rId135" Type="http://schemas.openxmlformats.org/officeDocument/2006/relationships/externalLink" Target="externalLinks/externalLink96.xml"/><Relationship Id="rId151" Type="http://schemas.openxmlformats.org/officeDocument/2006/relationships/externalLink" Target="externalLinks/externalLink112.xml"/><Relationship Id="rId156" Type="http://schemas.openxmlformats.org/officeDocument/2006/relationships/externalLink" Target="externalLinks/externalLink117.xml"/><Relationship Id="rId172"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7.xml"/><Relationship Id="rId39" Type="http://schemas.openxmlformats.org/officeDocument/2006/relationships/worksheet" Target="worksheets/sheet38.xml"/><Relationship Id="rId109" Type="http://schemas.openxmlformats.org/officeDocument/2006/relationships/externalLink" Target="externalLinks/externalLink70.xml"/><Relationship Id="rId34" Type="http://schemas.openxmlformats.org/officeDocument/2006/relationships/worksheet" Target="worksheets/sheet33.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97" Type="http://schemas.openxmlformats.org/officeDocument/2006/relationships/externalLink" Target="externalLinks/externalLink58.xml"/><Relationship Id="rId104" Type="http://schemas.openxmlformats.org/officeDocument/2006/relationships/externalLink" Target="externalLinks/externalLink65.xml"/><Relationship Id="rId120" Type="http://schemas.openxmlformats.org/officeDocument/2006/relationships/externalLink" Target="externalLinks/externalLink81.xml"/><Relationship Id="rId125" Type="http://schemas.openxmlformats.org/officeDocument/2006/relationships/externalLink" Target="externalLinks/externalLink86.xml"/><Relationship Id="rId141" Type="http://schemas.openxmlformats.org/officeDocument/2006/relationships/externalLink" Target="externalLinks/externalLink102.xml"/><Relationship Id="rId146" Type="http://schemas.openxmlformats.org/officeDocument/2006/relationships/externalLink" Target="externalLinks/externalLink107.xml"/><Relationship Id="rId167" Type="http://schemas.openxmlformats.org/officeDocument/2006/relationships/externalLink" Target="externalLinks/externalLink128.xml"/><Relationship Id="rId7" Type="http://schemas.openxmlformats.org/officeDocument/2006/relationships/worksheet" Target="worksheets/sheet7.xml"/><Relationship Id="rId71" Type="http://schemas.openxmlformats.org/officeDocument/2006/relationships/externalLink" Target="externalLinks/externalLink32.xml"/><Relationship Id="rId92" Type="http://schemas.openxmlformats.org/officeDocument/2006/relationships/externalLink" Target="externalLinks/externalLink53.xml"/><Relationship Id="rId162" Type="http://schemas.openxmlformats.org/officeDocument/2006/relationships/externalLink" Target="externalLinks/externalLink123.xml"/><Relationship Id="rId2" Type="http://schemas.openxmlformats.org/officeDocument/2006/relationships/worksheet" Target="worksheets/sheet2.xml"/><Relationship Id="rId29" Type="http://schemas.openxmlformats.org/officeDocument/2006/relationships/worksheet" Target="worksheets/sheet28.xml"/><Relationship Id="rId24" Type="http://schemas.openxmlformats.org/officeDocument/2006/relationships/worksheet" Target="worksheets/sheet23.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110" Type="http://schemas.openxmlformats.org/officeDocument/2006/relationships/externalLink" Target="externalLinks/externalLink71.xml"/><Relationship Id="rId115" Type="http://schemas.openxmlformats.org/officeDocument/2006/relationships/externalLink" Target="externalLinks/externalLink76.xml"/><Relationship Id="rId131" Type="http://schemas.openxmlformats.org/officeDocument/2006/relationships/externalLink" Target="externalLinks/externalLink92.xml"/><Relationship Id="rId136" Type="http://schemas.openxmlformats.org/officeDocument/2006/relationships/externalLink" Target="externalLinks/externalLink97.xml"/><Relationship Id="rId157" Type="http://schemas.openxmlformats.org/officeDocument/2006/relationships/externalLink" Target="externalLinks/externalLink118.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52" Type="http://schemas.openxmlformats.org/officeDocument/2006/relationships/externalLink" Target="externalLinks/externalLink113.xml"/><Relationship Id="rId173" Type="http://schemas.openxmlformats.org/officeDocument/2006/relationships/connections" Target="connections.xml"/><Relationship Id="rId19" Type="http://schemas.openxmlformats.org/officeDocument/2006/relationships/worksheet" Target="worksheets/sheet18.xml"/><Relationship Id="rId14" Type="http://schemas.openxmlformats.org/officeDocument/2006/relationships/worksheet" Target="worksheets/sheet14.xml"/><Relationship Id="rId30" Type="http://schemas.openxmlformats.org/officeDocument/2006/relationships/worksheet" Target="worksheets/sheet29.xml"/><Relationship Id="rId35" Type="http://schemas.openxmlformats.org/officeDocument/2006/relationships/worksheet" Target="worksheets/sheet34.xml"/><Relationship Id="rId56" Type="http://schemas.openxmlformats.org/officeDocument/2006/relationships/externalLink" Target="externalLinks/externalLink17.xml"/><Relationship Id="rId77" Type="http://schemas.openxmlformats.org/officeDocument/2006/relationships/externalLink" Target="externalLinks/externalLink38.xml"/><Relationship Id="rId100" Type="http://schemas.openxmlformats.org/officeDocument/2006/relationships/externalLink" Target="externalLinks/externalLink61.xml"/><Relationship Id="rId105" Type="http://schemas.openxmlformats.org/officeDocument/2006/relationships/externalLink" Target="externalLinks/externalLink66.xml"/><Relationship Id="rId126" Type="http://schemas.openxmlformats.org/officeDocument/2006/relationships/externalLink" Target="externalLinks/externalLink87.xml"/><Relationship Id="rId147" Type="http://schemas.openxmlformats.org/officeDocument/2006/relationships/externalLink" Target="externalLinks/externalLink108.xml"/><Relationship Id="rId168" Type="http://schemas.openxmlformats.org/officeDocument/2006/relationships/externalLink" Target="externalLinks/externalLink129.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93" Type="http://schemas.openxmlformats.org/officeDocument/2006/relationships/externalLink" Target="externalLinks/externalLink54.xml"/><Relationship Id="rId98" Type="http://schemas.openxmlformats.org/officeDocument/2006/relationships/externalLink" Target="externalLinks/externalLink59.xml"/><Relationship Id="rId121" Type="http://schemas.openxmlformats.org/officeDocument/2006/relationships/externalLink" Target="externalLinks/externalLink82.xml"/><Relationship Id="rId142" Type="http://schemas.openxmlformats.org/officeDocument/2006/relationships/externalLink" Target="externalLinks/externalLink103.xml"/><Relationship Id="rId163" Type="http://schemas.openxmlformats.org/officeDocument/2006/relationships/externalLink" Target="externalLinks/externalLink124.xml"/><Relationship Id="rId3" Type="http://schemas.openxmlformats.org/officeDocument/2006/relationships/worksheet" Target="worksheets/sheet3.xml"/><Relationship Id="rId25" Type="http://schemas.openxmlformats.org/officeDocument/2006/relationships/worksheet" Target="worksheets/sheet24.xml"/><Relationship Id="rId46" Type="http://schemas.openxmlformats.org/officeDocument/2006/relationships/externalLink" Target="externalLinks/externalLink7.xml"/><Relationship Id="rId67" Type="http://schemas.openxmlformats.org/officeDocument/2006/relationships/externalLink" Target="externalLinks/externalLink28.xml"/><Relationship Id="rId116" Type="http://schemas.openxmlformats.org/officeDocument/2006/relationships/externalLink" Target="externalLinks/externalLink77.xml"/><Relationship Id="rId137" Type="http://schemas.openxmlformats.org/officeDocument/2006/relationships/externalLink" Target="externalLinks/externalLink98.xml"/><Relationship Id="rId158" Type="http://schemas.openxmlformats.org/officeDocument/2006/relationships/externalLink" Target="externalLinks/externalLink119.xml"/><Relationship Id="rId20" Type="http://schemas.openxmlformats.org/officeDocument/2006/relationships/worksheet" Target="worksheets/sheet19.xml"/><Relationship Id="rId41" Type="http://schemas.openxmlformats.org/officeDocument/2006/relationships/externalLink" Target="externalLinks/externalLink2.xml"/><Relationship Id="rId62" Type="http://schemas.openxmlformats.org/officeDocument/2006/relationships/externalLink" Target="externalLinks/externalLink23.xml"/><Relationship Id="rId83" Type="http://schemas.openxmlformats.org/officeDocument/2006/relationships/externalLink" Target="externalLinks/externalLink44.xml"/><Relationship Id="rId88" Type="http://schemas.openxmlformats.org/officeDocument/2006/relationships/externalLink" Target="externalLinks/externalLink49.xml"/><Relationship Id="rId111" Type="http://schemas.openxmlformats.org/officeDocument/2006/relationships/externalLink" Target="externalLinks/externalLink72.xml"/><Relationship Id="rId132" Type="http://schemas.openxmlformats.org/officeDocument/2006/relationships/externalLink" Target="externalLinks/externalLink93.xml"/><Relationship Id="rId153" Type="http://schemas.openxmlformats.org/officeDocument/2006/relationships/externalLink" Target="externalLinks/externalLink114.xml"/><Relationship Id="rId17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5.xml"/><Relationship Id="rId57" Type="http://schemas.openxmlformats.org/officeDocument/2006/relationships/externalLink" Target="externalLinks/externalLink18.xml"/><Relationship Id="rId106" Type="http://schemas.openxmlformats.org/officeDocument/2006/relationships/externalLink" Target="externalLinks/externalLink67.xml"/><Relationship Id="rId127" Type="http://schemas.openxmlformats.org/officeDocument/2006/relationships/externalLink" Target="externalLinks/externalLink88.xml"/><Relationship Id="rId10" Type="http://schemas.openxmlformats.org/officeDocument/2006/relationships/worksheet" Target="worksheets/sheet10.xml"/><Relationship Id="rId31" Type="http://schemas.openxmlformats.org/officeDocument/2006/relationships/worksheet" Target="worksheets/sheet30.xml"/><Relationship Id="rId52" Type="http://schemas.openxmlformats.org/officeDocument/2006/relationships/externalLink" Target="externalLinks/externalLink13.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94" Type="http://schemas.openxmlformats.org/officeDocument/2006/relationships/externalLink" Target="externalLinks/externalLink55.xml"/><Relationship Id="rId99" Type="http://schemas.openxmlformats.org/officeDocument/2006/relationships/externalLink" Target="externalLinks/externalLink60.xml"/><Relationship Id="rId101" Type="http://schemas.openxmlformats.org/officeDocument/2006/relationships/externalLink" Target="externalLinks/externalLink62.xml"/><Relationship Id="rId122" Type="http://schemas.openxmlformats.org/officeDocument/2006/relationships/externalLink" Target="externalLinks/externalLink83.xml"/><Relationship Id="rId143" Type="http://schemas.openxmlformats.org/officeDocument/2006/relationships/externalLink" Target="externalLinks/externalLink104.xml"/><Relationship Id="rId148" Type="http://schemas.openxmlformats.org/officeDocument/2006/relationships/externalLink" Target="externalLinks/externalLink109.xml"/><Relationship Id="rId164" Type="http://schemas.openxmlformats.org/officeDocument/2006/relationships/externalLink" Target="externalLinks/externalLink125.xml"/><Relationship Id="rId169" Type="http://schemas.openxmlformats.org/officeDocument/2006/relationships/externalLink" Target="externalLinks/externalLink130.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5.xml"/><Relationship Id="rId47" Type="http://schemas.openxmlformats.org/officeDocument/2006/relationships/externalLink" Target="externalLinks/externalLink8.xml"/><Relationship Id="rId68" Type="http://schemas.openxmlformats.org/officeDocument/2006/relationships/externalLink" Target="externalLinks/externalLink29.xml"/><Relationship Id="rId89" Type="http://schemas.openxmlformats.org/officeDocument/2006/relationships/externalLink" Target="externalLinks/externalLink50.xml"/><Relationship Id="rId112" Type="http://schemas.openxmlformats.org/officeDocument/2006/relationships/externalLink" Target="externalLinks/externalLink73.xml"/><Relationship Id="rId133" Type="http://schemas.openxmlformats.org/officeDocument/2006/relationships/externalLink" Target="externalLinks/externalLink94.xml"/><Relationship Id="rId154" Type="http://schemas.openxmlformats.org/officeDocument/2006/relationships/externalLink" Target="externalLinks/externalLink115.xml"/><Relationship Id="rId175" Type="http://schemas.openxmlformats.org/officeDocument/2006/relationships/sharedStrings" Target="sharedStrings.xml"/><Relationship Id="rId16" Type="http://schemas.openxmlformats.org/officeDocument/2006/relationships/chartsheet" Target="chartsheets/sheet1.xml"/><Relationship Id="rId37" Type="http://schemas.openxmlformats.org/officeDocument/2006/relationships/worksheet" Target="worksheets/sheet36.xml"/><Relationship Id="rId58" Type="http://schemas.openxmlformats.org/officeDocument/2006/relationships/externalLink" Target="externalLinks/externalLink19.xml"/><Relationship Id="rId79" Type="http://schemas.openxmlformats.org/officeDocument/2006/relationships/externalLink" Target="externalLinks/externalLink40.xml"/><Relationship Id="rId102" Type="http://schemas.openxmlformats.org/officeDocument/2006/relationships/externalLink" Target="externalLinks/externalLink63.xml"/><Relationship Id="rId123" Type="http://schemas.openxmlformats.org/officeDocument/2006/relationships/externalLink" Target="externalLinks/externalLink84.xml"/><Relationship Id="rId144" Type="http://schemas.openxmlformats.org/officeDocument/2006/relationships/externalLink" Target="externalLinks/externalLink105.xml"/><Relationship Id="rId90" Type="http://schemas.openxmlformats.org/officeDocument/2006/relationships/externalLink" Target="externalLinks/externalLink51.xml"/><Relationship Id="rId165" Type="http://schemas.openxmlformats.org/officeDocument/2006/relationships/externalLink" Target="externalLinks/externalLink126.xml"/><Relationship Id="rId27" Type="http://schemas.openxmlformats.org/officeDocument/2006/relationships/worksheet" Target="worksheets/sheet26.xml"/><Relationship Id="rId48" Type="http://schemas.openxmlformats.org/officeDocument/2006/relationships/externalLink" Target="externalLinks/externalLink9.xml"/><Relationship Id="rId69" Type="http://schemas.openxmlformats.org/officeDocument/2006/relationships/externalLink" Target="externalLinks/externalLink30.xml"/><Relationship Id="rId113" Type="http://schemas.openxmlformats.org/officeDocument/2006/relationships/externalLink" Target="externalLinks/externalLink74.xml"/><Relationship Id="rId134" Type="http://schemas.openxmlformats.org/officeDocument/2006/relationships/externalLink" Target="externalLinks/externalLink95.xml"/><Relationship Id="rId80" Type="http://schemas.openxmlformats.org/officeDocument/2006/relationships/externalLink" Target="externalLinks/externalLink41.xml"/><Relationship Id="rId155" Type="http://schemas.openxmlformats.org/officeDocument/2006/relationships/externalLink" Target="externalLinks/externalLink116.xml"/><Relationship Id="rId176" Type="http://schemas.openxmlformats.org/officeDocument/2006/relationships/calcChain" Target="calcChain.xml"/><Relationship Id="rId17" Type="http://schemas.openxmlformats.org/officeDocument/2006/relationships/worksheet" Target="worksheets/sheet16.xml"/><Relationship Id="rId38" Type="http://schemas.openxmlformats.org/officeDocument/2006/relationships/worksheet" Target="worksheets/sheet37.xml"/><Relationship Id="rId59" Type="http://schemas.openxmlformats.org/officeDocument/2006/relationships/externalLink" Target="externalLinks/externalLink20.xml"/><Relationship Id="rId103" Type="http://schemas.openxmlformats.org/officeDocument/2006/relationships/externalLink" Target="externalLinks/externalLink64.xml"/><Relationship Id="rId124" Type="http://schemas.openxmlformats.org/officeDocument/2006/relationships/externalLink" Target="externalLinks/externalLink85.xml"/><Relationship Id="rId70" Type="http://schemas.openxmlformats.org/officeDocument/2006/relationships/externalLink" Target="externalLinks/externalLink31.xml"/><Relationship Id="rId91" Type="http://schemas.openxmlformats.org/officeDocument/2006/relationships/externalLink" Target="externalLinks/externalLink52.xml"/><Relationship Id="rId145" Type="http://schemas.openxmlformats.org/officeDocument/2006/relationships/externalLink" Target="externalLinks/externalLink106.xml"/><Relationship Id="rId166" Type="http://schemas.openxmlformats.org/officeDocument/2006/relationships/externalLink" Target="externalLinks/externalLink12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'TOTAL OC E INST + SUM'!$F$697:$F$699</c:f>
              <c:strCache>
                <c:ptCount val="3"/>
                <c:pt idx="0">
                  <c:v> #¡REF! </c:v>
                </c:pt>
                <c:pt idx="2">
                  <c:v>#¡REF!</c:v>
                </c:pt>
              </c:strCache>
            </c:strRef>
          </c:tx>
          <c:spPr>
            <a:solidFill>
              <a:schemeClr val="accent1"/>
            </a:solidFill>
            <a:ln>
              <a:noFill/>
            </a:ln>
            <a:effectLst/>
          </c:spPr>
          <c:invertIfNegative val="0"/>
          <c:cat>
            <c:multiLvlStrRef>
              <c:f>'TOTAL OC E INST + SUM'!$B$700:$E$770</c:f>
              <c:multiLvlStrCache>
                <c:ptCount val="71"/>
                <c:lvl>
                  <c:pt idx="0">
                    <c:v> $ 222.650 </c:v>
                  </c:pt>
                  <c:pt idx="1">
                    <c:v> $ 222.650 </c:v>
                  </c:pt>
                  <c:pt idx="2">
                    <c:v> $ 222.650 </c:v>
                  </c:pt>
                  <c:pt idx="3">
                    <c:v> $ 300.725 </c:v>
                  </c:pt>
                  <c:pt idx="4">
                    <c:v> $ 175.050 </c:v>
                  </c:pt>
                  <c:pt idx="5">
                    <c:v> $ 276.200 </c:v>
                  </c:pt>
                  <c:pt idx="6">
                    <c:v> $ 4.595.900 </c:v>
                  </c:pt>
                  <c:pt idx="7">
                    <c:v> $ 490.400 </c:v>
                  </c:pt>
                  <c:pt idx="8">
                    <c:v> #¡REF! </c:v>
                  </c:pt>
                  <c:pt idx="9">
                    <c:v> $ 639.150 </c:v>
                  </c:pt>
                  <c:pt idx="10">
                    <c:v> $ 532.590 </c:v>
                  </c:pt>
                  <c:pt idx="11">
                    <c:v> $ 416.300 </c:v>
                  </c:pt>
                  <c:pt idx="12">
                    <c:v> $ 1.739.488 </c:v>
                  </c:pt>
                  <c:pt idx="13">
                    <c:v> $ 1.454.983 </c:v>
                  </c:pt>
                  <c:pt idx="14">
                    <c:v> $ 1.855.870 </c:v>
                  </c:pt>
                  <c:pt idx="15">
                    <c:v> $ 1.063.925 </c:v>
                  </c:pt>
                  <c:pt idx="16">
                    <c:v> $ 639.385 </c:v>
                  </c:pt>
                  <c:pt idx="17">
                    <c:v> $ 1.420.910 </c:v>
                  </c:pt>
                  <c:pt idx="18">
                    <c:v> $ 1.604.200 </c:v>
                  </c:pt>
                  <c:pt idx="19">
                    <c:v> $ 1.026.342 </c:v>
                  </c:pt>
                  <c:pt idx="20">
                    <c:v> $ 1.191.310 </c:v>
                  </c:pt>
                  <c:pt idx="21">
                    <c:v> $ 968.150 </c:v>
                  </c:pt>
                  <c:pt idx="22">
                    <c:v> $ 1.245.077 </c:v>
                  </c:pt>
                  <c:pt idx="23">
                    <c:v> $ 447.560 </c:v>
                  </c:pt>
                  <c:pt idx="24">
                    <c:v> $ 1.135.755 </c:v>
                  </c:pt>
                  <c:pt idx="25">
                    <c:v> $ 557.411 </c:v>
                  </c:pt>
                  <c:pt idx="26">
                    <c:v> $ 464.220 </c:v>
                  </c:pt>
                  <c:pt idx="27">
                    <c:v> $ 2.346.424 </c:v>
                  </c:pt>
                  <c:pt idx="28">
                    <c:v> $ 889.481 </c:v>
                  </c:pt>
                  <c:pt idx="29">
                    <c:v> $ 288.100 </c:v>
                  </c:pt>
                  <c:pt idx="30">
                    <c:v> $ 3.945.858 </c:v>
                  </c:pt>
                  <c:pt idx="31">
                    <c:v> $ 2.540.319 </c:v>
                  </c:pt>
                  <c:pt idx="32">
                    <c:v> $ 12.620.000 </c:v>
                  </c:pt>
                  <c:pt idx="33">
                    <c:v> $ 968.747 </c:v>
                  </c:pt>
                  <c:pt idx="34">
                    <c:v> $ 326.000 </c:v>
                  </c:pt>
                  <c:pt idx="35">
                    <c:v> $ 843.406 </c:v>
                  </c:pt>
                  <c:pt idx="36">
                    <c:v> $ 876.488 </c:v>
                  </c:pt>
                  <c:pt idx="37">
                    <c:v> $ 546.620 </c:v>
                  </c:pt>
                  <c:pt idx="38">
                    <c:v> $ 388.475 </c:v>
                  </c:pt>
                  <c:pt idx="39">
                    <c:v> #¡REF! </c:v>
                  </c:pt>
                  <c:pt idx="40">
                    <c:v> $ 1.112.239 </c:v>
                  </c:pt>
                  <c:pt idx="41">
                    <c:v> $ 547.520 </c:v>
                  </c:pt>
                  <c:pt idx="42">
                    <c:v> $ 731.558 </c:v>
                  </c:pt>
                  <c:pt idx="43">
                    <c:v> $ 674.850 </c:v>
                  </c:pt>
                  <c:pt idx="44">
                    <c:v> $ 802.688 </c:v>
                  </c:pt>
                  <c:pt idx="45">
                    <c:v> $ 3.972.102 </c:v>
                  </c:pt>
                  <c:pt idx="46">
                    <c:v> $ 364.985 </c:v>
                  </c:pt>
                  <c:pt idx="47">
                    <c:v> $ 648.150 </c:v>
                  </c:pt>
                  <c:pt idx="48">
                    <c:v> $ 715.570 </c:v>
                  </c:pt>
                  <c:pt idx="49">
                    <c:v> $ 836.926 </c:v>
                  </c:pt>
                  <c:pt idx="50">
                    <c:v> $ 9.419.674 </c:v>
                  </c:pt>
                  <c:pt idx="51">
                    <c:v> $ 2.279.718 </c:v>
                  </c:pt>
                  <c:pt idx="52">
                    <c:v> $ 920.527 </c:v>
                  </c:pt>
                  <c:pt idx="53">
                    <c:v> $ 300.000 </c:v>
                  </c:pt>
                  <c:pt idx="54">
                    <c:v> $ 2.225.922 </c:v>
                  </c:pt>
                  <c:pt idx="55">
                    <c:v> $ 197.925 </c:v>
                  </c:pt>
                  <c:pt idx="56">
                    <c:v> $ 3.185.136 </c:v>
                  </c:pt>
                  <c:pt idx="57">
                    <c:v> $ 510.173 </c:v>
                  </c:pt>
                  <c:pt idx="58">
                    <c:v> $ 585.074 </c:v>
                  </c:pt>
                  <c:pt idx="59">
                    <c:v> $ 437.056 </c:v>
                  </c:pt>
                  <c:pt idx="60">
                    <c:v> $ 220.746 </c:v>
                  </c:pt>
                  <c:pt idx="61">
                    <c:v> $ 37.956 </c:v>
                  </c:pt>
                  <c:pt idx="62">
                    <c:v> $ 29.766 </c:v>
                  </c:pt>
                  <c:pt idx="63">
                    <c:v> $ 23.246 </c:v>
                  </c:pt>
                  <c:pt idx="64">
                    <c:v> $ 153.413 </c:v>
                  </c:pt>
                  <c:pt idx="65">
                    <c:v> $ 1.203.567 </c:v>
                  </c:pt>
                  <c:pt idx="66">
                    <c:v> $ 67.391 </c:v>
                  </c:pt>
                  <c:pt idx="67">
                    <c:v> #¡REF! </c:v>
                  </c:pt>
                  <c:pt idx="68">
                    <c:v> $ 1.533.435 </c:v>
                  </c:pt>
                  <c:pt idx="69">
                    <c:v> $ 1.317.450 </c:v>
                  </c:pt>
                </c:lvl>
                <c:lvl>
                  <c:pt idx="0">
                    <c:v>1,0</c:v>
                  </c:pt>
                  <c:pt idx="1">
                    <c:v>2</c:v>
                  </c:pt>
                  <c:pt idx="2">
                    <c:v>1</c:v>
                  </c:pt>
                  <c:pt idx="4">
                    <c:v>5</c:v>
                  </c:pt>
                  <c:pt idx="5">
                    <c:v>2</c:v>
                  </c:pt>
                  <c:pt idx="6">
                    <c:v>2</c:v>
                  </c:pt>
                  <c:pt idx="7">
                    <c:v>2</c:v>
                  </c:pt>
                  <c:pt idx="8">
                    <c:v>2</c:v>
                  </c:pt>
                  <c:pt idx="9">
                    <c:v>1</c:v>
                  </c:pt>
                  <c:pt idx="10">
                    <c:v>3</c:v>
                  </c:pt>
                  <c:pt idx="11">
                    <c:v>2</c:v>
                  </c:pt>
                  <c:pt idx="12">
                    <c:v>2</c:v>
                  </c:pt>
                  <c:pt idx="13">
                    <c:v>2</c:v>
                  </c:pt>
                  <c:pt idx="14">
                    <c:v>2</c:v>
                  </c:pt>
                  <c:pt idx="15">
                    <c:v>2</c:v>
                  </c:pt>
                  <c:pt idx="16">
                    <c:v>2</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2</c:v>
                  </c:pt>
                  <c:pt idx="33">
                    <c:v>2</c:v>
                  </c:pt>
                  <c:pt idx="34">
                    <c:v>2</c:v>
                  </c:pt>
                  <c:pt idx="35">
                    <c:v>2</c:v>
                  </c:pt>
                  <c:pt idx="36">
                    <c:v>2</c:v>
                  </c:pt>
                  <c:pt idx="37">
                    <c:v>2</c:v>
                  </c:pt>
                  <c:pt idx="38">
                    <c:v>2</c:v>
                  </c:pt>
                  <c:pt idx="39">
                    <c:v>3</c:v>
                  </c:pt>
                  <c:pt idx="40">
                    <c:v>2</c:v>
                  </c:pt>
                  <c:pt idx="41">
                    <c:v>1</c:v>
                  </c:pt>
                  <c:pt idx="42">
                    <c:v>1</c:v>
                  </c:pt>
                  <c:pt idx="43">
                    <c:v>1</c:v>
                  </c:pt>
                  <c:pt idx="44">
                    <c:v>1</c:v>
                  </c:pt>
                  <c:pt idx="45">
                    <c:v>2</c:v>
                  </c:pt>
                  <c:pt idx="46">
                    <c:v>1</c:v>
                  </c:pt>
                  <c:pt idx="47">
                    <c:v>1</c:v>
                  </c:pt>
                  <c:pt idx="48">
                    <c:v>1</c:v>
                  </c:pt>
                  <c:pt idx="49">
                    <c:v>1</c:v>
                  </c:pt>
                  <c:pt idx="50">
                    <c:v>34,84</c:v>
                  </c:pt>
                  <c:pt idx="51">
                    <c:v>1</c:v>
                  </c:pt>
                  <c:pt idx="52">
                    <c:v>1</c:v>
                  </c:pt>
                  <c:pt idx="53">
                    <c:v>1</c:v>
                  </c:pt>
                  <c:pt idx="54">
                    <c:v>1</c:v>
                  </c:pt>
                  <c:pt idx="55">
                    <c:v>2</c:v>
                  </c:pt>
                  <c:pt idx="56">
                    <c:v>1</c:v>
                  </c:pt>
                  <c:pt idx="57">
                    <c:v>2</c:v>
                  </c:pt>
                  <c:pt idx="58">
                    <c:v>6</c:v>
                  </c:pt>
                  <c:pt idx="59">
                    <c:v>2</c:v>
                  </c:pt>
                  <c:pt idx="60">
                    <c:v>8</c:v>
                  </c:pt>
                  <c:pt idx="61">
                    <c:v>8</c:v>
                  </c:pt>
                  <c:pt idx="62">
                    <c:v>24</c:v>
                  </c:pt>
                  <c:pt idx="63">
                    <c:v>8</c:v>
                  </c:pt>
                  <c:pt idx="64">
                    <c:v>8</c:v>
                  </c:pt>
                  <c:pt idx="65">
                    <c:v>2</c:v>
                  </c:pt>
                  <c:pt idx="66">
                    <c:v>10</c:v>
                  </c:pt>
                </c:lvl>
                <c:lvl>
                  <c:pt idx="0">
                    <c:v>m</c:v>
                  </c:pt>
                  <c:pt idx="1">
                    <c:v>m</c:v>
                  </c:pt>
                  <c:pt idx="2">
                    <c:v>m</c:v>
                  </c:pt>
                  <c:pt idx="3">
                    <c:v>un</c:v>
                  </c:pt>
                  <c:pt idx="4">
                    <c:v>un</c:v>
                  </c:pt>
                  <c:pt idx="6">
                    <c:v>un</c:v>
                  </c:pt>
                  <c:pt idx="7">
                    <c:v>un</c:v>
                  </c:pt>
                  <c:pt idx="8">
                    <c:v>un</c:v>
                  </c:pt>
                  <c:pt idx="9">
                    <c:v>un</c:v>
                  </c:pt>
                  <c:pt idx="10">
                    <c:v>un</c:v>
                  </c:pt>
                  <c:pt idx="11">
                    <c:v>un</c:v>
                  </c:pt>
                  <c:pt idx="12">
                    <c:v>un</c:v>
                  </c:pt>
                  <c:pt idx="13">
                    <c:v>un</c:v>
                  </c:pt>
                  <c:pt idx="14">
                    <c:v>un</c:v>
                  </c:pt>
                  <c:pt idx="15">
                    <c:v>un</c:v>
                  </c:pt>
                  <c:pt idx="16">
                    <c:v>un</c:v>
                  </c:pt>
                  <c:pt idx="17">
                    <c:v>un</c:v>
                  </c:pt>
                  <c:pt idx="18">
                    <c:v>un</c:v>
                  </c:pt>
                  <c:pt idx="19">
                    <c:v>un</c:v>
                  </c:pt>
                  <c:pt idx="20">
                    <c:v>un</c:v>
                  </c:pt>
                  <c:pt idx="21">
                    <c:v>un</c:v>
                  </c:pt>
                  <c:pt idx="22">
                    <c:v>un</c:v>
                  </c:pt>
                  <c:pt idx="23">
                    <c:v>un</c:v>
                  </c:pt>
                  <c:pt idx="24">
                    <c:v>un</c:v>
                  </c:pt>
                  <c:pt idx="25">
                    <c:v>un</c:v>
                  </c:pt>
                  <c:pt idx="26">
                    <c:v>un</c:v>
                  </c:pt>
                  <c:pt idx="27">
                    <c:v>un</c:v>
                  </c:pt>
                  <c:pt idx="28">
                    <c:v>un</c:v>
                  </c:pt>
                  <c:pt idx="29">
                    <c:v>un</c:v>
                  </c:pt>
                  <c:pt idx="30">
                    <c:v>un</c:v>
                  </c:pt>
                  <c:pt idx="31">
                    <c:v>un</c:v>
                  </c:pt>
                  <c:pt idx="32">
                    <c:v>un</c:v>
                  </c:pt>
                  <c:pt idx="33">
                    <c:v>un</c:v>
                  </c:pt>
                  <c:pt idx="34">
                    <c:v>un</c:v>
                  </c:pt>
                  <c:pt idx="35">
                    <c:v>un</c:v>
                  </c:pt>
                  <c:pt idx="36">
                    <c:v>un</c:v>
                  </c:pt>
                  <c:pt idx="37">
                    <c:v>un</c:v>
                  </c:pt>
                  <c:pt idx="38">
                    <c:v>un</c:v>
                  </c:pt>
                  <c:pt idx="39">
                    <c:v>un</c:v>
                  </c:pt>
                  <c:pt idx="40">
                    <c:v>un</c:v>
                  </c:pt>
                  <c:pt idx="41">
                    <c:v>un</c:v>
                  </c:pt>
                  <c:pt idx="42">
                    <c:v>un</c:v>
                  </c:pt>
                  <c:pt idx="43">
                    <c:v>un</c:v>
                  </c:pt>
                  <c:pt idx="44">
                    <c:v>un</c:v>
                  </c:pt>
                  <c:pt idx="45">
                    <c:v>un</c:v>
                  </c:pt>
                  <c:pt idx="46">
                    <c:v>un</c:v>
                  </c:pt>
                  <c:pt idx="47">
                    <c:v>un</c:v>
                  </c:pt>
                  <c:pt idx="48">
                    <c:v>un</c:v>
                  </c:pt>
                  <c:pt idx="49">
                    <c:v>un</c:v>
                  </c:pt>
                  <c:pt idx="50">
                    <c:v>ml</c:v>
                  </c:pt>
                  <c:pt idx="51">
                    <c:v>un</c:v>
                  </c:pt>
                  <c:pt idx="52">
                    <c:v>un</c:v>
                  </c:pt>
                  <c:pt idx="53">
                    <c:v>un</c:v>
                  </c:pt>
                  <c:pt idx="54">
                    <c:v>un</c:v>
                  </c:pt>
                  <c:pt idx="55">
                    <c:v>un</c:v>
                  </c:pt>
                  <c:pt idx="56">
                    <c:v>un</c:v>
                  </c:pt>
                  <c:pt idx="57">
                    <c:v>un</c:v>
                  </c:pt>
                  <c:pt idx="58">
                    <c:v>un</c:v>
                  </c:pt>
                  <c:pt idx="59">
                    <c:v>un</c:v>
                  </c:pt>
                  <c:pt idx="60">
                    <c:v>un</c:v>
                  </c:pt>
                  <c:pt idx="61">
                    <c:v>un</c:v>
                  </c:pt>
                  <c:pt idx="62">
                    <c:v>un</c:v>
                  </c:pt>
                  <c:pt idx="63">
                    <c:v>un</c:v>
                  </c:pt>
                  <c:pt idx="64">
                    <c:v>un</c:v>
                  </c:pt>
                  <c:pt idx="65">
                    <c:v>un</c:v>
                  </c:pt>
                  <c:pt idx="66">
                    <c:v>un</c:v>
                  </c:pt>
                  <c:pt idx="67">
                    <c:v>un</c:v>
                  </c:pt>
                  <c:pt idx="68">
                    <c:v>un</c:v>
                  </c:pt>
                  <c:pt idx="69">
                    <c:v>un</c:v>
                  </c:pt>
                  <c:pt idx="70">
                    <c:v>un</c:v>
                  </c:pt>
                </c:lvl>
                <c:lvl>
                  <c:pt idx="0">
                    <c:v>Escalera metalica prefabricada, escalones Ø1"  @ 0,35m tanque de igualacion </c:v>
                  </c:pt>
                  <c:pt idx="1">
                    <c:v>Escalera metalica prefabricada escalones Ø1" @ 0,35m para acceso a vertedero de rebose</c:v>
                  </c:pt>
                  <c:pt idx="2">
                    <c:v>Escalera metalica prefabricada, escalones Ø 1"  @ 0,35m Acceso camara de control de bombas</c:v>
                  </c:pt>
                  <c:pt idx="3">
                    <c:v>Niple PVC Ø 16" (400mm)   L: 1m</c:v>
                  </c:pt>
                  <c:pt idx="4">
                    <c:v>Tapa metalica en alfajor 0,6m x 0,6m </c:v>
                  </c:pt>
                  <c:pt idx="5">
                    <c:v>Tapa metalica en alfajor 0,7m x 0,8m </c:v>
                  </c:pt>
                  <c:pt idx="6">
                    <c:v>Compuerta lateral circular Ø20"</c:v>
                  </c:pt>
                  <c:pt idx="7">
                    <c:v>Respiradero 3" HD</c:v>
                  </c:pt>
                  <c:pt idx="8">
                    <c:v>Bomba sumergible para manejo de lodos con sistema de bajada e izada mediante dos barras guias  tipo FLYGT Q= 30 L/s  HDT= 8,15 m</c:v>
                  </c:pt>
                  <c:pt idx="9">
                    <c:v>Codo 90° HD Ø 8"   EBxEB</c:v>
                  </c:pt>
                  <c:pt idx="10">
                    <c:v>Codo 90° HD Ø 6"   EBxEB</c:v>
                  </c:pt>
                  <c:pt idx="11">
                    <c:v>Suministro ampliacion concentrica hd de ∅4" x ∅6" extremos bridados.</c:v>
                  </c:pt>
                  <c:pt idx="12">
                    <c:v>Suministro niple Acero al Carbon ∅6" extremos bridados l=3.45m.</c:v>
                  </c:pt>
                  <c:pt idx="13">
                    <c:v>Suministro niple Acero al Carbon ∅6" extremos bridados con pasamuro L=0.50m.</c:v>
                  </c:pt>
                  <c:pt idx="14">
                    <c:v>Suministro valvula de retencion (cheque) ∅6" extremos bridados.</c:v>
                  </c:pt>
                  <c:pt idx="15">
                    <c:v>Suministro valvula de compuerta ∅6" extremos bridados con sello elastico y vastago no ascendente.</c:v>
                  </c:pt>
                  <c:pt idx="16">
                    <c:v>Suministro ampliacion concentrica hd de ∅6" x ∅8" extremos bridados.</c:v>
                  </c:pt>
                  <c:pt idx="17">
                    <c:v>Suministro niple Acero al Carbon ∅8" extremos bridados l=0.54m.</c:v>
                  </c:pt>
                  <c:pt idx="18">
                    <c:v>Suministro tee hd ∅8" extremos bridados.</c:v>
                  </c:pt>
                  <c:pt idx="19">
                    <c:v>Suministro niple Acero al Carbon ∅8" extremos brida - liso l=0.40m.</c:v>
                  </c:pt>
                  <c:pt idx="20">
                    <c:v>Suministro union de desmontaje rigida autoportante ∅8".</c:v>
                  </c:pt>
                  <c:pt idx="21">
                    <c:v>Suministro niple Acero al Carbon ∅8" extremos liso - junta hidraulica pvc l=1.00m.</c:v>
                  </c:pt>
                  <c:pt idx="22">
                    <c:v>Suministro niple pvc ∅8" l=1.95m.</c:v>
                  </c:pt>
                  <c:pt idx="23">
                    <c:v>Suministro codo hd ∅8" x 45° extremos junta hidraulica pvc.</c:v>
                  </c:pt>
                  <c:pt idx="24">
                    <c:v>Suministro niple pvc ∅8" l=1.06m.</c:v>
                  </c:pt>
                  <c:pt idx="25">
                    <c:v>Suministro niple pvc ∅8" l=0.30m.</c:v>
                  </c:pt>
                  <c:pt idx="26">
                    <c:v>Suministro codo hd ∅8" x 90° extremos junta hidraulica pvc.</c:v>
                  </c:pt>
                  <c:pt idx="27">
                    <c:v>Suministro niple pvc ∅8" l=4.63m.</c:v>
                  </c:pt>
                  <c:pt idx="28">
                    <c:v>Suministro niple pvc ∅8" l=0.50m.</c:v>
                  </c:pt>
                  <c:pt idx="29">
                    <c:v>Suministro union de desmontaje tipo dresser ∅8".</c:v>
                  </c:pt>
                  <c:pt idx="30">
                    <c:v>Suministro niple Acero al Carbon ∅8" extremo liso x extremo brida l=8.90m.</c:v>
                  </c:pt>
                  <c:pt idx="31">
                    <c:v>Suministro niple Acero al Carbon ∅8" extremo brida x extremo liso l=5.80m.</c:v>
                  </c:pt>
                  <c:pt idx="32">
                    <c:v>Suministro bomba sumergible para manejo de lodos, con sistema de bajada e izada mediante dos (2) barras guias. la bomba sera tipo flygt para las siguientes condiciones de trabajo: bomba sumergible para manejo de lodos, con sistema de bajada e izada median</c:v>
                  </c:pt>
                  <c:pt idx="33">
                    <c:v>Suministro niple Acero al Carbon ∅3" extremos bridados l=4.86m.</c:v>
                  </c:pt>
                  <c:pt idx="34">
                    <c:v>Suministro codo hd ∅3" x 90° extremos bridados.</c:v>
                  </c:pt>
                  <c:pt idx="35">
                    <c:v>Suministro niple Acero al Carbon ∅3" extremos bridados con pasamuro l=0.50m.</c:v>
                  </c:pt>
                  <c:pt idx="36">
                    <c:v>Suministro valvula de retencion (cheque) ∅3" extremos bridados.</c:v>
                  </c:pt>
                  <c:pt idx="37">
                    <c:v>Suministro valvula de compuerta ∅3" extremos bridados con sello elastico y vastago no ascendente.</c:v>
                  </c:pt>
                  <c:pt idx="38">
                    <c:v>Suministro ampliacion concentrica hd de ∅3" x ∅6" extremos bridados.</c:v>
                  </c:pt>
                  <c:pt idx="39">
                    <c:v>Suministro codo hd ∅6" x 90° extremos bridados.</c:v>
                  </c:pt>
                  <c:pt idx="40">
                    <c:v>Suministro niple Acero al Carbon ∅6" extremos bridados l=0.50m.</c:v>
                  </c:pt>
                  <c:pt idx="41">
                    <c:v>Suministro tee hd ∅6" extremos bridados.</c:v>
                  </c:pt>
                  <c:pt idx="42">
                    <c:v>Suministro niple Acero al Carbon ∅6" extremos brida - liso l=0.55m.</c:v>
                  </c:pt>
                  <c:pt idx="43">
                    <c:v>Suministro union de desmontaje rigida autoportante ∅6".</c:v>
                  </c:pt>
                  <c:pt idx="44">
                    <c:v>Suministro niple Acero al Carbon ∅6" extremos liso - junta hidraulica pvc l=0.70m.</c:v>
                  </c:pt>
                  <c:pt idx="45">
                    <c:v>Suministro pasamuro HD  Ø 16" (400mm) L=0,30 ; Z=0,15</c:v>
                  </c:pt>
                  <c:pt idx="46">
                    <c:v>Suministro niple  PVC Ø 16" (400mm)  L: 1,30m  ELxEL</c:v>
                  </c:pt>
                  <c:pt idx="47">
                    <c:v>Suministro niple  PVC Ø 16" (400mm)   L: 2,35m  ELxEL</c:v>
                  </c:pt>
                  <c:pt idx="48">
                    <c:v>Suministro niple PVC Ø 16" (400mm)  L: 2,60m </c:v>
                  </c:pt>
                  <c:pt idx="49">
                    <c:v>Suministro niple PVC Ø 16" (400mm)  L: 3,05m </c:v>
                  </c:pt>
                  <c:pt idx="50">
                    <c:v>Suministro niple PVC Ø 16" (400mm)  L: 34,84m </c:v>
                  </c:pt>
                  <c:pt idx="51">
                    <c:v>Suministro Tuberia PVC Ø 16" (400mm)  L: 8,40m </c:v>
                  </c:pt>
                  <c:pt idx="52">
                    <c:v>Suministro niple PVC ∅6" (150mm) UM presión L= 3.36m</c:v>
                  </c:pt>
                  <c:pt idx="53">
                    <c:v>Suministro Tee PVC Ø 6" (150mm) UM  presion</c:v>
                  </c:pt>
                  <c:pt idx="54">
                    <c:v>Suministro Tuberia PVC ∅6" (150mm) UM presión L= 8.30m</c:v>
                  </c:pt>
                  <c:pt idx="55">
                    <c:v>Suministro codo PVC ∅6" (150mm) x 90° UM presion</c:v>
                  </c:pt>
                  <c:pt idx="56">
                    <c:v>Suministro Tuberia PVC ∅6" (150mm) UM presión L= 11.90m</c:v>
                  </c:pt>
                  <c:pt idx="57">
                    <c:v>Suministro niple PVC ∅6" (150mm) UM presión L= 5.56m</c:v>
                  </c:pt>
                  <c:pt idx="58">
                    <c:v>Suministro niple PVC ∅6" (150mm) UM presión L= 6.40m</c:v>
                  </c:pt>
                  <c:pt idx="59">
                    <c:v>Suministro niple PVC ∅6" (150mm) UM presión L= 4.74m</c:v>
                  </c:pt>
                  <c:pt idx="60">
                    <c:v>Suministro Tee Ø 6" x Ø 2" PVC  UM  presion</c:v>
                  </c:pt>
                  <c:pt idx="61">
                    <c:v>Suministro niple PVC ∅2" (50mm) UM presión L= 1.13m</c:v>
                  </c:pt>
                  <c:pt idx="62">
                    <c:v>Suministro codo PVC ∅2" x 90° UM presion</c:v>
                  </c:pt>
                  <c:pt idx="63">
                    <c:v>Suministro niple PVC ∅2" (50mm) UM presión L= 2m</c:v>
                  </c:pt>
                  <c:pt idx="64">
                    <c:v>Suministro tuberia PVC sanitaria 6'' (150mm) perforada L=7,94 m</c:v>
                  </c:pt>
                  <c:pt idx="65">
                    <c:v>Suministro pasamuro HD  Ø 6" (400mm) L=0,2 ; Z=0,1</c:v>
                  </c:pt>
                  <c:pt idx="66">
                    <c:v>Suministro valvula de bola ∅2" a lecho de secado</c:v>
                  </c:pt>
                  <c:pt idx="68">
                    <c:v>Suministro pasamuro HD Ø8'' EBxEL  L=1,50 ; Z=0,58</c:v>
                  </c:pt>
                  <c:pt idx="69">
                    <c:v>Suministro pasamuro Acero al Carbon Ø8'' EBxEL  L=3,65 ; Z=0,13</c:v>
                  </c:pt>
                  <c:pt idx="70">
                    <c:v>Suministro Valvula de bola pozo 15 y 17</c:v>
                  </c:pt>
                </c:lvl>
              </c:multiLvlStrCache>
            </c:multiLvlStrRef>
          </c:cat>
          <c:val>
            <c:numRef>
              <c:f>'TOTAL OC E INST + SUM'!$F$700:$F$770</c:f>
              <c:numCache>
                <c:formatCode>_ [$$-240A]\ * #,##0_ ;_ [$$-240A]\ * \-#,##0_ ;_ [$$-240A]\ * "-"_ ;_ @_ </c:formatCode>
                <c:ptCount val="71"/>
                <c:pt idx="0">
                  <c:v>222650</c:v>
                </c:pt>
                <c:pt idx="1">
                  <c:v>445300</c:v>
                </c:pt>
                <c:pt idx="2">
                  <c:v>222650</c:v>
                </c:pt>
                <c:pt idx="3">
                  <c:v>0</c:v>
                </c:pt>
                <c:pt idx="4">
                  <c:v>875250</c:v>
                </c:pt>
                <c:pt idx="5">
                  <c:v>552400</c:v>
                </c:pt>
                <c:pt idx="6">
                  <c:v>9191800</c:v>
                </c:pt>
                <c:pt idx="7">
                  <c:v>980800</c:v>
                </c:pt>
                <c:pt idx="8">
                  <c:v>0</c:v>
                </c:pt>
                <c:pt idx="9">
                  <c:v>639150</c:v>
                </c:pt>
                <c:pt idx="10">
                  <c:v>1597770</c:v>
                </c:pt>
                <c:pt idx="11">
                  <c:v>832600</c:v>
                </c:pt>
                <c:pt idx="12">
                  <c:v>3478976</c:v>
                </c:pt>
                <c:pt idx="13">
                  <c:v>2909966</c:v>
                </c:pt>
                <c:pt idx="14">
                  <c:v>3711740</c:v>
                </c:pt>
                <c:pt idx="15">
                  <c:v>2127850</c:v>
                </c:pt>
                <c:pt idx="16">
                  <c:v>1278770</c:v>
                </c:pt>
                <c:pt idx="17">
                  <c:v>1420910</c:v>
                </c:pt>
                <c:pt idx="18">
                  <c:v>1604200</c:v>
                </c:pt>
                <c:pt idx="19">
                  <c:v>1026342</c:v>
                </c:pt>
                <c:pt idx="20">
                  <c:v>1191310</c:v>
                </c:pt>
                <c:pt idx="21">
                  <c:v>968150</c:v>
                </c:pt>
                <c:pt idx="22">
                  <c:v>1245077</c:v>
                </c:pt>
                <c:pt idx="23">
                  <c:v>447560</c:v>
                </c:pt>
                <c:pt idx="24">
                  <c:v>1135755</c:v>
                </c:pt>
                <c:pt idx="25">
                  <c:v>557411</c:v>
                </c:pt>
                <c:pt idx="26">
                  <c:v>464220</c:v>
                </c:pt>
                <c:pt idx="27">
                  <c:v>2346424</c:v>
                </c:pt>
                <c:pt idx="28">
                  <c:v>889481</c:v>
                </c:pt>
                <c:pt idx="29">
                  <c:v>288100</c:v>
                </c:pt>
                <c:pt idx="30">
                  <c:v>3945858</c:v>
                </c:pt>
                <c:pt idx="31">
                  <c:v>2540319</c:v>
                </c:pt>
                <c:pt idx="32">
                  <c:v>25240000</c:v>
                </c:pt>
                <c:pt idx="33">
                  <c:v>1937494</c:v>
                </c:pt>
                <c:pt idx="34">
                  <c:v>652000</c:v>
                </c:pt>
                <c:pt idx="35">
                  <c:v>1686812</c:v>
                </c:pt>
                <c:pt idx="36">
                  <c:v>1752976</c:v>
                </c:pt>
                <c:pt idx="37">
                  <c:v>1093240</c:v>
                </c:pt>
                <c:pt idx="38">
                  <c:v>776950</c:v>
                </c:pt>
                <c:pt idx="39">
                  <c:v>0</c:v>
                </c:pt>
                <c:pt idx="40">
                  <c:v>2224478</c:v>
                </c:pt>
                <c:pt idx="41">
                  <c:v>547520</c:v>
                </c:pt>
                <c:pt idx="42">
                  <c:v>731558</c:v>
                </c:pt>
                <c:pt idx="43">
                  <c:v>674850</c:v>
                </c:pt>
                <c:pt idx="44">
                  <c:v>802688</c:v>
                </c:pt>
                <c:pt idx="45">
                  <c:v>7944204</c:v>
                </c:pt>
                <c:pt idx="46">
                  <c:v>364985</c:v>
                </c:pt>
                <c:pt idx="47">
                  <c:v>648150</c:v>
                </c:pt>
                <c:pt idx="48">
                  <c:v>715570</c:v>
                </c:pt>
                <c:pt idx="49">
                  <c:v>836926</c:v>
                </c:pt>
                <c:pt idx="50">
                  <c:v>328181442</c:v>
                </c:pt>
                <c:pt idx="51">
                  <c:v>2279718</c:v>
                </c:pt>
                <c:pt idx="52">
                  <c:v>920527</c:v>
                </c:pt>
                <c:pt idx="53">
                  <c:v>300000</c:v>
                </c:pt>
                <c:pt idx="54">
                  <c:v>2225922</c:v>
                </c:pt>
                <c:pt idx="55">
                  <c:v>395850</c:v>
                </c:pt>
                <c:pt idx="56">
                  <c:v>3185136</c:v>
                </c:pt>
                <c:pt idx="57">
                  <c:v>1020346</c:v>
                </c:pt>
                <c:pt idx="58">
                  <c:v>3510444</c:v>
                </c:pt>
                <c:pt idx="59">
                  <c:v>874112</c:v>
                </c:pt>
                <c:pt idx="60">
                  <c:v>1765968</c:v>
                </c:pt>
                <c:pt idx="61">
                  <c:v>303648</c:v>
                </c:pt>
                <c:pt idx="62">
                  <c:v>714384</c:v>
                </c:pt>
                <c:pt idx="63">
                  <c:v>185968</c:v>
                </c:pt>
                <c:pt idx="64">
                  <c:v>1227304</c:v>
                </c:pt>
                <c:pt idx="65">
                  <c:v>2407134</c:v>
                </c:pt>
                <c:pt idx="66">
                  <c:v>673910</c:v>
                </c:pt>
                <c:pt idx="67">
                  <c:v>0</c:v>
                </c:pt>
                <c:pt idx="68">
                  <c:v>0</c:v>
                </c:pt>
                <c:pt idx="69">
                  <c:v>0</c:v>
                </c:pt>
              </c:numCache>
            </c:numRef>
          </c:val>
          <c:extLst>
            <c:ext xmlns:c16="http://schemas.microsoft.com/office/drawing/2014/chart" uri="{C3380CC4-5D6E-409C-BE32-E72D297353CC}">
              <c16:uniqueId val="{00000000-3302-41BE-BFF6-809F314C7E39}"/>
            </c:ext>
          </c:extLst>
        </c:ser>
        <c:dLbls>
          <c:showLegendKey val="0"/>
          <c:showVal val="0"/>
          <c:showCatName val="0"/>
          <c:showSerName val="0"/>
          <c:showPercent val="0"/>
          <c:showBubbleSize val="0"/>
        </c:dLbls>
        <c:gapWidth val="219"/>
        <c:overlap val="-27"/>
        <c:axId val="548054760"/>
        <c:axId val="548054368"/>
      </c:barChart>
      <c:catAx>
        <c:axId val="548054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8054368"/>
        <c:crosses val="autoZero"/>
        <c:auto val="1"/>
        <c:lblAlgn val="ctr"/>
        <c:lblOffset val="100"/>
        <c:noMultiLvlLbl val="0"/>
      </c:catAx>
      <c:valAx>
        <c:axId val="548054368"/>
        <c:scaling>
          <c:orientation val="minMax"/>
        </c:scaling>
        <c:delete val="0"/>
        <c:axPos val="l"/>
        <c:majorGridlines>
          <c:spPr>
            <a:ln w="9525" cap="flat" cmpd="sng" algn="ctr">
              <a:solidFill>
                <a:schemeClr val="tx1">
                  <a:lumMod val="15000"/>
                  <a:lumOff val="85000"/>
                </a:schemeClr>
              </a:solidFill>
              <a:round/>
            </a:ln>
            <a:effectLst/>
          </c:spPr>
        </c:majorGridlines>
        <c:numFmt formatCode="_ [$$-240A]\ * #,##0_ ;_ [$$-240A]\ * \-#,##0_ ;_ [$$-240A]\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48054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0.xml"/></Relationships>
</file>

<file path=xl/chartsheets/sheet1.xml><?xml version="1.0" encoding="utf-8"?>
<chartsheet xmlns="http://schemas.openxmlformats.org/spreadsheetml/2006/main" xmlns:r="http://schemas.openxmlformats.org/officeDocument/2006/relationships">
  <sheetPr/>
  <sheetViews>
    <sheetView zoomScale="71" workbookViewId="0" zoomToFit="1"/>
  </sheetViews>
  <pageMargins left="0.7" right="0.7" top="0.75" bottom="0.75" header="0.3" footer="0.3"/>
  <drawing r:id="rId1"/>
</chartsheet>
</file>

<file path=xl/drawings/_rels/drawing10.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image" Target="NULL"/><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 Id="rId4"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 Id="rId4" Type="http://schemas.openxmlformats.org/officeDocument/2006/relationships/image" Target="../media/image7.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 Id="rId4" Type="http://schemas.openxmlformats.org/officeDocument/2006/relationships/image" Target="../media/image7.png"/></Relationships>
</file>

<file path=xl/drawings/_rels/drawing1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5.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NULL"/><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NUL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1.pn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image" Target="../media/image2.jpeg"/><Relationship Id="rId5" Type="http://schemas.openxmlformats.org/officeDocument/2006/relationships/image" Target="../media/image6.png"/><Relationship Id="rId4" Type="http://schemas.openxmlformats.org/officeDocument/2006/relationships/image" Target="../media/image5.png"/></Relationships>
</file>

<file path=xl/drawings/_rels/drawing2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1.png"/><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1.png"/><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image" Target="NULL"/><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NULL"/><Relationship Id="rId1" Type="http://schemas.openxmlformats.org/officeDocument/2006/relationships/image" Target="../media/image2.jpeg"/><Relationship Id="rId5" Type="http://schemas.openxmlformats.org/officeDocument/2006/relationships/image" Target="../media/image6.png"/><Relationship Id="rId4"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8</xdr:col>
      <xdr:colOff>142875</xdr:colOff>
      <xdr:row>9</xdr:row>
      <xdr:rowOff>0</xdr:rowOff>
    </xdr:from>
    <xdr:to>
      <xdr:col>20</xdr:col>
      <xdr:colOff>38100</xdr:colOff>
      <xdr:row>9</xdr:row>
      <xdr:rowOff>0</xdr:rowOff>
    </xdr:to>
    <xdr:sp macro="" textlink="">
      <xdr:nvSpPr>
        <xdr:cNvPr id="39937" name="Texto 28">
          <a:extLst>
            <a:ext uri="{FF2B5EF4-FFF2-40B4-BE49-F238E27FC236}">
              <a16:creationId xmlns:a16="http://schemas.microsoft.com/office/drawing/2014/main" id="{00000000-0008-0000-0000-0000019C0000}"/>
            </a:ext>
          </a:extLst>
        </xdr:cNvPr>
        <xdr:cNvSpPr>
          <a:spLocks noChangeArrowheads="1"/>
        </xdr:cNvSpPr>
      </xdr:nvSpPr>
      <xdr:spPr bwMode="auto">
        <a:xfrm>
          <a:off x="8353425" y="3343275"/>
          <a:ext cx="11106150" cy="0"/>
        </a:xfrm>
        <a:prstGeom prst="roundRect">
          <a:avLst>
            <a:gd name="adj" fmla="val 16667"/>
          </a:avLst>
        </a:prstGeom>
        <a:noFill/>
        <a:ln w="9525">
          <a:noFill/>
          <a:round/>
          <a:headEnd/>
          <a:tailEnd/>
        </a:ln>
        <a:effectLst>
          <a:outerShdw dist="35921" dir="2700000" algn="ctr" rotWithShape="0">
            <a:srgbClr val="000000"/>
          </a:outerShdw>
        </a:effectLst>
      </xdr:spPr>
      <xdr:txBody>
        <a:bodyPr vertOverflow="clip" wrap="square" lIns="27432" tIns="27432" rIns="27432" bIns="27432" anchor="ctr" upright="1"/>
        <a:lstStyle/>
        <a:p>
          <a:pPr algn="ctr" rtl="0">
            <a:defRPr sz="1000"/>
          </a:pPr>
          <a:endParaRPr lang="es-CO" sz="1200" b="1" i="0" strike="noStrike">
            <a:solidFill>
              <a:srgbClr val="000000"/>
            </a:solidFill>
            <a:latin typeface="Times New Roman"/>
            <a:cs typeface="Times New Roman"/>
          </a:endParaRPr>
        </a:p>
        <a:p>
          <a:pPr algn="ctr" rtl="0">
            <a:defRPr sz="1000"/>
          </a:pPr>
          <a:endParaRPr lang="es-CO" sz="1200" b="1" i="0" strike="noStrike">
            <a:solidFill>
              <a:srgbClr val="000000"/>
            </a:solidFill>
            <a:latin typeface="Times New Roman"/>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9296937" cy="6063803"/>
    <xdr:graphicFrame macro="">
      <xdr:nvGraphicFramePr>
        <xdr:cNvPr id="2" name="Gráfico 1">
          <a:extLst>
            <a:ext uri="{FF2B5EF4-FFF2-40B4-BE49-F238E27FC236}">
              <a16:creationId xmlns:a16="http://schemas.microsoft.com/office/drawing/2014/main" id="{00000000-0008-0000-0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twoCellAnchor editAs="oneCell">
    <xdr:from>
      <xdr:col>1</xdr:col>
      <xdr:colOff>198469</xdr:colOff>
      <xdr:row>769</xdr:row>
      <xdr:rowOff>100853</xdr:rowOff>
    </xdr:from>
    <xdr:to>
      <xdr:col>1</xdr:col>
      <xdr:colOff>1725644</xdr:colOff>
      <xdr:row>774</xdr:row>
      <xdr:rowOff>2242</xdr:rowOff>
    </xdr:to>
    <xdr:pic>
      <xdr:nvPicPr>
        <xdr:cNvPr id="2" name="Imagen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0469" y="103318235"/>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240802</xdr:colOff>
      <xdr:row>777</xdr:row>
      <xdr:rowOff>113278</xdr:rowOff>
    </xdr:from>
    <xdr:to>
      <xdr:col>1</xdr:col>
      <xdr:colOff>1669552</xdr:colOff>
      <xdr:row>781</xdr:row>
      <xdr:rowOff>175244</xdr:rowOff>
    </xdr:to>
    <xdr:pic>
      <xdr:nvPicPr>
        <xdr:cNvPr id="3" name="Imagen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2802" y="104765013"/>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705971</xdr:colOff>
      <xdr:row>784</xdr:row>
      <xdr:rowOff>100853</xdr:rowOff>
    </xdr:from>
    <xdr:to>
      <xdr:col>1</xdr:col>
      <xdr:colOff>1963271</xdr:colOff>
      <xdr:row>788</xdr:row>
      <xdr:rowOff>18489</xdr:rowOff>
    </xdr:to>
    <xdr:pic>
      <xdr:nvPicPr>
        <xdr:cNvPr id="5" name="Imagen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05971" y="106680000"/>
          <a:ext cx="20193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770</xdr:row>
      <xdr:rowOff>22411</xdr:rowOff>
    </xdr:from>
    <xdr:to>
      <xdr:col>1</xdr:col>
      <xdr:colOff>2623627</xdr:colOff>
      <xdr:row>792</xdr:row>
      <xdr:rowOff>50986</xdr:rowOff>
    </xdr:to>
    <xdr:pic>
      <xdr:nvPicPr>
        <xdr:cNvPr id="6" name="Imagen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03598382"/>
          <a:ext cx="3385627" cy="4179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638175</xdr:colOff>
      <xdr:row>0</xdr:row>
      <xdr:rowOff>0</xdr:rowOff>
    </xdr:from>
    <xdr:to>
      <xdr:col>5</xdr:col>
      <xdr:colOff>640762</xdr:colOff>
      <xdr:row>1</xdr:row>
      <xdr:rowOff>168089</xdr:rowOff>
    </xdr:to>
    <xdr:pic>
      <xdr:nvPicPr>
        <xdr:cNvPr id="3" name="4 Imagen" descr="Antioquia la mas Educada">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23850"/>
        </a:xfrm>
        <a:prstGeom prst="rect">
          <a:avLst/>
        </a:prstGeom>
        <a:noFill/>
        <a:ln w="9525">
          <a:noFill/>
          <a:miter lim="800000"/>
          <a:headEnd/>
          <a:tailEnd/>
        </a:ln>
      </xdr:spPr>
    </xdr:pic>
    <xdr:clientData/>
  </xdr:twoCellAnchor>
  <xdr:twoCellAnchor editAs="oneCell">
    <xdr:from>
      <xdr:col>5</xdr:col>
      <xdr:colOff>638175</xdr:colOff>
      <xdr:row>0</xdr:row>
      <xdr:rowOff>0</xdr:rowOff>
    </xdr:from>
    <xdr:to>
      <xdr:col>5</xdr:col>
      <xdr:colOff>640762</xdr:colOff>
      <xdr:row>1</xdr:row>
      <xdr:rowOff>168089</xdr:rowOff>
    </xdr:to>
    <xdr:pic>
      <xdr:nvPicPr>
        <xdr:cNvPr id="5" name="8 Imagen" descr="Antioquia la mas Educada">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23850"/>
        </a:xfrm>
        <a:prstGeom prst="rect">
          <a:avLst/>
        </a:prstGeom>
        <a:noFill/>
        <a:ln w="9525">
          <a:noFill/>
          <a:miter lim="800000"/>
          <a:headEnd/>
          <a:tailEnd/>
        </a:ln>
      </xdr:spPr>
    </xdr:pic>
    <xdr:clientData/>
  </xdr:twoCellAnchor>
  <xdr:twoCellAnchor editAs="oneCell">
    <xdr:from>
      <xdr:col>0</xdr:col>
      <xdr:colOff>112058</xdr:colOff>
      <xdr:row>1</xdr:row>
      <xdr:rowOff>67237</xdr:rowOff>
    </xdr:from>
    <xdr:to>
      <xdr:col>0</xdr:col>
      <xdr:colOff>783167</xdr:colOff>
      <xdr:row>3</xdr:row>
      <xdr:rowOff>137583</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1100-000006000000}"/>
            </a:ext>
          </a:extLst>
        </xdr:cNvPr>
        <xdr:cNvPicPr/>
      </xdr:nvPicPr>
      <xdr:blipFill>
        <a:blip xmlns:r="http://schemas.openxmlformats.org/officeDocument/2006/relationships" r:embed="rId2" cstate="print"/>
        <a:srcRect/>
        <a:stretch>
          <a:fillRect/>
        </a:stretch>
      </xdr:blipFill>
      <xdr:spPr bwMode="auto">
        <a:xfrm>
          <a:off x="112058" y="225987"/>
          <a:ext cx="671109" cy="758263"/>
        </a:xfrm>
        <a:prstGeom prst="rect">
          <a:avLst/>
        </a:prstGeom>
        <a:noFill/>
        <a:ln w="9525">
          <a:noFill/>
          <a:miter lim="800000"/>
          <a:headEnd/>
          <a:tailEnd/>
        </a:ln>
      </xdr:spPr>
    </xdr:pic>
    <xdr:clientData/>
  </xdr:twoCellAnchor>
  <xdr:twoCellAnchor>
    <xdr:from>
      <xdr:col>5</xdr:col>
      <xdr:colOff>144702</xdr:colOff>
      <xdr:row>1</xdr:row>
      <xdr:rowOff>67237</xdr:rowOff>
    </xdr:from>
    <xdr:to>
      <xdr:col>5</xdr:col>
      <xdr:colOff>1255059</xdr:colOff>
      <xdr:row>3</xdr:row>
      <xdr:rowOff>209327</xdr:rowOff>
    </xdr:to>
    <xdr:pic>
      <xdr:nvPicPr>
        <xdr:cNvPr id="7" name="Picture 5">
          <a:extLst>
            <a:ext uri="{FF2B5EF4-FFF2-40B4-BE49-F238E27FC236}">
              <a16:creationId xmlns:a16="http://schemas.microsoft.com/office/drawing/2014/main" id="{00000000-0008-0000-11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31937" y="224119"/>
          <a:ext cx="1110357" cy="836855"/>
        </a:xfrm>
        <a:prstGeom prst="rect">
          <a:avLst/>
        </a:prstGeom>
        <a:noFill/>
        <a:ln w="9525">
          <a:noFill/>
          <a:miter lim="800000"/>
          <a:headEnd/>
          <a:tailEnd/>
        </a:ln>
      </xdr:spPr>
    </xdr:pic>
    <xdr:clientData/>
  </xdr:twoCellAnchor>
  <xdr:twoCellAnchor editAs="oneCell">
    <xdr:from>
      <xdr:col>0</xdr:col>
      <xdr:colOff>350183</xdr:colOff>
      <xdr:row>217</xdr:row>
      <xdr:rowOff>55842</xdr:rowOff>
    </xdr:from>
    <xdr:to>
      <xdr:col>1</xdr:col>
      <xdr:colOff>3091359</xdr:colOff>
      <xdr:row>237</xdr:row>
      <xdr:rowOff>76386</xdr:rowOff>
    </xdr:to>
    <xdr:pic>
      <xdr:nvPicPr>
        <xdr:cNvPr id="10" name="Imagen 9">
          <a:extLst>
            <a:ext uri="{FF2B5EF4-FFF2-40B4-BE49-F238E27FC236}">
              <a16:creationId xmlns:a16="http://schemas.microsoft.com/office/drawing/2014/main" id="{00000000-0008-0000-11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50183" y="71064717"/>
          <a:ext cx="3646051" cy="4465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715</xdr:row>
      <xdr:rowOff>66675</xdr:rowOff>
    </xdr:from>
    <xdr:to>
      <xdr:col>3</xdr:col>
      <xdr:colOff>159901</xdr:colOff>
      <xdr:row>742</xdr:row>
      <xdr:rowOff>131669</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163096575"/>
          <a:ext cx="3646051" cy="4465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117475</xdr:colOff>
      <xdr:row>0</xdr:row>
      <xdr:rowOff>95251</xdr:rowOff>
    </xdr:from>
    <xdr:ext cx="549275" cy="571499"/>
    <xdr:pic>
      <xdr:nvPicPr>
        <xdr:cNvPr id="2" name="3 Imagen" descr="http://sanantero-cordoba.gov.co/apc-aa-files/38396635653931363362636634356634/escudo_ultimo_1.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rcRect/>
        <a:stretch>
          <a:fillRect/>
        </a:stretch>
      </xdr:blipFill>
      <xdr:spPr bwMode="auto">
        <a:xfrm>
          <a:off x="117475" y="95251"/>
          <a:ext cx="549275" cy="571499"/>
        </a:xfrm>
        <a:prstGeom prst="rect">
          <a:avLst/>
        </a:prstGeom>
        <a:noFill/>
        <a:ln w="9525">
          <a:noFill/>
          <a:miter lim="800000"/>
          <a:headEnd/>
          <a:tailEnd/>
        </a:ln>
      </xdr:spPr>
    </xdr:pic>
    <xdr:clientData/>
  </xdr:oneCellAnchor>
  <xdr:twoCellAnchor>
    <xdr:from>
      <xdr:col>7</xdr:col>
      <xdr:colOff>139498</xdr:colOff>
      <xdr:row>0</xdr:row>
      <xdr:rowOff>61232</xdr:rowOff>
    </xdr:from>
    <xdr:to>
      <xdr:col>8</xdr:col>
      <xdr:colOff>603251</xdr:colOff>
      <xdr:row>2</xdr:row>
      <xdr:rowOff>142949</xdr:rowOff>
    </xdr:to>
    <xdr:pic>
      <xdr:nvPicPr>
        <xdr:cNvPr id="3" name="Picture 5">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11998" y="61232"/>
          <a:ext cx="1241628" cy="811967"/>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638175</xdr:colOff>
      <xdr:row>1</xdr:row>
      <xdr:rowOff>0</xdr:rowOff>
    </xdr:from>
    <xdr:to>
      <xdr:col>5</xdr:col>
      <xdr:colOff>640762</xdr:colOff>
      <xdr:row>2</xdr:row>
      <xdr:rowOff>1682</xdr:rowOff>
    </xdr:to>
    <xdr:pic>
      <xdr:nvPicPr>
        <xdr:cNvPr id="3" name="4 Imagen" descr="Antioquia la mas Educada">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00950" y="0"/>
          <a:ext cx="2587" cy="244289"/>
        </a:xfrm>
        <a:prstGeom prst="rect">
          <a:avLst/>
        </a:prstGeom>
        <a:noFill/>
        <a:ln w="9525">
          <a:noFill/>
          <a:miter lim="800000"/>
          <a:headEnd/>
          <a:tailEnd/>
        </a:ln>
      </xdr:spPr>
    </xdr:pic>
    <xdr:clientData/>
  </xdr:twoCellAnchor>
  <xdr:twoCellAnchor editAs="oneCell">
    <xdr:from>
      <xdr:col>5</xdr:col>
      <xdr:colOff>638175</xdr:colOff>
      <xdr:row>1</xdr:row>
      <xdr:rowOff>0</xdr:rowOff>
    </xdr:from>
    <xdr:to>
      <xdr:col>5</xdr:col>
      <xdr:colOff>640762</xdr:colOff>
      <xdr:row>2</xdr:row>
      <xdr:rowOff>1682</xdr:rowOff>
    </xdr:to>
    <xdr:pic>
      <xdr:nvPicPr>
        <xdr:cNvPr id="5" name="8 Imagen" descr="Antioquia la mas Educada">
          <a:extLst>
            <a:ext uri="{FF2B5EF4-FFF2-40B4-BE49-F238E27FC236}">
              <a16:creationId xmlns:a16="http://schemas.microsoft.com/office/drawing/2014/main" id="{00000000-0008-0000-14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00950" y="0"/>
          <a:ext cx="2587" cy="244289"/>
        </a:xfrm>
        <a:prstGeom prst="rect">
          <a:avLst/>
        </a:prstGeom>
        <a:noFill/>
        <a:ln w="9525">
          <a:noFill/>
          <a:miter lim="800000"/>
          <a:headEnd/>
          <a:tailEnd/>
        </a:ln>
      </xdr:spPr>
    </xdr:pic>
    <xdr:clientData/>
  </xdr:twoCellAnchor>
  <xdr:twoCellAnchor editAs="oneCell">
    <xdr:from>
      <xdr:col>0</xdr:col>
      <xdr:colOff>149679</xdr:colOff>
      <xdr:row>2</xdr:row>
      <xdr:rowOff>84365</xdr:rowOff>
    </xdr:from>
    <xdr:to>
      <xdr:col>0</xdr:col>
      <xdr:colOff>1047750</xdr:colOff>
      <xdr:row>4</xdr:row>
      <xdr:rowOff>148167</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1400-000006000000}"/>
            </a:ext>
          </a:extLst>
        </xdr:cNvPr>
        <xdr:cNvPicPr/>
      </xdr:nvPicPr>
      <xdr:blipFill>
        <a:blip xmlns:r="http://schemas.openxmlformats.org/officeDocument/2006/relationships" r:embed="rId2" cstate="print"/>
        <a:srcRect/>
        <a:stretch>
          <a:fillRect/>
        </a:stretch>
      </xdr:blipFill>
      <xdr:spPr bwMode="auto">
        <a:xfrm>
          <a:off x="149679" y="518282"/>
          <a:ext cx="898071" cy="825802"/>
        </a:xfrm>
        <a:prstGeom prst="rect">
          <a:avLst/>
        </a:prstGeom>
        <a:noFill/>
        <a:ln w="9525">
          <a:noFill/>
          <a:miter lim="800000"/>
          <a:headEnd/>
          <a:tailEnd/>
        </a:ln>
      </xdr:spPr>
    </xdr:pic>
    <xdr:clientData/>
  </xdr:twoCellAnchor>
  <xdr:twoCellAnchor>
    <xdr:from>
      <xdr:col>5</xdr:col>
      <xdr:colOff>56496</xdr:colOff>
      <xdr:row>2</xdr:row>
      <xdr:rowOff>109877</xdr:rowOff>
    </xdr:from>
    <xdr:to>
      <xdr:col>5</xdr:col>
      <xdr:colOff>1238251</xdr:colOff>
      <xdr:row>4</xdr:row>
      <xdr:rowOff>161925</xdr:rowOff>
    </xdr:to>
    <xdr:pic>
      <xdr:nvPicPr>
        <xdr:cNvPr id="7" name="Picture 5">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266921" y="548027"/>
          <a:ext cx="1181755" cy="814048"/>
        </a:xfrm>
        <a:prstGeom prst="rect">
          <a:avLst/>
        </a:prstGeom>
        <a:noFill/>
        <a:ln w="9525">
          <a:noFill/>
          <a:miter lim="800000"/>
          <a:headEnd/>
          <a:tailEnd/>
        </a:ln>
      </xdr:spPr>
    </xdr:pic>
    <xdr:clientData/>
  </xdr:twoCellAnchor>
  <xdr:twoCellAnchor editAs="oneCell">
    <xdr:from>
      <xdr:col>0</xdr:col>
      <xdr:colOff>403412</xdr:colOff>
      <xdr:row>223</xdr:row>
      <xdr:rowOff>0</xdr:rowOff>
    </xdr:from>
    <xdr:to>
      <xdr:col>1</xdr:col>
      <xdr:colOff>2920470</xdr:colOff>
      <xdr:row>239</xdr:row>
      <xdr:rowOff>39594</xdr:rowOff>
    </xdr:to>
    <xdr:pic>
      <xdr:nvPicPr>
        <xdr:cNvPr id="8" name="Imagen 7">
          <a:extLst>
            <a:ext uri="{FF2B5EF4-FFF2-40B4-BE49-F238E27FC236}">
              <a16:creationId xmlns:a16="http://schemas.microsoft.com/office/drawing/2014/main" id="{00000000-0008-0000-14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3412" y="78329118"/>
          <a:ext cx="3693676" cy="381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638175</xdr:colOff>
      <xdr:row>0</xdr:row>
      <xdr:rowOff>0</xdr:rowOff>
    </xdr:from>
    <xdr:to>
      <xdr:col>5</xdr:col>
      <xdr:colOff>640762</xdr:colOff>
      <xdr:row>1</xdr:row>
      <xdr:rowOff>82364</xdr:rowOff>
    </xdr:to>
    <xdr:pic>
      <xdr:nvPicPr>
        <xdr:cNvPr id="3" name="4 Imagen" descr="Antioquia la mas Educada">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272864"/>
        </a:xfrm>
        <a:prstGeom prst="rect">
          <a:avLst/>
        </a:prstGeom>
        <a:noFill/>
        <a:ln w="9525">
          <a:noFill/>
          <a:miter lim="800000"/>
          <a:headEnd/>
          <a:tailEnd/>
        </a:ln>
      </xdr:spPr>
    </xdr:pic>
    <xdr:clientData/>
  </xdr:twoCellAnchor>
  <xdr:twoCellAnchor editAs="oneCell">
    <xdr:from>
      <xdr:col>5</xdr:col>
      <xdr:colOff>638175</xdr:colOff>
      <xdr:row>0</xdr:row>
      <xdr:rowOff>0</xdr:rowOff>
    </xdr:from>
    <xdr:to>
      <xdr:col>5</xdr:col>
      <xdr:colOff>640762</xdr:colOff>
      <xdr:row>1</xdr:row>
      <xdr:rowOff>82364</xdr:rowOff>
    </xdr:to>
    <xdr:pic>
      <xdr:nvPicPr>
        <xdr:cNvPr id="5" name="8 Imagen" descr="Antioquia la mas Educada">
          <a:extLst>
            <a:ext uri="{FF2B5EF4-FFF2-40B4-BE49-F238E27FC236}">
              <a16:creationId xmlns:a16="http://schemas.microsoft.com/office/drawing/2014/main" id="{00000000-0008-0000-15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272864"/>
        </a:xfrm>
        <a:prstGeom prst="rect">
          <a:avLst/>
        </a:prstGeom>
        <a:noFill/>
        <a:ln w="9525">
          <a:noFill/>
          <a:miter lim="800000"/>
          <a:headEnd/>
          <a:tailEnd/>
        </a:ln>
      </xdr:spPr>
    </xdr:pic>
    <xdr:clientData/>
  </xdr:twoCellAnchor>
  <xdr:twoCellAnchor editAs="oneCell">
    <xdr:from>
      <xdr:col>0</xdr:col>
      <xdr:colOff>133350</xdr:colOff>
      <xdr:row>1</xdr:row>
      <xdr:rowOff>54427</xdr:rowOff>
    </xdr:from>
    <xdr:to>
      <xdr:col>0</xdr:col>
      <xdr:colOff>1020537</xdr:colOff>
      <xdr:row>3</xdr:row>
      <xdr:rowOff>176892</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2" cstate="print"/>
        <a:srcRect/>
        <a:stretch>
          <a:fillRect/>
        </a:stretch>
      </xdr:blipFill>
      <xdr:spPr bwMode="auto">
        <a:xfrm>
          <a:off x="133350" y="217713"/>
          <a:ext cx="887187" cy="802822"/>
        </a:xfrm>
        <a:prstGeom prst="rect">
          <a:avLst/>
        </a:prstGeom>
        <a:noFill/>
        <a:ln w="9525">
          <a:noFill/>
          <a:miter lim="800000"/>
          <a:headEnd/>
          <a:tailEnd/>
        </a:ln>
      </xdr:spPr>
    </xdr:pic>
    <xdr:clientData/>
  </xdr:twoCellAnchor>
  <xdr:twoCellAnchor>
    <xdr:from>
      <xdr:col>7</xdr:col>
      <xdr:colOff>134056</xdr:colOff>
      <xdr:row>1</xdr:row>
      <xdr:rowOff>19049</xdr:rowOff>
    </xdr:from>
    <xdr:to>
      <xdr:col>8</xdr:col>
      <xdr:colOff>628650</xdr:colOff>
      <xdr:row>3</xdr:row>
      <xdr:rowOff>216662</xdr:rowOff>
    </xdr:to>
    <xdr:pic>
      <xdr:nvPicPr>
        <xdr:cNvPr id="7" name="Picture 5">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9706681" y="180974"/>
          <a:ext cx="1713794" cy="883413"/>
        </a:xfrm>
        <a:prstGeom prst="rect">
          <a:avLst/>
        </a:prstGeom>
        <a:noFill/>
        <a:ln w="9525">
          <a:noFill/>
          <a:miter lim="800000"/>
          <a:headEnd/>
          <a:tailEnd/>
        </a:ln>
      </xdr:spPr>
    </xdr:pic>
    <xdr:clientData/>
  </xdr:twoCellAnchor>
  <xdr:twoCellAnchor editAs="oneCell">
    <xdr:from>
      <xdr:col>1</xdr:col>
      <xdr:colOff>247864</xdr:colOff>
      <xdr:row>1057</xdr:row>
      <xdr:rowOff>17813</xdr:rowOff>
    </xdr:from>
    <xdr:to>
      <xdr:col>1</xdr:col>
      <xdr:colOff>3595688</xdr:colOff>
      <xdr:row>1096</xdr:row>
      <xdr:rowOff>158751</xdr:rowOff>
    </xdr:to>
    <xdr:pic>
      <xdr:nvPicPr>
        <xdr:cNvPr id="10" name="Imagen 9">
          <a:extLst>
            <a:ext uri="{FF2B5EF4-FFF2-40B4-BE49-F238E27FC236}">
              <a16:creationId xmlns:a16="http://schemas.microsoft.com/office/drawing/2014/main" id="{00000000-0008-0000-15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38614" y="212163376"/>
          <a:ext cx="3347824" cy="4141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101298</xdr:colOff>
      <xdr:row>1937</xdr:row>
      <xdr:rowOff>122464</xdr:rowOff>
    </xdr:from>
    <xdr:to>
      <xdr:col>1</xdr:col>
      <xdr:colOff>1628473</xdr:colOff>
      <xdr:row>1941</xdr:row>
      <xdr:rowOff>189139</xdr:rowOff>
    </xdr:to>
    <xdr:pic>
      <xdr:nvPicPr>
        <xdr:cNvPr id="4" name="Imagen 3">
          <a:extLst>
            <a:ext uri="{FF2B5EF4-FFF2-40B4-BE49-F238E27FC236}">
              <a16:creationId xmlns:a16="http://schemas.microsoft.com/office/drawing/2014/main" id="{00000000-0008-0000-1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8905" y="271462500"/>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143631</xdr:colOff>
      <xdr:row>1944</xdr:row>
      <xdr:rowOff>126885</xdr:rowOff>
    </xdr:from>
    <xdr:to>
      <xdr:col>1</xdr:col>
      <xdr:colOff>1572381</xdr:colOff>
      <xdr:row>1947</xdr:row>
      <xdr:rowOff>212705</xdr:rowOff>
    </xdr:to>
    <xdr:pic>
      <xdr:nvPicPr>
        <xdr:cNvPr id="5" name="Imagen 4">
          <a:extLst>
            <a:ext uri="{FF2B5EF4-FFF2-40B4-BE49-F238E27FC236}">
              <a16:creationId xmlns:a16="http://schemas.microsoft.com/office/drawing/2014/main" id="{00000000-0008-0000-1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81238" y="272909278"/>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1937</xdr:row>
      <xdr:rowOff>133350</xdr:rowOff>
    </xdr:from>
    <xdr:to>
      <xdr:col>1</xdr:col>
      <xdr:colOff>1871152</xdr:colOff>
      <xdr:row>1955</xdr:row>
      <xdr:rowOff>55468</xdr:rowOff>
    </xdr:to>
    <xdr:pic>
      <xdr:nvPicPr>
        <xdr:cNvPr id="8" name="Imagen 7">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271719675"/>
          <a:ext cx="3385627" cy="4179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952500</xdr:colOff>
      <xdr:row>4</xdr:row>
      <xdr:rowOff>0</xdr:rowOff>
    </xdr:from>
    <xdr:to>
      <xdr:col>6</xdr:col>
      <xdr:colOff>2587</xdr:colOff>
      <xdr:row>5</xdr:row>
      <xdr:rowOff>57150</xdr:rowOff>
    </xdr:to>
    <xdr:pic>
      <xdr:nvPicPr>
        <xdr:cNvPr id="2" name="7 Imagen" descr="Antioquia la mas Educada">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06000" y="0"/>
          <a:ext cx="2587" cy="247650"/>
        </a:xfrm>
        <a:prstGeom prst="rect">
          <a:avLst/>
        </a:prstGeom>
        <a:noFill/>
        <a:ln w="9525">
          <a:noFill/>
          <a:miter lim="800000"/>
          <a:headEnd/>
          <a:tailEnd/>
        </a:ln>
      </xdr:spPr>
    </xdr:pic>
    <xdr:clientData/>
  </xdr:twoCellAnchor>
  <xdr:twoCellAnchor editAs="oneCell">
    <xdr:from>
      <xdr:col>5</xdr:col>
      <xdr:colOff>638175</xdr:colOff>
      <xdr:row>4</xdr:row>
      <xdr:rowOff>0</xdr:rowOff>
    </xdr:from>
    <xdr:to>
      <xdr:col>5</xdr:col>
      <xdr:colOff>640762</xdr:colOff>
      <xdr:row>5</xdr:row>
      <xdr:rowOff>142875</xdr:rowOff>
    </xdr:to>
    <xdr:pic>
      <xdr:nvPicPr>
        <xdr:cNvPr id="3" name="2 Imagen" descr="Antioquia la mas Educada">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91675" y="0"/>
          <a:ext cx="2587" cy="323850"/>
        </a:xfrm>
        <a:prstGeom prst="rect">
          <a:avLst/>
        </a:prstGeom>
        <a:noFill/>
        <a:ln w="9525">
          <a:noFill/>
          <a:miter lim="800000"/>
          <a:headEnd/>
          <a:tailEnd/>
        </a:ln>
      </xdr:spPr>
    </xdr:pic>
    <xdr:clientData/>
  </xdr:twoCellAnchor>
  <xdr:twoCellAnchor editAs="oneCell">
    <xdr:from>
      <xdr:col>5</xdr:col>
      <xdr:colOff>952500</xdr:colOff>
      <xdr:row>4</xdr:row>
      <xdr:rowOff>0</xdr:rowOff>
    </xdr:from>
    <xdr:to>
      <xdr:col>6</xdr:col>
      <xdr:colOff>2587</xdr:colOff>
      <xdr:row>5</xdr:row>
      <xdr:rowOff>57150</xdr:rowOff>
    </xdr:to>
    <xdr:pic>
      <xdr:nvPicPr>
        <xdr:cNvPr id="4" name="7 Imagen" descr="Antioquia la mas Educada">
          <a:extLst>
            <a:ext uri="{FF2B5EF4-FFF2-40B4-BE49-F238E27FC236}">
              <a16:creationId xmlns:a16="http://schemas.microsoft.com/office/drawing/2014/main" id="{00000000-0008-0000-17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906000" y="0"/>
          <a:ext cx="2587" cy="247650"/>
        </a:xfrm>
        <a:prstGeom prst="rect">
          <a:avLst/>
        </a:prstGeom>
        <a:noFill/>
        <a:ln w="9525">
          <a:noFill/>
          <a:miter lim="800000"/>
          <a:headEnd/>
          <a:tailEnd/>
        </a:ln>
      </xdr:spPr>
    </xdr:pic>
    <xdr:clientData/>
  </xdr:twoCellAnchor>
  <xdr:twoCellAnchor editAs="oneCell">
    <xdr:from>
      <xdr:col>5</xdr:col>
      <xdr:colOff>638175</xdr:colOff>
      <xdr:row>4</xdr:row>
      <xdr:rowOff>0</xdr:rowOff>
    </xdr:from>
    <xdr:to>
      <xdr:col>5</xdr:col>
      <xdr:colOff>640762</xdr:colOff>
      <xdr:row>5</xdr:row>
      <xdr:rowOff>142875</xdr:rowOff>
    </xdr:to>
    <xdr:pic>
      <xdr:nvPicPr>
        <xdr:cNvPr id="5" name="5 Imagen" descr="Antioquia la mas Educada">
          <a:extLst>
            <a:ext uri="{FF2B5EF4-FFF2-40B4-BE49-F238E27FC236}">
              <a16:creationId xmlns:a16="http://schemas.microsoft.com/office/drawing/2014/main" id="{00000000-0008-0000-1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91675" y="0"/>
          <a:ext cx="2587" cy="3238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0</xdr:col>
      <xdr:colOff>895350</xdr:colOff>
      <xdr:row>2</xdr:row>
      <xdr:rowOff>219075</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1700-000006000000}"/>
            </a:ext>
          </a:extLst>
        </xdr:cNvPr>
        <xdr:cNvPicPr/>
      </xdr:nvPicPr>
      <xdr:blipFill>
        <a:blip xmlns:r="http://schemas.openxmlformats.org/officeDocument/2006/relationships" r:embed="rId2" cstate="print"/>
        <a:srcRect/>
        <a:stretch>
          <a:fillRect/>
        </a:stretch>
      </xdr:blipFill>
      <xdr:spPr bwMode="auto">
        <a:xfrm>
          <a:off x="0" y="0"/>
          <a:ext cx="895350" cy="895350"/>
        </a:xfrm>
        <a:prstGeom prst="rect">
          <a:avLst/>
        </a:prstGeom>
        <a:noFill/>
        <a:ln w="9525">
          <a:noFill/>
          <a:miter lim="800000"/>
          <a:headEnd/>
          <a:tailEnd/>
        </a:ln>
      </xdr:spPr>
    </xdr:pic>
    <xdr:clientData/>
  </xdr:twoCellAnchor>
  <xdr:twoCellAnchor>
    <xdr:from>
      <xdr:col>5</xdr:col>
      <xdr:colOff>38806</xdr:colOff>
      <xdr:row>0</xdr:row>
      <xdr:rowOff>28575</xdr:rowOff>
    </xdr:from>
    <xdr:to>
      <xdr:col>5</xdr:col>
      <xdr:colOff>1314450</xdr:colOff>
      <xdr:row>2</xdr:row>
      <xdr:rowOff>171450</xdr:rowOff>
    </xdr:to>
    <xdr:pic>
      <xdr:nvPicPr>
        <xdr:cNvPr id="7" name="Picture 5">
          <a:extLst>
            <a:ext uri="{FF2B5EF4-FFF2-40B4-BE49-F238E27FC236}">
              <a16:creationId xmlns:a16="http://schemas.microsoft.com/office/drawing/2014/main" id="{00000000-0008-0000-17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992306" y="28575"/>
          <a:ext cx="1275644" cy="76200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1047750</xdr:colOff>
      <xdr:row>2</xdr:row>
      <xdr:rowOff>158002</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rcRect/>
        <a:stretch>
          <a:fillRect/>
        </a:stretch>
      </xdr:blipFill>
      <xdr:spPr bwMode="auto">
        <a:xfrm>
          <a:off x="133350" y="0"/>
          <a:ext cx="914400" cy="885824"/>
        </a:xfrm>
        <a:prstGeom prst="rect">
          <a:avLst/>
        </a:prstGeom>
        <a:noFill/>
        <a:ln w="9525">
          <a:noFill/>
          <a:miter lim="800000"/>
          <a:headEnd/>
          <a:tailEnd/>
        </a:ln>
      </xdr:spPr>
    </xdr:pic>
    <xdr:clientData/>
  </xdr:twoCellAnchor>
  <xdr:twoCellAnchor>
    <xdr:from>
      <xdr:col>7</xdr:col>
      <xdr:colOff>38805</xdr:colOff>
      <xdr:row>0</xdr:row>
      <xdr:rowOff>0</xdr:rowOff>
    </xdr:from>
    <xdr:to>
      <xdr:col>8</xdr:col>
      <xdr:colOff>857249</xdr:colOff>
      <xdr:row>3</xdr:row>
      <xdr:rowOff>0</xdr:rowOff>
    </xdr:to>
    <xdr:pic>
      <xdr:nvPicPr>
        <xdr:cNvPr id="3" name="Picture 5">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144705" y="0"/>
          <a:ext cx="1685219" cy="628650"/>
        </a:xfrm>
        <a:prstGeom prst="rect">
          <a:avLst/>
        </a:prstGeom>
        <a:noFill/>
        <a:ln w="9525">
          <a:noFill/>
          <a:miter lim="800000"/>
          <a:headEnd/>
          <a:tailEnd/>
        </a:ln>
      </xdr:spPr>
    </xdr:pic>
    <xdr:clientData/>
  </xdr:twoCellAnchor>
  <xdr:twoCellAnchor editAs="oneCell">
    <xdr:from>
      <xdr:col>1</xdr:col>
      <xdr:colOff>85290</xdr:colOff>
      <xdr:row>539</xdr:row>
      <xdr:rowOff>156882</xdr:rowOff>
    </xdr:from>
    <xdr:to>
      <xdr:col>1</xdr:col>
      <xdr:colOff>1612465</xdr:colOff>
      <xdr:row>544</xdr:row>
      <xdr:rowOff>33057</xdr:rowOff>
    </xdr:to>
    <xdr:pic>
      <xdr:nvPicPr>
        <xdr:cNvPr id="4" name="Imagen 3">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29143" y="104394000"/>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127623</xdr:colOff>
      <xdr:row>546</xdr:row>
      <xdr:rowOff>158102</xdr:rowOff>
    </xdr:from>
    <xdr:to>
      <xdr:col>1</xdr:col>
      <xdr:colOff>1556373</xdr:colOff>
      <xdr:row>549</xdr:row>
      <xdr:rowOff>239119</xdr:rowOff>
    </xdr:to>
    <xdr:pic>
      <xdr:nvPicPr>
        <xdr:cNvPr id="5" name="Imagen 4">
          <a:extLst>
            <a:ext uri="{FF2B5EF4-FFF2-40B4-BE49-F238E27FC236}">
              <a16:creationId xmlns:a16="http://schemas.microsoft.com/office/drawing/2014/main" id="{00000000-0008-0000-18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1476" y="105840778"/>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553</xdr:row>
      <xdr:rowOff>112060</xdr:rowOff>
    </xdr:from>
    <xdr:to>
      <xdr:col>1</xdr:col>
      <xdr:colOff>2019300</xdr:colOff>
      <xdr:row>556</xdr:row>
      <xdr:rowOff>48746</xdr:rowOff>
    </xdr:to>
    <xdr:pic>
      <xdr:nvPicPr>
        <xdr:cNvPr id="7" name="Imagen 6">
          <a:extLst>
            <a:ext uri="{FF2B5EF4-FFF2-40B4-BE49-F238E27FC236}">
              <a16:creationId xmlns:a16="http://schemas.microsoft.com/office/drawing/2014/main" id="{00000000-0008-0000-1800-000007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43853" y="107610089"/>
          <a:ext cx="20193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22412</xdr:colOff>
      <xdr:row>540</xdr:row>
      <xdr:rowOff>44824</xdr:rowOff>
    </xdr:from>
    <xdr:to>
      <xdr:col>1</xdr:col>
      <xdr:colOff>2164186</xdr:colOff>
      <xdr:row>558</xdr:row>
      <xdr:rowOff>11207</xdr:rowOff>
    </xdr:to>
    <xdr:pic>
      <xdr:nvPicPr>
        <xdr:cNvPr id="8" name="Imagen 7">
          <a:extLst>
            <a:ext uri="{FF2B5EF4-FFF2-40B4-BE49-F238E27FC236}">
              <a16:creationId xmlns:a16="http://schemas.microsoft.com/office/drawing/2014/main" id="{00000000-0008-0000-18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412" y="104562089"/>
          <a:ext cx="3385627" cy="4179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164041</xdr:colOff>
      <xdr:row>0</xdr:row>
      <xdr:rowOff>56886</xdr:rowOff>
    </xdr:from>
    <xdr:to>
      <xdr:col>9</xdr:col>
      <xdr:colOff>1244958</xdr:colOff>
      <xdr:row>2</xdr:row>
      <xdr:rowOff>211667</xdr:rowOff>
    </xdr:to>
    <xdr:pic>
      <xdr:nvPicPr>
        <xdr:cNvPr id="5" name="Picture 5">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56624" y="56886"/>
          <a:ext cx="1080917" cy="810948"/>
        </a:xfrm>
        <a:prstGeom prst="rect">
          <a:avLst/>
        </a:prstGeom>
        <a:noFill/>
        <a:ln w="9525">
          <a:noFill/>
          <a:miter lim="800000"/>
          <a:headEnd/>
          <a:tailEnd/>
        </a:ln>
      </xdr:spPr>
    </xdr:pic>
    <xdr:clientData/>
  </xdr:twoCellAnchor>
  <xdr:twoCellAnchor editAs="oneCell">
    <xdr:from>
      <xdr:col>0</xdr:col>
      <xdr:colOff>74688</xdr:colOff>
      <xdr:row>0</xdr:row>
      <xdr:rowOff>63500</xdr:rowOff>
    </xdr:from>
    <xdr:to>
      <xdr:col>0</xdr:col>
      <xdr:colOff>836084</xdr:colOff>
      <xdr:row>2</xdr:row>
      <xdr:rowOff>148166</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srcRect/>
        <a:stretch>
          <a:fillRect/>
        </a:stretch>
      </xdr:blipFill>
      <xdr:spPr bwMode="auto">
        <a:xfrm>
          <a:off x="74688" y="63500"/>
          <a:ext cx="761396" cy="740833"/>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952500</xdr:colOff>
      <xdr:row>312</xdr:row>
      <xdr:rowOff>0</xdr:rowOff>
    </xdr:from>
    <xdr:to>
      <xdr:col>5</xdr:col>
      <xdr:colOff>955087</xdr:colOff>
      <xdr:row>313</xdr:row>
      <xdr:rowOff>57150</xdr:rowOff>
    </xdr:to>
    <xdr:pic>
      <xdr:nvPicPr>
        <xdr:cNvPr id="2" name="7 Imagen" descr="Antioquia la mas Educada">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858375" y="0"/>
          <a:ext cx="2587" cy="247650"/>
        </a:xfrm>
        <a:prstGeom prst="rect">
          <a:avLst/>
        </a:prstGeom>
        <a:noFill/>
        <a:ln w="9525">
          <a:noFill/>
          <a:miter lim="800000"/>
          <a:headEnd/>
          <a:tailEnd/>
        </a:ln>
      </xdr:spPr>
    </xdr:pic>
    <xdr:clientData/>
  </xdr:twoCellAnchor>
  <xdr:twoCellAnchor editAs="oneCell">
    <xdr:from>
      <xdr:col>5</xdr:col>
      <xdr:colOff>638175</xdr:colOff>
      <xdr:row>312</xdr:row>
      <xdr:rowOff>0</xdr:rowOff>
    </xdr:from>
    <xdr:to>
      <xdr:col>5</xdr:col>
      <xdr:colOff>640762</xdr:colOff>
      <xdr:row>313</xdr:row>
      <xdr:rowOff>161925</xdr:rowOff>
    </xdr:to>
    <xdr:pic>
      <xdr:nvPicPr>
        <xdr:cNvPr id="3" name="2 Imagen" descr="Antioquia la mas Educada">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23850"/>
        </a:xfrm>
        <a:prstGeom prst="rect">
          <a:avLst/>
        </a:prstGeom>
        <a:noFill/>
        <a:ln w="9525">
          <a:noFill/>
          <a:miter lim="800000"/>
          <a:headEnd/>
          <a:tailEnd/>
        </a:ln>
      </xdr:spPr>
    </xdr:pic>
    <xdr:clientData/>
  </xdr:twoCellAnchor>
  <xdr:twoCellAnchor editAs="oneCell">
    <xdr:from>
      <xdr:col>5</xdr:col>
      <xdr:colOff>952500</xdr:colOff>
      <xdr:row>312</xdr:row>
      <xdr:rowOff>0</xdr:rowOff>
    </xdr:from>
    <xdr:to>
      <xdr:col>5</xdr:col>
      <xdr:colOff>955087</xdr:colOff>
      <xdr:row>313</xdr:row>
      <xdr:rowOff>57150</xdr:rowOff>
    </xdr:to>
    <xdr:pic>
      <xdr:nvPicPr>
        <xdr:cNvPr id="4" name="7 Imagen" descr="Antioquia la mas Educada">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858375" y="0"/>
          <a:ext cx="2587" cy="247650"/>
        </a:xfrm>
        <a:prstGeom prst="rect">
          <a:avLst/>
        </a:prstGeom>
        <a:noFill/>
        <a:ln w="9525">
          <a:noFill/>
          <a:miter lim="800000"/>
          <a:headEnd/>
          <a:tailEnd/>
        </a:ln>
      </xdr:spPr>
    </xdr:pic>
    <xdr:clientData/>
  </xdr:twoCellAnchor>
  <xdr:twoCellAnchor editAs="oneCell">
    <xdr:from>
      <xdr:col>5</xdr:col>
      <xdr:colOff>638175</xdr:colOff>
      <xdr:row>312</xdr:row>
      <xdr:rowOff>0</xdr:rowOff>
    </xdr:from>
    <xdr:to>
      <xdr:col>5</xdr:col>
      <xdr:colOff>640762</xdr:colOff>
      <xdr:row>313</xdr:row>
      <xdr:rowOff>161925</xdr:rowOff>
    </xdr:to>
    <xdr:pic>
      <xdr:nvPicPr>
        <xdr:cNvPr id="5" name="5 Imagen" descr="Antioquia la mas Educada">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23850"/>
        </a:xfrm>
        <a:prstGeom prst="rect">
          <a:avLst/>
        </a:prstGeom>
        <a:noFill/>
        <a:ln w="9525">
          <a:noFill/>
          <a:miter lim="800000"/>
          <a:headEnd/>
          <a:tailEnd/>
        </a:ln>
      </xdr:spPr>
    </xdr:pic>
    <xdr:clientData/>
  </xdr:twoCellAnchor>
  <xdr:twoCellAnchor editAs="oneCell">
    <xdr:from>
      <xdr:col>5</xdr:col>
      <xdr:colOff>638175</xdr:colOff>
      <xdr:row>772</xdr:row>
      <xdr:rowOff>0</xdr:rowOff>
    </xdr:from>
    <xdr:to>
      <xdr:col>5</xdr:col>
      <xdr:colOff>640762</xdr:colOff>
      <xdr:row>773</xdr:row>
      <xdr:rowOff>145119</xdr:rowOff>
    </xdr:to>
    <xdr:pic>
      <xdr:nvPicPr>
        <xdr:cNvPr id="6" name="2 Imagen" descr="Antioquia la mas Educada">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90525"/>
        </a:xfrm>
        <a:prstGeom prst="rect">
          <a:avLst/>
        </a:prstGeom>
        <a:noFill/>
        <a:ln w="9525">
          <a:noFill/>
          <a:miter lim="800000"/>
          <a:headEnd/>
          <a:tailEnd/>
        </a:ln>
      </xdr:spPr>
    </xdr:pic>
    <xdr:clientData/>
  </xdr:twoCellAnchor>
  <xdr:twoCellAnchor editAs="oneCell">
    <xdr:from>
      <xdr:col>5</xdr:col>
      <xdr:colOff>638175</xdr:colOff>
      <xdr:row>772</xdr:row>
      <xdr:rowOff>0</xdr:rowOff>
    </xdr:from>
    <xdr:to>
      <xdr:col>5</xdr:col>
      <xdr:colOff>640762</xdr:colOff>
      <xdr:row>773</xdr:row>
      <xdr:rowOff>145119</xdr:rowOff>
    </xdr:to>
    <xdr:pic>
      <xdr:nvPicPr>
        <xdr:cNvPr id="7" name="5 Imagen" descr="Antioquia la mas Educada">
          <a:extLst>
            <a:ext uri="{FF2B5EF4-FFF2-40B4-BE49-F238E27FC236}">
              <a16:creationId xmlns:a16="http://schemas.microsoft.com/office/drawing/2014/main" id="{00000000-0008-0000-19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44050" y="0"/>
          <a:ext cx="2587" cy="390525"/>
        </a:xfrm>
        <a:prstGeom prst="rect">
          <a:avLst/>
        </a:prstGeom>
        <a:noFill/>
        <a:ln w="9525">
          <a:noFill/>
          <a:miter lim="800000"/>
          <a:headEnd/>
          <a:tailEnd/>
        </a:ln>
      </xdr:spPr>
    </xdr:pic>
    <xdr:clientData/>
  </xdr:twoCellAnchor>
  <xdr:twoCellAnchor>
    <xdr:from>
      <xdr:col>6</xdr:col>
      <xdr:colOff>0</xdr:colOff>
      <xdr:row>5</xdr:row>
      <xdr:rowOff>258536</xdr:rowOff>
    </xdr:from>
    <xdr:to>
      <xdr:col>6</xdr:col>
      <xdr:colOff>721178</xdr:colOff>
      <xdr:row>5</xdr:row>
      <xdr:rowOff>272143</xdr:rowOff>
    </xdr:to>
    <xdr:cxnSp macro="">
      <xdr:nvCxnSpPr>
        <xdr:cNvPr id="9" name="Conector recto de flecha 8">
          <a:extLst>
            <a:ext uri="{FF2B5EF4-FFF2-40B4-BE49-F238E27FC236}">
              <a16:creationId xmlns:a16="http://schemas.microsoft.com/office/drawing/2014/main" id="{00000000-0008-0000-1900-000009000000}"/>
            </a:ext>
          </a:extLst>
        </xdr:cNvPr>
        <xdr:cNvCxnSpPr/>
      </xdr:nvCxnSpPr>
      <xdr:spPr>
        <a:xfrm flipH="1">
          <a:off x="8918122" y="429986"/>
          <a:ext cx="1509031" cy="1360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823</xdr:row>
      <xdr:rowOff>57150</xdr:rowOff>
    </xdr:from>
    <xdr:to>
      <xdr:col>6</xdr:col>
      <xdr:colOff>533400</xdr:colOff>
      <xdr:row>825</xdr:row>
      <xdr:rowOff>19050</xdr:rowOff>
    </xdr:to>
    <xdr:cxnSp macro="">
      <xdr:nvCxnSpPr>
        <xdr:cNvPr id="14" name="Conector recto de flecha 13">
          <a:extLst>
            <a:ext uri="{FF2B5EF4-FFF2-40B4-BE49-F238E27FC236}">
              <a16:creationId xmlns:a16="http://schemas.microsoft.com/office/drawing/2014/main" id="{00000000-0008-0000-1900-00000E000000}"/>
            </a:ext>
          </a:extLst>
        </xdr:cNvPr>
        <xdr:cNvCxnSpPr/>
      </xdr:nvCxnSpPr>
      <xdr:spPr>
        <a:xfrm flipH="1">
          <a:off x="9782176" y="219989400"/>
          <a:ext cx="561974" cy="285750"/>
        </a:xfrm>
        <a:prstGeom prst="straightConnector1">
          <a:avLst/>
        </a:prstGeom>
        <a:ln>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0</xdr:row>
      <xdr:rowOff>0</xdr:rowOff>
    </xdr:from>
    <xdr:to>
      <xdr:col>6</xdr:col>
      <xdr:colOff>0</xdr:colOff>
      <xdr:row>2</xdr:row>
      <xdr:rowOff>209550</xdr:rowOff>
    </xdr:to>
    <xdr:pic>
      <xdr:nvPicPr>
        <xdr:cNvPr id="12" name="Picture 5">
          <a:extLst>
            <a:ext uri="{FF2B5EF4-FFF2-40B4-BE49-F238E27FC236}">
              <a16:creationId xmlns:a16="http://schemas.microsoft.com/office/drawing/2014/main" id="{00000000-0008-0000-19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34424" y="0"/>
          <a:ext cx="1460047" cy="876300"/>
        </a:xfrm>
        <a:prstGeom prst="rect">
          <a:avLst/>
        </a:prstGeom>
        <a:noFill/>
        <a:ln w="9525">
          <a:noFill/>
          <a:miter lim="800000"/>
          <a:headEnd/>
          <a:tailEnd/>
        </a:ln>
      </xdr:spPr>
    </xdr:pic>
    <xdr:clientData/>
  </xdr:twoCellAnchor>
  <xdr:twoCellAnchor editAs="oneCell">
    <xdr:from>
      <xdr:col>0</xdr:col>
      <xdr:colOff>56029</xdr:colOff>
      <xdr:row>0</xdr:row>
      <xdr:rowOff>0</xdr:rowOff>
    </xdr:from>
    <xdr:to>
      <xdr:col>0</xdr:col>
      <xdr:colOff>862853</xdr:colOff>
      <xdr:row>2</xdr:row>
      <xdr:rowOff>128494</xdr:rowOff>
    </xdr:to>
    <xdr:pic>
      <xdr:nvPicPr>
        <xdr:cNvPr id="13" name="5 Imagen" descr="http://sanantero-cordoba.gov.co/apc-aa-files/38396635653931363362636634356634/escudo_ultimo_1.jpg">
          <a:extLst>
            <a:ext uri="{FF2B5EF4-FFF2-40B4-BE49-F238E27FC236}">
              <a16:creationId xmlns:a16="http://schemas.microsoft.com/office/drawing/2014/main" id="{00000000-0008-0000-1900-00000D000000}"/>
            </a:ext>
          </a:extLst>
        </xdr:cNvPr>
        <xdr:cNvPicPr/>
      </xdr:nvPicPr>
      <xdr:blipFill>
        <a:blip xmlns:r="http://schemas.openxmlformats.org/officeDocument/2006/relationships" r:embed="rId3" cstate="print"/>
        <a:srcRect/>
        <a:stretch>
          <a:fillRect/>
        </a:stretch>
      </xdr:blipFill>
      <xdr:spPr bwMode="auto">
        <a:xfrm>
          <a:off x="56029" y="0"/>
          <a:ext cx="806824" cy="851647"/>
        </a:xfrm>
        <a:prstGeom prst="rect">
          <a:avLst/>
        </a:prstGeom>
        <a:noFill/>
        <a:ln w="9525">
          <a:noFill/>
          <a:miter lim="800000"/>
          <a:headEnd/>
          <a:tailEnd/>
        </a:ln>
      </xdr:spPr>
    </xdr:pic>
    <xdr:clientData/>
  </xdr:twoCellAnchor>
  <xdr:twoCellAnchor>
    <xdr:from>
      <xdr:col>5</xdr:col>
      <xdr:colOff>0</xdr:colOff>
      <xdr:row>0</xdr:row>
      <xdr:rowOff>0</xdr:rowOff>
    </xdr:from>
    <xdr:to>
      <xdr:col>6</xdr:col>
      <xdr:colOff>0</xdr:colOff>
      <xdr:row>2</xdr:row>
      <xdr:rowOff>203947</xdr:rowOff>
    </xdr:to>
    <xdr:pic>
      <xdr:nvPicPr>
        <xdr:cNvPr id="15" name="Picture 5">
          <a:extLst>
            <a:ext uri="{FF2B5EF4-FFF2-40B4-BE49-F238E27FC236}">
              <a16:creationId xmlns:a16="http://schemas.microsoft.com/office/drawing/2014/main" id="{00000000-0008-0000-1900-00000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698441" y="0"/>
          <a:ext cx="1557618" cy="876300"/>
        </a:xfrm>
        <a:prstGeom prst="rect">
          <a:avLst/>
        </a:prstGeom>
        <a:noFill/>
        <a:ln w="9525">
          <a:noFill/>
          <a:miter lim="800000"/>
          <a:headEnd/>
          <a:tailEnd/>
        </a:ln>
      </xdr:spPr>
    </xdr:pic>
    <xdr:clientData/>
  </xdr:twoCellAnchor>
  <xdr:twoCellAnchor editAs="oneCell">
    <xdr:from>
      <xdr:col>1</xdr:col>
      <xdr:colOff>201084</xdr:colOff>
      <xdr:row>881</xdr:row>
      <xdr:rowOff>74084</xdr:rowOff>
    </xdr:from>
    <xdr:to>
      <xdr:col>1</xdr:col>
      <xdr:colOff>1728259</xdr:colOff>
      <xdr:row>885</xdr:row>
      <xdr:rowOff>157569</xdr:rowOff>
    </xdr:to>
    <xdr:pic>
      <xdr:nvPicPr>
        <xdr:cNvPr id="17" name="Imagen 16">
          <a:extLst>
            <a:ext uri="{FF2B5EF4-FFF2-40B4-BE49-F238E27FC236}">
              <a16:creationId xmlns:a16="http://schemas.microsoft.com/office/drawing/2014/main" id="{00000000-0008-0000-1900-000011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90084" y="240802584"/>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243417</xdr:colOff>
      <xdr:row>888</xdr:row>
      <xdr:rowOff>187985</xdr:rowOff>
    </xdr:from>
    <xdr:to>
      <xdr:col>1</xdr:col>
      <xdr:colOff>1672167</xdr:colOff>
      <xdr:row>892</xdr:row>
      <xdr:rowOff>34921</xdr:rowOff>
    </xdr:to>
    <xdr:pic>
      <xdr:nvPicPr>
        <xdr:cNvPr id="19" name="Imagen 18">
          <a:extLst>
            <a:ext uri="{FF2B5EF4-FFF2-40B4-BE49-F238E27FC236}">
              <a16:creationId xmlns:a16="http://schemas.microsoft.com/office/drawing/2014/main" id="{00000000-0008-0000-1900-000013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32417" y="242260568"/>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874059</xdr:colOff>
      <xdr:row>895</xdr:row>
      <xdr:rowOff>89647</xdr:rowOff>
    </xdr:from>
    <xdr:to>
      <xdr:col>1</xdr:col>
      <xdr:colOff>2008094</xdr:colOff>
      <xdr:row>898</xdr:row>
      <xdr:rowOff>26333</xdr:rowOff>
    </xdr:to>
    <xdr:pic>
      <xdr:nvPicPr>
        <xdr:cNvPr id="16" name="Imagen 15">
          <a:extLst>
            <a:ext uri="{FF2B5EF4-FFF2-40B4-BE49-F238E27FC236}">
              <a16:creationId xmlns:a16="http://schemas.microsoft.com/office/drawing/2014/main" id="{00000000-0008-0000-19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4059" y="249286059"/>
          <a:ext cx="2019300"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881</xdr:row>
      <xdr:rowOff>179294</xdr:rowOff>
    </xdr:from>
    <xdr:to>
      <xdr:col>1</xdr:col>
      <xdr:colOff>2500362</xdr:colOff>
      <xdr:row>899</xdr:row>
      <xdr:rowOff>235323</xdr:rowOff>
    </xdr:to>
    <xdr:pic>
      <xdr:nvPicPr>
        <xdr:cNvPr id="20" name="Imagen 19">
          <a:extLst>
            <a:ext uri="{FF2B5EF4-FFF2-40B4-BE49-F238E27FC236}">
              <a16:creationId xmlns:a16="http://schemas.microsoft.com/office/drawing/2014/main" id="{00000000-0008-0000-1900-00001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320174470"/>
          <a:ext cx="3385627" cy="4179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283633</xdr:colOff>
      <xdr:row>0</xdr:row>
      <xdr:rowOff>77259</xdr:rowOff>
    </xdr:from>
    <xdr:ext cx="687917" cy="751415"/>
    <xdr:pic>
      <xdr:nvPicPr>
        <xdr:cNvPr id="3" name="3 Imagen" descr="http://sanantero-cordoba.gov.co/apc-aa-files/38396635653931363362636634356634/escudo_ultimo_1.jpg">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1" cstate="print"/>
        <a:srcRect/>
        <a:stretch>
          <a:fillRect/>
        </a:stretch>
      </xdr:blipFill>
      <xdr:spPr bwMode="auto">
        <a:xfrm>
          <a:off x="283633" y="77259"/>
          <a:ext cx="687917" cy="751415"/>
        </a:xfrm>
        <a:prstGeom prst="rect">
          <a:avLst/>
        </a:prstGeom>
        <a:noFill/>
        <a:ln w="9525">
          <a:noFill/>
          <a:miter lim="800000"/>
          <a:headEnd/>
          <a:tailEnd/>
        </a:ln>
      </xdr:spPr>
    </xdr:pic>
    <xdr:clientData/>
  </xdr:oneCellAnchor>
  <xdr:twoCellAnchor>
    <xdr:from>
      <xdr:col>7</xdr:col>
      <xdr:colOff>91872</xdr:colOff>
      <xdr:row>0</xdr:row>
      <xdr:rowOff>13607</xdr:rowOff>
    </xdr:from>
    <xdr:to>
      <xdr:col>8</xdr:col>
      <xdr:colOff>680356</xdr:colOff>
      <xdr:row>2</xdr:row>
      <xdr:rowOff>176892</xdr:rowOff>
    </xdr:to>
    <xdr:pic>
      <xdr:nvPicPr>
        <xdr:cNvPr id="4" name="Picture 5">
          <a:extLst>
            <a:ext uri="{FF2B5EF4-FFF2-40B4-BE49-F238E27FC236}">
              <a16:creationId xmlns:a16="http://schemas.microsoft.com/office/drawing/2014/main" id="{00000000-0008-0000-1A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645322" y="13607"/>
          <a:ext cx="1360009" cy="887185"/>
        </a:xfrm>
        <a:prstGeom prst="rect">
          <a:avLst/>
        </a:prstGeom>
        <a:noFill/>
        <a:ln w="9525">
          <a:noFill/>
          <a:miter lim="800000"/>
          <a:headEnd/>
          <a:tailEnd/>
        </a:ln>
      </xdr:spPr>
    </xdr:pic>
    <xdr:clientData/>
  </xdr:twoCellAnchor>
  <xdr:twoCellAnchor editAs="oneCell">
    <xdr:from>
      <xdr:col>1</xdr:col>
      <xdr:colOff>0</xdr:colOff>
      <xdr:row>2399</xdr:row>
      <xdr:rowOff>0</xdr:rowOff>
    </xdr:from>
    <xdr:to>
      <xdr:col>2</xdr:col>
      <xdr:colOff>112276</xdr:colOff>
      <xdr:row>2565</xdr:row>
      <xdr:rowOff>122144</xdr:rowOff>
    </xdr:to>
    <xdr:pic>
      <xdr:nvPicPr>
        <xdr:cNvPr id="5" name="Imagen 4">
          <a:extLst>
            <a:ext uri="{FF2B5EF4-FFF2-40B4-BE49-F238E27FC236}">
              <a16:creationId xmlns:a16="http://schemas.microsoft.com/office/drawing/2014/main" id="{00000000-0008-0000-1A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76350" y="471716100"/>
          <a:ext cx="3646051" cy="4465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201387</xdr:colOff>
      <xdr:row>0</xdr:row>
      <xdr:rowOff>13606</xdr:rowOff>
    </xdr:from>
    <xdr:to>
      <xdr:col>0</xdr:col>
      <xdr:colOff>966107</xdr:colOff>
      <xdr:row>2</xdr:row>
      <xdr:rowOff>190499</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rcRect/>
        <a:stretch>
          <a:fillRect/>
        </a:stretch>
      </xdr:blipFill>
      <xdr:spPr bwMode="auto">
        <a:xfrm>
          <a:off x="201387" y="13606"/>
          <a:ext cx="859970" cy="802822"/>
        </a:xfrm>
        <a:prstGeom prst="rect">
          <a:avLst/>
        </a:prstGeom>
        <a:noFill/>
        <a:ln w="9525">
          <a:noFill/>
          <a:miter lim="800000"/>
          <a:headEnd/>
          <a:tailEnd/>
        </a:ln>
      </xdr:spPr>
    </xdr:pic>
    <xdr:clientData/>
  </xdr:twoCellAnchor>
  <xdr:twoCellAnchor>
    <xdr:from>
      <xdr:col>7</xdr:col>
      <xdr:colOff>10231</xdr:colOff>
      <xdr:row>0</xdr:row>
      <xdr:rowOff>0</xdr:rowOff>
    </xdr:from>
    <xdr:to>
      <xdr:col>9</xdr:col>
      <xdr:colOff>0</xdr:colOff>
      <xdr:row>2</xdr:row>
      <xdr:rowOff>204107</xdr:rowOff>
    </xdr:to>
    <xdr:pic>
      <xdr:nvPicPr>
        <xdr:cNvPr id="3" name="Picture 5">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412767" y="0"/>
          <a:ext cx="1568197" cy="830036"/>
        </a:xfrm>
        <a:prstGeom prst="rect">
          <a:avLst/>
        </a:prstGeom>
        <a:noFill/>
        <a:ln w="9525">
          <a:noFill/>
          <a:miter lim="800000"/>
          <a:headEnd/>
          <a:tailEnd/>
        </a:ln>
      </xdr:spPr>
    </xdr:pic>
    <xdr:clientData/>
  </xdr:twoCellAnchor>
  <xdr:twoCellAnchor editAs="oneCell">
    <xdr:from>
      <xdr:col>1</xdr:col>
      <xdr:colOff>141319</xdr:colOff>
      <xdr:row>1771</xdr:row>
      <xdr:rowOff>134471</xdr:rowOff>
    </xdr:from>
    <xdr:to>
      <xdr:col>1</xdr:col>
      <xdr:colOff>1668494</xdr:colOff>
      <xdr:row>1776</xdr:row>
      <xdr:rowOff>10646</xdr:rowOff>
    </xdr:to>
    <xdr:pic>
      <xdr:nvPicPr>
        <xdr:cNvPr id="4" name="Imagen 3">
          <a:extLst>
            <a:ext uri="{FF2B5EF4-FFF2-40B4-BE49-F238E27FC236}">
              <a16:creationId xmlns:a16="http://schemas.microsoft.com/office/drawing/2014/main" id="{00000000-0008-0000-1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62760" y="337890971"/>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183652</xdr:colOff>
      <xdr:row>1778</xdr:row>
      <xdr:rowOff>135690</xdr:rowOff>
    </xdr:from>
    <xdr:to>
      <xdr:col>1</xdr:col>
      <xdr:colOff>1612402</xdr:colOff>
      <xdr:row>1781</xdr:row>
      <xdr:rowOff>216707</xdr:rowOff>
    </xdr:to>
    <xdr:pic>
      <xdr:nvPicPr>
        <xdr:cNvPr id="5" name="Imagen 4">
          <a:extLst>
            <a:ext uri="{FF2B5EF4-FFF2-40B4-BE49-F238E27FC236}">
              <a16:creationId xmlns:a16="http://schemas.microsoft.com/office/drawing/2014/main" id="{00000000-0008-0000-1B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5093" y="338956749"/>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100853</xdr:colOff>
      <xdr:row>1784</xdr:row>
      <xdr:rowOff>153770</xdr:rowOff>
    </xdr:from>
    <xdr:to>
      <xdr:col>1</xdr:col>
      <xdr:colOff>1142253</xdr:colOff>
      <xdr:row>1788</xdr:row>
      <xdr:rowOff>181536</xdr:rowOff>
    </xdr:to>
    <xdr:pic>
      <xdr:nvPicPr>
        <xdr:cNvPr id="6" name="Imagen 5">
          <a:extLst>
            <a:ext uri="{FF2B5EF4-FFF2-40B4-BE49-F238E27FC236}">
              <a16:creationId xmlns:a16="http://schemas.microsoft.com/office/drawing/2014/main" id="{00000000-0008-0000-1B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2294" y="340835005"/>
          <a:ext cx="1041400" cy="1013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76200</xdr:colOff>
      <xdr:row>0</xdr:row>
      <xdr:rowOff>146617</xdr:rowOff>
    </xdr:from>
    <xdr:to>
      <xdr:col>0</xdr:col>
      <xdr:colOff>676275</xdr:colOff>
      <xdr:row>2</xdr:row>
      <xdr:rowOff>9525</xdr:rowOff>
    </xdr:to>
    <xdr:pic>
      <xdr:nvPicPr>
        <xdr:cNvPr id="18" name="3 Imagen" descr="http://sanantero-cordoba.gov.co/apc-aa-files/38396635653931363362636634356634/escudo_ultimo_1.jpg">
          <a:extLst>
            <a:ext uri="{FF2B5EF4-FFF2-40B4-BE49-F238E27FC236}">
              <a16:creationId xmlns:a16="http://schemas.microsoft.com/office/drawing/2014/main" id="{00000000-0008-0000-1C00-000012000000}"/>
            </a:ext>
          </a:extLst>
        </xdr:cNvPr>
        <xdr:cNvPicPr/>
      </xdr:nvPicPr>
      <xdr:blipFill>
        <a:blip xmlns:r="http://schemas.openxmlformats.org/officeDocument/2006/relationships" r:embed="rId1" cstate="print"/>
        <a:srcRect/>
        <a:stretch>
          <a:fillRect/>
        </a:stretch>
      </xdr:blipFill>
      <xdr:spPr bwMode="auto">
        <a:xfrm>
          <a:off x="76200" y="146617"/>
          <a:ext cx="600075" cy="548708"/>
        </a:xfrm>
        <a:prstGeom prst="rect">
          <a:avLst/>
        </a:prstGeom>
        <a:noFill/>
        <a:ln w="9525">
          <a:noFill/>
          <a:miter lim="800000"/>
          <a:headEnd/>
          <a:tailEnd/>
        </a:ln>
      </xdr:spPr>
    </xdr:pic>
    <xdr:clientData/>
  </xdr:twoCellAnchor>
  <xdr:twoCellAnchor>
    <xdr:from>
      <xdr:col>5</xdr:col>
      <xdr:colOff>105480</xdr:colOff>
      <xdr:row>0</xdr:row>
      <xdr:rowOff>59531</xdr:rowOff>
    </xdr:from>
    <xdr:to>
      <xdr:col>5</xdr:col>
      <xdr:colOff>1262062</xdr:colOff>
      <xdr:row>2</xdr:row>
      <xdr:rowOff>147341</xdr:rowOff>
    </xdr:to>
    <xdr:pic>
      <xdr:nvPicPr>
        <xdr:cNvPr id="19" name="Picture 5">
          <a:extLst>
            <a:ext uri="{FF2B5EF4-FFF2-40B4-BE49-F238E27FC236}">
              <a16:creationId xmlns:a16="http://schemas.microsoft.com/office/drawing/2014/main" id="{00000000-0008-0000-1C00-00001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570699" y="59531"/>
          <a:ext cx="1156582" cy="778373"/>
        </a:xfrm>
        <a:prstGeom prst="rect">
          <a:avLst/>
        </a:prstGeom>
        <a:noFill/>
        <a:ln w="9525">
          <a:noFill/>
          <a:miter lim="800000"/>
          <a:headEnd/>
          <a:tailEnd/>
        </a:ln>
      </xdr:spPr>
    </xdr:pic>
    <xdr:clientData/>
  </xdr:twoCellAnchor>
  <xdr:twoCellAnchor editAs="oneCell">
    <xdr:from>
      <xdr:col>1</xdr:col>
      <xdr:colOff>0</xdr:colOff>
      <xdr:row>499</xdr:row>
      <xdr:rowOff>0</xdr:rowOff>
    </xdr:from>
    <xdr:to>
      <xdr:col>1</xdr:col>
      <xdr:colOff>3646051</xdr:colOff>
      <xdr:row>519</xdr:row>
      <xdr:rowOff>69390</xdr:rowOff>
    </xdr:to>
    <xdr:pic>
      <xdr:nvPicPr>
        <xdr:cNvPr id="5" name="Imagen 4">
          <a:extLst>
            <a:ext uri="{FF2B5EF4-FFF2-40B4-BE49-F238E27FC236}">
              <a16:creationId xmlns:a16="http://schemas.microsoft.com/office/drawing/2014/main" id="{00000000-0008-0000-1C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5365" y="162965423"/>
          <a:ext cx="3646051" cy="4465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165473</xdr:colOff>
      <xdr:row>0</xdr:row>
      <xdr:rowOff>97119</xdr:rowOff>
    </xdr:from>
    <xdr:to>
      <xdr:col>6</xdr:col>
      <xdr:colOff>1322293</xdr:colOff>
      <xdr:row>2</xdr:row>
      <xdr:rowOff>104895</xdr:rowOff>
    </xdr:to>
    <xdr:pic>
      <xdr:nvPicPr>
        <xdr:cNvPr id="2" name="Picture 5">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81091" y="97119"/>
          <a:ext cx="1156820" cy="769776"/>
        </a:xfrm>
        <a:prstGeom prst="rect">
          <a:avLst/>
        </a:prstGeom>
        <a:noFill/>
        <a:ln w="9525">
          <a:noFill/>
          <a:miter lim="800000"/>
          <a:headEnd/>
          <a:tailEnd/>
        </a:ln>
      </xdr:spPr>
    </xdr:pic>
    <xdr:clientData/>
  </xdr:twoCellAnchor>
  <xdr:twoCellAnchor editAs="oneCell">
    <xdr:from>
      <xdr:col>0</xdr:col>
      <xdr:colOff>111579</xdr:colOff>
      <xdr:row>0</xdr:row>
      <xdr:rowOff>111125</xdr:rowOff>
    </xdr:from>
    <xdr:to>
      <xdr:col>1</xdr:col>
      <xdr:colOff>508001</xdr:colOff>
      <xdr:row>2</xdr:row>
      <xdr:rowOff>158750</xdr:rowOff>
    </xdr:to>
    <xdr:pic>
      <xdr:nvPicPr>
        <xdr:cNvPr id="4" name="5 Imagen" descr="http://sanantero-cordoba.gov.co/apc-aa-files/38396635653931363362636634356634/escudo_ultimo_1.jpg">
          <a:extLst>
            <a:ext uri="{FF2B5EF4-FFF2-40B4-BE49-F238E27FC236}">
              <a16:creationId xmlns:a16="http://schemas.microsoft.com/office/drawing/2014/main" id="{00000000-0008-0000-1D00-000004000000}"/>
            </a:ext>
          </a:extLst>
        </xdr:cNvPr>
        <xdr:cNvPicPr/>
      </xdr:nvPicPr>
      <xdr:blipFill>
        <a:blip xmlns:r="http://schemas.openxmlformats.org/officeDocument/2006/relationships" r:embed="rId2" cstate="print"/>
        <a:srcRect/>
        <a:stretch>
          <a:fillRect/>
        </a:stretch>
      </xdr:blipFill>
      <xdr:spPr bwMode="auto">
        <a:xfrm>
          <a:off x="111579" y="111125"/>
          <a:ext cx="745672" cy="809625"/>
        </a:xfrm>
        <a:prstGeom prst="rect">
          <a:avLst/>
        </a:prstGeom>
        <a:noFill/>
        <a:ln w="9525">
          <a:noFill/>
          <a:miter lim="800000"/>
          <a:headEnd/>
          <a:tailEnd/>
        </a:ln>
      </xdr:spPr>
    </xdr:pic>
    <xdr:clientData/>
  </xdr:twoCellAnchor>
  <xdr:twoCellAnchor editAs="oneCell">
    <xdr:from>
      <xdr:col>2</xdr:col>
      <xdr:colOff>72778</xdr:colOff>
      <xdr:row>134</xdr:row>
      <xdr:rowOff>157100</xdr:rowOff>
    </xdr:from>
    <xdr:to>
      <xdr:col>2</xdr:col>
      <xdr:colOff>3469102</xdr:colOff>
      <xdr:row>153</xdr:row>
      <xdr:rowOff>200324</xdr:rowOff>
    </xdr:to>
    <xdr:pic>
      <xdr:nvPicPr>
        <xdr:cNvPr id="7" name="Imagen 6">
          <a:extLst>
            <a:ext uri="{FF2B5EF4-FFF2-40B4-BE49-F238E27FC236}">
              <a16:creationId xmlns:a16="http://schemas.microsoft.com/office/drawing/2014/main" id="{00000000-0008-0000-1D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9403" y="38606350"/>
          <a:ext cx="3396324" cy="4265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161926</xdr:colOff>
      <xdr:row>0</xdr:row>
      <xdr:rowOff>38099</xdr:rowOff>
    </xdr:from>
    <xdr:to>
      <xdr:col>0</xdr:col>
      <xdr:colOff>1038226</xdr:colOff>
      <xdr:row>2</xdr:row>
      <xdr:rowOff>200024</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rcRect/>
        <a:stretch>
          <a:fillRect/>
        </a:stretch>
      </xdr:blipFill>
      <xdr:spPr bwMode="auto">
        <a:xfrm>
          <a:off x="161926" y="38099"/>
          <a:ext cx="876300" cy="847725"/>
        </a:xfrm>
        <a:prstGeom prst="rect">
          <a:avLst/>
        </a:prstGeom>
        <a:noFill/>
        <a:ln w="9525">
          <a:noFill/>
          <a:miter lim="800000"/>
          <a:headEnd/>
          <a:tailEnd/>
        </a:ln>
      </xdr:spPr>
    </xdr:pic>
    <xdr:clientData/>
  </xdr:twoCellAnchor>
  <xdr:twoCellAnchor>
    <xdr:from>
      <xdr:col>7</xdr:col>
      <xdr:colOff>29282</xdr:colOff>
      <xdr:row>0</xdr:row>
      <xdr:rowOff>0</xdr:rowOff>
    </xdr:from>
    <xdr:to>
      <xdr:col>9</xdr:col>
      <xdr:colOff>9525</xdr:colOff>
      <xdr:row>2</xdr:row>
      <xdr:rowOff>228600</xdr:rowOff>
    </xdr:to>
    <xdr:pic>
      <xdr:nvPicPr>
        <xdr:cNvPr id="3" name="Picture 5">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39782" y="0"/>
          <a:ext cx="1408993" cy="914400"/>
        </a:xfrm>
        <a:prstGeom prst="rect">
          <a:avLst/>
        </a:prstGeom>
        <a:noFill/>
        <a:ln w="9525">
          <a:noFill/>
          <a:miter lim="800000"/>
          <a:headEnd/>
          <a:tailEnd/>
        </a:ln>
      </xdr:spPr>
    </xdr:pic>
    <xdr:clientData/>
  </xdr:twoCellAnchor>
  <xdr:twoCellAnchor editAs="oneCell">
    <xdr:from>
      <xdr:col>1</xdr:col>
      <xdr:colOff>17689</xdr:colOff>
      <xdr:row>577</xdr:row>
      <xdr:rowOff>104775</xdr:rowOff>
    </xdr:from>
    <xdr:to>
      <xdr:col>1</xdr:col>
      <xdr:colOff>3399234</xdr:colOff>
      <xdr:row>595</xdr:row>
      <xdr:rowOff>93570</xdr:rowOff>
    </xdr:to>
    <xdr:pic>
      <xdr:nvPicPr>
        <xdr:cNvPr id="8" name="Imagen 7">
          <a:extLst>
            <a:ext uri="{FF2B5EF4-FFF2-40B4-BE49-F238E27FC236}">
              <a16:creationId xmlns:a16="http://schemas.microsoft.com/office/drawing/2014/main" id="{00000000-0008-0000-1E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70214" y="117890925"/>
          <a:ext cx="3381545" cy="4217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904875</xdr:colOff>
      <xdr:row>379</xdr:row>
      <xdr:rowOff>76200</xdr:rowOff>
    </xdr:from>
    <xdr:to>
      <xdr:col>1</xdr:col>
      <xdr:colOff>1466436</xdr:colOff>
      <xdr:row>381</xdr:row>
      <xdr:rowOff>695324</xdr:rowOff>
    </xdr:to>
    <xdr:pic>
      <xdr:nvPicPr>
        <xdr:cNvPr id="2" name="Imagen 3">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875" y="74666475"/>
          <a:ext cx="15621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381</xdr:row>
      <xdr:rowOff>30256</xdr:rowOff>
    </xdr:from>
    <xdr:to>
      <xdr:col>7</xdr:col>
      <xdr:colOff>516327</xdr:colOff>
      <xdr:row>381</xdr:row>
      <xdr:rowOff>697006</xdr:rowOff>
    </xdr:to>
    <xdr:pic>
      <xdr:nvPicPr>
        <xdr:cNvPr id="3" name="Imagen 4">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57750" y="76925021"/>
          <a:ext cx="235969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327660</xdr:colOff>
          <xdr:row>1</xdr:row>
          <xdr:rowOff>83820</xdr:rowOff>
        </xdr:from>
        <xdr:to>
          <xdr:col>1</xdr:col>
          <xdr:colOff>868680</xdr:colOff>
          <xdr:row>3</xdr:row>
          <xdr:rowOff>30480</xdr:rowOff>
        </xdr:to>
        <xdr:sp macro="" textlink="">
          <xdr:nvSpPr>
            <xdr:cNvPr id="180225" name="Object 1" hidden="1">
              <a:extLst>
                <a:ext uri="{63B3BB69-23CF-44E3-9099-C40C66FF867C}">
                  <a14:compatExt spid="_x0000_s180225"/>
                </a:ext>
                <a:ext uri="{FF2B5EF4-FFF2-40B4-BE49-F238E27FC236}">
                  <a16:creationId xmlns:a16="http://schemas.microsoft.com/office/drawing/2014/main" id="{00000000-0008-0000-2200-000001C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2</xdr:col>
      <xdr:colOff>115359</xdr:colOff>
      <xdr:row>1</xdr:row>
      <xdr:rowOff>116417</xdr:rowOff>
    </xdr:from>
    <xdr:to>
      <xdr:col>2</xdr:col>
      <xdr:colOff>1190625</xdr:colOff>
      <xdr:row>3</xdr:row>
      <xdr:rowOff>154077</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9359" y="278342"/>
          <a:ext cx="1075266" cy="1085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1</xdr:row>
      <xdr:rowOff>133350</xdr:rowOff>
    </xdr:from>
    <xdr:to>
      <xdr:col>9</xdr:col>
      <xdr:colOff>876300</xdr:colOff>
      <xdr:row>3</xdr:row>
      <xdr:rowOff>114300</xdr:rowOff>
    </xdr:to>
    <xdr:pic>
      <xdr:nvPicPr>
        <xdr:cNvPr id="3" name="Imagen 6" descr="I:\COMUNICACIONES\ARTES PUBLICACIONES\AGUAS DEL SINÚ\LOGO.JPG">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91550" y="295275"/>
          <a:ext cx="1676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115359</xdr:colOff>
      <xdr:row>1</xdr:row>
      <xdr:rowOff>116417</xdr:rowOff>
    </xdr:from>
    <xdr:to>
      <xdr:col>2</xdr:col>
      <xdr:colOff>1238250</xdr:colOff>
      <xdr:row>5</xdr:row>
      <xdr:rowOff>411252</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9359" y="278342"/>
          <a:ext cx="1075266" cy="1085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152400</xdr:colOff>
      <xdr:row>1</xdr:row>
      <xdr:rowOff>133350</xdr:rowOff>
    </xdr:from>
    <xdr:to>
      <xdr:col>9</xdr:col>
      <xdr:colOff>971550</xdr:colOff>
      <xdr:row>5</xdr:row>
      <xdr:rowOff>371475</xdr:rowOff>
    </xdr:to>
    <xdr:pic>
      <xdr:nvPicPr>
        <xdr:cNvPr id="3" name="Imagen 6" descr="I:\COMUNICACIONES\ARTES PUBLICACIONES\AGUAS DEL SINÚ\LOGO.JP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15375" y="295275"/>
          <a:ext cx="1676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952500</xdr:colOff>
      <xdr:row>1</xdr:row>
      <xdr:rowOff>0</xdr:rowOff>
    </xdr:from>
    <xdr:to>
      <xdr:col>6</xdr:col>
      <xdr:colOff>421687</xdr:colOff>
      <xdr:row>2</xdr:row>
      <xdr:rowOff>0</xdr:rowOff>
    </xdr:to>
    <xdr:pic>
      <xdr:nvPicPr>
        <xdr:cNvPr id="9" name="7 Imagen" descr="Antioquia la mas Educada">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58200" y="276225"/>
          <a:ext cx="421687" cy="161925"/>
        </a:xfrm>
        <a:prstGeom prst="rect">
          <a:avLst/>
        </a:prstGeom>
        <a:noFill/>
        <a:ln w="9525">
          <a:noFill/>
          <a:miter lim="800000"/>
          <a:headEnd/>
          <a:tailEnd/>
        </a:ln>
      </xdr:spPr>
    </xdr:pic>
    <xdr:clientData/>
  </xdr:twoCellAnchor>
  <xdr:twoCellAnchor editAs="oneCell">
    <xdr:from>
      <xdr:col>5</xdr:col>
      <xdr:colOff>638175</xdr:colOff>
      <xdr:row>1</xdr:row>
      <xdr:rowOff>0</xdr:rowOff>
    </xdr:from>
    <xdr:to>
      <xdr:col>5</xdr:col>
      <xdr:colOff>640762</xdr:colOff>
      <xdr:row>2</xdr:row>
      <xdr:rowOff>1681</xdr:rowOff>
    </xdr:to>
    <xdr:pic>
      <xdr:nvPicPr>
        <xdr:cNvPr id="10" name="4 Imagen" descr="Antioquia la mas Educada">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43875" y="276225"/>
          <a:ext cx="2587" cy="158564"/>
        </a:xfrm>
        <a:prstGeom prst="rect">
          <a:avLst/>
        </a:prstGeom>
        <a:noFill/>
        <a:ln w="9525">
          <a:noFill/>
          <a:miter lim="800000"/>
          <a:headEnd/>
          <a:tailEnd/>
        </a:ln>
      </xdr:spPr>
    </xdr:pic>
    <xdr:clientData/>
  </xdr:twoCellAnchor>
  <xdr:twoCellAnchor editAs="oneCell">
    <xdr:from>
      <xdr:col>5</xdr:col>
      <xdr:colOff>952500</xdr:colOff>
      <xdr:row>1</xdr:row>
      <xdr:rowOff>0</xdr:rowOff>
    </xdr:from>
    <xdr:to>
      <xdr:col>6</xdr:col>
      <xdr:colOff>421687</xdr:colOff>
      <xdr:row>2</xdr:row>
      <xdr:rowOff>0</xdr:rowOff>
    </xdr:to>
    <xdr:pic>
      <xdr:nvPicPr>
        <xdr:cNvPr id="11" name="7 Imagen" descr="Antioquia la mas Educada">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58200" y="276225"/>
          <a:ext cx="421687" cy="161925"/>
        </a:xfrm>
        <a:prstGeom prst="rect">
          <a:avLst/>
        </a:prstGeom>
        <a:noFill/>
        <a:ln w="9525">
          <a:noFill/>
          <a:miter lim="800000"/>
          <a:headEnd/>
          <a:tailEnd/>
        </a:ln>
      </xdr:spPr>
    </xdr:pic>
    <xdr:clientData/>
  </xdr:twoCellAnchor>
  <xdr:twoCellAnchor editAs="oneCell">
    <xdr:from>
      <xdr:col>5</xdr:col>
      <xdr:colOff>638175</xdr:colOff>
      <xdr:row>1</xdr:row>
      <xdr:rowOff>0</xdr:rowOff>
    </xdr:from>
    <xdr:to>
      <xdr:col>5</xdr:col>
      <xdr:colOff>640762</xdr:colOff>
      <xdr:row>2</xdr:row>
      <xdr:rowOff>1681</xdr:rowOff>
    </xdr:to>
    <xdr:pic>
      <xdr:nvPicPr>
        <xdr:cNvPr id="12" name="8 Imagen" descr="Antioquia la mas Educada">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43875" y="276225"/>
          <a:ext cx="2587" cy="158564"/>
        </a:xfrm>
        <a:prstGeom prst="rect">
          <a:avLst/>
        </a:prstGeom>
        <a:noFill/>
        <a:ln w="9525">
          <a:noFill/>
          <a:miter lim="800000"/>
          <a:headEnd/>
          <a:tailEnd/>
        </a:ln>
      </xdr:spPr>
    </xdr:pic>
    <xdr:clientData/>
  </xdr:twoCellAnchor>
  <xdr:twoCellAnchor editAs="oneCell">
    <xdr:from>
      <xdr:col>0</xdr:col>
      <xdr:colOff>0</xdr:colOff>
      <xdr:row>2</xdr:row>
      <xdr:rowOff>22411</xdr:rowOff>
    </xdr:from>
    <xdr:to>
      <xdr:col>0</xdr:col>
      <xdr:colOff>866775</xdr:colOff>
      <xdr:row>4</xdr:row>
      <xdr:rowOff>190500</xdr:rowOff>
    </xdr:to>
    <xdr:pic>
      <xdr:nvPicPr>
        <xdr:cNvPr id="13" name="3 Imagen" descr="http://sanantero-cordoba.gov.co/apc-aa-files/38396635653931363362636634356634/escudo_ultimo_1.jpg">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2" cstate="print"/>
        <a:srcRect/>
        <a:stretch>
          <a:fillRect/>
        </a:stretch>
      </xdr:blipFill>
      <xdr:spPr bwMode="auto">
        <a:xfrm>
          <a:off x="0" y="336176"/>
          <a:ext cx="866775" cy="874059"/>
        </a:xfrm>
        <a:prstGeom prst="rect">
          <a:avLst/>
        </a:prstGeom>
        <a:noFill/>
        <a:ln w="9525">
          <a:noFill/>
          <a:miter lim="800000"/>
          <a:headEnd/>
          <a:tailEnd/>
        </a:ln>
      </xdr:spPr>
    </xdr:pic>
    <xdr:clientData/>
  </xdr:twoCellAnchor>
  <xdr:twoCellAnchor>
    <xdr:from>
      <xdr:col>7</xdr:col>
      <xdr:colOff>20128</xdr:colOff>
      <xdr:row>2</xdr:row>
      <xdr:rowOff>11205</xdr:rowOff>
    </xdr:from>
    <xdr:to>
      <xdr:col>8</xdr:col>
      <xdr:colOff>761999</xdr:colOff>
      <xdr:row>5</xdr:row>
      <xdr:rowOff>22411</xdr:rowOff>
    </xdr:to>
    <xdr:pic>
      <xdr:nvPicPr>
        <xdr:cNvPr id="14" name="Picture 5">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592628" y="324970"/>
          <a:ext cx="1503871" cy="1008529"/>
        </a:xfrm>
        <a:prstGeom prst="rect">
          <a:avLst/>
        </a:prstGeom>
        <a:noFill/>
        <a:ln w="9525">
          <a:noFill/>
          <a:miter lim="800000"/>
          <a:headEnd/>
          <a:tailEnd/>
        </a:ln>
      </xdr:spPr>
    </xdr:pic>
    <xdr:clientData/>
  </xdr:twoCellAnchor>
  <xdr:twoCellAnchor editAs="oneCell">
    <xdr:from>
      <xdr:col>1</xdr:col>
      <xdr:colOff>30381</xdr:colOff>
      <xdr:row>529</xdr:row>
      <xdr:rowOff>0</xdr:rowOff>
    </xdr:from>
    <xdr:to>
      <xdr:col>1</xdr:col>
      <xdr:colOff>1557556</xdr:colOff>
      <xdr:row>532</xdr:row>
      <xdr:rowOff>156322</xdr:rowOff>
    </xdr:to>
    <xdr:pic>
      <xdr:nvPicPr>
        <xdr:cNvPr id="8" name="Imagen 7">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6852" y="108618618"/>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83920</xdr:colOff>
      <xdr:row>535</xdr:row>
      <xdr:rowOff>180513</xdr:rowOff>
    </xdr:from>
    <xdr:to>
      <xdr:col>1</xdr:col>
      <xdr:colOff>1512670</xdr:colOff>
      <xdr:row>539</xdr:row>
      <xdr:rowOff>37413</xdr:rowOff>
    </xdr:to>
    <xdr:pic>
      <xdr:nvPicPr>
        <xdr:cNvPr id="15" name="Imagen 14">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80391" y="110143837"/>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67235</xdr:colOff>
      <xdr:row>540</xdr:row>
      <xdr:rowOff>198033</xdr:rowOff>
    </xdr:from>
    <xdr:to>
      <xdr:col>1</xdr:col>
      <xdr:colOff>1108635</xdr:colOff>
      <xdr:row>544</xdr:row>
      <xdr:rowOff>225799</xdr:rowOff>
    </xdr:to>
    <xdr:pic>
      <xdr:nvPicPr>
        <xdr:cNvPr id="16" name="Imagen 15">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63706" y="111371592"/>
          <a:ext cx="1041400" cy="1013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638175</xdr:colOff>
      <xdr:row>0</xdr:row>
      <xdr:rowOff>0</xdr:rowOff>
    </xdr:from>
    <xdr:to>
      <xdr:col>5</xdr:col>
      <xdr:colOff>640762</xdr:colOff>
      <xdr:row>1</xdr:row>
      <xdr:rowOff>82364</xdr:rowOff>
    </xdr:to>
    <xdr:pic>
      <xdr:nvPicPr>
        <xdr:cNvPr id="3" name="4 Imagen" descr="Antioquia la mas Educada">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00950" y="0"/>
          <a:ext cx="2587" cy="244289"/>
        </a:xfrm>
        <a:prstGeom prst="rect">
          <a:avLst/>
        </a:prstGeom>
        <a:noFill/>
        <a:ln w="9525">
          <a:noFill/>
          <a:miter lim="800000"/>
          <a:headEnd/>
          <a:tailEnd/>
        </a:ln>
      </xdr:spPr>
    </xdr:pic>
    <xdr:clientData/>
  </xdr:twoCellAnchor>
  <xdr:twoCellAnchor editAs="oneCell">
    <xdr:from>
      <xdr:col>5</xdr:col>
      <xdr:colOff>638175</xdr:colOff>
      <xdr:row>0</xdr:row>
      <xdr:rowOff>0</xdr:rowOff>
    </xdr:from>
    <xdr:to>
      <xdr:col>5</xdr:col>
      <xdr:colOff>640762</xdr:colOff>
      <xdr:row>1</xdr:row>
      <xdr:rowOff>82364</xdr:rowOff>
    </xdr:to>
    <xdr:pic>
      <xdr:nvPicPr>
        <xdr:cNvPr id="5" name="8 Imagen" descr="Antioquia la mas Educada">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00950" y="0"/>
          <a:ext cx="2587" cy="244289"/>
        </a:xfrm>
        <a:prstGeom prst="rect">
          <a:avLst/>
        </a:prstGeom>
        <a:noFill/>
        <a:ln w="9525">
          <a:noFill/>
          <a:miter lim="800000"/>
          <a:headEnd/>
          <a:tailEnd/>
        </a:ln>
      </xdr:spPr>
    </xdr:pic>
    <xdr:clientData/>
  </xdr:twoCellAnchor>
  <xdr:twoCellAnchor editAs="oneCell">
    <xdr:from>
      <xdr:col>0</xdr:col>
      <xdr:colOff>104776</xdr:colOff>
      <xdr:row>1</xdr:row>
      <xdr:rowOff>85725</xdr:rowOff>
    </xdr:from>
    <xdr:to>
      <xdr:col>0</xdr:col>
      <xdr:colOff>885826</xdr:colOff>
      <xdr:row>2</xdr:row>
      <xdr:rowOff>200025</xdr:rowOff>
    </xdr:to>
    <xdr:pic>
      <xdr:nvPicPr>
        <xdr:cNvPr id="6" name="3 Imagen" descr="http://sanantero-cordoba.gov.co/apc-aa-files/38396635653931363362636634356634/escudo_ultimo_1.jpg">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2" cstate="print"/>
        <a:srcRect/>
        <a:stretch>
          <a:fillRect/>
        </a:stretch>
      </xdr:blipFill>
      <xdr:spPr bwMode="auto">
        <a:xfrm>
          <a:off x="104776" y="247650"/>
          <a:ext cx="781050" cy="752475"/>
        </a:xfrm>
        <a:prstGeom prst="rect">
          <a:avLst/>
        </a:prstGeom>
        <a:noFill/>
        <a:ln w="9525">
          <a:noFill/>
          <a:miter lim="800000"/>
          <a:headEnd/>
          <a:tailEnd/>
        </a:ln>
      </xdr:spPr>
    </xdr:pic>
    <xdr:clientData/>
  </xdr:twoCellAnchor>
  <xdr:twoCellAnchor>
    <xdr:from>
      <xdr:col>8</xdr:col>
      <xdr:colOff>86432</xdr:colOff>
      <xdr:row>1</xdr:row>
      <xdr:rowOff>55602</xdr:rowOff>
    </xdr:from>
    <xdr:to>
      <xdr:col>8</xdr:col>
      <xdr:colOff>1304925</xdr:colOff>
      <xdr:row>3</xdr:row>
      <xdr:rowOff>207750</xdr:rowOff>
    </xdr:to>
    <xdr:pic>
      <xdr:nvPicPr>
        <xdr:cNvPr id="7" name="Picture 5">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20757" y="217527"/>
          <a:ext cx="1218493" cy="790323"/>
        </a:xfrm>
        <a:prstGeom prst="rect">
          <a:avLst/>
        </a:prstGeom>
        <a:noFill/>
        <a:ln w="9525">
          <a:noFill/>
          <a:miter lim="800000"/>
          <a:headEnd/>
          <a:tailEnd/>
        </a:ln>
      </xdr:spPr>
    </xdr:pic>
    <xdr:clientData/>
  </xdr:twoCellAnchor>
  <xdr:twoCellAnchor editAs="oneCell">
    <xdr:from>
      <xdr:col>0</xdr:col>
      <xdr:colOff>285750</xdr:colOff>
      <xdr:row>176</xdr:row>
      <xdr:rowOff>79375</xdr:rowOff>
    </xdr:from>
    <xdr:to>
      <xdr:col>1</xdr:col>
      <xdr:colOff>2655377</xdr:colOff>
      <xdr:row>194</xdr:row>
      <xdr:rowOff>174625</xdr:rowOff>
    </xdr:to>
    <xdr:pic>
      <xdr:nvPicPr>
        <xdr:cNvPr id="8" name="Imagen 5">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5750" y="38020625"/>
          <a:ext cx="3385627" cy="428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177857</xdr:colOff>
      <xdr:row>0</xdr:row>
      <xdr:rowOff>43211</xdr:rowOff>
    </xdr:from>
    <xdr:to>
      <xdr:col>3</xdr:col>
      <xdr:colOff>600075</xdr:colOff>
      <xdr:row>0</xdr:row>
      <xdr:rowOff>590550</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3732" y="43211"/>
          <a:ext cx="1184218" cy="54733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177857</xdr:colOff>
      <xdr:row>0</xdr:row>
      <xdr:rowOff>43211</xdr:rowOff>
    </xdr:from>
    <xdr:to>
      <xdr:col>3</xdr:col>
      <xdr:colOff>600075</xdr:colOff>
      <xdr:row>0</xdr:row>
      <xdr:rowOff>590550</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73732" y="43211"/>
          <a:ext cx="1184218" cy="54733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152400</xdr:colOff>
      <xdr:row>16</xdr:row>
      <xdr:rowOff>142875</xdr:rowOff>
    </xdr:from>
    <xdr:to>
      <xdr:col>6</xdr:col>
      <xdr:colOff>447675</xdr:colOff>
      <xdr:row>17</xdr:row>
      <xdr:rowOff>193676</xdr:rowOff>
    </xdr:to>
    <xdr:sp macro="" textlink="">
      <xdr:nvSpPr>
        <xdr:cNvPr id="2" name="Check Box 5"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4290060" y="3571875"/>
          <a:ext cx="295275" cy="2336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152400</xdr:colOff>
      <xdr:row>16</xdr:row>
      <xdr:rowOff>142875</xdr:rowOff>
    </xdr:from>
    <xdr:to>
      <xdr:col>10</xdr:col>
      <xdr:colOff>447675</xdr:colOff>
      <xdr:row>17</xdr:row>
      <xdr:rowOff>193676</xdr:rowOff>
    </xdr:to>
    <xdr:sp macro="" textlink="">
      <xdr:nvSpPr>
        <xdr:cNvPr id="3" name="Check Box 6"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7429500" y="3571875"/>
          <a:ext cx="295275" cy="2336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527560</xdr:colOff>
      <xdr:row>1</xdr:row>
      <xdr:rowOff>100361</xdr:rowOff>
    </xdr:from>
    <xdr:to>
      <xdr:col>10</xdr:col>
      <xdr:colOff>255683</xdr:colOff>
      <xdr:row>3</xdr:row>
      <xdr:rowOff>90882</xdr:rowOff>
    </xdr:to>
    <xdr:pic>
      <xdr:nvPicPr>
        <xdr:cNvPr id="4" name="Imagen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1674" y="285418"/>
          <a:ext cx="1295666" cy="469493"/>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152400</xdr:rowOff>
    </xdr:from>
    <xdr:to>
      <xdr:col>0</xdr:col>
      <xdr:colOff>742950</xdr:colOff>
      <xdr:row>2</xdr:row>
      <xdr:rowOff>133350</xdr:rowOff>
    </xdr:to>
    <xdr:pic>
      <xdr:nvPicPr>
        <xdr:cNvPr id="2" name="3 Imagen" descr="http://sanantero-cordoba.gov.co/apc-aa-files/38396635653931363362636634356634/escudo_ultimo_1.jpg">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rcRect/>
        <a:stretch>
          <a:fillRect/>
        </a:stretch>
      </xdr:blipFill>
      <xdr:spPr bwMode="auto">
        <a:xfrm>
          <a:off x="0" y="152400"/>
          <a:ext cx="742950" cy="647700"/>
        </a:xfrm>
        <a:prstGeom prst="rect">
          <a:avLst/>
        </a:prstGeom>
        <a:noFill/>
        <a:ln w="9525">
          <a:noFill/>
          <a:miter lim="800000"/>
          <a:headEnd/>
          <a:tailEnd/>
        </a:ln>
      </xdr:spPr>
    </xdr:pic>
    <xdr:clientData/>
  </xdr:twoCellAnchor>
  <xdr:twoCellAnchor>
    <xdr:from>
      <xdr:col>7</xdr:col>
      <xdr:colOff>115006</xdr:colOff>
      <xdr:row>1</xdr:row>
      <xdr:rowOff>161926</xdr:rowOff>
    </xdr:from>
    <xdr:to>
      <xdr:col>8</xdr:col>
      <xdr:colOff>574222</xdr:colOff>
      <xdr:row>3</xdr:row>
      <xdr:rowOff>186548</xdr:rowOff>
    </xdr:to>
    <xdr:pic>
      <xdr:nvPicPr>
        <xdr:cNvPr id="3" name="Picture 5">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10613" y="366033"/>
          <a:ext cx="1221216" cy="732194"/>
        </a:xfrm>
        <a:prstGeom prst="rect">
          <a:avLst/>
        </a:prstGeom>
        <a:noFill/>
        <a:ln w="9525">
          <a:noFill/>
          <a:miter lim="800000"/>
          <a:headEnd/>
          <a:tailEnd/>
        </a:ln>
      </xdr:spPr>
    </xdr:pic>
    <xdr:clientData/>
  </xdr:twoCellAnchor>
  <xdr:twoCellAnchor editAs="oneCell">
    <xdr:from>
      <xdr:col>1</xdr:col>
      <xdr:colOff>128513</xdr:colOff>
      <xdr:row>190</xdr:row>
      <xdr:rowOff>190500</xdr:rowOff>
    </xdr:from>
    <xdr:to>
      <xdr:col>1</xdr:col>
      <xdr:colOff>1655688</xdr:colOff>
      <xdr:row>195</xdr:row>
      <xdr:rowOff>161925</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0692" y="39338250"/>
          <a:ext cx="15271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170846</xdr:colOff>
      <xdr:row>198</xdr:row>
      <xdr:rowOff>126885</xdr:rowOff>
    </xdr:from>
    <xdr:to>
      <xdr:col>1</xdr:col>
      <xdr:colOff>1599596</xdr:colOff>
      <xdr:row>201</xdr:row>
      <xdr:rowOff>212704</xdr:rowOff>
    </xdr:to>
    <xdr:pic>
      <xdr:nvPicPr>
        <xdr:cNvPr id="5" name="Imagen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3025" y="40785028"/>
          <a:ext cx="1428750" cy="82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204107</xdr:colOff>
      <xdr:row>204</xdr:row>
      <xdr:rowOff>889</xdr:rowOff>
    </xdr:from>
    <xdr:to>
      <xdr:col>1</xdr:col>
      <xdr:colOff>1245507</xdr:colOff>
      <xdr:row>208</xdr:row>
      <xdr:rowOff>35057</xdr:rowOff>
    </xdr:to>
    <xdr:pic>
      <xdr:nvPicPr>
        <xdr:cNvPr id="6" name="Imagen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06286" y="42128603"/>
          <a:ext cx="1041400" cy="1013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Documents%20and%20Settings/E01PGAS1/Escritorio/REPORTE%20DE%20PRODUCCION.ln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SPECTO\INSPECTO\2001\Pcr-108\PSI08500\LIQUIDACIONESPERSONA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cceficiente.sharepoint.com/1.%20COORDINACION%20Y%20CONTROL%20DE%20PROYECTOS/1.4%20CONTROL%20DOC-PLANOS-ISOS/CONTROL%20DOC%20&amp;%20PLANOS/sru/1800-8230-52-R310-0001%20COMENTADA.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PROG-96.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Users\TRAMO%20III\Desktop\Nueva%20carpeta\Users\Subtecnica.PROCOPAL\Documents\MVM\DEVIMED%20S.A\San%20Vicente\HLOPEZA\GERONA\CANTIDADES%20REPOSICION\SUBCIRCUITO%207\REDES7.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115576A2\partidas_cant_tub_final_04.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dmon\consorcio%20ingaf\informe%20semanal\INFORMESEMANAL%2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cceficiente.sharepoint.com/RPLC/escalatoria/fp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FA9CF50F\Contratacion%20PME%20v021"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CE431D1\CONSOLIDADO%20SOA_REQUERIMIENTOS%20NAFTA_100_2014.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https://cceficiente.sharepoint.com/Users/Ing.%20Edwin%20Gomez/Desktop/Acta%20No%204.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0992894\formatos_pacc_2006\Documents%20and%20Settings\e0928648\Configuraci&#243;n%20local\Archivos%20temporales%20de%20Internet\OLK4\1.%20Consolidaci&#243;n%20Compras%20-%20v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cceficiente.sharepoint.com/1.%20PRAGO%20ING/8.%20Varios%20Proyecto/Cronograma%20descansos%20%20-%20Trafos%20libres%20PCB%20-%20Prago%20Ing..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cceficiente.sharepoint.com/OFERTAS/7417/STIMA/7417stiA.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2018\SAN%20ANTERO\APUS%20PTAP%20TIJERETAS.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cceficiente.sharepoint.com/Users/Javieru/Documents/ECP/Cartago%20VIT/Documents%20and%20Settings/dgarcia/Local%20Settings/Temporary%20Internet%20Files/Content.IE5/KJ9Z6MJD/Plantilla%20Documento%20exce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PEDRO%20GARCIA%20REALPE/Mis%20documentos/AMV_G1_2006_TUMACO/Actas%20AMV_G1_Tumaco/a%20%20aaInformaci&#243;n"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S:\Adicionales\IPR\IPR.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Ingedwin\ing%20edwin-w\OBRAS\BASE%20APU-DEVISAB.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5FEDE5F\resumen_fin_mat_glp.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cceficiente.sharepoint.com/edwin/Repro/Avance%20Proyecto-Reprog1..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FA9CF50F\Format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ceficiente.sharepoint.com/Trabajo/Archivos%20Comit&#233;%20Fase%203%20Mayo%2031/RO%20Provincia/Mejoramiento%20Sistemas%20Redes%20El&#233;ctricas/Optimizaci&#243;n%20Sistema%20de%20Distribuci&#243;n%20de%20Energ&#237;a/Anexo%203.%20Cronograma%20PMT%20ACTUALIZADO.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L:\Documents%20and%20Settings\c9149312\Mis%20documentos\VIEJO\PTO-%20MTO-recup\SOPORT-LCI\PxQ_2006\Compras%20SMA%20Valores%20v02.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L:\WINDOWS\TEMP\presupuesto\EJEC0520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quitania\Mis%20documentos\MIKO%20EN%20EJECUCION\NUNCHIA\Cofinanciacion\FICHAS%20Y%20FORMATOS\UNITARIOS%20GENERALES.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Listado%20priorizado%20de%20reposicion%20en%20REV10ene2001.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https://cceficiente.sharepoint.com/A/PUNITARIOS%20PARA%20241201%202S.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A:\PUNITARIOS%20PARA%20241201%202S.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128.1.239.62\compartida\DOCUMENTOS%20OFICINA\PACC's\PACC%20PIO%202006\PACC%20de%20Inversiones%20PIO%202006%20Yarigui-Garzas.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gomez\CompTotal\Temp\perseoP85324650\5202371-IC-0.5-GE-1.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marino\C\Documents%20and%20Settings\Hector%20Guerrero\Mis%20documentos\Licitaciones%20realizadas\Invias\INTER-Taraza-caucasia\DIFERGO\WINDOWS\TEMP\Preobra\ModeloPresupuesto.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P:\Documents%20and%20Settings\e0119947.ECOPETROL\Mis%20documentos\Mis%20documentos%20de%20ECP\CONTRATA\INTERVENTORIAS\INSPECTO\2005\4005515\CONTROL%20INTERVENTORIA%20400551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lc001\groups\William\Excel\WINDOWS\TEMP\EST0798.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20CONTROL%2023JUL04.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Jaime%20Rojas/Mis%20documentos/Contrato/Interv/JunBarba/a%20%20aaInformaci&#243;n%20GRUPO%204/A%20MInformes%20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https://cceficiente.sharepoint.com/GROUPS/DOCUME~1/e0227748/CONFIG~1/Temp/Instrucciones%20de%20trabajo%20SAS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lc001\groups\RO%20POR%20ACTIVIDADES\ACTIVIDADES\GCOPME\COORDINACION%20MTO%20PLANTAS\Metalmec&#225;nica\Corrosi&#243;n\CORROSION\CORROSION\CONTRATA\INSPECTO\INSPECTO\2001\Pcr-108\PSI08500\LIQUIDACIONESPERSO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jmarroquin\Desktop\2.5.1.%20PRESUPUESTO\PRESUPUESTO%20ACTO%20UTI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PU-%20SAN%20ANTERO\Anexo%206.3%20PTAP%20y%20Tanque%20de%20Alamcenamiento-%20MOD.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cceficiente.sharepoint.com/William/Excel/WINDOWS/TEMP/EST07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cceficiente.sharepoint.com/RO%20POR%20ACTIVIDADES/ACTIVIDADES/GCOPME/COORDINACION%20MTO%20PLANTAS/Metalmec&#225;nica/Corrosi&#243;n/CORROSION/CORROSION/CONTRATA/INSPECTO/INSPECTO/2001/Pcr-108/PSI08500/LIQUIDACIONESPERSO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lc001\GROUPS\GCOPME\COORDINACION%20MTO%20PLANTAS\Metalmec&#225;nica\Corrosi&#243;n\CORROSION\CORROSION\CONTRATA\INSPECTO\INSPECTO\2001\Pcr-108\PSI08500\LIQUIDACIONESPERSO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FERTAS\7417\STIMA\7417st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6.75.177\VQ2008\Users\Laura\AppData\Local\Temp\SHARE\ESTIMA\P7020\PROYECTO\730\CAMBIOS\Z2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aster\luis%20carlos\Documents%20and%20Settings\Administrador\Mis%20documentos\Gabriel%202003\GABRIEL%202002\PROYECTOS\PROYECTOS%20EN%20CURSO\ESTADIO%20MUNICIPAL%20DE%20YOPAL\PRESUPUESTO%20ESTADIO%201.2%20primera%20etap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A9CF50F\V&#237;nculoExternoRecuperado1"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ANDRA%20DISCO%20C\Obras%202010\San%20Juan%20de%20Uraba\Entrega%20final\PRESUPUESTO%20DEFINITIVO\PRESUPUESTOS%20ALCANTARILLADO_ACTUALIZADO_%20201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PROYECTOS%20VARIOS\AGUAS%20DEL%20SINU\REGIONAL%20TIJERETAS\SAN%20ANTERO%202017\TOMO%201%20ACUEDUCTO\ANEXO%20DISE&#209;O\Anexo%204%20APU%20y%20Presupuesto\PRESUPUESTO%20ALCANTARILLAD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audia-8a\BARBOSA-GIRARDOTA\A.A.S.%20%20S.A\BARBOSA-GIRARDOTA\HOJA%20BASE\BASE%20DE%20PRESUPUEST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a%20%20aaInformaci&#243;n%20GRUPO%204\A%20MInformes%20Mensuales\Informe%20de%20estado%20vial%20ene\aCCIDENTES%20DE%201995%20-%2019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mvergara\san%20juan%20de%20uraba\DISE&#209;O\PRESUPUESTOS\PRESUPUESTO%20SAN%20JUAN%20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Vqicpysvr\VQ2008\SHARE\ESTIMA\P7020\PROYECTO\730\CAMBIOS\Z2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HLOPEZA\CANTIDADES%20GERONA\Documents%20and%20Settings\swilches\Configuraci&#243;n%20local\Archivos%20temporales%20de%20Internet\OLK6\formulario%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OFERTAS\7422\DPTO\CIVIL\7422CWX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c-wvega\PROYECTOS%20EN%20EJECUCION\HLOPEZA\CANTIDADES%20GERONA\Documents%20and%20Settings\swilches\Configuraci&#243;n%20local\Archivos%20temporales%20de%20Internet\OLK6\formulario%20bas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blanco3\CONTRATO5\REAJUSTE%2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c-sgallo\Proyectos%20Sandra%20Gallo\Proyectos%20varios\Valdivia\PRESUPUESTOS%20CORREGIDOS\PRESUPUESTO%20ACT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2017\SAN%20ANDRES\Anexo%204.2%20-%20Presupuestos%20y%20APU-medimamax.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COMPARTIDO\AGUAS%20DEL%20SINU\ENTREGA%20FINAL%20AGUAS%20DEL%20SINU\MOMIL\TOMO%201%20ACUEDUCTO\ANEXO%20DISE&#209;O\Anexo%208%20-%20APU%20y%20Presupuest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c-wvega\PROYECTOS%20EN%20EJECUCION\BRICE&#209;O\CD%20BRICE&#209;O\INFORMES\PRESUPUESTOS\PRESUPUESTO%20ALCANTARILLADO%20%20BRICE&#209;O.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c-wvega\PROYECTOS%20EN%20EJECUCION\PMAA\PMAA%20BRICE&#209;O\3.%20DISE&#209;O\PRESUPUESTOS\PRESUPUESTO%20ACUEDUCTO%20%20BRICE&#209;O%20VERSION%204%20(Feb%202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rlex\Ca&#241;asgordas\PMAA\PMAA%20BARBOSA%20Y%20GIRARDOTA\CD-GIRARDOTA\GIRARDOTA\ACUEDUCTO\PRESUPUESTOS%20ACUEDUCTO\SAN%20ANDRES\CONS-010-GIR-IN-09%20anexo%2007%20San%20Andr&#233;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c1\d\LIQ.TRANSPORTE%20DE%20MATERIALES%20OCTUBRE%20DE%202006%20HASMER%20FIN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cceficiente.sharepoint.com/Planta%20Soda/Programa%20B&#225;sico/CUADROS%20%20CONTRO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OFERTAS\7417\STIMA\7417sti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cceficiente.sharepoint.com/Users/dchaves/Desktop/NARI&#209;O/CONECTIVIDAD/EL%20EMPATE%20-%20LA%20UNION%20PR%2060+240%20al%20PR%2066+090/OBRA/BASE/PRESUPUESTO%20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cceficiente.sharepoint.com/a%20%20aaInformaci&#243;n%20GRUPO%204/A%20MInformes%20Mensuales/Informe%20de%20estado%20vial%20ene/aCCIDENTES%20DE%201995%20-%20199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PYL\Pron&#243;sticos\Reservas\Anteriores\Pron&#243;sticos%20de%20Petr&#243;leo%20GL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cceficiente.sharepoint.com/ZXPREPLIEGOS%20PUENTE%20ARMADA/PRESUP/ZPREPLIEGOS%20PUENTE%20ARMADA/OBRAS%20PUENTE%20ARMADA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a%20%20aaInformaci&#243;n%20GRUPO%204\A%20MInformes%20Mensuales\Informe%20de%20estado%20vial%20ene\aCCIDENTES%20DE%201995%20-%20199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K:\a%20%20aaInformaci&#243;n%20GRUPO%204\A%20MInformes%20Mensuales\Informe%20de%20estado%20vial%20ene\aCCIDENTES%20DE%201995%20-%20199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ANTENIMIENTO%20RUTA%201001_MARZO%20DE%202008\Documents%20and%20Settings\PEDRO%20GARCIA%20REALPE\Mis%20documentos\AMV_G1_2006_TUMACO\Actas%20AMV_G1_Tumaco\a%20%20aaInformaci&#243;n"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83E91508\Solicitud%20de%20Contratacion%20o%20Compras%20VFF%2006%20a%2008%20C%20LLANITO%20PCP.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ervidor\vmn%20eyd%20nuqui%20animas\Users\LEONARDO\Documents\ERICK\William\revision%20informe\REVISION\Cantiades_Zonas_Inestables_Jul_9-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L:\WILLIAM\PERSONAL\EXCEL\plantadic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OFERTAS\7422\DPTO\CIVIL\7422CWX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Lucho\transfer%20lucho\Mis%20documentos\ANDES3\mayo%204-01\Mis%20documentos\AiuApoSaraBrut200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Lucho\transfer%20lucho\Mis%20documentos\AiuApoSaraBrut2000.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md\documentos%20c\Documentos-Wilson\Advial-Cmarca\bimestral\06-dic-ene-99\03JUN-JUL-98\Acc%20Ago-Se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xlFile://Root/Users/Administrador/Desktop/AMV03NARI&#209;O%20ACTUAL/PRESUPUESTOS/Ruta%201702/PRESENTACI&#211;N%20BOGOT&#193;_RUTA%201702_26%20MARZO%202012/a%20%20aaInformaci&#243;n%20GRUPO%204/A%20MInformes%20Mensuales/Informe%20de%20estado%20vial%20ene/aCCIDENTES%20DE%201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L:\DOCUME~1\E0117203\CONFIG~1\Temp\DOCUME~1\e0119790\CONFIG~1\Temp\Prj307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2018\MOMIL\PMA%20MOMIL%20ENTREGA%20FINAL%20SIN%20CORREGIR\PROY.%20PMA%20MOMIL-SEP2018\2.5.%20REQUISITOS%20FINANCIEROS\2.5.1.%20PRESUPUESTO\2.5.1PRESUPUESTO%20CONSOLIDADO-SEP201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S\INSPECTO\2004\GMM-178-04\INTERVENTORIA%20GMM-178-0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20E%20INSPECTORIAS\INSPECTO\2002\PCR-129-02\INTERVENTOR129.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Jorge-oy83xo6pq\guariquies\GSU\GSU-003-002-01-GIP\Seguimiento%20y%20Control\Cctos\Hern&#225;n-%20Ccto%20Alcantarillado%20A27017\Cntrl_HG_0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s%20de%20control%20repocision%20petroquimic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vier_or_compa\zulma\Fin\Anexos\PRESUPUESTOS-REV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cceficiente.sharepoint.com/Walter/PRAGO%20MR%20-%20copia/COPCO/Pozo%20Arrayan%204013675/Informes%20Diario%20Arrayan.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L:\OFERTAS\7422\RDO\7422RDO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I:\DOCUME~1\E0992656\CONFIG~1\Temp\MODELO%20GRADIENTES%20+%20IP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sistente\documentos\Mis%20documentos\RHLICITACIONES\GEOINGENIERIA%20WM\cantidade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INGMARIOR\Ing%20Mario-w\Luis%20Eduardo\Devisab\APUS_TRABAJO%20GOBERNACION\DEVISAB%202011-03-03-04\LA%20GRAN%20VIA%20CACHIPAY%20ANOLAIMA\CANTIDADES%20Y%20PRESUPUESTOS\PRESUPUESTO_LA%20MESA_MESITAS_2011-01-17.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INGMARIOR\Ing%20Mario-w\ING%20HENRY%20-W\OBRAS\GYC%20APROBADO\1648%20Dise&#241;o%20de%20Espesores%20ACORDADO%20CON%20INTERVENTOR.xlsm"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A9CF50F\Factura13"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Pc1\E\AMV-3005-2005\ADMON%20GRUPO%203%202004%20-2005\PRESUPUESTOS\Analisis%20de%20Precios%20Unitarios%20ASTRID.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cceficiente.sharepoint.com/PAVICOL/MSOFFICE/LICITAR/analisis%20del%20AIU/AIU.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5E062BE7\UNITARI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ceficiente.sharepoint.com/Users/Laura/AppData/Local/Temp/SHARE/ESTIMA/P7020/PROYECTO/730/CAMBIOS/Z2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marino\C\Documents%20and%20Settings\Hector%20Guerrero\Mis%20documentos\Licitaciones%20realizadas\Invias\INTER-Taraza-caucasia\DIFERGO\WINDOWS\TEMP\UNITARIO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92.168.1.27\presupuestos\OPERATIVA\OFERTAS\ECOPETROL\Data%20G%20Operativa\OFERTAS%20PRESENTADAS\NUEVA%20OFERTA%20TORRES-CONVERTIDOR\lefa\excel\30CONJUL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B2BDEA4\NOMINA%20CONVENC"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D:\Aquitania\Cofinanciacion\FICHAS%20Y%20FORMATOS\UNITARIOS%20GENERALE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L:\VC\VARR\PLT\7417STI0.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cceficiente.sharepoint.com/40318_ECP-GEA-F-23_Solicitud_de_Contratacion_o_Compras.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2018\MOMIL\PMA%20MOMIL%20ENTREGA%20FINAL%20SIN%20CORREGIR\PROY.%20PMA%20MOMIL-SEP2018\2.4.REQUISITOS%20T&#201;CNICOS\2.4.3%20PROYECTOS%20INVERSI&#211;N\2.4.3.19%20APU\APU-OK.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s://cceficiente.sharepoint.com/Users/DoMendez/Escritorio/Avance%20HDT/1%20Avances/Soporte%20Douglas.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cceficiente.sharepoint.com/Documents%20and%20Settings/ISP/Mis%20documentos/Dise&#241;o/Dise&#241;o%20Basico/Memorias/Dise&#241;o%20pueta%20a%20tier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qicpysvr\VQ2008\Users\Laura\AppData\Local\Temp\SHARE\ESTIMA\P7020\PROYECTO\730\CAMBIOS\Z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NGMARIOR\Ing%20Mario-w\Users\Ing.%20Henry\AppData\Roaming\Microsoft\Excel\Cantidades%20Hidr&#225;ulicas%20%20La%20Mesa%20Mesitas%202010-12-30.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cceficiente.sharepoint.com/DISTRITO/Publico/Comite%20Abr-25-08/GRM-SOL-RO-F3-XXX-08%20Mejoramiento%20Confiabilidad%20Unidades%20Bombeo/DSD%20Mejoramiento%20Confiabilidad%20Unidades%20de%20Bombeo%20SO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cceficiente.sharepoint.com/Users/GLENN%20ESCORCIA/AppData/Local/Microsoft/Windows/Temporary%20Internet%20Files/Content.Outlook/IJGC4PT9/ANALISIS%20CAPACIDAD%20FINANCIER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cceficiente.sharepoint.com/ingeneria%20tello/853%20BACKUP%20ING.%20DE%20DETALLE/11.%20Presupuesto%20Total/Documentos/11%20Detalle/PRESUPUESTO%20TELLO%20CON%20AJUSTES.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9786AFA\NOMINA%20CONVENCIONAL.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Documents%20and%20Settings\usurio\Escritorio\Jose%20luis\Domingo%2006-05%20Memory\cca\InformeEjecutivoU-200_ViscoT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cceficiente.sharepoint.com/Users/JorgeF/Documents/amv%20grupo%203%20boyaca%202009/PRECIOS%20UNITARIOS/corregidos/2011/LICITACIONES%20AGOSTO%202011/apus%20boyaca%20VIA%20chiquinquira%20-%20TUNJA.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Elc001\groups\RO%20POR%20ACTIVIDADES\ACTIVIDADES\Mis%20Documentos\PROYECTO%20PMM%20-%202004\COMPRES.%20SVG%202004\Cuadro%20Montajes%20Electrico%20Instrumentaci&#243;n%20y%20control.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INGGABRIEL\Ing%20Gabriel-W\Ing%20Juan%20Diego\CONSULTORIA\TOCAIMA%20-%20JERUSALEN\Tramo%20II\Geometrico\83.%20ENTREGA%20TOCAIMA%20-%20JERUSALEN%20TRAMO%202%20(30-11-2012)\ANEXOS\Anexos%20T2.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INGMARIOR\Ing%20Mario-w\Users\CONSORCIO%20DEVISAD\Documents\DEVISAB%20-%20ING%20HENRY\OBRAS\4.GRAN%20VIA%20CACHIPAY\Cantidades%20obras%20de%20arte-HEN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William\Excel\WINDOWS\TEMP\EST0798.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cer\c\Mis%20documentos\INFORMES\INFORMES%20TRIMESTRALES\INFORME%20TRIMESTRAL%20DE%20TRABAJO%20DE%20NECESIDADES\DOCUME~1\USER05~1\CONFIG~1\TEMP\ADMINISTRACION%20VIAL%20G2\PRESUPUESTOS\Presupuesto%20remoci&#243;n%20de%20derrumbe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E:\Users\TRAMO%20III\Desktop\Nueva%20carpeta\Documents%20and%20Settings\Adolfo%20Leon\Mis%20documentos\Mis%20documentos\ACTA%20No%2040\ACTA%20No36\CONSORCIO%20acta%20No35\Mis%20documentos\WINDOWS\TEMP\RELACI~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_INTERCO.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cceficiente.sharepoint.com/OFERTAS/7422/DPTO/CIVIL/7422CWX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A9CF50F\REPROJMA.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MS\Mis%20documentos\Licitaciones%202002\Lic.Duitama-La%20Palmera\BASEDuitama-La%20Palmera.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cceficiente.sharepoint.com/INDICOL/CER/Presupuesto%20petrominerales%202.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H:\Mis%20documentos\Eduin%20Clavijo\ECO_BRAS\a-%20Prog.%20y%20control\Prog.%20y%20Control_ECOBRAS_V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ARMEN\3271%20Palmitas\3271%20G1%20Presupuestos%20de%20Pozos-Palmitas%20Central.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cceficiente.sharepoint.com/Ingevias%20S.A/Contrato%200526%20de%202012%20MHC/Precios%20No%20Previstos%20MHC/Viaducto%20K45/PROPUESTA%20CARARE%20PR45+200%20ULTIMO/3.PRESUPUESTO%20CARARE%20CAMBIO%20DE%20DISE&#209;O-INGENIERIA%20DE%20V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
      <sheetName val="REPORTE DE PRODUCCION."/>
      <sheetName val="COMPRESORES"/>
      <sheetName val="PROPANO."/>
      <sheetName val="BUTANO"/>
      <sheetName val="GASOLINA"/>
      <sheetName val="B.E.C."/>
      <sheetName val="clave"/>
      <sheetName val="PROPANO (2)"/>
      <sheetName val="BUTANO (2)"/>
      <sheetName val="GASOLINA (2)"/>
      <sheetName val="RONDAS ESTRUCT."/>
      <sheetName val="PLANTA DE GAS "/>
      <sheetName val="COMPRESORES "/>
      <sheetName val="GENERADORES Y BOMBAS"/>
      <sheetName val="VENTILADORES"/>
      <sheetName val="factor temperatura"/>
      <sheetName val="TK Propano"/>
      <sheetName val="TK Gasolina 3-4"/>
      <sheetName val="TK Butano Gasolina1-2"/>
      <sheetName val="REPORTE DE PRODUCCION"/>
      <sheetName val="BUTANO."/>
      <sheetName val="PROPANO"/>
      <sheetName val="GASOLINA."/>
      <sheetName val="P. ESPECIALMed.1"/>
      <sheetName val="P. ESPECIAL Med 2"/>
      <sheetName val="BUTANO. (2)"/>
      <sheetName val="GASOLINA.CARRO (1)"/>
      <sheetName val="GASOLINA.CARRO (2)"/>
      <sheetName val="GASOLINA.CARRO (3)"/>
      <sheetName val="GASOLINA.CARRO (4)"/>
      <sheetName val="GASOLINA.CARRO (5)"/>
      <sheetName val="Análisis determiníst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 val="Análisis determinístico"/>
      <sheetName val="DEST. MEDIOS"/>
      <sheetName val="COMBUASF"/>
      <sheetName val="BALCRUDO"/>
      <sheetName val="PRECIOS"/>
      <sheetName val="CARGASPROC."/>
      <sheetName val="G L P  FINAL"/>
    </sheetNames>
    <sheetDataSet>
      <sheetData sheetId="0" refreshError="1"/>
      <sheetData sheetId="1" refreshError="1">
        <row r="10">
          <cell r="F10">
            <v>4225</v>
          </cell>
        </row>
        <row r="20">
          <cell r="F20">
            <v>6.9599999999999995E-2</v>
          </cell>
        </row>
        <row r="22">
          <cell r="F22">
            <v>6.9599999999999995E-2</v>
          </cell>
        </row>
        <row r="29">
          <cell r="G29">
            <v>1</v>
          </cell>
          <cell r="I29">
            <v>2.7E-2</v>
          </cell>
        </row>
      </sheetData>
      <sheetData sheetId="2" refreshError="1">
        <row r="6">
          <cell r="E6" t="str">
            <v>ECOPETROL G.C.O.</v>
          </cell>
        </row>
        <row r="9">
          <cell r="I9">
            <v>8670.2000000000007</v>
          </cell>
        </row>
        <row r="14">
          <cell r="G14" t="str">
            <v>SI</v>
          </cell>
        </row>
        <row r="16">
          <cell r="E16">
            <v>880</v>
          </cell>
          <cell r="I16">
            <v>187</v>
          </cell>
        </row>
        <row r="17">
          <cell r="E17">
            <v>4173</v>
          </cell>
          <cell r="I17">
            <v>0</v>
          </cell>
        </row>
        <row r="18">
          <cell r="E18">
            <v>1340</v>
          </cell>
        </row>
      </sheetData>
      <sheetData sheetId="3" refreshError="1"/>
      <sheetData sheetId="4" refreshError="1">
        <row r="3">
          <cell r="H3">
            <v>36770</v>
          </cell>
          <cell r="I3">
            <v>0</v>
          </cell>
        </row>
      </sheetData>
      <sheetData sheetId="5" refreshError="1">
        <row r="36">
          <cell r="N36">
            <v>62946</v>
          </cell>
        </row>
        <row r="37">
          <cell r="E37">
            <v>53600</v>
          </cell>
        </row>
        <row r="39">
          <cell r="E39">
            <v>7480</v>
          </cell>
          <cell r="N39">
            <v>144013</v>
          </cell>
        </row>
        <row r="40">
          <cell r="N40">
            <v>84010</v>
          </cell>
        </row>
        <row r="41">
          <cell r="E41">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items"/>
      <sheetName val="2103mar "/>
      <sheetName val="A. P. U."/>
      <sheetName val="Insumos"/>
      <sheetName val="PR_1"/>
      <sheetName val="TRAYECTO 1"/>
      <sheetName val="Itemes Renovación"/>
      <sheetName val="FECHAS DE CORTE"/>
      <sheetName val="Informacion General"/>
      <sheetName val="INDICE"/>
      <sheetName val="EQUIPO"/>
      <sheetName val="MATERIALES"/>
      <sheetName val="DISTANCIA"/>
      <sheetName val="PERSONAL"/>
      <sheetName val="TARIFAS"/>
      <sheetName val="Personalizar"/>
      <sheetName val="otros"/>
    </sheetNames>
    <sheetDataSet>
      <sheetData sheetId="0"/>
      <sheetData sheetId="1" refreshError="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v>0</v>
          </cell>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v>0</v>
          </cell>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CARATULA"/>
      <sheetName val="LISTADO"/>
      <sheetName val="CONFIGURACION"/>
      <sheetName val="RESUMEN"/>
    </sheetNames>
    <sheetDataSet>
      <sheetData sheetId="0"/>
      <sheetData sheetId="1"/>
      <sheetData sheetId="2"/>
      <sheetData sheetId="3"/>
      <sheetData sheetId="4"/>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A"/>
      <sheetName val="costos"/>
      <sheetName val="BASE"/>
      <sheetName val="preac-1"/>
      <sheetName val="preac-2"/>
      <sheetName val="preac-3"/>
      <sheetName val="preac-8"/>
      <sheetName val="CONT_ADI"/>
      <sheetName val="ITEMS"/>
      <sheetName val="PRECIOS"/>
      <sheetName val="Desmonte y Limpieza"/>
      <sheetName val="Reprograma 4"/>
      <sheetName val="PR 1"/>
      <sheetName val="5.2"/>
      <sheetName val="MC SF GAVION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ES"/>
      <sheetName val="T133-134"/>
      <sheetName val="T132-133"/>
      <sheetName val="T130-131"/>
    </sheetNames>
    <sheetDataSet>
      <sheetData sheetId="0">
        <row r="11">
          <cell r="D11" t="str">
            <v>m3</v>
          </cell>
        </row>
        <row r="13">
          <cell r="D13" t="str">
            <v>m3</v>
          </cell>
        </row>
        <row r="15">
          <cell r="D15" t="str">
            <v>m2</v>
          </cell>
        </row>
        <row r="17">
          <cell r="D17" t="str">
            <v>m</v>
          </cell>
        </row>
        <row r="19">
          <cell r="D19" t="str">
            <v xml:space="preserve"> </v>
          </cell>
        </row>
        <row r="21">
          <cell r="D21" t="str">
            <v xml:space="preserve"> m3</v>
          </cell>
        </row>
        <row r="23">
          <cell r="D23" t="str">
            <v xml:space="preserve"> m3</v>
          </cell>
        </row>
        <row r="25">
          <cell r="D25" t="str">
            <v xml:space="preserve"> m3</v>
          </cell>
        </row>
        <row r="27">
          <cell r="D27" t="str">
            <v xml:space="preserve"> m3</v>
          </cell>
        </row>
        <row r="29">
          <cell r="D29" t="str">
            <v>un</v>
          </cell>
        </row>
        <row r="31">
          <cell r="D31" t="str">
            <v xml:space="preserve"> m3</v>
          </cell>
        </row>
        <row r="33">
          <cell r="D33" t="str">
            <v>un</v>
          </cell>
        </row>
        <row r="37">
          <cell r="D37" t="str">
            <v>m3</v>
          </cell>
        </row>
        <row r="39">
          <cell r="D39" t="str">
            <v>m3</v>
          </cell>
        </row>
        <row r="41">
          <cell r="D41" t="str">
            <v>m3</v>
          </cell>
        </row>
        <row r="45">
          <cell r="D45" t="str">
            <v>m2</v>
          </cell>
        </row>
        <row r="47">
          <cell r="D47" t="str">
            <v>m2</v>
          </cell>
        </row>
        <row r="49">
          <cell r="D49" t="str">
            <v>m2</v>
          </cell>
        </row>
        <row r="51">
          <cell r="D51" t="str">
            <v>m3</v>
          </cell>
        </row>
        <row r="55">
          <cell r="D55" t="str">
            <v>m3</v>
          </cell>
        </row>
        <row r="57">
          <cell r="D57" t="str">
            <v>m3</v>
          </cell>
        </row>
        <row r="59">
          <cell r="D59" t="str">
            <v>m3</v>
          </cell>
        </row>
        <row r="63">
          <cell r="D63" t="str">
            <v>m3</v>
          </cell>
        </row>
        <row r="65">
          <cell r="D65" t="str">
            <v>m3</v>
          </cell>
        </row>
        <row r="67">
          <cell r="D67" t="str">
            <v>m2</v>
          </cell>
        </row>
        <row r="71">
          <cell r="D71" t="str">
            <v>m2</v>
          </cell>
        </row>
        <row r="73">
          <cell r="D73" t="str">
            <v>m2</v>
          </cell>
        </row>
        <row r="75">
          <cell r="D75" t="str">
            <v>m2</v>
          </cell>
        </row>
        <row r="77">
          <cell r="D77" t="str">
            <v>m3</v>
          </cell>
        </row>
        <row r="79">
          <cell r="D79" t="str">
            <v>m3</v>
          </cell>
        </row>
        <row r="81">
          <cell r="D81" t="str">
            <v>m2</v>
          </cell>
        </row>
        <row r="85">
          <cell r="D85" t="str">
            <v>m2</v>
          </cell>
        </row>
        <row r="87">
          <cell r="D87" t="str">
            <v>m2</v>
          </cell>
        </row>
        <row r="91">
          <cell r="D91" t="str">
            <v>m3</v>
          </cell>
        </row>
        <row r="93">
          <cell r="D93" t="str">
            <v>m3</v>
          </cell>
        </row>
        <row r="95">
          <cell r="D95" t="str">
            <v>m3</v>
          </cell>
        </row>
        <row r="99">
          <cell r="D99" t="str">
            <v>m3</v>
          </cell>
        </row>
        <row r="101">
          <cell r="D101" t="str">
            <v>m3</v>
          </cell>
        </row>
        <row r="103">
          <cell r="D103" t="str">
            <v>m3</v>
          </cell>
        </row>
        <row r="105">
          <cell r="D105" t="str">
            <v>m3</v>
          </cell>
        </row>
        <row r="109">
          <cell r="D109" t="str">
            <v>Kg</v>
          </cell>
        </row>
        <row r="111">
          <cell r="D111" t="str">
            <v>Kg</v>
          </cell>
        </row>
        <row r="113">
          <cell r="D113" t="str">
            <v>un</v>
          </cell>
        </row>
        <row r="117">
          <cell r="D117" t="str">
            <v>un</v>
          </cell>
        </row>
        <row r="119">
          <cell r="D119" t="str">
            <v>un</v>
          </cell>
        </row>
        <row r="121">
          <cell r="D121" t="str">
            <v>un</v>
          </cell>
        </row>
        <row r="123">
          <cell r="D123" t="str">
            <v>un</v>
          </cell>
        </row>
        <row r="129">
          <cell r="D129" t="str">
            <v>m</v>
          </cell>
        </row>
        <row r="131">
          <cell r="D131" t="str">
            <v>m</v>
          </cell>
        </row>
        <row r="133">
          <cell r="D133" t="str">
            <v>m</v>
          </cell>
        </row>
        <row r="135">
          <cell r="D135" t="str">
            <v>m</v>
          </cell>
        </row>
        <row r="137">
          <cell r="D137" t="str">
            <v>m</v>
          </cell>
        </row>
        <row r="139">
          <cell r="D139" t="str">
            <v>m</v>
          </cell>
        </row>
        <row r="143">
          <cell r="D143" t="str">
            <v>m</v>
          </cell>
        </row>
        <row r="145">
          <cell r="D145" t="str">
            <v>m</v>
          </cell>
        </row>
        <row r="147">
          <cell r="D147" t="str">
            <v>m</v>
          </cell>
        </row>
        <row r="149">
          <cell r="D149" t="str">
            <v>m</v>
          </cell>
        </row>
        <row r="153">
          <cell r="D153" t="str">
            <v>m</v>
          </cell>
        </row>
        <row r="155">
          <cell r="D155" t="str">
            <v>m</v>
          </cell>
        </row>
        <row r="157">
          <cell r="D157" t="str">
            <v>m</v>
          </cell>
        </row>
        <row r="159">
          <cell r="D159" t="str">
            <v>m</v>
          </cell>
        </row>
        <row r="161">
          <cell r="D161" t="str">
            <v>m</v>
          </cell>
        </row>
        <row r="163">
          <cell r="D163" t="str">
            <v>m</v>
          </cell>
        </row>
        <row r="167">
          <cell r="D167" t="str">
            <v>m</v>
          </cell>
        </row>
        <row r="169">
          <cell r="D169" t="str">
            <v>m</v>
          </cell>
        </row>
        <row r="171">
          <cell r="D171" t="str">
            <v>m</v>
          </cell>
        </row>
        <row r="175">
          <cell r="D175" t="str">
            <v>m</v>
          </cell>
        </row>
        <row r="177">
          <cell r="D177" t="str">
            <v>m</v>
          </cell>
        </row>
        <row r="179">
          <cell r="D179" t="str">
            <v>m</v>
          </cell>
        </row>
        <row r="181">
          <cell r="D181" t="str">
            <v>m</v>
          </cell>
        </row>
        <row r="183">
          <cell r="D183" t="str">
            <v>m</v>
          </cell>
        </row>
        <row r="185">
          <cell r="D185" t="str">
            <v>m</v>
          </cell>
        </row>
        <row r="187">
          <cell r="D187" t="str">
            <v>m</v>
          </cell>
        </row>
        <row r="191">
          <cell r="D191" t="str">
            <v>m</v>
          </cell>
        </row>
        <row r="193">
          <cell r="D193" t="str">
            <v>m</v>
          </cell>
        </row>
        <row r="194">
          <cell r="D194" t="str">
            <v xml:space="preserve"> </v>
          </cell>
        </row>
        <row r="197">
          <cell r="D197" t="str">
            <v>m</v>
          </cell>
        </row>
        <row r="199">
          <cell r="D199" t="str">
            <v>m</v>
          </cell>
        </row>
        <row r="201">
          <cell r="D201" t="str">
            <v>m</v>
          </cell>
        </row>
        <row r="205">
          <cell r="D205" t="str">
            <v>un</v>
          </cell>
        </row>
        <row r="207">
          <cell r="D207" t="str">
            <v>un</v>
          </cell>
        </row>
        <row r="209">
          <cell r="D209" t="str">
            <v>un</v>
          </cell>
        </row>
        <row r="211">
          <cell r="D211" t="str">
            <v>un</v>
          </cell>
        </row>
        <row r="213">
          <cell r="D213" t="str">
            <v>un</v>
          </cell>
        </row>
        <row r="219">
          <cell r="D219" t="str">
            <v>un</v>
          </cell>
        </row>
        <row r="221">
          <cell r="D221" t="str">
            <v>un</v>
          </cell>
        </row>
        <row r="223">
          <cell r="D223" t="str">
            <v>un</v>
          </cell>
        </row>
        <row r="225">
          <cell r="D225" t="str">
            <v>un</v>
          </cell>
        </row>
        <row r="227">
          <cell r="D227" t="str">
            <v>un</v>
          </cell>
        </row>
        <row r="229">
          <cell r="D229" t="str">
            <v>un</v>
          </cell>
        </row>
        <row r="233">
          <cell r="D233" t="str">
            <v>un</v>
          </cell>
        </row>
        <row r="235">
          <cell r="D235" t="str">
            <v>un</v>
          </cell>
        </row>
        <row r="237">
          <cell r="D237" t="str">
            <v>un</v>
          </cell>
        </row>
        <row r="239">
          <cell r="D239" t="str">
            <v>un</v>
          </cell>
        </row>
        <row r="243">
          <cell r="D243" t="str">
            <v>un</v>
          </cell>
        </row>
        <row r="245">
          <cell r="D245" t="str">
            <v>un</v>
          </cell>
        </row>
        <row r="249">
          <cell r="D249" t="str">
            <v>un</v>
          </cell>
        </row>
        <row r="251">
          <cell r="D251" t="str">
            <v>un</v>
          </cell>
        </row>
        <row r="255">
          <cell r="D255" t="str">
            <v>un</v>
          </cell>
        </row>
        <row r="257">
          <cell r="D257" t="str">
            <v>un</v>
          </cell>
        </row>
        <row r="259">
          <cell r="D259" t="str">
            <v>un</v>
          </cell>
        </row>
        <row r="261">
          <cell r="D261" t="str">
            <v>un</v>
          </cell>
        </row>
        <row r="263">
          <cell r="D263" t="str">
            <v>un</v>
          </cell>
        </row>
        <row r="265">
          <cell r="D265" t="str">
            <v>un</v>
          </cell>
        </row>
        <row r="269">
          <cell r="D269" t="str">
            <v>un</v>
          </cell>
        </row>
        <row r="271">
          <cell r="D271" t="str">
            <v>un</v>
          </cell>
        </row>
        <row r="273">
          <cell r="D273" t="str">
            <v>un</v>
          </cell>
        </row>
        <row r="275">
          <cell r="D275" t="str">
            <v>un</v>
          </cell>
        </row>
        <row r="277">
          <cell r="D277" t="str">
            <v>un</v>
          </cell>
        </row>
        <row r="279">
          <cell r="D279" t="str">
            <v>un</v>
          </cell>
        </row>
        <row r="283">
          <cell r="D283" t="str">
            <v>un</v>
          </cell>
        </row>
        <row r="285">
          <cell r="D285" t="str">
            <v>un</v>
          </cell>
        </row>
        <row r="287">
          <cell r="D287" t="str">
            <v>un</v>
          </cell>
        </row>
        <row r="289">
          <cell r="D289" t="str">
            <v>un</v>
          </cell>
        </row>
        <row r="291">
          <cell r="D291" t="str">
            <v>un</v>
          </cell>
        </row>
        <row r="293">
          <cell r="D293" t="str">
            <v>un</v>
          </cell>
        </row>
        <row r="297">
          <cell r="D297" t="str">
            <v>un</v>
          </cell>
        </row>
        <row r="299">
          <cell r="D299" t="str">
            <v>un</v>
          </cell>
        </row>
        <row r="301">
          <cell r="D301" t="str">
            <v>un</v>
          </cell>
        </row>
        <row r="303">
          <cell r="D303" t="str">
            <v>un</v>
          </cell>
        </row>
        <row r="305">
          <cell r="D305" t="str">
            <v>un</v>
          </cell>
        </row>
        <row r="307">
          <cell r="D307" t="str">
            <v>un</v>
          </cell>
        </row>
        <row r="309">
          <cell r="D309" t="str">
            <v>un</v>
          </cell>
        </row>
        <row r="311">
          <cell r="D311" t="str">
            <v>un</v>
          </cell>
        </row>
        <row r="313">
          <cell r="D313" t="str">
            <v>un</v>
          </cell>
        </row>
        <row r="317">
          <cell r="D317" t="str">
            <v>un</v>
          </cell>
        </row>
        <row r="319">
          <cell r="D319" t="str">
            <v>un</v>
          </cell>
        </row>
        <row r="321">
          <cell r="D321" t="str">
            <v>un</v>
          </cell>
        </row>
        <row r="323">
          <cell r="D323" t="str">
            <v>un</v>
          </cell>
        </row>
        <row r="325">
          <cell r="D325" t="str">
            <v>un</v>
          </cell>
        </row>
        <row r="327">
          <cell r="D327" t="str">
            <v>un</v>
          </cell>
        </row>
        <row r="331">
          <cell r="D331" t="str">
            <v>un</v>
          </cell>
        </row>
        <row r="333">
          <cell r="D333" t="str">
            <v>un</v>
          </cell>
        </row>
        <row r="335">
          <cell r="D335" t="str">
            <v>un</v>
          </cell>
        </row>
        <row r="337">
          <cell r="D337" t="str">
            <v>un</v>
          </cell>
        </row>
        <row r="339">
          <cell r="D339" t="str">
            <v>un</v>
          </cell>
        </row>
        <row r="341">
          <cell r="D341" t="str">
            <v>un</v>
          </cell>
        </row>
        <row r="343">
          <cell r="D343" t="str">
            <v>un</v>
          </cell>
        </row>
        <row r="345">
          <cell r="D345" t="str">
            <v>un</v>
          </cell>
        </row>
        <row r="349">
          <cell r="D349" t="str">
            <v>un</v>
          </cell>
        </row>
        <row r="351">
          <cell r="D351" t="str">
            <v>un</v>
          </cell>
        </row>
        <row r="353">
          <cell r="D353" t="str">
            <v>un</v>
          </cell>
        </row>
        <row r="355">
          <cell r="D355" t="str">
            <v>un</v>
          </cell>
        </row>
        <row r="357">
          <cell r="D357" t="str">
            <v>un</v>
          </cell>
        </row>
        <row r="359">
          <cell r="D359" t="str">
            <v>un</v>
          </cell>
        </row>
        <row r="361">
          <cell r="D361" t="str">
            <v>un</v>
          </cell>
        </row>
        <row r="363">
          <cell r="D363" t="str">
            <v>un</v>
          </cell>
        </row>
        <row r="367">
          <cell r="D367" t="str">
            <v>un</v>
          </cell>
        </row>
        <row r="369">
          <cell r="D369" t="str">
            <v>un</v>
          </cell>
        </row>
        <row r="371">
          <cell r="D371" t="str">
            <v>un</v>
          </cell>
        </row>
        <row r="373">
          <cell r="D373" t="str">
            <v>un</v>
          </cell>
        </row>
        <row r="377">
          <cell r="D377" t="str">
            <v>un</v>
          </cell>
        </row>
        <row r="379">
          <cell r="D379" t="str">
            <v>un</v>
          </cell>
        </row>
        <row r="381">
          <cell r="D381" t="str">
            <v>un</v>
          </cell>
        </row>
        <row r="383">
          <cell r="D383" t="str">
            <v>un</v>
          </cell>
        </row>
        <row r="388">
          <cell r="D388" t="str">
            <v>un</v>
          </cell>
        </row>
        <row r="390">
          <cell r="D390" t="str">
            <v>un</v>
          </cell>
        </row>
        <row r="392">
          <cell r="D392" t="str">
            <v>un</v>
          </cell>
        </row>
        <row r="396">
          <cell r="D396" t="str">
            <v>un</v>
          </cell>
        </row>
        <row r="398">
          <cell r="D398" t="str">
            <v>un</v>
          </cell>
        </row>
        <row r="400">
          <cell r="D400" t="str">
            <v>un</v>
          </cell>
        </row>
        <row r="402">
          <cell r="D402" t="str">
            <v>un</v>
          </cell>
        </row>
        <row r="406">
          <cell r="D406" t="str">
            <v>un</v>
          </cell>
        </row>
        <row r="408">
          <cell r="D408" t="str">
            <v>un</v>
          </cell>
        </row>
        <row r="410">
          <cell r="D410" t="str">
            <v>un</v>
          </cell>
        </row>
        <row r="412">
          <cell r="D412" t="str">
            <v>un</v>
          </cell>
        </row>
        <row r="414">
          <cell r="D414" t="str">
            <v>un</v>
          </cell>
        </row>
        <row r="416">
          <cell r="D416" t="str">
            <v>un</v>
          </cell>
        </row>
        <row r="420">
          <cell r="D420" t="str">
            <v>un</v>
          </cell>
        </row>
        <row r="422">
          <cell r="D422" t="str">
            <v>un</v>
          </cell>
        </row>
        <row r="424">
          <cell r="D424" t="str">
            <v>un</v>
          </cell>
        </row>
        <row r="426">
          <cell r="D426" t="str">
            <v>un</v>
          </cell>
        </row>
        <row r="428">
          <cell r="D428" t="str">
            <v>un</v>
          </cell>
        </row>
        <row r="432">
          <cell r="D432" t="str">
            <v>un</v>
          </cell>
        </row>
        <row r="434">
          <cell r="D434" t="str">
            <v>un</v>
          </cell>
        </row>
        <row r="436">
          <cell r="D436" t="str">
            <v>un</v>
          </cell>
        </row>
        <row r="438">
          <cell r="D438" t="str">
            <v>un</v>
          </cell>
        </row>
        <row r="440">
          <cell r="D440" t="str">
            <v>un</v>
          </cell>
        </row>
        <row r="444">
          <cell r="D444" t="str">
            <v>un</v>
          </cell>
        </row>
        <row r="446">
          <cell r="D446" t="str">
            <v>un</v>
          </cell>
        </row>
        <row r="448">
          <cell r="D448" t="str">
            <v>un</v>
          </cell>
        </row>
        <row r="450">
          <cell r="D450" t="str">
            <v>un</v>
          </cell>
        </row>
        <row r="452">
          <cell r="D452" t="str">
            <v>un</v>
          </cell>
        </row>
        <row r="456">
          <cell r="D456" t="str">
            <v>un</v>
          </cell>
        </row>
        <row r="458">
          <cell r="D458" t="str">
            <v>un</v>
          </cell>
        </row>
        <row r="460">
          <cell r="D460" t="str">
            <v>un</v>
          </cell>
        </row>
        <row r="462">
          <cell r="D462" t="str">
            <v>un</v>
          </cell>
        </row>
        <row r="464">
          <cell r="D464" t="str">
            <v>un</v>
          </cell>
        </row>
        <row r="466">
          <cell r="D466" t="str">
            <v>un</v>
          </cell>
        </row>
        <row r="468">
          <cell r="D468" t="str">
            <v>un</v>
          </cell>
        </row>
        <row r="470">
          <cell r="D470" t="str">
            <v>un</v>
          </cell>
        </row>
        <row r="472">
          <cell r="D472" t="str">
            <v>un</v>
          </cell>
        </row>
        <row r="473">
          <cell r="D473">
            <v>0</v>
          </cell>
        </row>
        <row r="474">
          <cell r="D474" t="str">
            <v>cm2</v>
          </cell>
        </row>
        <row r="476">
          <cell r="D476" t="str">
            <v>un</v>
          </cell>
        </row>
        <row r="480">
          <cell r="D480" t="str">
            <v>un</v>
          </cell>
        </row>
        <row r="482">
          <cell r="D482" t="str">
            <v>un</v>
          </cell>
        </row>
        <row r="484">
          <cell r="D484" t="str">
            <v>un</v>
          </cell>
        </row>
        <row r="486">
          <cell r="D486" t="str">
            <v>un</v>
          </cell>
        </row>
        <row r="488">
          <cell r="D488" t="str">
            <v>un</v>
          </cell>
        </row>
        <row r="490">
          <cell r="D490" t="str">
            <v>un</v>
          </cell>
        </row>
        <row r="494">
          <cell r="D494" t="str">
            <v>un</v>
          </cell>
        </row>
        <row r="496">
          <cell r="D496" t="str">
            <v>un</v>
          </cell>
        </row>
        <row r="498">
          <cell r="D498" t="str">
            <v>un</v>
          </cell>
        </row>
        <row r="500">
          <cell r="D500" t="str">
            <v>un</v>
          </cell>
        </row>
        <row r="502">
          <cell r="D502" t="str">
            <v>un</v>
          </cell>
        </row>
        <row r="504">
          <cell r="D504" t="str">
            <v>un</v>
          </cell>
        </row>
        <row r="506">
          <cell r="D506" t="str">
            <v>un</v>
          </cell>
        </row>
        <row r="508">
          <cell r="D508" t="str">
            <v>un</v>
          </cell>
        </row>
        <row r="510">
          <cell r="D510" t="str">
            <v>un</v>
          </cell>
        </row>
        <row r="512">
          <cell r="D512" t="str">
            <v>un</v>
          </cell>
        </row>
        <row r="514">
          <cell r="D514" t="str">
            <v>un</v>
          </cell>
        </row>
        <row r="518">
          <cell r="D518" t="str">
            <v xml:space="preserve"> cm</v>
          </cell>
        </row>
        <row r="520">
          <cell r="D520" t="str">
            <v xml:space="preserve"> cm</v>
          </cell>
        </row>
        <row r="522">
          <cell r="D522" t="str">
            <v>cm</v>
          </cell>
        </row>
        <row r="524">
          <cell r="D524" t="str">
            <v>un</v>
          </cell>
        </row>
        <row r="530">
          <cell r="D530" t="str">
            <v>m</v>
          </cell>
        </row>
        <row r="532">
          <cell r="D532" t="str">
            <v>m</v>
          </cell>
        </row>
        <row r="534">
          <cell r="D534" t="str">
            <v>m</v>
          </cell>
        </row>
        <row r="536">
          <cell r="D536" t="str">
            <v>m</v>
          </cell>
        </row>
        <row r="538">
          <cell r="D538" t="str">
            <v>m</v>
          </cell>
        </row>
        <row r="540">
          <cell r="D540" t="str">
            <v>m</v>
          </cell>
        </row>
        <row r="544">
          <cell r="D544" t="str">
            <v>m</v>
          </cell>
        </row>
        <row r="546">
          <cell r="D546" t="str">
            <v>m</v>
          </cell>
        </row>
        <row r="548">
          <cell r="D548" t="str">
            <v>m</v>
          </cell>
        </row>
        <row r="550">
          <cell r="D550" t="str">
            <v>un</v>
          </cell>
        </row>
        <row r="554">
          <cell r="D554" t="str">
            <v>un</v>
          </cell>
        </row>
        <row r="556">
          <cell r="D556" t="str">
            <v>un</v>
          </cell>
        </row>
        <row r="558">
          <cell r="D558" t="str">
            <v>un</v>
          </cell>
        </row>
        <row r="560">
          <cell r="D560" t="str">
            <v>m</v>
          </cell>
        </row>
        <row r="564">
          <cell r="D564" t="str">
            <v>un</v>
          </cell>
        </row>
        <row r="566">
          <cell r="D566" t="str">
            <v>un</v>
          </cell>
        </row>
        <row r="568">
          <cell r="D568" t="str">
            <v>un</v>
          </cell>
        </row>
        <row r="572">
          <cell r="D572" t="str">
            <v>un</v>
          </cell>
        </row>
        <row r="574">
          <cell r="D574" t="str">
            <v>un</v>
          </cell>
        </row>
        <row r="576">
          <cell r="D576" t="str">
            <v>un</v>
          </cell>
        </row>
        <row r="578">
          <cell r="D578" t="str">
            <v>un</v>
          </cell>
        </row>
        <row r="580">
          <cell r="D580" t="str">
            <v>un</v>
          </cell>
        </row>
        <row r="584">
          <cell r="D584" t="str">
            <v>un</v>
          </cell>
        </row>
        <row r="586">
          <cell r="D586" t="str">
            <v>un</v>
          </cell>
        </row>
        <row r="588">
          <cell r="D588" t="str">
            <v>un</v>
          </cell>
        </row>
        <row r="590">
          <cell r="D590" t="str">
            <v>un</v>
          </cell>
        </row>
        <row r="592">
          <cell r="D592" t="str">
            <v>un</v>
          </cell>
        </row>
        <row r="596">
          <cell r="D596" t="str">
            <v>un</v>
          </cell>
        </row>
        <row r="598">
          <cell r="D598" t="str">
            <v>un</v>
          </cell>
        </row>
        <row r="600">
          <cell r="D600" t="str">
            <v>un</v>
          </cell>
        </row>
        <row r="604">
          <cell r="D604" t="str">
            <v>un</v>
          </cell>
        </row>
        <row r="606">
          <cell r="D606" t="str">
            <v>un</v>
          </cell>
        </row>
        <row r="608">
          <cell r="D608" t="str">
            <v>un</v>
          </cell>
        </row>
        <row r="610">
          <cell r="D610" t="str">
            <v>un</v>
          </cell>
        </row>
        <row r="612">
          <cell r="D612" t="str">
            <v>un</v>
          </cell>
        </row>
        <row r="614">
          <cell r="D614" t="str">
            <v>un</v>
          </cell>
        </row>
        <row r="616">
          <cell r="D616" t="str">
            <v>un</v>
          </cell>
        </row>
        <row r="618">
          <cell r="D618" t="str">
            <v>un</v>
          </cell>
        </row>
        <row r="622">
          <cell r="D622" t="str">
            <v>m</v>
          </cell>
        </row>
        <row r="624">
          <cell r="D624" t="str">
            <v>m</v>
          </cell>
        </row>
        <row r="626">
          <cell r="D626" t="str">
            <v>un</v>
          </cell>
        </row>
        <row r="628">
          <cell r="D628" t="str">
            <v>un</v>
          </cell>
        </row>
        <row r="632">
          <cell r="D632" t="str">
            <v>h</v>
          </cell>
        </row>
        <row r="634">
          <cell r="D634" t="str">
            <v>h</v>
          </cell>
        </row>
        <row r="636">
          <cell r="D636" t="str">
            <v>h</v>
          </cell>
        </row>
        <row r="638">
          <cell r="D638" t="str">
            <v>h</v>
          </cell>
        </row>
        <row r="640">
          <cell r="D640" t="str">
            <v>h</v>
          </cell>
        </row>
        <row r="642">
          <cell r="D642" t="str">
            <v>h</v>
          </cell>
        </row>
        <row r="646">
          <cell r="D646" t="str">
            <v>h</v>
          </cell>
        </row>
        <row r="648">
          <cell r="D648" t="str">
            <v>h</v>
          </cell>
        </row>
        <row r="650">
          <cell r="D650" t="str">
            <v>un</v>
          </cell>
        </row>
        <row r="654">
          <cell r="D654" t="str">
            <v>sg</v>
          </cell>
        </row>
      </sheetData>
      <sheetData sheetId="1"/>
      <sheetData sheetId="2"/>
      <sheetData sheetId="3"/>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8_bombas"/>
      <sheetName val="Form8_h2"/>
      <sheetName val="Form8_lubricacion"/>
      <sheetName val="Form8_regeneracion"/>
      <sheetName val="tub"/>
      <sheetName val="val"/>
      <sheetName val="tub_lub"/>
      <sheetName val="pintura"/>
      <sheetName val="partidas_cant_tub_final_04"/>
    </sheetNames>
    <sheetDataSet>
      <sheetData sheetId="0" refreshError="1"/>
      <sheetData sheetId="1" refreshError="1"/>
      <sheetData sheetId="2" refreshError="1"/>
      <sheetData sheetId="3" refreshError="1"/>
      <sheetData sheetId="4" refreshError="1">
        <row r="1">
          <cell r="C1" t="str">
            <v>ESPEC</v>
          </cell>
          <cell r="D1" t="str">
            <v>COD</v>
          </cell>
          <cell r="E1" t="str">
            <v>DESCRIPCION</v>
          </cell>
          <cell r="F1" t="str">
            <v>ESP</v>
          </cell>
          <cell r="G1" t="str">
            <v>DIAM</v>
          </cell>
          <cell r="H1" t="str">
            <v>CANT</v>
          </cell>
          <cell r="I1" t="str">
            <v>UND</v>
          </cell>
          <cell r="J1" t="str">
            <v>PESO UNIT</v>
          </cell>
        </row>
        <row r="2">
          <cell r="C2" t="str">
            <v>A2-3F</v>
          </cell>
          <cell r="D2" t="str">
            <v>PIP</v>
          </cell>
          <cell r="E2" t="str">
            <v>PIPE, C.S., PE, ASTM A106 Gr.B.</v>
          </cell>
          <cell r="F2" t="str">
            <v>80</v>
          </cell>
          <cell r="G2" t="str">
            <v>1/2"</v>
          </cell>
          <cell r="H2">
            <v>11.4</v>
          </cell>
          <cell r="I2" t="str">
            <v>m</v>
          </cell>
          <cell r="J2">
            <v>1.8</v>
          </cell>
        </row>
        <row r="3">
          <cell r="C3" t="str">
            <v>A2-3F</v>
          </cell>
          <cell r="D3" t="str">
            <v>SOL</v>
          </cell>
          <cell r="E3" t="str">
            <v>SOCKOLET, C.S., 3000#, SW, ASTM A105.</v>
          </cell>
          <cell r="G3" t="str">
            <v>2"</v>
          </cell>
          <cell r="H3">
            <v>1</v>
          </cell>
          <cell r="I3" t="str">
            <v>un</v>
          </cell>
          <cell r="J3">
            <v>2</v>
          </cell>
        </row>
        <row r="4">
          <cell r="C4" t="str">
            <v>A2-3F</v>
          </cell>
          <cell r="D4" t="str">
            <v>90E</v>
          </cell>
          <cell r="E4" t="str">
            <v>90° ELBOW, C.S., 3000#, SW, ASTM A105.</v>
          </cell>
          <cell r="G4" t="str">
            <v>3/4"</v>
          </cell>
          <cell r="H4">
            <v>6</v>
          </cell>
          <cell r="I4" t="str">
            <v>un</v>
          </cell>
          <cell r="J4">
            <v>0.6</v>
          </cell>
        </row>
        <row r="5">
          <cell r="C5" t="str">
            <v>A2-3F</v>
          </cell>
          <cell r="D5" t="str">
            <v>PIP</v>
          </cell>
          <cell r="E5" t="str">
            <v>PIPE, C.S., PE, ASTM A106 Gr.B.</v>
          </cell>
          <cell r="F5" t="str">
            <v>80</v>
          </cell>
          <cell r="G5" t="str">
            <v>3/4"</v>
          </cell>
          <cell r="H5">
            <v>8</v>
          </cell>
          <cell r="I5" t="str">
            <v>m</v>
          </cell>
          <cell r="J5">
            <v>2.2000000000000002</v>
          </cell>
        </row>
        <row r="6">
          <cell r="C6" t="str">
            <v>A2-3F</v>
          </cell>
          <cell r="D6" t="str">
            <v>SCP</v>
          </cell>
          <cell r="E6" t="str">
            <v>SWAGE CONCENTRIC, PE, ASTM A106 Gr.B.</v>
          </cell>
          <cell r="F6" t="str">
            <v>80</v>
          </cell>
          <cell r="G6" t="str">
            <v>3/4"</v>
          </cell>
          <cell r="H6">
            <v>5</v>
          </cell>
          <cell r="I6" t="str">
            <v>un</v>
          </cell>
          <cell r="J6">
            <v>0.5</v>
          </cell>
        </row>
        <row r="7">
          <cell r="C7" t="str">
            <v>A2-3F</v>
          </cell>
          <cell r="D7" t="str">
            <v>SOL</v>
          </cell>
          <cell r="E7" t="str">
            <v>SOCKOLET, C.S., 3000#, SW, ASTM A105. HEADER 6"-12".</v>
          </cell>
          <cell r="G7" t="str">
            <v>3/4"</v>
          </cell>
          <cell r="H7">
            <v>2</v>
          </cell>
          <cell r="I7" t="str">
            <v>un</v>
          </cell>
          <cell r="J7">
            <v>0.5</v>
          </cell>
        </row>
        <row r="8">
          <cell r="C8" t="str">
            <v>A2-3F</v>
          </cell>
          <cell r="D8" t="str">
            <v>SOL</v>
          </cell>
          <cell r="E8" t="str">
            <v>SOCKOLET, C.S., 3000#, SW, ASTM A105. HEADER 6"-12".</v>
          </cell>
          <cell r="G8" t="str">
            <v>3/4"</v>
          </cell>
          <cell r="H8">
            <v>5</v>
          </cell>
          <cell r="I8" t="str">
            <v>un</v>
          </cell>
          <cell r="J8">
            <v>0.5</v>
          </cell>
        </row>
        <row r="9">
          <cell r="C9" t="str">
            <v>A2-3F</v>
          </cell>
          <cell r="D9" t="str">
            <v>90E</v>
          </cell>
          <cell r="E9" t="str">
            <v>90° ELBOW, C.S., BW, ASTM A234-WPB.</v>
          </cell>
          <cell r="F9" t="str">
            <v>40</v>
          </cell>
          <cell r="G9" t="str">
            <v>10"</v>
          </cell>
          <cell r="H9">
            <v>4</v>
          </cell>
          <cell r="I9" t="str">
            <v>un</v>
          </cell>
          <cell r="J9">
            <v>36.700000000000003</v>
          </cell>
        </row>
        <row r="10">
          <cell r="C10" t="str">
            <v>A2-3F</v>
          </cell>
          <cell r="D10" t="str">
            <v>CRE</v>
          </cell>
          <cell r="E10" t="str">
            <v>REDUCER CONCENTRIC, C.S., BW, ASTM A234-WPB.</v>
          </cell>
          <cell r="F10" t="str">
            <v>40</v>
          </cell>
          <cell r="G10" t="str">
            <v>10"</v>
          </cell>
          <cell r="H10">
            <v>2</v>
          </cell>
          <cell r="I10" t="str">
            <v>un</v>
          </cell>
          <cell r="J10">
            <v>22</v>
          </cell>
        </row>
        <row r="11">
          <cell r="C11" t="str">
            <v>A2-3F</v>
          </cell>
          <cell r="D11" t="str">
            <v>PIP</v>
          </cell>
          <cell r="E11" t="str">
            <v>PIPE, C.S., BE, ASTM A106 Gr.B.</v>
          </cell>
          <cell r="F11" t="str">
            <v>40</v>
          </cell>
          <cell r="G11" t="str">
            <v>10"</v>
          </cell>
          <cell r="H11">
            <v>13.7</v>
          </cell>
          <cell r="I11" t="str">
            <v>m</v>
          </cell>
          <cell r="J11">
            <v>60.3</v>
          </cell>
        </row>
        <row r="12">
          <cell r="C12" t="str">
            <v>A2-3F</v>
          </cell>
          <cell r="D12" t="str">
            <v>TEE</v>
          </cell>
          <cell r="E12" t="str">
            <v>TEE, C.S.,  BW, ASTM A234-WPB.</v>
          </cell>
          <cell r="F12" t="str">
            <v>40</v>
          </cell>
          <cell r="G12" t="str">
            <v>10"</v>
          </cell>
          <cell r="H12">
            <v>1</v>
          </cell>
          <cell r="I12" t="str">
            <v>un</v>
          </cell>
          <cell r="J12">
            <v>40.4</v>
          </cell>
        </row>
        <row r="13">
          <cell r="C13" t="str">
            <v>A2-3F</v>
          </cell>
          <cell r="D13" t="str">
            <v>WR3</v>
          </cell>
          <cell r="E13" t="str">
            <v>WELDING NECK  FLANGE, C.S., 300#, RF, ASTM A105.</v>
          </cell>
          <cell r="F13" t="str">
            <v>40</v>
          </cell>
          <cell r="G13" t="str">
            <v>3"</v>
          </cell>
          <cell r="H13">
            <v>2</v>
          </cell>
          <cell r="I13" t="str">
            <v>un</v>
          </cell>
          <cell r="J13">
            <v>6.8</v>
          </cell>
        </row>
        <row r="14">
          <cell r="C14" t="str">
            <v>A2-3F</v>
          </cell>
          <cell r="D14" t="str">
            <v>90E</v>
          </cell>
          <cell r="E14" t="str">
            <v>90° ELBOW, C.S., BW, ASTM A234-WPB.</v>
          </cell>
          <cell r="F14" t="str">
            <v>40</v>
          </cell>
          <cell r="G14" t="str">
            <v>6"</v>
          </cell>
          <cell r="H14">
            <v>7</v>
          </cell>
          <cell r="I14" t="str">
            <v>un</v>
          </cell>
          <cell r="J14">
            <v>10.4</v>
          </cell>
        </row>
        <row r="15">
          <cell r="C15" t="str">
            <v>A2-3F</v>
          </cell>
          <cell r="D15" t="str">
            <v>CRE</v>
          </cell>
          <cell r="E15" t="str">
            <v>REDUCER CONCENTRIC, C.S., BW, ASTM A234-WPB.</v>
          </cell>
          <cell r="F15" t="str">
            <v>40</v>
          </cell>
          <cell r="G15" t="str">
            <v>6"</v>
          </cell>
          <cell r="H15">
            <v>1</v>
          </cell>
          <cell r="I15" t="str">
            <v>un</v>
          </cell>
          <cell r="J15">
            <v>7.4</v>
          </cell>
        </row>
        <row r="16">
          <cell r="C16" t="str">
            <v>A2-3F</v>
          </cell>
          <cell r="D16" t="str">
            <v>CRE</v>
          </cell>
          <cell r="E16" t="str">
            <v>REDUCER CONCENTRIC, C.S., BW, ASTM A234-WPB.</v>
          </cell>
          <cell r="F16" t="str">
            <v>40</v>
          </cell>
          <cell r="G16" t="str">
            <v>6"</v>
          </cell>
          <cell r="H16">
            <v>1</v>
          </cell>
          <cell r="I16" t="str">
            <v>un</v>
          </cell>
          <cell r="J16">
            <v>7.4</v>
          </cell>
        </row>
        <row r="17">
          <cell r="C17" t="str">
            <v>A2-3F</v>
          </cell>
          <cell r="D17" t="str">
            <v>PIP</v>
          </cell>
          <cell r="E17" t="str">
            <v>PIPE, C.S., BE, ASTM A106 Gr.B.</v>
          </cell>
          <cell r="F17" t="str">
            <v>40</v>
          </cell>
          <cell r="G17" t="str">
            <v>6"</v>
          </cell>
          <cell r="H17">
            <v>7.4</v>
          </cell>
          <cell r="I17" t="str">
            <v>m</v>
          </cell>
          <cell r="J17">
            <v>28.3</v>
          </cell>
        </row>
        <row r="18">
          <cell r="C18" t="str">
            <v>A2-3F</v>
          </cell>
          <cell r="D18" t="str">
            <v>TEE</v>
          </cell>
          <cell r="E18" t="str">
            <v>TEE, C.S.,  BW, ASTM A234-WPB.</v>
          </cell>
          <cell r="F18" t="str">
            <v>40</v>
          </cell>
          <cell r="G18" t="str">
            <v>6"</v>
          </cell>
          <cell r="H18">
            <v>1</v>
          </cell>
          <cell r="I18" t="str">
            <v>un</v>
          </cell>
          <cell r="J18">
            <v>14.4</v>
          </cell>
        </row>
        <row r="19">
          <cell r="C19" t="str">
            <v>A2-3F</v>
          </cell>
          <cell r="D19" t="str">
            <v>WR3</v>
          </cell>
          <cell r="E19" t="str">
            <v>WELDING NECK  FLANGE, C.S., 300#, RF, ASTM A105.</v>
          </cell>
          <cell r="F19" t="str">
            <v>40</v>
          </cell>
          <cell r="G19" t="str">
            <v>6"</v>
          </cell>
          <cell r="H19">
            <v>10</v>
          </cell>
          <cell r="I19" t="str">
            <v>un</v>
          </cell>
          <cell r="J19">
            <v>19</v>
          </cell>
        </row>
        <row r="20">
          <cell r="C20" t="str">
            <v>A2-3F</v>
          </cell>
          <cell r="D20" t="str">
            <v>90E</v>
          </cell>
          <cell r="E20" t="str">
            <v>90° ELBOW, C.S., BW, ASTM A234-WPB.</v>
          </cell>
          <cell r="F20" t="str">
            <v>40</v>
          </cell>
          <cell r="G20" t="str">
            <v>8"</v>
          </cell>
          <cell r="H20">
            <v>6</v>
          </cell>
          <cell r="I20" t="str">
            <v>un</v>
          </cell>
          <cell r="J20">
            <v>20.9</v>
          </cell>
        </row>
        <row r="21">
          <cell r="C21" t="str">
            <v>A2-3F</v>
          </cell>
          <cell r="D21" t="str">
            <v>ERE</v>
          </cell>
          <cell r="E21" t="str">
            <v>REDUCER ECCENTRIC, C.S., BW, ASTM A234-WPB.</v>
          </cell>
          <cell r="F21" t="str">
            <v>40</v>
          </cell>
          <cell r="G21" t="str">
            <v>8"</v>
          </cell>
          <cell r="H21">
            <v>2</v>
          </cell>
          <cell r="I21" t="str">
            <v>un</v>
          </cell>
          <cell r="J21">
            <v>12.3</v>
          </cell>
        </row>
        <row r="22">
          <cell r="C22" t="str">
            <v>A2-3F</v>
          </cell>
          <cell r="D22" t="str">
            <v>PIP</v>
          </cell>
          <cell r="E22" t="str">
            <v>PIPE, C.S., BE, ASTM A106 Gr.B.</v>
          </cell>
          <cell r="F22" t="str">
            <v>40</v>
          </cell>
          <cell r="G22" t="str">
            <v>8"</v>
          </cell>
          <cell r="H22">
            <v>4.3</v>
          </cell>
          <cell r="I22" t="str">
            <v>m</v>
          </cell>
          <cell r="J22">
            <v>42.5</v>
          </cell>
        </row>
        <row r="23">
          <cell r="C23" t="str">
            <v>A2-3F</v>
          </cell>
          <cell r="D23" t="str">
            <v>WR3</v>
          </cell>
          <cell r="E23" t="str">
            <v>WELDING NECK  FLANGE, C.S., 300#, RF, ASTM A105.</v>
          </cell>
          <cell r="F23" t="str">
            <v>40</v>
          </cell>
          <cell r="G23" t="str">
            <v>8"</v>
          </cell>
          <cell r="H23">
            <v>12</v>
          </cell>
          <cell r="I23" t="str">
            <v>un</v>
          </cell>
          <cell r="J23">
            <v>30.4</v>
          </cell>
        </row>
        <row r="24">
          <cell r="C24" t="str">
            <v>A2-3J</v>
          </cell>
          <cell r="D24" t="str">
            <v>WJ3</v>
          </cell>
          <cell r="E24" t="str">
            <v>WELDING NECK FLANGE, C.S., 300#, RTJ, ASTM A105.</v>
          </cell>
          <cell r="F24" t="str">
            <v>80</v>
          </cell>
          <cell r="G24" t="str">
            <v>1 1/2"</v>
          </cell>
          <cell r="H24">
            <v>2</v>
          </cell>
          <cell r="I24" t="str">
            <v>un</v>
          </cell>
          <cell r="J24">
            <v>3.6</v>
          </cell>
        </row>
        <row r="25">
          <cell r="C25" t="str">
            <v>A2-3J</v>
          </cell>
          <cell r="D25" t="str">
            <v>SOL</v>
          </cell>
          <cell r="E25" t="str">
            <v>SOCKOLET, C.S., 3000#, SW, ASTM A105. HEADER 3"-8".</v>
          </cell>
          <cell r="G25" t="str">
            <v>1/2"</v>
          </cell>
          <cell r="H25">
            <v>2</v>
          </cell>
          <cell r="I25" t="str">
            <v>un</v>
          </cell>
          <cell r="J25">
            <v>0.4</v>
          </cell>
        </row>
        <row r="26">
          <cell r="C26" t="str">
            <v>A2-1F</v>
          </cell>
          <cell r="D26" t="str">
            <v>PIP</v>
          </cell>
          <cell r="E26" t="str">
            <v>PIPE, C.S., BE, ASTM A106 Gr.B.</v>
          </cell>
          <cell r="F26" t="str">
            <v>40</v>
          </cell>
          <cell r="G26" t="str">
            <v>4"</v>
          </cell>
          <cell r="H26">
            <v>6</v>
          </cell>
          <cell r="I26" t="str">
            <v>m</v>
          </cell>
          <cell r="J26">
            <v>16.100000000000001</v>
          </cell>
        </row>
        <row r="27">
          <cell r="C27" t="str">
            <v>A2-3J</v>
          </cell>
          <cell r="D27" t="str">
            <v>PIP</v>
          </cell>
          <cell r="E27" t="str">
            <v>PIPE, C.S., BE, ASTM A106 Gr.B.</v>
          </cell>
          <cell r="F27" t="str">
            <v>40</v>
          </cell>
          <cell r="G27" t="str">
            <v>4"</v>
          </cell>
          <cell r="H27">
            <v>20</v>
          </cell>
          <cell r="I27" t="str">
            <v>m</v>
          </cell>
          <cell r="J27">
            <v>16.100000000000001</v>
          </cell>
        </row>
        <row r="28">
          <cell r="C28" t="str">
            <v>A2-3J</v>
          </cell>
          <cell r="D28" t="str">
            <v>WJ3</v>
          </cell>
          <cell r="E28" t="str">
            <v>WELDING NECK  FLANGE, C.S., 300#, RTJ, ASTM A105.</v>
          </cell>
          <cell r="F28" t="str">
            <v>40</v>
          </cell>
          <cell r="G28" t="str">
            <v>3"</v>
          </cell>
          <cell r="H28">
            <v>2</v>
          </cell>
          <cell r="I28" t="str">
            <v>un</v>
          </cell>
          <cell r="J28">
            <v>6.8</v>
          </cell>
        </row>
        <row r="29">
          <cell r="C29" t="str">
            <v>A2-1F</v>
          </cell>
          <cell r="D29" t="str">
            <v>90E</v>
          </cell>
          <cell r="E29" t="str">
            <v>90° ELBOW, C.S., BW, ASTM A234-WPB.</v>
          </cell>
          <cell r="F29" t="str">
            <v>40</v>
          </cell>
          <cell r="G29" t="str">
            <v>4"</v>
          </cell>
          <cell r="H29">
            <v>4</v>
          </cell>
          <cell r="I29" t="str">
            <v>un</v>
          </cell>
          <cell r="J29">
            <v>3.95</v>
          </cell>
        </row>
        <row r="30">
          <cell r="C30" t="str">
            <v>A2-3J</v>
          </cell>
          <cell r="D30" t="str">
            <v>90E</v>
          </cell>
          <cell r="E30" t="str">
            <v>90° ELBOW, C.S., BW, ASTM A234-WPB.</v>
          </cell>
          <cell r="F30" t="str">
            <v>40</v>
          </cell>
          <cell r="G30" t="str">
            <v>4"</v>
          </cell>
          <cell r="H30">
            <v>15</v>
          </cell>
          <cell r="I30" t="str">
            <v>un</v>
          </cell>
          <cell r="J30">
            <v>3.95</v>
          </cell>
        </row>
        <row r="31">
          <cell r="C31" t="str">
            <v>A2-3J</v>
          </cell>
          <cell r="D31" t="str">
            <v>ERE</v>
          </cell>
          <cell r="E31" t="str">
            <v>REDUCER CONCENTRIC, C.S., BW, ASTM A234-WPB.</v>
          </cell>
          <cell r="F31" t="str">
            <v>40</v>
          </cell>
          <cell r="G31" t="str">
            <v>4"</v>
          </cell>
          <cell r="H31">
            <v>2</v>
          </cell>
          <cell r="I31" t="str">
            <v>un</v>
          </cell>
          <cell r="J31">
            <v>3.3</v>
          </cell>
        </row>
        <row r="32">
          <cell r="C32" t="str">
            <v>A2-3J</v>
          </cell>
          <cell r="D32" t="str">
            <v>ERE</v>
          </cell>
          <cell r="E32" t="str">
            <v>REDUCER ECCENTRIC, C.S., BW, ASTM A234-WPB.</v>
          </cell>
          <cell r="F32" t="str">
            <v>40</v>
          </cell>
          <cell r="G32" t="str">
            <v>4"</v>
          </cell>
          <cell r="H32">
            <v>2</v>
          </cell>
          <cell r="I32" t="str">
            <v>un</v>
          </cell>
          <cell r="J32">
            <v>3.3</v>
          </cell>
        </row>
        <row r="33">
          <cell r="C33" t="str">
            <v>A2-1F</v>
          </cell>
          <cell r="D33" t="str">
            <v>PIP</v>
          </cell>
          <cell r="E33" t="str">
            <v>PIPE, C.S., BE, ASTM A106 Gr.B.</v>
          </cell>
          <cell r="F33" t="str">
            <v>40</v>
          </cell>
          <cell r="G33" t="str">
            <v>4"</v>
          </cell>
          <cell r="H33">
            <v>6</v>
          </cell>
          <cell r="I33" t="str">
            <v>m</v>
          </cell>
          <cell r="J33">
            <v>16.100000000000001</v>
          </cell>
        </row>
        <row r="34">
          <cell r="C34" t="str">
            <v>A2-3J</v>
          </cell>
          <cell r="D34" t="str">
            <v>PIP</v>
          </cell>
          <cell r="E34" t="str">
            <v>PIPE, C.S., BE, ASTM A106 Gr.B.</v>
          </cell>
          <cell r="F34" t="str">
            <v>40</v>
          </cell>
          <cell r="G34" t="str">
            <v>4"</v>
          </cell>
          <cell r="H34">
            <v>8.1199999999999992</v>
          </cell>
          <cell r="I34" t="str">
            <v>m</v>
          </cell>
          <cell r="J34">
            <v>16.100000000000001</v>
          </cell>
        </row>
        <row r="35">
          <cell r="C35" t="str">
            <v>A2-1F</v>
          </cell>
          <cell r="D35" t="str">
            <v>TEE</v>
          </cell>
          <cell r="E35" t="str">
            <v>TEE, C.S.,  BW, ASTM A234-WPB.</v>
          </cell>
          <cell r="F35" t="str">
            <v>40</v>
          </cell>
          <cell r="G35" t="str">
            <v>4"</v>
          </cell>
          <cell r="H35">
            <v>2</v>
          </cell>
          <cell r="I35" t="str">
            <v>un</v>
          </cell>
          <cell r="J35">
            <v>5.6</v>
          </cell>
        </row>
        <row r="36">
          <cell r="C36" t="str">
            <v>A2-3J</v>
          </cell>
          <cell r="D36" t="str">
            <v>TEE</v>
          </cell>
          <cell r="E36" t="str">
            <v>TEE, C.S.,  BW, ASTM A234-WPB.</v>
          </cell>
          <cell r="F36" t="str">
            <v>40</v>
          </cell>
          <cell r="G36" t="str">
            <v>4"</v>
          </cell>
          <cell r="H36">
            <v>3</v>
          </cell>
          <cell r="I36" t="str">
            <v>un</v>
          </cell>
          <cell r="J36">
            <v>5.6</v>
          </cell>
        </row>
        <row r="37">
          <cell r="C37" t="str">
            <v>A2-3J</v>
          </cell>
          <cell r="D37" t="str">
            <v>WJ3</v>
          </cell>
          <cell r="E37" t="str">
            <v>WELDING NECK  FLANGE, C.S., 300#, RTJ, ASTM A105.</v>
          </cell>
          <cell r="F37" t="str">
            <v>40</v>
          </cell>
          <cell r="G37" t="str">
            <v>4"</v>
          </cell>
          <cell r="H37">
            <v>15</v>
          </cell>
          <cell r="I37" t="str">
            <v>un</v>
          </cell>
          <cell r="J37">
            <v>11.3</v>
          </cell>
        </row>
        <row r="38">
          <cell r="C38" t="str">
            <v>A2-3J</v>
          </cell>
          <cell r="D38" t="str">
            <v>WOL</v>
          </cell>
          <cell r="E38" t="str">
            <v>WELDOLET C.S., BW. ASTM A105.</v>
          </cell>
          <cell r="F38" t="str">
            <v>40</v>
          </cell>
          <cell r="G38" t="str">
            <v>4"</v>
          </cell>
          <cell r="H38">
            <v>2</v>
          </cell>
          <cell r="I38" t="str">
            <v>un</v>
          </cell>
          <cell r="J38">
            <v>2</v>
          </cell>
        </row>
        <row r="39">
          <cell r="C39" t="str">
            <v>A2-1F</v>
          </cell>
          <cell r="D39" t="str">
            <v>WR1</v>
          </cell>
          <cell r="E39" t="str">
            <v>WELDING NECK  FLANGE, C.S., 150#, RF, ASTM A105.</v>
          </cell>
          <cell r="F39" t="str">
            <v>40</v>
          </cell>
          <cell r="G39" t="str">
            <v>4"</v>
          </cell>
          <cell r="H39">
            <v>2</v>
          </cell>
          <cell r="I39" t="str">
            <v>un</v>
          </cell>
          <cell r="J39">
            <v>6.8</v>
          </cell>
        </row>
      </sheetData>
      <sheetData sheetId="5" refreshError="1"/>
      <sheetData sheetId="6" refreshError="1"/>
      <sheetData sheetId="7" refreshError="1"/>
      <sheetData sheetId="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vance"/>
      <sheetName val="Informe Semanal 1"/>
      <sheetName val="Curva S"/>
      <sheetName val="RESUMEN"/>
      <sheetName val="Informe Semanal 1 (2)"/>
    </sheetNames>
    <sheetDataSet>
      <sheetData sheetId="0"/>
      <sheetData sheetId="1"/>
      <sheetData sheetId="2"/>
      <sheetData sheetId="3"/>
      <sheetData sheetId="4"/>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PS (2)"/>
      <sheetName val="FPS"/>
      <sheetName val="EJEMPLOS"/>
      <sheetName val="CCP,LEYES, Y DEC."/>
      <sheetName val="FPS (Anaco)"/>
      <sheetName val="salarios"/>
      <sheetName val="Hoja3"/>
      <sheetName val="Hoja4"/>
      <sheetName val="Hoja5"/>
    </sheetNames>
    <sheetDataSet>
      <sheetData sheetId="0"/>
      <sheetData sheetId="1"/>
      <sheetData sheetId="2"/>
      <sheetData sheetId="3"/>
      <sheetData sheetId="4"/>
      <sheetData sheetId="5"/>
      <sheetData sheetId="6"/>
      <sheetData sheetId="7"/>
      <sheetData sheetId="8"/>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ACC Contratacion"/>
      <sheetName val="Contratacion PME v021"/>
    </sheetNames>
    <sheetDataSet>
      <sheetData sheetId="0">
        <row r="6">
          <cell r="A6" t="str">
            <v>DCI: Dirección de Informática</v>
          </cell>
          <cell r="I6" t="str">
            <v>RAN: REGIONAL ADMINISTRATIVA NORTE</v>
          </cell>
          <cell r="J6" t="str">
            <v>ANUALIDAD</v>
          </cell>
          <cell r="M6" t="str">
            <v>Ley 80</v>
          </cell>
          <cell r="Q6" t="str">
            <v>Operativa</v>
          </cell>
          <cell r="U6" t="str">
            <v>1: OBRAS CIVILES</v>
          </cell>
          <cell r="AO6" t="str">
            <v>USD</v>
          </cell>
        </row>
        <row r="7">
          <cell r="A7" t="str">
            <v>DDS: Dirección de Desarrollo</v>
          </cell>
          <cell r="I7" t="str">
            <v>RAS: REGIONAL ADMINISTRATIVA SUR</v>
          </cell>
          <cell r="J7" t="str">
            <v>CUENTAS POR PAGAR</v>
          </cell>
          <cell r="M7" t="str">
            <v>Manual de Contratación</v>
          </cell>
          <cell r="Q7" t="str">
            <v>Soporte</v>
          </cell>
          <cell r="U7" t="str">
            <v>2: OBRAS ELECTRO-MECÁNICAS</v>
          </cell>
          <cell r="AO7" t="str">
            <v>COP</v>
          </cell>
        </row>
        <row r="8">
          <cell r="A8" t="str">
            <v>DGO: Dirección General de Operaciones</v>
          </cell>
          <cell r="I8" t="str">
            <v>RCC: REGIONAL CENTRAL DE COMPRAS Y CONTRATACION</v>
          </cell>
          <cell r="J8" t="str">
            <v>VIGENCIA FUTURA</v>
          </cell>
          <cell r="M8" t="str">
            <v>Privado</v>
          </cell>
          <cell r="Q8" t="str">
            <v>Servicios Administrativos</v>
          </cell>
          <cell r="U8" t="str">
            <v>3: OBRAS INDUSTRIA PETROLERA</v>
          </cell>
        </row>
        <row r="9">
          <cell r="A9" t="str">
            <v>DGP: Dirección General de Planeación y Riesgos</v>
          </cell>
          <cell r="I9" t="str">
            <v>RCM:REGIONAL MAGDALENA MEDIO DE COMPRAS Y CONTRATACION</v>
          </cell>
          <cell r="U9" t="str">
            <v xml:space="preserve">4: SUMINISTRO DE SERVICIOS ADMINISTRATIVOS </v>
          </cell>
        </row>
        <row r="10">
          <cell r="A10" t="str">
            <v>DIJ: Dirección Jurídica</v>
          </cell>
          <cell r="I10" t="str">
            <v>PROPOSITO ESPECÍFICO</v>
          </cell>
          <cell r="U10" t="str">
            <v xml:space="preserve">5: SUMINISTRO DE SERVICIOS INDUSTRIALES y COMERCIALES </v>
          </cell>
        </row>
        <row r="11">
          <cell r="A11" t="str">
            <v>DPI: Dirección de Promoción</v>
          </cell>
          <cell r="U11" t="str">
            <v xml:space="preserve">6: SUMINISTRO DE SERVICIOS DE EXPLORACION Y PRODUCCION </v>
          </cell>
        </row>
        <row r="12">
          <cell r="A12" t="str">
            <v>DPY: Dirección de Gestión de Proyectos</v>
          </cell>
          <cell r="U12" t="str">
            <v>7: CONSULTORÍAS EN INGENIERÍA CIVIL y AMBIENTAL</v>
          </cell>
        </row>
        <row r="13">
          <cell r="A13" t="str">
            <v>DRI: Dirección de Responsabilidad Integral</v>
          </cell>
          <cell r="U13" t="str">
            <v>8: CONSULTORÍAS EN INGENIERÍA ELÉCTRICA, ELECTRÓNICA y MECÁNICA</v>
          </cell>
        </row>
        <row r="14">
          <cell r="A14" t="str">
            <v>DRL: Dirección Relaciones Laborales</v>
          </cell>
          <cell r="U14" t="str">
            <v>9: CONSULTORÍAS EN TRABAJOS PETROLEROS</v>
          </cell>
        </row>
        <row r="15">
          <cell r="A15" t="str">
            <v>DSP: Direccion de Soporte a Presidencia y Junta Directiva</v>
          </cell>
          <cell r="U15" t="str">
            <v>10: OTRAS CONSULTORÍAS</v>
          </cell>
        </row>
        <row r="16">
          <cell r="A16" t="str">
            <v>ECP: Presidencia</v>
          </cell>
        </row>
        <row r="17">
          <cell r="A17" t="str">
            <v>GEA: Gerencia Administrativa</v>
          </cell>
        </row>
        <row r="18">
          <cell r="A18" t="str">
            <v>ICP: Dirección Instituto Col. Del Petróleo</v>
          </cell>
        </row>
        <row r="19">
          <cell r="A19" t="str">
            <v>OCD: Oficina de Control Disciplinario</v>
          </cell>
        </row>
        <row r="20">
          <cell r="A20" t="str">
            <v>OCI: Of. Control Interno</v>
          </cell>
        </row>
        <row r="21">
          <cell r="A21" t="str">
            <v>VEX: Vic. De Exploración</v>
          </cell>
        </row>
        <row r="22">
          <cell r="A22" t="str">
            <v>VFA: Vicepresidencia Financiera y Administrativa</v>
          </cell>
        </row>
        <row r="23">
          <cell r="A23" t="str">
            <v>VIT: Vicepresidencia de Transporte</v>
          </cell>
        </row>
        <row r="24">
          <cell r="A24" t="str">
            <v>VPR: Vic. De Producción</v>
          </cell>
        </row>
        <row r="25">
          <cell r="A25" t="str">
            <v>VRP: Vicepresidencia de Refinación</v>
          </cell>
        </row>
        <row r="26">
          <cell r="A26" t="str">
            <v>VSM: Vicepresidencia de Suministro y Mercadeo</v>
          </cell>
        </row>
      </sheetData>
      <sheetData sheetId="1" refreshError="1"/>
      <sheetData sheetId="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nario 1"/>
      <sheetName val="Escenario 2"/>
      <sheetName val=" CHICAS+Nafta"/>
      <sheetName val=" ASR+Nafta"/>
      <sheetName val="Todos+Nafta"/>
      <sheetName val="Portafolio 06"/>
      <sheetName val="Propiedades de Fluidos"/>
      <sheetName val="Edificios"/>
    </sheetNames>
    <sheetDataSet>
      <sheetData sheetId="0" refreshError="1"/>
      <sheetData sheetId="1" refreshError="1"/>
      <sheetData sheetId="2" refreshError="1"/>
      <sheetData sheetId="3" refreshError="1">
        <row r="9">
          <cell r="E9">
            <v>19.372852455375334</v>
          </cell>
        </row>
        <row r="10">
          <cell r="E10">
            <v>13.488609826409506</v>
          </cell>
        </row>
        <row r="11">
          <cell r="E11">
            <v>33.696643393853968</v>
          </cell>
        </row>
        <row r="12">
          <cell r="E12">
            <v>10.196556709956383</v>
          </cell>
        </row>
        <row r="13">
          <cell r="E13">
            <v>22.575500308671412</v>
          </cell>
        </row>
        <row r="14">
          <cell r="E14">
            <v>38.956189707181579</v>
          </cell>
        </row>
        <row r="15">
          <cell r="E15">
            <v>22.536824034511785</v>
          </cell>
        </row>
        <row r="16">
          <cell r="E16">
            <v>30.714559739945464</v>
          </cell>
        </row>
        <row r="17">
          <cell r="E17">
            <v>33.696643393853968</v>
          </cell>
        </row>
        <row r="18">
          <cell r="E18">
            <v>69.434255477424813</v>
          </cell>
        </row>
        <row r="19">
          <cell r="E19">
            <v>58.872719228076853</v>
          </cell>
          <cell r="K19">
            <v>702.81906990185962</v>
          </cell>
          <cell r="L19">
            <v>541.90975342720924</v>
          </cell>
          <cell r="M19">
            <v>417.84037856195584</v>
          </cell>
          <cell r="N19">
            <v>322.17648650295865</v>
          </cell>
          <cell r="O19">
            <v>248.41469082672742</v>
          </cell>
          <cell r="P19">
            <v>191.5405412988508</v>
          </cell>
          <cell r="Q19">
            <v>147.68763811415246</v>
          </cell>
          <cell r="R19">
            <v>113.87479074351779</v>
          </cell>
          <cell r="S19">
            <v>2555.4791807853057</v>
          </cell>
          <cell r="T19">
            <v>2494.5285822059259</v>
          </cell>
          <cell r="U19">
            <v>3477.2679408993358</v>
          </cell>
          <cell r="V19">
            <v>4197.4717855870167</v>
          </cell>
          <cell r="W19">
            <v>7398.5644325023604</v>
          </cell>
          <cell r="X19">
            <v>7278.3769808135521</v>
          </cell>
          <cell r="Y19">
            <v>7189.9592098080575</v>
          </cell>
          <cell r="Z19">
            <v>7330.5434316511091</v>
          </cell>
          <cell r="AA19">
            <v>7227.8563047982425</v>
          </cell>
          <cell r="AB19">
            <v>7152.4183998138933</v>
          </cell>
          <cell r="AC19">
            <v>7285.5283352150573</v>
          </cell>
          <cell r="AD19">
            <v>7479.2375425676028</v>
          </cell>
          <cell r="AE19">
            <v>7292.8443749671551</v>
          </cell>
          <cell r="AF19">
            <v>7171.1220195373971</v>
          </cell>
          <cell r="AG19">
            <v>7352.5800705570482</v>
          </cell>
          <cell r="AH19">
            <v>7163.3484172251865</v>
          </cell>
          <cell r="AI19">
            <v>7293.2198141033314</v>
          </cell>
          <cell r="AJ19">
            <v>7329.6166490919495</v>
          </cell>
          <cell r="AK19">
            <v>7346.442007073425</v>
          </cell>
          <cell r="AL19">
            <v>6211.8794916112374</v>
          </cell>
          <cell r="AM19">
            <v>4358.9273855775191</v>
          </cell>
          <cell r="AN19">
            <v>3071.6502956608274</v>
          </cell>
          <cell r="AO19">
            <v>2132.9789837806625</v>
          </cell>
          <cell r="AP19">
            <v>1406.4106254460271</v>
          </cell>
          <cell r="AQ19">
            <v>991.08154971480678</v>
          </cell>
          <cell r="AR19">
            <v>682.76338422040271</v>
          </cell>
          <cell r="AS19">
            <v>460.80407291525518</v>
          </cell>
        </row>
        <row r="20">
          <cell r="E20">
            <v>24.101131138507405</v>
          </cell>
        </row>
        <row r="21">
          <cell r="E21">
            <v>23.504447034370276</v>
          </cell>
        </row>
      </sheetData>
      <sheetData sheetId="4" refreshError="1">
        <row r="9">
          <cell r="E9">
            <v>25.908967698642606</v>
          </cell>
        </row>
        <row r="10">
          <cell r="E10">
            <v>19.085377303641557</v>
          </cell>
        </row>
        <row r="11">
          <cell r="E11">
            <v>42.318065615778181</v>
          </cell>
        </row>
        <row r="12">
          <cell r="E12">
            <v>15.528934807628715</v>
          </cell>
        </row>
        <row r="13">
          <cell r="E13">
            <v>29.501175317879316</v>
          </cell>
        </row>
        <row r="14">
          <cell r="E14">
            <v>48.529419632161577</v>
          </cell>
        </row>
        <row r="15">
          <cell r="E15">
            <v>29.373138709348389</v>
          </cell>
        </row>
        <row r="16">
          <cell r="E16">
            <v>38.793960671570794</v>
          </cell>
        </row>
        <row r="17">
          <cell r="E17">
            <v>42.318065615778181</v>
          </cell>
        </row>
        <row r="18">
          <cell r="E18">
            <v>85.391041768273681</v>
          </cell>
        </row>
        <row r="19">
          <cell r="E19">
            <v>72.389275523022945</v>
          </cell>
          <cell r="K19">
            <v>7038.59417376489</v>
          </cell>
          <cell r="L19">
            <v>9285.4528293216899</v>
          </cell>
          <cell r="M19">
            <v>15862.175939601668</v>
          </cell>
          <cell r="N19">
            <v>19276.61386877664</v>
          </cell>
          <cell r="O19">
            <v>19507.591783271797</v>
          </cell>
          <cell r="P19">
            <v>20207.789596257015</v>
          </cell>
          <cell r="Q19">
            <v>20272.935991335584</v>
          </cell>
          <cell r="R19">
            <v>20249.161591028129</v>
          </cell>
          <cell r="S19">
            <v>23317.459639487377</v>
          </cell>
          <cell r="T19">
            <v>24999.348207034971</v>
          </cell>
          <cell r="U19">
            <v>26959.972451715854</v>
          </cell>
          <cell r="V19">
            <v>28905.573196315752</v>
          </cell>
          <cell r="W19">
            <v>30775.028711166109</v>
          </cell>
          <cell r="X19">
            <v>32227.001436292609</v>
          </cell>
          <cell r="Y19">
            <v>33497.462769010112</v>
          </cell>
          <cell r="Z19">
            <v>34562.233981059784</v>
          </cell>
          <cell r="AA19">
            <v>35555.237147795298</v>
          </cell>
          <cell r="AB19">
            <v>36092.765967297601</v>
          </cell>
          <cell r="AC19">
            <v>36675.18433533176</v>
          </cell>
          <cell r="AD19">
            <v>37301.728807158528</v>
          </cell>
          <cell r="AE19">
            <v>37755.818337458448</v>
          </cell>
          <cell r="AF19">
            <v>37945.829793421632</v>
          </cell>
          <cell r="AG19">
            <v>37990.258342900124</v>
          </cell>
          <cell r="AH19">
            <v>38120.413544648261</v>
          </cell>
          <cell r="AI19">
            <v>38181.157510572753</v>
          </cell>
          <cell r="AJ19">
            <v>29522.231078776022</v>
          </cell>
          <cell r="AK19">
            <v>23677.189643217454</v>
          </cell>
          <cell r="AL19">
            <v>18146.869025807035</v>
          </cell>
          <cell r="AM19">
            <v>13111.390348937261</v>
          </cell>
          <cell r="AN19">
            <v>9454.7421103871511</v>
          </cell>
          <cell r="AO19">
            <v>6336.2949723103757</v>
          </cell>
          <cell r="AP19">
            <v>4334.9813916755484</v>
          </cell>
          <cell r="AQ19">
            <v>2951.6432286383506</v>
          </cell>
          <cell r="AR19">
            <v>2119.3022740288779</v>
          </cell>
          <cell r="AS19">
            <v>1513.1329201175824</v>
          </cell>
        </row>
        <row r="20">
          <cell r="E20">
            <v>31.171173462612412</v>
          </cell>
        </row>
        <row r="21">
          <cell r="E21">
            <v>30.525764169314101</v>
          </cell>
        </row>
      </sheetData>
      <sheetData sheetId="5" refreshError="1"/>
      <sheetData sheetId="6" refreshError="1"/>
      <sheetData sheetId="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No 4"/>
    </sheetNames>
    <definedNames>
      <definedName name="Loan_Start" refersTo="#¡REF!"/>
    </defined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ACC Compras"/>
      <sheetName val="2121"/>
    </sheetNames>
    <sheetDataSet>
      <sheetData sheetId="0"/>
      <sheetData sheetId="1"/>
      <sheetData sheetId="2"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Descansos"/>
      <sheetName val="Cronograma descansos  - Trafos "/>
    </sheetNames>
    <definedNames>
      <definedName name="Loan_Start" refersTo="#¡REF!"/>
    </definedNames>
    <sheetDataSet>
      <sheetData sheetId="0"/>
      <sheetData sheetId="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AIU"/>
      <sheetName val="AIU"/>
      <sheetName val="PRESTA"/>
      <sheetName val="IMPACTO  COMUN"/>
      <sheetName val="BASE"/>
      <sheetName val="BASE CTOS2"/>
      <sheetName val="MATERIALES"/>
      <sheetName val="LINEAS IMPULSIÓN"/>
      <sheetName val="APU LINEAS IMPULSIÓN"/>
      <sheetName val="BOMBEO RIO SINU -PTAP TIJERETAS"/>
      <sheetName val="APUBOMBEO"/>
      <sheetName val="BOMBEO PTAP TIJERETAS-PATAGONIA"/>
      <sheetName val="1. BOMBEO RIO SINU PTAP ALT 2"/>
      <sheetName val="APULINEA"/>
      <sheetName val="PTAP TIJERETAS"/>
      <sheetName val="APU PTAP TIJERETAS"/>
      <sheetName val=" TANQUE PATAGONIA"/>
      <sheetName val="APU TANQUE PATAGONIA"/>
      <sheetName val="BASE2"/>
      <sheetName val="BASE CTOS"/>
      <sheetName val="APUS JAVIER"/>
      <sheetName val="TOTAL OC E INST + SUM"/>
      <sheetName val="RESUMEN OBRAS"/>
      <sheetName val="PRESP. NUEVA PTAP"/>
      <sheetName val="APU NUEVA PT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18">
          <cell r="B218">
            <v>408799.87863499997</v>
          </cell>
        </row>
      </sheetData>
      <sheetData sheetId="16"/>
      <sheetData sheetId="17"/>
      <sheetData sheetId="18">
        <row r="516">
          <cell r="D516">
            <v>135000</v>
          </cell>
        </row>
        <row r="517">
          <cell r="D517">
            <v>35000</v>
          </cell>
        </row>
      </sheetData>
      <sheetData sheetId="19"/>
      <sheetData sheetId="20"/>
      <sheetData sheetId="21"/>
      <sheetData sheetId="22"/>
      <sheetData sheetId="23"/>
      <sheetData sheetId="24"/>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1 "/>
    </sheetNames>
    <sheetDataSet>
      <sheetData sheetId="0"/>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BASES"/>
      <sheetName val="CDItem"/>
      <sheetName val="aCCIDENTES DE 1995 - 1996"/>
      <sheetName val="Informacion"/>
      <sheetName val="a%20%20aaInformaci%C3%B3n"/>
      <sheetName val="CONT_ADI"/>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ORITO 02 "/>
      <sheetName val="ORITO 05"/>
      <sheetName val="ORITO 08"/>
      <sheetName val="ORITO 13"/>
      <sheetName val="ORITO 16"/>
      <sheetName val="ORITO 20"/>
      <sheetName val="ORITO 21"/>
      <sheetName val="ORITO 29"/>
      <sheetName val="ORITO 38"/>
      <sheetName val="ORITO 41"/>
      <sheetName val="ORITO 105"/>
      <sheetName val="ORITO 106"/>
      <sheetName val="ORITO 109"/>
    </sheetNames>
    <sheetDataSet>
      <sheetData sheetId="0" refreshError="1"/>
      <sheetData sheetId="1">
        <row r="6">
          <cell r="E6">
            <v>538</v>
          </cell>
        </row>
        <row r="7">
          <cell r="E7">
            <v>267</v>
          </cell>
        </row>
        <row r="8">
          <cell r="E8">
            <v>250</v>
          </cell>
        </row>
        <row r="9">
          <cell r="E9">
            <v>305</v>
          </cell>
        </row>
        <row r="12">
          <cell r="A12" t="str">
            <v>Pwf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RECURSOS"/>
      <sheetName val="Equipo INVIAS"/>
      <sheetName val="APUS concretos con cambio c"/>
      <sheetName val="CONCRETOS"/>
      <sheetName val="PROPORCIONES DE CONCRETO-H"/>
      <sheetName val="Hoja1"/>
      <sheetName val="EST NUEVA Y CONECTANTES"/>
    </sheetNames>
    <sheetDataSet>
      <sheetData sheetId="0"/>
      <sheetData sheetId="1">
        <row r="8">
          <cell r="A8" t="str">
            <v>Ac</v>
          </cell>
        </row>
        <row r="9">
          <cell r="A9" t="str">
            <v>Ag</v>
          </cell>
        </row>
        <row r="10">
          <cell r="A10" t="str">
            <v>Ccm</v>
          </cell>
        </row>
        <row r="11">
          <cell r="A11" t="str">
            <v>DERBOT</v>
          </cell>
        </row>
        <row r="12">
          <cell r="A12" t="str">
            <v>Pmad</v>
          </cell>
        </row>
        <row r="13">
          <cell r="A13" t="str">
            <v>Pcpref</v>
          </cell>
        </row>
        <row r="14">
          <cell r="A14" t="str">
            <v>Tc</v>
          </cell>
        </row>
        <row r="15">
          <cell r="A15" t="str">
            <v>LadTR</v>
          </cell>
        </row>
        <row r="16">
          <cell r="A16" t="str">
            <v>AbOrg</v>
          </cell>
        </row>
        <row r="17">
          <cell r="A17" t="str">
            <v>Arb1</v>
          </cell>
        </row>
        <row r="18">
          <cell r="A18" t="str">
            <v>Prot</v>
          </cell>
        </row>
        <row r="19">
          <cell r="A19" t="str">
            <v>Ben</v>
          </cell>
        </row>
        <row r="20">
          <cell r="A20" t="str">
            <v>Sem</v>
          </cell>
        </row>
        <row r="21">
          <cell r="A21">
            <v>0</v>
          </cell>
        </row>
        <row r="22">
          <cell r="A22" t="str">
            <v>AR</v>
          </cell>
        </row>
        <row r="23">
          <cell r="A23" t="str">
            <v>Arsf</v>
          </cell>
        </row>
        <row r="24">
          <cell r="A24" t="str">
            <v>melectrokg</v>
          </cell>
        </row>
        <row r="25">
          <cell r="A25" t="str">
            <v>melectro8</v>
          </cell>
        </row>
        <row r="26">
          <cell r="A26" t="str">
            <v>AN</v>
          </cell>
        </row>
        <row r="27">
          <cell r="A27" t="str">
            <v>AGL</v>
          </cell>
        </row>
        <row r="28">
          <cell r="A28" t="str">
            <v>AlamP</v>
          </cell>
        </row>
        <row r="29">
          <cell r="A29" t="str">
            <v>Mg</v>
          </cell>
        </row>
        <row r="30">
          <cell r="A30" t="str">
            <v>MGPV</v>
          </cell>
        </row>
        <row r="31">
          <cell r="A31" t="str">
            <v>MallGal</v>
          </cell>
        </row>
        <row r="32">
          <cell r="A32" t="str">
            <v>Gcerca</v>
          </cell>
        </row>
        <row r="33">
          <cell r="A33" t="str">
            <v>Pasos1/2</v>
          </cell>
        </row>
        <row r="34">
          <cell r="A34">
            <v>0</v>
          </cell>
        </row>
        <row r="35">
          <cell r="A35">
            <v>0</v>
          </cell>
        </row>
        <row r="36">
          <cell r="A36" t="str">
            <v>CGK</v>
          </cell>
        </row>
        <row r="37">
          <cell r="A37" t="str">
            <v>CON2000</v>
          </cell>
        </row>
        <row r="38">
          <cell r="A38" t="str">
            <v>CONadit2000</v>
          </cell>
        </row>
        <row r="39">
          <cell r="A39" t="str">
            <v>COF</v>
          </cell>
        </row>
        <row r="40">
          <cell r="A40" t="str">
            <v>CON3000</v>
          </cell>
        </row>
        <row r="41">
          <cell r="A41" t="str">
            <v>CON4</v>
          </cell>
        </row>
        <row r="42">
          <cell r="A42" t="str">
            <v>CON3000TREMIE</v>
          </cell>
        </row>
        <row r="43">
          <cell r="A43" t="str">
            <v>CON2500</v>
          </cell>
        </row>
        <row r="44">
          <cell r="A44">
            <v>0</v>
          </cell>
        </row>
        <row r="45">
          <cell r="A45" t="str">
            <v>ARL</v>
          </cell>
        </row>
        <row r="46">
          <cell r="A46" t="str">
            <v>Gra</v>
          </cell>
        </row>
        <row r="47">
          <cell r="A47" t="str">
            <v>PFF</v>
          </cell>
        </row>
        <row r="48">
          <cell r="A48" t="str">
            <v>RTA</v>
          </cell>
        </row>
        <row r="49">
          <cell r="A49" t="str">
            <v>Tn</v>
          </cell>
        </row>
        <row r="50">
          <cell r="A50" t="str">
            <v>cesp</v>
          </cell>
        </row>
        <row r="51">
          <cell r="A51" t="str">
            <v>Tn</v>
          </cell>
        </row>
        <row r="52">
          <cell r="A52">
            <v>0</v>
          </cell>
        </row>
        <row r="53">
          <cell r="A53" t="str">
            <v>AY</v>
          </cell>
        </row>
        <row r="54">
          <cell r="A54" t="str">
            <v>AY2</v>
          </cell>
        </row>
        <row r="55">
          <cell r="A55" t="str">
            <v>AY3</v>
          </cell>
        </row>
        <row r="56">
          <cell r="A56" t="str">
            <v>AY4</v>
          </cell>
        </row>
        <row r="57">
          <cell r="A57" t="str">
            <v>AY5</v>
          </cell>
        </row>
        <row r="58">
          <cell r="A58" t="str">
            <v>AY6</v>
          </cell>
        </row>
        <row r="59">
          <cell r="A59" t="str">
            <v>AY7</v>
          </cell>
        </row>
        <row r="60">
          <cell r="A60" t="str">
            <v>AY8</v>
          </cell>
        </row>
        <row r="61">
          <cell r="A61" t="str">
            <v>ay9</v>
          </cell>
        </row>
        <row r="62">
          <cell r="A62" t="str">
            <v>AYP</v>
          </cell>
        </row>
        <row r="63">
          <cell r="A63" t="str">
            <v>AYCM</v>
          </cell>
        </row>
        <row r="64">
          <cell r="A64" t="str">
            <v>AYCM4</v>
          </cell>
        </row>
        <row r="65">
          <cell r="A65" t="str">
            <v>MOOCM2</v>
          </cell>
        </row>
        <row r="66">
          <cell r="A66" t="str">
            <v>MOOCM</v>
          </cell>
        </row>
        <row r="67">
          <cell r="A67" t="str">
            <v>MOOP</v>
          </cell>
        </row>
        <row r="68">
          <cell r="A68" t="str">
            <v>MOO</v>
          </cell>
        </row>
        <row r="69">
          <cell r="A69" t="str">
            <v>MOO2</v>
          </cell>
        </row>
        <row r="70">
          <cell r="A70" t="str">
            <v>MOO3</v>
          </cell>
        </row>
        <row r="71">
          <cell r="A71" t="str">
            <v>MOO7</v>
          </cell>
        </row>
        <row r="72">
          <cell r="A72" t="str">
            <v>MTO</v>
          </cell>
        </row>
        <row r="73">
          <cell r="A73" t="str">
            <v>MCA</v>
          </cell>
        </row>
        <row r="74">
          <cell r="A74" t="str">
            <v>Mtexp</v>
          </cell>
        </row>
        <row r="75">
          <cell r="A75">
            <v>0</v>
          </cell>
        </row>
        <row r="76">
          <cell r="A76">
            <v>0</v>
          </cell>
        </row>
        <row r="77">
          <cell r="A77" t="str">
            <v>MSR</v>
          </cell>
        </row>
        <row r="78">
          <cell r="A78" t="str">
            <v>Ma</v>
          </cell>
        </row>
        <row r="79">
          <cell r="A79" t="str">
            <v>SelloRajon</v>
          </cell>
        </row>
        <row r="80">
          <cell r="A80" t="str">
            <v>PR</v>
          </cell>
        </row>
        <row r="81">
          <cell r="A81" t="str">
            <v>BG</v>
          </cell>
        </row>
        <row r="82">
          <cell r="A82" t="str">
            <v>BGF2</v>
          </cell>
        </row>
        <row r="83">
          <cell r="A83" t="str">
            <v>BGF3</v>
          </cell>
        </row>
        <row r="84">
          <cell r="A84" t="str">
            <v>BGF4</v>
          </cell>
        </row>
        <row r="85">
          <cell r="A85" t="str">
            <v>BGF5</v>
          </cell>
        </row>
        <row r="86">
          <cell r="A86" t="str">
            <v>SB</v>
          </cell>
        </row>
        <row r="87">
          <cell r="A87" t="str">
            <v>SBF2</v>
          </cell>
        </row>
        <row r="88">
          <cell r="A88" t="str">
            <v>SBF3</v>
          </cell>
        </row>
        <row r="89">
          <cell r="A89" t="str">
            <v>SBF4</v>
          </cell>
        </row>
        <row r="90">
          <cell r="A90" t="str">
            <v>SBFLM</v>
          </cell>
        </row>
        <row r="91">
          <cell r="A91" t="str">
            <v>EMA</v>
          </cell>
        </row>
        <row r="92">
          <cell r="A92" t="str">
            <v>BestASF</v>
          </cell>
        </row>
        <row r="93">
          <cell r="A93" t="str">
            <v>MDC1</v>
          </cell>
        </row>
        <row r="94">
          <cell r="A94" t="str">
            <v>MDC</v>
          </cell>
        </row>
        <row r="95">
          <cell r="A95" t="str">
            <v>MDC3</v>
          </cell>
        </row>
        <row r="96">
          <cell r="A96">
            <v>0</v>
          </cell>
        </row>
        <row r="97">
          <cell r="A97">
            <v>0</v>
          </cell>
        </row>
        <row r="98">
          <cell r="A98" t="str">
            <v>Cpav</v>
          </cell>
        </row>
        <row r="99">
          <cell r="A99" t="str">
            <v>Etop</v>
          </cell>
        </row>
        <row r="100">
          <cell r="A100" t="str">
            <v>Fm</v>
          </cell>
        </row>
        <row r="101">
          <cell r="A101" t="str">
            <v>Est</v>
          </cell>
        </row>
        <row r="102">
          <cell r="A102" t="str">
            <v>mbo2</v>
          </cell>
        </row>
        <row r="103">
          <cell r="A103" t="str">
            <v>Trom</v>
          </cell>
        </row>
        <row r="104">
          <cell r="A104" t="str">
            <v>VCO</v>
          </cell>
        </row>
        <row r="105">
          <cell r="A105" t="str">
            <v>Ra</v>
          </cell>
        </row>
        <row r="106">
          <cell r="A106" t="str">
            <v>Cang</v>
          </cell>
        </row>
        <row r="107">
          <cell r="A107" t="str">
            <v>FC</v>
          </cell>
        </row>
        <row r="108">
          <cell r="A108" t="str">
            <v>Se</v>
          </cell>
        </row>
        <row r="109">
          <cell r="A109" t="str">
            <v>Edos</v>
          </cell>
        </row>
        <row r="110">
          <cell r="A110" t="str">
            <v>disco</v>
          </cell>
        </row>
        <row r="111">
          <cell r="A111" t="str">
            <v>BomCto</v>
          </cell>
        </row>
        <row r="112">
          <cell r="A112">
            <v>0</v>
          </cell>
        </row>
        <row r="113">
          <cell r="A113">
            <v>0</v>
          </cell>
        </row>
        <row r="114">
          <cell r="A114" t="str">
            <v>CAD</v>
          </cell>
        </row>
        <row r="115">
          <cell r="A115" t="str">
            <v>CRT</v>
          </cell>
        </row>
        <row r="116">
          <cell r="A116" t="str">
            <v>CN</v>
          </cell>
        </row>
        <row r="117">
          <cell r="A117" t="str">
            <v>CVA</v>
          </cell>
        </row>
        <row r="118">
          <cell r="A118" t="str">
            <v>CVA4</v>
          </cell>
        </row>
        <row r="119">
          <cell r="A119" t="str">
            <v>CVA8</v>
          </cell>
        </row>
        <row r="120">
          <cell r="A120" t="str">
            <v>Cp175</v>
          </cell>
        </row>
        <row r="121">
          <cell r="A121" t="str">
            <v>Cp250</v>
          </cell>
        </row>
        <row r="122">
          <cell r="A122" t="str">
            <v>Cp750</v>
          </cell>
        </row>
        <row r="123">
          <cell r="A123" t="str">
            <v>Exc</v>
          </cell>
        </row>
        <row r="124">
          <cell r="A124" t="str">
            <v>mcg</v>
          </cell>
        </row>
        <row r="125">
          <cell r="A125" t="str">
            <v>Re</v>
          </cell>
        </row>
        <row r="126">
          <cell r="A126" t="str">
            <v>CG</v>
          </cell>
        </row>
        <row r="127">
          <cell r="A127" t="str">
            <v>Mde</v>
          </cell>
        </row>
        <row r="128">
          <cell r="A128" t="str">
            <v>Mn</v>
          </cell>
        </row>
        <row r="129">
          <cell r="A129" t="str">
            <v>fre</v>
          </cell>
        </row>
        <row r="130">
          <cell r="A130" t="str">
            <v>Ci</v>
          </cell>
        </row>
        <row r="131">
          <cell r="A131" t="str">
            <v>Tas</v>
          </cell>
        </row>
        <row r="132">
          <cell r="A132" t="str">
            <v>Td</v>
          </cell>
        </row>
        <row r="133">
          <cell r="A133" t="str">
            <v>VQ7</v>
          </cell>
        </row>
        <row r="134">
          <cell r="A134" t="str">
            <v>VQ15</v>
          </cell>
        </row>
        <row r="135">
          <cell r="A135" t="str">
            <v>VQ12</v>
          </cell>
        </row>
        <row r="136">
          <cell r="A136" t="str">
            <v>BDZ</v>
          </cell>
        </row>
        <row r="137">
          <cell r="A137" t="str">
            <v>TR140</v>
          </cell>
        </row>
        <row r="138">
          <cell r="A138" t="str">
            <v>TR300</v>
          </cell>
        </row>
        <row r="139">
          <cell r="A139" t="str">
            <v>Mix7</v>
          </cell>
        </row>
        <row r="140">
          <cell r="A140" t="str">
            <v>Vac</v>
          </cell>
        </row>
        <row r="141">
          <cell r="A141" t="str">
            <v>GruaP</v>
          </cell>
        </row>
        <row r="142">
          <cell r="A142" t="str">
            <v>Ebarreno</v>
          </cell>
        </row>
        <row r="143">
          <cell r="A143" t="str">
            <v>Pilotea</v>
          </cell>
        </row>
        <row r="144">
          <cell r="A144" t="str">
            <v>Pala</v>
          </cell>
        </row>
        <row r="145">
          <cell r="A145" t="str">
            <v>TorreGrua</v>
          </cell>
        </row>
        <row r="146">
          <cell r="A146">
            <v>0</v>
          </cell>
        </row>
        <row r="147">
          <cell r="A147">
            <v>0</v>
          </cell>
        </row>
        <row r="148">
          <cell r="A148">
            <v>0</v>
          </cell>
        </row>
        <row r="149">
          <cell r="A149">
            <v>0</v>
          </cell>
        </row>
        <row r="150">
          <cell r="A150" t="str">
            <v>Hi</v>
          </cell>
        </row>
        <row r="151">
          <cell r="A151" t="str">
            <v>Gagtx</v>
          </cell>
        </row>
        <row r="152">
          <cell r="A152" t="str">
            <v>GNT2500</v>
          </cell>
        </row>
        <row r="153">
          <cell r="A153" t="str">
            <v>GNT3000</v>
          </cell>
        </row>
        <row r="154">
          <cell r="A154" t="str">
            <v>GT2400</v>
          </cell>
        </row>
        <row r="155">
          <cell r="A155" t="str">
            <v>GMfv R100</v>
          </cell>
        </row>
        <row r="156">
          <cell r="A156" t="str">
            <v>GT BIAXIAL</v>
          </cell>
        </row>
        <row r="157">
          <cell r="A157" t="str">
            <v>Gdren1</v>
          </cell>
        </row>
        <row r="158">
          <cell r="A158" t="str">
            <v>EcoMatriz</v>
          </cell>
        </row>
        <row r="159">
          <cell r="A159" t="str">
            <v>GT Uniaxial</v>
          </cell>
        </row>
        <row r="160">
          <cell r="A160" t="str">
            <v>GT BIAX LB0 202</v>
          </cell>
        </row>
        <row r="162">
          <cell r="A162">
            <v>0</v>
          </cell>
        </row>
        <row r="163">
          <cell r="A163" t="str">
            <v>Tub9</v>
          </cell>
        </row>
        <row r="164">
          <cell r="A164" t="str">
            <v>Tub10</v>
          </cell>
        </row>
        <row r="165">
          <cell r="A165" t="str">
            <v>Tub12</v>
          </cell>
        </row>
        <row r="166">
          <cell r="A166" t="str">
            <v>Tub14</v>
          </cell>
        </row>
        <row r="167">
          <cell r="A167" t="str">
            <v>Tub16</v>
          </cell>
        </row>
        <row r="168">
          <cell r="A168" t="str">
            <v>Tub18</v>
          </cell>
        </row>
        <row r="169">
          <cell r="A169" t="str">
            <v>Tub48</v>
          </cell>
        </row>
        <row r="170">
          <cell r="A170" t="str">
            <v>Tub9 CL2</v>
          </cell>
        </row>
        <row r="171">
          <cell r="A171" t="str">
            <v>MARC TAPA</v>
          </cell>
        </row>
        <row r="172">
          <cell r="A172" t="str">
            <v>MaRejSumVehi</v>
          </cell>
        </row>
        <row r="173">
          <cell r="A173" t="str">
            <v>RejFibroCemVehi</v>
          </cell>
        </row>
        <row r="174">
          <cell r="A174" t="str">
            <v>Lmtrk</v>
          </cell>
        </row>
        <row r="175">
          <cell r="A175" t="str">
            <v>SGVMTK</v>
          </cell>
        </row>
        <row r="176">
          <cell r="A176" t="str">
            <v>AroT</v>
          </cell>
        </row>
        <row r="177">
          <cell r="A177">
            <v>0</v>
          </cell>
        </row>
        <row r="178">
          <cell r="A178">
            <v>0</v>
          </cell>
        </row>
        <row r="179">
          <cell r="A179" t="str">
            <v>Tubperf4"</v>
          </cell>
        </row>
        <row r="180">
          <cell r="A180" t="str">
            <v>TubNOperf4"</v>
          </cell>
        </row>
        <row r="181">
          <cell r="A181" t="str">
            <v>TPVCAlc6</v>
          </cell>
        </row>
        <row r="182">
          <cell r="A182" t="str">
            <v>TPVCAlc12</v>
          </cell>
        </row>
        <row r="183">
          <cell r="A183" t="str">
            <v>TPVC1/2</v>
          </cell>
        </row>
        <row r="184">
          <cell r="A184" t="str">
            <v>TPVc 4</v>
          </cell>
        </row>
        <row r="185">
          <cell r="A185" t="str">
            <v>Uni4</v>
          </cell>
        </row>
        <row r="186">
          <cell r="A186" t="str">
            <v>Uni6</v>
          </cell>
        </row>
        <row r="187">
          <cell r="A187" t="str">
            <v>SolPVC</v>
          </cell>
        </row>
        <row r="188">
          <cell r="A188" t="str">
            <v>LimPVC</v>
          </cell>
        </row>
        <row r="189">
          <cell r="A189">
            <v>0</v>
          </cell>
        </row>
        <row r="190">
          <cell r="A190" t="str">
            <v>peep</v>
          </cell>
        </row>
        <row r="191">
          <cell r="A191" t="str">
            <v>Pfr</v>
          </cell>
        </row>
        <row r="192">
          <cell r="A192" t="str">
            <v>DM</v>
          </cell>
        </row>
        <row r="193">
          <cell r="A193" t="str">
            <v>Pa</v>
          </cell>
        </row>
        <row r="194">
          <cell r="A194" t="str">
            <v>St</v>
          </cell>
        </row>
        <row r="195">
          <cell r="A195" t="str">
            <v>Tac</v>
          </cell>
        </row>
        <row r="196">
          <cell r="A196" t="str">
            <v>ESTP</v>
          </cell>
        </row>
        <row r="197">
          <cell r="A197" t="str">
            <v>STSP75</v>
          </cell>
        </row>
        <row r="198">
          <cell r="A198" t="str">
            <v>STSP40</v>
          </cell>
        </row>
        <row r="199">
          <cell r="A199" t="str">
            <v>STSRD75</v>
          </cell>
        </row>
        <row r="200">
          <cell r="A200" t="str">
            <v>STSR-01</v>
          </cell>
        </row>
        <row r="201">
          <cell r="A201" t="str">
            <v>STSR-02</v>
          </cell>
        </row>
        <row r="202">
          <cell r="A202" t="str">
            <v>STSI6075</v>
          </cell>
        </row>
        <row r="203">
          <cell r="A203" t="str">
            <v>STSII</v>
          </cell>
        </row>
        <row r="204">
          <cell r="A204" t="str">
            <v>STSIDR</v>
          </cell>
        </row>
      </sheetData>
      <sheetData sheetId="2"/>
      <sheetData sheetId="3"/>
      <sheetData sheetId="4"/>
      <sheetData sheetId="5"/>
      <sheetData sheetId="6"/>
      <sheetData sheetId="7"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_sist"/>
      <sheetName val="resumen_final"/>
      <sheetName val="resumen_fin_mat_glp"/>
      <sheetName val="Tablas"/>
      <sheetName val="LIST-MTR"/>
      <sheetName val="tub"/>
      <sheetName val="INDICE"/>
      <sheetName val=" ASR+Nafta"/>
      <sheetName val=" CHICAS+Nafta"/>
      <sheetName val="Todos+Nafta"/>
    </sheetNames>
    <sheetDataSet>
      <sheetData sheetId="0" refreshError="1">
        <row r="1">
          <cell r="B1" t="str">
            <v>ESPEC</v>
          </cell>
          <cell r="C1" t="str">
            <v>COD</v>
          </cell>
          <cell r="D1" t="str">
            <v>DESCRIPCION</v>
          </cell>
          <cell r="E1" t="str">
            <v>ESP.</v>
          </cell>
          <cell r="F1" t="str">
            <v>DIAM</v>
          </cell>
          <cell r="G1" t="str">
            <v>CANT</v>
          </cell>
          <cell r="H1" t="str">
            <v>UNID</v>
          </cell>
          <cell r="I1" t="str">
            <v>PESO UNIT</v>
          </cell>
          <cell r="J1" t="str">
            <v>PESO TOTAL</v>
          </cell>
        </row>
        <row r="2">
          <cell r="B2" t="str">
            <v>A1A1</v>
          </cell>
          <cell r="C2" t="str">
            <v>45E</v>
          </cell>
          <cell r="D2" t="str">
            <v>45° ELBOW, C.S., BW, ASTM A234-WPB.</v>
          </cell>
          <cell r="E2" t="str">
            <v>40</v>
          </cell>
          <cell r="F2" t="str">
            <v>3"</v>
          </cell>
          <cell r="G2">
            <v>2</v>
          </cell>
          <cell r="H2" t="str">
            <v>UN</v>
          </cell>
        </row>
        <row r="3">
          <cell r="B3" t="str">
            <v>A1A1</v>
          </cell>
          <cell r="C3" t="str">
            <v>45E</v>
          </cell>
          <cell r="D3" t="str">
            <v>45° ELBOW, C.S., BW, ASTM A234-WPB.</v>
          </cell>
          <cell r="E3" t="str">
            <v>40</v>
          </cell>
          <cell r="F3" t="str">
            <v>4"</v>
          </cell>
          <cell r="G3">
            <v>0</v>
          </cell>
          <cell r="H3" t="str">
            <v>UN</v>
          </cell>
        </row>
        <row r="4">
          <cell r="B4" t="str">
            <v>A1A1</v>
          </cell>
          <cell r="C4" t="str">
            <v>45E</v>
          </cell>
          <cell r="D4" t="str">
            <v>45° ELBOW, C.S., BW, ASTM A234-WPB.</v>
          </cell>
          <cell r="E4" t="str">
            <v>40</v>
          </cell>
          <cell r="F4" t="str">
            <v>6"</v>
          </cell>
          <cell r="G4">
            <v>20</v>
          </cell>
          <cell r="H4" t="str">
            <v>UN</v>
          </cell>
        </row>
        <row r="5">
          <cell r="B5" t="str">
            <v>A2A1</v>
          </cell>
          <cell r="C5" t="str">
            <v>45E</v>
          </cell>
          <cell r="D5" t="str">
            <v>45° ELBOW, C.S., BW, ASTM A234-WPB.</v>
          </cell>
          <cell r="E5" t="str">
            <v>40</v>
          </cell>
          <cell r="F5" t="str">
            <v>3"</v>
          </cell>
          <cell r="G5">
            <v>0</v>
          </cell>
          <cell r="H5" t="str">
            <v>UN</v>
          </cell>
        </row>
        <row r="6">
          <cell r="B6" t="str">
            <v>A2A1</v>
          </cell>
          <cell r="C6" t="str">
            <v>45E</v>
          </cell>
          <cell r="D6" t="str">
            <v>45° ELBOW, C.S., BW, ASTM A234-WPB.</v>
          </cell>
          <cell r="E6" t="str">
            <v>40</v>
          </cell>
          <cell r="F6" t="str">
            <v>3"</v>
          </cell>
          <cell r="G6">
            <v>33</v>
          </cell>
          <cell r="H6" t="str">
            <v>UN</v>
          </cell>
        </row>
        <row r="7">
          <cell r="B7" t="str">
            <v>A2A1</v>
          </cell>
          <cell r="C7" t="str">
            <v>45E</v>
          </cell>
          <cell r="D7" t="str">
            <v>45° ELBOW, C.S., BW, ASTM A234-WPB.</v>
          </cell>
          <cell r="E7" t="str">
            <v>40</v>
          </cell>
          <cell r="F7" t="str">
            <v>4"</v>
          </cell>
          <cell r="G7">
            <v>5</v>
          </cell>
          <cell r="H7" t="str">
            <v>UN</v>
          </cell>
        </row>
        <row r="8">
          <cell r="B8" t="str">
            <v>A1A1</v>
          </cell>
          <cell r="C8" t="str">
            <v>90E</v>
          </cell>
          <cell r="D8" t="str">
            <v>90° ELBOW, C.S., 3000#, SW, ASTM A105.</v>
          </cell>
          <cell r="F8" t="str">
            <v>3/4"</v>
          </cell>
          <cell r="G8">
            <v>4</v>
          </cell>
          <cell r="H8" t="str">
            <v>UN</v>
          </cell>
        </row>
        <row r="9">
          <cell r="B9" t="str">
            <v>A1A1</v>
          </cell>
          <cell r="C9" t="str">
            <v>90E</v>
          </cell>
          <cell r="D9" t="str">
            <v>90° ELBOW, C.S., 3000#, SW, ASTM A105.</v>
          </cell>
          <cell r="F9" t="str">
            <v>1"</v>
          </cell>
          <cell r="G9">
            <v>13</v>
          </cell>
          <cell r="H9" t="str">
            <v>UN</v>
          </cell>
        </row>
        <row r="10">
          <cell r="B10" t="str">
            <v>A1A1</v>
          </cell>
          <cell r="C10" t="str">
            <v>90E</v>
          </cell>
          <cell r="D10" t="str">
            <v>90° ELBOW, C.S., 3000#, SW, ASTM A105.</v>
          </cell>
          <cell r="F10" t="str">
            <v>2"</v>
          </cell>
          <cell r="G10">
            <v>0</v>
          </cell>
          <cell r="H10" t="str">
            <v>UN</v>
          </cell>
        </row>
        <row r="11">
          <cell r="B11" t="str">
            <v>A1A1</v>
          </cell>
          <cell r="C11" t="str">
            <v>90E</v>
          </cell>
          <cell r="D11" t="str">
            <v>90° ELBOW, C.S., 3000#, SW, ASTM A105.</v>
          </cell>
          <cell r="F11" t="str">
            <v>3/4"</v>
          </cell>
          <cell r="G11">
            <v>13</v>
          </cell>
          <cell r="H11" t="str">
            <v>UN</v>
          </cell>
        </row>
        <row r="12">
          <cell r="B12" t="str">
            <v>A1A1</v>
          </cell>
          <cell r="C12" t="str">
            <v>90E</v>
          </cell>
          <cell r="D12" t="str">
            <v>90° ELBOW, C.S., BW, ASTM A234-WPB.</v>
          </cell>
          <cell r="E12" t="str">
            <v>40</v>
          </cell>
          <cell r="F12" t="str">
            <v>3"</v>
          </cell>
          <cell r="G12">
            <v>15</v>
          </cell>
          <cell r="H12" t="str">
            <v>UN</v>
          </cell>
        </row>
        <row r="13">
          <cell r="B13" t="str">
            <v>A1A1</v>
          </cell>
          <cell r="C13" t="str">
            <v>90E</v>
          </cell>
          <cell r="D13" t="str">
            <v>90° ELBOW, C.S., BW, ASTM A234-WPB.</v>
          </cell>
          <cell r="E13" t="str">
            <v>40</v>
          </cell>
          <cell r="F13" t="str">
            <v>4"</v>
          </cell>
          <cell r="G13">
            <v>12</v>
          </cell>
          <cell r="H13" t="str">
            <v>UN</v>
          </cell>
        </row>
        <row r="14">
          <cell r="B14" t="str">
            <v>A1A1</v>
          </cell>
          <cell r="C14" t="str">
            <v>90E</v>
          </cell>
          <cell r="D14" t="str">
            <v>90° ELBOW, C.S., BW, ASTM A234-WPB.</v>
          </cell>
          <cell r="E14" t="str">
            <v>40</v>
          </cell>
          <cell r="F14" t="str">
            <v>6"</v>
          </cell>
          <cell r="G14">
            <v>94</v>
          </cell>
          <cell r="H14" t="str">
            <v>UN</v>
          </cell>
        </row>
        <row r="15">
          <cell r="B15" t="str">
            <v>A1A1/A</v>
          </cell>
          <cell r="C15" t="str">
            <v>90E</v>
          </cell>
          <cell r="D15" t="str">
            <v>90° ELBOW, C.S., 3000#, SW, ASTM A105.</v>
          </cell>
          <cell r="F15" t="str">
            <v>3/4"</v>
          </cell>
          <cell r="G15">
            <v>5</v>
          </cell>
          <cell r="H15" t="str">
            <v>UN</v>
          </cell>
        </row>
        <row r="16">
          <cell r="B16" t="str">
            <v>A2A1</v>
          </cell>
          <cell r="C16" t="str">
            <v>90E</v>
          </cell>
          <cell r="D16" t="str">
            <v>90° ELBOW, C.S., 3000#, SW, ASTM A105.</v>
          </cell>
          <cell r="F16" t="str">
            <v>3/4"</v>
          </cell>
          <cell r="G16">
            <v>6</v>
          </cell>
          <cell r="H16" t="str">
            <v>UN</v>
          </cell>
        </row>
        <row r="17">
          <cell r="B17" t="str">
            <v>A2A1</v>
          </cell>
          <cell r="C17" t="str">
            <v>90E</v>
          </cell>
          <cell r="D17" t="str">
            <v>90° ELBOW, C.S., BW, ASTM A234-WPB.</v>
          </cell>
          <cell r="E17" t="str">
            <v>40</v>
          </cell>
          <cell r="F17" t="str">
            <v>3"</v>
          </cell>
          <cell r="G17">
            <v>0</v>
          </cell>
          <cell r="H17" t="str">
            <v>UN</v>
          </cell>
        </row>
        <row r="18">
          <cell r="B18" t="str">
            <v>A2A1</v>
          </cell>
          <cell r="C18" t="str">
            <v>90E</v>
          </cell>
          <cell r="D18" t="str">
            <v>90° ELBOW, C.S., 3000#, SW, ASTM A105.</v>
          </cell>
          <cell r="F18" t="str">
            <v>3/4"</v>
          </cell>
          <cell r="G18">
            <v>2</v>
          </cell>
          <cell r="H18" t="str">
            <v>UN</v>
          </cell>
        </row>
        <row r="19">
          <cell r="B19" t="str">
            <v>A2A1</v>
          </cell>
          <cell r="C19" t="str">
            <v>90E</v>
          </cell>
          <cell r="D19" t="str">
            <v>90° ELBOW, C.S., BW, ASTM A234-WPB.</v>
          </cell>
          <cell r="E19" t="str">
            <v>40</v>
          </cell>
          <cell r="F19" t="str">
            <v>3"</v>
          </cell>
          <cell r="G19">
            <v>117</v>
          </cell>
          <cell r="H19" t="str">
            <v>UN</v>
          </cell>
        </row>
        <row r="20">
          <cell r="B20" t="str">
            <v>A2A1</v>
          </cell>
          <cell r="C20" t="str">
            <v>90E</v>
          </cell>
          <cell r="D20" t="str">
            <v>90° ELBOW, C.S., BW, ASTM A234-WPB.</v>
          </cell>
          <cell r="E20" t="str">
            <v>40</v>
          </cell>
          <cell r="F20" t="str">
            <v>4"</v>
          </cell>
          <cell r="G20">
            <v>35</v>
          </cell>
          <cell r="H20" t="str">
            <v>UN</v>
          </cell>
        </row>
        <row r="21">
          <cell r="B21" t="str">
            <v>A1A1</v>
          </cell>
          <cell r="C21" t="str">
            <v>BAF</v>
          </cell>
          <cell r="D21" t="str">
            <v>FIRE SAFE TRUNNION BALL VALVE, 150#, RFSF, ASTM A216-WCB BODY, SS316 BALL AND STEM, PTFE SEATS.</v>
          </cell>
          <cell r="F21" t="str">
            <v>4"</v>
          </cell>
          <cell r="G21">
            <v>6</v>
          </cell>
          <cell r="H21" t="str">
            <v>UN</v>
          </cell>
        </row>
        <row r="22">
          <cell r="B22" t="str">
            <v>A2A1</v>
          </cell>
          <cell r="C22" t="str">
            <v>BAF</v>
          </cell>
          <cell r="D22" t="str">
            <v>FIRE SAFE TRUNNION BALL VALVE, 300#, RFSF, ASTM A216-WCB BODY, SS316 BALL AND STEM, PTFE SEATS.</v>
          </cell>
          <cell r="F22" t="str">
            <v>3"</v>
          </cell>
          <cell r="G22">
            <v>2</v>
          </cell>
          <cell r="H22" t="str">
            <v>UN</v>
          </cell>
        </row>
        <row r="23">
          <cell r="B23" t="str">
            <v>A1A1</v>
          </cell>
          <cell r="C23" t="str">
            <v>BAS</v>
          </cell>
          <cell r="D23" t="str">
            <v>FIRE SAFE BALL VALVE, 800#, SW, ASTM A105 BODY, SS316 BALL, PTFE SEATS.</v>
          </cell>
          <cell r="F23" t="str">
            <v>1"</v>
          </cell>
          <cell r="G23">
            <v>2</v>
          </cell>
          <cell r="H23" t="str">
            <v>UN</v>
          </cell>
        </row>
        <row r="24">
          <cell r="B24" t="str">
            <v>A1A1</v>
          </cell>
          <cell r="C24" t="str">
            <v>BAS</v>
          </cell>
          <cell r="D24" t="str">
            <v>FIRE SAFE BALL VALVE, 800#, SW, ASTM A105 BODY, SS316 BALL, PTFE SEATS.</v>
          </cell>
          <cell r="F24" t="str">
            <v>3/4"</v>
          </cell>
          <cell r="G24">
            <v>7</v>
          </cell>
          <cell r="H24" t="str">
            <v>UN</v>
          </cell>
        </row>
        <row r="25">
          <cell r="B25" t="str">
            <v>A2A1</v>
          </cell>
          <cell r="C25" t="str">
            <v>BAS</v>
          </cell>
          <cell r="D25" t="str">
            <v>FIRE SAFE BALL VALVE, 800#, SW, ASTM A105 BODY, SS316 BALL, PTFE SEATS.</v>
          </cell>
          <cell r="F25" t="str">
            <v>3/4"</v>
          </cell>
          <cell r="G25">
            <v>2</v>
          </cell>
          <cell r="H25" t="str">
            <v>UN</v>
          </cell>
        </row>
        <row r="26">
          <cell r="B26" t="str">
            <v>A1A1</v>
          </cell>
          <cell r="C26" t="str">
            <v>BAV</v>
          </cell>
          <cell r="D26" t="str">
            <v>FIRE SAFE BALL VALVE, 800#, SExSW, ASTM A105 BODY, SS316 BALL, PTFE SEATS.</v>
          </cell>
          <cell r="F26" t="str">
            <v>3/4"</v>
          </cell>
          <cell r="G26">
            <v>4</v>
          </cell>
          <cell r="H26" t="str">
            <v>UN</v>
          </cell>
        </row>
        <row r="27">
          <cell r="B27" t="str">
            <v>A2A1</v>
          </cell>
          <cell r="C27" t="str">
            <v>BAV</v>
          </cell>
          <cell r="D27" t="str">
            <v>FIRE SAFE BALL VALVE, 800#, SExSW, ASTM A105 BODY, SS316 BALL, PTFE SEATS.</v>
          </cell>
          <cell r="F27" t="str">
            <v>3/4"</v>
          </cell>
          <cell r="G27">
            <v>3</v>
          </cell>
          <cell r="H27" t="str">
            <v>UN</v>
          </cell>
        </row>
        <row r="28">
          <cell r="B28" t="str">
            <v>A2A1</v>
          </cell>
          <cell r="C28" t="str">
            <v>BAV</v>
          </cell>
          <cell r="D28" t="str">
            <v>FIRE SAFE BALL VALVE, 800#, SExSW, ASTM A105 BODY, SS316 BALL, PTFE SEATS.</v>
          </cell>
          <cell r="F28" t="str">
            <v>3/4"</v>
          </cell>
          <cell r="G28">
            <v>2</v>
          </cell>
          <cell r="H28" t="str">
            <v>UN</v>
          </cell>
        </row>
        <row r="29">
          <cell r="B29" t="str">
            <v>A1A1</v>
          </cell>
          <cell r="C29" t="str">
            <v>BP1</v>
          </cell>
          <cell r="D29" t="str">
            <v>BLIND FLANGE, C.S., 150#, RFSF, ASTM A105.</v>
          </cell>
          <cell r="F29" t="str">
            <v>6"</v>
          </cell>
          <cell r="G29">
            <v>0</v>
          </cell>
          <cell r="H29" t="str">
            <v>UN</v>
          </cell>
        </row>
        <row r="30">
          <cell r="B30" t="str">
            <v>A2A1</v>
          </cell>
          <cell r="C30" t="str">
            <v>BP3</v>
          </cell>
          <cell r="D30" t="str">
            <v>BLIND FLANGE, C.S., 300#, RFSF, ASTM A105.</v>
          </cell>
          <cell r="F30" t="str">
            <v>3"</v>
          </cell>
          <cell r="G30">
            <v>0</v>
          </cell>
          <cell r="H30" t="str">
            <v>UN</v>
          </cell>
        </row>
        <row r="31">
          <cell r="B31" t="str">
            <v>A2A1</v>
          </cell>
          <cell r="C31" t="str">
            <v>BP3</v>
          </cell>
          <cell r="D31" t="str">
            <v>BLIND FLANGE, C.S., 300#, RFSF, ASTM A105.</v>
          </cell>
          <cell r="F31" t="str">
            <v>4"</v>
          </cell>
          <cell r="G31">
            <v>1</v>
          </cell>
          <cell r="H31" t="str">
            <v>UN</v>
          </cell>
        </row>
        <row r="32">
          <cell r="B32" t="str">
            <v>A1A1</v>
          </cell>
          <cell r="C32" t="str">
            <v>CAP</v>
          </cell>
          <cell r="D32" t="str">
            <v>CAP, C.S.,  3000#, SW, ASTM A105.</v>
          </cell>
          <cell r="F32" t="str">
            <v>3/4"</v>
          </cell>
          <cell r="G32">
            <v>2</v>
          </cell>
          <cell r="H32" t="str">
            <v>UN</v>
          </cell>
        </row>
        <row r="33">
          <cell r="B33" t="str">
            <v>A1A1</v>
          </cell>
          <cell r="C33" t="str">
            <v>CAP</v>
          </cell>
          <cell r="D33" t="str">
            <v>CAP, C.S.,  3000#, SW, ASTM A105.</v>
          </cell>
          <cell r="F33" t="str">
            <v>1"</v>
          </cell>
          <cell r="G33">
            <v>1</v>
          </cell>
          <cell r="H33" t="str">
            <v>UN</v>
          </cell>
        </row>
        <row r="34">
          <cell r="B34" t="str">
            <v>A2A1</v>
          </cell>
          <cell r="C34" t="str">
            <v>CAP</v>
          </cell>
          <cell r="D34" t="str">
            <v>CAP, C.S.,  3000#, SW, ASTM A105.</v>
          </cell>
          <cell r="F34" t="str">
            <v>3/4"</v>
          </cell>
          <cell r="G34">
            <v>1</v>
          </cell>
          <cell r="H34" t="str">
            <v>UN</v>
          </cell>
        </row>
        <row r="35">
          <cell r="B35" t="str">
            <v>A2A1</v>
          </cell>
          <cell r="C35" t="str">
            <v>CAT</v>
          </cell>
          <cell r="D35" t="str">
            <v>CAP, C.S.,  3000#, THD FEMALE, ASTM A105.</v>
          </cell>
          <cell r="F35" t="str">
            <v>3/4"</v>
          </cell>
          <cell r="G35">
            <v>3</v>
          </cell>
          <cell r="H35" t="str">
            <v>UN</v>
          </cell>
        </row>
        <row r="36">
          <cell r="B36" t="str">
            <v>A1A1</v>
          </cell>
          <cell r="C36" t="str">
            <v>CHF</v>
          </cell>
          <cell r="D36" t="str">
            <v>SWING CHECK VALVE, 150#,  RFSF, ASTM A216-WCB BODY, F6 TRIM.</v>
          </cell>
          <cell r="F36" t="str">
            <v>3"</v>
          </cell>
          <cell r="G36">
            <v>1</v>
          </cell>
          <cell r="H36" t="str">
            <v>UN</v>
          </cell>
        </row>
        <row r="37">
          <cell r="B37" t="str">
            <v>A1A1</v>
          </cell>
          <cell r="C37" t="str">
            <v>CHF</v>
          </cell>
          <cell r="D37" t="str">
            <v>SWING CHECK VALVE, 150#,  RFSF, ASTM A216-WCB BODY, F6 TRIM.</v>
          </cell>
          <cell r="F37" t="str">
            <v>6"</v>
          </cell>
          <cell r="G37">
            <v>4</v>
          </cell>
          <cell r="H37" t="str">
            <v>UN</v>
          </cell>
        </row>
        <row r="38">
          <cell r="B38" t="str">
            <v>A2A1</v>
          </cell>
          <cell r="C38" t="str">
            <v>CHF</v>
          </cell>
          <cell r="D38" t="str">
            <v>SWING CHECK VALVE, 300#,  RFSF, ASTM A216-WCB BODY, F6 TRIM.</v>
          </cell>
          <cell r="F38" t="str">
            <v>3"</v>
          </cell>
          <cell r="G38">
            <v>4</v>
          </cell>
          <cell r="H38" t="str">
            <v>UN</v>
          </cell>
        </row>
        <row r="39">
          <cell r="B39" t="str">
            <v>A1A1</v>
          </cell>
          <cell r="C39" t="str">
            <v>CHS</v>
          </cell>
          <cell r="D39" t="str">
            <v>CHECK VALVE, W/SPRING BALL, 800#, SW, ASTM A105 BODY, 17% Cr. BALL.</v>
          </cell>
          <cell r="F39" t="str">
            <v>3/4"</v>
          </cell>
          <cell r="G39">
            <v>1</v>
          </cell>
          <cell r="H39" t="str">
            <v>UN</v>
          </cell>
        </row>
        <row r="40">
          <cell r="B40" t="str">
            <v>A1A1</v>
          </cell>
          <cell r="C40" t="str">
            <v>CP1</v>
          </cell>
          <cell r="D40" t="str">
            <v>SOCKET WELD FLANGE, C.S., 150#, RFSF, A-105.</v>
          </cell>
          <cell r="E40" t="str">
            <v>80</v>
          </cell>
          <cell r="F40" t="str">
            <v>2"</v>
          </cell>
          <cell r="G40">
            <v>0</v>
          </cell>
          <cell r="H40" t="str">
            <v>UN</v>
          </cell>
        </row>
        <row r="41">
          <cell r="B41" t="str">
            <v>A2A1</v>
          </cell>
          <cell r="C41" t="str">
            <v>CP3</v>
          </cell>
          <cell r="D41" t="str">
            <v>SOCKET WELD FLANGE, C.S., 300#, RFSF, ASTM A105.</v>
          </cell>
          <cell r="E41" t="str">
            <v>80</v>
          </cell>
          <cell r="F41" t="str">
            <v>2"</v>
          </cell>
          <cell r="G41">
            <v>0</v>
          </cell>
          <cell r="H41" t="str">
            <v>UN</v>
          </cell>
        </row>
        <row r="42">
          <cell r="B42" t="str">
            <v>A2A1</v>
          </cell>
          <cell r="C42" t="str">
            <v>CRE</v>
          </cell>
          <cell r="D42" t="str">
            <v>REDUCER CONCENTRIC, C.S., BW, ASTM A234-WPB.</v>
          </cell>
          <cell r="E42" t="str">
            <v>40</v>
          </cell>
          <cell r="F42" t="str">
            <v>3"</v>
          </cell>
          <cell r="G42">
            <v>0</v>
          </cell>
          <cell r="H42" t="str">
            <v>UN</v>
          </cell>
        </row>
        <row r="43">
          <cell r="B43" t="str">
            <v>A2A1</v>
          </cell>
          <cell r="C43" t="str">
            <v>CRE</v>
          </cell>
          <cell r="D43" t="str">
            <v>REDUCER CONCENTRIC, C.S., BW, ASTM A234-WPB.</v>
          </cell>
          <cell r="E43" t="str">
            <v>40</v>
          </cell>
          <cell r="F43" t="str">
            <v>4"</v>
          </cell>
          <cell r="G43">
            <v>1</v>
          </cell>
          <cell r="H43" t="str">
            <v>UN</v>
          </cell>
        </row>
        <row r="44">
          <cell r="B44" t="str">
            <v>A2A1</v>
          </cell>
          <cell r="C44" t="str">
            <v>CRE</v>
          </cell>
          <cell r="D44" t="str">
            <v>REDUCER CONCENTRIC, C.S., BW, ASTM A234-WPB.</v>
          </cell>
          <cell r="E44" t="str">
            <v>40</v>
          </cell>
          <cell r="F44" t="str">
            <v>4"</v>
          </cell>
          <cell r="G44">
            <v>3</v>
          </cell>
          <cell r="H44" t="str">
            <v>UN</v>
          </cell>
        </row>
        <row r="45">
          <cell r="B45" t="str">
            <v>A1A1</v>
          </cell>
          <cell r="C45" t="str">
            <v>ERE</v>
          </cell>
          <cell r="D45" t="str">
            <v>REDUCER ECCENTRIC, C.S., BW, ASTM A234-WPB.</v>
          </cell>
          <cell r="E45" t="str">
            <v>40</v>
          </cell>
          <cell r="F45" t="str">
            <v>6"</v>
          </cell>
          <cell r="G45">
            <v>1</v>
          </cell>
          <cell r="H45" t="str">
            <v>UN</v>
          </cell>
        </row>
        <row r="46">
          <cell r="B46" t="str">
            <v>A1A1</v>
          </cell>
          <cell r="C46" t="str">
            <v>GAF</v>
          </cell>
          <cell r="D46" t="str">
            <v>GATE VALVE, 150#, RFSF, ASTM A216-WCB BODY, F6 TRIM.</v>
          </cell>
          <cell r="F46" t="str">
            <v>3"</v>
          </cell>
          <cell r="G46">
            <v>3</v>
          </cell>
          <cell r="H46" t="str">
            <v>UN</v>
          </cell>
        </row>
        <row r="47">
          <cell r="B47" t="str">
            <v>A1A1</v>
          </cell>
          <cell r="C47" t="str">
            <v>GAF</v>
          </cell>
          <cell r="D47" t="str">
            <v>GATE VALVE, 150#, RFSF, ASTM A216-WCB BODY, F6 TRIM.</v>
          </cell>
          <cell r="F47" t="str">
            <v>6"</v>
          </cell>
          <cell r="G47">
            <v>13</v>
          </cell>
          <cell r="H47" t="str">
            <v>UN</v>
          </cell>
        </row>
        <row r="48">
          <cell r="B48" t="str">
            <v>A2A1</v>
          </cell>
          <cell r="C48" t="str">
            <v>GAF</v>
          </cell>
          <cell r="D48" t="str">
            <v>GATE VALVE, 300#, RFSF, ASTM A216-WCB BODY, F6 TRIM.</v>
          </cell>
          <cell r="F48" t="str">
            <v>3"</v>
          </cell>
          <cell r="G48">
            <v>8</v>
          </cell>
          <cell r="H48" t="str">
            <v>UN</v>
          </cell>
        </row>
        <row r="49">
          <cell r="B49" t="str">
            <v>A2A1</v>
          </cell>
          <cell r="C49" t="str">
            <v>GAF</v>
          </cell>
          <cell r="D49" t="str">
            <v>GATE VALVE, 300#, RFSF, ASTM A216-WCB BODY, F6 TRIM.</v>
          </cell>
          <cell r="F49" t="str">
            <v>4"</v>
          </cell>
          <cell r="G49">
            <v>4</v>
          </cell>
          <cell r="H49" t="str">
            <v>UN</v>
          </cell>
        </row>
        <row r="50">
          <cell r="B50" t="str">
            <v>A2A1</v>
          </cell>
          <cell r="C50" t="str">
            <v>GAF</v>
          </cell>
          <cell r="D50" t="str">
            <v>GATE VALVE, 300#, RFSF, ASTM A216-WCB BODY, F6 TRIM.</v>
          </cell>
          <cell r="F50" t="str">
            <v>6"</v>
          </cell>
          <cell r="G50">
            <v>1</v>
          </cell>
          <cell r="H50" t="str">
            <v>UN</v>
          </cell>
        </row>
        <row r="51">
          <cell r="B51" t="str">
            <v>A1A1</v>
          </cell>
          <cell r="C51" t="str">
            <v>GAS</v>
          </cell>
          <cell r="D51" t="str">
            <v>GATE VALVE, 800#, SW, RB, ASTM A-105 BODY, F6 STEAM, F6 SOLID WEDGE.</v>
          </cell>
          <cell r="F51" t="str">
            <v>3/4"</v>
          </cell>
          <cell r="G51">
            <v>11</v>
          </cell>
          <cell r="H51" t="str">
            <v>UN</v>
          </cell>
        </row>
        <row r="52">
          <cell r="B52" t="str">
            <v>A1A1</v>
          </cell>
          <cell r="C52" t="str">
            <v>GAS</v>
          </cell>
          <cell r="D52" t="str">
            <v>GATE VALVE, 800#, SW, RB, ASTM A-105 BODY, F6 STEAM, F6 SOLID WEDGE.</v>
          </cell>
          <cell r="F52" t="str">
            <v>2"</v>
          </cell>
          <cell r="G52">
            <v>0</v>
          </cell>
          <cell r="H52" t="str">
            <v>UN</v>
          </cell>
        </row>
        <row r="53">
          <cell r="B53" t="str">
            <v>A1A1</v>
          </cell>
          <cell r="C53" t="str">
            <v>GAS</v>
          </cell>
          <cell r="D53" t="str">
            <v>GATE VALVE, 800#, SW, RB, ASTM A-105 BODY, F6 STEAM, F6 SOLID WEDGE.</v>
          </cell>
          <cell r="F53" t="str">
            <v>3/4"</v>
          </cell>
          <cell r="G53">
            <v>0</v>
          </cell>
          <cell r="H53" t="str">
            <v>UN</v>
          </cell>
        </row>
        <row r="54">
          <cell r="B54" t="str">
            <v>A1A1/A</v>
          </cell>
          <cell r="C54" t="str">
            <v>GAS</v>
          </cell>
          <cell r="D54" t="str">
            <v>GATE VALVE,800#, SW, ASTM A-105 BODY, WITH TWO 6" LENGHT NIPPLES WELDED ON ENDS BY THE MANUFACTURER, F6+HARD FACE TRIM.</v>
          </cell>
          <cell r="E54" t="str">
            <v>80</v>
          </cell>
          <cell r="F54" t="str">
            <v>3/4"</v>
          </cell>
          <cell r="G54">
            <v>1</v>
          </cell>
          <cell r="H54" t="str">
            <v>UN</v>
          </cell>
        </row>
        <row r="55">
          <cell r="B55" t="str">
            <v>A2A1</v>
          </cell>
          <cell r="C55" t="str">
            <v>GAS</v>
          </cell>
          <cell r="D55" t="str">
            <v>GATE VALVE, 800#, SW, RB, ASTM A-105 BODY, F6 STEAM, F6 SOLID WEDGE.</v>
          </cell>
          <cell r="F55" t="str">
            <v>1 1/2"</v>
          </cell>
          <cell r="G55">
            <v>1</v>
          </cell>
          <cell r="H55" t="str">
            <v>UN</v>
          </cell>
        </row>
        <row r="56">
          <cell r="B56" t="str">
            <v>A2A1</v>
          </cell>
          <cell r="C56" t="str">
            <v>GAS</v>
          </cell>
          <cell r="D56" t="str">
            <v>GATE VALVE, 800#, SW, RB, ASTM A-105 BODY, F6 STEAM, F6 SOLID WEDGE.</v>
          </cell>
          <cell r="F56" t="str">
            <v>3/4"</v>
          </cell>
          <cell r="G56">
            <v>17</v>
          </cell>
          <cell r="H56" t="str">
            <v>UN</v>
          </cell>
        </row>
        <row r="57">
          <cell r="B57" t="str">
            <v>A2A1</v>
          </cell>
          <cell r="C57" t="str">
            <v>GAS</v>
          </cell>
          <cell r="D57" t="str">
            <v>GATE VALVE, 800#, SW, RB, ASTM A-105 BODY, F6 STEAM, F6 SOLID WEDGE.</v>
          </cell>
          <cell r="F57" t="str">
            <v>3/4"</v>
          </cell>
          <cell r="G57">
            <v>0</v>
          </cell>
          <cell r="H57" t="str">
            <v>UN</v>
          </cell>
        </row>
        <row r="58">
          <cell r="B58" t="str">
            <v>A2A1</v>
          </cell>
          <cell r="C58" t="str">
            <v>GAV</v>
          </cell>
          <cell r="D58" t="str">
            <v>GATE VALVE, 800#, SExSW, RB, ASTM A-105 BODY, F6 STEAM, F6 SOLID WEDGE.</v>
          </cell>
          <cell r="F58" t="str">
            <v>3/4"</v>
          </cell>
          <cell r="G58">
            <v>7</v>
          </cell>
          <cell r="H58" t="str">
            <v>UN</v>
          </cell>
        </row>
        <row r="59">
          <cell r="B59" t="str">
            <v>A2A1</v>
          </cell>
          <cell r="C59" t="str">
            <v>GLF</v>
          </cell>
          <cell r="D59" t="str">
            <v>GLOBE VALVE, 300#, RFSF, A216-WCB BODY, F6 TRIM.</v>
          </cell>
          <cell r="F59" t="str">
            <v>3"</v>
          </cell>
          <cell r="G59">
            <v>2</v>
          </cell>
          <cell r="H59" t="str">
            <v>UN</v>
          </cell>
        </row>
        <row r="60">
          <cell r="B60" t="str">
            <v>A1A1</v>
          </cell>
          <cell r="C60" t="str">
            <v>GLS</v>
          </cell>
          <cell r="D60" t="str">
            <v>GLOBE VALVE, 800#, SW, ASTM A105 BODY, F6 TRIM.</v>
          </cell>
          <cell r="F60" t="str">
            <v>1"</v>
          </cell>
          <cell r="G60">
            <v>1</v>
          </cell>
          <cell r="H60" t="str">
            <v>UN</v>
          </cell>
        </row>
        <row r="61">
          <cell r="B61" t="str">
            <v>A2A1</v>
          </cell>
          <cell r="C61" t="str">
            <v>GLS</v>
          </cell>
          <cell r="D61" t="str">
            <v>GLOBE VALVE, 800#, SW, ASTM A105 BODY, F6 TRIM.</v>
          </cell>
          <cell r="F61" t="str">
            <v>3/4"</v>
          </cell>
          <cell r="G61">
            <v>1</v>
          </cell>
          <cell r="H61" t="str">
            <v>UN</v>
          </cell>
        </row>
        <row r="62">
          <cell r="B62" t="str">
            <v>A1A1</v>
          </cell>
          <cell r="C62" t="str">
            <v>GR1</v>
          </cell>
          <cell r="D62" t="str">
            <v>SPW GASKET, 150#, AISI 304 WITH GRAFOIL FILLER.</v>
          </cell>
          <cell r="F62" t="str">
            <v>2"</v>
          </cell>
          <cell r="G62">
            <v>0</v>
          </cell>
          <cell r="H62" t="str">
            <v>UN</v>
          </cell>
        </row>
        <row r="63">
          <cell r="B63" t="str">
            <v>A1A1</v>
          </cell>
          <cell r="C63" t="str">
            <v>GR1</v>
          </cell>
          <cell r="D63" t="str">
            <v>SPW GASKET, 150#, AISI 304 WITH GRAFOIL FILLER.</v>
          </cell>
          <cell r="F63" t="str">
            <v>3"</v>
          </cell>
          <cell r="G63">
            <v>8</v>
          </cell>
          <cell r="H63" t="str">
            <v>UN</v>
          </cell>
        </row>
        <row r="64">
          <cell r="B64" t="str">
            <v>A1A1</v>
          </cell>
          <cell r="C64" t="str">
            <v>GR1</v>
          </cell>
          <cell r="D64" t="str">
            <v>SPW GASKET, 150#, AISI 304 WITH GRAFOIL FILLER.</v>
          </cell>
          <cell r="F64" t="str">
            <v>4"</v>
          </cell>
          <cell r="G64">
            <v>21</v>
          </cell>
          <cell r="H64" t="str">
            <v>UN</v>
          </cell>
        </row>
        <row r="65">
          <cell r="B65" t="str">
            <v>A1A1</v>
          </cell>
          <cell r="C65" t="str">
            <v>GR1</v>
          </cell>
          <cell r="D65" t="str">
            <v>SPW GASKET, 150#, AISI 304 WITH GRAFOIL FILLER.</v>
          </cell>
          <cell r="F65" t="str">
            <v>6"</v>
          </cell>
          <cell r="G65">
            <v>36</v>
          </cell>
          <cell r="H65" t="str">
            <v>UN</v>
          </cell>
        </row>
        <row r="66">
          <cell r="B66" t="str">
            <v>A1A1</v>
          </cell>
          <cell r="C66" t="str">
            <v>GR3</v>
          </cell>
          <cell r="D66" t="str">
            <v>SPW GASKET, 300#, AISI 304 WITH GRAFOIL FILLER,</v>
          </cell>
          <cell r="F66" t="str">
            <v>6"</v>
          </cell>
          <cell r="G66">
            <v>1</v>
          </cell>
          <cell r="H66" t="str">
            <v>UN</v>
          </cell>
        </row>
        <row r="67">
          <cell r="B67" t="str">
            <v>A2A1</v>
          </cell>
          <cell r="C67" t="str">
            <v>GR3</v>
          </cell>
          <cell r="D67" t="str">
            <v>SPW GASKET, 300#, AISI 304 WITH GRAFOIL FILLER.</v>
          </cell>
          <cell r="F67" t="str">
            <v>2 1/2"</v>
          </cell>
          <cell r="G67">
            <v>0</v>
          </cell>
          <cell r="H67" t="str">
            <v>UN</v>
          </cell>
        </row>
        <row r="68">
          <cell r="B68" t="str">
            <v>A2A1</v>
          </cell>
          <cell r="C68" t="str">
            <v>GR3</v>
          </cell>
          <cell r="D68" t="str">
            <v>SPW GASKET, 300#, AISI 304 WITH GRAFOIL FILLER.</v>
          </cell>
          <cell r="F68" t="str">
            <v>2"</v>
          </cell>
          <cell r="G68">
            <v>0</v>
          </cell>
          <cell r="H68" t="str">
            <v>UN</v>
          </cell>
        </row>
        <row r="69">
          <cell r="B69" t="str">
            <v>A2A1</v>
          </cell>
          <cell r="C69" t="str">
            <v>GR3</v>
          </cell>
          <cell r="D69" t="str">
            <v>SPW GASKET, 300#, AISI 304 WITH GRAFOIL FILLER.</v>
          </cell>
          <cell r="F69" t="str">
            <v>3"</v>
          </cell>
          <cell r="G69">
            <v>47</v>
          </cell>
          <cell r="H69" t="str">
            <v>UN</v>
          </cell>
        </row>
        <row r="70">
          <cell r="B70" t="str">
            <v>A2A1</v>
          </cell>
          <cell r="C70" t="str">
            <v>GR3</v>
          </cell>
          <cell r="D70" t="str">
            <v>SPW GASKET, 300#, AISI 304 WITH GRAFOIL FILLER.</v>
          </cell>
          <cell r="F70" t="str">
            <v>4"</v>
          </cell>
          <cell r="G70">
            <v>10</v>
          </cell>
          <cell r="H70" t="str">
            <v>UN</v>
          </cell>
        </row>
        <row r="71">
          <cell r="B71" t="str">
            <v>A2A1</v>
          </cell>
          <cell r="C71" t="str">
            <v>GR3</v>
          </cell>
          <cell r="D71" t="str">
            <v>SPW GASKET, 300#, AISI 304 WITH GRAFOIL FILLER.</v>
          </cell>
          <cell r="F71" t="str">
            <v>6"</v>
          </cell>
          <cell r="G71">
            <v>5</v>
          </cell>
          <cell r="H71" t="str">
            <v>UN</v>
          </cell>
        </row>
        <row r="72">
          <cell r="B72" t="str">
            <v>A1A1/A</v>
          </cell>
          <cell r="C72" t="str">
            <v>HAF</v>
          </cell>
          <cell r="D72" t="str">
            <v>HALF COUPLING, C.S., 3000#, SW, ASTM A105.</v>
          </cell>
          <cell r="F72" t="str">
            <v>3/4"</v>
          </cell>
          <cell r="G72">
            <v>3</v>
          </cell>
          <cell r="H72" t="str">
            <v>UN</v>
          </cell>
        </row>
        <row r="73">
          <cell r="B73" t="str">
            <v>A1A1</v>
          </cell>
          <cell r="C73" t="str">
            <v>NPE</v>
          </cell>
          <cell r="D73" t="str">
            <v>NIPPLE, C.S., PE, SMLS, ASTM A53-B.</v>
          </cell>
          <cell r="E73" t="str">
            <v>80</v>
          </cell>
          <cell r="F73" t="str">
            <v>3/4"</v>
          </cell>
          <cell r="G73">
            <v>17</v>
          </cell>
          <cell r="H73" t="str">
            <v>UN</v>
          </cell>
        </row>
        <row r="74">
          <cell r="B74" t="str">
            <v>A1A1</v>
          </cell>
          <cell r="C74" t="str">
            <v>NPE</v>
          </cell>
          <cell r="D74" t="str">
            <v>NIPPLE, C.S., PE, SMLS, ASTM A53-B.</v>
          </cell>
          <cell r="E74" t="str">
            <v>80</v>
          </cell>
          <cell r="F74" t="str">
            <v>3/4"</v>
          </cell>
          <cell r="G74">
            <v>4</v>
          </cell>
          <cell r="H74" t="str">
            <v>UN</v>
          </cell>
        </row>
        <row r="75">
          <cell r="B75" t="str">
            <v>A2A1</v>
          </cell>
          <cell r="C75" t="str">
            <v>NPE</v>
          </cell>
          <cell r="D75" t="str">
            <v>NIPPLE, C.S., PE, SMLS, ASTM A53-B.</v>
          </cell>
          <cell r="E75" t="str">
            <v>80</v>
          </cell>
          <cell r="F75" t="str">
            <v>3/4"</v>
          </cell>
          <cell r="G75">
            <v>14</v>
          </cell>
          <cell r="H75" t="str">
            <v>UN</v>
          </cell>
        </row>
        <row r="76">
          <cell r="B76" t="str">
            <v>A2A1</v>
          </cell>
          <cell r="C76" t="str">
            <v>NPE</v>
          </cell>
          <cell r="D76" t="str">
            <v>NIPPLE, C.S., PE, SMLS, ASTM A53-B.</v>
          </cell>
          <cell r="E76" t="str">
            <v>80</v>
          </cell>
          <cell r="F76" t="str">
            <v>3/4"</v>
          </cell>
          <cell r="G76">
            <v>3</v>
          </cell>
          <cell r="H76" t="str">
            <v>UN</v>
          </cell>
        </row>
        <row r="77">
          <cell r="B77" t="str">
            <v>A2A1</v>
          </cell>
          <cell r="C77" t="str">
            <v>NPE</v>
          </cell>
          <cell r="D77" t="str">
            <v>NIPPLE, C.S., PE, SMLS, ASTM A53-B.</v>
          </cell>
          <cell r="E77" t="str">
            <v>80</v>
          </cell>
          <cell r="F77" t="str">
            <v>2"</v>
          </cell>
          <cell r="G77">
            <v>0</v>
          </cell>
          <cell r="H77" t="str">
            <v>UN</v>
          </cell>
        </row>
        <row r="78">
          <cell r="B78" t="str">
            <v>A2A1</v>
          </cell>
          <cell r="C78" t="str">
            <v>NPE</v>
          </cell>
          <cell r="D78" t="str">
            <v>NIPPLE, C.S., PE, SMLS, ASTM A53-B.</v>
          </cell>
          <cell r="E78" t="str">
            <v>80</v>
          </cell>
          <cell r="F78" t="str">
            <v>3/4"</v>
          </cell>
          <cell r="G78">
            <v>5</v>
          </cell>
          <cell r="H78" t="str">
            <v>UN</v>
          </cell>
        </row>
        <row r="79">
          <cell r="B79" t="str">
            <v>A1A1</v>
          </cell>
          <cell r="C79" t="str">
            <v>NTO</v>
          </cell>
          <cell r="D79" t="str">
            <v>DELETED ITEM.</v>
          </cell>
          <cell r="E79" t="str">
            <v>80</v>
          </cell>
          <cell r="F79" t="str">
            <v>3/4"</v>
          </cell>
          <cell r="G79">
            <v>0</v>
          </cell>
          <cell r="H79" t="str">
            <v>UN</v>
          </cell>
        </row>
        <row r="80">
          <cell r="B80" t="str">
            <v>A1A1</v>
          </cell>
          <cell r="C80" t="str">
            <v>NTO</v>
          </cell>
          <cell r="D80" t="str">
            <v>NIPPLE, C.S., SMLS, PE x THD, ASTM A53-B.</v>
          </cell>
          <cell r="E80" t="str">
            <v>160</v>
          </cell>
          <cell r="F80" t="str">
            <v>3/4"</v>
          </cell>
          <cell r="G80">
            <v>0</v>
          </cell>
          <cell r="H80" t="str">
            <v>UN</v>
          </cell>
        </row>
        <row r="81">
          <cell r="B81" t="str">
            <v>A2A1</v>
          </cell>
          <cell r="C81" t="str">
            <v>NTO</v>
          </cell>
          <cell r="D81" t="str">
            <v>DELETED ITEM.</v>
          </cell>
          <cell r="E81" t="str">
            <v>80</v>
          </cell>
          <cell r="F81" t="str">
            <v>3/4"</v>
          </cell>
          <cell r="G81">
            <v>0</v>
          </cell>
          <cell r="H81" t="str">
            <v>UN</v>
          </cell>
        </row>
        <row r="82">
          <cell r="B82" t="str">
            <v>A2A1</v>
          </cell>
          <cell r="C82" t="str">
            <v>NTO</v>
          </cell>
          <cell r="D82" t="str">
            <v>NIPPLE, C.S., SMLS, PE x THD, ASTM A53-B.</v>
          </cell>
          <cell r="E82" t="str">
            <v>160</v>
          </cell>
          <cell r="F82" t="str">
            <v>3/4"</v>
          </cell>
          <cell r="G82">
            <v>2</v>
          </cell>
          <cell r="H82" t="str">
            <v>U</v>
          </cell>
        </row>
        <row r="83">
          <cell r="B83" t="str">
            <v>A1A1</v>
          </cell>
          <cell r="C83" t="str">
            <v>ORI</v>
          </cell>
          <cell r="D83" t="str">
            <v>COUPLES OF C.S., WELDING NECK ORIFICE FLANGES, 300#, RFSF, ASTM A105.</v>
          </cell>
          <cell r="E83" t="str">
            <v>40</v>
          </cell>
          <cell r="F83" t="str">
            <v>6"</v>
          </cell>
          <cell r="G83">
            <v>2</v>
          </cell>
          <cell r="H83" t="str">
            <v>UN</v>
          </cell>
        </row>
        <row r="84">
          <cell r="B84" t="str">
            <v>A2A1</v>
          </cell>
          <cell r="C84" t="str">
            <v>ORI</v>
          </cell>
          <cell r="D84" t="str">
            <v>COUPLES OF C.S., WELDING NECK ORIFICE FLANGES, 300#, RFSF, ASTM A105.</v>
          </cell>
          <cell r="E84" t="str">
            <v>40</v>
          </cell>
          <cell r="F84" t="str">
            <v>3"</v>
          </cell>
          <cell r="G84">
            <v>3</v>
          </cell>
          <cell r="H84" t="str">
            <v>UN</v>
          </cell>
        </row>
        <row r="85">
          <cell r="B85" t="str">
            <v>A2A1</v>
          </cell>
          <cell r="C85" t="str">
            <v>ORI</v>
          </cell>
          <cell r="D85" t="str">
            <v>COUPLES OF C.S., WELDING NECK ORIFICE FLANGES, 300#, RFSF, ASTM A105.</v>
          </cell>
          <cell r="E85" t="str">
            <v>40</v>
          </cell>
          <cell r="F85" t="str">
            <v>4"</v>
          </cell>
          <cell r="G85">
            <v>1</v>
          </cell>
          <cell r="H85" t="str">
            <v>UN</v>
          </cell>
        </row>
        <row r="86">
          <cell r="B86" t="str">
            <v>A1A1</v>
          </cell>
          <cell r="C86" t="str">
            <v>PIP</v>
          </cell>
          <cell r="D86" t="str">
            <v>PIPE, C.S., BE, SMLS, ASTM A 53 Gr.B.</v>
          </cell>
          <cell r="E86" t="str">
            <v>20</v>
          </cell>
          <cell r="F86" t="str">
            <v>10"</v>
          </cell>
          <cell r="G86">
            <v>11.699999809265137</v>
          </cell>
          <cell r="H86" t="str">
            <v>m</v>
          </cell>
        </row>
        <row r="87">
          <cell r="B87" t="str">
            <v>A1A1</v>
          </cell>
          <cell r="C87" t="str">
            <v>PIP</v>
          </cell>
          <cell r="D87" t="str">
            <v>PIPE, C.S., PE, SMLS, ASTM A53 Gr.B.</v>
          </cell>
          <cell r="E87" t="str">
            <v>80</v>
          </cell>
          <cell r="F87" t="str">
            <v>3/4"</v>
          </cell>
          <cell r="G87">
            <v>24</v>
          </cell>
          <cell r="H87" t="str">
            <v>m</v>
          </cell>
        </row>
        <row r="88">
          <cell r="B88" t="str">
            <v>A1A1</v>
          </cell>
          <cell r="C88" t="str">
            <v>PIP</v>
          </cell>
          <cell r="D88" t="str">
            <v>PIPE, C.S., BE, SMLS, ASTM A 53 Gr.B.</v>
          </cell>
          <cell r="E88" t="str">
            <v>40</v>
          </cell>
          <cell r="F88" t="str">
            <v>6"</v>
          </cell>
          <cell r="G88">
            <v>67</v>
          </cell>
          <cell r="H88" t="str">
            <v>m</v>
          </cell>
        </row>
        <row r="89">
          <cell r="B89" t="str">
            <v>A1A1</v>
          </cell>
          <cell r="C89" t="str">
            <v>PIP</v>
          </cell>
          <cell r="D89" t="str">
            <v>PIPE, C.S., BE, SMLS, ASTM A 53 Gr.B.</v>
          </cell>
          <cell r="E89" t="str">
            <v>40</v>
          </cell>
          <cell r="F89" t="str">
            <v>3"</v>
          </cell>
          <cell r="G89">
            <v>153.72000122070313</v>
          </cell>
          <cell r="H89" t="str">
            <v>m</v>
          </cell>
        </row>
        <row r="90">
          <cell r="B90" t="str">
            <v>A1A1</v>
          </cell>
          <cell r="C90" t="str">
            <v>PIP</v>
          </cell>
          <cell r="D90" t="str">
            <v>PIPE, C.S., BE, SMLS, ASTM A 53 Gr.B.</v>
          </cell>
          <cell r="E90" t="str">
            <v>40</v>
          </cell>
          <cell r="F90" t="str">
            <v>4"</v>
          </cell>
          <cell r="G90">
            <v>117.30000305175781</v>
          </cell>
          <cell r="H90" t="str">
            <v>m</v>
          </cell>
        </row>
        <row r="91">
          <cell r="B91" t="str">
            <v>A1A1</v>
          </cell>
          <cell r="C91" t="str">
            <v>PIP</v>
          </cell>
          <cell r="D91" t="str">
            <v>PIPE, C.S., BE, SMLS, ASTM A 53 Gr.B.</v>
          </cell>
          <cell r="E91" t="str">
            <v>40</v>
          </cell>
          <cell r="F91" t="str">
            <v>6"</v>
          </cell>
          <cell r="G91">
            <v>784.17000126838684</v>
          </cell>
          <cell r="H91" t="str">
            <v>m</v>
          </cell>
        </row>
        <row r="92">
          <cell r="B92" t="str">
            <v>A1A1</v>
          </cell>
          <cell r="C92" t="str">
            <v>PIP</v>
          </cell>
          <cell r="D92" t="str">
            <v>PIPE, C.S., PE, SMLS, ASTM A53 Gr.B.</v>
          </cell>
          <cell r="E92" t="str">
            <v>80</v>
          </cell>
          <cell r="F92" t="str">
            <v>1"</v>
          </cell>
          <cell r="G92">
            <v>24.700000762939453</v>
          </cell>
          <cell r="H92" t="str">
            <v>m</v>
          </cell>
        </row>
        <row r="93">
          <cell r="B93" t="str">
            <v>A1A1</v>
          </cell>
          <cell r="C93" t="str">
            <v>PIP</v>
          </cell>
          <cell r="D93" t="str">
            <v>PIPE, C.S., PE, SMLS, ASTM A53 Gr.B.</v>
          </cell>
          <cell r="E93" t="str">
            <v>80</v>
          </cell>
          <cell r="F93" t="str">
            <v>2"</v>
          </cell>
          <cell r="G93">
            <v>0</v>
          </cell>
          <cell r="H93" t="str">
            <v>m</v>
          </cell>
        </row>
        <row r="94">
          <cell r="B94" t="str">
            <v>A1A1</v>
          </cell>
          <cell r="C94" t="str">
            <v>PIP</v>
          </cell>
          <cell r="D94" t="str">
            <v>PIPE, C.S., PE, SMLS, ASTM A53 Gr.B.</v>
          </cell>
          <cell r="E94" t="str">
            <v>80</v>
          </cell>
          <cell r="F94" t="str">
            <v>3/4"</v>
          </cell>
          <cell r="G94">
            <v>11.5</v>
          </cell>
          <cell r="H94" t="str">
            <v>m</v>
          </cell>
        </row>
        <row r="95">
          <cell r="B95" t="str">
            <v>A1A1/A</v>
          </cell>
          <cell r="C95" t="str">
            <v>PIP</v>
          </cell>
          <cell r="D95" t="str">
            <v>PIPE, C.S., PE, SMLS, ASTM A53 Gr.B.</v>
          </cell>
          <cell r="E95" t="str">
            <v>80</v>
          </cell>
          <cell r="F95" t="str">
            <v>3/4"</v>
          </cell>
          <cell r="G95">
            <v>6</v>
          </cell>
          <cell r="H95" t="str">
            <v>m</v>
          </cell>
        </row>
        <row r="96">
          <cell r="B96" t="str">
            <v>A2A1</v>
          </cell>
          <cell r="C96" t="str">
            <v>PIP</v>
          </cell>
          <cell r="D96" t="str">
            <v>PIPE, C.S., BE, SMLS, ASTM A 53 Gr.B.</v>
          </cell>
          <cell r="E96" t="str">
            <v>40</v>
          </cell>
          <cell r="F96" t="str">
            <v>3"</v>
          </cell>
          <cell r="G96">
            <v>61</v>
          </cell>
          <cell r="H96" t="str">
            <v>m</v>
          </cell>
        </row>
        <row r="97">
          <cell r="B97" t="str">
            <v>A2A1</v>
          </cell>
          <cell r="C97" t="str">
            <v>PIP</v>
          </cell>
          <cell r="D97" t="str">
            <v>PIPE, C.S., PE, SMLS, ASTM A53 Gr.B.</v>
          </cell>
          <cell r="E97" t="str">
            <v>80</v>
          </cell>
          <cell r="F97" t="str">
            <v>3/4"</v>
          </cell>
          <cell r="G97">
            <v>1</v>
          </cell>
          <cell r="H97" t="str">
            <v>m</v>
          </cell>
        </row>
        <row r="98">
          <cell r="B98" t="str">
            <v>A2A1</v>
          </cell>
          <cell r="C98" t="str">
            <v>PIP</v>
          </cell>
          <cell r="D98" t="str">
            <v>PIPE, C.S., BE, SMLS, ASTM A 53 Gr.B.</v>
          </cell>
          <cell r="E98" t="str">
            <v>40</v>
          </cell>
          <cell r="F98" t="str">
            <v>3"</v>
          </cell>
          <cell r="G98">
            <v>128</v>
          </cell>
          <cell r="H98" t="str">
            <v>m</v>
          </cell>
        </row>
        <row r="99">
          <cell r="B99" t="str">
            <v>A2A1</v>
          </cell>
          <cell r="C99" t="str">
            <v>PIP</v>
          </cell>
          <cell r="D99" t="str">
            <v>PIPE, C.S., BE, SMLS, ASTM A 53 Gr.B.</v>
          </cell>
          <cell r="E99" t="str">
            <v>40</v>
          </cell>
          <cell r="F99" t="str">
            <v>4"</v>
          </cell>
          <cell r="G99">
            <v>129</v>
          </cell>
          <cell r="H99" t="str">
            <v>m</v>
          </cell>
        </row>
        <row r="100">
          <cell r="B100" t="str">
            <v>A2A1</v>
          </cell>
          <cell r="C100" t="str">
            <v>PIP</v>
          </cell>
          <cell r="D100" t="str">
            <v>PIPE, C.S., BE, SMLS, ASTM A 53 Gr.B.</v>
          </cell>
          <cell r="E100" t="str">
            <v>40</v>
          </cell>
          <cell r="F100" t="str">
            <v>3"</v>
          </cell>
          <cell r="G100">
            <v>3038.099999666214</v>
          </cell>
          <cell r="H100" t="str">
            <v>m</v>
          </cell>
        </row>
        <row r="101">
          <cell r="B101" t="str">
            <v>A2A1</v>
          </cell>
          <cell r="C101" t="str">
            <v>PIP</v>
          </cell>
          <cell r="D101" t="str">
            <v>PIPE, C.S., BE, SMLS, ASTM A 53 Gr.B.</v>
          </cell>
          <cell r="E101" t="str">
            <v>40</v>
          </cell>
          <cell r="F101" t="str">
            <v>4"</v>
          </cell>
          <cell r="G101">
            <v>101</v>
          </cell>
          <cell r="H101" t="str">
            <v>m</v>
          </cell>
        </row>
        <row r="102">
          <cell r="B102" t="str">
            <v>A2A1</v>
          </cell>
          <cell r="C102" t="str">
            <v>PIP</v>
          </cell>
          <cell r="D102" t="str">
            <v>PIPE, C.S., PE, SMLS, ASTM A53 Gr.B.</v>
          </cell>
          <cell r="E102" t="str">
            <v>80</v>
          </cell>
          <cell r="F102" t="str">
            <v>1 1/2"</v>
          </cell>
          <cell r="G102">
            <v>2</v>
          </cell>
          <cell r="H102" t="str">
            <v>m</v>
          </cell>
        </row>
        <row r="103">
          <cell r="B103" t="str">
            <v>A2A1</v>
          </cell>
          <cell r="C103" t="str">
            <v>PIP</v>
          </cell>
          <cell r="D103" t="str">
            <v>PIPE, C.S., PE, SMLS, ASTM A53 Gr.B.</v>
          </cell>
          <cell r="E103" t="str">
            <v>80</v>
          </cell>
          <cell r="F103" t="str">
            <v>3/4"</v>
          </cell>
          <cell r="G103">
            <v>2.5</v>
          </cell>
          <cell r="H103" t="str">
            <v>m</v>
          </cell>
        </row>
        <row r="104">
          <cell r="B104" t="str">
            <v>A1A1</v>
          </cell>
          <cell r="C104" t="str">
            <v>PRT</v>
          </cell>
          <cell r="D104" t="str">
            <v>PLUG, C.S., 3000#, MALE THREADED, ASTM A105.</v>
          </cell>
          <cell r="F104" t="str">
            <v>3/4"</v>
          </cell>
          <cell r="G104">
            <v>5</v>
          </cell>
          <cell r="H104" t="str">
            <v>UN</v>
          </cell>
        </row>
        <row r="105">
          <cell r="B105" t="str">
            <v>A1A1</v>
          </cell>
          <cell r="C105" t="str">
            <v>PRT</v>
          </cell>
          <cell r="D105" t="str">
            <v>PLUG, C.S., 3000#, MALE THREADED, ASTM A105.</v>
          </cell>
          <cell r="F105" t="str">
            <v>3/4"</v>
          </cell>
          <cell r="G105">
            <v>2</v>
          </cell>
          <cell r="H105" t="str">
            <v>UN</v>
          </cell>
        </row>
        <row r="106">
          <cell r="B106" t="str">
            <v>A2A1</v>
          </cell>
          <cell r="C106" t="str">
            <v>PRT</v>
          </cell>
          <cell r="D106" t="str">
            <v>PLUG, C.S., 3000#, MALE THREADED, ASTM A105.</v>
          </cell>
          <cell r="F106" t="str">
            <v>3/4"</v>
          </cell>
          <cell r="G106">
            <v>10</v>
          </cell>
          <cell r="H106" t="str">
            <v>UN</v>
          </cell>
        </row>
        <row r="107">
          <cell r="B107" t="str">
            <v>A1A1</v>
          </cell>
          <cell r="C107" t="str">
            <v>RTE</v>
          </cell>
          <cell r="D107" t="str">
            <v>REDUCER TEE, C.S., SW, 3000#, ASTM A105.</v>
          </cell>
          <cell r="F107" t="str">
            <v>1"</v>
          </cell>
          <cell r="G107">
            <v>5</v>
          </cell>
          <cell r="H107" t="str">
            <v>UN</v>
          </cell>
        </row>
        <row r="108">
          <cell r="B108" t="str">
            <v>A1A1</v>
          </cell>
          <cell r="C108" t="str">
            <v>RTE</v>
          </cell>
          <cell r="D108" t="str">
            <v>REDUCER TEE, C.S., SW, 3000#, ASTM A105.</v>
          </cell>
          <cell r="F108" t="str">
            <v>2"</v>
          </cell>
          <cell r="G108">
            <v>0</v>
          </cell>
          <cell r="H108" t="str">
            <v>UN</v>
          </cell>
        </row>
        <row r="109">
          <cell r="B109" t="str">
            <v>A2A1</v>
          </cell>
          <cell r="C109" t="str">
            <v>RTE</v>
          </cell>
          <cell r="D109" t="str">
            <v>REDUCER TEE, C.S., BW, ASTM A234-WPB.</v>
          </cell>
          <cell r="E109" t="str">
            <v>40</v>
          </cell>
          <cell r="F109" t="str">
            <v>4"</v>
          </cell>
          <cell r="G109">
            <v>1</v>
          </cell>
          <cell r="H109" t="str">
            <v>UN</v>
          </cell>
        </row>
        <row r="110">
          <cell r="B110" t="str">
            <v>A2A1</v>
          </cell>
          <cell r="C110" t="str">
            <v>RTE</v>
          </cell>
          <cell r="D110" t="str">
            <v>REDUCER TEE, C.S., BW, ASTM A234-WPB.</v>
          </cell>
          <cell r="E110" t="str">
            <v>40</v>
          </cell>
          <cell r="F110" t="str">
            <v>4"</v>
          </cell>
          <cell r="G110">
            <v>2</v>
          </cell>
          <cell r="H110" t="str">
            <v>UN</v>
          </cell>
        </row>
        <row r="111">
          <cell r="B111" t="str">
            <v>A2A1</v>
          </cell>
          <cell r="C111" t="str">
            <v>RTE</v>
          </cell>
          <cell r="D111" t="str">
            <v>REDUCER TEE, C.S., BW, ASTM A234-WPB.</v>
          </cell>
          <cell r="E111" t="str">
            <v>40</v>
          </cell>
          <cell r="F111" t="str">
            <v>6"</v>
          </cell>
          <cell r="G111">
            <v>6</v>
          </cell>
          <cell r="H111" t="str">
            <v>UN</v>
          </cell>
        </row>
        <row r="112">
          <cell r="B112" t="str">
            <v>A2A1</v>
          </cell>
          <cell r="C112" t="str">
            <v>SE1</v>
          </cell>
          <cell r="D112" t="str">
            <v>SWAGE ECCENTRIC, LEB-SEP, ASTM A234-WPB. SEE STANDARD STM 3201.</v>
          </cell>
          <cell r="E112" t="str">
            <v>40</v>
          </cell>
          <cell r="F112" t="str">
            <v>3"</v>
          </cell>
          <cell r="G112">
            <v>0</v>
          </cell>
          <cell r="H112" t="str">
            <v>UN</v>
          </cell>
        </row>
        <row r="113">
          <cell r="B113" t="str">
            <v>A1A1</v>
          </cell>
          <cell r="C113" t="str">
            <v>SOL</v>
          </cell>
          <cell r="D113" t="str">
            <v>SOCKOLET, 3000#, SW, ASTM A105.</v>
          </cell>
          <cell r="F113" t="str">
            <v>2"</v>
          </cell>
          <cell r="G113">
            <v>1</v>
          </cell>
          <cell r="H113" t="str">
            <v>UN</v>
          </cell>
        </row>
        <row r="114">
          <cell r="B114" t="str">
            <v>A1A1</v>
          </cell>
          <cell r="C114" t="str">
            <v>SOL</v>
          </cell>
          <cell r="D114" t="str">
            <v>SOCKOLET, 3000#, SW, ASTM A105. HEADER 6"-12".</v>
          </cell>
          <cell r="F114" t="str">
            <v>3/4"</v>
          </cell>
          <cell r="G114">
            <v>7</v>
          </cell>
          <cell r="H114" t="str">
            <v>UN</v>
          </cell>
        </row>
        <row r="115">
          <cell r="B115" t="str">
            <v>A1A1</v>
          </cell>
          <cell r="C115" t="str">
            <v>SOL</v>
          </cell>
          <cell r="D115" t="str">
            <v>SOCKOLET, C.S., 3000#, SW, ASTM A105. HEADER 3"-4".</v>
          </cell>
          <cell r="F115" t="str">
            <v>3/4"</v>
          </cell>
          <cell r="G115">
            <v>4</v>
          </cell>
          <cell r="H115" t="str">
            <v>UN</v>
          </cell>
        </row>
        <row r="116">
          <cell r="B116" t="str">
            <v>A1A1</v>
          </cell>
          <cell r="C116" t="str">
            <v>SOL</v>
          </cell>
          <cell r="D116" t="str">
            <v>SOCKOLET, C.S., 3000#, SW, ASTM A105. HEADER 3"-4".</v>
          </cell>
          <cell r="F116" t="str">
            <v>3/4"</v>
          </cell>
          <cell r="G116">
            <v>4</v>
          </cell>
          <cell r="H116" t="str">
            <v>UN</v>
          </cell>
        </row>
        <row r="117">
          <cell r="B117" t="str">
            <v>A2A1</v>
          </cell>
          <cell r="C117" t="str">
            <v>SOL</v>
          </cell>
          <cell r="D117" t="str">
            <v>SOCKOLET, C.S., 3000#, SW, ASTM A105. HEADER 3"-4".</v>
          </cell>
          <cell r="F117" t="str">
            <v>3/4"</v>
          </cell>
          <cell r="G117">
            <v>4</v>
          </cell>
          <cell r="H117" t="str">
            <v>UN</v>
          </cell>
        </row>
        <row r="118">
          <cell r="B118" t="str">
            <v>A2A1</v>
          </cell>
          <cell r="C118" t="str">
            <v>SOL</v>
          </cell>
          <cell r="D118" t="str">
            <v>SOCKOLET, C.S., 3000#, SW, ASTM A105.</v>
          </cell>
          <cell r="F118" t="str">
            <v>1 1/2"</v>
          </cell>
          <cell r="G118">
            <v>1</v>
          </cell>
          <cell r="H118" t="str">
            <v>UN</v>
          </cell>
        </row>
        <row r="119">
          <cell r="B119" t="str">
            <v>A2A1</v>
          </cell>
          <cell r="C119" t="str">
            <v>SOL</v>
          </cell>
          <cell r="D119" t="str">
            <v>SOCKOLET, C.S., 3000#, SW, ASTM A105.</v>
          </cell>
          <cell r="F119" t="str">
            <v>2"</v>
          </cell>
          <cell r="G119">
            <v>1</v>
          </cell>
          <cell r="H119" t="str">
            <v>UN</v>
          </cell>
        </row>
        <row r="120">
          <cell r="B120" t="str">
            <v>A2A1</v>
          </cell>
          <cell r="C120" t="str">
            <v>SOL</v>
          </cell>
          <cell r="D120" t="str">
            <v>SOCKOLET, C.S., 3000#, SW, ASTM A105. HEADER 3"-4".</v>
          </cell>
          <cell r="F120" t="str">
            <v>3/4"</v>
          </cell>
          <cell r="G120">
            <v>15</v>
          </cell>
          <cell r="H120" t="str">
            <v>UN</v>
          </cell>
        </row>
        <row r="121">
          <cell r="B121" t="str">
            <v>A2A1</v>
          </cell>
          <cell r="C121" t="str">
            <v>SOL</v>
          </cell>
          <cell r="D121" t="str">
            <v>SOCKOLET, C.S., 3000#, SW, ASTM A105. HEADER 3"-4".</v>
          </cell>
          <cell r="F121" t="str">
            <v>3/4"</v>
          </cell>
          <cell r="G121">
            <v>6</v>
          </cell>
          <cell r="H121" t="str">
            <v>UN</v>
          </cell>
        </row>
        <row r="122">
          <cell r="B122" t="str">
            <v>A1A1</v>
          </cell>
          <cell r="C122" t="str">
            <v>SPE</v>
          </cell>
          <cell r="D122" t="str">
            <v>FIGURE 8, C.S., 150#, FROM PLATE A 285 Gr.C. (SMOOTH FINISH FACE).</v>
          </cell>
          <cell r="F122" t="str">
            <v>2"</v>
          </cell>
          <cell r="G122">
            <v>0</v>
          </cell>
          <cell r="H122" t="str">
            <v>UN</v>
          </cell>
        </row>
        <row r="123">
          <cell r="B123" t="str">
            <v>A1A1</v>
          </cell>
          <cell r="C123" t="str">
            <v>SPE</v>
          </cell>
          <cell r="D123" t="str">
            <v>FIGURE 8, C.S., 150#, FROM PLATE A 285 Gr.C. (SMOOTH FINISH FACE).</v>
          </cell>
          <cell r="F123" t="str">
            <v>3"</v>
          </cell>
          <cell r="G123">
            <v>1</v>
          </cell>
          <cell r="H123" t="str">
            <v>UN</v>
          </cell>
        </row>
        <row r="124">
          <cell r="B124" t="str">
            <v>A1A1</v>
          </cell>
          <cell r="C124" t="str">
            <v>SPE</v>
          </cell>
          <cell r="D124" t="str">
            <v>FIGURE 8, C.S., 150#, FROM PLATE A 285 Gr.C. (SMOOTH FINISH FACE).</v>
          </cell>
          <cell r="F124" t="str">
            <v>4"</v>
          </cell>
          <cell r="G124">
            <v>6</v>
          </cell>
          <cell r="H124" t="str">
            <v>UN</v>
          </cell>
        </row>
        <row r="125">
          <cell r="B125" t="str">
            <v>A1A1</v>
          </cell>
          <cell r="C125" t="str">
            <v>SPE</v>
          </cell>
          <cell r="D125" t="str">
            <v>FIGURE 8, C.S., 150#, FROM PLATE A 285 Gr.C. (SMOOTH FINISH FACE).</v>
          </cell>
          <cell r="F125" t="str">
            <v>6"</v>
          </cell>
          <cell r="G125">
            <v>5</v>
          </cell>
          <cell r="H125" t="str">
            <v>UN</v>
          </cell>
        </row>
        <row r="126">
          <cell r="B126" t="str">
            <v>A2A1</v>
          </cell>
          <cell r="C126" t="str">
            <v>SPE</v>
          </cell>
          <cell r="D126" t="str">
            <v>FIGURE 8, C.S., 300#, FROM PLATE A 285 Gr.C. (SMOOTH FINISH FACE).</v>
          </cell>
          <cell r="F126" t="str">
            <v>3"</v>
          </cell>
          <cell r="G126">
            <v>8</v>
          </cell>
          <cell r="H126" t="str">
            <v>UN</v>
          </cell>
        </row>
        <row r="127">
          <cell r="B127" t="str">
            <v>A2A1</v>
          </cell>
          <cell r="C127" t="str">
            <v>SPE</v>
          </cell>
          <cell r="D127" t="str">
            <v>FIGURE 8, C.S., 300#, FROM PLATE A 285 Gr.C. (SMOOTH FINISH FACE).</v>
          </cell>
          <cell r="F127" t="str">
            <v>6"</v>
          </cell>
          <cell r="G127">
            <v>1</v>
          </cell>
          <cell r="H127" t="str">
            <v>UN</v>
          </cell>
        </row>
        <row r="128">
          <cell r="B128" t="str">
            <v>A1A1</v>
          </cell>
          <cell r="C128" t="str">
            <v>STR</v>
          </cell>
          <cell r="D128" t="str">
            <v>TEMPORARY STRAINER, 150#, RF, SS304, 14 GA.</v>
          </cell>
          <cell r="F128" t="str">
            <v>6"</v>
          </cell>
          <cell r="G128">
            <v>0</v>
          </cell>
          <cell r="H128" t="str">
            <v>UN</v>
          </cell>
        </row>
        <row r="129">
          <cell r="B129" t="str">
            <v>A1A1</v>
          </cell>
          <cell r="C129" t="str">
            <v>STU</v>
          </cell>
          <cell r="D129" t="str">
            <v>STUD BOLTS, ASTM A193-B7, WITH 2 NUTS A194-GR.2H.</v>
          </cell>
          <cell r="F129" t="str">
            <v>3/4"</v>
          </cell>
          <cell r="G129">
            <v>200</v>
          </cell>
          <cell r="H129" t="str">
            <v>UN</v>
          </cell>
        </row>
        <row r="130">
          <cell r="B130" t="str">
            <v>A1A1</v>
          </cell>
          <cell r="C130" t="str">
            <v>STU</v>
          </cell>
          <cell r="D130" t="str">
            <v>STUD BOLTS, ASTM A193-B7, WITH 2 NUTS A194-GR.2H.</v>
          </cell>
          <cell r="F130" t="str">
            <v>3/4"</v>
          </cell>
          <cell r="G130">
            <v>20</v>
          </cell>
          <cell r="H130" t="str">
            <v>UN</v>
          </cell>
        </row>
        <row r="131">
          <cell r="B131" t="str">
            <v>A1A1</v>
          </cell>
          <cell r="C131" t="str">
            <v>STU</v>
          </cell>
          <cell r="D131" t="str">
            <v>STUD BOLTS, ASTM A193-B7, WITH 2 NUTS A194-GR.2H.</v>
          </cell>
          <cell r="F131" t="str">
            <v>3/4"</v>
          </cell>
          <cell r="G131">
            <v>24</v>
          </cell>
          <cell r="H131" t="str">
            <v>UN</v>
          </cell>
        </row>
        <row r="132">
          <cell r="B132" t="str">
            <v>A1A1</v>
          </cell>
          <cell r="C132" t="str">
            <v>STU</v>
          </cell>
          <cell r="D132" t="str">
            <v>STUD BOLTS, ASTM A193-B7, WITH 2 NUTS A194-GR.2H.</v>
          </cell>
          <cell r="F132" t="str">
            <v>5/8"</v>
          </cell>
          <cell r="G132">
            <v>100</v>
          </cell>
          <cell r="H132" t="str">
            <v>UN</v>
          </cell>
        </row>
        <row r="133">
          <cell r="B133" t="str">
            <v>A1A1</v>
          </cell>
          <cell r="C133" t="str">
            <v>STU</v>
          </cell>
          <cell r="D133" t="str">
            <v>STUD BOLTS, ASTM A193-B7, WITH 2 NUTS A194-GR.2H.</v>
          </cell>
          <cell r="F133" t="str">
            <v>5/8"</v>
          </cell>
          <cell r="G133">
            <v>4</v>
          </cell>
          <cell r="H133" t="str">
            <v>UN</v>
          </cell>
        </row>
        <row r="134">
          <cell r="B134" t="str">
            <v>A1A1</v>
          </cell>
          <cell r="C134" t="str">
            <v>STU</v>
          </cell>
          <cell r="D134" t="str">
            <v>STUD BOLTS, ASTM A193-B7, WITH 2 NUTS A194-GR.2H.</v>
          </cell>
          <cell r="F134" t="str">
            <v>5/8"</v>
          </cell>
          <cell r="G134">
            <v>40</v>
          </cell>
          <cell r="H134" t="str">
            <v>UN</v>
          </cell>
        </row>
        <row r="135">
          <cell r="B135" t="str">
            <v>A2A1</v>
          </cell>
          <cell r="C135" t="str">
            <v>STU</v>
          </cell>
          <cell r="D135" t="str">
            <v>STUD BOLTS, ASTM A193-B7, WITH 2 NUTS A194-GR.2H.</v>
          </cell>
          <cell r="F135" t="str">
            <v>3/4"</v>
          </cell>
          <cell r="G135">
            <v>184</v>
          </cell>
          <cell r="H135" t="str">
            <v>UN</v>
          </cell>
        </row>
        <row r="136">
          <cell r="B136" t="str">
            <v>A2A1</v>
          </cell>
          <cell r="C136" t="str">
            <v>STU</v>
          </cell>
          <cell r="D136" t="str">
            <v>STUD BOLTS, ASTM A193-B7, WITH 2 NUTS A194-GR.2H.</v>
          </cell>
          <cell r="F136" t="str">
            <v>3/4"</v>
          </cell>
          <cell r="G136">
            <v>80</v>
          </cell>
          <cell r="H136" t="str">
            <v>UN</v>
          </cell>
        </row>
        <row r="137">
          <cell r="B137" t="str">
            <v>A2A1</v>
          </cell>
          <cell r="C137" t="str">
            <v>STU</v>
          </cell>
          <cell r="D137" t="str">
            <v>STUD BOLTS, ASTM A193-B7, WITH 2 NUTS A194-GR.2H.</v>
          </cell>
          <cell r="F137" t="str">
            <v>3/4"</v>
          </cell>
          <cell r="G137">
            <v>60</v>
          </cell>
          <cell r="H137" t="str">
            <v>UN</v>
          </cell>
        </row>
        <row r="138">
          <cell r="B138" t="str">
            <v>A2A1</v>
          </cell>
          <cell r="C138" t="str">
            <v>STU</v>
          </cell>
          <cell r="D138" t="str">
            <v>STUD BOLTS, ASTM A193-B7, WITH 2 NUTS A194-GR.2H.</v>
          </cell>
          <cell r="F138" t="str">
            <v>3/4"</v>
          </cell>
          <cell r="G138">
            <v>8</v>
          </cell>
          <cell r="H138" t="str">
            <v>UN</v>
          </cell>
        </row>
        <row r="139">
          <cell r="B139" t="str">
            <v>A2A1</v>
          </cell>
          <cell r="C139" t="str">
            <v>STU</v>
          </cell>
          <cell r="D139" t="str">
            <v>STUD BOLTS, ASTM A193-B7, WITH 2 NUTS A194-GR.2H.</v>
          </cell>
          <cell r="F139" t="str">
            <v>3/4"</v>
          </cell>
          <cell r="G139">
            <v>8</v>
          </cell>
          <cell r="H139" t="str">
            <v>UN</v>
          </cell>
        </row>
        <row r="140">
          <cell r="B140" t="str">
            <v>A2A1</v>
          </cell>
          <cell r="C140" t="str">
            <v>STU</v>
          </cell>
          <cell r="D140" t="str">
            <v>STUD BOLTS, ASTM A193-B7, WITH 2 NUTS A194-GR.2H.</v>
          </cell>
          <cell r="F140" t="str">
            <v>3/4"</v>
          </cell>
          <cell r="G140">
            <v>12</v>
          </cell>
          <cell r="H140" t="str">
            <v>UN</v>
          </cell>
        </row>
        <row r="141">
          <cell r="B141" t="str">
            <v>A2A1</v>
          </cell>
          <cell r="C141" t="str">
            <v>STU</v>
          </cell>
          <cell r="D141" t="str">
            <v>STUD BOLTS, ASTM A193-B7, WITH 2 NUTS A194-GR.2H.</v>
          </cell>
          <cell r="F141" t="str">
            <v>5/8"</v>
          </cell>
          <cell r="G141">
            <v>0</v>
          </cell>
          <cell r="H141" t="str">
            <v>UN</v>
          </cell>
        </row>
        <row r="142">
          <cell r="B142" t="str">
            <v>A1A1</v>
          </cell>
          <cell r="C142" t="str">
            <v>TEE</v>
          </cell>
          <cell r="D142" t="str">
            <v>TEE, C.S.,  BW, ASTM A234-WPB.</v>
          </cell>
          <cell r="E142" t="str">
            <v>40</v>
          </cell>
          <cell r="F142" t="str">
            <v>6"</v>
          </cell>
          <cell r="G142">
            <v>1</v>
          </cell>
          <cell r="H142" t="str">
            <v>UN</v>
          </cell>
        </row>
        <row r="143">
          <cell r="B143" t="str">
            <v>A1A1</v>
          </cell>
          <cell r="C143" t="str">
            <v>TEE</v>
          </cell>
          <cell r="D143" t="str">
            <v>TEE, C.S., 3000#, SW, ASTM A105.</v>
          </cell>
          <cell r="F143" t="str">
            <v>2"</v>
          </cell>
          <cell r="G143">
            <v>0</v>
          </cell>
          <cell r="H143" t="str">
            <v>UN</v>
          </cell>
        </row>
        <row r="144">
          <cell r="B144" t="str">
            <v>A1A1</v>
          </cell>
          <cell r="C144" t="str">
            <v>TEE</v>
          </cell>
          <cell r="D144" t="str">
            <v>TEE, C.S., 3000#, SW, ASTM A105.</v>
          </cell>
          <cell r="F144" t="str">
            <v>3/4"</v>
          </cell>
          <cell r="G144">
            <v>1</v>
          </cell>
          <cell r="H144" t="str">
            <v>UN</v>
          </cell>
        </row>
        <row r="145">
          <cell r="B145" t="str">
            <v>A1A1</v>
          </cell>
          <cell r="C145" t="str">
            <v>TEE</v>
          </cell>
          <cell r="D145" t="str">
            <v>TEE, C.S.,  BW, ASTM A234-WPB.</v>
          </cell>
          <cell r="E145" t="str">
            <v>40</v>
          </cell>
          <cell r="F145" t="str">
            <v>4"</v>
          </cell>
          <cell r="G145">
            <v>4</v>
          </cell>
          <cell r="H145" t="str">
            <v>UN</v>
          </cell>
        </row>
        <row r="146">
          <cell r="B146" t="str">
            <v>A1A1</v>
          </cell>
          <cell r="C146" t="str">
            <v>TEE</v>
          </cell>
          <cell r="D146" t="str">
            <v>TEE, C.S.,  BW, ASTM A234-WPB.</v>
          </cell>
          <cell r="E146" t="str">
            <v>40</v>
          </cell>
          <cell r="F146" t="str">
            <v>6"</v>
          </cell>
          <cell r="G146">
            <v>8</v>
          </cell>
          <cell r="H146" t="str">
            <v>UN</v>
          </cell>
        </row>
        <row r="147">
          <cell r="B147" t="str">
            <v>A1A1</v>
          </cell>
          <cell r="C147" t="str">
            <v>TEE</v>
          </cell>
          <cell r="D147" t="str">
            <v>TEE, C.S., 3000#, SW, ASTM A105.</v>
          </cell>
          <cell r="F147" t="str">
            <v>1"</v>
          </cell>
          <cell r="G147">
            <v>1</v>
          </cell>
          <cell r="H147" t="str">
            <v>UN</v>
          </cell>
        </row>
        <row r="148">
          <cell r="B148" t="str">
            <v>A1A1</v>
          </cell>
          <cell r="C148" t="str">
            <v>TEE</v>
          </cell>
          <cell r="D148" t="str">
            <v>TEE, C.S., 3000#, SW, ASTM A105.</v>
          </cell>
          <cell r="F148" t="str">
            <v>3/4"</v>
          </cell>
          <cell r="G148">
            <v>2</v>
          </cell>
          <cell r="H148" t="str">
            <v>UN</v>
          </cell>
        </row>
        <row r="149">
          <cell r="B149" t="str">
            <v>A2A1</v>
          </cell>
          <cell r="C149" t="str">
            <v>TEE</v>
          </cell>
          <cell r="D149" t="str">
            <v>TEE, C.S.,  BW, ASTM A234-WPB.</v>
          </cell>
          <cell r="E149" t="str">
            <v>40</v>
          </cell>
          <cell r="F149" t="str">
            <v>3"</v>
          </cell>
          <cell r="G149">
            <v>1</v>
          </cell>
          <cell r="H149" t="str">
            <v>UN</v>
          </cell>
        </row>
        <row r="150">
          <cell r="B150" t="str">
            <v>A2A1</v>
          </cell>
          <cell r="C150" t="str">
            <v>TEE</v>
          </cell>
          <cell r="D150" t="str">
            <v>TEE, C.S.,  BW, ASTM A234-WPB.</v>
          </cell>
          <cell r="E150" t="str">
            <v>40</v>
          </cell>
          <cell r="F150" t="str">
            <v>4"</v>
          </cell>
          <cell r="G150">
            <v>1</v>
          </cell>
          <cell r="H150" t="str">
            <v>UN</v>
          </cell>
        </row>
        <row r="151">
          <cell r="B151" t="str">
            <v>A2A1</v>
          </cell>
          <cell r="C151" t="str">
            <v>TEE</v>
          </cell>
          <cell r="D151" t="str">
            <v>TEE, C.S., 3000#, SW, ASTM A105.</v>
          </cell>
          <cell r="F151" t="str">
            <v>3/4"</v>
          </cell>
          <cell r="G151">
            <v>1</v>
          </cell>
          <cell r="H151" t="str">
            <v>UN</v>
          </cell>
        </row>
        <row r="152">
          <cell r="B152" t="str">
            <v>A1A1</v>
          </cell>
          <cell r="C152" t="str">
            <v>THT</v>
          </cell>
          <cell r="D152" t="str">
            <v>HOSE CONNECTOR BY BW CONNECTION.</v>
          </cell>
          <cell r="F152" t="str">
            <v>4"</v>
          </cell>
          <cell r="G152">
            <v>0</v>
          </cell>
          <cell r="H152" t="str">
            <v>UN</v>
          </cell>
        </row>
        <row r="153">
          <cell r="B153" t="str">
            <v>A1A1</v>
          </cell>
          <cell r="C153" t="str">
            <v>WOL</v>
          </cell>
          <cell r="D153" t="str">
            <v>WELDOLET, C.S., BW, ASTM A105.</v>
          </cell>
          <cell r="E153" t="str">
            <v>40</v>
          </cell>
          <cell r="F153" t="str">
            <v>3"</v>
          </cell>
          <cell r="G153">
            <v>1</v>
          </cell>
          <cell r="H153" t="str">
            <v>UN</v>
          </cell>
        </row>
        <row r="154">
          <cell r="B154" t="str">
            <v>A1A1</v>
          </cell>
          <cell r="C154" t="str">
            <v>WOL</v>
          </cell>
          <cell r="D154" t="str">
            <v>WELDOLET, C.S., BW, ASTM A105.</v>
          </cell>
          <cell r="E154" t="str">
            <v>40</v>
          </cell>
          <cell r="F154" t="str">
            <v>6"</v>
          </cell>
          <cell r="G154">
            <v>0</v>
          </cell>
          <cell r="H154" t="str">
            <v>UN</v>
          </cell>
        </row>
        <row r="155">
          <cell r="B155" t="str">
            <v>A1A1</v>
          </cell>
          <cell r="C155" t="str">
            <v>WOL</v>
          </cell>
          <cell r="D155" t="str">
            <v>WELDOLET, C.S., BW, ASTM A105.</v>
          </cell>
          <cell r="E155" t="str">
            <v>40</v>
          </cell>
          <cell r="F155" t="str">
            <v>6"</v>
          </cell>
          <cell r="G155">
            <v>1</v>
          </cell>
          <cell r="H155" t="str">
            <v>UN</v>
          </cell>
        </row>
        <row r="156">
          <cell r="B156" t="str">
            <v>A1A1</v>
          </cell>
          <cell r="C156" t="str">
            <v>WOL</v>
          </cell>
          <cell r="D156" t="str">
            <v>WELDOLET, C.S., BW, ASTM A105.</v>
          </cell>
          <cell r="E156" t="str">
            <v>40</v>
          </cell>
          <cell r="F156" t="str">
            <v>6"</v>
          </cell>
          <cell r="G156">
            <v>1</v>
          </cell>
          <cell r="H156" t="str">
            <v>UN</v>
          </cell>
        </row>
        <row r="157">
          <cell r="B157" t="str">
            <v>A1A1</v>
          </cell>
          <cell r="C157" t="str">
            <v>WOL</v>
          </cell>
          <cell r="D157" t="str">
            <v>WELDOLET, C.S., BW, ASTM A105. HEADER 12"-14".</v>
          </cell>
          <cell r="E157" t="str">
            <v>40</v>
          </cell>
          <cell r="F157" t="str">
            <v>4"</v>
          </cell>
          <cell r="G157">
            <v>5</v>
          </cell>
          <cell r="H157" t="str">
            <v>UN</v>
          </cell>
        </row>
        <row r="158">
          <cell r="B158" t="str">
            <v>A2A1</v>
          </cell>
          <cell r="C158" t="str">
            <v>WOL</v>
          </cell>
          <cell r="D158" t="str">
            <v>WELDOLET, C.S., BW, ASTM A105.</v>
          </cell>
          <cell r="E158" t="str">
            <v>40</v>
          </cell>
          <cell r="F158" t="str">
            <v>3"</v>
          </cell>
          <cell r="G158">
            <v>1</v>
          </cell>
          <cell r="H158" t="str">
            <v>UN</v>
          </cell>
        </row>
        <row r="159">
          <cell r="B159" t="str">
            <v>A1A1</v>
          </cell>
          <cell r="C159" t="str">
            <v>WP1</v>
          </cell>
          <cell r="D159" t="str">
            <v>WELDING NECK  FLANGE, C.S., 150#, RFSF, ASTM A105.</v>
          </cell>
          <cell r="E159" t="str">
            <v>40</v>
          </cell>
          <cell r="F159" t="str">
            <v>3"</v>
          </cell>
          <cell r="G159">
            <v>8</v>
          </cell>
          <cell r="H159" t="str">
            <v>UN</v>
          </cell>
        </row>
        <row r="160">
          <cell r="B160" t="str">
            <v>A1A1</v>
          </cell>
          <cell r="C160" t="str">
            <v>WP1</v>
          </cell>
          <cell r="D160" t="str">
            <v>WELDING NECK  FLANGE, C.S., 150#, RFSF, ASTM A105.</v>
          </cell>
          <cell r="E160" t="str">
            <v>40</v>
          </cell>
          <cell r="F160" t="str">
            <v>4"</v>
          </cell>
          <cell r="G160">
            <v>14</v>
          </cell>
          <cell r="H160" t="str">
            <v>UN</v>
          </cell>
        </row>
        <row r="161">
          <cell r="B161" t="str">
            <v>A1A1</v>
          </cell>
          <cell r="C161" t="str">
            <v>WP1</v>
          </cell>
          <cell r="D161" t="str">
            <v>WELDING NECK  FLANGE, C.S., 150#, RFSF, ASTM A105.</v>
          </cell>
          <cell r="E161" t="str">
            <v>40</v>
          </cell>
          <cell r="F161" t="str">
            <v>6"</v>
          </cell>
          <cell r="G161">
            <v>38</v>
          </cell>
          <cell r="H161" t="str">
            <v>UN</v>
          </cell>
        </row>
        <row r="162">
          <cell r="B162" t="str">
            <v>A1A1</v>
          </cell>
          <cell r="C162" t="str">
            <v>WP3</v>
          </cell>
          <cell r="D162" t="str">
            <v>WELDING NECK  FLANGE, C.S., 300#, RFSF, ASTM A105.</v>
          </cell>
          <cell r="E162" t="str">
            <v>40</v>
          </cell>
          <cell r="F162" t="str">
            <v>6"</v>
          </cell>
          <cell r="G162">
            <v>1</v>
          </cell>
          <cell r="H162" t="str">
            <v>UN</v>
          </cell>
        </row>
        <row r="163">
          <cell r="B163" t="str">
            <v>A2A1</v>
          </cell>
          <cell r="C163" t="str">
            <v>WP3</v>
          </cell>
          <cell r="D163" t="str">
            <v>WELDING NECK  FLANGE, C.S., 300#, RFSF, ASTM A105.</v>
          </cell>
          <cell r="E163" t="str">
            <v>40</v>
          </cell>
          <cell r="F163" t="str">
            <v>2 1/2"</v>
          </cell>
          <cell r="G163">
            <v>3</v>
          </cell>
          <cell r="H163" t="str">
            <v>UN</v>
          </cell>
        </row>
        <row r="164">
          <cell r="B164" t="str">
            <v>A2A1</v>
          </cell>
          <cell r="C164" t="str">
            <v>WP3</v>
          </cell>
          <cell r="D164" t="str">
            <v>WELDING NECK  FLANGE, C.S., 300#, RFSF, ASTM A105.</v>
          </cell>
          <cell r="E164" t="str">
            <v>40</v>
          </cell>
          <cell r="F164" t="str">
            <v>3"</v>
          </cell>
          <cell r="G164">
            <v>31</v>
          </cell>
          <cell r="H164" t="str">
            <v>UN</v>
          </cell>
        </row>
        <row r="165">
          <cell r="B165" t="str">
            <v>A2A1</v>
          </cell>
          <cell r="C165" t="str">
            <v>WP3</v>
          </cell>
          <cell r="D165" t="str">
            <v>WELDING NECK  FLANGE, C.S., 300#, RFSF, ASTM A105.</v>
          </cell>
          <cell r="E165" t="str">
            <v>40</v>
          </cell>
          <cell r="F165" t="str">
            <v>4"</v>
          </cell>
          <cell r="G165">
            <v>9</v>
          </cell>
          <cell r="H165" t="str">
            <v>UN</v>
          </cell>
        </row>
        <row r="166">
          <cell r="B166" t="str">
            <v>A2A1</v>
          </cell>
          <cell r="C166" t="str">
            <v>WP3</v>
          </cell>
          <cell r="D166" t="str">
            <v>WELDING NECK  FLANGE, C.S., 300#, RFSF, ASTM A105.</v>
          </cell>
          <cell r="E166" t="str">
            <v>40</v>
          </cell>
          <cell r="F166" t="str">
            <v>6"</v>
          </cell>
          <cell r="G166">
            <v>5</v>
          </cell>
          <cell r="H166" t="str">
            <v>UN</v>
          </cell>
        </row>
        <row r="167">
          <cell r="B167" t="str">
            <v>A1A1</v>
          </cell>
          <cell r="C167" t="str">
            <v>YST</v>
          </cell>
          <cell r="D167" t="str">
            <v>"Y" STRAINER TYPE, 150#, RFSF, ASTM A216-WCB, AISI 304 WIRE SCREEN, 60 MESH.</v>
          </cell>
          <cell r="F167" t="str">
            <v>4"</v>
          </cell>
          <cell r="G167">
            <v>1</v>
          </cell>
          <cell r="H167" t="str">
            <v>UN</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RES1 (2)"/>
      <sheetName val="Ingenieria"/>
      <sheetName val="Compras"/>
      <sheetName val="Construcción"/>
      <sheetName val="Construcción Gral"/>
      <sheetName val="Construcción Gral (2)"/>
      <sheetName val="General"/>
      <sheetName val="Curvas"/>
      <sheetName val="HHxACT"/>
      <sheetName val="HHxACT (2)"/>
      <sheetName val="Histograma"/>
      <sheetName val="RESUMEN PROYECTO"/>
      <sheetName val="RESUMEN ESP"/>
      <sheetName val="RESUMEN (2)"/>
      <sheetName val="Histograma (2)"/>
      <sheetName val="Histo-Indirectos"/>
      <sheetName val="INFO-COMPRAS"/>
      <sheetName val="Hoj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1H1"/>
      <sheetName val="FORMATO1H2"/>
      <sheetName val="FORMATO1H3"/>
      <sheetName val="FORMATO1H4"/>
      <sheetName val="FORMATO1H5"/>
      <sheetName val="Form5 _Pág_ 1"/>
      <sheetName val="Form5 _Pág_ 2"/>
      <sheetName val="Form7"/>
      <sheetName val="forma7"/>
      <sheetName val="Form9"/>
      <sheetName val="FORMATO 1015"/>
      <sheetName val="FORMATO 3001"/>
      <sheetName val="FORMATO 3002"/>
      <sheetName val="FORMATO 3003"/>
      <sheetName val="FORMATO 5001"/>
      <sheetName val="FORMATO 3002 ap-1"/>
      <sheetName val="FORMATO 3002 ap-2"/>
      <sheetName val="Personalizar"/>
      <sheetName val="Formatos"/>
      <sheetName val="Form020"/>
      <sheetName val="Form030"/>
      <sheetName val="Form040"/>
      <sheetName val="Form050"/>
      <sheetName val="Form060"/>
      <sheetName val="Form070"/>
      <sheetName val="Form080"/>
      <sheetName val="From090"/>
      <sheetName val="Form100"/>
      <sheetName val="Form110"/>
      <sheetName val="Form120"/>
      <sheetName val="Form130"/>
      <sheetName val="Form140"/>
      <sheetName val="Form150"/>
      <sheetName val="Form160"/>
      <sheetName val="Form170"/>
      <sheetName val="3002 Lisama este 1"/>
      <sheetName val="3002 Santa Helena 1"/>
      <sheetName val="3002 Lisama 1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sheetData sheetId="23" refreshError="1"/>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rovincia"/>
      <sheetName val="LISAMA (2)"/>
    </sheetNames>
    <sheetDataSet>
      <sheetData sheetId="0"/>
      <sheetData sheetId="1"/>
      <sheetData sheetId="2"/>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s"/>
      <sheetName val="Resumen"/>
      <sheetName val="PxQ Valores"/>
      <sheetName val="PxQ Cantidades"/>
      <sheetName val="DATOS"/>
    </sheetNames>
    <sheetDataSet>
      <sheetData sheetId="0"/>
      <sheetData sheetId="1"/>
      <sheetData sheetId="2"/>
      <sheetData sheetId="3"/>
      <sheetData sheetId="4"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01"/>
      <sheetName val="RESUMEN CONFIS"/>
      <sheetName val="Grafica"/>
      <sheetName val="Hoja3"/>
      <sheetName val="Hoja1"/>
    </sheetNames>
    <sheetDataSet>
      <sheetData sheetId="0" refreshError="1"/>
      <sheetData sheetId="1" refreshError="1"/>
      <sheetData sheetId="2" refreshError="1"/>
      <sheetData sheetId="3" refreshError="1">
        <row r="4">
          <cell r="B4" t="str">
            <v>01</v>
          </cell>
          <cell r="C4" t="str">
            <v>Superintendencias Mares / Rio</v>
          </cell>
          <cell r="D4" t="str">
            <v>01*</v>
          </cell>
          <cell r="E4" t="str">
            <v>01*</v>
          </cell>
          <cell r="F4">
            <v>0</v>
          </cell>
        </row>
        <row r="5">
          <cell r="B5" t="str">
            <v>06</v>
          </cell>
          <cell r="C5" t="str">
            <v>Superintendencia Catatumbo</v>
          </cell>
          <cell r="D5" t="str">
            <v>06*</v>
          </cell>
          <cell r="E5" t="str">
            <v>06*</v>
          </cell>
          <cell r="F5">
            <v>0</v>
          </cell>
        </row>
        <row r="6">
          <cell r="B6" t="str">
            <v>07</v>
          </cell>
          <cell r="C6" t="str">
            <v>Operaciones Asociadas</v>
          </cell>
          <cell r="D6" t="str">
            <v>07*</v>
          </cell>
          <cell r="E6" t="str">
            <v>07*</v>
          </cell>
          <cell r="F6">
            <v>0</v>
          </cell>
        </row>
        <row r="7">
          <cell r="B7" t="str">
            <v>08</v>
          </cell>
          <cell r="C7" t="str">
            <v>Gerencia Sur</v>
          </cell>
          <cell r="D7" t="str">
            <v>08*</v>
          </cell>
          <cell r="E7" t="str">
            <v>08*</v>
          </cell>
          <cell r="F7">
            <v>0</v>
          </cell>
        </row>
        <row r="8">
          <cell r="B8" t="str">
            <v>10</v>
          </cell>
          <cell r="C8" t="str">
            <v>Gerencia Llanos</v>
          </cell>
          <cell r="D8" t="str">
            <v>10*</v>
          </cell>
          <cell r="E8" t="str">
            <v>10*</v>
          </cell>
          <cell r="F8">
            <v>0</v>
          </cell>
        </row>
        <row r="9">
          <cell r="B9" t="str">
            <v>12</v>
          </cell>
          <cell r="C9" t="str">
            <v>Superintendencia Provincia</v>
          </cell>
          <cell r="D9" t="str">
            <v>12*</v>
          </cell>
          <cell r="E9" t="str">
            <v>12*</v>
          </cell>
          <cell r="F9">
            <v>0</v>
          </cell>
        </row>
        <row r="10">
          <cell r="B10" t="str">
            <v>14</v>
          </cell>
          <cell r="C10" t="str">
            <v>Gerencia Alto Magdalena</v>
          </cell>
          <cell r="D10" t="str">
            <v>14*</v>
          </cell>
          <cell r="E10" t="str">
            <v>14*</v>
          </cell>
          <cell r="F10">
            <v>0</v>
          </cell>
        </row>
        <row r="11">
          <cell r="B11" t="str">
            <v>15</v>
          </cell>
          <cell r="C11" t="str">
            <v>Operación Riesgo Compartido</v>
          </cell>
          <cell r="D11" t="str">
            <v>15*</v>
          </cell>
          <cell r="E11" t="str">
            <v>15*</v>
          </cell>
          <cell r="F11">
            <v>0</v>
          </cell>
        </row>
        <row r="12">
          <cell r="B12" t="str">
            <v>16</v>
          </cell>
          <cell r="C12" t="str">
            <v>Administración Exploración y Producción</v>
          </cell>
          <cell r="D12" t="str">
            <v>16*</v>
          </cell>
          <cell r="E12" t="str">
            <v>16*</v>
          </cell>
          <cell r="F12">
            <v>0</v>
          </cell>
        </row>
        <row r="13">
          <cell r="B13" t="str">
            <v>17</v>
          </cell>
          <cell r="C13" t="str">
            <v>Gerencia Cusiana</v>
          </cell>
          <cell r="D13" t="str">
            <v>17*</v>
          </cell>
          <cell r="E13" t="str">
            <v>17*</v>
          </cell>
          <cell r="F13">
            <v>0</v>
          </cell>
        </row>
        <row r="14">
          <cell r="B14" t="str">
            <v>21</v>
          </cell>
          <cell r="C14" t="str">
            <v>Gerencia Centro Oriente</v>
          </cell>
          <cell r="D14" t="str">
            <v>&lt;07*</v>
          </cell>
          <cell r="E14" t="str">
            <v>12*</v>
          </cell>
          <cell r="F14">
            <v>0</v>
          </cell>
        </row>
        <row r="15">
          <cell r="B15" t="str">
            <v>22</v>
          </cell>
          <cell r="C15" t="str">
            <v>Adjunta Asociados Corporativo</v>
          </cell>
          <cell r="D15" t="str">
            <v>16-22*</v>
          </cell>
          <cell r="E15" t="str">
            <v>16-22*</v>
          </cell>
          <cell r="F15">
            <v>0</v>
          </cell>
        </row>
        <row r="16">
          <cell r="B16" t="str">
            <v>23</v>
          </cell>
          <cell r="C16" t="str">
            <v>Adjunta Producción Corportivo</v>
          </cell>
          <cell r="D16" t="str">
            <v>16-23*</v>
          </cell>
          <cell r="E16" t="str">
            <v>16-23*</v>
          </cell>
          <cell r="F16">
            <v>0</v>
          </cell>
        </row>
        <row r="17">
          <cell r="B17" t="str">
            <v>51</v>
          </cell>
          <cell r="C17" t="str">
            <v>Unidad de Planeación Sola</v>
          </cell>
          <cell r="D17" t="str">
            <v>=16-20200</v>
          </cell>
          <cell r="E17" t="str">
            <v>=16-20200</v>
          </cell>
        </row>
        <row r="18">
          <cell r="B18" t="str">
            <v>52</v>
          </cell>
          <cell r="C18" t="str">
            <v>Unidad de Planeación R259</v>
          </cell>
          <cell r="D18" t="str">
            <v>=16-20200-R259</v>
          </cell>
          <cell r="E18" t="str">
            <v>=16-20200-R259</v>
          </cell>
        </row>
        <row r="19">
          <cell r="B19" t="str">
            <v>53</v>
          </cell>
          <cell r="C19" t="str">
            <v>Unidad de Planeación X-R 888</v>
          </cell>
          <cell r="D19" t="str">
            <v>=16-20200-?888</v>
          </cell>
          <cell r="E19" t="str">
            <v>=16-20200-?888</v>
          </cell>
        </row>
        <row r="20">
          <cell r="B20" t="str">
            <v>54</v>
          </cell>
          <cell r="C20" t="str">
            <v>Gerencia de Servicios</v>
          </cell>
          <cell r="D20" t="str">
            <v>=16-20100*</v>
          </cell>
          <cell r="E20" t="str">
            <v>=16-20100*</v>
          </cell>
        </row>
        <row r="21">
          <cell r="B21" t="str">
            <v>55</v>
          </cell>
          <cell r="C21" t="str">
            <v>Gerencia de Perforación</v>
          </cell>
          <cell r="D21" t="str">
            <v>16-20400*</v>
          </cell>
          <cell r="E21" t="str">
            <v>16-20400*</v>
          </cell>
        </row>
        <row r="22">
          <cell r="B22" t="str">
            <v>56</v>
          </cell>
          <cell r="C22" t="str">
            <v>Gerencia de Yacimientos</v>
          </cell>
          <cell r="D22" t="str">
            <v>16-20300*</v>
          </cell>
          <cell r="E22" t="str">
            <v>16-20300*</v>
          </cell>
        </row>
        <row r="23">
          <cell r="B23" t="str">
            <v>88</v>
          </cell>
          <cell r="C23" t="str">
            <v>Gerencia de Servicios</v>
          </cell>
          <cell r="D23" t="str">
            <v>16-20100*</v>
          </cell>
          <cell r="E23" t="str">
            <v>16-20100*</v>
          </cell>
          <cell r="F23">
            <v>0</v>
          </cell>
        </row>
        <row r="24">
          <cell r="B24" t="str">
            <v>90</v>
          </cell>
          <cell r="C24" t="str">
            <v>Corporativo VEP</v>
          </cell>
          <cell r="D24" t="str">
            <v>16-20*</v>
          </cell>
          <cell r="E24" t="str">
            <v>16-20*</v>
          </cell>
          <cell r="F24">
            <v>0</v>
          </cell>
        </row>
        <row r="25">
          <cell r="B25" t="str">
            <v>91</v>
          </cell>
          <cell r="C25" t="str">
            <v>Adjunta de Exploración</v>
          </cell>
          <cell r="D25" t="str">
            <v>16-21*</v>
          </cell>
          <cell r="E25" t="str">
            <v>16-21*</v>
          </cell>
          <cell r="F25">
            <v>0</v>
          </cell>
        </row>
        <row r="26">
          <cell r="B26" t="str">
            <v>92</v>
          </cell>
          <cell r="C26" t="str">
            <v>Adjunta de Asociados</v>
          </cell>
          <cell r="D26" t="str">
            <v>?7*</v>
          </cell>
          <cell r="E26" t="str">
            <v>16-22*</v>
          </cell>
          <cell r="F26">
            <v>0</v>
          </cell>
        </row>
        <row r="27">
          <cell r="B27" t="str">
            <v>93</v>
          </cell>
          <cell r="C27" t="str">
            <v>Adjunta de Producción</v>
          </cell>
          <cell r="D27" t="str">
            <v>&lt;15*</v>
          </cell>
          <cell r="E27" t="str">
            <v>16-23*</v>
          </cell>
          <cell r="F27" t="str">
            <v>&lt;&gt;07*</v>
          </cell>
        </row>
        <row r="28">
          <cell r="B28" t="str">
            <v>99</v>
          </cell>
          <cell r="C28" t="str">
            <v>Consolidado Vicepresidencia</v>
          </cell>
          <cell r="D28">
            <v>0</v>
          </cell>
          <cell r="E28">
            <v>0</v>
          </cell>
          <cell r="F28">
            <v>0</v>
          </cell>
        </row>
      </sheetData>
      <sheetData sheetId="4"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UNITARIOS GENERALE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2A"/>
      <sheetName val="Refin"/>
      <sheetName val="URCs"/>
      <sheetName val="Petroq."/>
      <sheetName val="Eletex"/>
      <sheetName val="Serv.Ind."/>
      <sheetName val="Manto, Otros"/>
    </sheetNames>
    <sheetDataSet>
      <sheetData sheetId="0" refreshError="1">
        <row r="20">
          <cell r="C20">
            <v>2265.5</v>
          </cell>
        </row>
      </sheetData>
      <sheetData sheetId="1"/>
      <sheetData sheetId="2"/>
      <sheetData sheetId="3"/>
      <sheetData sheetId="4"/>
      <sheetData sheetId="5"/>
      <sheetData sheetId="6"/>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R 1"/>
      <sheetName val="PUNITARIOS PARA 241201 2S"/>
      <sheetName val="Hoja1"/>
      <sheetName val="items"/>
      <sheetName val="ESTADO RED TEC"/>
      <sheetName val="A-HOR"/>
      <sheetName val="INSUMOS"/>
      <sheetName val="BANCOS"/>
      <sheetName val="CARGOS"/>
      <sheetName val="EPS"/>
      <sheetName val="PENSIONES"/>
      <sheetName val="PREACTA 10"/>
      <sheetName val="DATOS"/>
      <sheetName val="PREACTA 9"/>
      <sheetName val="Res-Accide-10"/>
      <sheetName val="TARIFAS"/>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monte"/>
      <sheetName val="ESCARIFICACION"/>
      <sheetName val="PUNITARIOS PARA 241201 2S"/>
      <sheetName val="PR 1"/>
      <sheetName val="ESTADO RED TEC"/>
      <sheetName val="items"/>
      <sheetName val="Hoja1"/>
      <sheetName val="A-HOR"/>
      <sheetName val="INSUMOS"/>
      <sheetName val="BANCOS"/>
      <sheetName val="CARGOS"/>
      <sheetName val="EPS"/>
      <sheetName val="PENSIONES"/>
      <sheetName val="PREACTA 10"/>
      <sheetName val="DATOS"/>
      <sheetName val="PREACTA 9"/>
      <sheetName val="Res-Accide-10"/>
      <sheetName val="TARIFAS"/>
      <sheetName val="PRECIOS"/>
      <sheetName val="PREACTA 6"/>
      <sheetName val="TABLA 2008"/>
      <sheetName val="Equipo"/>
      <sheetName val="Listas"/>
      <sheetName val="Excavación Mat. Común Estacione"/>
      <sheetName val="Demolición Pavimento"/>
      <sheetName val="Insum"/>
      <sheetName val="SUB APU"/>
      <sheetName val="TRANSPORTE"/>
      <sheetName val="A. P. U."/>
      <sheetName val="PUNITARIOS%20PARA%20241201%202S"/>
      <sheetName val="RELACION MES"/>
      <sheetName val="PRESUPUESTO"/>
      <sheetName val="ESTADO VÍA-CRIT.TECNICO"/>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ACC Contratacion PIO"/>
    </sheetNames>
    <sheetDataSet>
      <sheetData sheetId="0" refreshError="1">
        <row r="2">
          <cell r="B2">
            <v>2381</v>
          </cell>
        </row>
      </sheetData>
      <sheetData sheetId="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RESPONSABLES"/>
      <sheetName val="PPTO IB"/>
      <sheetName val="Insum"/>
      <sheetName val="Sop&amp;Sup-Cantidades"/>
      <sheetName val="Lista APU"/>
      <sheetName val="Datos"/>
      <sheetName val="U-8.11.06"/>
      <sheetName val="U-8.11.05"/>
      <sheetName val="U-8.11.04"/>
      <sheetName val="U-8.11.03"/>
      <sheetName val="U-8.11.02"/>
      <sheetName val="U-8.11.01"/>
      <sheetName val="U-8.10.06"/>
      <sheetName val="U-8.10.05"/>
      <sheetName val="U-8.10.04"/>
      <sheetName val="U-8.10.03"/>
      <sheetName val="U-8.10.02"/>
      <sheetName val="U-8.10.01"/>
      <sheetName val="U-8.09.06"/>
      <sheetName val="U-8.09.05"/>
      <sheetName val="U-8.09.04"/>
      <sheetName val="U-8.09.03"/>
      <sheetName val="U-8.09.02"/>
      <sheetName val="U-8.09.01"/>
      <sheetName val="U-8.08.06"/>
      <sheetName val="U-8.08.05"/>
      <sheetName val="U-8.08.04"/>
      <sheetName val="U-8.08.03"/>
      <sheetName val="U-8.08.02"/>
      <sheetName val="U-8.08.01"/>
      <sheetName val="U-8.07.06"/>
      <sheetName val="U-8.07.05"/>
      <sheetName val="U-8.07.04"/>
      <sheetName val="U-8.07.03"/>
      <sheetName val="U-8.07.02"/>
      <sheetName val="U-8.07.01"/>
      <sheetName val="U-8.06.05"/>
      <sheetName val="U-8.06.06"/>
      <sheetName val="U-8.06.04"/>
      <sheetName val="U-8.06.03"/>
      <sheetName val="U-8.06.02"/>
      <sheetName val="U-8.06.01"/>
      <sheetName val="U-8.05.06"/>
      <sheetName val="U-8.05.05"/>
      <sheetName val="U-8.05.04"/>
      <sheetName val="U-8.05.03"/>
      <sheetName val="U-8.05.02"/>
      <sheetName val="U-8.05.01"/>
      <sheetName val="U-8.04.09"/>
      <sheetName val="U-8.04.08"/>
      <sheetName val="U-8.04.07"/>
      <sheetName val="U-8.04.06"/>
      <sheetName val="U-8.04.05"/>
      <sheetName val="U-8.04.04"/>
      <sheetName val="U-8.04.03"/>
      <sheetName val="U-8.04.02"/>
      <sheetName val="U-8.04.01"/>
      <sheetName val="U-8.03.09"/>
      <sheetName val="U-8.03.08"/>
      <sheetName val="U-8.03.07"/>
      <sheetName val="U-8.03.06"/>
      <sheetName val="U-8.03.05"/>
      <sheetName val="U-8.03.04"/>
      <sheetName val="U-8.03.03"/>
      <sheetName val="U-8.03.02"/>
      <sheetName val="U-8.03.01"/>
      <sheetName val="U-8.02.03"/>
      <sheetName val="U-8.02.02"/>
      <sheetName val="U-8.02.01"/>
      <sheetName val="U-8.01.06"/>
      <sheetName val="U-8.01.05"/>
      <sheetName val="U-8.01.04"/>
      <sheetName val="U-8.01.03"/>
      <sheetName val="U-8.01.02"/>
      <sheetName val="U-8.01.01"/>
      <sheetName val="U-7.20.02"/>
      <sheetName val="U-7.20.01"/>
      <sheetName val="U-7.19.05"/>
      <sheetName val="U-7.19.04"/>
      <sheetName val="U-7.19.03"/>
      <sheetName val="U-7.19.02"/>
      <sheetName val="U-7.19.01"/>
      <sheetName val="U-7.18.01"/>
      <sheetName val="U-7.17.01"/>
      <sheetName val="U-7.15.08"/>
      <sheetName val="U-7.15.07"/>
      <sheetName val="U-7.15.06"/>
      <sheetName val="U-7.15.05"/>
      <sheetName val="U-7.15.04"/>
      <sheetName val="U-7.15.03"/>
      <sheetName val="U-7.15.02"/>
      <sheetName val="U-7.15.01"/>
      <sheetName val="U-7.14.06"/>
      <sheetName val="U-7.14.05"/>
      <sheetName val="U-7.14.04"/>
      <sheetName val="U-7.14.03"/>
      <sheetName val="U-7.14.02"/>
      <sheetName val="U-7.14.01"/>
      <sheetName val="U-7.13.08"/>
      <sheetName val="U-7.13.07"/>
      <sheetName val="U-7.13.06"/>
      <sheetName val="U-7.13.05"/>
      <sheetName val="U-7.13.04"/>
      <sheetName val="U-7.13.03"/>
      <sheetName val="U-7.13.02"/>
      <sheetName val="U-7.13.01"/>
      <sheetName val="U-7.12.08"/>
      <sheetName val="U-7.12.07"/>
      <sheetName val="U-7.12.06"/>
      <sheetName val="U-7.12.05"/>
      <sheetName val="U-7.12.04"/>
      <sheetName val="U-7.12.03"/>
      <sheetName val="U-7.12.02"/>
      <sheetName val="U-7.12.01"/>
      <sheetName val="U-7.11.06"/>
      <sheetName val="U-7.11.05"/>
      <sheetName val="U-7.11.04"/>
      <sheetName val="U-7.11.03"/>
      <sheetName val="U-7.11.02"/>
      <sheetName val="U-7.11.01"/>
      <sheetName val="U-7.10.13"/>
      <sheetName val="U-7.10.12"/>
      <sheetName val="U-7.10.11"/>
      <sheetName val="U-7.10.10"/>
      <sheetName val="U-7.10.09"/>
      <sheetName val="U-7.10.08"/>
      <sheetName val="U-7.10.07"/>
      <sheetName val="U-7.10.06"/>
      <sheetName val="U-7.10.05"/>
      <sheetName val="U-7.10.04"/>
      <sheetName val="U-7.10.03"/>
      <sheetName val="U-7.10.02"/>
      <sheetName val="U-7.10.01"/>
      <sheetName val="U-7.09.04"/>
      <sheetName val="U-7.09.03"/>
      <sheetName val="U-7.09.02"/>
      <sheetName val="U-7.09.01"/>
      <sheetName val="U-7.08.06"/>
      <sheetName val="U-7.08.05"/>
      <sheetName val="U-7.08.04"/>
      <sheetName val="U-7.08.03"/>
      <sheetName val="U-7.08.02"/>
      <sheetName val="U-7.08.01"/>
      <sheetName val="U-7.06.05"/>
      <sheetName val="U-7.06.04"/>
      <sheetName val="U-7.06.03"/>
      <sheetName val="U-7.06.02"/>
      <sheetName val="U-7.06.01"/>
      <sheetName val="U-7.05.04"/>
      <sheetName val="U-7.05.03"/>
      <sheetName val="U-7.05.02"/>
      <sheetName val="U-7.05.01"/>
      <sheetName val="U-7.03.04"/>
      <sheetName val="U-7.03.03"/>
      <sheetName val="U-7.03.02"/>
      <sheetName val="U-7.03.01"/>
      <sheetName val="U-7.02.04"/>
      <sheetName val="U-7.02.03"/>
      <sheetName val="U-7.02.02"/>
      <sheetName val="U-7.02.01"/>
      <sheetName val="U-7.01.04"/>
      <sheetName val="U-7.01.03"/>
      <sheetName val="U-7.01.02"/>
      <sheetName val="U-7.01.01"/>
      <sheetName val="U-6.07.05"/>
      <sheetName val="U-6.07.04"/>
      <sheetName val="U-6.07.03"/>
      <sheetName val="U-6.07.02"/>
      <sheetName val="U-6.07.01"/>
      <sheetName val="U-6.06.05"/>
      <sheetName val="U-6.06.04"/>
      <sheetName val="U-6.06.03"/>
      <sheetName val="U-6.06.02"/>
      <sheetName val="U-6.06.01"/>
      <sheetName val="U-6.05.05"/>
      <sheetName val="U-6.05.04"/>
      <sheetName val="U-6.05.03"/>
      <sheetName val="U-6.05.02"/>
      <sheetName val="U-6.05.01"/>
      <sheetName val="U-6.04.05"/>
      <sheetName val="U-6.04.04"/>
      <sheetName val="U-6.04.03"/>
      <sheetName val="U-6.04.02"/>
      <sheetName val="U-6.04.01"/>
      <sheetName val="U-6.03.06"/>
      <sheetName val="U-6.03.05"/>
      <sheetName val="U-6.03.04"/>
      <sheetName val="U-6.03.03"/>
      <sheetName val="U-6.03.02"/>
      <sheetName val="U-6.03.01"/>
      <sheetName val="U-6.02.07"/>
      <sheetName val="U-6.02.06"/>
      <sheetName val="U-6.02.05"/>
      <sheetName val="U-6.02.04"/>
      <sheetName val="U-6.02.03"/>
      <sheetName val="U-6.02.02"/>
      <sheetName val="U-6.02.01"/>
      <sheetName val="U-6.01.06"/>
      <sheetName val="U-6.01.05"/>
      <sheetName val="U-6.01.04"/>
      <sheetName val="U-6.01.03"/>
      <sheetName val="U-6.01.02"/>
      <sheetName val="U-6.01.01"/>
      <sheetName val="U-5.04.11"/>
      <sheetName val="U-5.04.10"/>
      <sheetName val="U-5.04.09"/>
      <sheetName val="U-5.04.08"/>
      <sheetName val="U-5.04.07"/>
      <sheetName val="U-5.04.06"/>
      <sheetName val="U-5.04.05"/>
      <sheetName val="U-5.04.04"/>
      <sheetName val="U-5.04.03"/>
      <sheetName val="U-5.04.02"/>
      <sheetName val="U-5.04.01"/>
      <sheetName val="U-5.03.11"/>
      <sheetName val="U-5.03.10"/>
      <sheetName val="U-5.03.09"/>
      <sheetName val="U-5.03.08"/>
      <sheetName val="U-5.03.07"/>
      <sheetName val="U-5.03.06"/>
      <sheetName val="U-5.03.05"/>
      <sheetName val="U-5.03.04"/>
      <sheetName val="U-5.03.03"/>
      <sheetName val="U-5.03.02"/>
      <sheetName val="U-5.03.01"/>
      <sheetName val="U-5.02.15"/>
      <sheetName val="U-5.02.14"/>
      <sheetName val="U-5.02.13"/>
      <sheetName val="U-5.02.12"/>
      <sheetName val="U-5.02.11"/>
      <sheetName val="U-5.02.10"/>
      <sheetName val="U-5.02.09"/>
      <sheetName val="U-5.02.08"/>
      <sheetName val="U-5.02.07"/>
      <sheetName val="U-5.02.06"/>
      <sheetName val="U-5.02.05"/>
      <sheetName val="U-5.02.04"/>
      <sheetName val="U-5.02.03"/>
      <sheetName val="U-5.02.02"/>
      <sheetName val="U-5.02.01"/>
      <sheetName val="U-5.01.15"/>
      <sheetName val="U-5.01.14"/>
      <sheetName val="U-5.01.13"/>
      <sheetName val="U-5.01.12"/>
      <sheetName val="U-5.01.11"/>
      <sheetName val="U-5.01.10"/>
      <sheetName val="U-5.01.09"/>
      <sheetName val="U-5.01.08"/>
      <sheetName val="U-5.01.07"/>
      <sheetName val="U-5.01.06"/>
      <sheetName val="U-5.01.05"/>
      <sheetName val="U-5.01.04"/>
      <sheetName val="U-5.01.03"/>
      <sheetName val="U-5.01.02"/>
      <sheetName val="U-5.01.01"/>
      <sheetName val="U-4.06.14"/>
      <sheetName val="U-4.06.13"/>
      <sheetName val="U-4.06.12"/>
      <sheetName val="U-4.06.11"/>
      <sheetName val="U-4.06.10"/>
      <sheetName val="U-4.06.09"/>
      <sheetName val="U-4.06.08"/>
      <sheetName val="U-4.06.07"/>
      <sheetName val="U-4.06.06"/>
      <sheetName val="U-4.06.05"/>
      <sheetName val="U-4.06.04"/>
      <sheetName val="U-4.06.03"/>
      <sheetName val="U-4.06.02"/>
      <sheetName val="U-4.06.01"/>
      <sheetName val="U-4.05.19"/>
      <sheetName val="U-4.05.18"/>
      <sheetName val="U-4.05.17"/>
      <sheetName val="U-4.05.16"/>
      <sheetName val="U-4.05.15"/>
      <sheetName val="U-4.05.14"/>
      <sheetName val="U-4.05.13"/>
      <sheetName val="U-4.05.12"/>
      <sheetName val="U-4.05.11"/>
      <sheetName val="U-4.05.10"/>
      <sheetName val="U-4.05.09"/>
      <sheetName val="U-4.05.08"/>
      <sheetName val="U-4.05.07"/>
      <sheetName val="U-4.05.06"/>
      <sheetName val="U-4.05.05"/>
      <sheetName val="U-4.05.04"/>
      <sheetName val="U-4.05.03"/>
      <sheetName val="U-4.05.02"/>
      <sheetName val="U-4.05.01"/>
      <sheetName val="U-4.04.13"/>
      <sheetName val="U-4.04.12"/>
      <sheetName val="U-4.04.11"/>
      <sheetName val="U-4.04.10"/>
      <sheetName val="U-4.04.09"/>
      <sheetName val="U-4.04.08"/>
      <sheetName val="U-4.04.07"/>
      <sheetName val="U-4.04.06"/>
      <sheetName val="U-4.04.05"/>
      <sheetName val="U-4.04.04"/>
      <sheetName val="U-4.04.03"/>
      <sheetName val="U-4.04.02"/>
      <sheetName val="U-4.04.01"/>
      <sheetName val="U-4.03.16"/>
      <sheetName val="U-4.03.15"/>
      <sheetName val="U-4.03.14"/>
      <sheetName val="U-4.03.13"/>
      <sheetName val="U-4.03.12"/>
      <sheetName val="U-4.03.11"/>
      <sheetName val="U-4.03.10"/>
      <sheetName val="U-4.03.09"/>
      <sheetName val="U-4.03.08"/>
      <sheetName val="U-4.03.07"/>
      <sheetName val="U-4.03.06"/>
      <sheetName val="U-4.03.05"/>
      <sheetName val="U-4.03.04"/>
      <sheetName val="U-4.03.03"/>
      <sheetName val="U-4.03.02"/>
      <sheetName val="U-4.03.01"/>
      <sheetName val="U-4.02.27"/>
      <sheetName val="U-4.02.26"/>
      <sheetName val="U-4.02.25"/>
      <sheetName val="U-4.02.24"/>
      <sheetName val="U-4.02.23"/>
      <sheetName val="U-4.02.22"/>
      <sheetName val="U-4.02.21"/>
      <sheetName val="U-4.02.20"/>
      <sheetName val="U-4.02.19"/>
      <sheetName val="U-4.02.18"/>
      <sheetName val="U-4.02.17"/>
      <sheetName val="U-4.02.16"/>
      <sheetName val="U-4.02.15"/>
      <sheetName val="U-4.02.14"/>
      <sheetName val="U-4.02.13"/>
      <sheetName val="U-4.02.12"/>
      <sheetName val="U-4.02.11"/>
      <sheetName val="U-4.02.10"/>
      <sheetName val="U-4.02.09"/>
      <sheetName val="U-4.02.08"/>
      <sheetName val="U-4.02.07"/>
      <sheetName val="U-4.02.06"/>
      <sheetName val="U-4.02.05"/>
      <sheetName val="U-4.02.04"/>
      <sheetName val="U-4.02.03"/>
      <sheetName val="U-4.02.02"/>
      <sheetName val="U-4.02.01"/>
      <sheetName val="U-4.01.17"/>
      <sheetName val="U-4.01.16"/>
      <sheetName val="U-4.01.15"/>
      <sheetName val="U-4.01.14"/>
      <sheetName val="U-4.01.13"/>
      <sheetName val="U-4.01.12"/>
      <sheetName val="U-4.01.11"/>
      <sheetName val="U-4.01.10"/>
      <sheetName val="U-4.01.09"/>
      <sheetName val="U-4.01.08"/>
      <sheetName val="U-4.01.07"/>
      <sheetName val="U-4.01.06"/>
      <sheetName val="U-4.01.05"/>
      <sheetName val="U-4.01.04"/>
      <sheetName val="U-4.01.03"/>
      <sheetName val="U-4.01.02"/>
      <sheetName val="U-4.01.01"/>
      <sheetName val="U-3.08.06"/>
      <sheetName val="U-3.08.05"/>
      <sheetName val="U-3.08.04"/>
      <sheetName val="U-3.08.03"/>
      <sheetName val="U-3.08.02"/>
      <sheetName val="U-3.08.01"/>
      <sheetName val="U-3.07.04"/>
      <sheetName val="U-3.07.03"/>
      <sheetName val="U-3.07.02"/>
      <sheetName val="U-3.07.01"/>
      <sheetName val="U-3.06.10"/>
      <sheetName val="U-3.06.09"/>
      <sheetName val="U-3.06.08"/>
      <sheetName val="U-3.06.07"/>
      <sheetName val="U-3.06.06"/>
      <sheetName val="U-3.06.05"/>
      <sheetName val="U-3.06.04"/>
      <sheetName val="U-3.06.03"/>
      <sheetName val="U-3.06.02"/>
      <sheetName val="U-3.06.01"/>
      <sheetName val="U-3.05.05"/>
      <sheetName val="U-3.05.04"/>
      <sheetName val="U-3.05.03"/>
      <sheetName val="U-3.05.02"/>
      <sheetName val="U-3.05.01"/>
      <sheetName val="U-3.04.06"/>
      <sheetName val="U-3.04.05"/>
      <sheetName val="U-3.04.04"/>
      <sheetName val="U-3.04.03"/>
      <sheetName val="U-3.04.02"/>
      <sheetName val="U-3.04.01"/>
      <sheetName val="U-3.03.12"/>
      <sheetName val="U-3.03.11"/>
      <sheetName val="U-3.03.10"/>
      <sheetName val="U-3.03.09"/>
      <sheetName val="U-3.03.08"/>
      <sheetName val="U-3.03.07"/>
      <sheetName val="U-3.03.06"/>
      <sheetName val="U-3.03.05"/>
      <sheetName val="U-3.03.04"/>
      <sheetName val="U-3.03.03"/>
      <sheetName val="U-3.03.02"/>
      <sheetName val="U-3.03.01"/>
      <sheetName val="U-3.02.10"/>
      <sheetName val="U-3.02.09"/>
      <sheetName val="U-3.02.08"/>
      <sheetName val="U-3.02.07"/>
      <sheetName val="U-3.02.06"/>
      <sheetName val="U-3.02.05"/>
      <sheetName val="U-3.02.04"/>
      <sheetName val="U-3.02.03"/>
      <sheetName val="U-3.02.02"/>
      <sheetName val="U-3.02.01"/>
      <sheetName val="U-3.01.07"/>
      <sheetName val="U-3.01.06"/>
      <sheetName val="U-3.01.05"/>
      <sheetName val="U-3.01.04"/>
      <sheetName val="U-3.01.03"/>
      <sheetName val="U-3.01.02"/>
      <sheetName val="U-3.01.01"/>
      <sheetName val="U-2.11.02"/>
      <sheetName val="U-2.11.01"/>
      <sheetName val="U-2.10.06"/>
      <sheetName val="U-2.10.05"/>
      <sheetName val="U-2.10.04"/>
      <sheetName val="U-2.10.03"/>
      <sheetName val="U-2.10.02"/>
      <sheetName val="U-2.10.01"/>
      <sheetName val="U-2.09.06"/>
      <sheetName val="U-2.09.05"/>
      <sheetName val="U-2.09.04"/>
      <sheetName val="U-2.09.03"/>
      <sheetName val="U-2.09.02"/>
      <sheetName val="U-2.09.01"/>
      <sheetName val="U-2.08.02"/>
      <sheetName val="U-2.08.01"/>
      <sheetName val="U-2.07.02"/>
      <sheetName val="U-2.07.01"/>
      <sheetName val="U-2.06.02"/>
      <sheetName val="U-2.06.01"/>
      <sheetName val="U-2.05.02"/>
      <sheetName val="U-2.05.01"/>
      <sheetName val="U-2.04.02"/>
      <sheetName val="U-2.04.01"/>
      <sheetName val="U-2.03.02"/>
      <sheetName val="U-2.03.01"/>
      <sheetName val="U-2.02.02"/>
      <sheetName val="U-2.02.01"/>
      <sheetName val="U-2.01.02"/>
      <sheetName val="U-2.01.01"/>
      <sheetName val="U-1.00.02"/>
      <sheetName val="U-1.00.01"/>
      <sheetName val="nombres"/>
    </sheetNames>
    <sheetDataSet>
      <sheetData sheetId="0" refreshError="1"/>
      <sheetData sheetId="1" refreshError="1"/>
      <sheetData sheetId="2" refreshError="1"/>
      <sheetData sheetId="3" refreshError="1"/>
      <sheetData sheetId="4" refreshError="1"/>
      <sheetData sheetId="5" refreshError="1">
        <row r="3">
          <cell r="A3" t="str">
            <v>COD</v>
          </cell>
          <cell r="B3" t="str">
            <v>ACTIVIDAD</v>
          </cell>
          <cell r="C3" t="str">
            <v>UNIDAD</v>
          </cell>
          <cell r="D3" t="str">
            <v>VR. UNITARIO</v>
          </cell>
        </row>
        <row r="4">
          <cell r="A4" t="str">
            <v>U-1.00.01</v>
          </cell>
          <cell r="B4" t="str">
            <v>Localización y Replanteo</v>
          </cell>
          <cell r="C4" t="str">
            <v>m2</v>
          </cell>
          <cell r="D4">
            <v>748</v>
          </cell>
        </row>
        <row r="5">
          <cell r="A5" t="str">
            <v>U-1.00.02</v>
          </cell>
          <cell r="B5" t="str">
            <v>Desmonte, Descapote y Limpieza</v>
          </cell>
          <cell r="C5" t="str">
            <v>m2</v>
          </cell>
          <cell r="D5">
            <v>2683</v>
          </cell>
        </row>
        <row r="6">
          <cell r="A6" t="str">
            <v>U-2.01.01</v>
          </cell>
          <cell r="B6" t="str">
            <v>Excavación mecánica en material común y disposición del material sobrante</v>
          </cell>
          <cell r="C6" t="str">
            <v>m3</v>
          </cell>
          <cell r="D6">
            <v>19730</v>
          </cell>
        </row>
        <row r="7">
          <cell r="A7" t="str">
            <v>U-2.01.02</v>
          </cell>
          <cell r="B7" t="str">
            <v>Terraplen compensado en Relleno Tipo 3 (Material seleccionado de la excavación)</v>
          </cell>
          <cell r="C7" t="str">
            <v>m3</v>
          </cell>
          <cell r="D7">
            <v>12828</v>
          </cell>
        </row>
        <row r="8">
          <cell r="A8" t="str">
            <v>U-2.02.01</v>
          </cell>
          <cell r="B8" t="str">
            <v>Excavación mecánica en material común y disposición del material sobrante</v>
          </cell>
          <cell r="C8" t="str">
            <v>m3</v>
          </cell>
          <cell r="D8">
            <v>19730</v>
          </cell>
        </row>
        <row r="9">
          <cell r="A9" t="str">
            <v>U-2.02.02</v>
          </cell>
          <cell r="B9" t="str">
            <v>Terraplen compensado en Relleno Tipo 3 (Material seleccionado de la excavación)</v>
          </cell>
          <cell r="C9" t="str">
            <v>m3</v>
          </cell>
          <cell r="D9">
            <v>12828</v>
          </cell>
        </row>
        <row r="10">
          <cell r="A10" t="str">
            <v>U-2.03.01</v>
          </cell>
          <cell r="B10" t="str">
            <v>Excavación mecánica en material común y disposición del material sobrante</v>
          </cell>
          <cell r="C10" t="str">
            <v>m3</v>
          </cell>
          <cell r="D10">
            <v>19730</v>
          </cell>
        </row>
        <row r="11">
          <cell r="A11" t="str">
            <v>U-2.03.02</v>
          </cell>
          <cell r="B11" t="str">
            <v>Terraplen compensado en Relleno Tipo 3 (Material seleccionado de la excavación)</v>
          </cell>
          <cell r="C11" t="str">
            <v>m3</v>
          </cell>
          <cell r="D11">
            <v>12828</v>
          </cell>
        </row>
        <row r="12">
          <cell r="A12" t="str">
            <v>U-2.04.01</v>
          </cell>
          <cell r="B12" t="str">
            <v>Excavación mecánica en material común y disposición del material sobrante</v>
          </cell>
          <cell r="C12" t="str">
            <v>m3</v>
          </cell>
          <cell r="D12">
            <v>19730</v>
          </cell>
        </row>
        <row r="13">
          <cell r="A13" t="str">
            <v>U-2.04.02</v>
          </cell>
          <cell r="B13" t="str">
            <v>Terraplen compensado en Relleno Tipo 3 (Material seleccionado de la excavación)</v>
          </cell>
          <cell r="C13" t="str">
            <v>m3</v>
          </cell>
          <cell r="D13">
            <v>12828</v>
          </cell>
        </row>
        <row r="14">
          <cell r="A14" t="str">
            <v>U-2.05.01</v>
          </cell>
          <cell r="B14" t="str">
            <v>Excavación mecánica en material común y disposición del material sobrante</v>
          </cell>
          <cell r="C14" t="str">
            <v>m3</v>
          </cell>
          <cell r="D14">
            <v>19730</v>
          </cell>
        </row>
        <row r="15">
          <cell r="A15" t="str">
            <v>U-2.05.02</v>
          </cell>
          <cell r="B15" t="str">
            <v>Terraplen compensado en Relleno Tipo 3 (Material seleccionado de la excavación)</v>
          </cell>
          <cell r="C15" t="str">
            <v>m3</v>
          </cell>
          <cell r="D15">
            <v>12828</v>
          </cell>
        </row>
        <row r="16">
          <cell r="A16" t="str">
            <v>U-2.06.01</v>
          </cell>
          <cell r="B16" t="str">
            <v>Excavación mecánica en material común y disposición del material sobrante</v>
          </cell>
          <cell r="C16" t="str">
            <v>m3</v>
          </cell>
          <cell r="D16">
            <v>19730</v>
          </cell>
        </row>
        <row r="17">
          <cell r="A17" t="str">
            <v>U-2.06.02</v>
          </cell>
          <cell r="B17" t="str">
            <v>Terraplen compensado en Relleno Tipo 3 (Material seleccionado de la excavación)</v>
          </cell>
          <cell r="C17" t="str">
            <v>m3</v>
          </cell>
          <cell r="D17">
            <v>12828</v>
          </cell>
        </row>
        <row r="18">
          <cell r="A18" t="str">
            <v>U-2.07.01</v>
          </cell>
          <cell r="B18" t="str">
            <v>Excavación mecánica en material común y disposición del material sobrante</v>
          </cell>
          <cell r="C18" t="str">
            <v>m3</v>
          </cell>
          <cell r="D18">
            <v>19730</v>
          </cell>
        </row>
        <row r="19">
          <cell r="A19" t="str">
            <v>U-2.07.02</v>
          </cell>
          <cell r="B19" t="str">
            <v>Terraplen compensado en Relleno Tipo 3 (Material seleccionado de la excavación)</v>
          </cell>
          <cell r="C19" t="str">
            <v>m3</v>
          </cell>
          <cell r="D19">
            <v>12828</v>
          </cell>
        </row>
        <row r="20">
          <cell r="A20" t="str">
            <v>U-2.08.01</v>
          </cell>
          <cell r="B20" t="str">
            <v>Excavación mecánica en material común y disposición del material sobrante</v>
          </cell>
          <cell r="C20" t="str">
            <v>m3</v>
          </cell>
          <cell r="D20">
            <v>19730</v>
          </cell>
        </row>
        <row r="21">
          <cell r="A21" t="str">
            <v>U-2.08.02</v>
          </cell>
          <cell r="B21" t="str">
            <v>Terraplen compensado en Relleno Tipo 3 (Material seleccionado de la excavación)</v>
          </cell>
          <cell r="C21" t="str">
            <v>m3</v>
          </cell>
          <cell r="D21">
            <v>12828</v>
          </cell>
        </row>
        <row r="22">
          <cell r="A22" t="str">
            <v>U-2.09.01</v>
          </cell>
          <cell r="B22" t="str">
            <v>Excavación mecánica en material común y disposición del material sobrante</v>
          </cell>
          <cell r="C22" t="str">
            <v>m3</v>
          </cell>
          <cell r="D22">
            <v>19730</v>
          </cell>
        </row>
        <row r="23">
          <cell r="A23" t="str">
            <v>U-2.09.02</v>
          </cell>
          <cell r="B23" t="str">
            <v>Suministro y colocación Concreto Clase D (21.0 Mpa; 210 kg/cm2; 3000 PSI) para Cimentación de Cerramiento (Cinta y Dados)</v>
          </cell>
          <cell r="C23" t="str">
            <v>m3</v>
          </cell>
          <cell r="D23">
            <v>463509</v>
          </cell>
        </row>
        <row r="24">
          <cell r="A24" t="str">
            <v>U-2.09.03</v>
          </cell>
          <cell r="B24" t="str">
            <v>Relleno Tipo 2  (Recebo o material de prestamo seleccionado)</v>
          </cell>
          <cell r="C24" t="str">
            <v>m3</v>
          </cell>
          <cell r="D24">
            <v>30014</v>
          </cell>
        </row>
        <row r="25">
          <cell r="A25" t="str">
            <v>U-2.09.04</v>
          </cell>
          <cell r="B25" t="str">
            <v>Cerramiento Perimetral en Malla Eslabonada Calibre 9, 2"x2" (Incluye Postes y Alambre de Púas - 3 hilos)</v>
          </cell>
          <cell r="C25" t="str">
            <v>ml</v>
          </cell>
          <cell r="D25">
            <v>99694</v>
          </cell>
        </row>
        <row r="26">
          <cell r="A26" t="str">
            <v>U-2.09.05</v>
          </cell>
          <cell r="B26" t="str">
            <v>Cerramiento Puerta de Acceso Vehicular y Peatonal</v>
          </cell>
          <cell r="C26" t="str">
            <v>Und</v>
          </cell>
          <cell r="D26">
            <v>1249031</v>
          </cell>
        </row>
        <row r="27">
          <cell r="A27" t="str">
            <v>U-2.09.06</v>
          </cell>
          <cell r="B27" t="str">
            <v>Cerramiento Puerta de Acceso Auxiliar</v>
          </cell>
          <cell r="C27" t="str">
            <v>Und</v>
          </cell>
          <cell r="D27">
            <v>1011114</v>
          </cell>
        </row>
        <row r="28">
          <cell r="A28" t="str">
            <v>U-2.10.01</v>
          </cell>
          <cell r="B28" t="str">
            <v>Excavación mecánica en material común y disposición del material sobrante</v>
          </cell>
          <cell r="C28" t="str">
            <v>m3</v>
          </cell>
          <cell r="D28">
            <v>19730</v>
          </cell>
        </row>
        <row r="29">
          <cell r="A29" t="str">
            <v>U-2.10.02</v>
          </cell>
          <cell r="B29" t="str">
            <v>Suministro y colocación Concreto Clase D (21.0 Mpa; 210 kg/cm2; 3000 PSI) para Cimentación de Cerramiento (Cinta y Dados)</v>
          </cell>
          <cell r="C29" t="str">
            <v>m3</v>
          </cell>
          <cell r="D29">
            <v>463509</v>
          </cell>
        </row>
        <row r="30">
          <cell r="A30" t="str">
            <v>U-2.10.03</v>
          </cell>
          <cell r="B30" t="str">
            <v>Relleno Tipo 2  (Recebo o material de prestamo seleccionado)</v>
          </cell>
          <cell r="C30" t="str">
            <v>m3</v>
          </cell>
          <cell r="D30">
            <v>30014</v>
          </cell>
        </row>
        <row r="31">
          <cell r="A31" t="str">
            <v>U-2.10.04</v>
          </cell>
          <cell r="B31" t="str">
            <v>Cerramiento Perimetral en Malla Eslabonada Calibre 9, 2"x2" (Incluye Postes y Alambre de Púas - 3 hilos)</v>
          </cell>
          <cell r="C31" t="str">
            <v>ml</v>
          </cell>
          <cell r="D31">
            <v>99694</v>
          </cell>
        </row>
        <row r="32">
          <cell r="A32" t="str">
            <v>U-2.10.05</v>
          </cell>
          <cell r="B32" t="str">
            <v>Cerramiento Puerta de Acceso Vehicular y Peatonal 01</v>
          </cell>
          <cell r="C32" t="str">
            <v>Und</v>
          </cell>
          <cell r="D32">
            <v>1249031</v>
          </cell>
        </row>
        <row r="33">
          <cell r="A33" t="str">
            <v>U-2.10.06</v>
          </cell>
          <cell r="B33" t="str">
            <v>Cerramiento Puerta Vehicular 03</v>
          </cell>
          <cell r="C33" t="str">
            <v>Und</v>
          </cell>
          <cell r="D33">
            <v>783985</v>
          </cell>
        </row>
        <row r="34">
          <cell r="A34" t="str">
            <v>U-2.11.01</v>
          </cell>
          <cell r="B34" t="str">
            <v>Demolición de Pavimento Asfáltico (Incluye cargue y retiro de material sobrante)</v>
          </cell>
          <cell r="C34" t="str">
            <v>m2</v>
          </cell>
          <cell r="D34">
            <v>5838</v>
          </cell>
        </row>
        <row r="35">
          <cell r="A35" t="str">
            <v>U-2.11.02</v>
          </cell>
          <cell r="B35" t="str">
            <v>Demolición de Concreto Reforzado e=0.15m placa Manifold de Entrada FOU-MNF (Incluye cargue y retiro de material sobrante)</v>
          </cell>
          <cell r="C35" t="str">
            <v>m2</v>
          </cell>
          <cell r="D35">
            <v>51181</v>
          </cell>
        </row>
        <row r="36">
          <cell r="A36" t="str">
            <v>U-3.01.01</v>
          </cell>
          <cell r="B36" t="str">
            <v>Excavación mecánica en material común y disposición del material sobrante</v>
          </cell>
          <cell r="C36" t="str">
            <v>m3</v>
          </cell>
          <cell r="D36">
            <v>19730</v>
          </cell>
        </row>
        <row r="37">
          <cell r="A37" t="str">
            <v>U-3.01.02</v>
          </cell>
          <cell r="B37" t="str">
            <v>Suministro y colocación Concreto Clase F (14.0 Mpa; 140 kg/cm2; 2000 PSI)</v>
          </cell>
          <cell r="C37" t="str">
            <v>m3</v>
          </cell>
          <cell r="D37">
            <v>381672</v>
          </cell>
        </row>
        <row r="38">
          <cell r="A38" t="str">
            <v>U-3.01.03</v>
          </cell>
          <cell r="B38" t="str">
            <v>Suministro y colocación Concreto Clase D (21.0 Mpa; 210 kg/cm2; 3000 PSI) para Vigas de Amarre</v>
          </cell>
          <cell r="C38" t="str">
            <v>m3</v>
          </cell>
          <cell r="D38">
            <v>465971</v>
          </cell>
        </row>
        <row r="39">
          <cell r="A39" t="str">
            <v>U-3.01.04</v>
          </cell>
          <cell r="B39" t="str">
            <v>Suministro y colocación Mortero de Nivelación (Grouting) tipo SikaGrout 200</v>
          </cell>
          <cell r="C39" t="str">
            <v>lt</v>
          </cell>
          <cell r="D39">
            <v>6082</v>
          </cell>
        </row>
        <row r="40">
          <cell r="A40" t="str">
            <v>U-3.01.05</v>
          </cell>
          <cell r="B40" t="str">
            <v>Varillas Corrugadas Acero A-706; Fy =420 Mpa, 4200 kg/cm2, 60000 PSI</v>
          </cell>
          <cell r="C40" t="str">
            <v>kg</v>
          </cell>
          <cell r="D40">
            <v>2786</v>
          </cell>
        </row>
        <row r="41">
          <cell r="A41" t="str">
            <v>U-3.01.06</v>
          </cell>
          <cell r="B41" t="str">
            <v>Pernos de Anclaje en Acero Calidad SAE 1045</v>
          </cell>
          <cell r="C41" t="str">
            <v>kg</v>
          </cell>
          <cell r="D41">
            <v>15447</v>
          </cell>
        </row>
        <row r="42">
          <cell r="A42" t="str">
            <v>U-3.01.07</v>
          </cell>
          <cell r="B42" t="str">
            <v xml:space="preserve">Juntas de Dilatación con material llenante Tipo Sika Rod y sellante Sikaflex 1CSL </v>
          </cell>
          <cell r="C42" t="str">
            <v>ml</v>
          </cell>
          <cell r="D42">
            <v>19710</v>
          </cell>
        </row>
        <row r="43">
          <cell r="A43" t="str">
            <v>U-3.02.01</v>
          </cell>
          <cell r="B43" t="str">
            <v>Excavación mecánica en material común y disposición del material sobrante</v>
          </cell>
          <cell r="C43" t="str">
            <v>m3</v>
          </cell>
          <cell r="D43">
            <v>19730</v>
          </cell>
        </row>
        <row r="44">
          <cell r="A44" t="str">
            <v>U-3.02.02</v>
          </cell>
          <cell r="B44" t="str">
            <v>Relleno Tipo 1  (Arena lavada o arena lavada + gravilla)</v>
          </cell>
          <cell r="C44" t="str">
            <v>m3</v>
          </cell>
          <cell r="D44">
            <v>56014</v>
          </cell>
        </row>
        <row r="45">
          <cell r="A45" t="str">
            <v>U-3.02.03</v>
          </cell>
          <cell r="B45" t="str">
            <v>Relleno Tipo 2  (Recebo o material de prestamo seleccionado)</v>
          </cell>
          <cell r="C45" t="str">
            <v>m3</v>
          </cell>
          <cell r="D45">
            <v>30014</v>
          </cell>
        </row>
        <row r="46">
          <cell r="A46" t="str">
            <v>U-3.02.04</v>
          </cell>
          <cell r="B46" t="str">
            <v>Suministro y colocación Concreto Clase F (14.0 Mpa; 140 kg/cm2; 2000 PSI)</v>
          </cell>
          <cell r="C46" t="str">
            <v>m3</v>
          </cell>
          <cell r="D46">
            <v>381672</v>
          </cell>
        </row>
        <row r="47">
          <cell r="A47" t="str">
            <v>U-3.02.05</v>
          </cell>
          <cell r="B47" t="str">
            <v>Suministro y colocación Concreto Clase D (21.0 Mpa; 210 kg/cm2; 3000 PSI) para cimientos</v>
          </cell>
          <cell r="C47" t="str">
            <v>m3</v>
          </cell>
          <cell r="D47">
            <v>465971</v>
          </cell>
        </row>
        <row r="48">
          <cell r="A48" t="str">
            <v>U-3.02.06</v>
          </cell>
          <cell r="B48" t="str">
            <v>Varillas Corrugadas Acero A-706; Fy =420 Mpa, 4200 kg/cm2, 60000 PSI</v>
          </cell>
          <cell r="C48" t="str">
            <v>kg</v>
          </cell>
          <cell r="D48">
            <v>2786</v>
          </cell>
        </row>
        <row r="49">
          <cell r="A49" t="str">
            <v>U-3.02.07</v>
          </cell>
          <cell r="B49" t="str">
            <v>Geomembrana tipo PERMAFLEX HR-500</v>
          </cell>
          <cell r="C49" t="str">
            <v>m2</v>
          </cell>
          <cell r="D49">
            <v>13717</v>
          </cell>
        </row>
        <row r="50">
          <cell r="A50" t="str">
            <v>U-3.02.08</v>
          </cell>
          <cell r="B50" t="str">
            <v>Geotextil Tipo NT-1800</v>
          </cell>
          <cell r="C50" t="str">
            <v>m2</v>
          </cell>
          <cell r="D50">
            <v>3505</v>
          </cell>
        </row>
        <row r="51">
          <cell r="A51" t="str">
            <v>U-3.02.09</v>
          </cell>
          <cell r="B51" t="str">
            <v>Cinta SIKA PVC Tipo 0-22</v>
          </cell>
          <cell r="C51" t="str">
            <v>ml</v>
          </cell>
          <cell r="D51">
            <v>28417</v>
          </cell>
        </row>
        <row r="52">
          <cell r="A52" t="str">
            <v>U-3.02.10</v>
          </cell>
          <cell r="B52" t="str">
            <v>Tubo D=2" Metálico Galvanizado</v>
          </cell>
          <cell r="C52" t="str">
            <v>ml</v>
          </cell>
          <cell r="D52">
            <v>17236</v>
          </cell>
        </row>
        <row r="53">
          <cell r="A53" t="str">
            <v>U-3.03.01</v>
          </cell>
          <cell r="B53" t="str">
            <v>Excavación a máquina (anillo cimiento) y disposición del material sobrante</v>
          </cell>
          <cell r="C53" t="str">
            <v>m3</v>
          </cell>
          <cell r="D53">
            <v>19730</v>
          </cell>
        </row>
        <row r="54">
          <cell r="A54" t="str">
            <v>U-3.03.02</v>
          </cell>
          <cell r="B54" t="str">
            <v>Relleno Tipo 1  (Arena lavada o arena lavada + gravilla)</v>
          </cell>
          <cell r="C54" t="str">
            <v>m3</v>
          </cell>
          <cell r="D54">
            <v>56014</v>
          </cell>
        </row>
        <row r="55">
          <cell r="A55" t="str">
            <v>U-3.03.03</v>
          </cell>
          <cell r="B55" t="str">
            <v>Relleno Tipo 2  (Recebo o material de prestamo seleccionado)</v>
          </cell>
          <cell r="C55" t="str">
            <v>m3</v>
          </cell>
          <cell r="D55">
            <v>30014</v>
          </cell>
        </row>
        <row r="56">
          <cell r="A56" t="str">
            <v>U-3.03.04</v>
          </cell>
          <cell r="B56" t="str">
            <v>Suministro y colocación Concreto Clase F (14.0 Mpa; 140 kg/cm2; 2000 PSI)</v>
          </cell>
          <cell r="C56" t="str">
            <v>m3</v>
          </cell>
          <cell r="D56">
            <v>381672</v>
          </cell>
        </row>
        <row r="57">
          <cell r="A57" t="str">
            <v>U-3.03.05</v>
          </cell>
          <cell r="B57" t="str">
            <v>Suministro y colocación Concreto Clase D (21.0 Mpa; 210 kg/cm2; 3000 PSI) para cimientos</v>
          </cell>
          <cell r="C57" t="str">
            <v>m3</v>
          </cell>
          <cell r="D57">
            <v>465971</v>
          </cell>
        </row>
        <row r="58">
          <cell r="A58" t="str">
            <v>U-3.03.06</v>
          </cell>
          <cell r="B58" t="str">
            <v>Varillas Corrugadas Acero A-706; Fy =420 Mpa, 4200 kg/cm2, 60000 PSI</v>
          </cell>
          <cell r="C58" t="str">
            <v>kg</v>
          </cell>
          <cell r="D58">
            <v>2786</v>
          </cell>
        </row>
        <row r="59">
          <cell r="A59" t="str">
            <v>U-3.03.07</v>
          </cell>
          <cell r="B59" t="str">
            <v>Malla Electrosoldada Acero G-485; Fy =550 Mpa, 5500 kg/cm2, 4mmX150mmX150mm</v>
          </cell>
          <cell r="C59" t="str">
            <v>kg</v>
          </cell>
          <cell r="D59">
            <v>2997</v>
          </cell>
        </row>
        <row r="60">
          <cell r="A60" t="str">
            <v>U-3.03.08</v>
          </cell>
          <cell r="B60" t="str">
            <v>Geomembrana tipo PERMAFLEX HR-500</v>
          </cell>
          <cell r="C60" t="str">
            <v>m2</v>
          </cell>
          <cell r="D60">
            <v>13717</v>
          </cell>
        </row>
        <row r="61">
          <cell r="A61" t="str">
            <v>U-3.03.09</v>
          </cell>
          <cell r="B61" t="str">
            <v>Geotextil Tipo NT-1800</v>
          </cell>
          <cell r="C61" t="str">
            <v>m2</v>
          </cell>
          <cell r="D61">
            <v>3505</v>
          </cell>
        </row>
        <row r="62">
          <cell r="A62" t="str">
            <v>U-3.03.10</v>
          </cell>
          <cell r="B62" t="str">
            <v>Cinta SIKA PVC Tipo 0-22</v>
          </cell>
          <cell r="C62" t="str">
            <v>ml</v>
          </cell>
          <cell r="D62">
            <v>28417</v>
          </cell>
        </row>
        <row r="63">
          <cell r="A63" t="str">
            <v>U-3.03.11</v>
          </cell>
          <cell r="B63" t="str">
            <v>Tubo D=2" Metálico Galvanizado</v>
          </cell>
          <cell r="C63" t="str">
            <v>ml</v>
          </cell>
          <cell r="D63">
            <v>17236</v>
          </cell>
        </row>
        <row r="64">
          <cell r="A64" t="str">
            <v>U-3.03.12</v>
          </cell>
          <cell r="B64" t="str">
            <v>Tubo D=4" Metálico Galvanizado</v>
          </cell>
          <cell r="C64" t="str">
            <v>ml</v>
          </cell>
          <cell r="D64">
            <v>41083</v>
          </cell>
        </row>
        <row r="65">
          <cell r="A65" t="str">
            <v>U-3.04.01</v>
          </cell>
          <cell r="B65" t="str">
            <v>Excavación a máquina (anillo cimiento) y disposición del material sobrante</v>
          </cell>
          <cell r="C65" t="str">
            <v>m3</v>
          </cell>
          <cell r="D65">
            <v>19730</v>
          </cell>
        </row>
        <row r="66">
          <cell r="A66" t="str">
            <v>U-3.04.02</v>
          </cell>
          <cell r="B66" t="str">
            <v>Relleno Tipo 1  (Arena lavada o arena lavada + gravilla)</v>
          </cell>
          <cell r="C66" t="str">
            <v>m3</v>
          </cell>
          <cell r="D66">
            <v>56014</v>
          </cell>
        </row>
        <row r="67">
          <cell r="A67" t="str">
            <v>U-3.04.03</v>
          </cell>
          <cell r="B67" t="str">
            <v>Relleno Tipo 2  (Recebo o material de prestamo seleccionado)</v>
          </cell>
          <cell r="C67" t="str">
            <v>m3</v>
          </cell>
          <cell r="D67">
            <v>30014</v>
          </cell>
        </row>
        <row r="68">
          <cell r="A68" t="str">
            <v>U-3.04.04</v>
          </cell>
          <cell r="B68" t="str">
            <v>Suministro y colocación Concreto Clase F (14.0 Mpa; 140 kg/cm2; 2000 PSI)</v>
          </cell>
          <cell r="C68" t="str">
            <v>m3</v>
          </cell>
          <cell r="D68">
            <v>381672</v>
          </cell>
        </row>
        <row r="69">
          <cell r="A69" t="str">
            <v>U-3.04.05</v>
          </cell>
          <cell r="B69" t="str">
            <v>Suministro y colocación Concreto Clase D (21.0 Mpa; 210 kg/cm2; 3000 PSI) para cimientos</v>
          </cell>
          <cell r="C69" t="str">
            <v>m3</v>
          </cell>
          <cell r="D69">
            <v>465971</v>
          </cell>
        </row>
        <row r="70">
          <cell r="A70" t="str">
            <v>U-3.04.06</v>
          </cell>
          <cell r="B70" t="str">
            <v>Varillas Corrugadas Acero A-706; Fy =420 Mpa, 4200 kg/cm2, 60000 PSI</v>
          </cell>
          <cell r="C70" t="str">
            <v>kg</v>
          </cell>
          <cell r="D70">
            <v>2786</v>
          </cell>
        </row>
        <row r="71">
          <cell r="A71" t="str">
            <v>U-3.05.01</v>
          </cell>
          <cell r="B71" t="str">
            <v>Excavación mecánica en material común y disposición del material sobrante</v>
          </cell>
          <cell r="C71" t="str">
            <v>m3</v>
          </cell>
          <cell r="D71">
            <v>19730</v>
          </cell>
        </row>
        <row r="72">
          <cell r="A72" t="str">
            <v>U-3.05.02</v>
          </cell>
          <cell r="B72" t="str">
            <v>Relleno Tipo 2  (Recebo o material de prestamo seleccionado)</v>
          </cell>
          <cell r="C72" t="str">
            <v>m3</v>
          </cell>
          <cell r="D72">
            <v>30014</v>
          </cell>
        </row>
        <row r="73">
          <cell r="A73" t="str">
            <v>U-3.05.03</v>
          </cell>
          <cell r="B73" t="str">
            <v>Suministro y colocación Concreto Clase F (14.0 Mpa; 140 kg/cm2; 2000 PSI)</v>
          </cell>
          <cell r="C73" t="str">
            <v>m3</v>
          </cell>
          <cell r="D73">
            <v>381672</v>
          </cell>
        </row>
        <row r="74">
          <cell r="A74" t="str">
            <v>U-3.05.04</v>
          </cell>
          <cell r="B74" t="str">
            <v>Suministro y colocación Concreto Clase D (21.0 Mpa; 210 kg/cm2; 3000 PSI) para cimientos</v>
          </cell>
          <cell r="C74" t="str">
            <v>m3</v>
          </cell>
          <cell r="D74">
            <v>465971</v>
          </cell>
        </row>
        <row r="75">
          <cell r="A75" t="str">
            <v>U-3.05.05</v>
          </cell>
          <cell r="B75" t="str">
            <v>Malla Electrosoldada Acero G-485; Fy =550 Mpa, 5500 kg/cm2, 4mmX150mmX150mm</v>
          </cell>
          <cell r="C75" t="str">
            <v>kg</v>
          </cell>
          <cell r="D75">
            <v>2997</v>
          </cell>
        </row>
        <row r="76">
          <cell r="A76" t="str">
            <v>U-3.06.01</v>
          </cell>
          <cell r="B76" t="str">
            <v>Suministro y colocación Concreto Clase F (14.0 Mpa; 140 kg/cm2; 2000 PSI) - FOU-T-PAY-C</v>
          </cell>
          <cell r="C76" t="str">
            <v>m3</v>
          </cell>
          <cell r="D76">
            <v>366713</v>
          </cell>
        </row>
        <row r="77">
          <cell r="A77" t="str">
            <v>U-3.06.02</v>
          </cell>
          <cell r="B77" t="str">
            <v>Suministro y colocación Concreto Clase D (21.0 Mpa; 210 kg/cm2; 3000 PSI) para cimientos - FOU-T-PAY-C</v>
          </cell>
          <cell r="C77" t="str">
            <v>m3</v>
          </cell>
          <cell r="D77">
            <v>447657</v>
          </cell>
        </row>
        <row r="78">
          <cell r="A78" t="str">
            <v>U-3.06.03</v>
          </cell>
          <cell r="B78" t="str">
            <v>Suministro y colocación Mortero de Nivelación (Grouting) tipo SikaGrout 200 - FOU-T-PAY-C</v>
          </cell>
          <cell r="C78" t="str">
            <v>lt</v>
          </cell>
          <cell r="D78">
            <v>6082</v>
          </cell>
        </row>
        <row r="79">
          <cell r="A79" t="str">
            <v>U-3.06.04</v>
          </cell>
          <cell r="B79" t="str">
            <v>Varillas Corrugadas Acero A-706; Fy =420 Mpa, 4200 kg/cm2, 60000 PSI - FOU-T-PAY-C</v>
          </cell>
          <cell r="C79" t="str">
            <v>kg</v>
          </cell>
          <cell r="D79">
            <v>2786</v>
          </cell>
        </row>
        <row r="80">
          <cell r="A80" t="str">
            <v>U-3.06.05</v>
          </cell>
          <cell r="B80" t="str">
            <v>Pernos de Anclaje en Acero Calidad SAE 1045 - FOU-T-PAY-C</v>
          </cell>
          <cell r="C80" t="str">
            <v>kg</v>
          </cell>
          <cell r="D80">
            <v>15447</v>
          </cell>
        </row>
        <row r="81">
          <cell r="A81" t="str">
            <v>U-3.06.06</v>
          </cell>
          <cell r="B81" t="str">
            <v>Suministro y colocación Concreto Clase F (14.0 Mpa; 140 kg/cm2; 2000 PSI) - FOU-T-PAY-A/B FOU-T-PAW A/B/C/D</v>
          </cell>
          <cell r="C81" t="str">
            <v>m3</v>
          </cell>
          <cell r="D81">
            <v>381672</v>
          </cell>
        </row>
        <row r="82">
          <cell r="A82" t="str">
            <v>U-3.06.07</v>
          </cell>
          <cell r="B82" t="str">
            <v>Suministro y colocación Concreto Clase D (21.0 Mpa; 210 kg/cm2; 3000 PSI) para cimientos - FOU-T-PAY-A/B FOU-T-PAW A/B/C/D</v>
          </cell>
          <cell r="C82" t="str">
            <v>m3</v>
          </cell>
          <cell r="D82">
            <v>465971</v>
          </cell>
        </row>
        <row r="83">
          <cell r="A83" t="str">
            <v>U-3.06.08</v>
          </cell>
          <cell r="B83" t="str">
            <v>Suministro y colocación Mortero de Nivelación (Grouting) tipo SikaGrout 200 - FOU-T-PAY-A/B FOU-T-PAW A/B/C/D</v>
          </cell>
          <cell r="C83" t="str">
            <v>lt</v>
          </cell>
          <cell r="D83">
            <v>6082</v>
          </cell>
        </row>
        <row r="84">
          <cell r="A84" t="str">
            <v>U-3.06.09</v>
          </cell>
          <cell r="B84" t="str">
            <v>Varillas Corrugadas Acero A-706; Fy =420 Mpa, 4200 kg/cm2, 60000 PSI - FOU-T-PAY-A/B FOU-T-PAW A/B/C/D</v>
          </cell>
          <cell r="C84" t="str">
            <v>kg</v>
          </cell>
          <cell r="D84">
            <v>2786</v>
          </cell>
        </row>
        <row r="85">
          <cell r="A85" t="str">
            <v>U-3.06.10</v>
          </cell>
          <cell r="B85" t="str">
            <v>Pernos de Anclaje en Acero Calidad SAE 1045 - FOU-T-PAY-A/B FOU-T-PAW A/B/C/D</v>
          </cell>
          <cell r="C85" t="str">
            <v>kg</v>
          </cell>
          <cell r="D85">
            <v>15447</v>
          </cell>
        </row>
        <row r="86">
          <cell r="A86" t="str">
            <v>U-3.07.01</v>
          </cell>
          <cell r="B86" t="str">
            <v>Suministro y colocación Concreto Clase F (14.0 Mpa; 140 kg/cm2; 2000 PSI)</v>
          </cell>
          <cell r="C86" t="str">
            <v>m3</v>
          </cell>
          <cell r="D86">
            <v>381672</v>
          </cell>
        </row>
        <row r="87">
          <cell r="A87" t="str">
            <v>U-3.07.02</v>
          </cell>
          <cell r="B87" t="str">
            <v>Suministro y colocación Concreto Clase D (21.0 Mpa; 210 kg/cm2; 3000 PSI) para cimientos</v>
          </cell>
          <cell r="C87" t="str">
            <v>m3</v>
          </cell>
          <cell r="D87">
            <v>465971</v>
          </cell>
        </row>
        <row r="88">
          <cell r="A88" t="str">
            <v>U-3.07.03</v>
          </cell>
          <cell r="B88" t="str">
            <v>Suministro y colocación Mortero de Nivelación (Grouting) tipo SikaGrout 200</v>
          </cell>
          <cell r="C88" t="str">
            <v>lt</v>
          </cell>
          <cell r="D88">
            <v>6082</v>
          </cell>
        </row>
        <row r="89">
          <cell r="A89" t="str">
            <v>U-3.07.04</v>
          </cell>
          <cell r="B89" t="str">
            <v>Pernos de Anclaje en Acero Calidad SAE 1045</v>
          </cell>
          <cell r="C89" t="str">
            <v>kg</v>
          </cell>
          <cell r="D89">
            <v>15447</v>
          </cell>
        </row>
        <row r="90">
          <cell r="A90" t="str">
            <v>U-3.08.01</v>
          </cell>
          <cell r="B90" t="str">
            <v>Excavación mecánica en material común y disposición del material sobrante</v>
          </cell>
          <cell r="C90" t="str">
            <v>m3</v>
          </cell>
          <cell r="D90">
            <v>19730</v>
          </cell>
        </row>
        <row r="91">
          <cell r="A91" t="str">
            <v>U-3.08.02</v>
          </cell>
          <cell r="B91" t="str">
            <v>Relleno Tipo 2  (Recebo o material de prestamo seleccionado)</v>
          </cell>
          <cell r="C91" t="str">
            <v>m3</v>
          </cell>
          <cell r="D91">
            <v>30014</v>
          </cell>
        </row>
        <row r="92">
          <cell r="A92" t="str">
            <v>U-3.08.03</v>
          </cell>
          <cell r="B92" t="str">
            <v>Relleno Tipo 3  (Material seleccionado de la excavación)</v>
          </cell>
          <cell r="C92" t="str">
            <v>m3</v>
          </cell>
          <cell r="D92">
            <v>12074</v>
          </cell>
        </row>
        <row r="93">
          <cell r="A93" t="str">
            <v>U-3.08.04</v>
          </cell>
          <cell r="B93" t="str">
            <v>Suministro y colocación Concreto Clase F (14.0 Mpa; 140 kg/cm2; 2000 PSI)</v>
          </cell>
          <cell r="C93" t="str">
            <v>m3</v>
          </cell>
          <cell r="D93">
            <v>381672</v>
          </cell>
        </row>
        <row r="94">
          <cell r="A94" t="str">
            <v>U-3.08.05</v>
          </cell>
          <cell r="B94" t="str">
            <v>Suministro y colocación Concreto Clase D (21.0 Mpa; 210 kg/cm2; 3000 PSI) para cimientos</v>
          </cell>
          <cell r="C94" t="str">
            <v>m3</v>
          </cell>
          <cell r="D94">
            <v>463396</v>
          </cell>
        </row>
        <row r="95">
          <cell r="A95" t="str">
            <v>U-3.08.06</v>
          </cell>
          <cell r="B95" t="str">
            <v>Varillas Corrugadas Acero A-706; Fy =420 Mpa, 4200 kg/cm2, 60000 PSI</v>
          </cell>
          <cell r="C95" t="str">
            <v>kg</v>
          </cell>
          <cell r="D95">
            <v>2786</v>
          </cell>
        </row>
        <row r="96">
          <cell r="A96" t="str">
            <v>U-4.01.01</v>
          </cell>
          <cell r="B96" t="str">
            <v>Excavación manual en material común y disposición del material sobrante</v>
          </cell>
          <cell r="C96" t="str">
            <v>m3</v>
          </cell>
          <cell r="D96">
            <v>27274</v>
          </cell>
        </row>
        <row r="97">
          <cell r="A97" t="str">
            <v>U-4.01.02</v>
          </cell>
          <cell r="B97" t="str">
            <v>Relleno Tipo 3  (Material seleccionado de la excavación)</v>
          </cell>
          <cell r="C97" t="str">
            <v>m3</v>
          </cell>
          <cell r="D97">
            <v>12074</v>
          </cell>
        </row>
        <row r="98">
          <cell r="A98" t="str">
            <v>U-4.01.03</v>
          </cell>
          <cell r="B98" t="str">
            <v>Relleno Tipo 4  (Subbase Granular)</v>
          </cell>
          <cell r="C98" t="str">
            <v>m3</v>
          </cell>
          <cell r="D98">
            <v>35214</v>
          </cell>
        </row>
        <row r="99">
          <cell r="A99" t="str">
            <v>U-4.01.04</v>
          </cell>
          <cell r="B99" t="str">
            <v>Suministro y colocación Concreto Clase G (14.0 Mpa; 140 kg/cm2; 2000 PSI Ciclópeo) para Muros Interiores</v>
          </cell>
          <cell r="C99" t="str">
            <v>m3</v>
          </cell>
          <cell r="D99">
            <v>276317</v>
          </cell>
        </row>
        <row r="100">
          <cell r="A100" t="str">
            <v>U-4.01.05</v>
          </cell>
          <cell r="B100" t="str">
            <v>Suministro y colocación Concreto Clase F (14.0 Mpa; 140 kg/cm2; 2000 PSI para solado)</v>
          </cell>
          <cell r="C100" t="str">
            <v>m3</v>
          </cell>
          <cell r="D100">
            <v>381672</v>
          </cell>
        </row>
        <row r="101">
          <cell r="A101" t="str">
            <v>U-4.01.06</v>
          </cell>
          <cell r="B101" t="str">
            <v>Suministro y colocación Concreto Clase D (21.0 Mpa; 210 kg/cm2; 3000 PSI) para cimientos</v>
          </cell>
          <cell r="C101" t="str">
            <v>m3</v>
          </cell>
          <cell r="D101">
            <v>463396</v>
          </cell>
        </row>
        <row r="102">
          <cell r="A102" t="str">
            <v>U-4.01.07</v>
          </cell>
          <cell r="B102" t="str">
            <v>Suministro y colocación Concreto Clase D (21.0 Mpa; 210 kg/cm2; 3000 PSI) para Placa de Piso</v>
          </cell>
          <cell r="C102" t="str">
            <v>m3</v>
          </cell>
          <cell r="D102">
            <v>467122</v>
          </cell>
        </row>
        <row r="103">
          <cell r="A103" t="str">
            <v>U-4.01.08</v>
          </cell>
          <cell r="B103" t="str">
            <v>Suministro y colocación Concreto Clase D (21.0 Mpa; 210 kg/cm2; 3000 PSI) para Vigas de Amarre Muros Internos</v>
          </cell>
          <cell r="C103" t="str">
            <v>m3</v>
          </cell>
          <cell r="D103">
            <v>452229</v>
          </cell>
        </row>
        <row r="104">
          <cell r="A104" t="str">
            <v>U-4.01.09</v>
          </cell>
          <cell r="B104" t="str">
            <v>Suministro y colocación Concreto Clase D (21.0 Mpa; 210 kg/cm2; 3000 PSI) para Columnas</v>
          </cell>
          <cell r="C104" t="str">
            <v>m3</v>
          </cell>
          <cell r="D104">
            <v>510559</v>
          </cell>
        </row>
        <row r="105">
          <cell r="A105" t="str">
            <v>U-4.01.10</v>
          </cell>
          <cell r="B105" t="str">
            <v>Suministro y colocación Concreto Clase D (21.0 Mpa; 210 kg/cm2; 3000 PSI) para Vigas Aéreas (incluye placa de voladizo)</v>
          </cell>
          <cell r="C105" t="str">
            <v>m3</v>
          </cell>
          <cell r="D105">
            <v>491091</v>
          </cell>
        </row>
        <row r="106">
          <cell r="A106" t="str">
            <v>U-4.01.11</v>
          </cell>
          <cell r="B106" t="str">
            <v>Suministro y colocación Concreto Clase D (21.0 Mpa; 210 kg/cm2; 3000 PSI) para Riostras</v>
          </cell>
          <cell r="C106" t="str">
            <v>m3</v>
          </cell>
          <cell r="D106">
            <v>491091</v>
          </cell>
        </row>
        <row r="107">
          <cell r="A107" t="str">
            <v>U-4.01.12</v>
          </cell>
          <cell r="B107" t="str">
            <v>Suministro y colocación Concreto Clase D (21.0 Mpa; 210 kg/cm2; 3000 PSI) para Placa Aligerada de Cubierta</v>
          </cell>
          <cell r="C107" t="str">
            <v>m2</v>
          </cell>
          <cell r="D107">
            <v>74335</v>
          </cell>
        </row>
        <row r="108">
          <cell r="A108" t="str">
            <v>U-4.01.13</v>
          </cell>
          <cell r="B108" t="str">
            <v>Varillas Corrugadas Acero A-706; Fy =420 Mpa, 4200 kg/cm2, 60000 PSI</v>
          </cell>
          <cell r="C108" t="str">
            <v>kg</v>
          </cell>
          <cell r="D108">
            <v>2786</v>
          </cell>
        </row>
        <row r="109">
          <cell r="A109" t="str">
            <v>U-4.01.14</v>
          </cell>
          <cell r="B109" t="str">
            <v>Malla Electrosoldada Acero G-485; Fy =550 Mpa, 5500 kg/cm2, 4mmX150mmX150mm</v>
          </cell>
          <cell r="C109" t="str">
            <v>kg</v>
          </cell>
          <cell r="D109">
            <v>2997</v>
          </cell>
        </row>
        <row r="110">
          <cell r="A110" t="str">
            <v>U-4.01.15</v>
          </cell>
          <cell r="B110" t="str">
            <v>Malla Electrosoldada Acero G-485; Fy =550 Mpa, 5500 kg/cm2, 6mmX250mmX250mm</v>
          </cell>
          <cell r="C110" t="str">
            <v>kg</v>
          </cell>
          <cell r="D110">
            <v>2997</v>
          </cell>
        </row>
        <row r="111">
          <cell r="A111" t="str">
            <v>U-4.01.16</v>
          </cell>
          <cell r="B111" t="str">
            <v>Impermeabilización de Cubierta en Membrana PVC Termosoldada tipo SikaPlan 12GCO (12mm)</v>
          </cell>
          <cell r="C111" t="str">
            <v>m2</v>
          </cell>
          <cell r="D111">
            <v>42996</v>
          </cell>
        </row>
        <row r="112">
          <cell r="A112" t="str">
            <v>U-4.01.17</v>
          </cell>
          <cell r="B112" t="str">
            <v>Andén en Concreto Simple Clase E (17.5 Mpa; 175 kg/cm2; 2500 PSI), e=0.15m</v>
          </cell>
          <cell r="C112" t="str">
            <v>m2</v>
          </cell>
          <cell r="D112">
            <v>52299</v>
          </cell>
        </row>
        <row r="113">
          <cell r="A113" t="str">
            <v>U-4.02.01</v>
          </cell>
          <cell r="B113" t="str">
            <v>Muro en Ladrillo Prensado Liviano 24,5 x 12 x 5,5 color terracota Santa Fe e = 0,12m</v>
          </cell>
          <cell r="C113" t="str">
            <v>m2</v>
          </cell>
          <cell r="D113">
            <v>56013</v>
          </cell>
        </row>
        <row r="114">
          <cell r="A114" t="str">
            <v>U-4.02.02</v>
          </cell>
          <cell r="B114" t="str">
            <v>Muro Perimetral de Cubierta en Ladrillo Prensado Liviano 24,5 x 12 x 7 color terracota Sante Fe e = 0,055m</v>
          </cell>
          <cell r="C114" t="str">
            <v>m2</v>
          </cell>
          <cell r="D114">
            <v>56013</v>
          </cell>
        </row>
        <row r="115">
          <cell r="A115" t="str">
            <v>U-4.02.03</v>
          </cell>
          <cell r="B115" t="str">
            <v>Piso en Baldosa Tipo BH5 de 0.30x0.30m ALFA (para Laboratorio, Cafetería y Baños)</v>
          </cell>
          <cell r="C115" t="str">
            <v>m2</v>
          </cell>
          <cell r="D115">
            <v>45643</v>
          </cell>
        </row>
        <row r="116">
          <cell r="A116" t="str">
            <v>U-4.02.04</v>
          </cell>
          <cell r="B116" t="str">
            <v>Piso en Baldosa para trafico pesado tipo Piedra Cid River Sand ALFA 45 x 45 (para Cuartos de Control, Tableros de Control, Depósito, Lockers y Area de Trabajo 01)</v>
          </cell>
          <cell r="C116" t="str">
            <v>m2</v>
          </cell>
          <cell r="D116">
            <v>41268</v>
          </cell>
        </row>
        <row r="117">
          <cell r="A117" t="str">
            <v>U-4.02.05</v>
          </cell>
          <cell r="B117" t="str">
            <v>Guardaescoba Piedra Cid River Sand ALFA  9 x 45</v>
          </cell>
          <cell r="C117" t="str">
            <v>ml</v>
          </cell>
          <cell r="D117">
            <v>4059</v>
          </cell>
        </row>
        <row r="118">
          <cell r="A118" t="str">
            <v>U-4.02.06</v>
          </cell>
          <cell r="B118" t="str">
            <v xml:space="preserve">Enchape en Baldosa blanca tipo Mediterraneo ALFA 20 x 20 </v>
          </cell>
          <cell r="C118" t="str">
            <v>m2</v>
          </cell>
          <cell r="D118">
            <v>27571</v>
          </cell>
        </row>
        <row r="119">
          <cell r="A119" t="str">
            <v>U-4.02.07</v>
          </cell>
          <cell r="B119" t="str">
            <v>Pañete en mortero 1:5 e=0.02m</v>
          </cell>
          <cell r="C119" t="str">
            <v>m2</v>
          </cell>
          <cell r="D119">
            <v>8977</v>
          </cell>
        </row>
        <row r="120">
          <cell r="A120" t="str">
            <v>U-4.02.08</v>
          </cell>
          <cell r="B120" t="str">
            <v>Estuco y Pintura tipo Viniltex de Pintuco color almendra (3 manos)</v>
          </cell>
          <cell r="C120" t="str">
            <v>m2</v>
          </cell>
          <cell r="D120">
            <v>9879</v>
          </cell>
        </row>
        <row r="121">
          <cell r="A121" t="str">
            <v>U-4.02.09</v>
          </cell>
          <cell r="B121" t="str">
            <v>Ventana tipo V-3 módulo corredizo serie titanio en aluminio anodizado 5030 anolock, con cristal bronce 6mm y alfajia LEH-413 (8cms)</v>
          </cell>
          <cell r="C121" t="str">
            <v>m2</v>
          </cell>
          <cell r="D121">
            <v>360000</v>
          </cell>
        </row>
        <row r="122">
          <cell r="A122" t="str">
            <v>U-4.02.10</v>
          </cell>
          <cell r="B122" t="str">
            <v>Ventana tipo V-4 módulo de cuerpo fijo serie M-338 en aluminio anodizado 5030 anolock, cristal laminado termoacústico polarizado y alfajia LEH-413 (8cms)</v>
          </cell>
          <cell r="C122" t="str">
            <v>m2</v>
          </cell>
          <cell r="D122">
            <v>390000</v>
          </cell>
        </row>
        <row r="123">
          <cell r="A123" t="str">
            <v>U-4.02.11</v>
          </cell>
          <cell r="B123" t="str">
            <v>Ventana tipo V-5 proyectante horizontal serie M-338 en aluminio anodizado 5030 anolock, con cristal bronce 6mm y alfajia LEH-413 (8cms)</v>
          </cell>
          <cell r="C123" t="str">
            <v>m2</v>
          </cell>
          <cell r="D123">
            <v>250000</v>
          </cell>
        </row>
        <row r="124">
          <cell r="A124" t="str">
            <v>U-4.02.12</v>
          </cell>
          <cell r="B124" t="str">
            <v>Puerta Tipo P-3 metálica en lamina cold rolled calibre 18 rellenas de material contra fuego y termo acústico, con barra antipánico y ventanilla, pintura electrostática color anolock.</v>
          </cell>
          <cell r="C124" t="str">
            <v>m2</v>
          </cell>
          <cell r="D124">
            <v>380000</v>
          </cell>
        </row>
        <row r="125">
          <cell r="A125" t="str">
            <v>U-4.02.13</v>
          </cell>
          <cell r="B125" t="str">
            <v>Puerta Tipo P-7 metálica en lamina cold rolled calibre 18, ventanilla 0.30mx0.30m, pintura electrostática color anolock.</v>
          </cell>
          <cell r="C125" t="str">
            <v>m2</v>
          </cell>
          <cell r="D125">
            <v>305000</v>
          </cell>
        </row>
        <row r="126">
          <cell r="A126" t="str">
            <v>U-4.02.14</v>
          </cell>
          <cell r="B126" t="str">
            <v>Puerta Tipo P-8 metálica en lamina cold rolled calibre 18, pintura electrostática color anolock.</v>
          </cell>
          <cell r="C126" t="str">
            <v>m2</v>
          </cell>
          <cell r="D126">
            <v>305000</v>
          </cell>
        </row>
        <row r="127">
          <cell r="A127" t="str">
            <v>U-4.02.15</v>
          </cell>
          <cell r="B127" t="str">
            <v>Rejilla en aluminio CC - 6" x 4" de Colrejillas para bajantes de aguas lluvias.</v>
          </cell>
          <cell r="C127" t="str">
            <v>und</v>
          </cell>
          <cell r="D127">
            <v>19233</v>
          </cell>
        </row>
        <row r="128">
          <cell r="A128" t="str">
            <v>U-4.02.16</v>
          </cell>
          <cell r="B128" t="str">
            <v>Bajante de Aguas Lluvias PVC D=4" (incluye accesorios hasta empate con cuneta perimetral)</v>
          </cell>
          <cell r="C128" t="str">
            <v>ml</v>
          </cell>
          <cell r="D128">
            <v>21900</v>
          </cell>
        </row>
        <row r="129">
          <cell r="A129" t="str">
            <v>U-4.02.17</v>
          </cell>
          <cell r="B129" t="str">
            <v>Suministro e Instalación Lavamanos Tipo Shelby ALFA, color blanco</v>
          </cell>
          <cell r="C129" t="str">
            <v>und</v>
          </cell>
          <cell r="D129">
            <v>92804</v>
          </cell>
        </row>
        <row r="130">
          <cell r="A130" t="str">
            <v>U-4.02.18</v>
          </cell>
          <cell r="B130" t="str">
            <v xml:space="preserve">Suministro e Instalación Sanitario Tipo Savex ALFA, color blanco </v>
          </cell>
          <cell r="C130" t="str">
            <v>und</v>
          </cell>
          <cell r="D130">
            <v>207804</v>
          </cell>
        </row>
        <row r="131">
          <cell r="A131" t="str">
            <v>U-4.02.19</v>
          </cell>
          <cell r="B131" t="str">
            <v>Suministro e Instalación Juego de Accesorios adhesivos Tipo Mini ALFA, color blanco.</v>
          </cell>
          <cell r="C131" t="str">
            <v>und</v>
          </cell>
          <cell r="D131">
            <v>46829</v>
          </cell>
        </row>
        <row r="132">
          <cell r="A132" t="str">
            <v>U-4.02.20</v>
          </cell>
          <cell r="B132" t="str">
            <v xml:space="preserve">Suministro e Instalación Combo Orinal Tipo Sidney de ALFA, color blanco, incluye accesorios </v>
          </cell>
          <cell r="C132" t="str">
            <v>und</v>
          </cell>
          <cell r="D132">
            <v>190975</v>
          </cell>
        </row>
        <row r="133">
          <cell r="A133" t="str">
            <v>U-4.02.21</v>
          </cell>
          <cell r="B133" t="str">
            <v>Suministro e Instalación Ducha Tipo Gricol Mezclador OG - 1618</v>
          </cell>
          <cell r="C133" t="str">
            <v>und</v>
          </cell>
          <cell r="D133">
            <v>82520</v>
          </cell>
        </row>
        <row r="134">
          <cell r="A134" t="str">
            <v>U-4.02.22</v>
          </cell>
          <cell r="B134" t="str">
            <v>Suministro e Instalación Meson en Concreto 5.80x0.60m, enchapado en baldosa Mediterraneo ALFA 0.20x0.20m con Lavaplatos en acero inoxidable Ref. GUINOVART 502, 0.64x0.54m</v>
          </cell>
          <cell r="C134" t="str">
            <v>und</v>
          </cell>
          <cell r="D134">
            <v>736656</v>
          </cell>
        </row>
        <row r="135">
          <cell r="A135" t="str">
            <v>U-4.02.23</v>
          </cell>
          <cell r="B135" t="str">
            <v>Suministro e Instalación Griferia Tipo Gricol para lavaplatos OG 0428</v>
          </cell>
          <cell r="C135" t="str">
            <v>und</v>
          </cell>
          <cell r="D135">
            <v>59517</v>
          </cell>
        </row>
        <row r="136">
          <cell r="A136" t="str">
            <v>U-4.02.24</v>
          </cell>
          <cell r="B136" t="str">
            <v>Suministro e Instalación Mueble inferior para laboratorio con 4 puertas y entrepaño</v>
          </cell>
          <cell r="C136" t="str">
            <v>und</v>
          </cell>
          <cell r="D136">
            <v>400000</v>
          </cell>
        </row>
        <row r="137">
          <cell r="A137" t="str">
            <v>U-4.02.25</v>
          </cell>
          <cell r="B137" t="str">
            <v>Suministro e Instalación Meson en Concreto 1.00x0.60m, enchapado en baldosa Mediterraneo ALFA 0.20x0.20m con Lavaplatos en acero inoxidable, 0.45x0.53m</v>
          </cell>
          <cell r="C137" t="str">
            <v>und</v>
          </cell>
          <cell r="D137">
            <v>360475</v>
          </cell>
        </row>
        <row r="138">
          <cell r="A138" t="str">
            <v>U-4.02.26</v>
          </cell>
          <cell r="B138" t="str">
            <v>Suministro e Instalación Ducha de Emergencia con Lavaojos en A.B.S. Color verde, Tubo Galvanizado, Plato Rectangular, Marca HAWS</v>
          </cell>
          <cell r="C138" t="str">
            <v>und</v>
          </cell>
          <cell r="D138">
            <v>3000000</v>
          </cell>
        </row>
        <row r="139">
          <cell r="A139" t="str">
            <v>U-4.02.27</v>
          </cell>
          <cell r="B139" t="str">
            <v>Suministro e Instalación Sistema Offiplus para división modular</v>
          </cell>
          <cell r="C139" t="str">
            <v>m2</v>
          </cell>
          <cell r="D139">
            <v>600000</v>
          </cell>
        </row>
        <row r="140">
          <cell r="A140" t="str">
            <v>U-4.03.01</v>
          </cell>
          <cell r="B140" t="str">
            <v>Excavación manual en material común y disposición del material sobrante</v>
          </cell>
          <cell r="C140" t="str">
            <v>m3</v>
          </cell>
          <cell r="D140">
            <v>27274</v>
          </cell>
        </row>
        <row r="141">
          <cell r="A141" t="str">
            <v>U-4.03.02</v>
          </cell>
          <cell r="B141" t="str">
            <v>Relleno Tipo 3  (Material seleccionado de la excavación)</v>
          </cell>
          <cell r="C141" t="str">
            <v>m3</v>
          </cell>
          <cell r="D141">
            <v>12074</v>
          </cell>
        </row>
        <row r="142">
          <cell r="A142" t="str">
            <v>U-4.03.03</v>
          </cell>
          <cell r="B142" t="str">
            <v>Relleno Tipo 4  (Subbase Granular)</v>
          </cell>
          <cell r="C142" t="str">
            <v>m3</v>
          </cell>
          <cell r="D142">
            <v>35214</v>
          </cell>
        </row>
        <row r="143">
          <cell r="A143" t="str">
            <v>U-4.03.04</v>
          </cell>
          <cell r="B143" t="str">
            <v>Suministro y colocación Concreto Clase F (14.0 Mpa; 140 kg/cm2; 2000 PSI para solado)</v>
          </cell>
          <cell r="C143" t="str">
            <v>m3</v>
          </cell>
          <cell r="D143">
            <v>381672</v>
          </cell>
        </row>
        <row r="144">
          <cell r="A144" t="str">
            <v>U-4.03.05</v>
          </cell>
          <cell r="B144" t="str">
            <v>Suministro y colocación Concreto Clase D (21.0 Mpa; 210 kg/cm2; 3000 PSI) para cimientos</v>
          </cell>
          <cell r="C144" t="str">
            <v>m3</v>
          </cell>
          <cell r="D144">
            <v>465971</v>
          </cell>
        </row>
        <row r="145">
          <cell r="A145" t="str">
            <v>U-4.03.06</v>
          </cell>
          <cell r="B145" t="str">
            <v>Suministro y colocación Concreto Clase D (21.0 Mpa; 210 kg/cm2; 3000 PSI) para Placa de Piso</v>
          </cell>
          <cell r="C145" t="str">
            <v>m3</v>
          </cell>
          <cell r="D145">
            <v>467122</v>
          </cell>
        </row>
        <row r="146">
          <cell r="A146" t="str">
            <v>U-4.03.07</v>
          </cell>
          <cell r="B146" t="str">
            <v>Suministro y colocación Concreto Clase D (21.0 Mpa; 210 kg/cm2; 3000 PSI) para Columnas</v>
          </cell>
          <cell r="C146" t="str">
            <v>m3</v>
          </cell>
          <cell r="D146">
            <v>510559</v>
          </cell>
        </row>
        <row r="147">
          <cell r="A147" t="str">
            <v>U-4.03.08</v>
          </cell>
          <cell r="B147" t="str">
            <v>Suministro y colocación Concreto Clase D (21.0 Mpa; 210 kg/cm2; 3000 PSI) para Vigas Aéreas (incluye placa de voladizo)</v>
          </cell>
          <cell r="C147" t="str">
            <v>m3</v>
          </cell>
          <cell r="D147">
            <v>491091</v>
          </cell>
        </row>
        <row r="148">
          <cell r="A148" t="str">
            <v>U-4.03.09</v>
          </cell>
          <cell r="B148" t="str">
            <v>Suministro y colocación Concreto Clase D (21.0 Mpa; 210 kg/cm2; 3000 PSI) para Riostras</v>
          </cell>
          <cell r="C148" t="str">
            <v>m3</v>
          </cell>
          <cell r="D148">
            <v>491091</v>
          </cell>
        </row>
        <row r="149">
          <cell r="A149" t="str">
            <v>U-4.03.10</v>
          </cell>
          <cell r="B149" t="str">
            <v>Suministro y colocación Concreto Clase D (21.0 Mpa; 210 kg/cm2; 3000 PSI) para Placa Aligerada de Cubierta</v>
          </cell>
          <cell r="C149" t="str">
            <v>m2</v>
          </cell>
          <cell r="D149">
            <v>74335</v>
          </cell>
        </row>
        <row r="150">
          <cell r="A150" t="str">
            <v>U-4.03.11</v>
          </cell>
          <cell r="B150" t="str">
            <v>Varillas Corrugadas Acero A-706; Fy =420 Mpa, 4200 kg/cm2, 60000 PSI</v>
          </cell>
          <cell r="C150" t="str">
            <v>kg</v>
          </cell>
          <cell r="D150">
            <v>2786</v>
          </cell>
        </row>
        <row r="151">
          <cell r="A151" t="str">
            <v>U-4.03.12</v>
          </cell>
          <cell r="B151" t="str">
            <v>Malla Electrosoldada Acero G-485; Fy =550 Mpa, 5500 kg/cm2, 4mmX150mmX150mm</v>
          </cell>
          <cell r="C151" t="str">
            <v>kg</v>
          </cell>
          <cell r="D151">
            <v>2997</v>
          </cell>
        </row>
        <row r="152">
          <cell r="A152" t="str">
            <v>U-4.03.13</v>
          </cell>
          <cell r="B152" t="str">
            <v>Malla Electrosoldada Acero G-485; Fy =550 Mpa, 5500 kg/cm2, 6mmX250mmX250mm</v>
          </cell>
          <cell r="C152" t="str">
            <v>kg</v>
          </cell>
          <cell r="D152">
            <v>2997</v>
          </cell>
        </row>
        <row r="153">
          <cell r="A153" t="str">
            <v>U-4.03.14</v>
          </cell>
          <cell r="B153" t="str">
            <v>Impermeabilización de Cubierta en Membrana PVC Termosoldada tipo SikaPlan 12GCO (12mm)</v>
          </cell>
          <cell r="C153" t="str">
            <v>m2</v>
          </cell>
          <cell r="D153">
            <v>40316</v>
          </cell>
        </row>
        <row r="154">
          <cell r="A154" t="str">
            <v>U-4.03.15</v>
          </cell>
          <cell r="B154" t="str">
            <v>Andén en Concreto Simple Clase E (17.5 Mpa; 175 kg/cm2; 2500 PSI), e=0.15m</v>
          </cell>
          <cell r="C154" t="str">
            <v>m2</v>
          </cell>
          <cell r="D154">
            <v>52299</v>
          </cell>
        </row>
        <row r="155">
          <cell r="A155" t="str">
            <v>U-4.03.16</v>
          </cell>
          <cell r="B155" t="str">
            <v>Cerramiento Perimetral en Malla Eslabonada Calibre 9, 2"x2" (Incluye Postes) para transformadores</v>
          </cell>
          <cell r="C155" t="str">
            <v>ml</v>
          </cell>
          <cell r="D155">
            <v>124926</v>
          </cell>
        </row>
        <row r="156">
          <cell r="A156" t="str">
            <v>U-4.04.01</v>
          </cell>
          <cell r="B156" t="str">
            <v>Muro en Ladrillo Prensado Liviano 24,5 x 12 x 5,5 color terracota Santa Fe e = 0,12m</v>
          </cell>
          <cell r="C156" t="str">
            <v>m2</v>
          </cell>
          <cell r="D156">
            <v>56013</v>
          </cell>
        </row>
        <row r="157">
          <cell r="A157" t="str">
            <v>U-4.04.02</v>
          </cell>
          <cell r="B157" t="str">
            <v>Muro Perimetral de Cubierta en Ladrillo Prensado Liviano 24,5 x 12 x 7 color terracota Sante Fe e = 0,055m</v>
          </cell>
          <cell r="C157" t="str">
            <v>m2</v>
          </cell>
          <cell r="D157">
            <v>56013</v>
          </cell>
        </row>
        <row r="158">
          <cell r="A158" t="str">
            <v>U-4.04.03</v>
          </cell>
          <cell r="B158" t="str">
            <v>Piso en Baldosa Tráfico Pesado Tipo Piedra CID Riversand ALFA 0.45x0.45m</v>
          </cell>
          <cell r="C158" t="str">
            <v>m2</v>
          </cell>
          <cell r="D158">
            <v>41268</v>
          </cell>
        </row>
        <row r="159">
          <cell r="A159" t="str">
            <v>U-4.04.04</v>
          </cell>
          <cell r="B159" t="str">
            <v>Guardaescoba Piedra Cid River Sand ALFA  9 x 45</v>
          </cell>
          <cell r="C159" t="str">
            <v>ml</v>
          </cell>
          <cell r="D159">
            <v>4059</v>
          </cell>
        </row>
        <row r="160">
          <cell r="A160" t="str">
            <v>U-4.04.05</v>
          </cell>
          <cell r="B160" t="str">
            <v>Pañete en mortero 1:5 e=0.02m</v>
          </cell>
          <cell r="C160" t="str">
            <v>m2</v>
          </cell>
          <cell r="D160">
            <v>8977</v>
          </cell>
        </row>
        <row r="161">
          <cell r="A161" t="str">
            <v>U-4.04.06</v>
          </cell>
          <cell r="B161" t="str">
            <v>Estuco y Pintura tipo Viniltex de Pintuco color almendra (3 manos)</v>
          </cell>
          <cell r="C161" t="str">
            <v>m2</v>
          </cell>
          <cell r="D161">
            <v>9879</v>
          </cell>
        </row>
        <row r="162">
          <cell r="A162" t="str">
            <v>U-4.04.07</v>
          </cell>
          <cell r="B162" t="str">
            <v>Ventana tipo V-1 módulo de cuerpo fijo serie M-338 en aluminio anodizado 5030 anolock, cristal laminado termoacústico polarizado y alfajia LEH-413 (8cms)</v>
          </cell>
          <cell r="C162" t="str">
            <v>m2</v>
          </cell>
          <cell r="D162">
            <v>480000</v>
          </cell>
        </row>
        <row r="163">
          <cell r="A163" t="str">
            <v>U-4.04.08</v>
          </cell>
          <cell r="B163" t="str">
            <v>Ventana tipo V-2 módulo de cuerpo fijo serie M-338 en aluminio anodizado 5030 anolock, cristal laminado termoacústico polarizado y alfajia LEH-413 (8cms)</v>
          </cell>
          <cell r="C163" t="str">
            <v>m2</v>
          </cell>
          <cell r="D163">
            <v>480000</v>
          </cell>
        </row>
        <row r="164">
          <cell r="A164" t="str">
            <v>U-4.04.09</v>
          </cell>
          <cell r="B164" t="str">
            <v>Puerta Tipo P-5 metálica en lamina cold rolled calibre 18 rellenas de material contra fuego y termo acústico, con barra antipánico y ventanilla, pintura electrostática color anolock, ventanilla no menor a 0.30x0.30m, persiana superior en lámina para venti</v>
          </cell>
          <cell r="C164" t="str">
            <v>m2</v>
          </cell>
          <cell r="D164">
            <v>500000</v>
          </cell>
        </row>
        <row r="165">
          <cell r="A165" t="str">
            <v>U-4.04.10</v>
          </cell>
          <cell r="B165" t="str">
            <v>Puerta Tipo P-6 metálica en lamina cold rolled calibre 18 rellenas de material contra fuego y termo acústico, con barra antipánico y ventanilla, pintura electrostática color anolock, ventanilla no menor a 0.30x0.30m</v>
          </cell>
          <cell r="C165" t="str">
            <v>m2</v>
          </cell>
          <cell r="D165">
            <v>1200000</v>
          </cell>
        </row>
        <row r="166">
          <cell r="A166" t="str">
            <v>U-4.04.11</v>
          </cell>
          <cell r="B166" t="str">
            <v>Puerta Tipo P-7 metálica en lamina cold rolled calibre 18 rellenas de material contra fuego y termo acústico, con barra antipánico y ventanilla, pintura electrostática color anolock, ventanilla no menor a 0.30x0.30m</v>
          </cell>
          <cell r="C166" t="str">
            <v>m2</v>
          </cell>
          <cell r="D166">
            <v>305000</v>
          </cell>
        </row>
        <row r="167">
          <cell r="A167" t="str">
            <v>U-4.04.12</v>
          </cell>
          <cell r="B167" t="str">
            <v>Rejilla en aluminio CC - 6" x 4" de Colrejillas para bajantes de aguas lluvias.</v>
          </cell>
          <cell r="C167" t="str">
            <v>und</v>
          </cell>
          <cell r="D167">
            <v>19233</v>
          </cell>
        </row>
        <row r="168">
          <cell r="A168" t="str">
            <v>U-4.04.13</v>
          </cell>
          <cell r="B168" t="str">
            <v>Bajante de Aguas Lluvias PVC D=4" (incluye accesorios hasta empate con cuneta perimetral)</v>
          </cell>
          <cell r="C168" t="str">
            <v>ml</v>
          </cell>
          <cell r="D168">
            <v>21900</v>
          </cell>
        </row>
        <row r="169">
          <cell r="A169" t="str">
            <v>U-4.05.01</v>
          </cell>
          <cell r="B169" t="str">
            <v>Excavación manual en material común y disposición del material sobrante</v>
          </cell>
          <cell r="C169" t="str">
            <v>m3</v>
          </cell>
          <cell r="D169">
            <v>27274</v>
          </cell>
        </row>
        <row r="170">
          <cell r="A170" t="str">
            <v>U-4.05.02</v>
          </cell>
          <cell r="B170" t="str">
            <v>Relleno Tipo 2  (Recebo o material de prestamo seleccionado)</v>
          </cell>
          <cell r="C170" t="str">
            <v>m3</v>
          </cell>
          <cell r="D170">
            <v>30014</v>
          </cell>
        </row>
        <row r="171">
          <cell r="A171" t="str">
            <v>U-4.05.03</v>
          </cell>
          <cell r="B171" t="str">
            <v>Relleno Tipo 3  (Material seleccionado de la excavación)</v>
          </cell>
          <cell r="C171" t="str">
            <v>m3</v>
          </cell>
          <cell r="D171">
            <v>12074</v>
          </cell>
        </row>
        <row r="172">
          <cell r="A172" t="str">
            <v>U-4.05.04</v>
          </cell>
          <cell r="B172" t="str">
            <v>Suministro y colocación Concreto Clase G (14.0 Mpa; 140 kg/cm2; 2000 PSI Ciclópeo) para Muros Interiores</v>
          </cell>
          <cell r="C172" t="str">
            <v>m3</v>
          </cell>
          <cell r="D172">
            <v>276317</v>
          </cell>
        </row>
        <row r="173">
          <cell r="A173" t="str">
            <v>U-4.05.05</v>
          </cell>
          <cell r="B173" t="str">
            <v>Suministro y colocación Concreto Clase F (14.0 Mpa; 140 kg/cm2; 2000 PSI para solado)</v>
          </cell>
          <cell r="C173" t="str">
            <v>m3</v>
          </cell>
          <cell r="D173">
            <v>381672</v>
          </cell>
        </row>
        <row r="174">
          <cell r="A174" t="str">
            <v>U-4.05.06</v>
          </cell>
          <cell r="B174" t="str">
            <v>Suministro y colocación Concreto Clase D (21.0 Mpa; 210 kg/cm2; 3000 PSI) para cimientos</v>
          </cell>
          <cell r="C174" t="str">
            <v>m3</v>
          </cell>
          <cell r="D174">
            <v>465971</v>
          </cell>
        </row>
        <row r="175">
          <cell r="A175" t="str">
            <v>U-4.05.07</v>
          </cell>
          <cell r="B175" t="str">
            <v>Suministro y colocación Concreto Clase D (21.0 Mpa; 210 kg/cm2; 3000 PSI) para Placa de Piso</v>
          </cell>
          <cell r="C175" t="str">
            <v>m3</v>
          </cell>
          <cell r="D175">
            <v>467122</v>
          </cell>
        </row>
        <row r="176">
          <cell r="A176" t="str">
            <v>U-4.05.08</v>
          </cell>
          <cell r="B176" t="str">
            <v>Suministro y colocación Concreto Clase D (21.0 Mpa; 210 kg/cm2; 3000 PSI) para Vigas de Amarre Muros Internos</v>
          </cell>
          <cell r="C176" t="str">
            <v>m3</v>
          </cell>
          <cell r="D176">
            <v>452229</v>
          </cell>
        </row>
        <row r="177">
          <cell r="A177" t="str">
            <v>U-4.05.09</v>
          </cell>
          <cell r="B177" t="str">
            <v>Suministro y colocación Concreto Clase D (21.0 Mpa; 210 kg/cm2; 3000 PSI) para Columnas</v>
          </cell>
          <cell r="C177" t="str">
            <v>m3</v>
          </cell>
          <cell r="D177">
            <v>494325</v>
          </cell>
        </row>
        <row r="178">
          <cell r="A178" t="str">
            <v>U-4.05.10</v>
          </cell>
          <cell r="B178" t="str">
            <v>Suministro y colocación Concreto Clase D (21.0 Mpa; 210 kg/cm2; 3000 PSI) para Vigas Aéreas (incluye placa de voladizo)</v>
          </cell>
          <cell r="C178" t="str">
            <v>m3</v>
          </cell>
          <cell r="D178">
            <v>491091</v>
          </cell>
        </row>
        <row r="179">
          <cell r="A179" t="str">
            <v>U-4.05.11</v>
          </cell>
          <cell r="B179" t="str">
            <v>Suministro y colocación Concreto Clase D (21.0 Mpa; 210 kg/cm2; 3000 PSI) para Riostras</v>
          </cell>
          <cell r="C179" t="str">
            <v>m3</v>
          </cell>
          <cell r="D179">
            <v>491091</v>
          </cell>
        </row>
        <row r="180">
          <cell r="A180" t="str">
            <v>U-4.05.12</v>
          </cell>
          <cell r="B180" t="str">
            <v>Suministro y colocación Concreto Clase D (21.0 Mpa; 210 kg/cm2; 3000 PSI) para Placa Aligerada de Cubierta</v>
          </cell>
          <cell r="C180" t="str">
            <v>m2</v>
          </cell>
          <cell r="D180">
            <v>74335</v>
          </cell>
        </row>
        <row r="181">
          <cell r="A181" t="str">
            <v>U-4.05.13</v>
          </cell>
          <cell r="B181" t="str">
            <v>Varillas Corrugadas Acero A-706; Fy =420 Mpa, 4200 kg/cm2, 60000 PSI</v>
          </cell>
          <cell r="C181" t="str">
            <v>kg</v>
          </cell>
          <cell r="D181">
            <v>2786</v>
          </cell>
        </row>
        <row r="182">
          <cell r="A182" t="str">
            <v>U-4.05.14</v>
          </cell>
          <cell r="B182" t="str">
            <v>Malla Electrosoldada Acero G-485; Fy =550 Mpa, 5500 kg/cm2, 4mmX150mmX150mm</v>
          </cell>
          <cell r="C182" t="str">
            <v>kg</v>
          </cell>
          <cell r="D182">
            <v>2997</v>
          </cell>
        </row>
        <row r="183">
          <cell r="A183" t="str">
            <v>U-4.05.15</v>
          </cell>
          <cell r="B183" t="str">
            <v>Malla Electrosoldada Acero G-485; Fy =550 Mpa, 5500 kg/cm2, 5mmX150mmX150mm</v>
          </cell>
          <cell r="C183" t="str">
            <v>kg</v>
          </cell>
          <cell r="D183">
            <v>2997</v>
          </cell>
        </row>
        <row r="184">
          <cell r="A184" t="str">
            <v>U-4.05.16</v>
          </cell>
          <cell r="B184" t="str">
            <v>Impermeabilización de Cubierta en Membrana PVC Termosoldada tipo SikaPlan 12GCO (12mm)</v>
          </cell>
          <cell r="C184" t="str">
            <v>m2</v>
          </cell>
          <cell r="D184">
            <v>42996</v>
          </cell>
        </row>
        <row r="185">
          <cell r="A185" t="str">
            <v>U-4.05.17</v>
          </cell>
          <cell r="B185" t="str">
            <v>Andén en Concreto Simple Clase E (17.5 Mpa; 175 kg/cm2; 2500 PSI), e=0.15m</v>
          </cell>
          <cell r="C185" t="str">
            <v>m2</v>
          </cell>
          <cell r="D185">
            <v>52299</v>
          </cell>
        </row>
        <row r="186">
          <cell r="A186" t="str">
            <v>U-4.05.18</v>
          </cell>
          <cell r="B186" t="str">
            <v>Suministro y colocación Concreto Clase D (21.0 Mpa; 210 kg/cm2; 3000 PSI) para Placa de Piso</v>
          </cell>
          <cell r="C186" t="str">
            <v>m3</v>
          </cell>
          <cell r="D186">
            <v>450317</v>
          </cell>
        </row>
        <row r="187">
          <cell r="A187" t="str">
            <v>U-4.05.19</v>
          </cell>
          <cell r="B187" t="str">
            <v>Cerramiento Perimetral en Malla Eslabonada Calibre 9, 2"x2" (Incluye Postes)</v>
          </cell>
          <cell r="C187" t="str">
            <v>ml</v>
          </cell>
          <cell r="D187">
            <v>95001</v>
          </cell>
        </row>
        <row r="188">
          <cell r="A188" t="str">
            <v>U-4.06.01</v>
          </cell>
          <cell r="B188" t="str">
            <v>Muro en Ladrillo Prensado Liviano 24,5 x 12 x 5,5 color terracota Santa Fe e = 0,12m</v>
          </cell>
          <cell r="C188" t="str">
            <v>m2</v>
          </cell>
          <cell r="D188">
            <v>56013</v>
          </cell>
        </row>
        <row r="189">
          <cell r="A189" t="str">
            <v>U-4.06.02</v>
          </cell>
          <cell r="B189" t="str">
            <v>Muro Perimetral de Cubierta en Ladrillo Prensado Liviano 24,5 x 12 x 7 color terracota Sante Fe e = 0,055m</v>
          </cell>
          <cell r="C189" t="str">
            <v>m2</v>
          </cell>
          <cell r="D189">
            <v>56013</v>
          </cell>
        </row>
        <row r="190">
          <cell r="A190" t="str">
            <v>U-4.06.03</v>
          </cell>
          <cell r="B190" t="str">
            <v>Piso en Baldosa Tráfico Pesado Tipo Piedra CID Riversand ALFA 0.45x0.45m</v>
          </cell>
          <cell r="C190" t="str">
            <v>m2</v>
          </cell>
          <cell r="D190">
            <v>41268</v>
          </cell>
        </row>
        <row r="191">
          <cell r="A191" t="str">
            <v>U-4.06.04</v>
          </cell>
          <cell r="B191" t="str">
            <v>Guardaescoba Piedra Cid River Sand ALFA  9 x 45</v>
          </cell>
          <cell r="C191" t="str">
            <v>ml</v>
          </cell>
          <cell r="D191">
            <v>4059</v>
          </cell>
        </row>
        <row r="192">
          <cell r="A192" t="str">
            <v>U-4.06.05</v>
          </cell>
          <cell r="B192" t="str">
            <v>Pañete en mortero 1:5 e=0.02m</v>
          </cell>
          <cell r="C192" t="str">
            <v>m2</v>
          </cell>
          <cell r="D192">
            <v>8977</v>
          </cell>
        </row>
        <row r="193">
          <cell r="A193" t="str">
            <v>U-4.06.06</v>
          </cell>
          <cell r="B193" t="str">
            <v>Estuco y Pintura tipo Viniltex de Pintuco color almendra (3 manos)</v>
          </cell>
          <cell r="C193" t="str">
            <v>m2</v>
          </cell>
          <cell r="D193">
            <v>9879</v>
          </cell>
        </row>
        <row r="194">
          <cell r="A194" t="str">
            <v>U-4.06.07</v>
          </cell>
          <cell r="B194" t="str">
            <v>Ventana tipo V-1 módulo de cuerpo fijo serie M-338 en aluminio anodizado 5030 anolock, cristal laminado termoacústico polarizado y alfajia LEH-413 (8cms)</v>
          </cell>
          <cell r="C194" t="str">
            <v>m2</v>
          </cell>
          <cell r="D194">
            <v>480000</v>
          </cell>
        </row>
        <row r="195">
          <cell r="A195" t="str">
            <v>U-4.06.08</v>
          </cell>
          <cell r="B195" t="str">
            <v>Puerta Tipo P-1 metálica en lamina cold rolled calibre 18 rellenas de material contra fuego y termo acústico, con barra antipánico y ventanilla, pintura electrostática color anolock, ventanilla con puerta batiente (0.90x2m acceso personal)</v>
          </cell>
          <cell r="C195" t="str">
            <v>m2</v>
          </cell>
          <cell r="D195">
            <v>670000</v>
          </cell>
        </row>
        <row r="196">
          <cell r="A196" t="str">
            <v>U-4.06.09</v>
          </cell>
          <cell r="B196" t="str">
            <v>Puerta Tipo P-2 metálica en lamina cold rolled calibre 18 rejilla de ventilación, con barra antipánico, pintura electrostática color anolock, ventanilla no menor a 0.30x0.30m</v>
          </cell>
          <cell r="C196" t="str">
            <v>m2</v>
          </cell>
          <cell r="D196">
            <v>305000</v>
          </cell>
        </row>
        <row r="197">
          <cell r="A197" t="str">
            <v>U-4.06.10</v>
          </cell>
          <cell r="B197" t="str">
            <v>Puerta Tipo P-3 metálica en lamina cold rolled calibre 18 rellenas de material contra fuego y termo acústico, con barra antipánico y ventanilla, pintura electrostática color anolock.</v>
          </cell>
          <cell r="C197" t="str">
            <v>m2</v>
          </cell>
          <cell r="D197">
            <v>380000</v>
          </cell>
        </row>
        <row r="198">
          <cell r="A198" t="str">
            <v>U-4.06.11</v>
          </cell>
          <cell r="B198" t="str">
            <v>Puerta Tipo P-4 metálica en lamina cold rolled calibre 18 rejilla de ventilación, con barra antipánico, pintura electrostática color anolock, ventanilla no menor a 0.80x0.30m</v>
          </cell>
          <cell r="C198" t="str">
            <v>m2</v>
          </cell>
          <cell r="D198">
            <v>2100000</v>
          </cell>
        </row>
        <row r="199">
          <cell r="A199" t="str">
            <v>U-4.06.12</v>
          </cell>
          <cell r="B199" t="str">
            <v>Puerta Tipo P-5 metálica en lamina cold rolled calibre 18 rellenas de material contra fuego y termoacústico con barra antipánico, pintura electrostática color anolock, ventanilla no menor a 0.80x0.30m, persiana superior en lámina para ventilación</v>
          </cell>
          <cell r="C199" t="str">
            <v>m2</v>
          </cell>
          <cell r="D199">
            <v>500000</v>
          </cell>
        </row>
        <row r="200">
          <cell r="A200" t="str">
            <v>U-4.06.13</v>
          </cell>
          <cell r="B200" t="str">
            <v>Rejilla en aluminio CC - 6" x 4" de Colrejillas para bajantes de aguas lluvias.</v>
          </cell>
          <cell r="C200" t="str">
            <v>und</v>
          </cell>
          <cell r="D200">
            <v>19233</v>
          </cell>
        </row>
        <row r="201">
          <cell r="A201" t="str">
            <v>U-4.06.14</v>
          </cell>
          <cell r="B201" t="str">
            <v>Bajante de Aguas Lluvias PVC D=4" (incluye accesorios hasta empate con cuneta perimetral)</v>
          </cell>
          <cell r="C201" t="str">
            <v>ml</v>
          </cell>
          <cell r="D201">
            <v>21900</v>
          </cell>
        </row>
        <row r="202">
          <cell r="A202" t="str">
            <v>U-5.01.01</v>
          </cell>
          <cell r="B202" t="str">
            <v>Excavación manual en material común y disposición del material sobrante</v>
          </cell>
          <cell r="C202" t="str">
            <v>m3</v>
          </cell>
          <cell r="D202">
            <v>27274</v>
          </cell>
        </row>
        <row r="203">
          <cell r="A203" t="str">
            <v>U-5.01.02</v>
          </cell>
          <cell r="B203" t="str">
            <v>Relleno Tipo 2  (Recebo o material de prestamo seleccionado)</v>
          </cell>
          <cell r="C203" t="str">
            <v>m3</v>
          </cell>
          <cell r="D203">
            <v>30014</v>
          </cell>
        </row>
        <row r="204">
          <cell r="A204" t="str">
            <v>U-5.01.03</v>
          </cell>
          <cell r="B204" t="str">
            <v>Relleno Tipo 3  (Material seleccionado de la excavación)</v>
          </cell>
          <cell r="C204" t="str">
            <v>m3</v>
          </cell>
          <cell r="D204">
            <v>12074</v>
          </cell>
        </row>
        <row r="205">
          <cell r="A205" t="str">
            <v>U-5.01.04</v>
          </cell>
          <cell r="B205" t="str">
            <v>Suministro y colocación Concreto Clase F (14.0 Mpa; 140 kg/cm2; 2000 PSI)</v>
          </cell>
          <cell r="C205" t="str">
            <v>m3</v>
          </cell>
          <cell r="D205">
            <v>381672</v>
          </cell>
        </row>
        <row r="206">
          <cell r="A206" t="str">
            <v>U-5.01.05</v>
          </cell>
          <cell r="B206" t="str">
            <v>Suministro y colocación Concreto Clase D (21.0 Mpa; 210 kg/cm2; 3000 PSI) para Pedestales</v>
          </cell>
          <cell r="C206" t="str">
            <v>m3</v>
          </cell>
          <cell r="D206">
            <v>460934</v>
          </cell>
        </row>
        <row r="207">
          <cell r="A207" t="str">
            <v>U-5.01.06</v>
          </cell>
          <cell r="B207" t="str">
            <v>Suministro y colocación Concreto Clase D (21.0 Mpa; 210 kg/cm2; 3000 PSI) para Vigas de Amarre</v>
          </cell>
          <cell r="C207" t="str">
            <v>m3</v>
          </cell>
          <cell r="D207">
            <v>460038</v>
          </cell>
        </row>
        <row r="208">
          <cell r="A208" t="str">
            <v>U-5.01.07</v>
          </cell>
          <cell r="B208" t="str">
            <v>Suministro y colocación Concreto Clase D (21.0 Mpa; 210 kg/cm2; 3000 PSI) para Zapatas</v>
          </cell>
          <cell r="C208" t="str">
            <v>m3</v>
          </cell>
          <cell r="D208">
            <v>458606</v>
          </cell>
        </row>
        <row r="209">
          <cell r="A209" t="str">
            <v>U-5.01.08</v>
          </cell>
          <cell r="B209" t="str">
            <v>Suministro y colocación Concreto Clase D (21.0 Mpa; 210 kg/cm2; 3000 PSI) para Placas</v>
          </cell>
          <cell r="C209" t="str">
            <v>m3</v>
          </cell>
          <cell r="D209">
            <v>467122</v>
          </cell>
        </row>
        <row r="210">
          <cell r="A210" t="str">
            <v>U-5.01.09</v>
          </cell>
          <cell r="B210" t="str">
            <v>Suministro y colocación Mortero de Nivelación (Grouting) tipo SikaGrout 200</v>
          </cell>
          <cell r="C210" t="str">
            <v>lt</v>
          </cell>
          <cell r="D210">
            <v>6082</v>
          </cell>
        </row>
        <row r="211">
          <cell r="A211" t="str">
            <v>U-5.01.10</v>
          </cell>
          <cell r="B211" t="str">
            <v>Varillas Corrugadas Acero A-706; Fy =420 Mpa, 4200 kg/cm2, 60000 PSI</v>
          </cell>
          <cell r="C211" t="str">
            <v>kg</v>
          </cell>
          <cell r="D211">
            <v>2786</v>
          </cell>
        </row>
        <row r="212">
          <cell r="A212" t="str">
            <v>U-5.01.11</v>
          </cell>
          <cell r="B212" t="str">
            <v>Malla Electrosoldada Acero G-485; Fy =550 Mpa, 5500 kg/cm2, 4mmX150mmX150mm</v>
          </cell>
          <cell r="C212" t="str">
            <v>kg</v>
          </cell>
          <cell r="D212">
            <v>2997</v>
          </cell>
        </row>
        <row r="213">
          <cell r="A213" t="str">
            <v>U-5.01.12</v>
          </cell>
          <cell r="B213" t="str">
            <v>Pernos de Anclaje en Acero Calidad SAE 1045</v>
          </cell>
          <cell r="C213" t="str">
            <v>kg</v>
          </cell>
          <cell r="D213">
            <v>15447</v>
          </cell>
        </row>
        <row r="214">
          <cell r="A214" t="str">
            <v>U-5.01.13</v>
          </cell>
          <cell r="B214" t="str">
            <v>Acero Estructural ASTM A36 (incluye pintura de recubrimiento)</v>
          </cell>
          <cell r="C214" t="str">
            <v>kg</v>
          </cell>
          <cell r="D214">
            <v>8500</v>
          </cell>
        </row>
        <row r="215">
          <cell r="A215" t="str">
            <v>U-5.01.14</v>
          </cell>
          <cell r="B215" t="str">
            <v>Cubierta liviana en Teja Ondulada de Fibrocemento tipo P-7 de Eternit, Color</v>
          </cell>
          <cell r="C215" t="str">
            <v>m2</v>
          </cell>
          <cell r="D215">
            <v>39178</v>
          </cell>
        </row>
        <row r="216">
          <cell r="A216" t="str">
            <v>U-5.01.15</v>
          </cell>
          <cell r="B216" t="str">
            <v>Canal en Lámina Galvanizada Calibre 18, a = 1.1 m</v>
          </cell>
          <cell r="C216" t="str">
            <v>ml</v>
          </cell>
          <cell r="D216">
            <v>110000</v>
          </cell>
        </row>
        <row r="217">
          <cell r="A217" t="str">
            <v>U-5.02.01</v>
          </cell>
          <cell r="B217" t="str">
            <v>Excavación manual en material común y disposición del material sobrante</v>
          </cell>
          <cell r="C217" t="str">
            <v>m3</v>
          </cell>
          <cell r="D217">
            <v>27274</v>
          </cell>
        </row>
        <row r="218">
          <cell r="A218" t="str">
            <v>U-5.02.02</v>
          </cell>
          <cell r="B218" t="str">
            <v>Relleno Tipo 2  (Recebo o material de prestamo seleccionado)</v>
          </cell>
          <cell r="C218" t="str">
            <v>m3</v>
          </cell>
          <cell r="D218">
            <v>30014</v>
          </cell>
        </row>
        <row r="219">
          <cell r="A219" t="str">
            <v>U-5.02.03</v>
          </cell>
          <cell r="B219" t="str">
            <v>Relleno Tipo 3  (Material seleccionado de la excavación)</v>
          </cell>
          <cell r="C219" t="str">
            <v>m3</v>
          </cell>
          <cell r="D219">
            <v>12074</v>
          </cell>
        </row>
        <row r="220">
          <cell r="A220" t="str">
            <v>U-5.02.04</v>
          </cell>
          <cell r="B220" t="str">
            <v>Suministro y colocación Concreto Clase F (14.0 Mpa; 140 kg/cm2; 2000 PSI)</v>
          </cell>
          <cell r="C220" t="str">
            <v>m3</v>
          </cell>
          <cell r="D220">
            <v>381672</v>
          </cell>
        </row>
        <row r="221">
          <cell r="A221" t="str">
            <v>U-5.02.05</v>
          </cell>
          <cell r="B221" t="str">
            <v>Suministro y colocación Concreto Clase D (21.0 Mpa; 210 kg/cm2; 3000 PSI) para Pedestales</v>
          </cell>
          <cell r="C221" t="str">
            <v>m3</v>
          </cell>
          <cell r="D221">
            <v>460934</v>
          </cell>
        </row>
        <row r="222">
          <cell r="A222" t="str">
            <v>U-5.02.06</v>
          </cell>
          <cell r="B222" t="str">
            <v>Suministro y colocación Concreto Clase D (21.0 Mpa; 210 kg/cm2; 3000 PSI) para Vigas de Amarre</v>
          </cell>
          <cell r="C222" t="str">
            <v>m3</v>
          </cell>
          <cell r="D222">
            <v>460038</v>
          </cell>
        </row>
        <row r="223">
          <cell r="A223" t="str">
            <v>U-5.02.07</v>
          </cell>
          <cell r="B223" t="str">
            <v>Suministro y colocación Concreto Clase D (21.0 Mpa; 210 kg/cm2; 3000 PSI) para Zapatas</v>
          </cell>
          <cell r="C223" t="str">
            <v>m3</v>
          </cell>
          <cell r="D223">
            <v>458606</v>
          </cell>
        </row>
        <row r="224">
          <cell r="A224" t="str">
            <v>U-5.02.08</v>
          </cell>
          <cell r="B224" t="str">
            <v>Suministro y colocación Concreto Clase D (21.0 Mpa; 210 kg/cm2; 3000 PSI) para Placas</v>
          </cell>
          <cell r="C224" t="str">
            <v>m3</v>
          </cell>
          <cell r="D224">
            <v>466122</v>
          </cell>
        </row>
        <row r="225">
          <cell r="A225" t="str">
            <v>U-5.02.09</v>
          </cell>
          <cell r="B225" t="str">
            <v>Suministro y colocación Mortero de Nivelación (Grouting) tipo SikaGrout 200</v>
          </cell>
          <cell r="C225" t="str">
            <v>lt</v>
          </cell>
          <cell r="D225">
            <v>6082</v>
          </cell>
        </row>
        <row r="226">
          <cell r="A226" t="str">
            <v>U-5.02.10</v>
          </cell>
          <cell r="B226" t="str">
            <v>Varillas Corrugadas Acero A-706; Fy =420 Mpa, 4200 kg/cm2, 60000 PSI</v>
          </cell>
          <cell r="C226" t="str">
            <v>kg</v>
          </cell>
          <cell r="D226">
            <v>2786</v>
          </cell>
        </row>
        <row r="227">
          <cell r="A227" t="str">
            <v>U-5.02.11</v>
          </cell>
          <cell r="B227" t="str">
            <v>Malla Electrosoldada Acero G-485; Fy =550 Mpa, 5500 kg/cm2, 4mmX150mmX150mm</v>
          </cell>
          <cell r="C227" t="str">
            <v>kg</v>
          </cell>
          <cell r="D227">
            <v>2997</v>
          </cell>
        </row>
        <row r="228">
          <cell r="A228" t="str">
            <v>U-5.02.12</v>
          </cell>
          <cell r="B228" t="str">
            <v>Pernos de Anclaje en Acero Calidad SAE 1045</v>
          </cell>
          <cell r="C228" t="str">
            <v>kg</v>
          </cell>
          <cell r="D228">
            <v>15447</v>
          </cell>
        </row>
        <row r="229">
          <cell r="A229" t="str">
            <v>U-5.02.13</v>
          </cell>
          <cell r="B229" t="str">
            <v>Acero Estructural ASTM A36 (incluye pintura de recubrimiento)</v>
          </cell>
          <cell r="C229" t="str">
            <v>kg</v>
          </cell>
          <cell r="D229">
            <v>8500</v>
          </cell>
        </row>
        <row r="230">
          <cell r="A230" t="str">
            <v>U-5.02.14</v>
          </cell>
          <cell r="B230" t="str">
            <v>Cubierta liviana en Teja Ondulada de Fibrocemento tipo P-7 de Eternit, Color</v>
          </cell>
          <cell r="C230" t="str">
            <v>m2</v>
          </cell>
          <cell r="D230">
            <v>39178</v>
          </cell>
        </row>
        <row r="231">
          <cell r="A231" t="str">
            <v>U-5.02.15</v>
          </cell>
          <cell r="B231" t="str">
            <v>Canal en Lámina Galvanizada Calibre 18, a = 1.1 m</v>
          </cell>
          <cell r="C231" t="str">
            <v>ml</v>
          </cell>
          <cell r="D231">
            <v>110000</v>
          </cell>
        </row>
        <row r="232">
          <cell r="A232" t="str">
            <v>U-5.03.01</v>
          </cell>
          <cell r="B232" t="str">
            <v>Excavación manual en material común y disposición del material sobrante</v>
          </cell>
          <cell r="C232" t="str">
            <v>m3</v>
          </cell>
          <cell r="D232">
            <v>27274</v>
          </cell>
        </row>
        <row r="233">
          <cell r="A233" t="str">
            <v>U-5.03.02</v>
          </cell>
          <cell r="B233" t="str">
            <v>Relleno Tipo 2  (Recebo o material de prestamo seleccionado)</v>
          </cell>
          <cell r="C233" t="str">
            <v>m3</v>
          </cell>
          <cell r="D233">
            <v>30014</v>
          </cell>
        </row>
        <row r="234">
          <cell r="A234" t="str">
            <v>U-5.03.03</v>
          </cell>
          <cell r="B234" t="str">
            <v>Relleno Tipo 3  (Material seleccionado de la excavación)</v>
          </cell>
          <cell r="C234" t="str">
            <v>m3</v>
          </cell>
          <cell r="D234">
            <v>12074</v>
          </cell>
        </row>
        <row r="235">
          <cell r="A235" t="str">
            <v>U-5.03.04</v>
          </cell>
          <cell r="B235" t="str">
            <v>Suministro y colocación Concreto Clase F (14.0 Mpa; 140 kg/cm2; 2000 PSI para solado)</v>
          </cell>
          <cell r="C235" t="str">
            <v>m3</v>
          </cell>
          <cell r="D235">
            <v>381672</v>
          </cell>
        </row>
        <row r="236">
          <cell r="A236" t="str">
            <v>U-5.03.05</v>
          </cell>
          <cell r="B236" t="str">
            <v>Suministro y colocación Concreto Clase D (21.0 Mpa; 210 kg/cm2; 3000 PSI) para Zapatas</v>
          </cell>
          <cell r="C236" t="str">
            <v>m3</v>
          </cell>
          <cell r="D236">
            <v>458606</v>
          </cell>
        </row>
        <row r="237">
          <cell r="A237" t="str">
            <v>U-5.03.06</v>
          </cell>
          <cell r="B237" t="str">
            <v>Suministro y colocación Concreto Clase D (21.0 Mpa; 210 kg/cm2; 3000 PSI) para Pedestales</v>
          </cell>
          <cell r="C237" t="str">
            <v>m3</v>
          </cell>
          <cell r="D237">
            <v>460934</v>
          </cell>
        </row>
        <row r="238">
          <cell r="A238" t="str">
            <v>U-5.03.07</v>
          </cell>
          <cell r="B238" t="str">
            <v>Suministro y colocación Concreto Clase D (21.0 Mpa; 210 kg/cm2; 3000 PSI) para Placa de Piso, e=0.1m</v>
          </cell>
          <cell r="C238" t="str">
            <v>m3</v>
          </cell>
          <cell r="D238">
            <v>467122</v>
          </cell>
        </row>
        <row r="239">
          <cell r="A239" t="str">
            <v>U-5.03.08</v>
          </cell>
          <cell r="B239" t="str">
            <v>Varillas Corrugadas Acero A-706; Fy =420 Mpa, 4200 kg/cm2, 60000 PSI</v>
          </cell>
          <cell r="C239" t="str">
            <v>kg</v>
          </cell>
          <cell r="D239">
            <v>2786</v>
          </cell>
        </row>
        <row r="240">
          <cell r="A240" t="str">
            <v>U-5.03.09</v>
          </cell>
          <cell r="B240" t="str">
            <v>Malla Electrosoldada Acero G-485; Fy =550 Mpa, 5500 kg/cm2, 3mmX150mmX150mm</v>
          </cell>
          <cell r="C240" t="str">
            <v>kg</v>
          </cell>
          <cell r="D240">
            <v>2997</v>
          </cell>
        </row>
        <row r="241">
          <cell r="A241" t="str">
            <v>U-5.03.10</v>
          </cell>
          <cell r="B241" t="str">
            <v>Acero Estructural ASTM A36 para Estructura de soporte TEA (incluye pernos, uniones y lámina alfajor 1/4")</v>
          </cell>
          <cell r="C241" t="str">
            <v>kg</v>
          </cell>
          <cell r="D241">
            <v>8500</v>
          </cell>
        </row>
        <row r="242">
          <cell r="A242" t="str">
            <v>U-5.03.11</v>
          </cell>
          <cell r="B242" t="str">
            <v>Acero Estructural ASTM A36 para Escalera metálica de estructura TEA (Incluye pernos y uniones)</v>
          </cell>
          <cell r="C242" t="str">
            <v>kg</v>
          </cell>
          <cell r="D242">
            <v>8500</v>
          </cell>
        </row>
        <row r="243">
          <cell r="A243" t="str">
            <v>U-5.04.01</v>
          </cell>
          <cell r="B243" t="str">
            <v>Excavación a máquina en material común y disposición del material sobrante</v>
          </cell>
          <cell r="C243" t="str">
            <v>m3</v>
          </cell>
          <cell r="D243">
            <v>19730</v>
          </cell>
        </row>
        <row r="244">
          <cell r="A244" t="str">
            <v>U-5.04.02</v>
          </cell>
          <cell r="B244" t="str">
            <v>Relleno Tipo 2  (Recebo o material de prestamo seleccionado)</v>
          </cell>
          <cell r="C244" t="str">
            <v>m3</v>
          </cell>
          <cell r="D244">
            <v>30014</v>
          </cell>
        </row>
        <row r="245">
          <cell r="A245" t="str">
            <v>U-5.04.03</v>
          </cell>
          <cell r="B245" t="str">
            <v>Relleno Tipo 3  (Material seleccionado de la excavación)</v>
          </cell>
          <cell r="C245" t="str">
            <v>m3</v>
          </cell>
          <cell r="D245">
            <v>12074</v>
          </cell>
        </row>
        <row r="246">
          <cell r="A246" t="str">
            <v>U-5.04.04</v>
          </cell>
          <cell r="B246" t="str">
            <v>Suministro y colocación Concreto Clase F (14.0 Mpa; 140 kg/cm2; 2000 PSI para solado)</v>
          </cell>
          <cell r="C246" t="str">
            <v>m3</v>
          </cell>
          <cell r="D246">
            <v>381672</v>
          </cell>
        </row>
        <row r="247">
          <cell r="A247" t="str">
            <v>U-5.04.05</v>
          </cell>
          <cell r="B247" t="str">
            <v>Suministro y colocación Concreto Clase D (21.0 Mpa; 210 kg/cm2; 3000 PSI) para Zapatas</v>
          </cell>
          <cell r="C247" t="str">
            <v>m3</v>
          </cell>
          <cell r="D247">
            <v>458606</v>
          </cell>
        </row>
        <row r="248">
          <cell r="A248" t="str">
            <v>U-5.04.06</v>
          </cell>
          <cell r="B248" t="str">
            <v>Suministro y colocación Concreto Clase D (21.0 Mpa; 210 kg/cm2; 3000 PSI) para Pedestales</v>
          </cell>
          <cell r="C248" t="str">
            <v>m3</v>
          </cell>
          <cell r="D248">
            <v>460934</v>
          </cell>
        </row>
        <row r="249">
          <cell r="A249" t="str">
            <v>U-5.04.07</v>
          </cell>
          <cell r="B249" t="str">
            <v>Suministro y colocación Concreto Clase D (21.0 Mpa; 210 kg/cm2; 3000 PSI) para Vigas de Amarre y Contrapesos</v>
          </cell>
          <cell r="C249" t="str">
            <v>m3</v>
          </cell>
          <cell r="D249">
            <v>460038</v>
          </cell>
        </row>
        <row r="250">
          <cell r="A250" t="str">
            <v>U-5.04.08</v>
          </cell>
          <cell r="B250" t="str">
            <v>Suministro y colocación Concreto Clase D (21.0 Mpa; 210 kg/cm2; 3000 PSI) para Placa de Piso, e=0.15m</v>
          </cell>
          <cell r="C250" t="str">
            <v>m3</v>
          </cell>
          <cell r="D250">
            <v>467122</v>
          </cell>
        </row>
        <row r="251">
          <cell r="A251" t="str">
            <v>U-5.04.09</v>
          </cell>
          <cell r="B251" t="str">
            <v>Suministro y colocación Mortero de Nivelación (Grouting) tipo SikaGrout 200</v>
          </cell>
          <cell r="C251" t="str">
            <v>lt</v>
          </cell>
          <cell r="D251">
            <v>6082</v>
          </cell>
        </row>
        <row r="252">
          <cell r="A252" t="str">
            <v>U-5.04.10</v>
          </cell>
          <cell r="B252" t="str">
            <v>Varillas Corrugadas Acero A-706; Fy =420 Mpa, 4200 kg/cm2, 60000 PSI</v>
          </cell>
          <cell r="C252" t="str">
            <v>kg</v>
          </cell>
          <cell r="D252">
            <v>2786</v>
          </cell>
        </row>
        <row r="253">
          <cell r="A253" t="str">
            <v>U-5.04.11</v>
          </cell>
          <cell r="B253" t="str">
            <v>Malla Electrosoldada Acero G-485; Fy =550 Mpa, 5500 kg/cm2, 4mmX150mmX150mm</v>
          </cell>
          <cell r="C253" t="str">
            <v>kg</v>
          </cell>
          <cell r="D253">
            <v>2997</v>
          </cell>
        </row>
        <row r="254">
          <cell r="A254" t="str">
            <v>U-6.01.01</v>
          </cell>
          <cell r="B254" t="str">
            <v>Excavación a máquina en material común y disposición del material sobrante</v>
          </cell>
          <cell r="C254" t="str">
            <v>m3</v>
          </cell>
          <cell r="D254">
            <v>19730</v>
          </cell>
        </row>
        <row r="255">
          <cell r="A255" t="str">
            <v>U-6.01.02</v>
          </cell>
          <cell r="B255" t="str">
            <v>Nivelación y Compactacion de Subrasante</v>
          </cell>
          <cell r="C255" t="str">
            <v>m2</v>
          </cell>
          <cell r="D255">
            <v>490</v>
          </cell>
        </row>
        <row r="256">
          <cell r="A256" t="str">
            <v>U-6.01.03</v>
          </cell>
          <cell r="B256" t="str">
            <v>Suministro y compactación de Afirmado (Relleno Tipo 4)</v>
          </cell>
          <cell r="C256" t="str">
            <v>m3</v>
          </cell>
          <cell r="D256">
            <v>28961</v>
          </cell>
        </row>
        <row r="257">
          <cell r="A257" t="str">
            <v>U-6.01.04</v>
          </cell>
          <cell r="B257" t="str">
            <v>Suministro y compactación de Subbase Granular (Relleno Tipo 4)</v>
          </cell>
          <cell r="C257" t="str">
            <v>m3</v>
          </cell>
          <cell r="D257">
            <v>34161</v>
          </cell>
        </row>
        <row r="258">
          <cell r="A258" t="str">
            <v>U-6.01.05</v>
          </cell>
          <cell r="B258" t="str">
            <v>Suministro y compactación de Base Granular (Relleno Tipo 5)</v>
          </cell>
          <cell r="C258" t="str">
            <v>m3</v>
          </cell>
          <cell r="D258">
            <v>41961</v>
          </cell>
        </row>
        <row r="259">
          <cell r="A259" t="str">
            <v>U-6.01.06</v>
          </cell>
          <cell r="B259" t="str">
            <v>Suministro y colocación de Tratamiento Superficial Doble</v>
          </cell>
          <cell r="C259" t="str">
            <v>m2</v>
          </cell>
          <cell r="D259">
            <v>5862</v>
          </cell>
        </row>
        <row r="260">
          <cell r="A260" t="str">
            <v>U-6.02.01</v>
          </cell>
          <cell r="B260" t="str">
            <v>Excavación a máquina en material común y disposición del material sobrante</v>
          </cell>
          <cell r="C260" t="str">
            <v>m3</v>
          </cell>
          <cell r="D260">
            <v>19730</v>
          </cell>
        </row>
        <row r="261">
          <cell r="A261" t="str">
            <v>U-6.02.02</v>
          </cell>
          <cell r="B261" t="str">
            <v>Nivelación y Compactacion de Subrasante</v>
          </cell>
          <cell r="C261" t="str">
            <v>m2</v>
          </cell>
          <cell r="D261">
            <v>490</v>
          </cell>
        </row>
        <row r="262">
          <cell r="A262" t="str">
            <v>U-6.02.03</v>
          </cell>
          <cell r="B262" t="str">
            <v>Suministro y compactación de Afirmado (Relleno Tipo 4)</v>
          </cell>
          <cell r="C262" t="str">
            <v>m3</v>
          </cell>
          <cell r="D262">
            <v>28961</v>
          </cell>
        </row>
        <row r="263">
          <cell r="A263" t="str">
            <v>U-6.02.04</v>
          </cell>
          <cell r="B263" t="str">
            <v>Suministro y compactación de Subbase Granular (Relleno Tipo 4)</v>
          </cell>
          <cell r="C263" t="str">
            <v>m3</v>
          </cell>
          <cell r="D263">
            <v>34161</v>
          </cell>
        </row>
        <row r="264">
          <cell r="A264" t="str">
            <v>U-6.02.05</v>
          </cell>
          <cell r="B264" t="str">
            <v>Suministro y compactación de Base Granular (Relleno Tipo 5)</v>
          </cell>
          <cell r="C264" t="str">
            <v>m3</v>
          </cell>
          <cell r="D264">
            <v>41961</v>
          </cell>
        </row>
        <row r="265">
          <cell r="A265" t="str">
            <v>U-6.02.06</v>
          </cell>
          <cell r="B265" t="str">
            <v>Suministro e Imprimación en emulsión tipo CRL-0</v>
          </cell>
          <cell r="C265" t="str">
            <v>m2</v>
          </cell>
          <cell r="D265">
            <v>1045</v>
          </cell>
        </row>
        <row r="266">
          <cell r="A266" t="str">
            <v>U-6.02.07</v>
          </cell>
          <cell r="B266" t="str">
            <v>Pavimento Flexible en Concreto Asfáltico, e=0.05m</v>
          </cell>
          <cell r="C266" t="str">
            <v>m3</v>
          </cell>
          <cell r="D266">
            <v>388513</v>
          </cell>
        </row>
        <row r="267">
          <cell r="A267" t="str">
            <v>U-6.03.01</v>
          </cell>
          <cell r="B267" t="str">
            <v>Excavación a máquina en material común y disposición del material sobrante</v>
          </cell>
          <cell r="C267" t="str">
            <v>m3</v>
          </cell>
          <cell r="D267">
            <v>19730</v>
          </cell>
        </row>
        <row r="268">
          <cell r="A268" t="str">
            <v>U-6.03.02</v>
          </cell>
          <cell r="B268" t="str">
            <v>Nivelación y Compactacion de Subrasante</v>
          </cell>
          <cell r="C268" t="str">
            <v>m2</v>
          </cell>
          <cell r="D268">
            <v>490</v>
          </cell>
        </row>
        <row r="269">
          <cell r="A269" t="str">
            <v>U-6.03.03</v>
          </cell>
          <cell r="B269" t="str">
            <v>Suministro y compactación de Afirmado (Relleno Tipo 4)</v>
          </cell>
          <cell r="C269" t="str">
            <v>m3</v>
          </cell>
          <cell r="D269">
            <v>28961</v>
          </cell>
        </row>
        <row r="270">
          <cell r="A270" t="str">
            <v>U-6.03.04</v>
          </cell>
          <cell r="B270" t="str">
            <v>Suministro y compactación de Subbase Granular (Relleno Tipo 4)</v>
          </cell>
          <cell r="C270" t="str">
            <v>m3</v>
          </cell>
          <cell r="D270">
            <v>34161</v>
          </cell>
        </row>
        <row r="271">
          <cell r="A271" t="str">
            <v>U-6.03.05</v>
          </cell>
          <cell r="B271" t="str">
            <v>Suministro y compactación de Base Granular (Relleno Tipo 5)</v>
          </cell>
          <cell r="C271" t="str">
            <v>m3</v>
          </cell>
          <cell r="D271">
            <v>41961</v>
          </cell>
        </row>
        <row r="272">
          <cell r="A272" t="str">
            <v>U-6.03.06</v>
          </cell>
          <cell r="B272" t="str">
            <v>Suministro y colocación de Tratamiento Superficial Doble</v>
          </cell>
          <cell r="C272" t="str">
            <v>m2</v>
          </cell>
          <cell r="D272">
            <v>5862</v>
          </cell>
        </row>
        <row r="273">
          <cell r="A273" t="str">
            <v>U-6.04.01</v>
          </cell>
          <cell r="B273" t="str">
            <v>Nivelación y Compactacion de Subrasante</v>
          </cell>
          <cell r="C273" t="str">
            <v>m2</v>
          </cell>
          <cell r="D273">
            <v>490</v>
          </cell>
        </row>
        <row r="274">
          <cell r="A274" t="str">
            <v>U-6.04.02</v>
          </cell>
          <cell r="B274" t="str">
            <v>Suministro y compactación de Subbase Granular (Relleno Tipo 4)</v>
          </cell>
          <cell r="C274" t="str">
            <v>m3</v>
          </cell>
          <cell r="D274">
            <v>34161</v>
          </cell>
        </row>
        <row r="275">
          <cell r="A275" t="str">
            <v>U-6.04.03</v>
          </cell>
          <cell r="B275" t="str">
            <v>Suministro y compactación de Base Granular (Relleno Tipo 5)</v>
          </cell>
          <cell r="C275" t="str">
            <v>m3</v>
          </cell>
          <cell r="D275">
            <v>41961</v>
          </cell>
        </row>
        <row r="276">
          <cell r="A276" t="str">
            <v>U-6.04.04</v>
          </cell>
          <cell r="B276" t="str">
            <v>Suministro e Imprimación en emulsión tipo CRL-0</v>
          </cell>
          <cell r="C276" t="str">
            <v>m2</v>
          </cell>
          <cell r="D276">
            <v>1045</v>
          </cell>
        </row>
        <row r="277">
          <cell r="A277" t="str">
            <v>U-6.04.05</v>
          </cell>
          <cell r="B277" t="str">
            <v>Pavimento Flexible en Concreto Asfáltico, e=0.05m</v>
          </cell>
          <cell r="C277" t="str">
            <v>m3</v>
          </cell>
          <cell r="D277">
            <v>388513</v>
          </cell>
        </row>
        <row r="278">
          <cell r="A278" t="str">
            <v>U-6.05.01</v>
          </cell>
          <cell r="B278" t="str">
            <v>Nivelación y Compactacion de Subrasante</v>
          </cell>
          <cell r="C278" t="str">
            <v>m2</v>
          </cell>
          <cell r="D278">
            <v>490</v>
          </cell>
        </row>
        <row r="279">
          <cell r="A279" t="str">
            <v>U-6.05.02</v>
          </cell>
          <cell r="B279" t="str">
            <v>Suministro y compactación de Subbase Granular (Relleno Tipo 4)</v>
          </cell>
          <cell r="C279" t="str">
            <v>m3</v>
          </cell>
          <cell r="D279">
            <v>34161</v>
          </cell>
        </row>
        <row r="280">
          <cell r="A280" t="str">
            <v>U-6.05.03</v>
          </cell>
          <cell r="B280" t="str">
            <v>Suministro y compactación de Base Granular (Relleno Tipo 5)</v>
          </cell>
          <cell r="C280" t="str">
            <v>m3</v>
          </cell>
          <cell r="D280">
            <v>41961</v>
          </cell>
        </row>
        <row r="281">
          <cell r="A281" t="str">
            <v>U-6.05.04</v>
          </cell>
          <cell r="B281" t="str">
            <v>Suministro e Imprimación en emulsión tipo CRL-0</v>
          </cell>
          <cell r="C281" t="str">
            <v>m2</v>
          </cell>
          <cell r="D281">
            <v>1045</v>
          </cell>
        </row>
        <row r="282">
          <cell r="A282" t="str">
            <v>U-6.05.05</v>
          </cell>
          <cell r="B282" t="str">
            <v>Pavimento Flexible en Concreto Asfáltico, e=0.05m</v>
          </cell>
          <cell r="C282" t="str">
            <v>m3</v>
          </cell>
          <cell r="D282">
            <v>388513</v>
          </cell>
        </row>
        <row r="283">
          <cell r="A283" t="str">
            <v>U-6.06.01</v>
          </cell>
          <cell r="B283" t="str">
            <v>Nivelación y Compactacion de Subrasante</v>
          </cell>
          <cell r="C283" t="str">
            <v>m2</v>
          </cell>
          <cell r="D283">
            <v>490</v>
          </cell>
        </row>
        <row r="284">
          <cell r="A284" t="str">
            <v>U-6.06.02</v>
          </cell>
          <cell r="B284" t="str">
            <v>Suministro y compactación de Subbase Granular (Relleno Tipo 4)</v>
          </cell>
          <cell r="C284" t="str">
            <v>m3</v>
          </cell>
          <cell r="D284">
            <v>34161</v>
          </cell>
        </row>
        <row r="285">
          <cell r="A285" t="str">
            <v>U-6.06.03</v>
          </cell>
          <cell r="B285" t="str">
            <v>Suministro y compactación de Base Granular (Relleno Tipo 5)</v>
          </cell>
          <cell r="C285" t="str">
            <v>m3</v>
          </cell>
          <cell r="D285">
            <v>41961</v>
          </cell>
        </row>
        <row r="286">
          <cell r="A286" t="str">
            <v>U-6.06.04</v>
          </cell>
          <cell r="B286" t="str">
            <v>Suministro e Imprimación en emulsión tipo CRL-0</v>
          </cell>
          <cell r="C286" t="str">
            <v>m2</v>
          </cell>
          <cell r="D286">
            <v>1045</v>
          </cell>
        </row>
        <row r="287">
          <cell r="A287" t="str">
            <v>U-6.06.05</v>
          </cell>
          <cell r="B287" t="str">
            <v>Pavimento Flexible en Concreto Asfáltico, e=0.05m</v>
          </cell>
          <cell r="C287" t="str">
            <v>m3</v>
          </cell>
          <cell r="D287">
            <v>388513</v>
          </cell>
        </row>
        <row r="288">
          <cell r="A288" t="str">
            <v>U-6.07.01</v>
          </cell>
          <cell r="B288" t="str">
            <v>Excavación manual en material común y disposición del material sobrante</v>
          </cell>
          <cell r="C288" t="str">
            <v>m3</v>
          </cell>
          <cell r="D288">
            <v>27274</v>
          </cell>
        </row>
        <row r="289">
          <cell r="A289" t="str">
            <v>U-6.07.02</v>
          </cell>
          <cell r="B289" t="str">
            <v>Relleno Tipo 2  (Recebo o material de prestamo seleccionado)</v>
          </cell>
          <cell r="C289" t="str">
            <v>m3</v>
          </cell>
          <cell r="D289">
            <v>30014</v>
          </cell>
        </row>
        <row r="290">
          <cell r="A290" t="str">
            <v>U-6.07.03</v>
          </cell>
          <cell r="B290" t="str">
            <v>Suministro y colocación Concreto Clase F (14.0 Mpa; 140 kg/cm2; 2000 PSI para solado)</v>
          </cell>
          <cell r="C290" t="str">
            <v>m3</v>
          </cell>
          <cell r="D290">
            <v>381672</v>
          </cell>
        </row>
        <row r="291">
          <cell r="A291" t="str">
            <v>U-6.07.04</v>
          </cell>
          <cell r="B291" t="str">
            <v>Suministro y colocación Concreto Clase D (21.0 Mpa; 210 kg/cm2; 3000 PSI) para Muros</v>
          </cell>
          <cell r="C291" t="str">
            <v>m3</v>
          </cell>
          <cell r="D291">
            <v>500774</v>
          </cell>
        </row>
        <row r="292">
          <cell r="A292" t="str">
            <v>U-6.07.05</v>
          </cell>
          <cell r="B292" t="str">
            <v>Varillas Corrugadas Acero A-706; Fy =420 Mpa, 4200 kg/cm2, 60000 PSI</v>
          </cell>
          <cell r="C292" t="str">
            <v>kg</v>
          </cell>
          <cell r="D292">
            <v>2786</v>
          </cell>
        </row>
        <row r="293">
          <cell r="A293" t="str">
            <v>U-7.01.01</v>
          </cell>
          <cell r="B293" t="str">
            <v>Excavación manual en material común y disposición del material sobrante</v>
          </cell>
          <cell r="C293" t="str">
            <v>m3</v>
          </cell>
          <cell r="D293">
            <v>27274</v>
          </cell>
        </row>
        <row r="294">
          <cell r="A294" t="str">
            <v>U-7.01.02</v>
          </cell>
          <cell r="B294" t="str">
            <v>Relleno Tipo 2  (Recebo o material de prestamo seleccionado)</v>
          </cell>
          <cell r="C294" t="str">
            <v>m3</v>
          </cell>
          <cell r="D294">
            <v>30014</v>
          </cell>
        </row>
        <row r="295">
          <cell r="A295" t="str">
            <v>U-7.01.03</v>
          </cell>
          <cell r="B295" t="str">
            <v>Suministro y colocación Concreto Clase F (14.0 Mpa; 140 kg/cm2; 2000 PSI) para solado Canal Perimetral Edificio de Operaciones</v>
          </cell>
          <cell r="C295" t="str">
            <v>m3</v>
          </cell>
          <cell r="D295">
            <v>381672</v>
          </cell>
        </row>
        <row r="296">
          <cell r="A296" t="str">
            <v>U-7.01.04</v>
          </cell>
          <cell r="B296" t="str">
            <v>Canal Perimetral 0.25mx0.30m en Concreto Clase E (17.5 Mpa; 175 kg/cm2; 2500 PSI) Edificio de Operaciones (Incluye rejilla metálica) (Incluye refuerzo, base y relleno)</v>
          </cell>
          <cell r="C296" t="str">
            <v>ml</v>
          </cell>
          <cell r="D296">
            <v>200421</v>
          </cell>
        </row>
        <row r="297">
          <cell r="A297" t="str">
            <v>U-7.02.01</v>
          </cell>
          <cell r="B297" t="str">
            <v>Excavación manual en material común y disposición del material sobrante</v>
          </cell>
          <cell r="C297" t="str">
            <v>m3</v>
          </cell>
          <cell r="D297">
            <v>27274</v>
          </cell>
        </row>
        <row r="298">
          <cell r="A298" t="str">
            <v>U-7.02.02</v>
          </cell>
          <cell r="B298" t="str">
            <v>Relleno Tipo 2  (Recebo o material de prestamo seleccionado)</v>
          </cell>
          <cell r="C298" t="str">
            <v>m3</v>
          </cell>
          <cell r="D298">
            <v>30014</v>
          </cell>
        </row>
        <row r="299">
          <cell r="A299" t="str">
            <v>U-7.02.03</v>
          </cell>
          <cell r="B299" t="str">
            <v>Suministro y colocación Concreto Clase F (14.0 Mpa; 140 kg/cm2; 2000 PSI) para solado Canal Perimetral Edificio CDP y CCM Bombas PIA</v>
          </cell>
          <cell r="C299" t="str">
            <v>m3</v>
          </cell>
          <cell r="D299">
            <v>381672</v>
          </cell>
        </row>
        <row r="300">
          <cell r="A300" t="str">
            <v>U-7.02.04</v>
          </cell>
          <cell r="B300" t="str">
            <v>Canal Perimetral 0.25mx0.30m en Concreto Clase E (17.5 Mpa; 175 kg/cm2; 2500 PSI) Edificio CDP y CCM Bombas PIA (Incluye refuerzo, base y relleno)</v>
          </cell>
          <cell r="C300" t="str">
            <v>ml</v>
          </cell>
          <cell r="D300">
            <v>200421</v>
          </cell>
        </row>
        <row r="301">
          <cell r="A301" t="str">
            <v>U-7.03.01</v>
          </cell>
          <cell r="B301" t="str">
            <v>Excavación manual en material común y disposición del material sobrante</v>
          </cell>
          <cell r="C301" t="str">
            <v>m3</v>
          </cell>
          <cell r="D301">
            <v>27274</v>
          </cell>
        </row>
        <row r="302">
          <cell r="A302" t="str">
            <v>U-7.03.02</v>
          </cell>
          <cell r="B302" t="str">
            <v>Relleno Tipo 2  (Recebo o material de prestamo seleccionado)</v>
          </cell>
          <cell r="C302" t="str">
            <v>m3</v>
          </cell>
          <cell r="D302">
            <v>30014</v>
          </cell>
        </row>
        <row r="303">
          <cell r="A303" t="str">
            <v>U-7.03.03</v>
          </cell>
          <cell r="B303" t="str">
            <v>Suministro y colocación Concreto Clase F (14.0 Mpa; 140 kg/cm2; 2000 PSI) para solado Canal Perimetral Edificio CDP y CCM Bombas PIA</v>
          </cell>
          <cell r="C303" t="str">
            <v>m3</v>
          </cell>
          <cell r="D303">
            <v>381672</v>
          </cell>
        </row>
        <row r="304">
          <cell r="A304" t="str">
            <v>U-7.03.04</v>
          </cell>
          <cell r="B304" t="str">
            <v>Canal Perimetral 0.25mx0.30m en Concreto Clase E (17.5 Mpa; 175 kg/cm2; 2500 PSI) Edificio CDP y CCM Bombas PIA (Incluye refuerzo, base y relleno)</v>
          </cell>
          <cell r="C304" t="str">
            <v>ml</v>
          </cell>
          <cell r="D304">
            <v>200421</v>
          </cell>
        </row>
        <row r="305">
          <cell r="A305" t="str">
            <v>U-7.05.01</v>
          </cell>
          <cell r="B305" t="str">
            <v>Excavación a máquina en material común y disposición del material sobrante</v>
          </cell>
          <cell r="C305" t="str">
            <v>m3</v>
          </cell>
          <cell r="D305">
            <v>19730</v>
          </cell>
        </row>
        <row r="306">
          <cell r="A306" t="str">
            <v>U-7.05.02</v>
          </cell>
          <cell r="B306" t="str">
            <v>Suministro y colocación Concreto Clase F (14.0 Mpa; 140 kg/cm2; 2000 PSI para solado)</v>
          </cell>
          <cell r="C306" t="str">
            <v>m3</v>
          </cell>
          <cell r="D306">
            <v>381672</v>
          </cell>
        </row>
        <row r="307">
          <cell r="A307" t="str">
            <v>U-7.05.03</v>
          </cell>
          <cell r="B307" t="str">
            <v>Suministro y colocación Concreto Clase C (28.0 Mpa; 280 kg/cm2; 4000 PSI) para Muros</v>
          </cell>
          <cell r="C307" t="str">
            <v>m3</v>
          </cell>
          <cell r="D307">
            <v>536259</v>
          </cell>
        </row>
        <row r="308">
          <cell r="A308" t="str">
            <v>U-7.05.04</v>
          </cell>
          <cell r="B308" t="str">
            <v>Varillas Corrugadas Acero A-706; Fy =420 Mpa, 4200 kg/cm2, 60000 PSI</v>
          </cell>
          <cell r="C308" t="str">
            <v>kg</v>
          </cell>
          <cell r="D308">
            <v>2786</v>
          </cell>
        </row>
        <row r="309">
          <cell r="A309" t="str">
            <v>U-7.06.01</v>
          </cell>
          <cell r="B309" t="str">
            <v>Excavación a máquina en material común y disposición del material sobrante</v>
          </cell>
          <cell r="C309" t="str">
            <v>m3</v>
          </cell>
          <cell r="D309">
            <v>19730</v>
          </cell>
        </row>
        <row r="310">
          <cell r="A310" t="str">
            <v>U-7.06.02</v>
          </cell>
          <cell r="B310" t="str">
            <v>Suministro y colocación Concreto Clase F (14.0 Mpa; 140 kg/cm2; 2000 PSI para solado)</v>
          </cell>
          <cell r="C310" t="str">
            <v>m3</v>
          </cell>
          <cell r="D310">
            <v>381672</v>
          </cell>
        </row>
        <row r="311">
          <cell r="A311" t="str">
            <v>U-7.06.03</v>
          </cell>
          <cell r="B311" t="str">
            <v>Suministro y colocación Concreto Clase C (28.0 Mpa; 280 kg/cm2; 4000 PSI) para Muros</v>
          </cell>
          <cell r="C311" t="str">
            <v>m3</v>
          </cell>
          <cell r="D311">
            <v>536259</v>
          </cell>
        </row>
        <row r="312">
          <cell r="A312" t="str">
            <v>U-7.06.04</v>
          </cell>
          <cell r="B312" t="str">
            <v>Varillas Corrugadas Acero A-706; Fy =420 Mpa, 4200 kg/cm2, 60000 PSI</v>
          </cell>
          <cell r="C312" t="str">
            <v>kg</v>
          </cell>
          <cell r="D312">
            <v>2786</v>
          </cell>
        </row>
        <row r="313">
          <cell r="A313" t="str">
            <v>U-7.06.05</v>
          </cell>
          <cell r="B313" t="str">
            <v>Cinta SIKA PVC Tipo 0-22</v>
          </cell>
          <cell r="C313" t="str">
            <v>ml</v>
          </cell>
          <cell r="D313">
            <v>28417</v>
          </cell>
        </row>
        <row r="314">
          <cell r="A314" t="str">
            <v>U-7.08.01</v>
          </cell>
          <cell r="B314" t="str">
            <v>Excavación manual en material común y disposición del material sobrante</v>
          </cell>
          <cell r="C314" t="str">
            <v>m3</v>
          </cell>
          <cell r="D314">
            <v>27274</v>
          </cell>
        </row>
        <row r="315">
          <cell r="A315" t="str">
            <v>U-7.08.02</v>
          </cell>
          <cell r="B315" t="str">
            <v>Cuneta Tipo 1 en Concreto simple de 3000 PSI</v>
          </cell>
          <cell r="C315" t="str">
            <v>ml</v>
          </cell>
          <cell r="D315">
            <v>152693</v>
          </cell>
        </row>
        <row r="316">
          <cell r="A316" t="str">
            <v>U-7.08.03</v>
          </cell>
          <cell r="B316" t="str">
            <v>Cuneta Tipo 2 en Concreto simple de 3000 PSI</v>
          </cell>
          <cell r="C316" t="str">
            <v>ml</v>
          </cell>
          <cell r="D316">
            <v>46412</v>
          </cell>
        </row>
        <row r="317">
          <cell r="A317" t="str">
            <v>U-7.08.04</v>
          </cell>
          <cell r="B317" t="str">
            <v>Cuneta Tipo 3 en Concreto de 3000 PSI (Incluye refuerzo)</v>
          </cell>
          <cell r="C317" t="str">
            <v>ml</v>
          </cell>
          <cell r="D317">
            <v>46150</v>
          </cell>
        </row>
        <row r="318">
          <cell r="A318" t="str">
            <v>U-7.08.05</v>
          </cell>
          <cell r="B318" t="str">
            <v>Cuneta Tipo 4 en Concreto de 3000 PSI (Incluye refuerzo)</v>
          </cell>
          <cell r="C318" t="str">
            <v>ml</v>
          </cell>
          <cell r="D318">
            <v>40835</v>
          </cell>
        </row>
        <row r="319">
          <cell r="A319" t="str">
            <v>U-7.08.06</v>
          </cell>
          <cell r="B319" t="str">
            <v>Cuneta Tipo 5 en Concreto de 3000 PSI</v>
          </cell>
          <cell r="C319" t="str">
            <v>ml</v>
          </cell>
          <cell r="D319">
            <v>66542</v>
          </cell>
        </row>
        <row r="320">
          <cell r="A320" t="str">
            <v>U-7.09.01</v>
          </cell>
          <cell r="B320" t="str">
            <v>Excavación manual en material común y disposición del material sobrante</v>
          </cell>
          <cell r="C320" t="str">
            <v>m3</v>
          </cell>
          <cell r="D320">
            <v>27274</v>
          </cell>
        </row>
        <row r="321">
          <cell r="A321" t="str">
            <v>U-7.09.02</v>
          </cell>
          <cell r="B321" t="str">
            <v>Suministro y colocación Concreto Clase F (14.0 Mpa; 140 kg/cm2; 2000 PSI para solado)</v>
          </cell>
          <cell r="C321" t="str">
            <v>m3</v>
          </cell>
          <cell r="D321">
            <v>381672</v>
          </cell>
        </row>
        <row r="322">
          <cell r="A322" t="str">
            <v>U-7.09.03</v>
          </cell>
          <cell r="B322" t="str">
            <v>Cuneta Tipo A en Concreto simple de 3000 PSI (Incluye rejilla)</v>
          </cell>
          <cell r="C322" t="str">
            <v>ml</v>
          </cell>
          <cell r="D322">
            <v>106236</v>
          </cell>
        </row>
        <row r="323">
          <cell r="A323" t="str">
            <v>U-7.09.04</v>
          </cell>
          <cell r="B323" t="str">
            <v>Cuneta Tipo B en Concreto simple de 3000 PSI (Incluye rejilla)</v>
          </cell>
          <cell r="C323" t="str">
            <v>ml</v>
          </cell>
          <cell r="D323">
            <v>108881</v>
          </cell>
        </row>
        <row r="324">
          <cell r="A324" t="str">
            <v>U-7.10.01</v>
          </cell>
          <cell r="B324" t="str">
            <v>Excavación a máquina en material común y disposición del material sobrante</v>
          </cell>
          <cell r="C324" t="str">
            <v>m3</v>
          </cell>
          <cell r="D324">
            <v>19730</v>
          </cell>
        </row>
        <row r="325">
          <cell r="A325" t="str">
            <v>U-7.10.02</v>
          </cell>
          <cell r="B325" t="str">
            <v>Tubería de acero al carbón ASTM A-53 / A-106 Grado B D=3/4" (Incluye relleno)</v>
          </cell>
          <cell r="C325" t="str">
            <v>ml</v>
          </cell>
          <cell r="D325">
            <v>56837</v>
          </cell>
        </row>
        <row r="326">
          <cell r="A326" t="str">
            <v>U-7.10.03</v>
          </cell>
          <cell r="B326" t="str">
            <v>Tubería de acero al carbón ASTM A-53 / A-106 Grado B D=1" (Incluye relleno)</v>
          </cell>
          <cell r="C326" t="str">
            <v>ml</v>
          </cell>
          <cell r="D326">
            <v>62441</v>
          </cell>
        </row>
        <row r="327">
          <cell r="A327" t="str">
            <v>U-7.10.04</v>
          </cell>
          <cell r="B327" t="str">
            <v>Tubería de acero al carbón ASTM A-53 / A-106 Grado B D=2" (Incluye relleno)</v>
          </cell>
          <cell r="C327" t="str">
            <v>ml</v>
          </cell>
          <cell r="D327">
            <v>68072</v>
          </cell>
        </row>
        <row r="328">
          <cell r="A328" t="str">
            <v>U-7.10.05</v>
          </cell>
          <cell r="B328" t="str">
            <v>Tubería de acero al carbón ASTM A-53 / A-106 Grado B D=3" (Incluye relleno)</v>
          </cell>
          <cell r="C328" t="str">
            <v>ml</v>
          </cell>
          <cell r="D328">
            <v>131440</v>
          </cell>
        </row>
        <row r="329">
          <cell r="A329" t="str">
            <v>U-7.10.06</v>
          </cell>
          <cell r="B329" t="str">
            <v>Tubería de acero al carbón ASTM A-53 / A-106 Grado B D=4" (Incluye relleno)</v>
          </cell>
          <cell r="C329" t="str">
            <v>ml</v>
          </cell>
          <cell r="D329">
            <v>178029</v>
          </cell>
        </row>
        <row r="330">
          <cell r="A330" t="str">
            <v>U-7.10.07</v>
          </cell>
          <cell r="B330" t="str">
            <v>Tubería de acero al carbón ASTM A-53 / A-106 Grado B D=6" (Incluye relleno)</v>
          </cell>
          <cell r="C330" t="str">
            <v>ml</v>
          </cell>
          <cell r="D330">
            <v>338432</v>
          </cell>
        </row>
        <row r="331">
          <cell r="A331" t="str">
            <v>U-7.10.08</v>
          </cell>
          <cell r="B331" t="str">
            <v>Tubería de acero al carbón ASTM A-53 / A-106 Grado B D=8" (Incluye relleno)</v>
          </cell>
          <cell r="C331" t="str">
            <v>ml</v>
          </cell>
          <cell r="D331">
            <v>504122</v>
          </cell>
        </row>
        <row r="332">
          <cell r="A332" t="str">
            <v>U-7.10.09</v>
          </cell>
          <cell r="B332" t="str">
            <v>Tubería de acero al carbón ASTM A-53 / A-106 Grado B D=10" (Incluye relleno)</v>
          </cell>
          <cell r="C332" t="str">
            <v>ml</v>
          </cell>
          <cell r="D332">
            <v>543848</v>
          </cell>
        </row>
        <row r="333">
          <cell r="A333" t="str">
            <v>U-7.10.10</v>
          </cell>
          <cell r="B333" t="str">
            <v>Tubería PVC Tipo NOVAFORT o similar D=4" (Incluye relleno)</v>
          </cell>
          <cell r="C333" t="str">
            <v>ml</v>
          </cell>
          <cell r="D333">
            <v>49779</v>
          </cell>
        </row>
        <row r="334">
          <cell r="A334" t="str">
            <v>U-7.10.11</v>
          </cell>
          <cell r="B334" t="str">
            <v>Tubería PVC Tipo NOVAFORT o similar D=6" (Incluye relleno)</v>
          </cell>
          <cell r="C334" t="str">
            <v>ml</v>
          </cell>
          <cell r="D334">
            <v>63182</v>
          </cell>
        </row>
        <row r="335">
          <cell r="A335" t="str">
            <v>U-7.10.12</v>
          </cell>
          <cell r="B335" t="str">
            <v>Tubería PVC Tipo NOVAFORT o similar D=12" (Incluye relleno)</v>
          </cell>
          <cell r="C335" t="str">
            <v>ml</v>
          </cell>
          <cell r="D335">
            <v>124609</v>
          </cell>
        </row>
        <row r="336">
          <cell r="A336" t="str">
            <v>U-7.10.13</v>
          </cell>
          <cell r="B336" t="str">
            <v>Tubería PVC Tipo NOVAFORT o similar D=24" (Incluye relleno)</v>
          </cell>
          <cell r="C336" t="str">
            <v>ml</v>
          </cell>
          <cell r="D336">
            <v>143438</v>
          </cell>
        </row>
        <row r="337">
          <cell r="A337" t="str">
            <v>U-7.11.01</v>
          </cell>
          <cell r="B337" t="str">
            <v>Excavación manual en material común y disposición del material sobrante</v>
          </cell>
          <cell r="C337" t="str">
            <v>m3</v>
          </cell>
          <cell r="D337">
            <v>27274</v>
          </cell>
        </row>
        <row r="338">
          <cell r="A338" t="str">
            <v>U-7.11.02</v>
          </cell>
          <cell r="B338" t="str">
            <v>Relleno Tipo 3  (Material seleccionado de la excavación)</v>
          </cell>
          <cell r="C338" t="str">
            <v>m3</v>
          </cell>
          <cell r="D338">
            <v>12074</v>
          </cell>
        </row>
        <row r="339">
          <cell r="A339" t="str">
            <v>U-7.11.03</v>
          </cell>
          <cell r="B339" t="str">
            <v>Suministro y colocación Concreto Clase F (14.0 Mpa; 140 kg/cm2; 2000 PSI para solado)</v>
          </cell>
          <cell r="C339" t="str">
            <v>m3</v>
          </cell>
          <cell r="D339">
            <v>381672</v>
          </cell>
        </row>
        <row r="340">
          <cell r="A340" t="str">
            <v>U-7.11.04</v>
          </cell>
          <cell r="B340" t="str">
            <v>Suministro y colocación Concreto Clase D (21.0 Mpa; 210 kg/cm2; 3000 PSI) para Pedestales</v>
          </cell>
          <cell r="C340" t="str">
            <v>m3</v>
          </cell>
          <cell r="D340">
            <v>460934</v>
          </cell>
        </row>
        <row r="341">
          <cell r="A341" t="str">
            <v>U-7.11.05</v>
          </cell>
          <cell r="B341" t="str">
            <v>Varillas Corrugadas Acero A-706; Fy =420 Mpa, 4200 kg/cm2, 60000 PSI</v>
          </cell>
          <cell r="C341" t="str">
            <v>kg</v>
          </cell>
          <cell r="D341">
            <v>2786</v>
          </cell>
        </row>
        <row r="342">
          <cell r="A342" t="str">
            <v>U-7.11.06</v>
          </cell>
          <cell r="B342" t="str">
            <v>Acero Estructural ASTM A36 para soportería</v>
          </cell>
          <cell r="C342" t="str">
            <v>kg</v>
          </cell>
          <cell r="D342">
            <v>7223</v>
          </cell>
        </row>
        <row r="343">
          <cell r="A343" t="str">
            <v>U-7.12.01</v>
          </cell>
          <cell r="B343" t="str">
            <v>Excavación manual en material común y disposición del material sobrante</v>
          </cell>
          <cell r="C343" t="str">
            <v>m3</v>
          </cell>
          <cell r="D343">
            <v>27274</v>
          </cell>
        </row>
        <row r="344">
          <cell r="A344" t="str">
            <v>U-7.12.02</v>
          </cell>
          <cell r="B344" t="str">
            <v>Relleno Tipo 2  (Recebo o material de prestamo seleccionado)</v>
          </cell>
          <cell r="C344" t="str">
            <v>m3</v>
          </cell>
          <cell r="D344">
            <v>30014</v>
          </cell>
        </row>
        <row r="345">
          <cell r="A345" t="str">
            <v>U-7.12.03</v>
          </cell>
          <cell r="B345" t="str">
            <v>Relleno Tipo 3  (Material seleccionado de la excavación)</v>
          </cell>
          <cell r="C345" t="str">
            <v>m3</v>
          </cell>
          <cell r="D345">
            <v>12074</v>
          </cell>
        </row>
        <row r="346">
          <cell r="A346" t="str">
            <v>U-7.12.04</v>
          </cell>
          <cell r="B346" t="str">
            <v>Suministro y colocación Concreto Clase D (21.0 Mpa; 210 kg/cm2; 3000 PSI) para Pedestales</v>
          </cell>
          <cell r="C346" t="str">
            <v>m3</v>
          </cell>
          <cell r="D346">
            <v>460934</v>
          </cell>
        </row>
        <row r="347">
          <cell r="A347" t="str">
            <v>U-7.12.05</v>
          </cell>
          <cell r="B347" t="str">
            <v>Suministro y colocación Concreto Clase F (14.0 Mpa; 140 kg/cm2; 2000 PSI para solado)</v>
          </cell>
          <cell r="C347" t="str">
            <v>m3</v>
          </cell>
          <cell r="D347">
            <v>381672</v>
          </cell>
        </row>
        <row r="348">
          <cell r="A348" t="str">
            <v>U-7.12.06</v>
          </cell>
          <cell r="B348" t="str">
            <v>Varillas Corrugadas Acero A-706; Fy =420 Mpa, 4200 kg/cm2, 60000 PSI</v>
          </cell>
          <cell r="C348" t="str">
            <v>kg</v>
          </cell>
          <cell r="D348">
            <v>2786</v>
          </cell>
        </row>
        <row r="349">
          <cell r="A349" t="str">
            <v>U-7.12.07</v>
          </cell>
          <cell r="B349" t="str">
            <v>Acero Estructural ASTM A36 para soportería</v>
          </cell>
          <cell r="C349" t="str">
            <v>kg</v>
          </cell>
          <cell r="D349">
            <v>7223</v>
          </cell>
        </row>
        <row r="350">
          <cell r="A350" t="str">
            <v>U-7.12.08</v>
          </cell>
          <cell r="B350" t="str">
            <v>Acero Estructural ASTM A36 para Perfiles - Soportería</v>
          </cell>
          <cell r="C350" t="str">
            <v>kg</v>
          </cell>
          <cell r="D350">
            <v>8500</v>
          </cell>
        </row>
        <row r="351">
          <cell r="A351" t="str">
            <v>U-7.13.01</v>
          </cell>
          <cell r="B351" t="str">
            <v>Excavación manual en material común y disposición del material sobrante</v>
          </cell>
          <cell r="C351" t="str">
            <v>m3</v>
          </cell>
          <cell r="D351">
            <v>27274</v>
          </cell>
        </row>
        <row r="352">
          <cell r="A352" t="str">
            <v>U-7.13.02</v>
          </cell>
          <cell r="B352" t="str">
            <v>Relleno Tipo 2  (Recebo o material de prestamo seleccionado)</v>
          </cell>
          <cell r="C352" t="str">
            <v>m3</v>
          </cell>
          <cell r="D352">
            <v>30014</v>
          </cell>
        </row>
        <row r="353">
          <cell r="A353" t="str">
            <v>U-7.13.03</v>
          </cell>
          <cell r="B353" t="str">
            <v>Relleno Tipo 3  (Material seleccionado de la excavación)</v>
          </cell>
          <cell r="C353" t="str">
            <v>m3</v>
          </cell>
          <cell r="D353">
            <v>12074</v>
          </cell>
        </row>
        <row r="354">
          <cell r="A354" t="str">
            <v>U-7.13.04</v>
          </cell>
          <cell r="B354" t="str">
            <v>Suministro y colocación Concreto Clase F (14.0 Mpa; 140 kg/cm2; 2000 PSI para solado)</v>
          </cell>
          <cell r="C354" t="str">
            <v>m3</v>
          </cell>
          <cell r="D354">
            <v>381672</v>
          </cell>
        </row>
        <row r="355">
          <cell r="A355" t="str">
            <v>U-7.13.05</v>
          </cell>
          <cell r="B355" t="str">
            <v>Suministro y colocación Concreto Clase D (21.0 Mpa; 210 kg/cm2; 3000 PSI) para Pedestales</v>
          </cell>
          <cell r="C355" t="str">
            <v>m3</v>
          </cell>
          <cell r="D355">
            <v>460934</v>
          </cell>
        </row>
        <row r="356">
          <cell r="A356" t="str">
            <v>U-7.13.06</v>
          </cell>
          <cell r="B356" t="str">
            <v>Varillas Corrugadas Acero A-706; Fy =420 Mpa, 4200 kg/cm2, 60000 PSI</v>
          </cell>
          <cell r="C356" t="str">
            <v>kg</v>
          </cell>
          <cell r="D356">
            <v>2786</v>
          </cell>
        </row>
        <row r="357">
          <cell r="A357" t="str">
            <v>U-7.13.07</v>
          </cell>
          <cell r="B357" t="str">
            <v>Acero Estructural ASTM A36 para soportería</v>
          </cell>
          <cell r="C357" t="str">
            <v>kg</v>
          </cell>
          <cell r="D357">
            <v>7223</v>
          </cell>
        </row>
        <row r="358">
          <cell r="A358" t="str">
            <v>U-7.13.08</v>
          </cell>
          <cell r="B358" t="str">
            <v>Acero Estructural ASTM A36 para Perfiles - Soportería</v>
          </cell>
          <cell r="C358" t="str">
            <v>kg</v>
          </cell>
          <cell r="D358">
            <v>8500</v>
          </cell>
        </row>
        <row r="359">
          <cell r="A359" t="str">
            <v>U-7.14.01</v>
          </cell>
          <cell r="B359" t="str">
            <v>Excavación manual en material común y disposición del material sobrante</v>
          </cell>
          <cell r="C359" t="str">
            <v>m3</v>
          </cell>
          <cell r="D359">
            <v>27274</v>
          </cell>
        </row>
        <row r="360">
          <cell r="A360" t="str">
            <v>U-7.14.02</v>
          </cell>
          <cell r="B360" t="str">
            <v>Relleno Tipo 2  (Recebo o material de prestamo seleccionado)</v>
          </cell>
          <cell r="C360" t="str">
            <v>m3</v>
          </cell>
          <cell r="D360">
            <v>30014</v>
          </cell>
        </row>
        <row r="361">
          <cell r="A361" t="str">
            <v>U-7.14.03</v>
          </cell>
          <cell r="B361" t="str">
            <v>Relleno Tipo 3  (Material seleccionado de la excavación)</v>
          </cell>
          <cell r="C361" t="str">
            <v>m3</v>
          </cell>
          <cell r="D361">
            <v>12074</v>
          </cell>
        </row>
        <row r="362">
          <cell r="A362" t="str">
            <v>U-7.14.04</v>
          </cell>
          <cell r="B362" t="str">
            <v>Varillas Corrugadas Acero A-706; Fy =420 Mpa, 4200 kg/cm2, 60000 PSI</v>
          </cell>
          <cell r="C362" t="str">
            <v>kg</v>
          </cell>
          <cell r="D362">
            <v>2786</v>
          </cell>
        </row>
        <row r="363">
          <cell r="A363" t="str">
            <v>U-7.14.05</v>
          </cell>
          <cell r="B363" t="str">
            <v>Acero Estructural ASTM A36 para soportería</v>
          </cell>
          <cell r="C363" t="str">
            <v>kg</v>
          </cell>
          <cell r="D363">
            <v>7223</v>
          </cell>
        </row>
        <row r="364">
          <cell r="A364" t="str">
            <v>U-7.14.06</v>
          </cell>
          <cell r="B364" t="str">
            <v>Acero Estructural ASTM A36 para Perfiles - Soportería</v>
          </cell>
          <cell r="C364" t="str">
            <v>kg</v>
          </cell>
          <cell r="D364">
            <v>8500</v>
          </cell>
        </row>
        <row r="365">
          <cell r="A365" t="str">
            <v>U-7.15.01</v>
          </cell>
          <cell r="B365" t="str">
            <v>Excavación manual en material común y disposición del material sobrante</v>
          </cell>
          <cell r="C365" t="str">
            <v>m3</v>
          </cell>
          <cell r="D365">
            <v>27274</v>
          </cell>
        </row>
        <row r="366">
          <cell r="A366" t="str">
            <v>U-7.15.02</v>
          </cell>
          <cell r="B366" t="str">
            <v>Relleno Tipo 2  (Recebo o material de prestamo seleccionado)</v>
          </cell>
          <cell r="C366" t="str">
            <v>m3</v>
          </cell>
          <cell r="D366">
            <v>30014</v>
          </cell>
        </row>
        <row r="367">
          <cell r="A367" t="str">
            <v>U-7.15.03</v>
          </cell>
          <cell r="B367" t="str">
            <v>Relleno Tipo 3  (Material seleccionado de la excavación)</v>
          </cell>
          <cell r="C367" t="str">
            <v>m3</v>
          </cell>
          <cell r="D367">
            <v>12074</v>
          </cell>
        </row>
        <row r="368">
          <cell r="A368" t="str">
            <v>U-7.15.04</v>
          </cell>
          <cell r="B368" t="str">
            <v>Suministro y colocación Concreto Clase F (14.0 Mpa; 140 kg/cm2; 2000 PSI para solado)</v>
          </cell>
          <cell r="C368" t="str">
            <v>m3</v>
          </cell>
          <cell r="D368">
            <v>381672</v>
          </cell>
        </row>
        <row r="369">
          <cell r="A369" t="str">
            <v>U-7.15.05</v>
          </cell>
          <cell r="B369" t="str">
            <v>Suministro y colocación Concreto Clase D (21.0 Mpa; 210 kg/cm2; 3000 PSI) para Pedestales</v>
          </cell>
          <cell r="C369" t="str">
            <v>m3</v>
          </cell>
          <cell r="D369">
            <v>460934</v>
          </cell>
        </row>
        <row r="370">
          <cell r="A370" t="str">
            <v>U-7.15.06</v>
          </cell>
          <cell r="B370" t="str">
            <v>Varillas Corrugadas Acero A-706; Fy =420 Mpa, 4200 kg/cm2, 60000 PSI</v>
          </cell>
          <cell r="C370" t="str">
            <v>kg</v>
          </cell>
          <cell r="D370">
            <v>2786</v>
          </cell>
        </row>
        <row r="371">
          <cell r="A371" t="str">
            <v>U-7.15.07</v>
          </cell>
          <cell r="B371" t="str">
            <v>Acero Estructural ASTM A36 para soportería</v>
          </cell>
          <cell r="C371" t="str">
            <v>kg</v>
          </cell>
          <cell r="D371">
            <v>7223</v>
          </cell>
        </row>
        <row r="372">
          <cell r="A372" t="str">
            <v>U-7.15.08</v>
          </cell>
          <cell r="B372" t="str">
            <v>Acero Estructural ASTM A36 para Perfiles - Soportería</v>
          </cell>
          <cell r="C372" t="str">
            <v>kg</v>
          </cell>
          <cell r="D372">
            <v>8500</v>
          </cell>
        </row>
        <row r="373">
          <cell r="A373" t="str">
            <v>U-7.17.01</v>
          </cell>
          <cell r="B373" t="str">
            <v>Acero Estructural ASTM A36 para Perfiles - Soportería</v>
          </cell>
          <cell r="C373" t="str">
            <v>kg</v>
          </cell>
          <cell r="D373">
            <v>8500</v>
          </cell>
        </row>
        <row r="374">
          <cell r="A374" t="str">
            <v>U-7.18.01</v>
          </cell>
          <cell r="B374" t="str">
            <v>Acero Estructural ASTM A36 para Perfiles - Soportería</v>
          </cell>
          <cell r="C374" t="str">
            <v>kg</v>
          </cell>
          <cell r="D374">
            <v>8500</v>
          </cell>
        </row>
        <row r="375">
          <cell r="A375" t="str">
            <v>U-7.19.01</v>
          </cell>
          <cell r="B375" t="str">
            <v>Excavación manual en material común y disposición del material sobrante</v>
          </cell>
          <cell r="C375" t="str">
            <v>m3</v>
          </cell>
          <cell r="D375">
            <v>27274</v>
          </cell>
        </row>
        <row r="376">
          <cell r="A376" t="str">
            <v>U-7.19.02</v>
          </cell>
          <cell r="B376" t="str">
            <v>Relleno Tipo 2  (Recebo o material de prestamo seleccionado)</v>
          </cell>
          <cell r="C376" t="str">
            <v>m3</v>
          </cell>
          <cell r="D376">
            <v>30014</v>
          </cell>
        </row>
        <row r="377">
          <cell r="A377" t="str">
            <v>U-7.19.03</v>
          </cell>
          <cell r="B377" t="str">
            <v>Relleno Tipo 3  (Material seleccionado de la excavación)</v>
          </cell>
          <cell r="C377" t="str">
            <v>m3</v>
          </cell>
          <cell r="D377">
            <v>12074</v>
          </cell>
        </row>
        <row r="378">
          <cell r="A378" t="str">
            <v>U-7.19.04</v>
          </cell>
          <cell r="B378" t="str">
            <v>Varillas Corrugadas Acero A-706; Fy =420 Mpa, 4200 kg/cm2, 60000 PSI</v>
          </cell>
          <cell r="C378" t="str">
            <v>kg</v>
          </cell>
          <cell r="D378">
            <v>2786</v>
          </cell>
        </row>
        <row r="379">
          <cell r="A379" t="str">
            <v>U-7.19.05</v>
          </cell>
          <cell r="B379" t="str">
            <v>Acero Estructural ASTM A36 para Perfiles - Soportería</v>
          </cell>
          <cell r="C379" t="str">
            <v>kg</v>
          </cell>
          <cell r="D379">
            <v>8500</v>
          </cell>
        </row>
        <row r="380">
          <cell r="A380" t="str">
            <v>U-7.20.01</v>
          </cell>
          <cell r="B380" t="str">
            <v>Suministro y colocación Piedra Pegada con Mortero</v>
          </cell>
          <cell r="C380" t="str">
            <v>m3</v>
          </cell>
          <cell r="D380">
            <v>220539</v>
          </cell>
        </row>
        <row r="381">
          <cell r="A381" t="str">
            <v>U-7.20.02</v>
          </cell>
          <cell r="B381" t="str">
            <v>Suministro y colocación Mortero de Limpieza</v>
          </cell>
          <cell r="C381" t="str">
            <v>m3</v>
          </cell>
          <cell r="D381">
            <v>155000</v>
          </cell>
        </row>
        <row r="382">
          <cell r="A382" t="str">
            <v>U-8.01.01</v>
          </cell>
          <cell r="B382" t="str">
            <v>Excavación a máquina en material común y disposición del material sobrante</v>
          </cell>
          <cell r="C382" t="str">
            <v>m3</v>
          </cell>
          <cell r="D382">
            <v>19730</v>
          </cell>
        </row>
        <row r="383">
          <cell r="A383" t="str">
            <v>U-8.01.02</v>
          </cell>
          <cell r="B383" t="str">
            <v>Relleno Tipo 2  (Recebo o material de prestamo seleccionado)</v>
          </cell>
          <cell r="C383" t="str">
            <v>m3</v>
          </cell>
          <cell r="D383">
            <v>30014</v>
          </cell>
        </row>
        <row r="384">
          <cell r="A384" t="str">
            <v>U-8.01.03</v>
          </cell>
          <cell r="B384" t="str">
            <v>Suministro y colocación Concreto Clase F (14.0 Mpa; 140 kg/cm2; 2000 PSI para solado)</v>
          </cell>
          <cell r="C384" t="str">
            <v>m3</v>
          </cell>
          <cell r="D384">
            <v>381672</v>
          </cell>
        </row>
        <row r="385">
          <cell r="A385" t="str">
            <v>U-8.01.04</v>
          </cell>
          <cell r="B385" t="str">
            <v>Suministro y colocación Concreto Clase D (21.0 Mpa; 210 kg/cm2; 3000 PSI) para Muros</v>
          </cell>
          <cell r="C385" t="str">
            <v>m3</v>
          </cell>
          <cell r="D385">
            <v>500774</v>
          </cell>
        </row>
        <row r="386">
          <cell r="A386" t="str">
            <v>U-8.01.05</v>
          </cell>
          <cell r="B386" t="str">
            <v>Varillas Corrugadas Acero A-706; Fy =420 Mpa, 4200 kg/cm2, 60000 PSI</v>
          </cell>
          <cell r="C386" t="str">
            <v>kg</v>
          </cell>
          <cell r="D386">
            <v>2786</v>
          </cell>
        </row>
        <row r="387">
          <cell r="A387" t="str">
            <v>U-8.01.06</v>
          </cell>
          <cell r="B387" t="str">
            <v>Cinta SIKA PVC Tipo 0-22</v>
          </cell>
          <cell r="C387" t="str">
            <v>ml</v>
          </cell>
          <cell r="D387">
            <v>28417</v>
          </cell>
        </row>
        <row r="388">
          <cell r="A388" t="str">
            <v>U-8.02.01</v>
          </cell>
          <cell r="B388" t="str">
            <v>Suministro y colocación Concreto Clase F (14.0 Mpa; 140 kg/cm2; 2000 PSI para solado)</v>
          </cell>
          <cell r="C388" t="str">
            <v>m3</v>
          </cell>
          <cell r="D388">
            <v>381672</v>
          </cell>
        </row>
        <row r="389">
          <cell r="A389" t="str">
            <v>U-8.02.02</v>
          </cell>
          <cell r="B389" t="str">
            <v>Suministro y colocación Concreto Clase D (21.0 Mpa; 210 kg/cm2; 3000 PSI) para Escaleras</v>
          </cell>
          <cell r="C389" t="str">
            <v>m3</v>
          </cell>
          <cell r="D389">
            <v>647881</v>
          </cell>
        </row>
        <row r="390">
          <cell r="A390" t="str">
            <v>U-8.02.03</v>
          </cell>
          <cell r="B390" t="str">
            <v>Varillas Corrugadas Acero A-706; Fy =420 Mpa, 4200 kg/cm2, 60000 PSI</v>
          </cell>
          <cell r="C390" t="str">
            <v>kg</v>
          </cell>
          <cell r="D390">
            <v>2786</v>
          </cell>
        </row>
        <row r="391">
          <cell r="A391" t="str">
            <v>U-8.03.01</v>
          </cell>
          <cell r="B391" t="str">
            <v>Excavación a máquina en material común y disposición del material sobrante</v>
          </cell>
          <cell r="C391" t="str">
            <v>m3</v>
          </cell>
          <cell r="D391">
            <v>19730</v>
          </cell>
        </row>
        <row r="392">
          <cell r="A392" t="str">
            <v>U-8.03.02</v>
          </cell>
          <cell r="B392" t="str">
            <v>Relleno Tipo 2  (Recebo o material de prestamo seleccionado)</v>
          </cell>
          <cell r="C392" t="str">
            <v>m3</v>
          </cell>
          <cell r="D392">
            <v>30014</v>
          </cell>
        </row>
        <row r="393">
          <cell r="A393" t="str">
            <v>U-8.03.03</v>
          </cell>
          <cell r="B393" t="str">
            <v>Relleno Tipo 3  (Material seleccionado de la excavación)</v>
          </cell>
          <cell r="C393" t="str">
            <v>m3</v>
          </cell>
          <cell r="D393">
            <v>12074</v>
          </cell>
        </row>
        <row r="394">
          <cell r="A394" t="str">
            <v>U-8.03.04</v>
          </cell>
          <cell r="B394" t="str">
            <v>Suministro y colocación Concreto Clase D (21.0 Mpa; 210 kg/cm2; 3000 PSI) para Placa de Piso</v>
          </cell>
          <cell r="C394" t="str">
            <v>m3</v>
          </cell>
          <cell r="D394">
            <v>467122</v>
          </cell>
        </row>
        <row r="395">
          <cell r="A395" t="str">
            <v>U-8.03.05</v>
          </cell>
          <cell r="B395" t="str">
            <v>Suministro y colocación Concreto Clase D (21.0 Mpa; 210 kg/cm2; 3000 PSI) para Paredes de Dique</v>
          </cell>
          <cell r="C395" t="str">
            <v>m3</v>
          </cell>
          <cell r="D395">
            <v>505924</v>
          </cell>
        </row>
        <row r="396">
          <cell r="A396" t="str">
            <v>U-8.03.06</v>
          </cell>
          <cell r="B396" t="str">
            <v>Malla Electrosoldada Acero G-485; Fy =550 Mpa, 5500 kg/cm2, 4mmX250mmX250mm</v>
          </cell>
          <cell r="C396" t="str">
            <v>kg</v>
          </cell>
          <cell r="D396">
            <v>2997</v>
          </cell>
        </row>
        <row r="397">
          <cell r="A397" t="str">
            <v>U-8.03.07</v>
          </cell>
          <cell r="B397" t="str">
            <v>Geomembrana tipo PERMAFLEX HR-500</v>
          </cell>
          <cell r="C397" t="str">
            <v>m2</v>
          </cell>
          <cell r="D397">
            <v>13717</v>
          </cell>
        </row>
        <row r="398">
          <cell r="A398" t="str">
            <v>U-8.03.08</v>
          </cell>
          <cell r="B398" t="str">
            <v>Geotextil Tipo NT-1800</v>
          </cell>
          <cell r="C398" t="str">
            <v>m2</v>
          </cell>
          <cell r="D398">
            <v>3505</v>
          </cell>
        </row>
        <row r="399">
          <cell r="A399" t="str">
            <v>U-8.03.09</v>
          </cell>
          <cell r="B399" t="str">
            <v>Cinta SIKA PVC Tipo 0-22</v>
          </cell>
          <cell r="C399" t="str">
            <v>ml</v>
          </cell>
          <cell r="D399">
            <v>28417</v>
          </cell>
        </row>
        <row r="400">
          <cell r="A400" t="str">
            <v>U-8.04.01</v>
          </cell>
          <cell r="B400" t="str">
            <v>Excavación a máquina en material común y disposición del material sobrante</v>
          </cell>
          <cell r="C400" t="str">
            <v>m3</v>
          </cell>
          <cell r="D400">
            <v>19730</v>
          </cell>
        </row>
        <row r="401">
          <cell r="A401" t="str">
            <v>U-8.04.02</v>
          </cell>
          <cell r="B401" t="str">
            <v>Relleno Tipo 2  (Recebo o material de prestamo seleccionado)</v>
          </cell>
          <cell r="C401" t="str">
            <v>m3</v>
          </cell>
          <cell r="D401">
            <v>30014</v>
          </cell>
        </row>
        <row r="402">
          <cell r="A402" t="str">
            <v>U-8.04.03</v>
          </cell>
          <cell r="B402" t="str">
            <v>Relleno Tipo 3  (Material seleccionado de la excavación)</v>
          </cell>
          <cell r="C402" t="str">
            <v>m3</v>
          </cell>
          <cell r="D402">
            <v>12074</v>
          </cell>
        </row>
        <row r="403">
          <cell r="A403" t="str">
            <v>U-8.04.04</v>
          </cell>
          <cell r="B403" t="str">
            <v>Suministro y colocación Concreto Clase D (21.0 Mpa; 210 kg/cm2; 3000 PSI) para Placa de Piso</v>
          </cell>
          <cell r="C403" t="str">
            <v>m3</v>
          </cell>
          <cell r="D403">
            <v>467122</v>
          </cell>
        </row>
        <row r="404">
          <cell r="A404" t="str">
            <v>U-8.04.05</v>
          </cell>
          <cell r="B404" t="str">
            <v>Suministro y colocación Concreto Clase D (21.0 Mpa; 210 kg/cm2; 3000 PSI) para Paredes de Dique</v>
          </cell>
          <cell r="C404" t="str">
            <v>m3</v>
          </cell>
          <cell r="D404">
            <v>505924</v>
          </cell>
        </row>
        <row r="405">
          <cell r="A405" t="str">
            <v>U-8.04.06</v>
          </cell>
          <cell r="B405" t="str">
            <v>Malla Electrosoldada Acero G-485; Fy =550 Mpa, 5500 kg/cm2, 4mmX250mmX250mm</v>
          </cell>
          <cell r="C405" t="str">
            <v>kg</v>
          </cell>
          <cell r="D405">
            <v>2997</v>
          </cell>
        </row>
        <row r="406">
          <cell r="A406" t="str">
            <v>U-8.04.07</v>
          </cell>
          <cell r="B406" t="str">
            <v>Geomembrana tipo PERMAFLEX HR-500</v>
          </cell>
          <cell r="C406" t="str">
            <v>m2</v>
          </cell>
          <cell r="D406">
            <v>13717</v>
          </cell>
        </row>
        <row r="407">
          <cell r="A407" t="str">
            <v>U-8.04.08</v>
          </cell>
          <cell r="B407" t="str">
            <v>Geotextil Tipo NT-1800</v>
          </cell>
          <cell r="C407" t="str">
            <v>m2</v>
          </cell>
          <cell r="D407">
            <v>3505</v>
          </cell>
        </row>
        <row r="408">
          <cell r="A408" t="str">
            <v>U-8.04.09</v>
          </cell>
          <cell r="B408" t="str">
            <v>Cinta SIKA PVC Tipo 0-22</v>
          </cell>
          <cell r="C408" t="str">
            <v>ml</v>
          </cell>
          <cell r="D408">
            <v>28417</v>
          </cell>
        </row>
        <row r="409">
          <cell r="A409" t="str">
            <v>U-8.05.01</v>
          </cell>
          <cell r="B409" t="str">
            <v>Suministro y colocación Concreto Clase D (21.0 Mpa; 210 kg/cm2; 3000 PSI) para Placa de Piso</v>
          </cell>
          <cell r="C409" t="str">
            <v>m3</v>
          </cell>
          <cell r="D409">
            <v>467122</v>
          </cell>
        </row>
        <row r="410">
          <cell r="A410" t="str">
            <v>U-8.05.02</v>
          </cell>
          <cell r="B410" t="str">
            <v>Suministro y colocación Concreto Clase D (21.0 Mpa; 210 kg/cm2; 3000 PSI) para Paredes de Dique</v>
          </cell>
          <cell r="C410" t="str">
            <v>m3</v>
          </cell>
          <cell r="D410">
            <v>505924</v>
          </cell>
        </row>
        <row r="411">
          <cell r="A411" t="str">
            <v>U-8.05.03</v>
          </cell>
          <cell r="B411" t="str">
            <v>Malla Electrosoldada Acero G-485; Fy =550 Mpa, 5500 kg/cm2, 4mmX250mmX250mm</v>
          </cell>
          <cell r="C411" t="str">
            <v>kg</v>
          </cell>
          <cell r="D411">
            <v>2997</v>
          </cell>
        </row>
        <row r="412">
          <cell r="A412" t="str">
            <v>U-8.05.04</v>
          </cell>
          <cell r="B412" t="str">
            <v>Geomembrana tipo PERMAFLEX HR-500</v>
          </cell>
          <cell r="C412" t="str">
            <v>m2</v>
          </cell>
          <cell r="D412">
            <v>13717</v>
          </cell>
        </row>
        <row r="413">
          <cell r="A413" t="str">
            <v>U-8.05.05</v>
          </cell>
          <cell r="B413" t="str">
            <v>Geotextil Tipo NT-1800</v>
          </cell>
          <cell r="C413" t="str">
            <v>m2</v>
          </cell>
          <cell r="D413">
            <v>3505</v>
          </cell>
        </row>
        <row r="414">
          <cell r="A414" t="str">
            <v>U-8.05.06</v>
          </cell>
          <cell r="B414" t="str">
            <v>Cinta SIKA PVC Tipo 0-22</v>
          </cell>
          <cell r="C414" t="str">
            <v>ml</v>
          </cell>
          <cell r="D414">
            <v>28417</v>
          </cell>
        </row>
        <row r="415">
          <cell r="A415" t="str">
            <v>U-8.06.01</v>
          </cell>
          <cell r="B415" t="str">
            <v>Excavación a máquina en material común y disposición del material sobrante</v>
          </cell>
          <cell r="C415" t="str">
            <v>m3</v>
          </cell>
          <cell r="D415">
            <v>19730</v>
          </cell>
        </row>
        <row r="416">
          <cell r="A416" t="str">
            <v>U-8.06.02</v>
          </cell>
          <cell r="B416" t="str">
            <v>Relleno Tipo 2  (Recebo o material de prestamo seleccionado)</v>
          </cell>
          <cell r="C416" t="str">
            <v>m3</v>
          </cell>
          <cell r="D416">
            <v>30014</v>
          </cell>
        </row>
        <row r="417">
          <cell r="A417" t="str">
            <v>U-8.06.03</v>
          </cell>
          <cell r="B417" t="str">
            <v>Suministro y colocación Concreto Clase F (14.0 Mpa; 140 kg/cm2; 2000 PSI para solado)</v>
          </cell>
          <cell r="C417" t="str">
            <v>m3</v>
          </cell>
          <cell r="D417">
            <v>381672</v>
          </cell>
        </row>
        <row r="418">
          <cell r="A418" t="str">
            <v>U-8.06.04</v>
          </cell>
          <cell r="B418" t="str">
            <v>Suministro y colocación Concreto Clase D (21.0 Mpa; 210 kg/cm2; 3000 PSI) para Muros</v>
          </cell>
          <cell r="C418" t="str">
            <v>m3</v>
          </cell>
          <cell r="D418">
            <v>500774</v>
          </cell>
        </row>
        <row r="419">
          <cell r="A419" t="str">
            <v>U-8.06.05</v>
          </cell>
          <cell r="B419" t="str">
            <v>Varillas Corrugadas Acero A-706; Fy =420 Mpa, 4200 kg/cm2, 60000 PSI</v>
          </cell>
          <cell r="C419" t="str">
            <v>kg</v>
          </cell>
          <cell r="D419">
            <v>2786</v>
          </cell>
        </row>
        <row r="420">
          <cell r="A420" t="str">
            <v>U-8.06.06</v>
          </cell>
          <cell r="B420" t="str">
            <v>Cinta SIKA PVC Tipo 0-22</v>
          </cell>
          <cell r="C420" t="str">
            <v>ml</v>
          </cell>
          <cell r="D420">
            <v>28417</v>
          </cell>
        </row>
        <row r="421">
          <cell r="A421" t="str">
            <v>U-8.07.01</v>
          </cell>
          <cell r="B421" t="str">
            <v>Excavación a máquina en material común y disposición del material sobrante</v>
          </cell>
          <cell r="C421" t="str">
            <v>m3</v>
          </cell>
          <cell r="D421">
            <v>19730</v>
          </cell>
        </row>
        <row r="422">
          <cell r="A422" t="str">
            <v>U-8.07.02</v>
          </cell>
          <cell r="B422" t="str">
            <v>Relleno Tipo 2  (Recebo o material de prestamo seleccionado)</v>
          </cell>
          <cell r="C422" t="str">
            <v>m3</v>
          </cell>
          <cell r="D422">
            <v>30014</v>
          </cell>
        </row>
        <row r="423">
          <cell r="A423" t="str">
            <v>U-8.07.03</v>
          </cell>
          <cell r="B423" t="str">
            <v>Suministro y colocación Concreto Clase F (14.0 Mpa; 140 kg/cm2; 2000 PSI para solado)</v>
          </cell>
          <cell r="C423" t="str">
            <v>m3</v>
          </cell>
          <cell r="D423">
            <v>381672</v>
          </cell>
        </row>
        <row r="424">
          <cell r="A424" t="str">
            <v>U-8.07.04</v>
          </cell>
          <cell r="B424" t="str">
            <v>Suministro y colocación Concreto Clase D (21.0 Mpa; 210 kg/cm2; 3000 PSI) para Muros</v>
          </cell>
          <cell r="C424" t="str">
            <v>m3</v>
          </cell>
          <cell r="D424">
            <v>500774</v>
          </cell>
        </row>
        <row r="425">
          <cell r="A425" t="str">
            <v>U-8.07.05</v>
          </cell>
          <cell r="B425" t="str">
            <v>Varillas Corrugadas Acero A-706; Fy =420 Mpa, 4200 kg/cm2, 60000 PSI</v>
          </cell>
          <cell r="C425" t="str">
            <v>kg</v>
          </cell>
          <cell r="D425">
            <v>2786</v>
          </cell>
        </row>
        <row r="426">
          <cell r="A426" t="str">
            <v>U-8.07.06</v>
          </cell>
          <cell r="B426" t="str">
            <v>Cinta SIKA PVC Tipo 0-22</v>
          </cell>
          <cell r="C426" t="str">
            <v>ml</v>
          </cell>
          <cell r="D426">
            <v>28417</v>
          </cell>
        </row>
        <row r="427">
          <cell r="A427" t="str">
            <v>U-8.08.01</v>
          </cell>
          <cell r="B427" t="str">
            <v>Excavación a máquina en material común y disposición del material sobrante</v>
          </cell>
          <cell r="C427" t="str">
            <v>m3</v>
          </cell>
          <cell r="D427">
            <v>19730</v>
          </cell>
        </row>
        <row r="428">
          <cell r="A428" t="str">
            <v>U-8.08.02</v>
          </cell>
          <cell r="B428" t="str">
            <v>Relleno Tipo 2  (Recebo o material de prestamo seleccionado)</v>
          </cell>
          <cell r="C428" t="str">
            <v>m3</v>
          </cell>
          <cell r="D428">
            <v>30014</v>
          </cell>
        </row>
        <row r="429">
          <cell r="A429" t="str">
            <v>U-8.08.03</v>
          </cell>
          <cell r="B429" t="str">
            <v>Suministro y colocación Concreto Clase F (14.0 Mpa; 140 kg/cm2; 2000 PSI para solado)</v>
          </cell>
          <cell r="C429" t="str">
            <v>m3</v>
          </cell>
          <cell r="D429">
            <v>381672</v>
          </cell>
        </row>
        <row r="430">
          <cell r="A430" t="str">
            <v>U-8.08.04</v>
          </cell>
          <cell r="B430" t="str">
            <v>Suministro y colocación Concreto Clase D (21.0 Mpa; 210 kg/cm2; 3000 PSI) para Muros</v>
          </cell>
          <cell r="C430" t="str">
            <v>m3</v>
          </cell>
          <cell r="D430">
            <v>500774</v>
          </cell>
        </row>
        <row r="431">
          <cell r="A431" t="str">
            <v>U-8.08.05</v>
          </cell>
          <cell r="B431" t="str">
            <v>Varillas Corrugadas Acero A-706; Fy =420 Mpa, 4200 kg/cm2, 60000 PSI</v>
          </cell>
          <cell r="C431" t="str">
            <v>kg</v>
          </cell>
          <cell r="D431">
            <v>2786</v>
          </cell>
        </row>
        <row r="432">
          <cell r="A432" t="str">
            <v>U-8.08.06</v>
          </cell>
          <cell r="B432" t="str">
            <v>Cinta SIKA PVC Tipo 0-22</v>
          </cell>
          <cell r="C432" t="str">
            <v>ml</v>
          </cell>
          <cell r="D432">
            <v>28417</v>
          </cell>
        </row>
        <row r="433">
          <cell r="A433" t="str">
            <v>U-8.09.01</v>
          </cell>
          <cell r="B433" t="str">
            <v>Excavación a máquina en material común y disposición del material sobrante</v>
          </cell>
          <cell r="C433" t="str">
            <v>m3</v>
          </cell>
          <cell r="D433">
            <v>19730</v>
          </cell>
        </row>
        <row r="434">
          <cell r="A434" t="str">
            <v>U-8.09.02</v>
          </cell>
          <cell r="B434" t="str">
            <v>Relleno Tipo 2  (Recebo o material de prestamo seleccionado)</v>
          </cell>
          <cell r="C434" t="str">
            <v>m3</v>
          </cell>
          <cell r="D434">
            <v>30014</v>
          </cell>
        </row>
        <row r="435">
          <cell r="A435" t="str">
            <v>U-8.09.03</v>
          </cell>
          <cell r="B435" t="str">
            <v>Suministro y colocación Concreto Clase F (14.0 Mpa; 140 kg/cm2; 2000 PSI para solado)</v>
          </cell>
          <cell r="C435" t="str">
            <v>m3</v>
          </cell>
          <cell r="D435">
            <v>381672</v>
          </cell>
        </row>
        <row r="436">
          <cell r="A436" t="str">
            <v>U-8.09.04</v>
          </cell>
          <cell r="B436" t="str">
            <v>Suministro y colocación Concreto Clase D (21.0 Mpa; 210 kg/cm2; 3000 PSI) para Muros</v>
          </cell>
          <cell r="C436" t="str">
            <v>m3</v>
          </cell>
          <cell r="D436">
            <v>500774</v>
          </cell>
        </row>
        <row r="437">
          <cell r="A437" t="str">
            <v>U-8.09.05</v>
          </cell>
          <cell r="B437" t="str">
            <v>Varillas Corrugadas Acero A-706; Fy =420 Mpa, 4200 kg/cm2, 60000 PSI</v>
          </cell>
          <cell r="C437" t="str">
            <v>kg</v>
          </cell>
          <cell r="D437">
            <v>2786</v>
          </cell>
        </row>
        <row r="438">
          <cell r="A438" t="str">
            <v>U-8.09.06</v>
          </cell>
          <cell r="B438" t="str">
            <v>Cinta SIKA PVC Tipo 0-22</v>
          </cell>
          <cell r="C438" t="str">
            <v>ml</v>
          </cell>
          <cell r="D438">
            <v>28417</v>
          </cell>
        </row>
        <row r="439">
          <cell r="A439" t="str">
            <v>U-8.10.01</v>
          </cell>
          <cell r="B439" t="str">
            <v>Excavación a máquina en material común y disposición del material sobrante</v>
          </cell>
          <cell r="C439" t="str">
            <v>m3</v>
          </cell>
          <cell r="D439">
            <v>19730</v>
          </cell>
        </row>
        <row r="440">
          <cell r="A440" t="str">
            <v>U-8.10.02</v>
          </cell>
          <cell r="B440" t="str">
            <v>Relleno Tipo 2  (Recebo o material de prestamo seleccionado)</v>
          </cell>
          <cell r="C440" t="str">
            <v>m3</v>
          </cell>
          <cell r="D440">
            <v>30014</v>
          </cell>
        </row>
        <row r="441">
          <cell r="A441" t="str">
            <v>U-8.10.03</v>
          </cell>
          <cell r="B441" t="str">
            <v>Suministro y colocación Concreto Clase F (14.0 Mpa; 140 kg/cm2; 2000 PSI para solado)</v>
          </cell>
          <cell r="C441" t="str">
            <v>m3</v>
          </cell>
          <cell r="D441">
            <v>381672</v>
          </cell>
        </row>
        <row r="442">
          <cell r="A442" t="str">
            <v>U-8.10.04</v>
          </cell>
          <cell r="B442" t="str">
            <v>Suministro y colocación Concreto Clase D (21.0 Mpa; 210 kg/cm2; 3000 PSI) para Muros</v>
          </cell>
          <cell r="C442" t="str">
            <v>m3</v>
          </cell>
          <cell r="D442">
            <v>500774</v>
          </cell>
        </row>
        <row r="443">
          <cell r="A443" t="str">
            <v>U-8.10.05</v>
          </cell>
          <cell r="B443" t="str">
            <v>Varillas Corrugadas Acero A-706; Fy =420 Mpa, 4200 kg/cm2, 60000 PSI</v>
          </cell>
          <cell r="C443" t="str">
            <v>kg</v>
          </cell>
          <cell r="D443">
            <v>2786</v>
          </cell>
        </row>
        <row r="444">
          <cell r="A444" t="str">
            <v>U-8.10.06</v>
          </cell>
          <cell r="B444" t="str">
            <v>Cinta SIKA PVC Tipo 0-22</v>
          </cell>
          <cell r="C444" t="str">
            <v>ml</v>
          </cell>
          <cell r="D444">
            <v>28417</v>
          </cell>
        </row>
        <row r="445">
          <cell r="A445" t="str">
            <v>U-8.11.01</v>
          </cell>
          <cell r="B445" t="str">
            <v>Excavación a máquina en material común y disposición del material sobrante</v>
          </cell>
          <cell r="C445" t="str">
            <v>m3</v>
          </cell>
          <cell r="D445">
            <v>19730</v>
          </cell>
        </row>
        <row r="446">
          <cell r="A446" t="str">
            <v>U-8.11.02</v>
          </cell>
          <cell r="B446" t="str">
            <v>Relleno Tipo 2  (Recebo o material de prestamo seleccionado)</v>
          </cell>
          <cell r="C446" t="str">
            <v>m3</v>
          </cell>
          <cell r="D446">
            <v>30014</v>
          </cell>
        </row>
        <row r="447">
          <cell r="A447" t="str">
            <v>U-8.11.03</v>
          </cell>
          <cell r="B447" t="str">
            <v>Relleno Tipo 3  (Material seleccionado de la excavación)</v>
          </cell>
          <cell r="C447" t="str">
            <v>m3</v>
          </cell>
          <cell r="D447">
            <v>12074</v>
          </cell>
        </row>
        <row r="448">
          <cell r="A448" t="str">
            <v>U-8.11.04</v>
          </cell>
          <cell r="B448" t="str">
            <v>Suministro y colocación Concreto Clase F (14.0 Mpa; 140 kg/cm2; 2000 PSI para solado)</v>
          </cell>
          <cell r="C448" t="str">
            <v>m3</v>
          </cell>
          <cell r="D448">
            <v>381672</v>
          </cell>
        </row>
        <row r="449">
          <cell r="A449" t="str">
            <v>U-7.13.05</v>
          </cell>
          <cell r="B449" t="str">
            <v>Suministro y colocación Concreto Clase D (21.0 Mpa; 210 kg/cm2; 3000 PSI) para Pedestales</v>
          </cell>
          <cell r="C449" t="str">
            <v>m3</v>
          </cell>
          <cell r="D449">
            <v>460934</v>
          </cell>
        </row>
        <row r="450">
          <cell r="A450" t="str">
            <v>U-8.11.06</v>
          </cell>
          <cell r="B450" t="str">
            <v>Varillas Corrugadas Acero A-706; Fy =420 Mpa, 4200 kg/cm2, 60000 PSI</v>
          </cell>
          <cell r="C450" t="str">
            <v>kg</v>
          </cell>
          <cell r="D450">
            <v>2786</v>
          </cell>
        </row>
        <row r="451">
          <cell r="A451" t="e">
            <v>#REF!</v>
          </cell>
          <cell r="B451" t="e">
            <v>#REF!</v>
          </cell>
          <cell r="C451" t="e">
            <v>#REF!</v>
          </cell>
          <cell r="D451" t="e">
            <v>#REF!</v>
          </cell>
        </row>
        <row r="452">
          <cell r="A452" t="e">
            <v>#REF!</v>
          </cell>
          <cell r="B452" t="e">
            <v>#REF!</v>
          </cell>
          <cell r="C452" t="e">
            <v>#REF!</v>
          </cell>
          <cell r="D452" t="e">
            <v>#REF!</v>
          </cell>
        </row>
        <row r="453">
          <cell r="A453" t="e">
            <v>#REF!</v>
          </cell>
          <cell r="B453" t="e">
            <v>#REF!</v>
          </cell>
          <cell r="C453" t="e">
            <v>#REF!</v>
          </cell>
          <cell r="D453" t="e">
            <v>#REF!</v>
          </cell>
        </row>
        <row r="454">
          <cell r="A454" t="e">
            <v>#REF!</v>
          </cell>
          <cell r="B454" t="e">
            <v>#REF!</v>
          </cell>
          <cell r="C454" t="e">
            <v>#REF!</v>
          </cell>
          <cell r="D454" t="e">
            <v>#REF!</v>
          </cell>
        </row>
        <row r="455">
          <cell r="A455" t="e">
            <v>#REF!</v>
          </cell>
          <cell r="B455" t="e">
            <v>#REF!</v>
          </cell>
          <cell r="C455" t="e">
            <v>#REF!</v>
          </cell>
          <cell r="D455" t="e">
            <v>#REF!</v>
          </cell>
        </row>
        <row r="456">
          <cell r="A456" t="e">
            <v>#REF!</v>
          </cell>
          <cell r="B456" t="e">
            <v>#REF!</v>
          </cell>
          <cell r="C456" t="e">
            <v>#REF!</v>
          </cell>
          <cell r="D456" t="e">
            <v>#REF!</v>
          </cell>
        </row>
        <row r="457">
          <cell r="A457" t="e">
            <v>#REF!</v>
          </cell>
          <cell r="B457" t="e">
            <v>#REF!</v>
          </cell>
          <cell r="C457" t="e">
            <v>#REF!</v>
          </cell>
          <cell r="D457" t="e">
            <v>#REF!</v>
          </cell>
        </row>
        <row r="458">
          <cell r="A458" t="e">
            <v>#REF!</v>
          </cell>
          <cell r="B458" t="e">
            <v>#REF!</v>
          </cell>
          <cell r="C458" t="e">
            <v>#REF!</v>
          </cell>
          <cell r="D458" t="e">
            <v>#REF!</v>
          </cell>
        </row>
        <row r="459">
          <cell r="A459" t="e">
            <v>#REF!</v>
          </cell>
          <cell r="B459" t="e">
            <v>#REF!</v>
          </cell>
          <cell r="C459" t="e">
            <v>#REF!</v>
          </cell>
          <cell r="D459" t="e">
            <v>#REF!</v>
          </cell>
        </row>
        <row r="460">
          <cell r="A460" t="e">
            <v>#REF!</v>
          </cell>
          <cell r="B460" t="e">
            <v>#REF!</v>
          </cell>
          <cell r="C460" t="e">
            <v>#REF!</v>
          </cell>
          <cell r="D460" t="e">
            <v>#REF!</v>
          </cell>
        </row>
        <row r="461">
          <cell r="A461" t="e">
            <v>#REF!</v>
          </cell>
          <cell r="B461" t="e">
            <v>#REF!</v>
          </cell>
          <cell r="C461" t="e">
            <v>#REF!</v>
          </cell>
          <cell r="D461" t="e">
            <v>#REF!</v>
          </cell>
        </row>
        <row r="462">
          <cell r="A462" t="e">
            <v>#REF!</v>
          </cell>
          <cell r="B462" t="e">
            <v>#REF!</v>
          </cell>
          <cell r="C462" t="e">
            <v>#REF!</v>
          </cell>
          <cell r="D462" t="e">
            <v>#REF!</v>
          </cell>
        </row>
        <row r="463">
          <cell r="A463" t="e">
            <v>#REF!</v>
          </cell>
          <cell r="B463" t="e">
            <v>#REF!</v>
          </cell>
          <cell r="C463" t="e">
            <v>#REF!</v>
          </cell>
          <cell r="D463" t="e">
            <v>#REF!</v>
          </cell>
        </row>
        <row r="464">
          <cell r="A464" t="e">
            <v>#REF!</v>
          </cell>
          <cell r="B464" t="e">
            <v>#REF!</v>
          </cell>
          <cell r="C464" t="e">
            <v>#REF!</v>
          </cell>
          <cell r="D464" t="e">
            <v>#REF!</v>
          </cell>
        </row>
        <row r="465">
          <cell r="A465" t="e">
            <v>#REF!</v>
          </cell>
          <cell r="B465" t="e">
            <v>#REF!</v>
          </cell>
          <cell r="C465" t="e">
            <v>#REF!</v>
          </cell>
          <cell r="D465" t="e">
            <v>#REF!</v>
          </cell>
        </row>
        <row r="466">
          <cell r="A466" t="e">
            <v>#REF!</v>
          </cell>
          <cell r="B466" t="e">
            <v>#REF!</v>
          </cell>
          <cell r="C466" t="e">
            <v>#REF!</v>
          </cell>
          <cell r="D466" t="e">
            <v>#REF!</v>
          </cell>
        </row>
        <row r="467">
          <cell r="A467" t="e">
            <v>#REF!</v>
          </cell>
          <cell r="B467" t="e">
            <v>#REF!</v>
          </cell>
          <cell r="C467" t="e">
            <v>#REF!</v>
          </cell>
          <cell r="D467" t="e">
            <v>#REF!</v>
          </cell>
        </row>
        <row r="468">
          <cell r="A468" t="e">
            <v>#REF!</v>
          </cell>
          <cell r="B468" t="e">
            <v>#REF!</v>
          </cell>
          <cell r="C468" t="e">
            <v>#REF!</v>
          </cell>
          <cell r="D468" t="e">
            <v>#REF!</v>
          </cell>
        </row>
        <row r="469">
          <cell r="A469" t="e">
            <v>#REF!</v>
          </cell>
          <cell r="B469" t="e">
            <v>#REF!</v>
          </cell>
          <cell r="C469" t="e">
            <v>#REF!</v>
          </cell>
          <cell r="D469" t="e">
            <v>#REF!</v>
          </cell>
        </row>
        <row r="470">
          <cell r="A470" t="e">
            <v>#REF!</v>
          </cell>
          <cell r="B470" t="e">
            <v>#REF!</v>
          </cell>
          <cell r="C470" t="e">
            <v>#REF!</v>
          </cell>
          <cell r="D470" t="e">
            <v>#REF!</v>
          </cell>
        </row>
        <row r="471">
          <cell r="A471" t="e">
            <v>#REF!</v>
          </cell>
          <cell r="B471" t="e">
            <v>#REF!</v>
          </cell>
          <cell r="C471" t="e">
            <v>#REF!</v>
          </cell>
          <cell r="D471" t="e">
            <v>#REF!</v>
          </cell>
        </row>
        <row r="472">
          <cell r="A472" t="e">
            <v>#REF!</v>
          </cell>
          <cell r="B472" t="e">
            <v>#REF!</v>
          </cell>
          <cell r="C472" t="e">
            <v>#REF!</v>
          </cell>
          <cell r="D472" t="e">
            <v>#REF!</v>
          </cell>
        </row>
        <row r="473">
          <cell r="A473" t="e">
            <v>#REF!</v>
          </cell>
          <cell r="B473" t="e">
            <v>#REF!</v>
          </cell>
          <cell r="C473" t="e">
            <v>#REF!</v>
          </cell>
          <cell r="D473" t="e">
            <v>#REF!</v>
          </cell>
        </row>
        <row r="474">
          <cell r="A474" t="e">
            <v>#REF!</v>
          </cell>
          <cell r="B474" t="e">
            <v>#REF!</v>
          </cell>
          <cell r="C474" t="e">
            <v>#REF!</v>
          </cell>
          <cell r="D474" t="e">
            <v>#REF!</v>
          </cell>
        </row>
        <row r="475">
          <cell r="A475" t="e">
            <v>#REF!</v>
          </cell>
          <cell r="B475" t="e">
            <v>#REF!</v>
          </cell>
          <cell r="C475" t="e">
            <v>#REF!</v>
          </cell>
          <cell r="D475" t="e">
            <v>#REF!</v>
          </cell>
        </row>
        <row r="476">
          <cell r="A476" t="e">
            <v>#REF!</v>
          </cell>
          <cell r="B476" t="e">
            <v>#REF!</v>
          </cell>
          <cell r="C476" t="e">
            <v>#REF!</v>
          </cell>
          <cell r="D476" t="e">
            <v>#REF!</v>
          </cell>
        </row>
        <row r="477">
          <cell r="A477" t="e">
            <v>#REF!</v>
          </cell>
          <cell r="B477" t="e">
            <v>#REF!</v>
          </cell>
          <cell r="C477" t="e">
            <v>#REF!</v>
          </cell>
          <cell r="D477" t="e">
            <v>#REF!</v>
          </cell>
        </row>
        <row r="478">
          <cell r="A478" t="e">
            <v>#REF!</v>
          </cell>
          <cell r="B478" t="e">
            <v>#REF!</v>
          </cell>
          <cell r="C478" t="e">
            <v>#REF!</v>
          </cell>
          <cell r="D478" t="e">
            <v>#REF!</v>
          </cell>
        </row>
        <row r="479">
          <cell r="A479" t="str">
            <v>U-99.09.09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resup"/>
      <sheetName val="Unitarios"/>
      <sheetName val="Insum"/>
      <sheetName val="A000"/>
      <sheetName val="An-Unit"/>
      <sheetName val="U001"/>
      <sheetName val="U002"/>
      <sheetName val="U003"/>
      <sheetName val="U004"/>
      <sheetName val="U005"/>
      <sheetName val="U006"/>
      <sheetName val="U007"/>
      <sheetName val="U008"/>
      <sheetName val="U009"/>
      <sheetName val="PROGR."/>
      <sheetName val="desmonte"/>
      <sheetName val="A. P. U."/>
      <sheetName val="ACTA DE MODIFICACION  (2)"/>
      <sheetName val="VrEqpBasica"/>
      <sheetName val="PROGR_1"/>
      <sheetName val="PROGR_"/>
      <sheetName val="ModeloPresupuesto"/>
    </sheetNames>
    <sheetDataSet>
      <sheetData sheetId="0"/>
      <sheetData sheetId="1"/>
      <sheetData sheetId="2" refreshError="1">
        <row r="3">
          <cell r="A3" t="str">
            <v>COD</v>
          </cell>
          <cell r="B3" t="str">
            <v>ACTIVIDAD</v>
          </cell>
          <cell r="C3" t="str">
            <v>UNIDAD</v>
          </cell>
          <cell r="D3" t="str">
            <v>VR. UNITARIO</v>
          </cell>
        </row>
        <row r="4">
          <cell r="A4" t="str">
            <v>U001</v>
          </cell>
          <cell r="B4" t="str">
            <v>Replanteo con comision de topografía</v>
          </cell>
          <cell r="C4" t="str">
            <v>M2</v>
          </cell>
          <cell r="D4">
            <v>8707</v>
          </cell>
        </row>
        <row r="5">
          <cell r="A5" t="str">
            <v>U002</v>
          </cell>
          <cell r="B5" t="str">
            <v>Conformacion calzada y cuneteada</v>
          </cell>
          <cell r="C5" t="str">
            <v>KM</v>
          </cell>
          <cell r="D5">
            <v>368640</v>
          </cell>
        </row>
        <row r="6">
          <cell r="A6" t="str">
            <v>U003</v>
          </cell>
          <cell r="B6" t="str">
            <v>Alcantarilla de 36"</v>
          </cell>
          <cell r="C6" t="str">
            <v>UN</v>
          </cell>
          <cell r="D6">
            <v>1792500</v>
          </cell>
        </row>
        <row r="7">
          <cell r="A7" t="str">
            <v>U004</v>
          </cell>
          <cell r="B7" t="str">
            <v>Cunetas en concreto</v>
          </cell>
          <cell r="C7" t="str">
            <v>Ml</v>
          </cell>
          <cell r="D7">
            <v>20913</v>
          </cell>
        </row>
        <row r="8">
          <cell r="A8" t="str">
            <v>U005</v>
          </cell>
          <cell r="B8" t="str">
            <v>Subbase Granular</v>
          </cell>
          <cell r="C8" t="str">
            <v>M3</v>
          </cell>
          <cell r="D8">
            <v>36382</v>
          </cell>
        </row>
        <row r="9">
          <cell r="A9" t="str">
            <v>U006</v>
          </cell>
          <cell r="B9" t="str">
            <v>Base Granular</v>
          </cell>
          <cell r="C9" t="str">
            <v>M3</v>
          </cell>
          <cell r="D9">
            <v>41060</v>
          </cell>
        </row>
        <row r="10">
          <cell r="A10" t="str">
            <v>U007</v>
          </cell>
          <cell r="B10" t="str">
            <v>Imprimaciôn</v>
          </cell>
          <cell r="C10" t="str">
            <v>M2</v>
          </cell>
          <cell r="D10">
            <v>1668</v>
          </cell>
        </row>
        <row r="11">
          <cell r="A11" t="str">
            <v>U008</v>
          </cell>
          <cell r="B11" t="str">
            <v>Base Asfàltica</v>
          </cell>
          <cell r="C11" t="str">
            <v>M3</v>
          </cell>
          <cell r="D11">
            <v>191420</v>
          </cell>
        </row>
        <row r="12">
          <cell r="A12" t="str">
            <v>U009</v>
          </cell>
          <cell r="B12" t="str">
            <v>Rodadura</v>
          </cell>
          <cell r="C12" t="str">
            <v>M3</v>
          </cell>
          <cell r="D12">
            <v>202420</v>
          </cell>
        </row>
        <row r="13">
          <cell r="A13" t="str">
            <v>U999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ow r="6">
          <cell r="A6" t="str">
            <v>UNIDAD ADMINISTRATIVA ESPECIAL DE LA AERONAUTICA CIVIL</v>
          </cell>
        </row>
      </sheetData>
      <sheetData sheetId="19" refreshError="1"/>
      <sheetData sheetId="20" refreshError="1"/>
      <sheetData sheetId="21" refreshError="1"/>
      <sheetData sheetId="2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EJECUCION DIARIA"/>
      <sheetName val="BITACORA"/>
      <sheetName val="INFORME CONTRATO"/>
      <sheetName val="PBC ORIG"/>
      <sheetName val="GRAFICO GEN"/>
      <sheetName val="PROGRAMA INICIAL"/>
      <sheetName val="PROGRAMA PROYECTADO"/>
      <sheetName val="EJECPAGO1"/>
      <sheetName val="PAGO 1 "/>
      <sheetName val="EJECPAGO 2"/>
      <sheetName val="PAGO 2"/>
      <sheetName val="PAGO OMAR I "/>
      <sheetName val="PAGO acumulado"/>
      <sheetName val="COMUNICACIONES"/>
      <sheetName val="EJECPAGO3"/>
      <sheetName val="PAGO 3"/>
      <sheetName val="ING PETROLEROS"/>
      <sheetName val="CONSULTORIA INICIAL"/>
      <sheetName val="MAYOR CANTIDAD DE CONS"/>
      <sheetName val="CON ADICIONAL"/>
      <sheetName val="INFORME 1 AL ADMINISTRADOR"/>
      <sheetName val="INFORME 2 AL ADMINISTRADOR "/>
      <sheetName val="COMUNICACIONES 1"/>
      <sheetName val="COMUNICACIONES 2"/>
      <sheetName val="EJECPAGO 3"/>
      <sheetName val="acumulado datos SAP"/>
      <sheetName val="ELECTRICOS"/>
      <sheetName val="almacenes"/>
      <sheetName val="TUBERIA Y TANQUES"/>
      <sheetName val="Gráfico1JUNIO"/>
      <sheetName val="INFORME 3 AL ADMINISTRADOR "/>
      <sheetName val="datos para graficos"/>
      <sheetName val="GRAFICO ACUMULADO"/>
      <sheetName val="GRAFICAS"/>
      <sheetName val="Lista APU"/>
    </sheetNames>
    <sheetDataSet>
      <sheetData sheetId="0"/>
      <sheetData sheetId="1"/>
      <sheetData sheetId="2">
        <row r="9">
          <cell r="E9">
            <v>390802412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refreshError="1"/>
      <sheetData sheetId="45"/>
      <sheetData sheetId="4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Modelo financiero"/>
    </sheetNames>
    <definedNames>
      <definedName name="_xlbgnm.ane7"/>
      <definedName name="_xlbgnm.ane8"/>
    </definedNames>
    <sheetDataSet>
      <sheetData sheetId="0" refreshError="1"/>
      <sheetData sheetId="1"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HMR"/>
      <sheetName val="ASF"/>
      <sheetName val="LUB"/>
      <sheetName val="EyL"/>
      <sheetName val="ADM"/>
      <sheetName val="GRAFICO"/>
      <sheetName val="recursos"/>
      <sheetName val="P3 2004"/>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MInformes M"/>
      <sheetName val="desmonte"/>
      <sheetName val="A%20MInformes%20M"/>
      <sheetName val="A. P. U."/>
      <sheetName val="Unitarios"/>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AISLAMIENTO CATEGORIAS II Y III"/>
      <sheetName val="AISLAMIENTO DIESEL"/>
      <sheetName val="AISLAMIENTO POSITIVO"/>
      <sheetName val="AISLAMIENTO ELECTRICO"/>
      <sheetName val="ACTIVIDAD INTRUSIVA(1)"/>
      <sheetName val="ACTIVIDAD INTRUSIVA(2)"/>
      <sheetName val="RTA Module"/>
    </sheetNames>
    <sheetDataSet>
      <sheetData sheetId="0"/>
      <sheetData sheetId="1">
        <row r="17">
          <cell r="G17" t="str">
            <v>HAZARDS</v>
          </cell>
          <cell r="I17" t="str">
            <v>Consecuencia</v>
          </cell>
        </row>
        <row r="18">
          <cell r="G18" t="str">
            <v>Type</v>
          </cell>
          <cell r="H18" t="str">
            <v>RAM</v>
          </cell>
        </row>
        <row r="21">
          <cell r="G21" t="str">
            <v>EC</v>
          </cell>
          <cell r="H21" t="str">
            <v>L</v>
          </cell>
          <cell r="I21" t="str">
            <v>no hay control</v>
          </cell>
        </row>
        <row r="22">
          <cell r="G22" t="str">
            <v>EC</v>
          </cell>
          <cell r="H22" t="str">
            <v>L</v>
          </cell>
          <cell r="I22" t="str">
            <v>conocimiento deficiente</v>
          </cell>
        </row>
        <row r="23">
          <cell r="G23" t="str">
            <v>EC/AM</v>
          </cell>
          <cell r="H23" t="str">
            <v>M</v>
          </cell>
          <cell r="I23" t="str">
            <v>conocimiento deficiente/ disturbio operacional</v>
          </cell>
        </row>
        <row r="24">
          <cell r="G24" t="str">
            <v>EC</v>
          </cell>
          <cell r="H24" t="str">
            <v>L</v>
          </cell>
          <cell r="I24" t="str">
            <v>perdida de tiempo</v>
          </cell>
        </row>
        <row r="25">
          <cell r="G25" t="str">
            <v xml:space="preserve">PE/EC </v>
          </cell>
          <cell r="H25" t="str">
            <v>L</v>
          </cell>
          <cell r="I25" t="str">
            <v>no hay control</v>
          </cell>
        </row>
        <row r="26">
          <cell r="G26" t="str">
            <v xml:space="preserve">PE/EC </v>
          </cell>
          <cell r="H26" t="str">
            <v>L</v>
          </cell>
          <cell r="I26" t="str">
            <v>no hay control</v>
          </cell>
        </row>
        <row r="29">
          <cell r="G29" t="str">
            <v>EC</v>
          </cell>
          <cell r="H29" t="str">
            <v>L</v>
          </cell>
          <cell r="I29" t="str">
            <v>conocimiento deficiente</v>
          </cell>
        </row>
        <row r="30">
          <cell r="G30" t="str">
            <v>EC</v>
          </cell>
          <cell r="H30" t="str">
            <v>L</v>
          </cell>
          <cell r="I30" t="str">
            <v>no hay control</v>
          </cell>
        </row>
        <row r="31">
          <cell r="G31" t="str">
            <v>PE/EC/AM</v>
          </cell>
          <cell r="H31" t="str">
            <v>M</v>
          </cell>
          <cell r="I31" t="str">
            <v>Lesión a las personas/ disturbio operacional</v>
          </cell>
        </row>
        <row r="32">
          <cell r="G32" t="str">
            <v>PE/EC/AM</v>
          </cell>
          <cell r="H32" t="str">
            <v>H</v>
          </cell>
        </row>
        <row r="35">
          <cell r="I35" t="str">
            <v>conocimiento deficiente</v>
          </cell>
        </row>
        <row r="36">
          <cell r="I36" t="str">
            <v>no hay control/ disturbio operacional</v>
          </cell>
        </row>
        <row r="37">
          <cell r="I37" t="str">
            <v>Lesión a las personas/ disturbio operacional</v>
          </cell>
        </row>
        <row r="38">
          <cell r="I38" t="str">
            <v>no hay control/ disturbio operacional</v>
          </cell>
        </row>
        <row r="39">
          <cell r="I39" t="str">
            <v>Lesión a las personas</v>
          </cell>
        </row>
        <row r="41">
          <cell r="G41" t="str">
            <v>PE/EC/AM</v>
          </cell>
          <cell r="H41" t="str">
            <v>M</v>
          </cell>
        </row>
        <row r="43">
          <cell r="I43" t="str">
            <v>no hay control/ disturbio operacional</v>
          </cell>
        </row>
        <row r="44">
          <cell r="G44" t="str">
            <v>PE/EC/AM</v>
          </cell>
          <cell r="H44" t="str">
            <v>M</v>
          </cell>
          <cell r="I44" t="str">
            <v>no hay control/ disturbio operacional</v>
          </cell>
        </row>
        <row r="45">
          <cell r="G45" t="str">
            <v>PE</v>
          </cell>
          <cell r="H45" t="str">
            <v>M</v>
          </cell>
          <cell r="I45" t="str">
            <v>Lesión a las personas</v>
          </cell>
        </row>
        <row r="46">
          <cell r="G46" t="str">
            <v>AM</v>
          </cell>
          <cell r="H46" t="str">
            <v>L</v>
          </cell>
          <cell r="I46" t="str">
            <v>efectos en el ambiente</v>
          </cell>
        </row>
        <row r="47">
          <cell r="G47" t="str">
            <v>PE</v>
          </cell>
          <cell r="H47" t="str">
            <v>M</v>
          </cell>
          <cell r="I47" t="str">
            <v>Lesión a las personas</v>
          </cell>
        </row>
        <row r="48">
          <cell r="G48" t="str">
            <v>PE/EC/AM</v>
          </cell>
          <cell r="H48" t="str">
            <v>M</v>
          </cell>
          <cell r="I48" t="str">
            <v>no hay control/ disturbio operacional</v>
          </cell>
        </row>
        <row r="49">
          <cell r="G49" t="str">
            <v>PE/EC/AM</v>
          </cell>
          <cell r="H49" t="str">
            <v>M</v>
          </cell>
          <cell r="I49" t="str">
            <v>no hay control</v>
          </cell>
        </row>
        <row r="52">
          <cell r="G52" t="str">
            <v>PE/EC/AM</v>
          </cell>
          <cell r="H52" t="str">
            <v>M</v>
          </cell>
          <cell r="I52" t="str">
            <v>no hay control</v>
          </cell>
        </row>
        <row r="53">
          <cell r="G53" t="str">
            <v>PE/EC/AM</v>
          </cell>
          <cell r="H53" t="str">
            <v>M</v>
          </cell>
          <cell r="I53" t="str">
            <v>conocimiento deficiente</v>
          </cell>
        </row>
        <row r="57">
          <cell r="G57" t="str">
            <v>PE</v>
          </cell>
          <cell r="H57" t="str">
            <v>M</v>
          </cell>
          <cell r="I57" t="str">
            <v>no hay control/ disturbio operacional</v>
          </cell>
        </row>
        <row r="58">
          <cell r="G58" t="str">
            <v>EC</v>
          </cell>
          <cell r="H58" t="str">
            <v>L</v>
          </cell>
          <cell r="I58" t="str">
            <v>conocimiento deficiente</v>
          </cell>
        </row>
      </sheetData>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AIU"/>
      <sheetName val="AIU"/>
      <sheetName val="PRESTA"/>
      <sheetName val="IMPACTO  COMUN"/>
      <sheetName val="BASE"/>
      <sheetName val="BASE2"/>
      <sheetName val="BASE CTOS"/>
      <sheetName val="BASE CTOS2"/>
      <sheetName val="MATERIALES"/>
      <sheetName val="Gráfico1"/>
      <sheetName val="LINEAS IMPULSIÓN"/>
      <sheetName val="APU LINEAS IMPULSIÓN"/>
      <sheetName val="CAPTACION"/>
      <sheetName val="APUBOMBEO"/>
      <sheetName val="APU CAPTACION"/>
      <sheetName val="1. BOMBEO RIO SINU PTAP ALT 2"/>
      <sheetName val="APULINEA"/>
      <sheetName val="PTAP TIJERETAS"/>
      <sheetName val="TOTAL OC E INST + SUM"/>
      <sheetName val="APU PTAP"/>
      <sheetName val="APU PTAP TIJERETAS"/>
      <sheetName val="APU PTAP ELECT Y GAL"/>
      <sheetName val=" TANQUE PATAGONIA"/>
      <sheetName val="CONSOLIDADO"/>
      <sheetName val="APU TANQUE PATAGONIA"/>
      <sheetName val="RESUMEN 2"/>
      <sheetName val="RECURSOS ADC"/>
      <sheetName val="RECURSOS MPIO"/>
      <sheetName val="APU CAP"/>
    </sheetNames>
    <sheetDataSet>
      <sheetData sheetId="0" refreshError="1"/>
      <sheetData sheetId="1" refreshError="1"/>
      <sheetData sheetId="2" refreshError="1">
        <row r="11">
          <cell r="C11">
            <v>828116</v>
          </cell>
        </row>
        <row r="28">
          <cell r="C28">
            <v>0.65</v>
          </cell>
        </row>
      </sheetData>
      <sheetData sheetId="3" refreshError="1"/>
      <sheetData sheetId="4" refreshError="1">
        <row r="41">
          <cell r="C41" t="str">
            <v>m³</v>
          </cell>
        </row>
        <row r="326">
          <cell r="D326">
            <v>792744</v>
          </cell>
        </row>
        <row r="403">
          <cell r="D403">
            <v>6528</v>
          </cell>
        </row>
        <row r="485">
          <cell r="D485">
            <v>8670</v>
          </cell>
        </row>
        <row r="496">
          <cell r="D496">
            <v>132600</v>
          </cell>
        </row>
      </sheetData>
      <sheetData sheetId="5" refreshError="1">
        <row r="11">
          <cell r="D11">
            <v>100202.03600000001</v>
          </cell>
        </row>
        <row r="12">
          <cell r="D12">
            <v>75151.527000000002</v>
          </cell>
        </row>
        <row r="13">
          <cell r="D13">
            <v>50101.018000000004</v>
          </cell>
        </row>
        <row r="14">
          <cell r="D14">
            <v>90000</v>
          </cell>
        </row>
        <row r="15">
          <cell r="D15">
            <v>63000</v>
          </cell>
        </row>
        <row r="16">
          <cell r="D16">
            <v>153000</v>
          </cell>
        </row>
        <row r="17">
          <cell r="D17">
            <v>63000</v>
          </cell>
        </row>
        <row r="18">
          <cell r="D18">
            <v>90000</v>
          </cell>
        </row>
        <row r="19">
          <cell r="D19">
            <v>550000</v>
          </cell>
        </row>
        <row r="21">
          <cell r="D21">
            <v>180000</v>
          </cell>
        </row>
        <row r="23">
          <cell r="D23">
            <v>95000</v>
          </cell>
        </row>
        <row r="28">
          <cell r="D28">
            <v>3200</v>
          </cell>
        </row>
        <row r="29">
          <cell r="D29">
            <v>3750</v>
          </cell>
        </row>
        <row r="32">
          <cell r="D32">
            <v>3199.7400000000002</v>
          </cell>
        </row>
        <row r="39">
          <cell r="D39">
            <v>408454.68015000003</v>
          </cell>
        </row>
        <row r="40">
          <cell r="D40">
            <v>376655.18015000003</v>
          </cell>
        </row>
        <row r="41">
          <cell r="D41">
            <v>345646.41639869998</v>
          </cell>
        </row>
        <row r="42">
          <cell r="D42">
            <v>309946.41639869998</v>
          </cell>
        </row>
        <row r="43">
          <cell r="D43">
            <v>271660.74524999998</v>
          </cell>
        </row>
        <row r="44">
          <cell r="D44">
            <v>228107.76985000001</v>
          </cell>
        </row>
        <row r="46">
          <cell r="D46">
            <v>200636.94445000001</v>
          </cell>
        </row>
        <row r="49">
          <cell r="D49">
            <v>334397.94136375003</v>
          </cell>
        </row>
        <row r="50">
          <cell r="D50">
            <v>291097.94136375003</v>
          </cell>
        </row>
        <row r="51">
          <cell r="D51">
            <v>222397.94136375</v>
          </cell>
        </row>
        <row r="59">
          <cell r="D59">
            <v>45000</v>
          </cell>
        </row>
        <row r="61">
          <cell r="D61">
            <v>21000</v>
          </cell>
        </row>
        <row r="62">
          <cell r="D62">
            <v>26500</v>
          </cell>
        </row>
        <row r="63">
          <cell r="D63">
            <v>65000</v>
          </cell>
        </row>
        <row r="65">
          <cell r="D65">
            <v>45000</v>
          </cell>
        </row>
        <row r="66">
          <cell r="D66">
            <v>45000</v>
          </cell>
        </row>
        <row r="67">
          <cell r="D67">
            <v>25500</v>
          </cell>
        </row>
        <row r="74">
          <cell r="D74">
            <v>35700</v>
          </cell>
        </row>
        <row r="82">
          <cell r="D82">
            <v>2300</v>
          </cell>
        </row>
        <row r="83">
          <cell r="D83">
            <v>13275</v>
          </cell>
        </row>
        <row r="85">
          <cell r="D85">
            <v>15264.4632</v>
          </cell>
        </row>
        <row r="86">
          <cell r="D86">
            <v>18605.82</v>
          </cell>
        </row>
        <row r="88">
          <cell r="D88">
            <v>3049.1063999999997</v>
          </cell>
        </row>
        <row r="92">
          <cell r="D92">
            <v>23351.25</v>
          </cell>
        </row>
        <row r="93">
          <cell r="D93">
            <v>38527.5</v>
          </cell>
        </row>
        <row r="94">
          <cell r="D94">
            <v>84125</v>
          </cell>
        </row>
        <row r="95">
          <cell r="D95">
            <v>102500</v>
          </cell>
        </row>
        <row r="96">
          <cell r="D96">
            <v>224325</v>
          </cell>
        </row>
        <row r="101">
          <cell r="D101">
            <v>8957.5</v>
          </cell>
        </row>
        <row r="102">
          <cell r="D102">
            <v>19478.75</v>
          </cell>
        </row>
        <row r="105">
          <cell r="D105">
            <v>234166.25</v>
          </cell>
        </row>
        <row r="107">
          <cell r="D107">
            <v>257197.5</v>
          </cell>
        </row>
        <row r="171">
          <cell r="D171">
            <v>72770.87999999999</v>
          </cell>
        </row>
        <row r="179">
          <cell r="D179">
            <v>82586</v>
          </cell>
        </row>
        <row r="202">
          <cell r="D202">
            <v>13901</v>
          </cell>
        </row>
        <row r="203">
          <cell r="D203">
            <v>19372</v>
          </cell>
        </row>
        <row r="204">
          <cell r="D204">
            <v>41025</v>
          </cell>
        </row>
        <row r="224">
          <cell r="D224">
            <v>26532</v>
          </cell>
        </row>
        <row r="225">
          <cell r="D225">
            <v>36234</v>
          </cell>
        </row>
        <row r="226">
          <cell r="D226">
            <v>52922</v>
          </cell>
        </row>
        <row r="286">
          <cell r="D286">
            <v>243739.19999999998</v>
          </cell>
        </row>
        <row r="287">
          <cell r="D287">
            <v>222441.59999999998</v>
          </cell>
        </row>
        <row r="297">
          <cell r="D297">
            <v>572668.80000000005</v>
          </cell>
        </row>
        <row r="298">
          <cell r="D298">
            <v>501676.79999999993</v>
          </cell>
        </row>
        <row r="299">
          <cell r="D299">
            <v>437783.99999999994</v>
          </cell>
        </row>
        <row r="319">
          <cell r="D319">
            <v>286926</v>
          </cell>
        </row>
        <row r="327">
          <cell r="D327">
            <v>360000</v>
          </cell>
        </row>
        <row r="334">
          <cell r="D334">
            <v>400000</v>
          </cell>
        </row>
        <row r="338">
          <cell r="D338">
            <v>380000</v>
          </cell>
        </row>
        <row r="347">
          <cell r="D347">
            <v>450000</v>
          </cell>
        </row>
        <row r="353">
          <cell r="D353">
            <v>12500.1</v>
          </cell>
        </row>
        <row r="368">
          <cell r="D368">
            <v>8896</v>
          </cell>
        </row>
        <row r="369">
          <cell r="D369">
            <v>1632</v>
          </cell>
        </row>
        <row r="370">
          <cell r="D370">
            <v>25379.640000000003</v>
          </cell>
        </row>
        <row r="373">
          <cell r="D373">
            <v>12525.6</v>
          </cell>
        </row>
        <row r="375">
          <cell r="D375">
            <v>12311.4</v>
          </cell>
        </row>
        <row r="390">
          <cell r="D390">
            <v>248390.39999999999</v>
          </cell>
        </row>
        <row r="391">
          <cell r="D391">
            <v>35700</v>
          </cell>
        </row>
        <row r="394">
          <cell r="D394">
            <v>185640</v>
          </cell>
        </row>
        <row r="395">
          <cell r="D395">
            <v>2958</v>
          </cell>
        </row>
        <row r="398">
          <cell r="D398">
            <v>57283.200000000012</v>
          </cell>
        </row>
        <row r="405">
          <cell r="D405">
            <v>2550</v>
          </cell>
        </row>
        <row r="413">
          <cell r="D413">
            <v>4080</v>
          </cell>
        </row>
        <row r="414">
          <cell r="D414">
            <v>50850</v>
          </cell>
        </row>
        <row r="425">
          <cell r="D425">
            <v>85473.96</v>
          </cell>
        </row>
        <row r="430">
          <cell r="D430">
            <v>1366596</v>
          </cell>
        </row>
        <row r="431">
          <cell r="D431">
            <v>552160</v>
          </cell>
        </row>
        <row r="432">
          <cell r="D432">
            <v>740000</v>
          </cell>
        </row>
        <row r="435">
          <cell r="D435">
            <v>4550000</v>
          </cell>
        </row>
        <row r="436">
          <cell r="D436">
            <v>3565000</v>
          </cell>
        </row>
        <row r="438">
          <cell r="D438">
            <v>1100000</v>
          </cell>
        </row>
        <row r="439">
          <cell r="D439">
            <v>696000</v>
          </cell>
        </row>
        <row r="440">
          <cell r="D440">
            <v>547900</v>
          </cell>
        </row>
        <row r="442">
          <cell r="D442">
            <v>884000</v>
          </cell>
        </row>
        <row r="445">
          <cell r="D445">
            <v>1400000</v>
          </cell>
        </row>
        <row r="449">
          <cell r="D449">
            <v>3200000</v>
          </cell>
        </row>
        <row r="460">
          <cell r="D460">
            <v>50000</v>
          </cell>
        </row>
        <row r="461">
          <cell r="D461">
            <v>65000</v>
          </cell>
        </row>
        <row r="462">
          <cell r="D462">
            <v>150000</v>
          </cell>
        </row>
        <row r="463">
          <cell r="D463">
            <v>10000</v>
          </cell>
        </row>
        <row r="464">
          <cell r="D464">
            <v>25000</v>
          </cell>
        </row>
        <row r="466">
          <cell r="D466">
            <v>47000</v>
          </cell>
        </row>
        <row r="467">
          <cell r="D467">
            <v>25520</v>
          </cell>
        </row>
        <row r="474">
          <cell r="D474">
            <v>14500</v>
          </cell>
        </row>
        <row r="475">
          <cell r="D475">
            <v>3366</v>
          </cell>
        </row>
        <row r="477">
          <cell r="D477">
            <v>538</v>
          </cell>
        </row>
        <row r="478">
          <cell r="D478">
            <v>2550</v>
          </cell>
        </row>
        <row r="479">
          <cell r="D479">
            <v>1746</v>
          </cell>
        </row>
        <row r="482">
          <cell r="D482">
            <v>733.58399999999995</v>
          </cell>
        </row>
        <row r="483">
          <cell r="D483">
            <v>17748</v>
          </cell>
        </row>
        <row r="484">
          <cell r="D484">
            <v>28580</v>
          </cell>
        </row>
        <row r="489">
          <cell r="D489">
            <v>55000</v>
          </cell>
        </row>
        <row r="490">
          <cell r="D490">
            <v>3500</v>
          </cell>
        </row>
        <row r="491">
          <cell r="D491">
            <v>35000</v>
          </cell>
        </row>
        <row r="492">
          <cell r="D492">
            <v>150000</v>
          </cell>
        </row>
        <row r="493">
          <cell r="D493">
            <v>10000</v>
          </cell>
        </row>
        <row r="494">
          <cell r="D494">
            <v>50000</v>
          </cell>
        </row>
        <row r="496">
          <cell r="D496">
            <v>22000</v>
          </cell>
        </row>
        <row r="497">
          <cell r="D497">
            <v>36200</v>
          </cell>
        </row>
        <row r="498">
          <cell r="D498">
            <v>2500</v>
          </cell>
        </row>
        <row r="499">
          <cell r="D499">
            <v>1200000</v>
          </cell>
        </row>
        <row r="505">
          <cell r="D505">
            <v>24000</v>
          </cell>
        </row>
        <row r="506">
          <cell r="D506">
            <v>30600</v>
          </cell>
        </row>
        <row r="509">
          <cell r="D509">
            <v>8800</v>
          </cell>
        </row>
        <row r="513">
          <cell r="D513">
            <v>10.199999999999999</v>
          </cell>
        </row>
        <row r="514">
          <cell r="D514">
            <v>8171</v>
          </cell>
        </row>
        <row r="515">
          <cell r="D515">
            <v>4843.76</v>
          </cell>
        </row>
        <row r="516">
          <cell r="D516">
            <v>1155</v>
          </cell>
        </row>
        <row r="522">
          <cell r="D522">
            <v>423024.14899999998</v>
          </cell>
        </row>
        <row r="523">
          <cell r="D523">
            <v>35000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
      <sheetName val="FORMULARIO AIU"/>
      <sheetName val="PTAP"/>
      <sheetName val="APU PTAP"/>
      <sheetName val="TANQUE"/>
      <sheetName val="APU TANQUE"/>
      <sheetName val="BASE CTOS"/>
      <sheetName val="BASE"/>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C3">
            <v>0.3</v>
          </cell>
        </row>
        <row r="86">
          <cell r="D86">
            <v>13475</v>
          </cell>
        </row>
        <row r="95">
          <cell r="D95">
            <v>20078</v>
          </cell>
        </row>
        <row r="116">
          <cell r="D116">
            <v>8792.359199999999</v>
          </cell>
        </row>
        <row r="133">
          <cell r="D133">
            <v>13513.3272</v>
          </cell>
        </row>
      </sheetData>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REF"/>
    </sheetNames>
    <definedNames>
      <definedName name="_xlbgnm.ane7"/>
      <definedName name="_xlbgnm.ane8"/>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10">
          <cell r="F10">
            <v>4225</v>
          </cell>
        </row>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s>
    <sheetDataSet>
      <sheetData sheetId="0" refreshError="1"/>
      <sheetData sheetId="1" refreshError="1">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Directo"/>
      <sheetName val="equip"/>
      <sheetName val="mat&amp;sub"/>
      <sheetName val="indir"/>
      <sheetName val="gene"/>
      <sheetName val="tot"/>
      <sheetName val="prog "/>
      <sheetName val="pres_comp"/>
      <sheetName val="civ_1"/>
      <sheetName val="kp_civ1"/>
      <sheetName val="KP"/>
      <sheetName val="civpl1"/>
      <sheetName val="STRSUMM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 val="Hoja2"/>
      <sheetName val="INDICADORES"/>
    </sheetNames>
    <sheetDataSet>
      <sheetData sheetId="0" refreshError="1"/>
      <sheetData sheetId="1" refreshError="1"/>
      <sheetData sheetId="2" refreshError="1"/>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PATAS"/>
      <sheetName val="PORT 0-23"/>
      <sheetName val="PORT 1-22"/>
      <sheetName val="PORT 3-20"/>
      <sheetName val="PORT 5-18"/>
      <sheetName val="PORT 6-17"/>
      <sheetName val="PORT 7-16"/>
      <sheetName val="PORT 8-15"/>
      <sheetName val="PORT 9-14"/>
      <sheetName val="PORT 10-13"/>
      <sheetName val="PORT 11-12"/>
      <sheetName val="PORT A (9-14)"/>
      <sheetName val="PORT B (9-14)"/>
      <sheetName val="PORT C (9-14)"/>
      <sheetName val="PORT D (9-14)"/>
      <sheetName val="CIME, ESTRU y ACERO"/>
      <sheetName val="PORT A (0-9)"/>
      <sheetName val="PORT B (0-9)"/>
      <sheetName val="PORT C (0-9) "/>
      <sheetName val="PORT D (0-9)"/>
      <sheetName val="2 ETAPA"/>
      <sheetName val="CIM RAMPAS"/>
      <sheetName val="escaleras"/>
      <sheetName val="tanques Y NUCLEOS"/>
      <sheetName val="Col rampa"/>
      <sheetName val="platafo N+5.3"/>
      <sheetName val="SEGUNDA ETAPA"/>
      <sheetName val="FORMALETA"/>
      <sheetName val="Presup Oficial"/>
      <sheetName val="Presup Oficial (2)"/>
      <sheetName val="PREFABRICADOS"/>
      <sheetName val="PREFABRICADOS 2 et"/>
      <sheetName val="NUCLEOS"/>
      <sheetName val="EXCAV"/>
      <sheetName val="AyA"/>
      <sheetName val="PESOS"/>
      <sheetName val="MUROS"/>
      <sheetName val="Hoja1"/>
      <sheetName val="PRESUPUESTO ESTADIO 1"/>
      <sheetName val="INV"/>
      <sheetName val="AASHT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FACTOR PREST."/>
      <sheetName val="DESGLOSE DE PERSONAL"/>
      <sheetName val="EQUIPO"/>
      <sheetName val="MATERIALES"/>
      <sheetName val="ResumenK77+126 hasta K104+435"/>
      <sheetName val="K77+126 hasta K104+435"/>
      <sheetName val="k77+126 A K78"/>
      <sheetName val="K78-K79"/>
      <sheetName val="K79-K80"/>
      <sheetName val="K80-K81"/>
      <sheetName val="K81-K82"/>
      <sheetName val="K82-K83"/>
      <sheetName val="K83 - K84"/>
      <sheetName val="K84 - K85"/>
      <sheetName val="K85-K86"/>
      <sheetName val="K86-K87"/>
      <sheetName val="K87-K88"/>
      <sheetName val="K88-K89"/>
      <sheetName val="K89-K90"/>
      <sheetName val="K90-K91"/>
      <sheetName val="K91-K92"/>
      <sheetName val="K92-K93"/>
      <sheetName val="K93-K94"/>
      <sheetName val="K94-K95"/>
      <sheetName val="K95-K96"/>
      <sheetName val="K96-K97"/>
      <sheetName val="K97-K98"/>
      <sheetName val="K98-K99"/>
      <sheetName val="K99-K100"/>
      <sheetName val="K100-K101"/>
      <sheetName val="K101-K102"/>
      <sheetName val="K102-K103"/>
      <sheetName val="K103-K104"/>
      <sheetName val="K104-104+435"/>
      <sheetName val="RESUMEN CANTIDADES POR KM"/>
      <sheetName val="200.2"/>
      <sheetName val="201.7"/>
      <sheetName val="201.8"/>
      <sheetName val="201.9"/>
      <sheetName val="201.10"/>
      <sheetName val="201.15"/>
      <sheetName val="201.16"/>
      <sheetName val="210.1.1"/>
      <sheetName val="211.1"/>
      <sheetName val="220.1"/>
      <sheetName val="234.1"/>
      <sheetName val="310.1"/>
      <sheetName val="311.1"/>
      <sheetName val="320.1"/>
      <sheetName val="330.1"/>
      <sheetName val="420.1"/>
      <sheetName val="450.2P"/>
      <sheetName val="500.1"/>
      <sheetName val="511.1P"/>
      <sheetName val="511.2P"/>
      <sheetName val="672.1"/>
      <sheetName val="672.2P"/>
      <sheetName val="672.3P"/>
      <sheetName val="672.4P"/>
      <sheetName val="672.5P"/>
      <sheetName val="672.6P"/>
      <sheetName val="672.7P"/>
      <sheetName val="600.1"/>
      <sheetName val="600.2"/>
      <sheetName val="610.1"/>
      <sheetName val="610.1.1"/>
      <sheetName val="610.1.2P"/>
      <sheetName val="610.1.3P"/>
      <sheetName val="621.1"/>
      <sheetName val="621.2"/>
      <sheetName val="621.3"/>
      <sheetName val="621.4"/>
      <sheetName val="630.1"/>
      <sheetName val="630.2"/>
      <sheetName val="630.4"/>
      <sheetName val="630.6"/>
      <sheetName val="640.1"/>
      <sheetName val="640.2"/>
      <sheetName val="642.1"/>
      <sheetName val="642.2"/>
      <sheetName val="642.4"/>
      <sheetName val="642.5"/>
      <sheetName val="642.6"/>
      <sheetName val="642.7"/>
      <sheetName val="642.8"/>
      <sheetName val="642.3"/>
      <sheetName val="642.9"/>
      <sheetName val="642.10"/>
      <sheetName val="650.1"/>
      <sheetName val="650.2"/>
      <sheetName val="650.4"/>
      <sheetName val="650.3"/>
      <sheetName val="674.1"/>
      <sheetName val="674.1P"/>
      <sheetName val="674.2P"/>
      <sheetName val="674.3P"/>
      <sheetName val="674.4P"/>
      <sheetName val="661.1"/>
      <sheetName val="670.2"/>
      <sheetName val="671.1"/>
      <sheetName val="673.1"/>
      <sheetName val="673.2"/>
      <sheetName val="630.7"/>
      <sheetName val="671.2"/>
      <sheetName val="681.1"/>
      <sheetName val="673.3"/>
      <sheetName val="673.4"/>
      <sheetName val="673.5"/>
      <sheetName val="673.6"/>
      <sheetName val="671.3"/>
      <sheetName val="700.1"/>
      <sheetName val="700.3"/>
      <sheetName val="710.1"/>
      <sheetName val="700.1.1"/>
      <sheetName val="720.1"/>
      <sheetName val="730.1"/>
      <sheetName val="731.1"/>
      <sheetName val="800.2"/>
      <sheetName val="810.2"/>
      <sheetName val="810.3P"/>
      <sheetName val="900.2"/>
      <sheetName val="900.3"/>
      <sheetName val="SEG. PROGRAMA  HITO 3"/>
      <sheetName val="MOV.TIERRAS"/>
      <sheetName val="BASE "/>
      <sheetName val="SUBBASE"/>
      <sheetName val="MCD-2"/>
      <sheetName val="SITIOS CRITICOS (2)"/>
      <sheetName val="PUENTE K77+430 (2)"/>
      <sheetName val="PUENTE K77+830 (2)"/>
      <sheetName val="PUENTE K79+090 (2)"/>
      <sheetName val="puente k87+028 (2)"/>
      <sheetName val="PUENTE 87+414 (2)"/>
      <sheetName val="PUENTE 87+765 (2)"/>
      <sheetName val="PUENTE K88+535 (2)"/>
      <sheetName val="PUENTE 88+885 (2)"/>
      <sheetName val="PUENTE K91+355 (2)"/>
      <sheetName val="PUENTE K92+827 (2)"/>
      <sheetName val="PUENTE K93+483 (2)"/>
      <sheetName val="PUENTE K94+143 (2)"/>
      <sheetName val="PUENTE K94+907 (2)"/>
      <sheetName val="PUENTE K96+925 (2)"/>
      <sheetName val="PUENTE K99+293 (2)"/>
      <sheetName val="PUENTE K102+359 (2)"/>
      <sheetName val="PUENTE K105+580 (2)"/>
      <sheetName val="Muros cimentados superficia (2"/>
      <sheetName val="Muros cimentados en pilotes (2"/>
      <sheetName val="Pantallas de pìlotes (2)"/>
      <sheetName val="BOXCULVER"/>
      <sheetName val="ALCANTARILLAS"/>
      <sheetName val="CUNETA"/>
      <sheetName val="Disipadores"/>
      <sheetName val="Zanjas"/>
      <sheetName val="SUBDRENES"/>
      <sheetName val="Costos PAGA"/>
      <sheetName val="PREDIOS PR80-PR94"/>
      <sheetName val="PREDIOS PR94-PR117"/>
      <sheetName val="77+340 AL 78+000"/>
      <sheetName val="78+000 AL 79+000"/>
      <sheetName val="79+000 AL 80+000"/>
      <sheetName val="80+000 AL 81+000"/>
      <sheetName val="81+000 AL 82+000"/>
      <sheetName val="82+000 AL 83+000"/>
      <sheetName val="83+000 AL 84+000"/>
      <sheetName val="84+000 AL 85+000"/>
      <sheetName val="85+000 AL 86+000"/>
      <sheetName val="86+000 AL 87+000"/>
      <sheetName val="87+000 AL 88+000"/>
      <sheetName val="88+000 AL 89+000"/>
      <sheetName val="89+000 AL 90+000"/>
      <sheetName val="90+000 AL 91+000"/>
      <sheetName val="91+000 AL 92+000 "/>
      <sheetName val="92+000 AL 93+000"/>
      <sheetName val="93+000 AL 93+027.11"/>
      <sheetName val="93+027.11 AL 94+000"/>
      <sheetName val="94+000 AL 95+000"/>
      <sheetName val="95+000 AL 96+000"/>
      <sheetName val="96+000 AL 97+000"/>
      <sheetName val="97+000 AL 98+000"/>
      <sheetName val="98+000 AL 99+000"/>
      <sheetName val="99+000 AL 100+000"/>
      <sheetName val="100+000 AL 101+000"/>
      <sheetName val="101+000 AL 102+000"/>
      <sheetName val="102+000 AL 103+000"/>
      <sheetName val="103+000 AL 104+000"/>
      <sheetName val="104+000 AL 105+000"/>
      <sheetName val="Hoja1"/>
      <sheetName val="AMC"/>
      <sheetName val="Basico"/>
      <sheetName val="Iva"/>
      <sheetName val="Total"/>
      <sheetName val="amc_acta"/>
      <sheetName val="amc_bas"/>
      <sheetName val="amc_iva"/>
      <sheetName val="amc_total"/>
      <sheetName val="amc_anticip"/>
      <sheetName val="a  aaInformación GRUPO"/>
      <sheetName val="a%20%20aaInformación%20GRUPO"/>
      <sheetName val="aCCIDENTES DE 1995 - 1996"/>
      <sheetName val="PORTADA"/>
      <sheetName val="FNC"/>
      <sheetName val="INDICE"/>
      <sheetName val="INDICE ALFABETICO"/>
      <sheetName val="EQUIPOS"/>
      <sheetName val="OTROS"/>
      <sheetName val="200.1"/>
      <sheetName val="200P1"/>
      <sheetName val="200P2"/>
      <sheetName val="200P3"/>
      <sheetName val="201.1"/>
      <sheetName val="201.1P"/>
      <sheetName val="211.11P"/>
      <sheetName val="201.2"/>
      <sheetName val="201.3"/>
      <sheetName val="201.3P"/>
      <sheetName val="201.4"/>
      <sheetName val="201.7P1"/>
      <sheetName val="201.7P2"/>
      <sheetName val="201.8P"/>
      <sheetName val="201.11"/>
      <sheetName val="201.11P"/>
      <sheetName val="201.12"/>
      <sheetName val="201.13"/>
      <sheetName val="201.14"/>
      <sheetName val="201.14P1"/>
      <sheetName val="201.17"/>
      <sheetName val="201.21"/>
      <sheetName val="210.1.2"/>
      <sheetName val="210.2.1"/>
      <sheetName val="210.2.1P"/>
      <sheetName val="210.2.2"/>
      <sheetName val="210.2.3"/>
      <sheetName val="210.2.4"/>
      <sheetName val="220.1P"/>
      <sheetName val="221.1"/>
      <sheetName val="221.2"/>
      <sheetName val="225P"/>
      <sheetName val="230.1"/>
      <sheetName val="230.2"/>
      <sheetName val="232.1"/>
      <sheetName val="311P1"/>
      <sheetName val="311P2"/>
      <sheetName val="311P3"/>
      <sheetName val="320.2"/>
      <sheetName val="330.2"/>
      <sheetName val="340.1"/>
      <sheetName val="340.2"/>
      <sheetName val="340.3"/>
      <sheetName val="341.1"/>
      <sheetName val="341.2"/>
      <sheetName val="343P"/>
      <sheetName val="410.1"/>
      <sheetName val="410.2"/>
      <sheetName val="411.1"/>
      <sheetName val="411.2"/>
      <sheetName val="411.3"/>
      <sheetName val="411P"/>
      <sheetName val="414.1"/>
      <sheetName val="414.2"/>
      <sheetName val="414.3"/>
      <sheetName val="414.4"/>
      <sheetName val="414.5"/>
      <sheetName val="415.1"/>
      <sheetName val="420.2"/>
      <sheetName val="421.1"/>
      <sheetName val="421.2"/>
      <sheetName val="421.3"/>
      <sheetName val="421.4"/>
      <sheetName val="430.1"/>
      <sheetName val="430.2"/>
      <sheetName val="431.1"/>
      <sheetName val="431.2"/>
      <sheetName val="432.1"/>
      <sheetName val="432.2"/>
      <sheetName val="433.1"/>
      <sheetName val="433.2"/>
      <sheetName val="433.3"/>
      <sheetName val="433.4"/>
      <sheetName val="433.5"/>
      <sheetName val="433.6"/>
      <sheetName val="433.7"/>
      <sheetName val="433.8"/>
      <sheetName val="440.1"/>
      <sheetName val="440.1P"/>
      <sheetName val="440.2"/>
      <sheetName val="440.2P"/>
      <sheetName val="440.3"/>
      <sheetName val="440.3P"/>
      <sheetName val="440.4"/>
      <sheetName val="440.4P"/>
      <sheetName val="441.1"/>
      <sheetName val="441.1P"/>
      <sheetName val="441.2"/>
      <sheetName val="441.2P"/>
      <sheetName val="441.3"/>
      <sheetName val="441.3P"/>
      <sheetName val="441.4P"/>
      <sheetName val="450.1"/>
      <sheetName val="450.1P"/>
      <sheetName val="450.2"/>
      <sheetName val="450.3"/>
      <sheetName val="450.3P"/>
      <sheetName val="450.9"/>
      <sheetName val="450.9P"/>
      <sheetName val="451.1"/>
      <sheetName val="451.1P"/>
      <sheetName val="451.2"/>
      <sheetName val="451.2P"/>
      <sheetName val="451.3"/>
      <sheetName val="451.3P"/>
      <sheetName val="451.4P"/>
      <sheetName val="452.1"/>
      <sheetName val="452.1P"/>
      <sheetName val="452.2"/>
      <sheetName val="452.2P"/>
      <sheetName val="452.3"/>
      <sheetName val="452.3P"/>
      <sheetName val="452.4"/>
      <sheetName val="452.4P"/>
      <sheetName val="453.1"/>
      <sheetName val="460.1(5 CM)"/>
      <sheetName val="460.1 (10 CM)"/>
      <sheetName val="460.1P"/>
      <sheetName val="461.1"/>
      <sheetName val="461.2P"/>
      <sheetName val="462.1.1"/>
      <sheetName val="462.1.1P"/>
      <sheetName val="462.1.2"/>
      <sheetName val="462.1.2P"/>
      <sheetName val="462.1.3P"/>
      <sheetName val="462.1.3"/>
      <sheetName val="462.1.4P"/>
      <sheetName val="462.1.4"/>
      <sheetName val="462.2P"/>
      <sheetName val="464.1"/>
      <sheetName val="464.2"/>
      <sheetName val="464.3"/>
      <sheetName val="465.1"/>
      <sheetName val="466.1"/>
      <sheetName val="501.1"/>
      <sheetName val="510.1"/>
      <sheetName val="510P1"/>
      <sheetName val="510P2"/>
      <sheetName val="510P3"/>
      <sheetName val="600.3"/>
      <sheetName val="600.4"/>
      <sheetName val="600.4P"/>
      <sheetName val="600.5"/>
      <sheetName val="600.5P"/>
      <sheetName val="610.1P"/>
      <sheetName val="610.2"/>
      <sheetName val="620.1"/>
      <sheetName val="620.2"/>
      <sheetName val="620.3"/>
      <sheetName val="620P"/>
      <sheetName val="621.1P7"/>
      <sheetName val="621.5P2"/>
      <sheetName val="621P"/>
      <sheetName val="622.1"/>
      <sheetName val="622.2"/>
      <sheetName val="622.3"/>
      <sheetName val="622.4"/>
      <sheetName val="622.5"/>
      <sheetName val="623P"/>
      <sheetName val="623P1"/>
      <sheetName val="630P"/>
      <sheetName val="630.1.2P"/>
      <sheetName val="630.1P"/>
      <sheetName val="630.2P"/>
      <sheetName val="630.3"/>
      <sheetName val="630.3P"/>
      <sheetName val="630.4 "/>
      <sheetName val="630.5"/>
      <sheetName val="632.1"/>
      <sheetName val="632P"/>
      <sheetName val="632.P2"/>
      <sheetName val="633P"/>
      <sheetName val="640.1.1"/>
      <sheetName val="640.1.2"/>
      <sheetName val="640.1.3"/>
      <sheetName val="640.2P"/>
      <sheetName val="641.1"/>
      <sheetName val="642P1 JUNTAS"/>
      <sheetName val="642P2 JUNTAS"/>
      <sheetName val="642P3 JUNTAS"/>
      <sheetName val="650.3P"/>
      <sheetName val="660.1"/>
      <sheetName val="660.2"/>
      <sheetName val="660.3"/>
      <sheetName val="661.1.1 TIPO I"/>
      <sheetName val="661.1.2 TIPO II"/>
      <sheetName val="661.2.1 TIPO I"/>
      <sheetName val="661P"/>
      <sheetName val="662.1"/>
      <sheetName val="662.2"/>
      <sheetName val="670.1"/>
      <sheetName val="670.1P"/>
      <sheetName val="671.1P"/>
      <sheetName val="673.1P"/>
      <sheetName val="673.2.1 NT2500"/>
      <sheetName val="673.2.2 NT2100"/>
      <sheetName val="673.2.3"/>
      <sheetName val="673.2.4"/>
      <sheetName val="674P"/>
      <sheetName val="675P1"/>
      <sheetName val="675P2"/>
      <sheetName val="680.1"/>
      <sheetName val="680.2"/>
      <sheetName val="680.3"/>
      <sheetName val="680P1"/>
      <sheetName val="680P2"/>
      <sheetName val="682.1"/>
      <sheetName val="690.1"/>
      <sheetName val="700P BANDAS SONORAS "/>
      <sheetName val="701.1"/>
      <sheetName val="701P"/>
      <sheetName val="700.2"/>
      <sheetName val="700.4"/>
      <sheetName val="710.1.1"/>
      <sheetName val="710.1.2"/>
      <sheetName val="710.1.3"/>
      <sheetName val="710.1.4"/>
      <sheetName val="710.2"/>
      <sheetName val="730.2"/>
      <sheetName val="730.3"/>
      <sheetName val="740.1"/>
      <sheetName val="800.1"/>
      <sheetName val="800.3P"/>
      <sheetName val="800.4P"/>
      <sheetName val="800P"/>
      <sheetName val="810.1"/>
      <sheetName val="810.2P"/>
      <sheetName val="810.3"/>
      <sheetName val="811.1"/>
      <sheetName val="811P"/>
      <sheetName val="812.1"/>
      <sheetName val="815P"/>
      <sheetName val="900.1"/>
      <sheetName val="PLATINA"/>
      <sheetName val="PILOTES 6&quot;"/>
      <sheetName val="701.2P"/>
      <sheetName val="201.2 reforzado"/>
      <sheetName val="210.2 OTRA"/>
      <sheetName val="650.5P"/>
      <sheetName val="1p"/>
      <sheetName val="4651p"/>
      <sheetName val="LOCALIZACION ESTRUCTURAS"/>
      <sheetName val="LOCALIZACION CARRETERAS"/>
      <sheetName val="200P ROCERIA"/>
      <sheetName val="201.2 ciclopeo"/>
      <sheetName val="210.1"/>
      <sheetName val="210.2"/>
      <sheetName val="210.3"/>
      <sheetName val="211"/>
      <sheetName val="220"/>
      <sheetName val="310"/>
      <sheetName val="311"/>
      <sheetName val="341.1P"/>
      <sheetName val="415"/>
      <sheetName val="420"/>
      <sheetName val="432"/>
      <sheetName val="440.2PREP VIA "/>
      <sheetName val="440.1PREP VIA"/>
      <sheetName val="440.3PREP VIA  "/>
      <sheetName val="441.1P COMPRADA"/>
      <sheetName val="441.2P COMPRADA"/>
      <sheetName val="441.3P COMPRADA"/>
      <sheetName val="441.4"/>
      <sheetName val="450.1P "/>
      <sheetName val="450.3P "/>
      <sheetName val="450.5"/>
      <sheetName val="452.1P "/>
      <sheetName val="452.2P "/>
      <sheetName val="453"/>
      <sheetName val="460"/>
      <sheetName val="460P"/>
      <sheetName val="461.2"/>
      <sheetName val="462.1P"/>
      <sheetName val="462.3P"/>
      <sheetName val="462.4P"/>
      <sheetName val="462.5"/>
      <sheetName val="500"/>
      <sheetName val="500P"/>
      <sheetName val="510"/>
      <sheetName val="510P5"/>
      <sheetName val="600.4 P"/>
      <sheetName val="600.5 P"/>
      <sheetName val="621.5"/>
      <sheetName val="621.5P"/>
      <sheetName val="621.6"/>
      <sheetName val="621,7"/>
      <sheetName val="630.P"/>
      <sheetName val="631P BOLSACRETO"/>
      <sheetName val="632"/>
      <sheetName val="640.3"/>
      <sheetName val="641"/>
      <sheetName val="641P ANCLAJES"/>
      <sheetName val="650.3 OTRO"/>
      <sheetName val="660.1P"/>
      <sheetName val="661 TIPO 1"/>
      <sheetName val="661 TIPO 2"/>
      <sheetName val="661 OTRO"/>
      <sheetName val="671"/>
      <sheetName val="672"/>
      <sheetName val="674"/>
      <sheetName val="675.1"/>
      <sheetName val="675.2"/>
      <sheetName val="675.3"/>
      <sheetName val="676"/>
      <sheetName val="680P"/>
      <sheetName val="681"/>
      <sheetName val="680.1P"/>
      <sheetName val="682"/>
      <sheetName val="683P"/>
      <sheetName val="701"/>
      <sheetName val="710.3"/>
      <sheetName val="710.4"/>
      <sheetName val="710.5"/>
      <sheetName val="720"/>
      <sheetName val="740"/>
      <sheetName val="800.3"/>
      <sheetName val="800.4"/>
      <sheetName val="810.1P"/>
      <sheetName val="610P"/>
      <sheetName val="hexapodos"/>
      <sheetName val="LINEA DE DEMARCACIÓN BASE AGUA"/>
      <sheetName val="TACHA REFLECTIVA"/>
      <sheetName val="SEÑAL VERTICAL DE 75"/>
      <sheetName val="DEFENSA METALICA"/>
      <sheetName val="Hoja1 (2)"/>
      <sheetName val="Hoja2 (2)"/>
      <sheetName val="Hoja3 (2)"/>
      <sheetName val="Hoja2"/>
      <sheetName val="Hoja3"/>
      <sheetName val="a  aaInformación"/>
      <sheetName val="A MInformes M"/>
      <sheetName val="VínculoExternoRecuperado1"/>
      <sheetName val="Itemes Renovación"/>
      <sheetName val="G12-T1 (F4)"/>
      <sheetName val="G12-T2a (F4)"/>
      <sheetName val="G12-T2b (F4)"/>
      <sheetName val="G12-T3a (F4)"/>
      <sheetName val="G12-T3b (F4)"/>
      <sheetName val="G13-T1a (F4)"/>
      <sheetName val="G13-T1b (F4)"/>
      <sheetName val="G14-T1 (F4)"/>
      <sheetName val="G14-T2 (F4)"/>
      <sheetName val="G14-T3 (F4)"/>
      <sheetName val="G14-T4 (F4)"/>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EvaluaciónFórmulas"/>
      <sheetName val="EvaluaciónG"/>
      <sheetName val="EvaluaciónFórmulas (2)"/>
      <sheetName val="EvaluaciónG (2)"/>
      <sheetName val="EvaluaciónFórmulas (3)"/>
      <sheetName val="EvaluaciónG (3)"/>
      <sheetName val="Evaluación"/>
      <sheetName val="Evaluación (2)"/>
      <sheetName val="Evaluación (3)"/>
      <sheetName val="Datos"/>
      <sheetName val="ACCIDENTALIDAD"/>
      <sheetName val="ACC.EJECUTIVO"/>
      <sheetName val="ACC.EJECUTIVO-OCT-02"/>
      <sheetName val="EJEC-AGO-2002"/>
      <sheetName val="TABLA"/>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UNIT REALES"/>
      <sheetName val="Contratos"/>
      <sheetName val="CANT OBRA"/>
      <sheetName val="CUADRO RESUM"/>
      <sheetName val="CUADRO RESUM FALTANTE"/>
      <sheetName val="aCCIDENTES%20DE%201995%20-%2019"/>
      <sheetName val="CANT OBRA Y PRESUPUESTO 6205"/>
      <sheetName val="BARBOSA CISNEROS formato inv"/>
      <sheetName val="BARBOSA CISNEROS"/>
      <sheetName val="CANT OBRA Y PRESUPUESTO 6206"/>
      <sheetName val="CRUCE CISNEROS formato inv"/>
      <sheetName val="CRUCE CISNEROS "/>
      <sheetName val="Densidades"/>
      <sheetName val="201.12P"/>
      <sheetName val="201.14 (2)"/>
      <sheetName val="211.1P"/>
      <sheetName val="231.1"/>
      <sheetName val="232.1p"/>
      <sheetName val="342.1"/>
      <sheetName val="414,5"/>
      <sheetName val="440.1COMPRADA"/>
      <sheetName val="440.2COMPRADA"/>
      <sheetName val="440.3COMPRADA"/>
      <sheetName val="441.1COMPRADA"/>
      <sheetName val="441.2COMPRADA"/>
      <sheetName val="441.3COMPRADA"/>
      <sheetName val="450.1P COMPRADA"/>
      <sheetName val="450.2comprada"/>
      <sheetName val="450.3 COMPRADA"/>
      <sheetName val="450.4"/>
      <sheetName val="450.6"/>
      <sheetName val="450.7"/>
      <sheetName val="450.8"/>
      <sheetName val="451.1 (2)"/>
      <sheetName val="451.1 COMPRADA"/>
      <sheetName val="451.2 COMPRADA"/>
      <sheetName val="451.3 COMPRADA "/>
      <sheetName val="451.4"/>
      <sheetName val="452.1COMPRADA"/>
      <sheetName val="452.2COMPRADA "/>
      <sheetName val="452.3COMPRADA"/>
      <sheetName val="452.4COMPRADA"/>
      <sheetName val="453,1"/>
      <sheetName val="460,1"/>
      <sheetName val="461P"/>
      <sheetName val="462.1"/>
      <sheetName val="462.2"/>
      <sheetName val="464,1"/>
      <sheetName val="464,2"/>
      <sheetName val="464,3"/>
      <sheetName val="464,4"/>
      <sheetName val="465,1"/>
      <sheetName val="466,1"/>
      <sheetName val="466,2"/>
      <sheetName val="680.2 "/>
      <sheetName val="682 "/>
      <sheetName val="690"/>
      <sheetName val="700.1 "/>
      <sheetName val="700.2 "/>
      <sheetName val="710.1 "/>
      <sheetName val="710.2 "/>
      <sheetName val="710.3 "/>
      <sheetName val="710.4 "/>
      <sheetName val="621.1P5"/>
      <sheetName val="621.7P"/>
      <sheetName val="623.1"/>
      <sheetName val="623.2"/>
      <sheetName val="630.6p"/>
      <sheetName val="631.1"/>
      <sheetName val="632.1P"/>
      <sheetName val="641.2"/>
      <sheetName val="642.2 JUNTA JEENE"/>
      <sheetName val="650.3 "/>
      <sheetName val="650.4 "/>
      <sheetName val="660.2 "/>
      <sheetName val="660.3 "/>
      <sheetName val="661 TIPO2 "/>
      <sheetName val="661 OTRO "/>
      <sheetName val="662.1 "/>
      <sheetName val="670.2 "/>
      <sheetName val="671.2 "/>
      <sheetName val="673.1 "/>
      <sheetName val="673.2 "/>
      <sheetName val="673.2p"/>
      <sheetName val="674.2"/>
      <sheetName val="680.1 "/>
      <sheetName val="731.1 "/>
      <sheetName val="741.1P1 "/>
      <sheetName val="741.1P2"/>
      <sheetName val="741.1P3"/>
      <sheetName val="801.1"/>
      <sheetName val="801.2"/>
      <sheetName val="801.3"/>
      <sheetName val="801.4"/>
      <sheetName val="801.5"/>
      <sheetName val="801.6"/>
      <sheetName val="801.7"/>
      <sheetName val="811.1 P1"/>
      <sheetName val="811.1 P2"/>
      <sheetName val="811.1P3"/>
      <sheetName val="811.1P4"/>
      <sheetName val="811.1P5"/>
      <sheetName val="811.1P6"/>
      <sheetName val="811.1P7"/>
      <sheetName val="811.1P8"/>
      <sheetName val="811.1P9"/>
      <sheetName val="811.1P10"/>
      <sheetName val="811.1P11"/>
      <sheetName val="811.1P12"/>
      <sheetName val="811.1P13"/>
      <sheetName val="811.1P14"/>
      <sheetName val="811.1P15"/>
      <sheetName val="matrix"/>
      <sheetName val="200,1"/>
      <sheetName val="200,2"/>
      <sheetName val="201,1"/>
      <sheetName val="201,2"/>
      <sheetName val="201,3"/>
      <sheetName val="201,4"/>
      <sheetName val="201,5"/>
      <sheetName val="201,6"/>
      <sheetName val="201,7"/>
      <sheetName val="201,8"/>
      <sheetName val="201,9"/>
      <sheetName val="201,11"/>
      <sheetName val="201,12"/>
      <sheetName val="201,15"/>
      <sheetName val="201,16"/>
      <sheetName val="232,1"/>
      <sheetName val="312.1"/>
      <sheetName val="312.2"/>
      <sheetName val="416,2P"/>
      <sheetName val="432,1"/>
      <sheetName val="432,2"/>
      <sheetName val="451. 1P"/>
      <sheetName val="460.1"/>
      <sheetName val="460,2"/>
      <sheetName val="CLASE C"/>
      <sheetName val="632,1"/>
      <sheetName val="661.1 TIPO I"/>
      <sheetName val="681,1"/>
      <sheetName val="682,1"/>
      <sheetName val="730,1P"/>
      <sheetName val="Comentarios"/>
      <sheetName val="1, ferrogard"/>
      <sheetName val="2, SUM APLIC RECUBRIMIENTO  SI"/>
      <sheetName val="perforacion anclajes 1"/>
      <sheetName val="perforacion anclajes 7"/>
      <sheetName val="perforacion anclajes 3"/>
      <sheetName val="perforacion anclajes 5"/>
      <sheetName val="puente de adherencia concretos"/>
      <sheetName val="RECUPER LOSA PISO CONCREGROUT "/>
      <sheetName val="INHIBIDOR CORROSION TIPO emaco"/>
      <sheetName val="DEFENSAS METALICAS"/>
      <sheetName val="PINTURA DE TRAFICO"/>
      <sheetName val="ANCLAJES Y PLACAS APOYO TENSION"/>
      <sheetName val="desviador cables tensionamiento"/>
      <sheetName val="TUBO RDE"/>
      <sheetName val="manejo de rio"/>
      <sheetName val="excavacion sin clasificar"/>
      <sheetName val="geotextil"/>
      <sheetName val="material filtrant"/>
      <sheetName val=" APU barandas 58,78 kg-ml"/>
      <sheetName val="baranda ptes meta 20ene10"/>
      <sheetName val="peso barandas meta "/>
      <sheetName val="GEOCOLCHON"/>
      <sheetName val="MENSULAS y topes sismicos"/>
      <sheetName val="ESPECIFICACIONES"/>
      <sheetName val="PPTO. OFICIAL"/>
      <sheetName val="APU"/>
      <sheetName val="V-01 ENERO 9 DE 2008"/>
      <sheetName val="PROPUESTA CISM-GTE-02-08"/>
      <sheetName val="Precio-peso-ml barandas"/>
      <sheetName val="BARANDA VENTANA I-II-CASA MAQ"/>
      <sheetName val="BARANDA CAPTACION"/>
      <sheetName val="BARANDA DESCARGA"/>
      <sheetName val="TAB.DE CONT."/>
      <sheetName val="PORTADA No.1"/>
      <sheetName val="CARRETERAS"/>
      <sheetName val="GENER.CUAD.No.1"/>
      <sheetName val="CUMP.% CUAD.No.2"/>
      <sheetName val="EST.RED C.V. CUAD.No.3"/>
      <sheetName val="BASE DE DATOS"/>
      <sheetName val="GRAF No.1 EST.RED C,VISUAL"/>
      <sheetName val="TORT.EST.VIA C.V. GRAF. No.2"/>
      <sheetName val="EST.RED C.T.CUAD. No.4"/>
      <sheetName val="No.5 NEC.PREV"/>
      <sheetName val="GRAF No.1 EST.RED C,TECNICO"/>
      <sheetName val="TORTAS EST.RED C.T.GRA.No.4"/>
      <sheetName val="EST. RED Y SIT. CRI MAPA No.1 "/>
      <sheetName val="No.6 NEC.CRIT"/>
      <sheetName val="No.7 NECPREV"/>
      <sheetName val="No.7A NECCRITICAS"/>
      <sheetName val="CUAD.No.8 INF. EMER."/>
      <sheetName val="CUAD. No.9 PTES"/>
      <sheetName val="No.10 NECPTES"/>
      <sheetName val="No.10A NECPTES"/>
      <sheetName val="CUAD. No.11 PONTONES"/>
      <sheetName val="CUAD. Nº 12 NEC. PONTONES"/>
      <sheetName val="No.12A NECPONTONES"/>
      <sheetName val="CUAD. No.13 TUNELES "/>
      <sheetName val="CUAD. No.14 NEC TÚNELES "/>
      <sheetName val="CUAD. No.15 SEÑAL VER "/>
      <sheetName val="CUAD. No.16 SEÑAL HOR"/>
      <sheetName val="CUAD. No. 17 ACCID. "/>
      <sheetName val="CUAD. No.18 DEFENSA VIAS "/>
      <sheetName val="CUAD. No.19 SEGUIMIENTO FUN"/>
      <sheetName val="CUAD. No.20 FICHA CUANT."/>
      <sheetName val="CUAD. No.21 FICHA CUAL"/>
      <sheetName val="CUAD. No.22 FICHAS CUANT. MICRO"/>
      <sheetName val="CUAD. No.23 FICHA CUAL. MICRO"/>
      <sheetName val="CUAD. No.24 INTER. CONTRA"/>
      <sheetName val="FOTOS"/>
      <sheetName val="PRENSA"/>
      <sheetName val="COMENT."/>
      <sheetName val="Programa de trabajo e Invers"/>
      <sheetName val="Estado Resumen"/>
      <sheetName val="TORTA"/>
      <sheetName val="Resum_Pav"/>
      <sheetName val="INVENT.ALC-CUNETAS 90BLB"/>
      <sheetName val="PUENTES Y PONTONES"/>
      <sheetName val="SEÑAL VERTICAL90BLB"/>
      <sheetName val="SEÑAL HORIZONTAL90BLB"/>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 val="ORGANIGRAMA"/>
      <sheetName val="FLUJO DE FONDOS"/>
      <sheetName val="CRONOGRAMA"/>
      <sheetName val="INSUMOS"/>
      <sheetName val="A.E.B"/>
      <sheetName val="PRESUPUESTO"/>
      <sheetName val="A.P.U (3)"/>
      <sheetName val="A.P.U (2)"/>
      <sheetName val="A.P.U"/>
      <sheetName val="P.S"/>
      <sheetName val="A.I.U"/>
      <sheetName val="ACTA DE MODIFICACION No. 1"/>
      <sheetName val=" PROGR. INV."/>
      <sheetName val="ACTA DE MODIFICACION No. 2"/>
      <sheetName val=" PROGR. INV. ACTA MOD. 2"/>
      <sheetName val="REPROGR. 2"/>
      <sheetName val="ACTA DE MODIFICACION No. 3"/>
      <sheetName val=" PROGR. INV. ACTA MOD. 3"/>
      <sheetName val="ACTA DE MODIFICACION No. 4"/>
      <sheetName val=" PROGR. INV. ACTA MOD. REVISADO"/>
      <sheetName val=" PROGR. INV. ACTA MOD. 4"/>
      <sheetName val="memoria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RESUMEN"/>
      <sheetName val="L. MAT."/>
      <sheetName val="A.BAS."/>
      <sheetName val="CUAD."/>
      <sheetName val="AUI"/>
      <sheetName val="C.FIN."/>
      <sheetName val="P.INV"/>
      <sheetName val="P.S."/>
      <sheetName val="P.INV.ANTIC."/>
      <sheetName val="V%C3%ADnculoExternoRecuperado1"/>
      <sheetName val="XXXXX"/>
      <sheetName val="110.1 P"/>
      <sheetName val="110.2 P"/>
      <sheetName val="201.1P-201.5P"/>
      <sheetName val="201.2P"/>
      <sheetName val="210.2 SIN EXPLO"/>
      <sheetName val="211.1.P1"/>
      <sheetName val="211P.2"/>
      <sheetName val="311P4"/>
      <sheetName val="312.3"/>
      <sheetName val="312.4"/>
      <sheetName val="320.1P"/>
      <sheetName val="320.2P"/>
      <sheetName val="342P"/>
      <sheetName val="343.P"/>
      <sheetName val="441.1 PLANTA"/>
      <sheetName val="441.2 PLANTA"/>
      <sheetName val="441.1 COMPRADA"/>
      <sheetName val="441.2 COMPRADA"/>
      <sheetName val="441.3 COMPRADA "/>
      <sheetName val="441.4 COMPRADA"/>
      <sheetName val="450.1.1 COMPRADA"/>
      <sheetName val="450.1.2 COMPRADA"/>
      <sheetName val="450.1 COMPRADA"/>
      <sheetName val="450.2 COMPRADA"/>
      <sheetName val="MDC-0 COMPRADA"/>
      <sheetName val="450.1 PLANTA"/>
      <sheetName val="450.2 PLANTA"/>
      <sheetName val="450.3 PLANTA"/>
      <sheetName val="451.1 PLANTA"/>
      <sheetName val="451.3 PLANTA"/>
      <sheetName val="451.2 COMPRADA "/>
      <sheetName val="451.3 COMPRADA  "/>
      <sheetName val="452.1 COMPRADA"/>
      <sheetName val="452.2 COMPRADA"/>
      <sheetName val="452.3 COMPRADA"/>
      <sheetName val="452.4 COMPRADA"/>
      <sheetName val="452.1 PLANTA"/>
      <sheetName val="452.2 PLANTA"/>
      <sheetName val="452.3 PLANTA"/>
      <sheetName val="452.4 PLANTA"/>
      <sheetName val="460.1 M3"/>
      <sheetName val="460P M3"/>
      <sheetName val="462P MDC-0"/>
      <sheetName val="464.4"/>
      <sheetName val="466.2"/>
      <sheetName val="504P"/>
      <sheetName val="622.6P PILOTE DE MADERA"/>
      <sheetName val="620.1P"/>
      <sheetName val="620.4P.1"/>
      <sheetName val="620.4P.2"/>
      <sheetName val="621,1P1"/>
      <sheetName val="622.1P"/>
      <sheetName val="640P"/>
      <sheetName val="673.4P"/>
      <sheetName val="700P"/>
      <sheetName val="710.1.1 (2)"/>
      <sheetName val="710.1.5"/>
      <sheetName val="900.3P1"/>
      <sheetName val="900.3P2"/>
      <sheetName val="900.3P3"/>
      <sheetName val="MURO GEOTEXTIL"/>
      <sheetName val="683P1"/>
      <sheetName val="ESTOPEROLES"/>
      <sheetName val="TABLA DE CONTENIDO"/>
      <sheetName val="GENERALIDADES "/>
      <sheetName val="CUMPLIMIENTO % "/>
      <sheetName val="CUMPLIMIENTO %  (2)"/>
      <sheetName val="ESTADO RED"/>
      <sheetName val="SEMAFORO 45A-04"/>
      <sheetName val="SEMAFORO 55CN-01"/>
      <sheetName val="SEMAFORO 55CN-03"/>
      <sheetName val="SEMAFORO 56-07"/>
      <sheetName val="TORTA EST. VIAS "/>
      <sheetName val="EST. VIAS"/>
      <sheetName val="MAPA EST RED"/>
      <sheetName val="NECESIDAD VIA"/>
      <sheetName val="Necesidades cr."/>
      <sheetName val="SITIOS CRITICOS"/>
      <sheetName val="CANT OBRA C-G"/>
      <sheetName val="CANT OBRA B-T"/>
      <sheetName val="CANT OBRA S-B"/>
      <sheetName val="INF. EMERGENCIAS"/>
      <sheetName val="PUENTES"/>
      <sheetName val="NEC PTES"/>
      <sheetName val="PONTONES"/>
      <sheetName val="NEC. PONTONES"/>
      <sheetName val="señal v"/>
      <sheetName val="señal H"/>
      <sheetName val="ACCIDENTALIDAD NOV"/>
      <sheetName val="ACCIDENT."/>
      <sheetName val="DEFENSA VIAS"/>
      <sheetName val="ZONAS RETIRO"/>
      <sheetName val="SEGUIMIENTO"/>
      <sheetName val="CUANTI AMV"/>
      <sheetName val="CUALI AMV"/>
      <sheetName val="CUANTI MICRO"/>
      <sheetName val="CUALI MICRO"/>
      <sheetName val="CALIDAD"/>
      <sheetName val="precios-básicos2002"/>
      <sheetName val="UNITARIO"/>
      <sheetName val="lecho rio"/>
      <sheetName val="Análisis de precios"/>
      <sheetName val="Remo. derr."/>
      <sheetName val="Limp. mec. Alcant."/>
      <sheetName val="XXXXXX"/>
      <sheetName val="NECESIDADES PREVENTIVAS"/>
      <sheetName val="NECESIDADES CRITICAS"/>
      <sheetName val="CANTIDADES DE OBRA 5607 "/>
      <sheetName val="CANTIDADES DE OBRA 55CN03"/>
      <sheetName val="CANTIDADES DE OBRA 4006A"/>
      <sheetName val="CANTIDADES DE OBRA 55CN01"/>
      <sheetName val="CANTIDADES DE OBRA 40CNA"/>
      <sheetName val="CANTIDADES DE OBRA 40CNB"/>
      <sheetName val="CANTIDADES DE OBRA 40CN01"/>
      <sheetName val="CANTIDADES DE OBRA 45A04"/>
      <sheetName val="CANTIDADES DE OBRA 50CN03"/>
      <sheetName val="CANTIDADES DE OBRA 5009"/>
      <sheetName val="PRESUPUEST0"/>
      <sheetName val="340.P"/>
      <sheetName val="441.1 "/>
      <sheetName val="451.4 "/>
      <sheetName val="464.1 "/>
      <sheetName val="464.1P"/>
      <sheetName val="701 P"/>
      <sheetName val="820P1"/>
      <sheetName val="presupuesto necesidades vias ma"/>
      <sheetName val="PORTADA "/>
      <sheetName val="5008 trim"/>
      <sheetName val="CANT CRI SIN diseño 50 08 "/>
      <sheetName val="201.5"/>
      <sheetName val="201.6"/>
      <sheetName val="201.18"/>
      <sheetName val="201.19"/>
      <sheetName val="201.20"/>
      <sheetName val="203.1"/>
      <sheetName val="203.2"/>
      <sheetName val="203.3"/>
      <sheetName val="203.4"/>
      <sheetName val="203.5"/>
      <sheetName val="203.6"/>
      <sheetName val="203.7"/>
      <sheetName val="203.8"/>
      <sheetName val="203.9"/>
      <sheetName val="203.10"/>
      <sheetName val="203.11"/>
      <sheetName val="203.12"/>
      <sheetName val="223.1"/>
      <sheetName val="223.2"/>
      <sheetName val="223.3.1"/>
      <sheetName val="223.3.2"/>
      <sheetName val="223.3.3"/>
      <sheetName val="233.1"/>
      <sheetName val="233.10"/>
      <sheetName val="235.1"/>
      <sheetName val="235.10"/>
      <sheetName val="235.11"/>
      <sheetName val="236.1"/>
      <sheetName val="236.10"/>
      <sheetName val="236.11"/>
      <sheetName val="320.3"/>
      <sheetName val="320.4"/>
      <sheetName val="320.5"/>
      <sheetName val="320.6"/>
      <sheetName val="330.3"/>
      <sheetName val="330.4"/>
      <sheetName val="330.5"/>
      <sheetName val="330.6"/>
      <sheetName val="350.1"/>
      <sheetName val="350.2"/>
      <sheetName val="350.3"/>
      <sheetName val="350.4"/>
      <sheetName val="350.10"/>
      <sheetName val="350.11"/>
      <sheetName val="350.12"/>
      <sheetName val="350.13"/>
      <sheetName val="350.14"/>
      <sheetName val="351.1"/>
      <sheetName val="351.2"/>
      <sheetName val="351.10"/>
      <sheetName val="351.11"/>
      <sheetName val="351.12"/>
      <sheetName val="410.3"/>
      <sheetName val="411.4"/>
      <sheetName val="413.1"/>
      <sheetName val="413.2"/>
      <sheetName val="413.3"/>
      <sheetName val="414.6"/>
      <sheetName val="420.3"/>
      <sheetName val="450.2 P"/>
      <sheetName val="450.4P"/>
      <sheetName val="450.5P"/>
      <sheetName val="450.6P"/>
      <sheetName val="450.7P"/>
      <sheetName val="450.8P"/>
      <sheetName val="450.10 "/>
      <sheetName val="450.10P"/>
      <sheetName val="450.11"/>
      <sheetName val="450.11P"/>
      <sheetName val="450.12"/>
      <sheetName val="450.12P"/>
      <sheetName val="451.3P "/>
      <sheetName val="462.2.1"/>
      <sheetName val="462.2.2"/>
      <sheetName val="465.2"/>
      <sheetName val="500.2"/>
      <sheetName val="501.10"/>
      <sheetName val="501.20"/>
      <sheetName val="505.1"/>
      <sheetName val="600.1.1"/>
      <sheetName val="600.2.1"/>
      <sheetName val="600.2.2"/>
      <sheetName val="600.2.3"/>
      <sheetName val="600.2.4"/>
      <sheetName val="610.3"/>
      <sheetName val="610.4"/>
      <sheetName val="610.5"/>
      <sheetName val="610.6"/>
      <sheetName val="610.7"/>
      <sheetName val="621.7"/>
      <sheetName val="663.1"/>
      <sheetName val="670.3"/>
      <sheetName val="670.4"/>
      <sheetName val="670.5"/>
      <sheetName val="671.4"/>
      <sheetName val="672.2"/>
      <sheetName val="672.3"/>
      <sheetName val="672.4"/>
      <sheetName val="673.1.1"/>
      <sheetName val="673.1.2"/>
      <sheetName val="681.2"/>
      <sheetName val="681.3"/>
      <sheetName val="681.4"/>
      <sheetName val="682.2"/>
      <sheetName val="682.3"/>
      <sheetName val="682.4"/>
      <sheetName val="683.1"/>
      <sheetName val="683.2"/>
      <sheetName val="683.3"/>
      <sheetName val="683.4"/>
      <sheetName val="683.5"/>
      <sheetName val="730.4"/>
      <sheetName val="741.1"/>
      <sheetName val="802.1"/>
      <sheetName val="802.2"/>
      <sheetName val="802.3"/>
      <sheetName val="802.4"/>
      <sheetName val="802.5"/>
      <sheetName val="802.6"/>
      <sheetName val="802.7"/>
      <sheetName val="802.8"/>
      <sheetName val="811.2"/>
      <sheetName val="820.1"/>
      <sheetName val="20-23"/>
      <sheetName val="APU201,3"/>
      <sheetName val="PU600P.1"/>
      <sheetName val="PU630,5"/>
      <sheetName val="PU640,3"/>
      <sheetName val="PU610,1"/>
      <sheetName val="PU681,1"/>
      <sheetName val="$ PR20 al PR23"/>
      <sheetName val="TABLA CONTENIDO"/>
      <sheetName val="GENERALIDADES"/>
      <sheetName val="ESTADO RED VIS"/>
      <sheetName val="SEMAFORO VIS 5008"/>
      <sheetName val="SEMAFORO VIS 50CN01"/>
      <sheetName val="SEMAFORO VIS 5604"/>
      <sheetName val="SEMAFORO VIS 5008A"/>
      <sheetName val="SEMAFORO VIS 5008B"/>
      <sheetName val="TORTA EST. VIAS VIS 5008"/>
      <sheetName val="TORTA EST. VIAS VIS 50CN01"/>
      <sheetName val="TORTA EST. VIAS VIS 5604"/>
      <sheetName val="TORTA EST. VIAS VIS 5008A"/>
      <sheetName val="TORTA EST. VIAS VIS 5008B"/>
      <sheetName val="ESTADO RED TEC 5008"/>
      <sheetName val="ESTADO RED TEC 50CN01"/>
      <sheetName val="ESTADO RED TEC 5604"/>
      <sheetName val="ESTADO RED TEC 5008A"/>
      <sheetName val="ESTADO RED TEC 5008B"/>
      <sheetName val="SEMAFORO TEC 5008"/>
      <sheetName val="SEMAFORO TEC 50CN01"/>
      <sheetName val="SEMAFORO TEC 5604"/>
      <sheetName val="SEMAFORO TEC 5008A"/>
      <sheetName val="SEMAFORO TEC 5008B"/>
      <sheetName val="TORTA EST. VIAS TEC 5008"/>
      <sheetName val="TORTA EST. VIAS TEC 50CN01"/>
      <sheetName val="TORTA EST. VIAS TEC 5604"/>
      <sheetName val="TORTA EST. VIAS TEC 5008A"/>
      <sheetName val="TORTA EST. VIAS TEC 5008B"/>
      <sheetName val="MAPA EST RED 5008 "/>
      <sheetName val="MAPA EST RED 50CN01"/>
      <sheetName val="MAPA EST RED 5604"/>
      <sheetName val="MAPA EST RED 5008A"/>
      <sheetName val="MAPA EST RED 5008B"/>
      <sheetName val="CANT OBRA VIA 5008"/>
      <sheetName val="CANT OBRA VIA 50CN01"/>
      <sheetName val="CANT OBRA VIA 5604"/>
      <sheetName val="CANT OBRA VIA 5008A"/>
      <sheetName val="CANT OBRA VIA 5008B"/>
      <sheetName val="CANT OBRA 5008 "/>
      <sheetName val="CANT OBRA 50CN01"/>
      <sheetName val="CANT OBRA 5604"/>
      <sheetName val="CANT OBRA 5008A"/>
      <sheetName val="CANT OBRA 5008  (2)"/>
      <sheetName val="CANT OBRA 5008  (3)"/>
      <sheetName val="TUNELES"/>
      <sheetName val="NECESIDADES EN TÚNELES"/>
      <sheetName val="Señalización Vertical"/>
      <sheetName val="Señalización Horizontal"/>
      <sheetName val="INTERVENTORIA DE CONTRATOS"/>
      <sheetName val="FOTOG"/>
      <sheetName val="FOT.sitios criticos "/>
      <sheetName val="FOT-TRAB MICROS"/>
      <sheetName val="FOT ESTADVIAS"/>
      <sheetName val="PRENSA 1"/>
      <sheetName val="CAPACITACION MICRO"/>
      <sheetName val="CD"/>
      <sheetName val="TABLA CONTENIDO (2)"/>
      <sheetName val="C2 CUMPLIMIENTO % "/>
      <sheetName val="Estado RED TEC 5604 PAVIMENTO"/>
      <sheetName val="Estado RED TEC 5604 AFIRMADO"/>
      <sheetName val="FOT ABRIL"/>
      <sheetName val="FOT MAYO "/>
      <sheetName val="FOT JUNIO"/>
      <sheetName val="COMENTARIOS  "/>
      <sheetName val="CAPACITACION MICROEMPRESAS"/>
      <sheetName val="Estado Resumen 5604PAVIMENTO"/>
      <sheetName val="Vía 5604 Pavimentada"/>
      <sheetName val="Estado Resumen 5604 AFIRMADO"/>
      <sheetName val="Vía_NoPavimentada"/>
      <sheetName val="Vía 50NC01 Pavimentada"/>
      <sheetName val="Vía_50NC01 NoPavimentada"/>
      <sheetName val="Vía_"/>
      <sheetName val="FOT JULIO"/>
      <sheetName val="FOT AGOSTO "/>
      <sheetName val="FOT SEPTIEMBRE"/>
      <sheetName val="CAPACITA MICROEMPRESAS JULIO"/>
      <sheetName val="CAPACITA MICROEMPRESAS AGOSTO"/>
      <sheetName val="CAPACITA MICROEMPRESAS SEPTBRE"/>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6"/>
      <sheetName val="PU630,6 especial por M3"/>
      <sheetName val="PU630,6 Simple"/>
      <sheetName val="PU630,6 especial por M2"/>
      <sheetName val="PU630,6 F"/>
      <sheetName val="PU630P.7 "/>
      <sheetName val="PU630,7 "/>
      <sheetName val="PU630,7 Especial"/>
      <sheetName val="PU630,11"/>
      <sheetName val="PU630P.15"/>
      <sheetName val="PU660.2"/>
      <sheetName val="PU661"/>
      <sheetName val="PU671P,1"/>
      <sheetName val="PU673 "/>
      <sheetName val="PU681,1 Esp. Q Caliche"/>
      <sheetName val="PU820,1"/>
      <sheetName val="PU830P.1 "/>
      <sheetName val="PU1000P,2"/>
      <sheetName val="PORTADA SDC"/>
      <sheetName val="PORTADA DRM"/>
      <sheetName val="vias"/>
      <sheetName val="GEN"/>
      <sheetName val="EST 50 08 VIS "/>
      <sheetName val="EST 50 CN01 VIS"/>
      <sheetName val="EST 56 04 VIS"/>
      <sheetName val="GRAF ESTVIA 5008 VIS"/>
      <sheetName val="GRAF ESTVIA 50 CN01 VIS"/>
      <sheetName val="GRAF ESTVIA 5604 VIS "/>
      <sheetName val=" TORTAS 50 08 VIS"/>
      <sheetName val="TORTAS 50 CN01 VIS"/>
      <sheetName val="TORTAS 56 04 VIS"/>
      <sheetName val="MAPA EST RED VIS "/>
      <sheetName val="NEC. VIAS "/>
      <sheetName val="CANT O 50 08"/>
      <sheetName val="CANT O 50 08 b"/>
      <sheetName val="CANT O 50 CN01"/>
      <sheetName val="NEC. CRI VIAS"/>
      <sheetName val="CANT CRI 50 08 "/>
      <sheetName val="CANT CRI 50 CN01"/>
      <sheetName val="CANT CRI 56 04"/>
      <sheetName val="SIT CRI 50 08"/>
      <sheetName val="SIT CRI 50CN01"/>
      <sheetName val="SIT CRI 5604"/>
      <sheetName val="INF. EMERG"/>
      <sheetName val="PTES "/>
      <sheetName val="NEC  PTES"/>
      <sheetName val="EST. GRAL PONT"/>
      <sheetName val="NEC. PONT"/>
      <sheetName val="SEÑ V "/>
      <sheetName val="SEÑ H "/>
      <sheetName val="CANT SEÑ VIAS"/>
      <sheetName val="ACC OCT "/>
      <sheetName val="ACC  NOV"/>
      <sheetName val="ACC  DIC"/>
      <sheetName val="ACC 50 08"/>
      <sheetName val="ACC 56 04"/>
      <sheetName val="ACC 50 CN01"/>
      <sheetName val="SEPARA. PRENSA"/>
      <sheetName val="CUNE"/>
      <sheetName val="FILTROS "/>
      <sheetName val="CUNETAS"/>
      <sheetName val="REALCE BORDILLOS "/>
      <sheetName val="HUNDIMIENTOS Y REFUERZOS "/>
      <sheetName val="PARCHEO "/>
      <sheetName val="Lineas de demarcacion"/>
      <sheetName val="tachas reflectivas"/>
      <sheetName val="SEÑALI 0-"/>
      <sheetName val="201.1P y 201.5P EDIF M2"/>
      <sheetName val="201.2P  DEMESTRU.OXI"/>
      <sheetName val="201.3P dem PIO AND BOR"/>
      <sheetName val="201.4P y 201.10P Obst"/>
      <sheetName val="201.6P ciclopeo"/>
      <sheetName val="201.7P PAV"/>
      <sheetName val="201.8P EST MET"/>
      <sheetName val="201.9ARB"/>
      <sheetName val="201.12ALC"/>
      <sheetName val="201.13CERC"/>
      <sheetName val="340.1-02"/>
      <sheetName val="344.P"/>
      <sheetName val="413"/>
      <sheetName val="441.3P COMPRADA "/>
      <sheetName val="450.2P COMPRADA"/>
      <sheetName val="450.3P COMPRADA"/>
      <sheetName val="450.4P COMPRADA"/>
      <sheetName val="451.3P COMPRADA  "/>
      <sheetName val="451.3 COMPRADA"/>
      <sheetName val="452.1P COMPRADA"/>
      <sheetName val="452.2P COMPRADA"/>
      <sheetName val="452.3P COMPRADA"/>
      <sheetName val="630P MORTERO 1;3"/>
      <sheetName val="PRESUPUESTOS+PERSONAL"/>
      <sheetName val="PROPONENTES"/>
      <sheetName val="KRC"/>
      <sheetName val="EXPER.GRAL-PRECAL"/>
      <sheetName val="CAP-OPERATIVA"/>
      <sheetName val="SMLM"/>
      <sheetName val="NOTAS"/>
      <sheetName val="LISTAS"/>
      <sheetName val="EST 5607 VIS"/>
      <sheetName val="EST 55CN03 VIS"/>
      <sheetName val="EST 4006A VIS"/>
      <sheetName val="EST 55CN01 VIS"/>
      <sheetName val="EST 40CN01 VIS"/>
      <sheetName val="EST 40CNA VIS"/>
      <sheetName val="EST 40CNB VIS"/>
      <sheetName val="GRA ESTVIA 5607 VIS"/>
      <sheetName val="datos semaforo 5607"/>
      <sheetName val="GRA ESTVIA 55CN03 VIS"/>
      <sheetName val="datos 55CN03"/>
      <sheetName val="GRAFICO ESTADO VIA VISUAL 4006A"/>
      <sheetName val="datos semaforo 4006A "/>
      <sheetName val="GRAFICO ESTADO VIA VISUA 55CN01"/>
      <sheetName val="datos semaforo 55CN01"/>
      <sheetName val="GRA ESTVIA 40CN01-40CNA-40CNB "/>
      <sheetName val="dato semaforo 40CN01-40CNA-40NB"/>
      <sheetName val="TORTA 5607 VIS"/>
      <sheetName val="TORTA EST. VIA 55CN03"/>
      <sheetName val="TORTA EST. VIA 4006A"/>
      <sheetName val="TORTA EST. VIA 55CN01"/>
      <sheetName val="TORTA EST. VIA 40CN01"/>
      <sheetName val="TORTA EST. VIA 40CNA"/>
      <sheetName val="TORTA EST. VIA 40CNB"/>
      <sheetName val="MAPA 1-5607"/>
      <sheetName val="MAPA 1-55CN03"/>
      <sheetName val="MAPA 1-4006A"/>
      <sheetName val="MAPA 1-55CN01"/>
      <sheetName val="MAPA 1-40CN01-40CNA-40CNB"/>
      <sheetName val="CANT OBRAS5607"/>
      <sheetName val="CANT OBRA55CN03"/>
      <sheetName val="CANT OBRA 4006A"/>
      <sheetName val="CANT OBRA55CN01"/>
      <sheetName val="CANT OBRA 40CN01"/>
      <sheetName val="CANT OBRA 40CNA"/>
      <sheetName val="CANT OBRA 40CNB"/>
      <sheetName val="CANT CRIT 5607"/>
      <sheetName val="ESTUDIOS SIT CRIT 5607"/>
      <sheetName val="INTERN-5607"/>
      <sheetName val="CANT CRIT 4006A "/>
      <sheetName val="ESTUDIOS SIT CRIT 4006A"/>
      <sheetName val="INTERN-4006A"/>
      <sheetName val="INDICE (2)"/>
      <sheetName val="CANT CRIT 55CN01 "/>
      <sheetName val="ESTUDIOS SIT CRIT 40CN01"/>
      <sheetName val="INTERN-40CN01"/>
      <sheetName val="CANT CRIT 40CNB"/>
      <sheetName val="ESTUDIOS SIT CRIT 40CNB"/>
      <sheetName val="INTERN-40CNB"/>
      <sheetName val="MAPA 2-5607 Y 55CN03"/>
      <sheetName val="MAPA SC-4006A"/>
      <sheetName val="MAPA SC-55CN01"/>
      <sheetName val="MAPA SC-40CN01,CNA,CNB,06"/>
      <sheetName val="Est Resumen5607"/>
      <sheetName val="Est Resumen 55CN03"/>
      <sheetName val="Est Resumen 4006A"/>
      <sheetName val="Est Resumen 55CN01"/>
      <sheetName val="Est Resumen tec 40CN01"/>
      <sheetName val="Est Resumen tec 40CNA"/>
      <sheetName val="Est Resumen 40CNB"/>
      <sheetName val="ACC-5607 Y 55CN03"/>
      <sheetName val="ACC-4006A"/>
      <sheetName val="ACC -55CN01"/>
      <sheetName val="ACC-40CN01,CNA,CNB"/>
      <sheetName val="SEPARADORES"/>
      <sheetName val="COMENTARIOS 1"/>
      <sheetName val="#¡REF"/>
      <sheetName val="Formulario No.1 "/>
      <sheetName val="450.2P  Vía 9003"/>
      <sheetName val="632.1P "/>
      <sheetName val="630.4 Vía 9003"/>
      <sheetName val="630.6 Vía 7801"/>
      <sheetName val="modelo"/>
      <sheetName val="precios"/>
      <sheetName val="LISTA"/>
      <sheetName val="Programacion"/>
      <sheetName val="PUC"/>
      <sheetName val="PAGOS"/>
      <sheetName val="Flujo Caj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SALARIO"/>
      <sheetName val="Poliza"/>
      <sheetName val="AYUDANTE"/>
      <sheetName val="OFICIAL"/>
      <sheetName val="RESUMEN CUENTAS"/>
      <sheetName val="Escala salarial"/>
      <sheetName val="Cantidades y presupuesto"/>
      <sheetName val="Tarifas"/>
      <sheetName val="Reajustes estimados"/>
      <sheetName val="Prestaciones y AIU"/>
      <sheetName val="TABLA AIU"/>
      <sheetName val="Soportes"/>
      <sheetName val="Pólizas"/>
      <sheetName val="MO C P1"/>
      <sheetName val="MO C P2"/>
      <sheetName val="MO C P3"/>
      <sheetName val="MO C P4"/>
      <sheetName val="MO C P5"/>
      <sheetName val="MO C P6"/>
      <sheetName val="MO T P1"/>
      <sheetName val="MO T P2"/>
      <sheetName val="MO T P3"/>
      <sheetName val="MO T P4"/>
      <sheetName val="MO T P5"/>
      <sheetName val="MO T P6"/>
      <sheetName val="MO P P1"/>
      <sheetName val="MO P P2"/>
      <sheetName val="MO P P3"/>
      <sheetName val="MO P P4"/>
      <sheetName val="MO P P5"/>
      <sheetName val="MO P P6"/>
      <sheetName val="EQ P1"/>
      <sheetName val="EQ P2"/>
      <sheetName val="EQ P3"/>
      <sheetName val="EQ P4"/>
      <sheetName val="EQ P5"/>
      <sheetName val="EQ P6"/>
      <sheetName val="Grupo 1"/>
      <sheetName val="5111901"/>
      <sheetName val="5111901 Cierre a miles"/>
      <sheetName val="F.M (Personal)"/>
      <sheetName val="FM P SN ECP"/>
      <sheetName val="515265"/>
      <sheetName val="FM PERSONAL"/>
      <sheetName val="FM EQUIPOS"/>
      <sheetName val="CLASIF ARP"/>
      <sheetName val="ARP PONDERADO"/>
      <sheetName val="F.M (Equipos)"/>
      <sheetName val="AIU(Equipos)"/>
      <sheetName val="Impresora color"/>
      <sheetName val="C 4X4- 22,5"/>
      <sheetName val="C 4X4- 18"/>
      <sheetName val="C 4x2"/>
      <sheetName val="B 22,5"/>
      <sheetName val="Res. c"/>
      <sheetName val="CONTAINERS"/>
      <sheetName val="BOBINADOS EO OE"/>
      <sheetName val="DISEMEQ OM"/>
      <sheetName val="DISEMEQ OC"/>
      <sheetName val="FEBRERO-18"/>
      <sheetName val="FEBRERO-25"/>
      <sheetName val="MARZO-4"/>
      <sheetName val="MARZO-11"/>
      <sheetName val="MARZO-21"/>
      <sheetName val="MARZO-26"/>
      <sheetName val="ABRIL-04"/>
      <sheetName val="ABRIL-12"/>
      <sheetName val="ABRIL-19"/>
      <sheetName val="ABRIL 23"/>
      <sheetName val="ABRIL-30"/>
      <sheetName val="MAYO-07"/>
      <sheetName val="MAYO-14"/>
      <sheetName val="MAYO-22"/>
      <sheetName val="MAYO-31"/>
      <sheetName val="JUNIO-7"/>
      <sheetName val="JUNIO-13"/>
      <sheetName val="JUNIO 25"/>
      <sheetName val="JULIO-2"/>
      <sheetName val="JULIO-9"/>
      <sheetName val="JULIO-15"/>
      <sheetName val="JULIO-23"/>
      <sheetName val="JULIO-30"/>
      <sheetName val="AGOSTO-6"/>
      <sheetName val="AGOSTO-13"/>
      <sheetName val="AGOSTO-21"/>
      <sheetName val="AGOSTO-27"/>
      <sheetName val="SEPTIEMBRE-3"/>
      <sheetName val="SEPTIEMBRE-10"/>
      <sheetName val="SEPTIEMBRE-17"/>
      <sheetName val="SEPTIEMBRE-24"/>
      <sheetName val="OCTUBRE-01"/>
      <sheetName val="OCTUBRE-8"/>
      <sheetName val="OCTUBRE-16"/>
      <sheetName val="OCTUBRE-29"/>
      <sheetName val="NOVIEMBRE-5"/>
      <sheetName val="NOVIEMBRE-12"/>
      <sheetName val="NOVIEMBRE-19"/>
      <sheetName val="NOVIEMBRE-26"/>
      <sheetName val="DICIEMBRE-10"/>
      <sheetName val="DICIEMBRE-17"/>
      <sheetName val="OBRAS CIVILES"/>
      <sheetName val="OBRAS MECANICAS"/>
      <sheetName val="OBRAS ELECTRICAS"/>
      <sheetName val="OBRAS INSTRUMENTACION"/>
      <sheetName val="FACTURACION 2007"/>
      <sheetName val="PSSE"/>
      <sheetName val="VOE"/>
      <sheetName val="VOLP"/>
      <sheetName val="MDO"/>
      <sheetName val="Cant y costos"/>
      <sheetName val="ACTA"/>
      <sheetName val="VALOR DE OBRAS"/>
      <sheetName val="Batea COMEHUEVO"/>
      <sheetName val="Batea La Montana"/>
      <sheetName val="Otros Concreto"/>
      <sheetName val="topografia"/>
      <sheetName val="A1"/>
      <sheetName val="A2, A4"/>
      <sheetName val="A3"/>
      <sheetName val="A5"/>
      <sheetName val="A6"/>
      <sheetName val="A7, A8"/>
      <sheetName val="A9, A10, A11 Y A12"/>
      <sheetName val="A13, A14"/>
      <sheetName val="A15, A16"/>
      <sheetName val="A17"/>
      <sheetName val="A18"/>
      <sheetName val="A19"/>
      <sheetName val="A19a"/>
      <sheetName val="B21, B23"/>
      <sheetName val="B22"/>
      <sheetName val="B22a"/>
      <sheetName val="B38"/>
      <sheetName val="C45"/>
      <sheetName val="C46"/>
      <sheetName val="Adicional"/>
      <sheetName val="brocheros"/>
      <sheetName val="sedimentadores"/>
      <sheetName val="Geotextil Suministro"/>
      <sheetName val="Geotextil Mano de obra"/>
      <sheetName val="Sedim en geotextil"/>
      <sheetName val="bulldozer"/>
      <sheetName val="pc200"/>
      <sheetName val="pc200 MO"/>
      <sheetName val="cartanque"/>
      <sheetName val="A38"/>
      <sheetName val="Año 2010"/>
      <sheetName val="Trazabilidad Reportes"/>
      <sheetName val="CPF1"/>
      <sheetName val="CPF2"/>
      <sheetName val="LINEAS Y SATELITES"/>
      <sheetName val="ACTAS SEMANA 10-16 SEPT"/>
      <sheetName val="Pareto Devoluciones"/>
      <sheetName val="quifa "/>
      <sheetName val="TARIFAS CTO_MARCO_PCL"/>
      <sheetName val="CE2_PE"/>
      <sheetName val="CASE2LOC"/>
      <sheetName val="CASE2VIA"/>
      <sheetName val="1,1 Movilizacion"/>
      <sheetName val="1,2 Localizacion m2"/>
      <sheetName val="1,3 Localización Km"/>
      <sheetName val="2,1 Desmonte y Limpieza"/>
      <sheetName val="2,2 Descapote"/>
      <sheetName val="2,3 Perfilado subrasante"/>
      <sheetName val="3,1 Excav. mecánica"/>
      <sheetName val="3,2  Excav. manual"/>
      <sheetName val="3,3 Excav. roca"/>
      <sheetName val="4,1 Extend y compact terraplen"/>
      <sheetName val="5,1 Crudo rio 6&quot;"/>
      <sheetName val="5,2 Afirmado"/>
      <sheetName val="5,3 Sub-base"/>
      <sheetName val="5,4 Base"/>
      <sheetName val="5,5 Arena"/>
      <sheetName val="5,5A Transporte"/>
      <sheetName val="5,6_SUELO-CEMENTO"/>
      <sheetName val="6,1 Concreto 3000 placas"/>
      <sheetName val="6,2 Concreto 3000 contrapozo"/>
      <sheetName val="6,3 Muro bloque 5"/>
      <sheetName val="6,4 Muro ladrillo"/>
      <sheetName val="6,5 Concreto 2500"/>
      <sheetName val="6,6 Acelerante"/>
      <sheetName val="6,7 Concreto 1500"/>
      <sheetName val="6,8_GAVIONES"/>
      <sheetName val="6,9 Concreto Asfáltico"/>
      <sheetName val="6,10 Bolsacreto"/>
      <sheetName val="7,1 Cárcamo tipo 1"/>
      <sheetName val="7,2 Cárcamo tipo 2"/>
      <sheetName val="7,3 Cárcamo tipo 3"/>
      <sheetName val="7,4 Cuneta trapezoidal"/>
      <sheetName val="7,5 Cuneta triangular"/>
      <sheetName val="7,6 Skimmer tipo 1"/>
      <sheetName val="7,7 Skimmer tipo 2"/>
      <sheetName val="7,8 Tub. petrolera 8&quot;"/>
      <sheetName val="7,9 Caja bombeo piscinas"/>
      <sheetName val="7,10 Dren francés"/>
      <sheetName val="7,11 Tubo PVC 8&quot; "/>
      <sheetName val="7,12 Alcantarilla 36&quot;"/>
      <sheetName val="7,13 Alcantarilla 48&quot;"/>
      <sheetName val="8,1 Electrosoldada 4,5X4,5"/>
      <sheetName val="8,2 Electrosoldada 5,5X5,5"/>
      <sheetName val="8,3 Electrosoldada 4X4"/>
      <sheetName val="8,4 Acero PDR-60"/>
      <sheetName val="8,5 Acero A37"/>
      <sheetName val="9,1 Tubo PVC 2&quot;"/>
      <sheetName val="9,2 Cable cobre No.8"/>
      <sheetName val="9,3 Poste metálico"/>
      <sheetName val="9,4 Reflectores"/>
      <sheetName val="10,1 Cerramiento 4 hilos"/>
      <sheetName val="10,2 Cerramiento 6 hilos"/>
      <sheetName val="10,3 Caseta Resid Sól y Quim"/>
      <sheetName val="10,4 Caseta Químicos"/>
      <sheetName val="10,5 Caseta Vigilancia"/>
      <sheetName val="10,6 Talanquera"/>
      <sheetName val="10,7 Empradización estolón"/>
      <sheetName val="10,8 Empradización boleo"/>
      <sheetName val="10,9_Empradización agromanto"/>
      <sheetName val="10,10 Geomembrana 60 mills"/>
      <sheetName val="10,11 Geotextil T2400-BX60"/>
      <sheetName val="10,12 Geotextil TR400"/>
      <sheetName val="10,13 Geotextil NT1600"/>
      <sheetName val="10,14 Geotextil BX30"/>
      <sheetName val="10,15 Geotextil-BX90"/>
      <sheetName val="10,16 Geodren vert. H=1"/>
      <sheetName val="10,17 Instalación geotextil"/>
      <sheetName val="10,18 Instalación geomembrana"/>
      <sheetName val="10,19 Sacos suelo cemento"/>
      <sheetName val="10,20 Limpieza alcantarillas"/>
      <sheetName val="10,21 Limp. manejo aguas lluvia"/>
      <sheetName val="10,22 Limp. cunetas"/>
      <sheetName val="10,23 Manto Tipo 1"/>
      <sheetName val="10,24 Manto Tipo 2"/>
      <sheetName val="10,25 Demolición concreto"/>
      <sheetName val="10,26 Rocería"/>
      <sheetName val="10,27 Escarificación"/>
      <sheetName val="10,28 Perfilado"/>
      <sheetName val="10,29 Cuneteo carreteables"/>
      <sheetName val="10,30 Quiebrapatas"/>
      <sheetName val="10,31 Cerrato malla eslabonada"/>
      <sheetName val="10,32 Puesta tierra"/>
      <sheetName val="10,33  Ret-disp excav"/>
      <sheetName val="10,34 Tubo conductor"/>
      <sheetName val="10,35 Repaleo"/>
      <sheetName val="10,36 Ayudante"/>
      <sheetName val="10,37 Oficial"/>
      <sheetName val="10,38 As built"/>
      <sheetName val="10,39 Señalización"/>
      <sheetName val="10,40_GEOMENBRANA HR500"/>
      <sheetName val="PR1-Ayudante"/>
      <sheetName val="PR2-Oficial"/>
      <sheetName val="PR3-Cuadrilla"/>
      <sheetName val="PR4-Patecabra"/>
      <sheetName val="PR5-Retroexcav."/>
      <sheetName val="PR6-Volqta 6m3"/>
      <sheetName val="PR7-Retrocargador"/>
      <sheetName val="PR8-Bull D6"/>
      <sheetName val="PR9-Motoniv"/>
      <sheetName val="PR10-Vibro"/>
      <sheetName val="PR11-CarroTK"/>
      <sheetName val="PR12-Bull D8"/>
      <sheetName val="PR13-DUMPER"/>
      <sheetName val="PR14-CTK DOBLE"/>
      <sheetName val="PR15-CAMABAJA"/>
      <sheetName val="PR16-COMISION-DIA"/>
      <sheetName val="PR_ANTISOL"/>
      <sheetName val="EQP"/>
      <sheetName val="Anexo 1"/>
      <sheetName val="Anexo 2"/>
      <sheetName val="FRENTES"/>
      <sheetName val="F.C. NEXEN"/>
      <sheetName val="LOCATION"/>
      <sheetName val="NEW ROAD"/>
      <sheetName val="Realineamiento"/>
      <sheetName val="Rectificación K1+500"/>
      <sheetName val="BRIDGE"/>
      <sheetName val="BRID-LOC"/>
      <sheetName val="COY-BRID"/>
      <sheetName val="ABANDON"/>
      <sheetName val="SUMMARY"/>
      <sheetName val="PROG.UTIL.EQP"/>
      <sheetName val="prog util M.O"/>
      <sheetName val="81"/>
      <sheetName val="82"/>
      <sheetName val="83"/>
      <sheetName val="84"/>
      <sheetName val="85"/>
      <sheetName val="86"/>
      <sheetName val="87"/>
      <sheetName val="88"/>
      <sheetName val="89"/>
      <sheetName val="90"/>
      <sheetName val="FOR.5"/>
      <sheetName val="ANEXO C"/>
      <sheetName val="Hoja4"/>
      <sheetName val="CUADRO 3"/>
      <sheetName val="6.7 comercial"/>
      <sheetName val="MAQ-VICPAR"/>
      <sheetName val="PR1"/>
      <sheetName val="PR2"/>
      <sheetName val="PR3"/>
      <sheetName val="PR4"/>
      <sheetName val="PR5"/>
      <sheetName val="PR6"/>
      <sheetName val="PR7"/>
      <sheetName val="PR8"/>
      <sheetName val="PR9"/>
      <sheetName val="PR10"/>
      <sheetName val="PR11"/>
      <sheetName val="PR_D8"/>
      <sheetName val="PR_VOLVO"/>
      <sheetName val="PR_CTK DOBLE"/>
      <sheetName val="PR_CAMABAJA"/>
      <sheetName val="PR_COMISION-DIA"/>
      <sheetName val="1,3_LOC Y REPL"/>
      <sheetName val="2,1_DESMONTE Y LIMPIEZA"/>
      <sheetName val="3,3_EXC-ROCA"/>
      <sheetName val="5,1_CRUDO DE RIO 6&quot;"/>
      <sheetName val="5,2_AFIRMADO"/>
      <sheetName val="5,3_SUBBASE"/>
      <sheetName val="5,4_BASE"/>
      <sheetName val="5,5_ARENA"/>
      <sheetName val="6,3_MURO-LADRILLO"/>
      <sheetName val="6,6_ACELERANTE"/>
      <sheetName val="6,9_CONCRETO-MDC"/>
      <sheetName val="6,10_BOLSACRETO"/>
      <sheetName val="7,5_CUNETA-TRIAN"/>
      <sheetName val="7,12_ALC-NOVALOC"/>
      <sheetName val="8,4_ACERO PDR 60"/>
      <sheetName val="8,5_ACERO A37"/>
      <sheetName val="10,2_CER-6HILOS"/>
      <sheetName val="10,5_CASETA-VIG"/>
      <sheetName val="10,8_EMPRADIZACION"/>
      <sheetName val="10,9_AGROMANTO"/>
      <sheetName val="10,13_GEOTEXTIL-NT1600"/>
      <sheetName val="10,14_GEOTEXTIL-BX30"/>
      <sheetName val="10,15_GEOTEXTIL-BX90"/>
      <sheetName val="10,16_GEODREN-H=1"/>
      <sheetName val="10,17_INST-GEOTEXTIL"/>
      <sheetName val="10,18_INST-GEOMEMBRANA"/>
      <sheetName val="10,20_LIMP-ALCANT"/>
      <sheetName val="10,21_LIMP-CUN-AC"/>
      <sheetName val="10,22_LIMP-CUNETAS"/>
      <sheetName val="10,23_MTO-TIPO1"/>
      <sheetName val="10,24_MTO-TIPO2"/>
      <sheetName val="10,25_DEMO-CONCRETO"/>
      <sheetName val="10,26_ROCERIA"/>
      <sheetName val="10,27_ESCARIFICACION"/>
      <sheetName val="10,28_PERFILADO"/>
      <sheetName val="10,29_CUNETEO"/>
      <sheetName val="10,30_QUIEBRAPATAS"/>
      <sheetName val="10,31_CERRAMIENTO-MALLA"/>
      <sheetName val="10,32_PUESTA-TIERRA"/>
      <sheetName val="10,33_RETIRO-DISP"/>
      <sheetName val="10,34_TUBO-CONDUCTOR"/>
      <sheetName val="10,35_REPALEO-MAT"/>
      <sheetName val="10,36_AYUDANTE"/>
      <sheetName val="10,37_OFICIAL"/>
      <sheetName val="10,38_AS-BUILT"/>
      <sheetName val="Acta ADICIONALES"/>
      <sheetName val="APU Trinchos"/>
      <sheetName val="APU soldadores"/>
      <sheetName val="APU pantalla"/>
      <sheetName val="APU escuela"/>
      <sheetName val="APU demolicion"/>
      <sheetName val="APU ciment.contrapozo"/>
      <sheetName val="APU base "/>
      <sheetName val="APU Transporte"/>
      <sheetName val="APU movilizacion"/>
      <sheetName val="APU carcamo"/>
      <sheetName val="APU excavacion maquina"/>
      <sheetName val="APU limpieza cuneta"/>
      <sheetName val="APU saco suelo"/>
      <sheetName val="APU relleno"/>
      <sheetName val="APU barreras"/>
      <sheetName val="APU MOTOBOMBA"/>
      <sheetName val="Hundimientocontrapozo"/>
      <sheetName val="Pantalla contencion"/>
      <sheetName val="Estabilizacion 412"/>
      <sheetName val="Escuela"/>
      <sheetName val="K1+500"/>
      <sheetName val="RETROLLANTA"/>
      <sheetName val="PE_FAC-DESCARGADERO"/>
      <sheetName val="CUADRO RESUMEN."/>
      <sheetName val="MATRIZ"/>
      <sheetName val="MATERIAL TRANSPORTADO"/>
      <sheetName val="MATERIAL TRANSPORTADO POR PLACA"/>
      <sheetName val="VIAJES CORTOS"/>
      <sheetName val="CARROTANQUES"/>
      <sheetName val="VOLQUETAS POR DIAS"/>
      <sheetName val="Lita Insumos"/>
      <sheetName val="ESQUEMAS"/>
      <sheetName val="Tablas basicas"/>
      <sheetName val="Resumen X actividad"/>
      <sheetName val="Placa taladro"/>
      <sheetName val="Contrapozo"/>
      <sheetName val="CunetasALL"/>
      <sheetName val="Desarenador"/>
      <sheetName val="Filtro Frances"/>
      <sheetName val="Gaviones"/>
      <sheetName val="Anclajes"/>
      <sheetName val="prog.loc+via"/>
      <sheetName val="Prog Locac"/>
      <sheetName val="Prog Vía acc"/>
      <sheetName val="Cuadro1"/>
      <sheetName val="VIA PRADO"/>
      <sheetName val="CUADRO  (5)"/>
      <sheetName val="Hoja5"/>
      <sheetName val="costo de actividades de cuadril"/>
      <sheetName val="cuadrillas"/>
      <sheetName val="festivos"/>
      <sheetName val="TRAZ MAT 2081 "/>
      <sheetName val="MAT. 2081"/>
      <sheetName val="CONSOLIDADO"/>
      <sheetName val="MOVILIZACION"/>
      <sheetName val="MEM 7S-J2"/>
      <sheetName val="MEM ESTACION 3"/>
      <sheetName val="MEM INF2037"/>
      <sheetName val="MEM ESTACION 5"/>
      <sheetName val="MEM INF2081"/>
      <sheetName val="MEM PLANTA 5"/>
      <sheetName val="MEM PLANDESH"/>
      <sheetName val="MEM P0247"/>
      <sheetName val="MEM P0414"/>
      <sheetName val="MEM POZO 414 CONEXION CASETA "/>
      <sheetName val="MEM P1524"/>
      <sheetName val="MEM P2078"/>
      <sheetName val="MEM P2178 "/>
      <sheetName val="MEM P219"/>
      <sheetName val="MEM P249"/>
      <sheetName val="MEM POZO 564"/>
      <sheetName val="MEM P097"/>
      <sheetName val="MEM J5"/>
      <sheetName val="DB NUEVO ABRIL"/>
      <sheetName val="DB NUEVO MAYO"/>
      <sheetName val="ESTACION 2"/>
      <sheetName val="ESTACION 4"/>
      <sheetName val="POZO 1838"/>
      <sheetName val="RESUMEN "/>
      <sheetName val="SABANA GENERAL ABRIL"/>
      <sheetName val="REPORTE DIARIO"/>
      <sheetName val="jose"/>
      <sheetName val="DB MAYO V2"/>
      <sheetName val="TARIFAS SIN ORD"/>
      <sheetName val="REPORTE SEMANAL "/>
      <sheetName val="TABPOZO"/>
      <sheetName val="TABLA DINAMICA"/>
      <sheetName val="REPORTE SEMANAL OXY"/>
      <sheetName val="cuadrillas de mayo"/>
      <sheetName val="PESOS"/>
      <sheetName val="PESOS (2)"/>
      <sheetName val="PESOS (3)"/>
      <sheetName val="GRAFICA-SEMANAL"/>
      <sheetName val="Preliminares"/>
      <sheetName val="DB MAYO v1"/>
      <sheetName val="VR CTO"/>
      <sheetName val="SABANAGENERAL"/>
      <sheetName val="SABANAGENERAL (2)"/>
      <sheetName val="SABANAGENERAL (3)"/>
      <sheetName val="DB A LA FECHA"/>
      <sheetName val="SABANA DICIEMBRE"/>
      <sheetName val="DB form"/>
      <sheetName val="pendietes act nO. 7"/>
      <sheetName val="As builts"/>
      <sheetName val="blanco"/>
      <sheetName val="L crudo 6&quot; est6-est7"/>
      <sheetName val="1082 tapon"/>
      <sheetName val="882 tapon"/>
      <sheetName val="SABANA L CRUDO NOV 387002"/>
      <sheetName val="1U marco H"/>
      <sheetName val="96 pintura  H"/>
      <sheetName val="112 Desm"/>
      <sheetName val="145 pintura marco H"/>
      <sheetName val="189 Desm"/>
      <sheetName val="193 pintura marco H"/>
      <sheetName val="194 pintura marco H"/>
      <sheetName val="235 Desm"/>
      <sheetName val="289 Tapon"/>
      <sheetName val="318 pintura marco H"/>
      <sheetName val="341 Desm"/>
      <sheetName val="357 Cv"/>
      <sheetName val="357 L"/>
      <sheetName val="440 Desm"/>
      <sheetName val="442 Desm"/>
      <sheetName val="466 L"/>
      <sheetName val="492 L"/>
      <sheetName val="509 marco H"/>
      <sheetName val="575 L Flex"/>
      <sheetName val="607 pintura marco H's"/>
      <sheetName val="619 Cv"/>
      <sheetName val="619 L"/>
      <sheetName val="716 Desm"/>
      <sheetName val="765 pintura marco H"/>
      <sheetName val="810 Cv"/>
      <sheetName val="810 L"/>
      <sheetName val="823 Cv Modif"/>
      <sheetName val="868 Cv"/>
      <sheetName val="868 L"/>
      <sheetName val="917 Cv Reub"/>
      <sheetName val="917 L"/>
      <sheetName val="918 pintura marco H"/>
      <sheetName val="1001 Cv Modif"/>
      <sheetName val="1005 Desm"/>
      <sheetName val="1026 L"/>
      <sheetName val="1041 Cv"/>
      <sheetName val="1041 L Flex"/>
      <sheetName val="1047 Cv"/>
      <sheetName val="1047 L"/>
      <sheetName val="1052 Cv"/>
      <sheetName val="1052 L Flex 3&quot; SS-49 A"/>
      <sheetName val="1064 L Flex 3&quot; SS-49 A"/>
      <sheetName val="1067 Desm"/>
      <sheetName val="1098 Cv"/>
      <sheetName val="1098 L"/>
      <sheetName val="1109 Desm"/>
      <sheetName val="1199 Cv"/>
      <sheetName val="1199 L"/>
      <sheetName val="1292 Vte"/>
      <sheetName val="1482 Desm"/>
      <sheetName val="1483 Cv"/>
      <sheetName val="1483 L Flex"/>
      <sheetName val="1578 Desm"/>
      <sheetName val="1710 Desm"/>
      <sheetName val="1725 L"/>
      <sheetName val="1746 Cv"/>
      <sheetName val="1746 L"/>
      <sheetName val="1816 Cv"/>
      <sheetName val="1816 L Flex 3&quot;"/>
      <sheetName val="1883 L Vte"/>
      <sheetName val="2097 pintura marco H"/>
      <sheetName val="2101 Eme"/>
      <sheetName val="2103 Emerg"/>
      <sheetName val="2103 L Flex 3&quot; a SS-81A"/>
      <sheetName val="2108 L Flex 3&quot; SS-49 A"/>
      <sheetName val="2109 pintura marco H"/>
      <sheetName val="2153 pintura marco H"/>
      <sheetName val="2157 Cv"/>
      <sheetName val="2157 L Flex 3&quot; SS-49 A"/>
      <sheetName val="2163 pintura marco H"/>
      <sheetName val="2165 pintura marco H"/>
      <sheetName val="2178 pintura marco H's"/>
      <sheetName val="2185 Fac Ht"/>
      <sheetName val="2186 Fac Ht"/>
      <sheetName val="2198 L Flex 3&quot; a SS-81A"/>
      <sheetName val="2207 Desm"/>
      <sheetName val="2213 marco H"/>
      <sheetName val="2244 Cv"/>
      <sheetName val="2244 L Flex"/>
      <sheetName val="2246 Cv"/>
      <sheetName val="2246 L Flex"/>
      <sheetName val="2314 Cv"/>
      <sheetName val="2314 L"/>
      <sheetName val="2318 L"/>
      <sheetName val="2324 marco H"/>
      <sheetName val="2327 Cv"/>
      <sheetName val="2327 L"/>
      <sheetName val="2333 L"/>
      <sheetName val="2344 Cv"/>
      <sheetName val="2344 L"/>
      <sheetName val="2345 Cv"/>
      <sheetName val="2345 L"/>
      <sheetName val="2576 Cv"/>
      <sheetName val="2576 L Flex"/>
      <sheetName val="2585 Cv"/>
      <sheetName val="2585 L"/>
      <sheetName val="2608 Cv"/>
      <sheetName val="2608 L"/>
      <sheetName val="2642 Cv"/>
      <sheetName val="2642 L"/>
      <sheetName val="2732 L Flex 3&quot; SS-49 A"/>
      <sheetName val="2792 L Flex Vte"/>
      <sheetName val="2795 L Flex Vte"/>
      <sheetName val="2797 L Flex Vte"/>
      <sheetName val="96 pintura marco H"/>
      <sheetName val="333 L Vte"/>
      <sheetName val="blanco (23)"/>
      <sheetName val="SABANA L CRUDO PROY DIC 387002"/>
      <sheetName val="blanco (2)"/>
      <sheetName val="LINEA 12&quot; OLEODUCTO Proy"/>
      <sheetName val="065 Cv"/>
      <sheetName val="77 pintura marco H Proy"/>
      <sheetName val="85 pintura marco H Proy"/>
      <sheetName val="88 pintura marco H Proy"/>
      <sheetName val="105 Cv"/>
      <sheetName val="276 Cv"/>
      <sheetName val="276 L Proy"/>
      <sheetName val="295 L Proy"/>
      <sheetName val="438 Cv"/>
      <sheetName val="467 Cv"/>
      <sheetName val="509 L Proy"/>
      <sheetName val="555 L Proy"/>
      <sheetName val="571 pintura marco H Proy"/>
      <sheetName val="589 pintura marco H Proy"/>
      <sheetName val="653 Cv"/>
      <sheetName val="716 Cv"/>
      <sheetName val="908 pintura marco H Proy"/>
      <sheetName val="923 pintura marco H Proy"/>
      <sheetName val="1047 pintura marco H Proy"/>
      <sheetName val="1051 L Flex Proy"/>
      <sheetName val="1053 Cv"/>
      <sheetName val="1058 L Flex Proy"/>
      <sheetName val="1072 Cv"/>
      <sheetName val="1073 Cv"/>
      <sheetName val="1084 L SS 145 Proy"/>
      <sheetName val="1198 L"/>
      <sheetName val="1199 pintura marco H Proy"/>
      <sheetName val="1256 pintura marco H Proy"/>
      <sheetName val="1563 pintura marco H Proy"/>
      <sheetName val="1614 pintura marco H Proy"/>
      <sheetName val="1674 pintura marco H Proy"/>
      <sheetName val="1679 L Proy"/>
      <sheetName val="1714 pintura marco H Proy"/>
      <sheetName val="1746 pintura marco H Proy"/>
      <sheetName val="1883 pintura marco H Proy"/>
      <sheetName val="2102 pintura marco H Proy"/>
      <sheetName val="2103 Desm Proy"/>
      <sheetName val="2105 pintura marco H Proy"/>
      <sheetName val="2108 pintura marco H Proy"/>
      <sheetName val="2109 Desm Proy"/>
      <sheetName val="2136 L Flex Proy"/>
      <sheetName val="2142 Cv"/>
      <sheetName val="2153 Desm Proy"/>
      <sheetName val="2167 pintura marco H Proy"/>
      <sheetName val="2168 L Flex Proy"/>
      <sheetName val="2185 pintura marco H Proy"/>
      <sheetName val="2191 Cv"/>
      <sheetName val="2198 Desm Proy"/>
      <sheetName val="2218 Cv"/>
      <sheetName val="2219 Cv"/>
      <sheetName val="2221 L Flex Proy"/>
      <sheetName val="2248 Cv"/>
      <sheetName val="2248 L Flex Proy"/>
      <sheetName val="2304 pintura marco H Proy"/>
      <sheetName val="2314 pintura marco H Proy"/>
      <sheetName val="2320 L Flex Proy"/>
      <sheetName val="2324 pintura marco H Proy"/>
      <sheetName val="2328 pintura marco H Proy"/>
      <sheetName val="2571 Cv"/>
      <sheetName val="2575 Cv"/>
      <sheetName val="2577 L Flex Proy"/>
      <sheetName val="2582 Cv"/>
      <sheetName val="2584 Cv"/>
      <sheetName val="2588 Cv"/>
      <sheetName val="2588 L Flex Proy"/>
      <sheetName val="2593 Cv"/>
      <sheetName val="2600 Cv"/>
      <sheetName val="2602 L Flex Proy"/>
      <sheetName val="2611 L Flex Proy"/>
      <sheetName val="2637 pintura marco H Proy"/>
      <sheetName val="2789 Cv"/>
      <sheetName val="2789 L Flex Proy"/>
      <sheetName val="2790 Cv"/>
      <sheetName val="135 Desm Colec"/>
      <sheetName val="192  Cv "/>
      <sheetName val="192 L"/>
      <sheetName val="212 Cv"/>
      <sheetName val="212 L"/>
      <sheetName val="224 L Desm"/>
      <sheetName val="229 L al  ss 42"/>
      <sheetName val="251 L al  ss 42"/>
      <sheetName val="781 L al  ss 42"/>
      <sheetName val="914 L al  ss 42"/>
      <sheetName val="1037 L al  ss 42"/>
      <sheetName val="1352 L al  ss 42"/>
      <sheetName val="2031 L al  ss 42"/>
      <sheetName val="2058 L al  ss 42"/>
      <sheetName val="2110 L al  ss 42"/>
      <sheetName val="355 L Cambio"/>
      <sheetName val="509 L"/>
      <sheetName val="597 L"/>
      <sheetName val="745 L Flex"/>
      <sheetName val="745 Cv"/>
      <sheetName val="823 Cv"/>
      <sheetName val="823 L"/>
      <sheetName val="884 L"/>
      <sheetName val="915 L Desm"/>
      <sheetName val="940 Cv m"/>
      <sheetName val="1002 Cv"/>
      <sheetName val="1002 L"/>
      <sheetName val="1045 Cv"/>
      <sheetName val="1045 L Flex"/>
      <sheetName val="1651 Cv"/>
      <sheetName val="1651 L"/>
      <sheetName val="1725 Cv M"/>
      <sheetName val="464 781 L a SS 42"/>
      <sheetName val="229 L a SS 42"/>
      <sheetName val="914 L a SS 42"/>
      <sheetName val="1037 L a SS 42"/>
      <sheetName val="1191 1411 Desm Colec"/>
      <sheetName val="1314 L Colect"/>
      <sheetName val="1349 2305 2306 Desm Colec"/>
      <sheetName val="1352 L a SS 42"/>
      <sheetName val="2031 La SS 42"/>
      <sheetName val="2058 La SS 42"/>
      <sheetName val="2110 La SS 42"/>
      <sheetName val="2112 L Flex"/>
      <sheetName val="2122 Cv"/>
      <sheetName val="2122 L"/>
      <sheetName val="2149 L Flex a SS 95"/>
      <sheetName val="2150 LFlex a SS 95"/>
      <sheetName val="2200 L Flex a SS 95"/>
      <sheetName val="2146 Cv"/>
      <sheetName val="2146 L"/>
      <sheetName val="2147 Cv"/>
      <sheetName val="2147 L"/>
      <sheetName val="2178 Cv"/>
      <sheetName val="2178 L Flex"/>
      <sheetName val="2206 L Flex"/>
      <sheetName val="2207 L Flex"/>
      <sheetName val="2212 Cv"/>
      <sheetName val="2212 L Flex"/>
      <sheetName val="2217 L"/>
      <sheetName val="2217 Cv"/>
      <sheetName val="2330 L"/>
      <sheetName val="2331 L Flex"/>
      <sheetName val="2332 Cv"/>
      <sheetName val="2332L Flex"/>
      <sheetName val="2332L Ac"/>
      <sheetName val="2339 L y Desm"/>
      <sheetName val="2381 L AC"/>
      <sheetName val="2381 L Flex"/>
      <sheetName val="2624 Cv"/>
      <sheetName val="2624 L"/>
      <sheetName val="2732 L"/>
      <sheetName val="2732 Cv"/>
      <sheetName val="SABANA SS NOV 477010"/>
      <sheetName val="SS-9 Str"/>
      <sheetName val="SS-39B Pintura marco H"/>
      <sheetName val="SS-41 Hot tap"/>
      <sheetName val="SS-41A pintura marco H"/>
      <sheetName val="SS 52 Desm"/>
      <sheetName val="SS- 58 B Str"/>
      <sheetName val="SS-77B pintura marco H"/>
      <sheetName val="SS-81A pintura marco H"/>
      <sheetName val="SS-95 pintura marco H"/>
      <sheetName val="SS-98A pintura marco H"/>
      <sheetName val="SS 98A LG"/>
      <sheetName val="SS 98A LG (2)"/>
      <sheetName val="SS 98A LM"/>
      <sheetName val="SS-98B LG"/>
      <sheetName val="SS-99 LG Vte"/>
      <sheetName val="SS-99 LM Vte"/>
      <sheetName val="SS-100B LG"/>
      <sheetName val="SS-100B LM"/>
      <sheetName val="SS- 105 Str"/>
      <sheetName val="SS- 106 C LG"/>
      <sheetName val="SS- 106 C LM"/>
      <sheetName val="SS-106 C Str"/>
      <sheetName val="SS-109 pintura marco H"/>
      <sheetName val="SS-120A pintura marco H"/>
      <sheetName val="SS-128 pintura marco H"/>
      <sheetName val="SS-135 Emerg"/>
      <sheetName val="SS-145 Vte"/>
      <sheetName val="SS-154B LM"/>
      <sheetName val="blanco (3)"/>
      <sheetName val="L FLEX FACTURADAS 2008 (2)"/>
      <sheetName val="SABANA FLEX 2008 387002"/>
      <sheetName val="SABANA FLEX 2008"/>
      <sheetName val="SABANA FLEX 2008 477010"/>
      <sheetName val="L FLEX FACTURADAS 2008"/>
      <sheetName val="SABANA SS SEP 477010"/>
      <sheetName val="SS 8 B Lm"/>
      <sheetName val="SS-26 LG"/>
      <sheetName val="SS-26 LM"/>
      <sheetName val="SS-26 Str"/>
      <sheetName val="SS 34  Str Ampl"/>
      <sheetName val="SS 035"/>
      <sheetName val="SS-39 LG Rep"/>
      <sheetName val="SS 39A  Str Ampl"/>
      <sheetName val="SS 39B Lg"/>
      <sheetName val="SS 39B Lm"/>
      <sheetName val="SS 57 Lg"/>
      <sheetName val="SS 80 lg"/>
      <sheetName val="SS 88 F Lg"/>
      <sheetName val="SS 88 F LM"/>
      <sheetName val="SS 88 F Str"/>
      <sheetName val="SS-95 Var"/>
      <sheetName val="SS 95B Str"/>
      <sheetName val="SS-98a Lm"/>
      <sheetName val="SS 99 Lg"/>
      <sheetName val="SS 99 Lm "/>
      <sheetName val="SS 0106 Lg"/>
      <sheetName val="SS 109 Lg Ok"/>
      <sheetName val="SS 111 Desm"/>
      <sheetName val="SS 120 a Str"/>
      <sheetName val="SS 124 Str Amp"/>
      <sheetName val="SS 128 Lg"/>
      <sheetName val="SS 128 Lm"/>
      <sheetName val="0088"/>
      <sheetName val="318"/>
      <sheetName val="515"/>
      <sheetName val="917"/>
      <sheetName val="ADJUNTOS"/>
      <sheetName val="B.D.REPORTES"/>
      <sheetName val="AFES"/>
      <sheetName val="AFEs_Doris"/>
      <sheetName val="AFE'S"/>
      <sheetName val="Actividades"/>
      <sheetName val="B.D.-Reportes"/>
      <sheetName val="T.D.-Niv.Corte"/>
      <sheetName val="T.D.-Niv.Relleno"/>
      <sheetName val="T.D.-Niv.Afirmado"/>
      <sheetName val="T.D.-Niv.Mezcla"/>
      <sheetName val="Conversión Emulsión"/>
      <sheetName val="ZODMES(LOC)"/>
      <sheetName val="6111(pozo)"/>
      <sheetName val="6310(pozo)"/>
      <sheetName val="6103(POZO)"/>
      <sheetName val="6116(pozo)"/>
      <sheetName val="6118(pozo)"/>
      <sheetName val="VIA(2)"/>
      <sheetName val="B.D.REPORTES."/>
      <sheetName val="11-11-10"/>
      <sheetName val="12-11-10"/>
      <sheetName val="13-11-10"/>
      <sheetName val="14-11-10"/>
      <sheetName val="15-11-10"/>
      <sheetName val="16-11-10"/>
      <sheetName val="17-11-10"/>
      <sheetName val="18-11-10"/>
      <sheetName val="19-11-10"/>
      <sheetName val="20-11-10"/>
      <sheetName val="21-11-10"/>
      <sheetName val="22-11-10"/>
      <sheetName val="23-11-10"/>
      <sheetName val="24-11-10"/>
      <sheetName val="25-11-10"/>
      <sheetName val="26-11-10"/>
      <sheetName val="27-11-10"/>
      <sheetName val="28-11-10"/>
      <sheetName val="29-11-10"/>
      <sheetName val="30-11-10"/>
      <sheetName val="01-12-10"/>
      <sheetName val="02-12-10"/>
      <sheetName val="03-12-10"/>
      <sheetName val="04-12-10"/>
      <sheetName val="05-12-10"/>
      <sheetName val="06-12-10"/>
      <sheetName val="07-12-10"/>
      <sheetName val="08-12-10"/>
      <sheetName val="09-12-10"/>
      <sheetName val="10-12-10"/>
      <sheetName val="11-12-10"/>
      <sheetName val="12-12-10"/>
      <sheetName val="13-12-10"/>
      <sheetName val="14-12-10"/>
      <sheetName val="15-12-10"/>
      <sheetName val="16-12-10"/>
      <sheetName val="17-12-10"/>
      <sheetName val="18-12-10"/>
      <sheetName val="19-12-10"/>
      <sheetName val="20-12-10"/>
      <sheetName val="IDO (2)"/>
      <sheetName val="Tablas"/>
      <sheetName val="Datos de escala temporal"/>
      <sheetName val="RRHH"/>
      <sheetName val="HrsP"/>
      <sheetName val="HSE"/>
      <sheetName val="IDO"/>
      <sheetName val="ISO"/>
      <sheetName val="AVP"/>
      <sheetName val="PENDIENTES X COBRAR"/>
      <sheetName val="BITACORA"/>
      <sheetName val="UTILI-FRENTE"/>
      <sheetName val="ABIMAELXPAGAR"/>
      <sheetName val="INCLUYO_EDUIN"/>
      <sheetName val="AVP (2)"/>
      <sheetName val="PROYECCION"/>
      <sheetName val="CUADRO DE CANTIDADES"/>
      <sheetName val="ACTA_2"/>
      <sheetName val="AJUSTE CANTIDADES"/>
      <sheetName val="PROYECCIONES"/>
      <sheetName val="HOMOLOGACION DE CANTIDADES"/>
      <sheetName val="CCDO"/>
      <sheetName val="BALANCE"/>
      <sheetName val="PDT"/>
      <sheetName val="PDT_SEG"/>
      <sheetName val="CCRO"/>
      <sheetName val="CCDO_OPC"/>
      <sheetName val="HRP"/>
      <sheetName val="0013"/>
      <sheetName val="VIA0013"/>
      <sheetName val="0039"/>
      <sheetName val="VIA0039"/>
      <sheetName val="0049"/>
      <sheetName val="0052"/>
      <sheetName val="0057"/>
      <sheetName val="VIA0057"/>
      <sheetName val="0065"/>
      <sheetName val="VIA0065"/>
      <sheetName val="0066"/>
      <sheetName val="0077"/>
      <sheetName val="0082"/>
      <sheetName val="VIA0082"/>
      <sheetName val="0086"/>
      <sheetName val="0094"/>
      <sheetName val="VIA0094"/>
      <sheetName val="VIA0097"/>
      <sheetName val="0105"/>
      <sheetName val="0109"/>
      <sheetName val="0186"/>
      <sheetName val="0196"/>
      <sheetName val="0197"/>
      <sheetName val="0214"/>
      <sheetName val="0239"/>
      <sheetName val="0262"/>
      <sheetName val="0264"/>
      <sheetName val="0286"/>
      <sheetName val="0315"/>
      <sheetName val="0342"/>
      <sheetName val="0419"/>
      <sheetName val="0423"/>
      <sheetName val="0433"/>
      <sheetName val="VIA0433"/>
      <sheetName val="0436"/>
      <sheetName val="0471"/>
      <sheetName val="VIA0471"/>
      <sheetName val="0476"/>
      <sheetName val="0484"/>
      <sheetName val="0506"/>
      <sheetName val="0599"/>
      <sheetName val="0618"/>
      <sheetName val="0627"/>
      <sheetName val="0637"/>
      <sheetName val="1098"/>
      <sheetName val="VIA1098"/>
      <sheetName val="1109"/>
      <sheetName val="1110"/>
      <sheetName val="VIA1110"/>
      <sheetName val="1111"/>
      <sheetName val="1115"/>
      <sheetName val="VIA1115"/>
      <sheetName val="1116"/>
      <sheetName val="VIA1116"/>
      <sheetName val="1123"/>
      <sheetName val="VIA1123"/>
      <sheetName val="1124"/>
      <sheetName val="1125"/>
      <sheetName val="1483"/>
      <sheetName val="VIA1483"/>
      <sheetName val="1487"/>
      <sheetName val="1494"/>
      <sheetName val="VIA1494"/>
      <sheetName val="1495"/>
      <sheetName val="1519"/>
      <sheetName val="1524"/>
      <sheetName val="1589"/>
      <sheetName val="1590"/>
      <sheetName val="1624"/>
      <sheetName val="1626"/>
      <sheetName val="VIA1626"/>
      <sheetName val="1636"/>
      <sheetName val="1674"/>
      <sheetName val="VIA1674"/>
      <sheetName val="1699"/>
      <sheetName val="VIA1699"/>
      <sheetName val="1700"/>
      <sheetName val="VIA1700"/>
      <sheetName val="0 (1)"/>
      <sheetName val="nivelacion  Corte"/>
      <sheetName val="nivelacion  Relleno"/>
      <sheetName val="nivelacion Afirmado"/>
      <sheetName val="Emulsion "/>
      <sheetName val="nivelacion  Corte via"/>
      <sheetName val="nivelacion  Relleno via"/>
      <sheetName val="nivelacion Afirmado via"/>
      <sheetName val="ZODMES(VIA)"/>
      <sheetName val="nivelacion Afirma VIA"/>
      <sheetName val="Emulsion"/>
      <sheetName val="Reportes"/>
      <sheetName val="LOC(1)"/>
      <sheetName val="LOC(2)"/>
      <sheetName val="VIA(1)"/>
      <sheetName val="Emulsión Ajustada"/>
      <sheetName val="INFORME EJECUTIVO"/>
      <sheetName val="Módulo1"/>
      <sheetName val="RESUME DAILY REP"/>
      <sheetName val="CIVIL DAILY REP"/>
      <sheetName val="UNDERG PIPING REP"/>
      <sheetName val="ELECT,INST DAILY REP"/>
      <sheetName val="TANKS DAILY REP"/>
      <sheetName val="MECH AND PIP REP"/>
      <sheetName val="ELEC.INT. WIRING_CONECT"/>
      <sheetName val="INST. INSTRUMENT PROD"/>
      <sheetName val="PIP. WELDS PROD HP1"/>
      <sheetName val="PIP. WELDS PROD HP2"/>
      <sheetName val="PIP. WELDS PROD LP1"/>
      <sheetName val="PIP. WELDS PROD LP2"/>
      <sheetName val="MECH. Project Tracking"/>
      <sheetName val="Sheet1"/>
      <sheetName val="Acta Locacion"/>
      <sheetName val="LOCACION"/>
      <sheetName val="PISCINA"/>
      <sheetName val="Filtros subsuperficiales "/>
      <sheetName val="Filtro de 6"/>
      <sheetName val="CUNETAS "/>
      <sheetName val="Dren hor"/>
      <sheetName val="Area taladro"/>
      <sheetName val="Foso quemado"/>
      <sheetName val="Tub 8&quot;"/>
      <sheetName val="C. Vigilancia"/>
      <sheetName val="C. Quimicos"/>
      <sheetName val="placa bombas"/>
      <sheetName val="Skimmers"/>
      <sheetName val="Diques de contencion"/>
      <sheetName val="Zanjas de coronacion"/>
      <sheetName val="Trinchos"/>
      <sheetName val="Descoles escalonados"/>
      <sheetName val="Cerca en alambre de puas"/>
      <sheetName val="Fosos de disparo"/>
      <sheetName val="empradizacion"/>
      <sheetName val="Ssi. iluminacion"/>
      <sheetName val="APU Filtro 6&quot;"/>
      <sheetName val="APU concreto 1500"/>
      <sheetName val="APU concreto 2500"/>
      <sheetName val="APU concreto 3000"/>
      <sheetName val="APU acero refuerzo"/>
      <sheetName val="APU TUBERI8&quot;"/>
      <sheetName val="Mamposteria"/>
      <sheetName val="Triturado"/>
      <sheetName val="APU desarenador"/>
      <sheetName val="APU skimer"/>
      <sheetName val="APU SUBBASE "/>
      <sheetName val="APU iluminacion"/>
      <sheetName val="APU Moviydesmovi"/>
      <sheetName val="CERRAMIENTOS"/>
      <sheetName val="Zanja de coronacion"/>
      <sheetName val="Descoles en sacos S-C"/>
      <sheetName val="Barreras en sacos de S-C"/>
      <sheetName val="Carcavas via de acceso"/>
      <sheetName val="Demoliciones"/>
      <sheetName val="Rellenos"/>
      <sheetName val="Cargue"/>
      <sheetName val="Biomanto"/>
      <sheetName val="Vía de Acceso"/>
      <sheetName val="DE"/>
      <sheetName val="IT"/>
      <sheetName val="Dat"/>
      <sheetName val="Kxm"/>
      <sheetName val="Em"/>
      <sheetName val="O C"/>
      <sheetName val=" V"/>
      <sheetName val="CA"/>
      <sheetName val=" E"/>
      <sheetName val="RD"/>
      <sheetName val="TR"/>
      <sheetName val="MH"/>
      <sheetName val="OC"/>
      <sheetName val="OR"/>
      <sheetName val="Ad"/>
      <sheetName val="Form5 _Pág_ 1"/>
      <sheetName val="Enero 3"/>
      <sheetName val="Enero 4"/>
      <sheetName val="Enero 5"/>
      <sheetName val="Enero 6"/>
      <sheetName val="Enero 7"/>
      <sheetName val="Enero 8"/>
      <sheetName val="Enero 9"/>
      <sheetName val="Enero 10"/>
      <sheetName val="Enero 11"/>
      <sheetName val="Enero 12"/>
      <sheetName val="Enero 13"/>
      <sheetName val="Enero 14"/>
      <sheetName val="Enero 15"/>
      <sheetName val="Enero 16"/>
      <sheetName val="Enero 17"/>
      <sheetName val="Enero 18"/>
      <sheetName val="Enero 19"/>
      <sheetName val="Enero 20"/>
      <sheetName val="Enero 21"/>
      <sheetName val="Enero "/>
      <sheetName val="Enero 1"/>
      <sheetName val="Enero 199"/>
      <sheetName val="Enero 1989"/>
      <sheetName val="Enero 2"/>
      <sheetName val="Enero 89"/>
      <sheetName val="Enero AA129"/>
      <sheetName val="Enero89"/>
      <sheetName val="Enero1"/>
      <sheetName val="Enero 198"/>
      <sheetName val="aCCIDENTES DE 1995 - 1996.xls"/>
      <sheetName val="A.P.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sheetData sheetId="80"/>
      <sheetData sheetId="8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sheetData sheetId="201"/>
      <sheetData sheetId="202"/>
      <sheetData sheetId="203">
        <row r="1">
          <cell r="A1" t="str">
            <v>ITEM</v>
          </cell>
        </row>
      </sheetData>
      <sheetData sheetId="204">
        <row r="1">
          <cell r="A1" t="str">
            <v>EQUIPO</v>
          </cell>
        </row>
      </sheetData>
      <sheetData sheetId="205">
        <row r="1">
          <cell r="A1" t="str">
            <v>ADMINISTRACION</v>
          </cell>
        </row>
      </sheetData>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refreshError="1"/>
      <sheetData sheetId="538"/>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row r="5">
          <cell r="E5" t="str">
            <v>CANTIDAD</v>
          </cell>
        </row>
        <row r="11">
          <cell r="E11">
            <v>2.73</v>
          </cell>
        </row>
        <row r="19">
          <cell r="E19">
            <v>0.78</v>
          </cell>
        </row>
        <row r="21">
          <cell r="E21">
            <v>1</v>
          </cell>
        </row>
        <row r="35">
          <cell r="E35">
            <v>37</v>
          </cell>
        </row>
        <row r="37">
          <cell r="E37">
            <v>2</v>
          </cell>
        </row>
        <row r="49">
          <cell r="E49">
            <v>24.84</v>
          </cell>
        </row>
        <row r="53">
          <cell r="E53">
            <v>12.99</v>
          </cell>
        </row>
        <row r="55">
          <cell r="E55">
            <v>19.399999999999999</v>
          </cell>
        </row>
        <row r="57">
          <cell r="E57">
            <v>5.46</v>
          </cell>
        </row>
        <row r="65">
          <cell r="E65">
            <v>9.8000000000000007</v>
          </cell>
        </row>
        <row r="71">
          <cell r="E71">
            <v>2</v>
          </cell>
        </row>
        <row r="73">
          <cell r="E73">
            <v>2</v>
          </cell>
        </row>
        <row r="75">
          <cell r="E75">
            <v>1</v>
          </cell>
        </row>
        <row r="83">
          <cell r="E83">
            <v>3</v>
          </cell>
        </row>
        <row r="85">
          <cell r="E85">
            <v>6</v>
          </cell>
        </row>
        <row r="99">
          <cell r="E99">
            <v>1.82</v>
          </cell>
        </row>
        <row r="123">
          <cell r="E123">
            <v>0</v>
          </cell>
        </row>
        <row r="124">
          <cell r="E124">
            <v>0</v>
          </cell>
        </row>
        <row r="125">
          <cell r="E125">
            <v>0</v>
          </cell>
        </row>
        <row r="126">
          <cell r="E126">
            <v>0</v>
          </cell>
        </row>
        <row r="153">
          <cell r="E153">
            <v>6</v>
          </cell>
        </row>
        <row r="155">
          <cell r="E155">
            <v>6</v>
          </cell>
        </row>
        <row r="157">
          <cell r="E157">
            <v>3</v>
          </cell>
        </row>
        <row r="277">
          <cell r="E277">
            <v>6</v>
          </cell>
        </row>
        <row r="281">
          <cell r="E281">
            <v>6</v>
          </cell>
        </row>
        <row r="287">
          <cell r="E287">
            <v>2</v>
          </cell>
        </row>
        <row r="424">
          <cell r="E424">
            <v>14</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1" refreshError="1">
        <row r="5">
          <cell r="E5" t="str">
            <v>CANTIDAD</v>
          </cell>
        </row>
        <row r="11">
          <cell r="E11">
            <v>2.36</v>
          </cell>
        </row>
        <row r="19">
          <cell r="E19">
            <v>1</v>
          </cell>
        </row>
        <row r="27">
          <cell r="E27">
            <v>11</v>
          </cell>
        </row>
        <row r="35">
          <cell r="E35">
            <v>27</v>
          </cell>
        </row>
        <row r="37">
          <cell r="E37">
            <v>2</v>
          </cell>
        </row>
        <row r="49">
          <cell r="E49">
            <v>19.489999999999998</v>
          </cell>
        </row>
        <row r="53">
          <cell r="E53">
            <v>10.119999999999999</v>
          </cell>
        </row>
        <row r="55">
          <cell r="E55">
            <v>13.62</v>
          </cell>
        </row>
        <row r="57">
          <cell r="E57">
            <v>4.7300000000000004</v>
          </cell>
        </row>
        <row r="65">
          <cell r="E65">
            <v>4.5599999999999996</v>
          </cell>
        </row>
        <row r="85">
          <cell r="E85">
            <v>4.5</v>
          </cell>
        </row>
        <row r="89">
          <cell r="E89">
            <v>0.88</v>
          </cell>
        </row>
        <row r="99">
          <cell r="E99">
            <v>1.58</v>
          </cell>
        </row>
        <row r="107">
          <cell r="E107">
            <v>12.32</v>
          </cell>
        </row>
        <row r="123">
          <cell r="E123">
            <v>0</v>
          </cell>
        </row>
        <row r="124">
          <cell r="E124">
            <v>0</v>
          </cell>
        </row>
        <row r="125">
          <cell r="E125">
            <v>0</v>
          </cell>
        </row>
        <row r="126">
          <cell r="E126">
            <v>0</v>
          </cell>
        </row>
        <row r="388">
          <cell r="E388">
            <v>8</v>
          </cell>
        </row>
        <row r="390">
          <cell r="E390">
            <v>2</v>
          </cell>
        </row>
        <row r="392">
          <cell r="E392">
            <v>1</v>
          </cell>
        </row>
        <row r="424">
          <cell r="E424">
            <v>11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2" refreshError="1">
        <row r="5">
          <cell r="E5" t="str">
            <v>CANTIDAD</v>
          </cell>
        </row>
        <row r="11">
          <cell r="E11">
            <v>10.119999999999999</v>
          </cell>
        </row>
        <row r="19">
          <cell r="E19">
            <v>1.08</v>
          </cell>
        </row>
        <row r="35">
          <cell r="E35">
            <v>94.1</v>
          </cell>
        </row>
        <row r="39">
          <cell r="E39">
            <v>15</v>
          </cell>
        </row>
        <row r="49">
          <cell r="E49">
            <v>81.13</v>
          </cell>
        </row>
        <row r="53">
          <cell r="E53">
            <v>13.37</v>
          </cell>
        </row>
        <row r="55">
          <cell r="E55">
            <v>58.75</v>
          </cell>
        </row>
        <row r="57">
          <cell r="E57">
            <v>20.25</v>
          </cell>
        </row>
        <row r="65">
          <cell r="E65">
            <v>13.5</v>
          </cell>
        </row>
        <row r="71">
          <cell r="E71">
            <v>2</v>
          </cell>
        </row>
        <row r="73">
          <cell r="E73">
            <v>2</v>
          </cell>
        </row>
        <row r="83">
          <cell r="E83">
            <v>5</v>
          </cell>
        </row>
        <row r="85">
          <cell r="E85">
            <v>10</v>
          </cell>
        </row>
        <row r="89">
          <cell r="E89">
            <v>2.4</v>
          </cell>
        </row>
        <row r="99">
          <cell r="E99">
            <v>6.75</v>
          </cell>
        </row>
        <row r="123">
          <cell r="E123">
            <v>0</v>
          </cell>
        </row>
        <row r="124">
          <cell r="E124">
            <v>0</v>
          </cell>
        </row>
        <row r="125">
          <cell r="E125">
            <v>0</v>
          </cell>
        </row>
        <row r="126">
          <cell r="E126">
            <v>0</v>
          </cell>
        </row>
        <row r="334">
          <cell r="E334">
            <v>36</v>
          </cell>
        </row>
        <row r="336">
          <cell r="E336">
            <v>6</v>
          </cell>
        </row>
        <row r="338">
          <cell r="E338">
            <v>14</v>
          </cell>
        </row>
        <row r="340">
          <cell r="E340">
            <v>2</v>
          </cell>
        </row>
        <row r="342">
          <cell r="E342">
            <v>2</v>
          </cell>
        </row>
        <row r="422">
          <cell r="E422">
            <v>426</v>
          </cell>
        </row>
        <row r="450">
          <cell r="E450">
            <v>318</v>
          </cell>
        </row>
        <row r="454">
          <cell r="E454">
            <v>318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3" refreshError="1">
        <row r="5">
          <cell r="E5" t="str">
            <v>CANTIDAD</v>
          </cell>
        </row>
        <row r="11">
          <cell r="E11">
            <v>3.02</v>
          </cell>
        </row>
        <row r="13">
          <cell r="E13">
            <v>1</v>
          </cell>
        </row>
        <row r="35">
          <cell r="E35">
            <v>30</v>
          </cell>
        </row>
        <row r="37">
          <cell r="E37">
            <v>1</v>
          </cell>
        </row>
        <row r="39">
          <cell r="E39">
            <v>10</v>
          </cell>
        </row>
        <row r="49">
          <cell r="E49">
            <v>24</v>
          </cell>
        </row>
        <row r="53">
          <cell r="E53">
            <v>7.33</v>
          </cell>
        </row>
        <row r="55">
          <cell r="E55">
            <v>17.579999999999998</v>
          </cell>
        </row>
        <row r="57">
          <cell r="E57">
            <v>6.05</v>
          </cell>
        </row>
        <row r="83">
          <cell r="E83">
            <v>3</v>
          </cell>
        </row>
        <row r="85">
          <cell r="E85">
            <v>3</v>
          </cell>
        </row>
        <row r="89">
          <cell r="E89">
            <v>0.72</v>
          </cell>
        </row>
        <row r="99">
          <cell r="E99">
            <v>2.02</v>
          </cell>
        </row>
        <row r="101">
          <cell r="E101">
            <v>1</v>
          </cell>
        </row>
        <row r="107">
          <cell r="E107">
            <v>10.08</v>
          </cell>
        </row>
        <row r="123">
          <cell r="E123">
            <v>0</v>
          </cell>
        </row>
        <row r="124">
          <cell r="E124">
            <v>0</v>
          </cell>
        </row>
        <row r="125">
          <cell r="E125">
            <v>0</v>
          </cell>
        </row>
        <row r="126">
          <cell r="E126">
            <v>0</v>
          </cell>
        </row>
        <row r="376">
          <cell r="E376">
            <v>5</v>
          </cell>
        </row>
        <row r="378">
          <cell r="E378">
            <v>2</v>
          </cell>
        </row>
        <row r="380">
          <cell r="E380">
            <v>1</v>
          </cell>
        </row>
        <row r="384">
          <cell r="E384">
            <v>1</v>
          </cell>
        </row>
        <row r="424">
          <cell r="E424">
            <v>9</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4" refreshError="1">
        <row r="5">
          <cell r="E5" t="str">
            <v>CANTIDAD</v>
          </cell>
        </row>
        <row r="11">
          <cell r="E11">
            <v>6.93</v>
          </cell>
        </row>
        <row r="19">
          <cell r="E19">
            <v>0.53</v>
          </cell>
        </row>
        <row r="27">
          <cell r="E27">
            <v>14</v>
          </cell>
        </row>
        <row r="35">
          <cell r="E35">
            <v>42</v>
          </cell>
        </row>
        <row r="37">
          <cell r="E37">
            <v>3</v>
          </cell>
        </row>
        <row r="39">
          <cell r="E39">
            <v>18.72</v>
          </cell>
        </row>
        <row r="49">
          <cell r="E49">
            <v>33.090000000000003</v>
          </cell>
        </row>
        <row r="53">
          <cell r="E53">
            <v>11.89</v>
          </cell>
        </row>
        <row r="55">
          <cell r="E55">
            <v>22.7</v>
          </cell>
        </row>
        <row r="57">
          <cell r="E57">
            <v>8.1</v>
          </cell>
        </row>
        <row r="65">
          <cell r="E65">
            <v>5.4</v>
          </cell>
        </row>
        <row r="69">
          <cell r="E69">
            <v>1</v>
          </cell>
        </row>
        <row r="71">
          <cell r="E71">
            <v>1</v>
          </cell>
        </row>
        <row r="73">
          <cell r="E73">
            <v>1</v>
          </cell>
        </row>
        <row r="83">
          <cell r="E83">
            <v>3</v>
          </cell>
        </row>
        <row r="85">
          <cell r="E85">
            <v>3</v>
          </cell>
        </row>
        <row r="89">
          <cell r="E89">
            <v>2.2400000000000002</v>
          </cell>
        </row>
        <row r="99">
          <cell r="E99">
            <v>4.1399999999999997</v>
          </cell>
        </row>
        <row r="123">
          <cell r="E123">
            <v>0</v>
          </cell>
        </row>
        <row r="124">
          <cell r="E124">
            <v>0</v>
          </cell>
        </row>
        <row r="125">
          <cell r="E125">
            <v>0</v>
          </cell>
        </row>
        <row r="126">
          <cell r="E126">
            <v>0</v>
          </cell>
        </row>
        <row r="346">
          <cell r="E346">
            <v>10</v>
          </cell>
        </row>
        <row r="348">
          <cell r="E348">
            <v>3</v>
          </cell>
        </row>
        <row r="350">
          <cell r="E350">
            <v>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5" refreshError="1">
        <row r="5">
          <cell r="E5" t="str">
            <v>CANTIDAD</v>
          </cell>
        </row>
        <row r="11">
          <cell r="E11">
            <v>14.2</v>
          </cell>
        </row>
        <row r="13">
          <cell r="E13">
            <v>2</v>
          </cell>
        </row>
        <row r="19">
          <cell r="E19">
            <v>3.37</v>
          </cell>
        </row>
        <row r="25">
          <cell r="E25">
            <v>4.6399999999999997</v>
          </cell>
        </row>
        <row r="29">
          <cell r="E29">
            <v>6.5</v>
          </cell>
        </row>
        <row r="35">
          <cell r="E35">
            <v>140</v>
          </cell>
        </row>
        <row r="37">
          <cell r="E37">
            <v>1</v>
          </cell>
        </row>
        <row r="39">
          <cell r="E39">
            <v>48.47</v>
          </cell>
        </row>
        <row r="49">
          <cell r="E49">
            <v>83.47</v>
          </cell>
        </row>
        <row r="53">
          <cell r="E53">
            <v>17.91</v>
          </cell>
        </row>
        <row r="55">
          <cell r="E55">
            <v>96.12</v>
          </cell>
        </row>
        <row r="57">
          <cell r="E57">
            <v>23.79</v>
          </cell>
        </row>
        <row r="61">
          <cell r="E61">
            <v>7.32</v>
          </cell>
        </row>
        <row r="65">
          <cell r="E65">
            <v>42.12</v>
          </cell>
        </row>
        <row r="71">
          <cell r="E71">
            <v>2</v>
          </cell>
        </row>
        <row r="73">
          <cell r="E73">
            <v>4</v>
          </cell>
        </row>
        <row r="83">
          <cell r="E83">
            <v>10</v>
          </cell>
        </row>
        <row r="85">
          <cell r="E85">
            <v>20</v>
          </cell>
        </row>
        <row r="89">
          <cell r="E89">
            <v>0.5</v>
          </cell>
        </row>
        <row r="99">
          <cell r="E99">
            <v>7.93</v>
          </cell>
        </row>
        <row r="101">
          <cell r="E101">
            <v>2</v>
          </cell>
        </row>
        <row r="107">
          <cell r="E107">
            <v>1.1200000000000001</v>
          </cell>
        </row>
        <row r="123">
          <cell r="E123">
            <v>0</v>
          </cell>
        </row>
        <row r="124">
          <cell r="E124">
            <v>0</v>
          </cell>
        </row>
        <row r="125">
          <cell r="E125">
            <v>0</v>
          </cell>
        </row>
        <row r="126">
          <cell r="E126">
            <v>0</v>
          </cell>
        </row>
        <row r="141">
          <cell r="E141">
            <v>98</v>
          </cell>
        </row>
        <row r="153">
          <cell r="E153">
            <v>11.5</v>
          </cell>
        </row>
        <row r="155">
          <cell r="E155">
            <v>3.5</v>
          </cell>
        </row>
        <row r="157">
          <cell r="E157">
            <v>20</v>
          </cell>
        </row>
        <row r="159">
          <cell r="E159">
            <v>2</v>
          </cell>
        </row>
        <row r="161">
          <cell r="E161">
            <v>5</v>
          </cell>
        </row>
        <row r="163">
          <cell r="E163">
            <v>2</v>
          </cell>
        </row>
        <row r="165">
          <cell r="E165">
            <v>25</v>
          </cell>
        </row>
        <row r="171">
          <cell r="E171">
            <v>24</v>
          </cell>
        </row>
        <row r="193">
          <cell r="E193">
            <v>4</v>
          </cell>
        </row>
        <row r="195">
          <cell r="E195">
            <v>3</v>
          </cell>
        </row>
        <row r="197">
          <cell r="E197">
            <v>5</v>
          </cell>
        </row>
        <row r="209">
          <cell r="E209">
            <v>6</v>
          </cell>
        </row>
        <row r="211">
          <cell r="E211">
            <v>2</v>
          </cell>
        </row>
        <row r="217">
          <cell r="E217">
            <v>2</v>
          </cell>
        </row>
        <row r="219">
          <cell r="E219">
            <v>2</v>
          </cell>
        </row>
        <row r="312">
          <cell r="E312">
            <v>2</v>
          </cell>
        </row>
        <row r="358">
          <cell r="E358">
            <v>1</v>
          </cell>
        </row>
        <row r="364">
          <cell r="E364">
            <v>1</v>
          </cell>
        </row>
        <row r="406">
          <cell r="E406">
            <v>2</v>
          </cell>
        </row>
        <row r="422">
          <cell r="E422">
            <v>205.12</v>
          </cell>
        </row>
        <row r="424">
          <cell r="E424">
            <v>1</v>
          </cell>
        </row>
        <row r="434">
          <cell r="E434">
            <v>2</v>
          </cell>
        </row>
        <row r="450">
          <cell r="E450">
            <v>3929</v>
          </cell>
        </row>
        <row r="452">
          <cell r="E452">
            <v>951.3</v>
          </cell>
        </row>
        <row r="454">
          <cell r="E454">
            <v>2473.1999999999998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98</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40</v>
          </cell>
        </row>
        <row r="558">
          <cell r="E558">
            <v>20</v>
          </cell>
        </row>
        <row r="560">
          <cell r="E560">
            <v>0</v>
          </cell>
        </row>
      </sheetData>
      <sheetData sheetId="55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60" refreshError="1"/>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sheetData sheetId="742"/>
      <sheetData sheetId="743">
        <row r="1">
          <cell r="A1" t="str">
            <v>INSTITUTO NACIONAL DE VIAS</v>
          </cell>
        </row>
      </sheetData>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sheetData sheetId="758" refreshError="1"/>
      <sheetData sheetId="759"/>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sheetData sheetId="793"/>
      <sheetData sheetId="794"/>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refreshError="1"/>
      <sheetData sheetId="991" refreshError="1"/>
      <sheetData sheetId="992"/>
      <sheetData sheetId="993" refreshError="1"/>
      <sheetData sheetId="994" refreshError="1"/>
      <sheetData sheetId="995" refreshError="1"/>
      <sheetData sheetId="996" refreshError="1"/>
      <sheetData sheetId="997"/>
      <sheetData sheetId="998" refreshError="1"/>
      <sheetData sheetId="999" refreshError="1"/>
      <sheetData sheetId="1000"/>
      <sheetData sheetId="1001"/>
      <sheetData sheetId="1002" refreshError="1"/>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sheetData sheetId="1506"/>
      <sheetData sheetId="1507"/>
      <sheetData sheetId="1508"/>
      <sheetData sheetId="1509"/>
      <sheetData sheetId="1510"/>
      <sheetData sheetId="151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row r="168">
          <cell r="D168">
            <v>0.16</v>
          </cell>
        </row>
      </sheetData>
      <sheetData sheetId="1678"/>
      <sheetData sheetId="1679">
        <row r="7">
          <cell r="B7">
            <v>1</v>
          </cell>
        </row>
      </sheetData>
      <sheetData sheetId="1680">
        <row r="33">
          <cell r="G33">
            <v>0.59504299999999999</v>
          </cell>
        </row>
      </sheetData>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sheetData sheetId="1768"/>
      <sheetData sheetId="1769"/>
      <sheetData sheetId="1770"/>
      <sheetData sheetId="1771"/>
      <sheetData sheetId="1772"/>
      <sheetData sheetId="1773"/>
      <sheetData sheetId="1774"/>
      <sheetData sheetId="1775"/>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row r="8">
          <cell r="A8">
            <v>2.1</v>
          </cell>
        </row>
      </sheetData>
      <sheetData sheetId="2456">
        <row r="8">
          <cell r="A8">
            <v>3.1</v>
          </cell>
        </row>
      </sheetData>
      <sheetData sheetId="2457"/>
      <sheetData sheetId="2458"/>
      <sheetData sheetId="2459"/>
      <sheetData sheetId="2460"/>
      <sheetData sheetId="2461"/>
      <sheetData sheetId="2462">
        <row r="3">
          <cell r="A3">
            <v>1</v>
          </cell>
        </row>
      </sheetData>
      <sheetData sheetId="2463"/>
      <sheetData sheetId="2464"/>
      <sheetData sheetId="2465"/>
      <sheetData sheetId="2466"/>
      <sheetData sheetId="2467"/>
      <sheetData sheetId="2468" refreshError="1"/>
      <sheetData sheetId="2469">
        <row r="1">
          <cell r="A1" t="str">
            <v>LISTADO DE INSUMOS GENERAL</v>
          </cell>
        </row>
      </sheetData>
      <sheetData sheetId="2470" refreshError="1"/>
      <sheetData sheetId="247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efreshError="1"/>
      <sheetData sheetId="2681"/>
      <sheetData sheetId="2682"/>
      <sheetData sheetId="2683" refreshError="1"/>
      <sheetData sheetId="2684" refreshError="1"/>
      <sheetData sheetId="2685" refreshError="1"/>
      <sheetData sheetId="2686" refreshError="1"/>
      <sheetData sheetId="2687"/>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sheetData sheetId="2734"/>
      <sheetData sheetId="2735"/>
      <sheetData sheetId="2736"/>
      <sheetData sheetId="2737"/>
      <sheetData sheetId="2738"/>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FORMULARIO AIU"/>
      <sheetName val="PRESTA"/>
      <sheetName val="impacto "/>
      <sheetName val="BASE CTOS"/>
      <sheetName val="REDES DISTRITO 1"/>
      <sheetName val="APU REDES DISTR.1"/>
      <sheetName val="REDES DISTRITO 2"/>
      <sheetName val="APU REDES DISTR.2"/>
      <sheetName val="REDES DISTRITO 3"/>
      <sheetName val="APU REDES DISTR.3 "/>
      <sheetName val="REDES DISTRITO 4"/>
      <sheetName val="APU REDES DISTR.4"/>
      <sheetName val=" PTAR VIKINGOS"/>
      <sheetName val="APU PTAR_VIKINGOS"/>
      <sheetName val=" PTAR LAS DELICIAS"/>
      <sheetName val="APU PTAR_DELICIAS"/>
      <sheetName val=" PTAR DOS DE ABRIL"/>
      <sheetName val="APU PTAR_DOS DE ABRIL"/>
      <sheetName val=" PTAR SAN JUAN ORIENTAL"/>
      <sheetName val="APU PTAR_S_JORIENTAL"/>
      <sheetName val="APU PTAR"/>
      <sheetName val="RESUMEN OBRAS"/>
    </sheetNames>
    <sheetDataSet>
      <sheetData sheetId="0" refreshError="1">
        <row r="3">
          <cell r="C3">
            <v>0.25</v>
          </cell>
        </row>
        <row r="70">
          <cell r="D70">
            <v>1071</v>
          </cell>
        </row>
        <row r="83">
          <cell r="D83">
            <v>7421</v>
          </cell>
        </row>
        <row r="86">
          <cell r="D86">
            <v>26284</v>
          </cell>
        </row>
        <row r="87">
          <cell r="D87">
            <v>57052</v>
          </cell>
        </row>
        <row r="110">
          <cell r="D110">
            <v>31340.601599999998</v>
          </cell>
        </row>
        <row r="116">
          <cell r="D116">
            <v>64640.582399999999</v>
          </cell>
        </row>
        <row r="131">
          <cell r="D131">
            <v>3437.1959999999999</v>
          </cell>
        </row>
        <row r="133">
          <cell r="D133">
            <v>24855.482400000001</v>
          </cell>
        </row>
        <row r="219">
          <cell r="D219">
            <v>240784</v>
          </cell>
        </row>
        <row r="220">
          <cell r="D220">
            <v>299409</v>
          </cell>
        </row>
        <row r="232">
          <cell r="D232">
            <v>165352</v>
          </cell>
        </row>
        <row r="233">
          <cell r="D233">
            <v>205067</v>
          </cell>
        </row>
        <row r="245">
          <cell r="D245">
            <v>49003</v>
          </cell>
        </row>
        <row r="246">
          <cell r="D246">
            <v>62163</v>
          </cell>
        </row>
        <row r="247">
          <cell r="D247">
            <v>178555</v>
          </cell>
        </row>
        <row r="248">
          <cell r="D248">
            <v>203104</v>
          </cell>
        </row>
        <row r="249">
          <cell r="D249">
            <v>225981</v>
          </cell>
        </row>
        <row r="250">
          <cell r="D250">
            <v>315542</v>
          </cell>
        </row>
        <row r="253">
          <cell r="D253">
            <v>31246</v>
          </cell>
        </row>
        <row r="295">
          <cell r="D295">
            <v>157365.6</v>
          </cell>
        </row>
        <row r="340">
          <cell r="D340">
            <v>1307.4359999999999</v>
          </cell>
        </row>
        <row r="341">
          <cell r="D341">
            <v>3031.3583999999996</v>
          </cell>
        </row>
        <row r="342">
          <cell r="D342">
            <v>2853.8783999999996</v>
          </cell>
        </row>
        <row r="451">
          <cell r="D451">
            <v>8670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FORMULARIO AIU"/>
      <sheetName val="PRESTA"/>
      <sheetName val="BASE CTOS"/>
      <sheetName val="COLECTOR NORTE (1)"/>
      <sheetName val="COLECTOR NORTE (2)"/>
      <sheetName val="COLECTOR NORTE (3)"/>
      <sheetName val="COLECTOR NORTE (4)"/>
      <sheetName val="COLECTOR ORIENTAL"/>
      <sheetName val="COLECTOR OCCIDENTAL"/>
      <sheetName val="REDES SEC. OCCIDENTAL"/>
      <sheetName val="REDES SEC. NORTE"/>
      <sheetName val="APU COLECTOR NORTE 1"/>
      <sheetName val=" PTAR NORTE"/>
      <sheetName val="APU PTAR"/>
      <sheetName val="APU PTAR OCCIDENTAL"/>
      <sheetName val="PRESUPUESTO PTAR OCCIDENTAL"/>
      <sheetName val="RES INSUMOS PTAR"/>
      <sheetName val="RESUMEN OBRAS"/>
      <sheetName val="DOM.  COLECTOR NORTE."/>
      <sheetName val="APU Domic. COLECTOR  NORTE"/>
      <sheetName val="APU COLECTOR SUR"/>
      <sheetName val="RES MATERERIALES ALCANTARIL"/>
      <sheetName val="SEPARADORAS ACTO"/>
    </sheetNames>
    <sheetDataSet>
      <sheetData sheetId="0" refreshError="1">
        <row r="8">
          <cell r="D8">
            <v>0.65780000000000005</v>
          </cell>
        </row>
        <row r="70">
          <cell r="D70">
            <v>1050</v>
          </cell>
        </row>
        <row r="116">
          <cell r="D116">
            <v>63373.119999999995</v>
          </cell>
        </row>
        <row r="131">
          <cell r="D131">
            <v>3369.7999999999997</v>
          </cell>
        </row>
        <row r="133">
          <cell r="D133">
            <v>24368.12</v>
          </cell>
        </row>
        <row r="340">
          <cell r="D340">
            <v>1635.6</v>
          </cell>
        </row>
        <row r="341">
          <cell r="D341">
            <v>1605.4399999999998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BASE CTOS"/>
      <sheetName val="PRELIM"/>
      <sheetName val="TUBERIA"/>
      <sheetName val="EXCAVA"/>
    </sheetNames>
    <sheetDataSet>
      <sheetData sheetId="0" refreshError="1">
        <row r="66">
          <cell r="D66">
            <v>1950</v>
          </cell>
        </row>
        <row r="114">
          <cell r="D114">
            <v>24368.12</v>
          </cell>
        </row>
      </sheetData>
      <sheetData sheetId="1" refreshError="1"/>
      <sheetData sheetId="2" refreshError="1"/>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 val="Datos"/>
      <sheetName val="aCCIDENTES%20DE%201995%20-%2019"/>
      <sheetName val="aCCIDENTES DE 1995 - 1996.xls"/>
      <sheetName val="CONT_ADI"/>
      <sheetName val="items"/>
      <sheetName val="ACTA DE MODIFICACION  (2)"/>
      <sheetName val="INDICMICROEMP"/>
      <sheetName val="\a  aaInformación GRUPO 4\A MIn"/>
      <sheetName val="#¡REF"/>
      <sheetName val="MATERIALES"/>
      <sheetName val="Datos Básicos"/>
      <sheetName val="SALARIOS"/>
      <sheetName val="Informacion"/>
      <sheetName val="SUB APU"/>
      <sheetName val="Informe"/>
      <sheetName val="Seguim-16"/>
      <sheetName val="INV"/>
      <sheetName val="AASHTO"/>
      <sheetName val="PESOS"/>
      <sheetName val="Base Muestras"/>
      <sheetName val="Formulario N° 4"/>
      <sheetName val="EQUIPO"/>
      <sheetName val="otros"/>
      <sheetName val="PRESUPUESTO"/>
      <sheetName val="aCCIDENTES_DE_1995_-_1996"/>
      <sheetName val="aCCIDENTES_DE_1995_-_1996_xls"/>
      <sheetName val="\a__aaInformación_GRUPO_4\A_MIn"/>
      <sheetName val="ACTA_DE_MODIFICACION__(2)"/>
      <sheetName val="aCCIDENTES_DE_1995_-_19961"/>
      <sheetName val="aCCIDENTES_DE_1995_-_1996_xls1"/>
      <sheetName val="\a__aaInformación_GRUPO_4\A_MI1"/>
      <sheetName val="ACTA_DE_MODIFICACION__(2)1"/>
      <sheetName val="SUB_APU"/>
      <sheetName val="Datos_Básicos"/>
      <sheetName val="aCCIDENTES_DE_1995_-_19962"/>
      <sheetName val="aCCIDENTES_DE_1995_-_1996_xls2"/>
      <sheetName val="\a__aaInformación_GRUPO_4\A_MI2"/>
      <sheetName val="ACTA_DE_MODIFICACION__(2)2"/>
      <sheetName val="SUB_APU1"/>
      <sheetName val="Datos_Básicos1"/>
      <sheetName val="Res-Accide-10"/>
      <sheetName val="\\Giovanni\administracion vial\"/>
      <sheetName val="\MONTO AGOTABLE 2010\a  aaInfor"/>
      <sheetName val="\AMV _ no borrar\PRESUPUESTOS\a"/>
      <sheetName val="\I\AMV _ no borrar\PRESUPUESTOS"/>
      <sheetName val="\G\I\AMV _ no borrar\PRESUPUEST"/>
      <sheetName val="\A\a  aaInformación GRUPO 4\A M"/>
      <sheetName val="\G\A\a  aaInformación GRUPO 4\A"/>
      <sheetName val="\I\A\a  aaInformación GRUPO 4\A"/>
      <sheetName val="\K\a  aaInformación GRUPO 4\A M"/>
      <sheetName val="\I\K\a  aaInformación GRUPO 4\A"/>
      <sheetName val="\H\a  aaInformación GRUPO 4\A M"/>
      <sheetName val="\I\H\a  aaInformación GRUPO 4\A"/>
      <sheetName val="\\INTERVIALNUBE\Documents and S"/>
      <sheetName val="\Documents and Settings\Pedro "/>
      <sheetName val="\\Ing-her"/>
      <sheetName val="\\Escritorio\amv 2011\a  aaInfo"/>
      <sheetName val="\Users\cmeza\Documents\INVIAS\D"/>
      <sheetName val="\Documents and Settings\jviteri"/>
      <sheetName val="[aCCIDENTES DE 1995 - 1996.xls]"/>
      <sheetName val="Lista obra"/>
      <sheetName val="\Users\Administrador\Desktop\AM"/>
      <sheetName val="\Users\avargase\AppData\Local\M"/>
      <sheetName val="\Mini HP Enero 2015\Proyectos i"/>
      <sheetName val="\C\Users\avargase\AppData\Local"/>
      <sheetName val="\Volumes\USB PIOLIN\Escritorio\"/>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AIU"/>
      <sheetName val="PRESTA"/>
      <sheetName val="PTAP"/>
      <sheetName val="APU PTAP"/>
      <sheetName val="TANQUE"/>
      <sheetName val="APU TANQUE"/>
      <sheetName val="RESUMEN OBRAS"/>
      <sheetName val="BASE"/>
      <sheetName val="BASE C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2">
          <cell r="D62">
            <v>1300</v>
          </cell>
        </row>
      </sheetData>
      <sheetData sheetId="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 val="original_sist"/>
      <sheetName val="Hoja3"/>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c de Hidr."/>
      <sheetName val="Cambio de Valv."/>
      <sheetName val="Interc.tapones"/>
      <sheetName val="Interc.válv."/>
      <sheetName val="Coloc. e Interc. Tapones"/>
      <sheetName val="Varios."/>
      <sheetName val="Paral. 1"/>
      <sheetName val="Paral. 2"/>
      <sheetName val="Paral. 3"/>
      <sheetName val="Paral.4"/>
      <sheetName val="Totales"/>
    </sheetNames>
    <sheetDataSet>
      <sheetData sheetId="0" refreshError="1"/>
      <sheetData sheetId="1" refreshError="1"/>
      <sheetData sheetId="2" refreshError="1"/>
      <sheetData sheetId="3" refreshError="1"/>
      <sheetData sheetId="4" refreshError="1"/>
      <sheetData sheetId="5" refreshError="1"/>
      <sheetData sheetId="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Interc_de_Hidr_"/>
      <sheetName val="Cambio_de_Valv_"/>
      <sheetName val="Interc_tapones"/>
      <sheetName val="Interc_válv_"/>
      <sheetName val="Coloc__e_Interc__Tapones"/>
      <sheetName val="Varios_"/>
      <sheetName val="Paral__1"/>
      <sheetName val="Paral__2"/>
      <sheetName val="Paral__3"/>
      <sheetName val="Paral_4"/>
      <sheetName val="Interc_de_Hidr_2"/>
      <sheetName val="Cambio_de_Valv_2"/>
      <sheetName val="Interc_tapones2"/>
      <sheetName val="Interc_válv_2"/>
      <sheetName val="Coloc__e_Interc__Tapones2"/>
      <sheetName val="Varios_2"/>
      <sheetName val="Paral__12"/>
      <sheetName val="Paral__22"/>
      <sheetName val="Paral__32"/>
      <sheetName val="Paral_42"/>
      <sheetName val="Interc_de_Hidr_1"/>
      <sheetName val="Cambio_de_Valv_1"/>
      <sheetName val="Interc_tapones1"/>
      <sheetName val="Interc_válv_1"/>
      <sheetName val="Coloc__e_Interc__Tapones1"/>
      <sheetName val="Varios_1"/>
      <sheetName val="Paral__11"/>
      <sheetName val="Paral__21"/>
      <sheetName val="Paral__31"/>
      <sheetName val="Paral_41"/>
    </sheetNames>
    <sheetDataSet>
      <sheetData sheetId="0" refreshError="1"/>
      <sheetData sheetId="1" refreshError="1"/>
      <sheetData sheetId="2" refreshError="1"/>
      <sheetData sheetId="3" refreshError="1"/>
      <sheetData sheetId="4" refreshError="1"/>
      <sheetData sheetId="5" refreshError="1"/>
      <sheetData sheetId="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te (6)"/>
      <sheetName val="Corte (5)"/>
      <sheetName val="Corte (4)"/>
      <sheetName val="Corte (3)"/>
      <sheetName val="Corte (2)"/>
      <sheetName val="Corte (1)"/>
      <sheetName val="Corte"/>
      <sheetName val="pagos"/>
      <sheetName val="%EJECUTADO"/>
      <sheetName val="RESUMENREAJUSTES"/>
      <sheetName val="REAJUSTESACTA1PROVI"/>
      <sheetName val="REAJUSTE DEFINITACTA1"/>
      <sheetName val="REAJUSTESDEFINITACTAS2 (2)"/>
      <sheetName val="REAJUSTESDEFINITIVOSACTA3"/>
      <sheetName val="REAJUSTESDEFINITIVOSACTA4"/>
      <sheetName val="REAJUSTESDEFINITIVOSACTA5"/>
      <sheetName val="Hoja2"/>
      <sheetName val="Hoja1"/>
      <sheetName val="Gráfico6"/>
      <sheetName val="Valores"/>
      <sheetName val="Grafico"/>
      <sheetName val="Módulo1"/>
      <sheetName val="REAJUSTESDEFINITACTAS3"/>
      <sheetName val="REAJUSTESDEFINITACTAS4"/>
      <sheetName val="REAJUSTESDEFINITACTAS5"/>
      <sheetName val="BASE"/>
      <sheetName val="Paral. 1"/>
      <sheetName val="Paral. 2"/>
      <sheetName val="Paral. 3"/>
      <sheetName val="Paral.4"/>
      <sheetName val="Coloc. e Interc. Tapones"/>
      <sheetName val="Cambio de Valv."/>
      <sheetName val="Interc de Hidr."/>
      <sheetName val="Interc.tapones"/>
      <sheetName val="Interc.válv."/>
      <sheetName val="Varios."/>
      <sheetName val="Acum"/>
      <sheetName val="REAJ"/>
      <sheetName val="Corte_(6)"/>
      <sheetName val="Corte_(5)"/>
      <sheetName val="Corte_(4)"/>
      <sheetName val="Corte_(3)"/>
      <sheetName val="Corte_(2)"/>
      <sheetName val="Corte_(1)"/>
      <sheetName val="REAJUSTE_DEFINITACTA1"/>
      <sheetName val="REAJUSTESDEFINITACTAS2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
      <sheetName val="BASE"/>
      <sheetName val="BASE CTOS"/>
      <sheetName val="PRELIM"/>
      <sheetName val="TUBERIA"/>
      <sheetName val="EXCAVA"/>
      <sheetName val="RESUMEN OBRAS "/>
      <sheetName val="1. Caja de Control y Aforo"/>
      <sheetName val="1. APU CAJA CONTROL"/>
      <sheetName val="2. Desarenador"/>
      <sheetName val="2. APU DESARENADOR"/>
      <sheetName val="3. Conducción"/>
      <sheetName val="3. APU CONDUCCIÓN"/>
      <sheetName val="4. Tanques Existentes"/>
      <sheetName val="4. APU Tanques Existentes"/>
      <sheetName val="5. Red Distribución"/>
      <sheetName val="5. APU Red Distribución"/>
      <sheetName val="6.  Opt. PTAP existente"/>
      <sheetName val="6. APU OPT PTAP"/>
      <sheetName val="RES MATERERIALES ACUEDUCTO"/>
      <sheetName val="BASE_CTOS"/>
      <sheetName val="RESUMEN_OBRAS_"/>
      <sheetName val="1__Caja_de_Control_y_Aforo"/>
      <sheetName val="1__APU_CAJA_CONTROL"/>
      <sheetName val="2__Desarenador"/>
      <sheetName val="2__APU_DESARENADOR"/>
      <sheetName val="3__Conducción"/>
      <sheetName val="3__APU_CONDUCCIÓN"/>
      <sheetName val="4__Tanques_Existentes"/>
      <sheetName val="4__APU_Tanques_Existentes"/>
      <sheetName val="5__Red_Distribución"/>
      <sheetName val="5__APU_Red_Distribución"/>
      <sheetName val="6___Opt__PTAP_existente"/>
      <sheetName val="6__APU_OPT_PTAP"/>
      <sheetName val="RES_MATERERIALES_ACUEDUCTO"/>
      <sheetName val="BASE_CTOS2"/>
      <sheetName val="RESUMEN_OBRAS_2"/>
      <sheetName val="1__Caja_de_Control_y_Aforo2"/>
      <sheetName val="1__APU_CAJA_CONTROL2"/>
      <sheetName val="2__Desarenador2"/>
      <sheetName val="2__APU_DESARENADOR2"/>
      <sheetName val="3__Conducción2"/>
      <sheetName val="3__APU_CONDUCCIÓN2"/>
      <sheetName val="4__Tanques_Existentes2"/>
      <sheetName val="4__APU_Tanques_Existentes2"/>
      <sheetName val="5__Red_Distribución2"/>
      <sheetName val="5__APU_Red_Distribución2"/>
      <sheetName val="6___Opt__PTAP_existente2"/>
      <sheetName val="6__APU_OPT_PTAP2"/>
      <sheetName val="RES_MATERERIALES_ACUEDUCTO2"/>
      <sheetName val="BASE_CTOS1"/>
      <sheetName val="RESUMEN_OBRAS_1"/>
      <sheetName val="1__Caja_de_Control_y_Aforo1"/>
      <sheetName val="1__APU_CAJA_CONTROL1"/>
      <sheetName val="2__Desarenador1"/>
      <sheetName val="2__APU_DESARENADOR1"/>
      <sheetName val="3__Conducción1"/>
      <sheetName val="3__APU_CONDUCCIÓN1"/>
      <sheetName val="4__Tanques_Existentes1"/>
      <sheetName val="4__APU_Tanques_Existentes1"/>
      <sheetName val="5__Red_Distribución1"/>
      <sheetName val="5__APU_Red_Distribución1"/>
      <sheetName val="6___Opt__PTAP_existente1"/>
      <sheetName val="6__APU_OPT_PTAP1"/>
      <sheetName val="RES_MATERERIALES_ACUEDUCTO1"/>
    </sheetNames>
    <sheetDataSet>
      <sheetData sheetId="0" refreshError="1"/>
      <sheetData sheetId="1" refreshError="1">
        <row r="136">
          <cell r="D136">
            <v>18202.719999999998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CIONES"/>
      <sheetName val="FORMULARIO AIU"/>
      <sheetName val="BASE"/>
      <sheetName val="APU CONCRETOS"/>
      <sheetName val="APUS ULTIMOS"/>
      <sheetName val="TANQUE 120m3"/>
      <sheetName val="APU TANQUE 120 m3"/>
      <sheetName val="REDES DE DISTRUBICÓN"/>
      <sheetName val="APU REDES DISTRIBUCIÓN"/>
      <sheetName val="RESUMEN OBRAS "/>
      <sheetName val="RESUMEN"/>
      <sheetName val="PRESUPUESTO PM ACUEDUCTO"/>
      <sheetName val="Hoja1"/>
      <sheetName val="Hoja2"/>
    </sheetNames>
    <sheetDataSet>
      <sheetData sheetId="0" refreshError="1"/>
      <sheetData sheetId="1" refreshError="1"/>
      <sheetData sheetId="2" refreshError="1">
        <row r="100">
          <cell r="D100">
            <v>28400</v>
          </cell>
        </row>
        <row r="107">
          <cell r="D107">
            <v>14000</v>
          </cell>
        </row>
        <row r="110">
          <cell r="D110">
            <v>260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ACIONES"/>
      <sheetName val="FORMULARIO AIU"/>
      <sheetName val="BASE"/>
      <sheetName val="APU CONCRETOS"/>
      <sheetName val="PRESUPUESTO PM ACUEDUCTO"/>
      <sheetName val="APU"/>
      <sheetName val="APU ACUEDUCTO"/>
      <sheetName val="TANQUE 120m3"/>
      <sheetName val="APU TANQUE 120 m3"/>
      <sheetName val="REDES DE DISTRUBICÓN"/>
      <sheetName val="APU REDES DISTRIBUCIÓN"/>
      <sheetName val="RESUMEN OBRAS "/>
      <sheetName val="RESUMEN"/>
    </sheetNames>
    <sheetDataSet>
      <sheetData sheetId="0" refreshError="1"/>
      <sheetData sheetId="1" refreshError="1"/>
      <sheetData sheetId="2" refreshError="1">
        <row r="38">
          <cell r="D38">
            <v>423024.14899999998</v>
          </cell>
        </row>
        <row r="99">
          <cell r="D99">
            <v>32234</v>
          </cell>
        </row>
        <row r="108">
          <cell r="D108">
            <v>3300</v>
          </cell>
        </row>
        <row r="130">
          <cell r="D130">
            <v>12000</v>
          </cell>
        </row>
        <row r="131">
          <cell r="D131">
            <v>1800000</v>
          </cell>
        </row>
        <row r="135">
          <cell r="D135">
            <v>18560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o obra"/>
      <sheetName val="FORMULARIO AIU"/>
      <sheetName val="PRESTA"/>
      <sheetName val="BASE"/>
      <sheetName val="BASE CTOS"/>
      <sheetName val="RESUMEN OBRAS "/>
      <sheetName val="PRESUPUESTO PTAR"/>
      <sheetName val="APU PTAR"/>
      <sheetName val="COLECTOR-TIRANA"/>
      <sheetName val="APU Colector TIRANA"/>
      <sheetName val="COLECTORLOS ALBERGUES"/>
      <sheetName val="APU COLECTOR-ALBERGUES"/>
      <sheetName val="COLECTOR-COSUMBI 1"/>
      <sheetName val="APU COLECTOR COSUMBI 1"/>
      <sheetName val="COLECTOR-COSUMBI 2"/>
      <sheetName val="APU COLECTOR-COSUMBI 2"/>
      <sheetName val="DOMICILIARES Distrito 1"/>
      <sheetName val="APU Domiciliarias D1"/>
      <sheetName val="DOMICILIARES Distrito 2"/>
      <sheetName val="APU Domiciliarias D2"/>
      <sheetName val="REDES SECUND Distrito 1"/>
      <sheetName val="APU RedesSecundarias D1"/>
      <sheetName val="REDES SECUND Distrito 2"/>
      <sheetName val="APU RedesSecundarias D2"/>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o obra"/>
      <sheetName val="AIU"/>
      <sheetName val="PRESTA"/>
      <sheetName val="BASE"/>
      <sheetName val="BASE CTOS"/>
      <sheetName val="RESUMEN OBRAS "/>
      <sheetName val="1. bocatoma la trinidad"/>
      <sheetName val="2. BOCATOMA LA TIRANA"/>
      <sheetName val="3. DESARENADOR"/>
      <sheetName val="4. ADUCCION"/>
      <sheetName val="5. REDES"/>
      <sheetName val="6.  PTAP "/>
      <sheetName val="7. TANQUE 250"/>
      <sheetName val="APU"/>
      <sheetName val="RESUMEN MATERIALES"/>
      <sheetName val="SEPARADORAS AC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BASE CTOS"/>
      <sheetName val="CAPTACIÓN"/>
      <sheetName val="APU CAPTACIÓN"/>
      <sheetName val="ADUCCIONES"/>
      <sheetName val="APU ADUCCIONES"/>
      <sheetName val="DESARENADOR"/>
      <sheetName val="APU DESARENADOR"/>
      <sheetName val="PTAP"/>
      <sheetName val="APU PTAP"/>
      <sheetName val="TANQUE 200"/>
      <sheetName val="APU TANQUE"/>
      <sheetName val="REDES"/>
      <sheetName val="APU REDES"/>
      <sheetName val="OPTIMIZACIÓN TANQUES"/>
      <sheetName val="APU OPT.TANQUES"/>
      <sheetName val="VIA"/>
      <sheetName val="APU VIA"/>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CUADRO CONTROL"/>
      <sheetName val="ABL-519"/>
      <sheetName val="AEA-264"/>
      <sheetName val="AEA-944"/>
      <sheetName val="BEP-243"/>
      <sheetName val="BUD-209"/>
      <sheetName val="DUB-823"/>
      <sheetName val="DYT-026"/>
      <sheetName val="GPI 526"/>
      <sheetName val="HFB024"/>
      <sheetName val="HSJ-700"/>
      <sheetName val="ITA878"/>
      <sheetName val="JKC-583"/>
      <sheetName val="OAF853"/>
      <sheetName val="OXB-806"/>
      <sheetName val="PAJ825"/>
      <sheetName val="QFW-296"/>
      <sheetName val="QNA583"/>
      <sheetName val="SBG-021"/>
      <sheetName val="SDA-283"/>
      <sheetName val="SKG-419"/>
      <sheetName val="SUK-095"/>
      <sheetName val="SKJ452"/>
      <sheetName val="SNG_855"/>
      <sheetName val="SRC-847"/>
      <sheetName val="XKF-034"/>
      <sheetName val="XXJ617"/>
      <sheetName val="AEA- 264"/>
      <sheetName val="AEF-009"/>
      <sheetName val="SKG -419"/>
      <sheetName val="SVF-065"/>
      <sheetName val="TNE-078"/>
      <sheetName val="KFB-210"/>
      <sheetName val="GQK-096"/>
      <sheetName val="JVG-611"/>
      <sheetName val="ONG-534"/>
      <sheetName val="SUB-611"/>
      <sheetName val="XAB-669"/>
      <sheetName val="UPP-046"/>
      <sheetName val="UPP-044"/>
      <sheetName val="VEA 363"/>
      <sheetName val="VEA 374"/>
      <sheetName val="PALET DEL 21 FEB AL 5 MARZ"/>
      <sheetName val="Alcantarillas"/>
      <sheetName val="formulario"/>
      <sheetName val="equipos"/>
      <sheetName val="MATERIALES"/>
      <sheetName val="ACARREO"/>
      <sheetName val="CUADBASI"/>
      <sheetName val="CONT_ADI"/>
      <sheetName val="Equipo"/>
      <sheetName val="otros"/>
      <sheetName val="FORMULA"/>
      <sheetName val="INV"/>
      <sheetName val="AASHTO"/>
      <sheetName val="presupuesto"/>
      <sheetName val="CUADRO_CONTROL1"/>
      <sheetName val="GPI_5261"/>
      <sheetName val="AEA-_2641"/>
      <sheetName val="SKG_-4191"/>
      <sheetName val="VEA_3631"/>
      <sheetName val="VEA_3741"/>
      <sheetName val="PALET_DEL_21_FEB_AL_5_MARZ1"/>
      <sheetName val="CUADRO_CONTROL"/>
      <sheetName val="GPI_526"/>
      <sheetName val="AEA-_264"/>
      <sheetName val="SKG_-419"/>
      <sheetName val="VEA_363"/>
      <sheetName val="VEA_374"/>
      <sheetName val="PALET_DEL_21_FEB_AL_5_MARZ"/>
      <sheetName val="CUADRO_CONTROL2"/>
      <sheetName val="GPI_5262"/>
      <sheetName val="AEA-_2642"/>
      <sheetName val="SKG_-4192"/>
      <sheetName val="VEA_3632"/>
      <sheetName val="VEA_3742"/>
      <sheetName val="PALET_DEL_21_FEB_AL_5_MARZ2"/>
      <sheetName val="CUADRO_CONTROL4"/>
      <sheetName val="GPI_5264"/>
      <sheetName val="AEA-_2644"/>
      <sheetName val="SKG_-4194"/>
      <sheetName val="VEA_3634"/>
      <sheetName val="VEA_3744"/>
      <sheetName val="PALET_DEL_21_FEB_AL_5_MARZ4"/>
      <sheetName val="CUADRO_CONTROL3"/>
      <sheetName val="GPI_5263"/>
      <sheetName val="AEA-_2643"/>
      <sheetName val="SKG_-4193"/>
      <sheetName val="VEA_3633"/>
      <sheetName val="VEA_3743"/>
      <sheetName val="PALET_DEL_21_FEB_AL_5_MARZ3"/>
      <sheetName val="TARIF2002"/>
      <sheetName val="APU (22)"/>
      <sheetName val="O.Civil A. Base Zona A2S4"/>
      <sheetName val="Hoja1"/>
      <sheetName val="LIQ"/>
      <sheetName val="DATA I"/>
      <sheetName val="PREACTA"/>
      <sheetName val="SEÑAL 1"/>
      <sheetName val="General"/>
      <sheetName val="Calc"/>
      <sheetName val="Pavement Data"/>
      <sheetName val="AEA_944"/>
      <sheetName val="DUB_823"/>
      <sheetName val="ESTADO FINANCIERO"/>
      <sheetName val="BASE DATOS"/>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PEC (2)"/>
      <sheetName val="HH"/>
      <sheetName val="SEMANA"/>
      <sheetName val="ESPEC"/>
      <sheetName val="Hoja1"/>
      <sheetName val="BISEM-ANEX15-"/>
      <sheetName val="ANEXO11-HH"/>
      <sheetName val="RESUMEN(A 7)"/>
      <sheetName val="CCONTROL (A8)"/>
      <sheetName val="Hoja1 (3)"/>
      <sheetName val="GRAF"/>
      <sheetName val="ANEXO 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 val="7417st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1P"/>
      <sheetName val="201.7"/>
      <sheetName val="201.15"/>
      <sheetName val="210.2.1 (2)"/>
      <sheetName val="210.2.2"/>
      <sheetName val="211.1"/>
      <sheetName val="230.2P"/>
      <sheetName val="2P"/>
      <sheetName val="320.1"/>
      <sheetName val="500.1"/>
      <sheetName val="600.1"/>
      <sheetName val="600.2"/>
      <sheetName val="600.4"/>
      <sheetName val="600.5"/>
      <sheetName val="610.1"/>
      <sheetName val="630.4"/>
      <sheetName val="630.6"/>
      <sheetName val="630.7"/>
      <sheetName val="640.1"/>
      <sheetName val="661.1"/>
      <sheetName val="671,1"/>
      <sheetName val="673.1"/>
      <sheetName val="673.2"/>
      <sheetName val="673,5"/>
      <sheetName val="681.1"/>
      <sheetName val="700.1"/>
      <sheetName val="700.3"/>
      <sheetName val="701.1"/>
      <sheetName val="710.1.1"/>
      <sheetName val="710.1.4"/>
      <sheetName val="720.1"/>
      <sheetName val="730.1"/>
      <sheetName val="730.2"/>
      <sheetName val="740.1"/>
      <sheetName val="800.2"/>
      <sheetName val="810.1 "/>
      <sheetName val="900.2"/>
      <sheetName val="900.3"/>
      <sheetName val="INDICE"/>
      <sheetName val="Equipo"/>
      <sheetName val="materiales"/>
      <sheetName val="otros"/>
      <sheetName val="200P ROCERIA"/>
      <sheetName val="210.2 OTRA"/>
      <sheetName val="225P"/>
      <sheetName val="320.2"/>
      <sheetName val="320.3"/>
      <sheetName val="440.1P COMPRADA"/>
      <sheetName val="440.2P COMPRADA"/>
      <sheetName val="440.3P COMPRADA"/>
      <sheetName val="441.1P COMPRADA"/>
      <sheetName val="441.2P COMPRADA"/>
      <sheetName val="441.3P COMPRADA"/>
      <sheetName val="450.1P COMPRADA"/>
      <sheetName val="450.1."/>
      <sheetName val="450.1P. COMPRADA"/>
      <sheetName val="450.2,P COMPRADA"/>
      <sheetName val="450.3P COMPRADA"/>
      <sheetName val="451.1P COMPRADA"/>
      <sheetName val="451.2P COMPRADA"/>
      <sheetName val="451.3P COMPRADA"/>
      <sheetName val="452.1P COMPRADA"/>
      <sheetName val="452.2P COMPRADA"/>
      <sheetName val="452.3P COMPRADA"/>
      <sheetName val="452.4P COMPRADA"/>
      <sheetName val="462.2P"/>
      <sheetName val="621.5P"/>
      <sheetName val="640.1.."/>
      <sheetName val="640.2"/>
      <sheetName val="650.3 OTRO"/>
      <sheetName val="661 TIPO 2"/>
      <sheetName val="Hoja1"/>
      <sheetName val="DUB-823"/>
      <sheetName val="GPI 526"/>
      <sheetName val="SKJ452"/>
      <sheetName val="ITA878"/>
      <sheetName val="AEA-944"/>
      <sheetName val="XXJ617"/>
      <sheetName val="SNG_855"/>
      <sheetName val="VEA 374"/>
      <sheetName val="HFB024"/>
      <sheetName val="PAJ825"/>
    </sheetNames>
    <sheetDataSet>
      <sheetData sheetId="0">
        <row r="7">
          <cell r="E7" t="str">
            <v>SUBDIRECCION RED NACIONAL DE CARRETERAS</v>
          </cell>
          <cell r="I7" t="str">
            <v>NARIÑO</v>
          </cell>
        </row>
        <row r="10">
          <cell r="C10" t="str">
            <v>GESTION PREDIAL, SOCIAL, AMBIENTAL Y MEJORAMIENTO DE LA TRONCAL NORTE DE NARIÑO ENTRE EL PR60+240 AL PR66+090 EN EL DEPARTAMENTO DE NARIÑO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C2">
            <v>0.2</v>
          </cell>
        </row>
        <row r="3">
          <cell r="C3">
            <v>0.05</v>
          </cell>
        </row>
        <row r="4">
          <cell r="C4">
            <v>0.05</v>
          </cell>
        </row>
        <row r="5">
          <cell r="C5">
            <v>1.85</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  aaInformación GRUPO 4\A MIn"/>
      <sheetName val="aCCIDENTES DE 1995 - 1996.xls"/>
      <sheetName val="items"/>
      <sheetName val="ACTA DE MODIFICACION  (2)"/>
      <sheetName val="CONT_ADI"/>
      <sheetName val="aCCIDENTES%20DE%201995%20-%2019"/>
      <sheetName val="#¡REF"/>
      <sheetName val="Informe"/>
      <sheetName val="Seguim-16"/>
      <sheetName val="otros"/>
      <sheetName val="PRESUPUESTO"/>
      <sheetName val="Informacion"/>
      <sheetName val="INDICMICROEMP"/>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Reservas"/>
      <sheetName val="Reservas de Petróleo"/>
      <sheetName val="Eventos"/>
      <sheetName val="Cronograma de Eventos"/>
      <sheetName val="Reporte mensual 1999-2000"/>
      <sheetName val="Reporte 2000 - 2024"/>
      <sheetName val="Reporte 1"/>
      <sheetName val="Reporte 2"/>
      <sheetName val="Reporte 3"/>
      <sheetName val="Reporte 4"/>
      <sheetName val="Reporte 5"/>
      <sheetName val="Reporte 2000 - 2004"/>
      <sheetName val="Apiay"/>
      <sheetName val="Suria"/>
      <sheetName val="RefLibertad"/>
      <sheetName val="Castilla"/>
      <sheetName val="Otros"/>
      <sheetName val="Índice"/>
      <sheetName val="DesReservas"/>
      <sheetName val="PronPozos Apiay"/>
      <sheetName val="PronPozos Suria"/>
      <sheetName val="PronPozos RefLibertad"/>
    </sheetNames>
    <sheetDataSet>
      <sheetData sheetId="0" refreshError="1"/>
      <sheetData sheetId="1">
        <row r="1">
          <cell r="A1" t="str">
            <v>ECOPETROL GERENCIA LLANOS</v>
          </cell>
        </row>
        <row r="2">
          <cell r="A2" t="str">
            <v>RESERVAS DE PETROLEO (MBls)</v>
          </cell>
        </row>
        <row r="4">
          <cell r="D4" t="str">
            <v>RESERVAS PROBADAS</v>
          </cell>
        </row>
        <row r="5">
          <cell r="D5" t="str">
            <v>INICIALES</v>
          </cell>
          <cell r="E5" t="str">
            <v>ACUMUL.</v>
          </cell>
          <cell r="F5" t="str">
            <v>DESARR.</v>
          </cell>
          <cell r="G5" t="str">
            <v>NO</v>
          </cell>
          <cell r="H5" t="str">
            <v>REMAN.</v>
          </cell>
        </row>
        <row r="6">
          <cell r="E6" t="str">
            <v>A DIC/98</v>
          </cell>
          <cell r="G6" t="str">
            <v>DESARR.</v>
          </cell>
        </row>
        <row r="7">
          <cell r="D7">
            <v>26.929512500000001</v>
          </cell>
          <cell r="E7">
            <v>0.80951250000000008</v>
          </cell>
          <cell r="F7">
            <v>0</v>
          </cell>
          <cell r="G7">
            <v>26.12</v>
          </cell>
          <cell r="H7">
            <v>26.12</v>
          </cell>
        </row>
        <row r="8">
          <cell r="D8">
            <v>55.538639400000001</v>
          </cell>
          <cell r="E8">
            <v>55.528639400000003</v>
          </cell>
          <cell r="F8">
            <v>0</v>
          </cell>
          <cell r="G8">
            <v>0.01</v>
          </cell>
          <cell r="H8">
            <v>0.01</v>
          </cell>
        </row>
        <row r="9">
          <cell r="D9">
            <v>0</v>
          </cell>
          <cell r="E9">
            <v>0</v>
          </cell>
          <cell r="F9">
            <v>0</v>
          </cell>
          <cell r="G9">
            <v>0</v>
          </cell>
          <cell r="H9">
            <v>0</v>
          </cell>
        </row>
        <row r="10">
          <cell r="D10">
            <v>0</v>
          </cell>
          <cell r="E10">
            <v>0</v>
          </cell>
          <cell r="F10">
            <v>0</v>
          </cell>
          <cell r="G10">
            <v>0</v>
          </cell>
          <cell r="H10">
            <v>0</v>
          </cell>
        </row>
        <row r="11">
          <cell r="D11">
            <v>82.468151900000009</v>
          </cell>
          <cell r="E11">
            <v>56.3381519</v>
          </cell>
          <cell r="F11">
            <v>0</v>
          </cell>
          <cell r="G11">
            <v>26.130000000000003</v>
          </cell>
          <cell r="H11">
            <v>26.130000000000003</v>
          </cell>
        </row>
        <row r="13">
          <cell r="D13">
            <v>0</v>
          </cell>
          <cell r="E13">
            <v>0</v>
          </cell>
          <cell r="F13">
            <v>0</v>
          </cell>
          <cell r="G13">
            <v>0</v>
          </cell>
          <cell r="H13">
            <v>0</v>
          </cell>
        </row>
        <row r="14">
          <cell r="D14">
            <v>5.6885902100000001</v>
          </cell>
          <cell r="E14">
            <v>0.26159020999999999</v>
          </cell>
          <cell r="F14">
            <v>0.71299999999999997</v>
          </cell>
          <cell r="G14">
            <v>4.7140000000000004</v>
          </cell>
          <cell r="H14">
            <v>5.4270000000000005</v>
          </cell>
        </row>
        <row r="15">
          <cell r="D15">
            <v>5.6885902100000001</v>
          </cell>
          <cell r="E15">
            <v>0.26159020999999999</v>
          </cell>
          <cell r="F15">
            <v>0.71299999999999997</v>
          </cell>
          <cell r="G15">
            <v>4.7140000000000004</v>
          </cell>
          <cell r="H15">
            <v>5.4270000000000005</v>
          </cell>
        </row>
        <row r="17">
          <cell r="D17">
            <v>0</v>
          </cell>
          <cell r="E17">
            <v>0</v>
          </cell>
          <cell r="F17">
            <v>0</v>
          </cell>
          <cell r="G17">
            <v>0</v>
          </cell>
          <cell r="H17">
            <v>0</v>
          </cell>
        </row>
        <row r="18">
          <cell r="D18">
            <v>0</v>
          </cell>
          <cell r="E18">
            <v>0</v>
          </cell>
          <cell r="F18">
            <v>0</v>
          </cell>
          <cell r="G18">
            <v>0</v>
          </cell>
          <cell r="H18">
            <v>0</v>
          </cell>
        </row>
        <row r="19">
          <cell r="D19">
            <v>1.4982187599999999</v>
          </cell>
          <cell r="E19">
            <v>0.78821876000000002</v>
          </cell>
          <cell r="F19">
            <v>0.71</v>
          </cell>
          <cell r="G19">
            <v>0</v>
          </cell>
          <cell r="H19">
            <v>0.71</v>
          </cell>
        </row>
        <row r="20">
          <cell r="D20">
            <v>1.4982187599999999</v>
          </cell>
          <cell r="E20">
            <v>0.78821876000000002</v>
          </cell>
          <cell r="F20">
            <v>0.71</v>
          </cell>
          <cell r="G20">
            <v>0</v>
          </cell>
          <cell r="H20">
            <v>0.71</v>
          </cell>
        </row>
        <row r="21">
          <cell r="D21">
            <v>89.654960870000011</v>
          </cell>
          <cell r="E21">
            <v>57.387960870000001</v>
          </cell>
          <cell r="F21">
            <v>1.423</v>
          </cell>
          <cell r="G21">
            <v>30.844000000000001</v>
          </cell>
          <cell r="H21">
            <v>32.267000000000003</v>
          </cell>
        </row>
        <row r="23">
          <cell r="D23">
            <v>9.6712681200000006</v>
          </cell>
          <cell r="E23">
            <v>7.0612681200000003</v>
          </cell>
          <cell r="F23">
            <v>0</v>
          </cell>
          <cell r="G23">
            <v>2.61</v>
          </cell>
          <cell r="H23">
            <v>2.61</v>
          </cell>
        </row>
        <row r="24">
          <cell r="D24">
            <v>61.560651909999997</v>
          </cell>
          <cell r="E24">
            <v>61.560651909999997</v>
          </cell>
          <cell r="F24">
            <v>0</v>
          </cell>
          <cell r="G24">
            <v>0</v>
          </cell>
          <cell r="H24">
            <v>0</v>
          </cell>
        </row>
        <row r="25">
          <cell r="D25">
            <v>0</v>
          </cell>
          <cell r="E25">
            <v>0</v>
          </cell>
          <cell r="F25">
            <v>0</v>
          </cell>
          <cell r="G25">
            <v>0</v>
          </cell>
          <cell r="H25">
            <v>0</v>
          </cell>
        </row>
        <row r="26">
          <cell r="D26">
            <v>0</v>
          </cell>
          <cell r="E26">
            <v>0</v>
          </cell>
          <cell r="F26">
            <v>0</v>
          </cell>
          <cell r="G26">
            <v>0</v>
          </cell>
          <cell r="H26">
            <v>0</v>
          </cell>
        </row>
        <row r="27">
          <cell r="D27">
            <v>71.231920029999998</v>
          </cell>
          <cell r="E27">
            <v>68.621920029999998</v>
          </cell>
          <cell r="F27">
            <v>0</v>
          </cell>
          <cell r="G27">
            <v>2.61</v>
          </cell>
          <cell r="H27">
            <v>2.61</v>
          </cell>
        </row>
        <row r="29">
          <cell r="D29">
            <v>0.57266908000000005</v>
          </cell>
          <cell r="E29">
            <v>0.24266908000000001</v>
          </cell>
          <cell r="F29">
            <v>0.33</v>
          </cell>
          <cell r="G29">
            <v>0</v>
          </cell>
          <cell r="H29">
            <v>0.33</v>
          </cell>
        </row>
        <row r="30">
          <cell r="D30">
            <v>0.24961398000000001</v>
          </cell>
          <cell r="E30">
            <v>0.24961398000000001</v>
          </cell>
          <cell r="F30">
            <v>0</v>
          </cell>
          <cell r="G30">
            <v>0</v>
          </cell>
          <cell r="H30">
            <v>0</v>
          </cell>
        </row>
        <row r="31">
          <cell r="D31">
            <v>0.82228306000000007</v>
          </cell>
          <cell r="E31">
            <v>0.49228305999999999</v>
          </cell>
          <cell r="F31">
            <v>0.33</v>
          </cell>
          <cell r="G31">
            <v>0</v>
          </cell>
          <cell r="H31">
            <v>0.33</v>
          </cell>
        </row>
        <row r="33">
          <cell r="D33">
            <v>0.38050946000000002</v>
          </cell>
          <cell r="E33">
            <v>0.31050946000000001</v>
          </cell>
          <cell r="F33">
            <v>7.0000000000000007E-2</v>
          </cell>
          <cell r="G33">
            <v>0</v>
          </cell>
          <cell r="H33">
            <v>7.0000000000000007E-2</v>
          </cell>
        </row>
        <row r="34">
          <cell r="D34">
            <v>5.0007053100000007</v>
          </cell>
          <cell r="E34">
            <v>2.6307053100000002</v>
          </cell>
          <cell r="F34">
            <v>2.37</v>
          </cell>
          <cell r="G34">
            <v>0</v>
          </cell>
          <cell r="H34">
            <v>2.37</v>
          </cell>
        </row>
        <row r="35">
          <cell r="D35">
            <v>5.3812147700000006</v>
          </cell>
          <cell r="E35">
            <v>2.9412147700000002</v>
          </cell>
          <cell r="F35">
            <v>2.44</v>
          </cell>
          <cell r="G35">
            <v>0</v>
          </cell>
          <cell r="H35">
            <v>2.44</v>
          </cell>
        </row>
        <row r="37">
          <cell r="D37">
            <v>0.53511152000000006</v>
          </cell>
          <cell r="E37">
            <v>0.35511152000000001</v>
          </cell>
          <cell r="F37">
            <v>0.18</v>
          </cell>
          <cell r="G37">
            <v>0</v>
          </cell>
          <cell r="H37">
            <v>0.18</v>
          </cell>
        </row>
        <row r="38">
          <cell r="D38">
            <v>0</v>
          </cell>
          <cell r="E38">
            <v>0</v>
          </cell>
          <cell r="F38">
            <v>0</v>
          </cell>
          <cell r="G38">
            <v>0</v>
          </cell>
          <cell r="H38">
            <v>0</v>
          </cell>
        </row>
        <row r="39">
          <cell r="D39">
            <v>0.53511152000000006</v>
          </cell>
          <cell r="E39">
            <v>0.35511152000000001</v>
          </cell>
          <cell r="F39">
            <v>0.18</v>
          </cell>
          <cell r="G39">
            <v>0</v>
          </cell>
          <cell r="H39">
            <v>0.18</v>
          </cell>
        </row>
        <row r="40">
          <cell r="D40">
            <v>6.7386093500000008</v>
          </cell>
          <cell r="E40">
            <v>3.7886093500000002</v>
          </cell>
          <cell r="F40">
            <v>2.95</v>
          </cell>
          <cell r="G40">
            <v>0</v>
          </cell>
          <cell r="H40">
            <v>2.95</v>
          </cell>
        </row>
        <row r="42">
          <cell r="D42">
            <v>9.2604004800000013</v>
          </cell>
          <cell r="E42">
            <v>5.0604004800000002</v>
          </cell>
          <cell r="F42">
            <v>4.2</v>
          </cell>
          <cell r="G42">
            <v>0</v>
          </cell>
          <cell r="H42">
            <v>4.2</v>
          </cell>
        </row>
        <row r="45">
          <cell r="D45">
            <v>3.0000000000000001E-3</v>
          </cell>
          <cell r="E45">
            <v>3.0000000000000001E-3</v>
          </cell>
          <cell r="F45">
            <v>0</v>
          </cell>
          <cell r="G45">
            <v>0</v>
          </cell>
          <cell r="H45">
            <v>0</v>
          </cell>
        </row>
        <row r="46">
          <cell r="D46">
            <v>0</v>
          </cell>
          <cell r="E46">
            <v>0</v>
          </cell>
          <cell r="F46">
            <v>0</v>
          </cell>
          <cell r="G46">
            <v>0</v>
          </cell>
          <cell r="H46">
            <v>0</v>
          </cell>
        </row>
        <row r="47">
          <cell r="D47">
            <v>0</v>
          </cell>
          <cell r="E47">
            <v>0</v>
          </cell>
          <cell r="F47">
            <v>0</v>
          </cell>
          <cell r="G47">
            <v>0</v>
          </cell>
          <cell r="H47">
            <v>0</v>
          </cell>
        </row>
        <row r="48">
          <cell r="D48">
            <v>3.0000000000000001E-3</v>
          </cell>
          <cell r="E48">
            <v>3.0000000000000001E-3</v>
          </cell>
          <cell r="F48">
            <v>0</v>
          </cell>
          <cell r="G48">
            <v>0</v>
          </cell>
          <cell r="H48">
            <v>0</v>
          </cell>
        </row>
        <row r="51">
          <cell r="D51">
            <v>8.1999999999999993</v>
          </cell>
          <cell r="E51">
            <v>0</v>
          </cell>
          <cell r="F51">
            <v>0</v>
          </cell>
          <cell r="G51">
            <v>8.1999999999999993</v>
          </cell>
          <cell r="H51">
            <v>8.1999999999999993</v>
          </cell>
        </row>
        <row r="52">
          <cell r="D52">
            <v>0.18</v>
          </cell>
          <cell r="E52">
            <v>0</v>
          </cell>
          <cell r="F52">
            <v>0</v>
          </cell>
          <cell r="G52">
            <v>0.18</v>
          </cell>
          <cell r="H52">
            <v>0.18</v>
          </cell>
        </row>
        <row r="53">
          <cell r="D53">
            <v>0.37</v>
          </cell>
          <cell r="E53">
            <v>0</v>
          </cell>
          <cell r="F53">
            <v>0</v>
          </cell>
          <cell r="G53">
            <v>0.37</v>
          </cell>
          <cell r="H53">
            <v>0.37</v>
          </cell>
        </row>
        <row r="54">
          <cell r="D54">
            <v>8.7499999999999982</v>
          </cell>
          <cell r="E54">
            <v>0</v>
          </cell>
          <cell r="F54">
            <v>0</v>
          </cell>
          <cell r="G54">
            <v>8.7499999999999982</v>
          </cell>
          <cell r="H54">
            <v>8.7499999999999982</v>
          </cell>
        </row>
        <row r="56">
          <cell r="D56">
            <v>4</v>
          </cell>
          <cell r="E56">
            <v>0</v>
          </cell>
          <cell r="F56">
            <v>0</v>
          </cell>
          <cell r="G56">
            <v>4</v>
          </cell>
          <cell r="H56">
            <v>4</v>
          </cell>
        </row>
        <row r="58">
          <cell r="D58">
            <v>38.089070679999999</v>
          </cell>
          <cell r="E58">
            <v>8.7790706800000002</v>
          </cell>
          <cell r="F58">
            <v>0.58000000000000007</v>
          </cell>
          <cell r="G58">
            <v>28.73</v>
          </cell>
          <cell r="H58">
            <v>29.310000000000002</v>
          </cell>
        </row>
        <row r="59">
          <cell r="D59">
            <v>128.03820081000001</v>
          </cell>
          <cell r="E59">
            <v>120.23120081</v>
          </cell>
          <cell r="F59">
            <v>3.0830000000000002</v>
          </cell>
          <cell r="G59">
            <v>4.7240000000000002</v>
          </cell>
          <cell r="H59">
            <v>7.8070000000000004</v>
          </cell>
        </row>
        <row r="60">
          <cell r="D60">
            <v>0</v>
          </cell>
          <cell r="E60">
            <v>0</v>
          </cell>
          <cell r="F60">
            <v>0</v>
          </cell>
          <cell r="G60">
            <v>0</v>
          </cell>
          <cell r="H60">
            <v>0</v>
          </cell>
        </row>
        <row r="61">
          <cell r="D61">
            <v>1.4982187599999999</v>
          </cell>
          <cell r="E61">
            <v>0.78821876000000002</v>
          </cell>
          <cell r="F61">
            <v>0.71</v>
          </cell>
          <cell r="G61">
            <v>0</v>
          </cell>
          <cell r="H61">
            <v>0.71</v>
          </cell>
        </row>
        <row r="63">
          <cell r="D63">
            <v>176.88589072999997</v>
          </cell>
          <cell r="E63">
            <v>134.85889073000001</v>
          </cell>
          <cell r="F63">
            <v>8.5730000000000004</v>
          </cell>
          <cell r="G63">
            <v>33.454000000000001</v>
          </cell>
          <cell r="H63">
            <v>42.027000000000008</v>
          </cell>
        </row>
      </sheetData>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sheetData sheetId="20"/>
      <sheetData sheetId="2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a"/>
      <sheetName val="4"/>
      <sheetName val="armada"/>
      <sheetName val="RESUMEN"/>
      <sheetName val="RESUMEN ITEMS (2)"/>
      <sheetName val="RESUMEN ITEMS"/>
      <sheetName val="OBRAS"/>
      <sheetName val="CANTIDADES"/>
      <sheetName val="drenaje"/>
      <sheetName val="protec"/>
      <sheetName val="ubicacion"/>
      <sheetName val="separadores"/>
      <sheetName val="contenido"/>
      <sheetName val="PORTADAS"/>
      <sheetName val="OBRAS PUENTE ARMADA2"/>
    </sheetNames>
    <sheetDataSet>
      <sheetData sheetId="0">
        <row r="15">
          <cell r="B15" t="str">
            <v>ROSY ARTEAGA ORTEGA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CCIDENTES%20DE%201995%20-%2019"/>
      <sheetName val="aCCIDENTES DE 1995 - 1996.xls"/>
      <sheetName val="items"/>
      <sheetName val="ACTA DE MODIFICACION  (2)"/>
      <sheetName val="CONT_ADI"/>
      <sheetName val="#¡REF"/>
      <sheetName val="Informe"/>
      <sheetName val="Datos"/>
      <sheetName val="INDICMICROEMP"/>
      <sheetName val="\a  aaInformación GRUPO 4\A MIn"/>
      <sheetName val="MATERIALES"/>
      <sheetName val="Informacion"/>
      <sheetName val="Seguim-16"/>
      <sheetName val="otros"/>
      <sheetName val="PRESUPUESTO"/>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95 - 1996"/>
      <sheetName val="\a  aaInformación GRUPO 4\A MIn"/>
      <sheetName val="Informacion"/>
      <sheetName val="#¡REF"/>
      <sheetName val="INDICMICROEMP"/>
      <sheetName val="ACTA DE MODIFICACION  (2)"/>
      <sheetName val="Hoja1"/>
      <sheetName val="AMC"/>
      <sheetName val="Basico"/>
      <sheetName val="Iva"/>
      <sheetName val="Total"/>
      <sheetName val="amc_acta"/>
      <sheetName val="amc_bas"/>
      <sheetName val="amc_iva"/>
      <sheetName val="amc_total"/>
      <sheetName val="amc_anticip"/>
      <sheetName val="CONT_ADI"/>
      <sheetName val="aCCIDENTES%20DE%201995%20-%2019"/>
      <sheetName val="Datos"/>
      <sheetName val="aCCIDENTES DE 1995 - 1996.xls"/>
      <sheetName val="items"/>
      <sheetName val="MATERIALES"/>
      <sheetName val="Datos Básicos"/>
      <sheetName val="SALARIOS"/>
      <sheetName val="SUB APU"/>
      <sheetName val="Informe"/>
      <sheetName val="Seguim-16"/>
      <sheetName val="INV"/>
      <sheetName val="AASHTO"/>
      <sheetName val="PESOS"/>
      <sheetName val="otros"/>
      <sheetName val="PRESUPUESTO"/>
      <sheetName val="Formulario N° 4"/>
      <sheetName val="EQUIPO"/>
      <sheetName val="Res-Accide-10"/>
      <sheetName val="[aCCIDENTES DE 1995 - 1996.xls]"/>
      <sheetName val="Base Muestras"/>
      <sheetName val="\Users\avargase\AppData\Local\M"/>
      <sheetName val="\\Escritorio\amv 2011\a  aaInfo"/>
      <sheetName val="\Mini HP Enero 2015\Proyectos i"/>
      <sheetName val="\C\Users\avargase\AppData\Local"/>
      <sheetName val="\Volumes\USB PIOLIN\Escritorio\"/>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s>
    <definedNames>
      <definedName name="absc"/>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refreshError="1"/>
      <sheetData sheetId="6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Informacion"/>
      <sheetName val="aCCIDENTES DE 1995 - 1996"/>
      <sheetName val="a%20%20aaInformaci%C3%B3n"/>
      <sheetName val="BASES"/>
      <sheetName val="CDItem"/>
      <sheetName val="\MANTENIMIENTO RUTA 1001_MARZO "/>
      <sheetName val="Presupuesto"/>
      <sheetName val="ANEXO IX"/>
      <sheetName val="APUs"/>
      <sheetName val="INSUMOS"/>
      <sheetName val="PptoGral"/>
      <sheetName val="\I\MANTENIMIENTO RUTA 1001_MARZ"/>
      <sheetName val="\F\MANTENIMIENTO RUTA 1001_MARZ"/>
      <sheetName val="a__aaInformación"/>
      <sheetName val="a__aaInformación1"/>
      <sheetName val="a__aaInformación2"/>
      <sheetName val="otros"/>
      <sheetName val="\\SERVIDOR\Public2\MANTENIMIENT"/>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Tabla"/>
      <sheetName val=" NIVEL DE CRITICIDAD"/>
      <sheetName val="REQUISITOS MINIMOS"/>
      <sheetName val="FACTORES DE EVALUACION"/>
      <sheetName val="EVALUACION DEL RIESGO"/>
      <sheetName val="MATRIZ RIESGO Y EXPOSICION"/>
      <sheetName val="FACTOR J"/>
    </sheetNames>
    <sheetDataSet>
      <sheetData sheetId="0"/>
      <sheetData sheetId="1">
        <row r="1">
          <cell r="A1" t="str">
            <v>Despreciable N</v>
          </cell>
        </row>
        <row r="2">
          <cell r="A2" t="str">
            <v>Bajo L</v>
          </cell>
        </row>
        <row r="3">
          <cell r="A3" t="str">
            <v>Medio M</v>
          </cell>
        </row>
        <row r="4">
          <cell r="A4" t="str">
            <v>Alto H</v>
          </cell>
        </row>
        <row r="5">
          <cell r="A5" t="str">
            <v>Muy Alto VH</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C SF GAVIONES"/>
      <sheetName val="MC MALLA DE RETENCION EN VIA"/>
      <sheetName val="SF ANCLAJES  Y CONCRETO LANZADO"/>
      <sheetName val="SF ANCLAJES M DE RETENCION"/>
      <sheetName val="VEGETALIZACIÓN"/>
      <sheetName val="Cantiades_Zonas_Inestables_Jul_"/>
    </sheetNames>
    <sheetDataSet>
      <sheetData sheetId="0"/>
      <sheetData sheetId="1" refreshError="1"/>
      <sheetData sheetId="2"/>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EMORANDO"/>
      <sheetName val="PERSONAL TOTAL"/>
      <sheetName val="DESV. 5%"/>
      <sheetName val="PERSONAL TEMPORAL"/>
      <sheetName val="DESV. 10%"/>
      <sheetName val="EVOLUCION PL.PERS"/>
      <sheetName val="VIC FINANCIERA"/>
      <sheetName val="VIC. PERSONAL"/>
      <sheetName val="VIC. EXPL. Y PROD."/>
      <sheetName val="VIC. COMERCIO Y GAS"/>
      <sheetName val="VIC. TRANSP."/>
      <sheetName val="VIC. REF. Y MERC"/>
      <sheetName val="COMPARATIVO"/>
      <sheetName val="Hoja15"/>
      <sheetName val="Hoja16"/>
      <sheetName val="Módulo1"/>
      <sheetName val="Módulo2"/>
      <sheetName val="Módulo3"/>
      <sheetName val="Módulo4"/>
      <sheetName val="Módulo5"/>
      <sheetName val="plantadic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AIU"/>
      <sheetName val="CDItem"/>
      <sheetName val="VentaMes"/>
      <sheetName val="ForPago"/>
      <sheetName val="PryFinc"/>
      <sheetName val="APO"/>
      <sheetName val="Tecnicos"/>
      <sheetName val="AiuApoSaraBrut2000"/>
      <sheetName val="MC SF GAVIONES"/>
      <sheetName val="A. P. U."/>
      <sheetName val="Análisis de precios"/>
      <sheetName val="ANEXO 7"/>
      <sheetName val="DATOS"/>
    </sheetNames>
    <sheetDataSet>
      <sheetData sheetId="0" refreshError="1">
        <row r="26">
          <cell r="E26">
            <v>36739</v>
          </cell>
        </row>
        <row r="27">
          <cell r="E27">
            <v>18</v>
          </cell>
        </row>
        <row r="31">
          <cell r="B31">
            <v>31000000</v>
          </cell>
          <cell r="E31">
            <v>0.1</v>
          </cell>
        </row>
        <row r="33">
          <cell r="B33">
            <v>0.3</v>
          </cell>
        </row>
        <row r="41">
          <cell r="E41">
            <v>261</v>
          </cell>
        </row>
      </sheetData>
      <sheetData sheetId="1" refreshError="1"/>
      <sheetData sheetId="2" refreshError="1">
        <row r="8">
          <cell r="G8">
            <v>32500000.417525001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S"/>
      <sheetName val="AIU"/>
      <sheetName val="CDItem"/>
      <sheetName val="VentaMes"/>
      <sheetName val="ForPago"/>
      <sheetName val="PryFinc"/>
      <sheetName val="APO"/>
      <sheetName val="Tecnicos"/>
      <sheetName val="AiuApoSaraBrut2000"/>
      <sheetName val="MC SF GAVIONES"/>
      <sheetName val="ANEXO 7"/>
      <sheetName val="A. P. U."/>
      <sheetName val="Análisis de precios"/>
    </sheetNames>
    <sheetDataSet>
      <sheetData sheetId="0" refreshError="1">
        <row r="26">
          <cell r="E26">
            <v>36739</v>
          </cell>
        </row>
        <row r="27">
          <cell r="E27">
            <v>18</v>
          </cell>
        </row>
        <row r="33">
          <cell r="B33">
            <v>0.3</v>
          </cell>
        </row>
      </sheetData>
      <sheetData sheetId="1"/>
      <sheetData sheetId="2">
        <row r="8">
          <cell r="G8">
            <v>32500000.417525001</v>
          </cell>
        </row>
      </sheetData>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ontenido"/>
      <sheetName val="Generalidades 1"/>
      <sheetName val="Generalidades 2,3"/>
      <sheetName val="Mapa estado 4"/>
      <sheetName val="Semáforo 5"/>
      <sheetName val="Semáforo 6"/>
      <sheetName val="Tortas 7"/>
      <sheetName val="Acciden-Señal 7A"/>
      <sheetName val="Puentes 8"/>
      <sheetName val="Críticos 9"/>
      <sheetName val="Emerg 9A"/>
      <sheetName val="Res-Accide-10"/>
      <sheetName val="Acci-Ago-11"/>
      <sheetName val="Acc-Ago-11a"/>
      <sheetName val="Acci-Sep-12"/>
      <sheetName val="Acci-Sep-12 (2)"/>
      <sheetName val="ACCI-JUL-13"/>
      <sheetName val="Acc Ago-Sep"/>
      <sheetName val="BASES"/>
      <sheetName val="CDItem"/>
      <sheetName val="ESTADO 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IDENTES DE 19"/>
    </sheetNames>
    <definedNames>
      <definedName name="absc"/>
    </definedNames>
    <sheetDataSet>
      <sheetData sheetId="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
      <sheetName val="P50"/>
      <sheetName val="P90"/>
      <sheetName val="Info-Portaf"/>
    </sheetNames>
    <sheetDataSet>
      <sheetData sheetId="0" refreshError="1"/>
      <sheetData sheetId="1" refreshError="1"/>
      <sheetData sheetId="2" refreshError="1"/>
      <sheetData sheetId="3">
        <row r="4">
          <cell r="N4">
            <v>0</v>
          </cell>
        </row>
        <row r="10">
          <cell r="B10">
            <v>0.24340000000000001</v>
          </cell>
          <cell r="C10">
            <v>0.6</v>
          </cell>
          <cell r="D10">
            <v>0.53</v>
          </cell>
          <cell r="E10">
            <v>0.46</v>
          </cell>
          <cell r="F10">
            <v>0.41</v>
          </cell>
          <cell r="G10">
            <v>0.36</v>
          </cell>
          <cell r="H10">
            <v>0.32</v>
          </cell>
          <cell r="I10">
            <v>0.28000000000000003</v>
          </cell>
          <cell r="J10">
            <v>0.25</v>
          </cell>
          <cell r="K10">
            <v>0.22</v>
          </cell>
          <cell r="L10">
            <v>0.19</v>
          </cell>
          <cell r="M10">
            <v>0.17</v>
          </cell>
          <cell r="N10">
            <v>0.15</v>
          </cell>
          <cell r="O10">
            <v>0.13</v>
          </cell>
          <cell r="P10">
            <v>0.12</v>
          </cell>
          <cell r="Q10">
            <v>0.1</v>
          </cell>
          <cell r="R10">
            <v>0.09</v>
          </cell>
          <cell r="S10">
            <v>0.08</v>
          </cell>
          <cell r="T10">
            <v>7.0000000000000007E-2</v>
          </cell>
          <cell r="U10">
            <v>0.06</v>
          </cell>
          <cell r="V10">
            <v>0.06</v>
          </cell>
          <cell r="W10">
            <v>0.05</v>
          </cell>
          <cell r="X10">
            <v>0.04</v>
          </cell>
          <cell r="Y10">
            <v>0.04</v>
          </cell>
          <cell r="Z10">
            <v>0.03</v>
          </cell>
          <cell r="AA10">
            <v>0.03</v>
          </cell>
          <cell r="AB10">
            <v>0.03</v>
          </cell>
          <cell r="AC10">
            <v>0</v>
          </cell>
          <cell r="AD10">
            <v>0</v>
          </cell>
          <cell r="AE10">
            <v>0</v>
          </cell>
        </row>
        <row r="11">
          <cell r="B11">
            <v>0.33379999999999999</v>
          </cell>
          <cell r="C11">
            <v>0.83</v>
          </cell>
          <cell r="D11">
            <v>0.76</v>
          </cell>
          <cell r="E11">
            <v>0.69</v>
          </cell>
          <cell r="F11">
            <v>0.63</v>
          </cell>
          <cell r="G11">
            <v>0.56999999999999995</v>
          </cell>
          <cell r="H11">
            <v>0.52</v>
          </cell>
          <cell r="I11">
            <v>0.47</v>
          </cell>
          <cell r="J11">
            <v>0.43</v>
          </cell>
          <cell r="K11">
            <v>0.39</v>
          </cell>
          <cell r="L11">
            <v>0.35</v>
          </cell>
          <cell r="M11">
            <v>0.32</v>
          </cell>
          <cell r="N11">
            <v>0.28999999999999998</v>
          </cell>
          <cell r="O11">
            <v>0.27</v>
          </cell>
          <cell r="P11">
            <v>0.24</v>
          </cell>
          <cell r="Q11">
            <v>0.22</v>
          </cell>
          <cell r="R11">
            <v>0.2</v>
          </cell>
          <cell r="S11">
            <v>0.18</v>
          </cell>
          <cell r="T11">
            <v>0.17</v>
          </cell>
          <cell r="U11">
            <v>0.15</v>
          </cell>
          <cell r="V11">
            <v>0.14000000000000001</v>
          </cell>
          <cell r="W11">
            <v>0.12</v>
          </cell>
          <cell r="X11">
            <v>0.11</v>
          </cell>
          <cell r="Y11">
            <v>0.1</v>
          </cell>
          <cell r="Z11">
            <v>0.09</v>
          </cell>
          <cell r="AA11">
            <v>0.09</v>
          </cell>
          <cell r="AB11">
            <v>0.08</v>
          </cell>
          <cell r="AC11">
            <v>0</v>
          </cell>
          <cell r="AD11">
            <v>0</v>
          </cell>
          <cell r="AE11">
            <v>0</v>
          </cell>
        </row>
        <row r="12">
          <cell r="B12">
            <v>0.42470000000000002</v>
          </cell>
          <cell r="C12">
            <v>1.08</v>
          </cell>
          <cell r="D12">
            <v>1</v>
          </cell>
          <cell r="E12">
            <v>0.94</v>
          </cell>
          <cell r="F12">
            <v>0.87</v>
          </cell>
          <cell r="G12">
            <v>0.81</v>
          </cell>
          <cell r="H12">
            <v>0.76</v>
          </cell>
          <cell r="I12">
            <v>0.71</v>
          </cell>
          <cell r="J12">
            <v>0.66</v>
          </cell>
          <cell r="K12">
            <v>0.61</v>
          </cell>
          <cell r="L12">
            <v>0.56999999999999995</v>
          </cell>
          <cell r="M12">
            <v>0.53</v>
          </cell>
          <cell r="N12">
            <v>0.5</v>
          </cell>
          <cell r="O12">
            <v>0.46</v>
          </cell>
          <cell r="P12">
            <v>0.43</v>
          </cell>
          <cell r="Q12">
            <v>0.4</v>
          </cell>
          <cell r="R12">
            <v>0.38</v>
          </cell>
          <cell r="S12">
            <v>0.35</v>
          </cell>
          <cell r="T12">
            <v>0.33</v>
          </cell>
          <cell r="U12">
            <v>0.31</v>
          </cell>
          <cell r="V12">
            <v>0.28000000000000003</v>
          </cell>
          <cell r="W12">
            <v>0.27</v>
          </cell>
          <cell r="X12">
            <v>0.25</v>
          </cell>
          <cell r="Y12">
            <v>0.23</v>
          </cell>
          <cell r="Z12">
            <v>0.21</v>
          </cell>
          <cell r="AA12">
            <v>0.2</v>
          </cell>
          <cell r="AB12">
            <v>0.19</v>
          </cell>
          <cell r="AC12">
            <v>0</v>
          </cell>
          <cell r="AD12">
            <v>0</v>
          </cell>
          <cell r="AE12">
            <v>0</v>
          </cell>
        </row>
        <row r="13">
          <cell r="B13">
            <v>0.1169</v>
          </cell>
          <cell r="C13">
            <v>0.29099999999999998</v>
          </cell>
          <cell r="D13">
            <v>0.26500000000000001</v>
          </cell>
          <cell r="E13">
            <v>0.24099999999999999</v>
          </cell>
          <cell r="F13">
            <v>0.219</v>
          </cell>
          <cell r="G13">
            <v>0.19900000000000001</v>
          </cell>
          <cell r="H13">
            <v>0.18099999999999999</v>
          </cell>
          <cell r="I13">
            <v>0.16500000000000001</v>
          </cell>
          <cell r="J13">
            <v>0.15</v>
          </cell>
          <cell r="K13">
            <v>0.13600000000000001</v>
          </cell>
          <cell r="L13">
            <v>0.124</v>
          </cell>
          <cell r="M13">
            <v>0.113</v>
          </cell>
          <cell r="N13">
            <v>0.10199999999999999</v>
          </cell>
          <cell r="O13">
            <v>9.2999999999999999E-2</v>
          </cell>
          <cell r="P13">
            <v>8.5000000000000006E-2</v>
          </cell>
          <cell r="Q13">
            <v>7.6999999999999999E-2</v>
          </cell>
          <cell r="R13">
            <v>7.0000000000000007E-2</v>
          </cell>
          <cell r="S13">
            <v>6.4000000000000001E-2</v>
          </cell>
          <cell r="T13">
            <v>5.8000000000000003E-2</v>
          </cell>
          <cell r="U13">
            <v>5.2999999999999999E-2</v>
          </cell>
          <cell r="V13">
            <v>4.8000000000000001E-2</v>
          </cell>
          <cell r="W13">
            <v>4.3999999999999997E-2</v>
          </cell>
          <cell r="X13">
            <v>0.04</v>
          </cell>
          <cell r="Y13">
            <v>3.5999999999999997E-2</v>
          </cell>
          <cell r="Z13">
            <v>3.3000000000000002E-2</v>
          </cell>
          <cell r="AA13">
            <v>0.03</v>
          </cell>
          <cell r="AB13">
            <v>2.7E-2</v>
          </cell>
          <cell r="AC13">
            <v>0</v>
          </cell>
          <cell r="AD13">
            <v>0</v>
          </cell>
          <cell r="AE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row>
        <row r="17">
          <cell r="B17">
            <v>9.6</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B19">
            <v>2.202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B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row>
        <row r="29">
          <cell r="B29">
            <v>0</v>
          </cell>
        </row>
        <row r="30">
          <cell r="B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B32">
            <v>1</v>
          </cell>
          <cell r="C32">
            <v>1</v>
          </cell>
          <cell r="D32">
            <v>1</v>
          </cell>
          <cell r="E32">
            <v>1</v>
          </cell>
          <cell r="F32">
            <v>1</v>
          </cell>
          <cell r="G32">
            <v>1</v>
          </cell>
          <cell r="H32">
            <v>1</v>
          </cell>
          <cell r="I32">
            <v>1</v>
          </cell>
          <cell r="J32">
            <v>1</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0</v>
          </cell>
          <cell r="AD32">
            <v>0</v>
          </cell>
          <cell r="AE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0.21</v>
          </cell>
          <cell r="AC33">
            <v>0</v>
          </cell>
          <cell r="AD33">
            <v>0</v>
          </cell>
          <cell r="AE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row>
        <row r="35">
          <cell r="B35">
            <v>1</v>
          </cell>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0</v>
          </cell>
          <cell r="AD35">
            <v>0</v>
          </cell>
          <cell r="AE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0.21</v>
          </cell>
          <cell r="AC36">
            <v>0</v>
          </cell>
          <cell r="AD36">
            <v>0</v>
          </cell>
          <cell r="AE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B38">
            <v>1</v>
          </cell>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0</v>
          </cell>
          <cell r="AD38">
            <v>0</v>
          </cell>
          <cell r="AE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0.21</v>
          </cell>
          <cell r="AC39">
            <v>0</v>
          </cell>
          <cell r="AD39">
            <v>0</v>
          </cell>
          <cell r="AE39">
            <v>0</v>
          </cell>
        </row>
        <row r="40">
          <cell r="B40">
            <v>1.7976000000000001</v>
          </cell>
          <cell r="C40">
            <v>1.7974000000000001</v>
          </cell>
          <cell r="D40">
            <v>1.7975000000000001</v>
          </cell>
          <cell r="E40">
            <v>1.7975000000000001</v>
          </cell>
          <cell r="F40">
            <v>1.7974000000000001</v>
          </cell>
          <cell r="G40">
            <v>1.7975000000000001</v>
          </cell>
          <cell r="H40">
            <v>1.7975000000000001</v>
          </cell>
          <cell r="I40">
            <v>1.7975000000000001</v>
          </cell>
          <cell r="J40">
            <v>1.7975000000000001</v>
          </cell>
          <cell r="K40">
            <v>1.7975000000000001</v>
          </cell>
          <cell r="L40">
            <v>1.7974000000000001</v>
          </cell>
          <cell r="M40">
            <v>1.7975000000000001</v>
          </cell>
          <cell r="N40">
            <v>1.7975000000000001</v>
          </cell>
          <cell r="O40">
            <v>1.7975000000000001</v>
          </cell>
          <cell r="P40">
            <v>1.7974000000000001</v>
          </cell>
          <cell r="Q40">
            <v>1.7975000000000001</v>
          </cell>
          <cell r="R40">
            <v>1.7974000000000001</v>
          </cell>
          <cell r="S40">
            <v>1.7975000000000001</v>
          </cell>
          <cell r="T40">
            <v>1.7975000000000001</v>
          </cell>
          <cell r="U40">
            <v>1.7975000000000001</v>
          </cell>
          <cell r="V40">
            <v>1.7975000000000001</v>
          </cell>
          <cell r="W40">
            <v>1.7975000000000001</v>
          </cell>
          <cell r="X40">
            <v>1.7975000000000001</v>
          </cell>
          <cell r="Y40">
            <v>1.7975000000000001</v>
          </cell>
          <cell r="Z40">
            <v>1.7975000000000001</v>
          </cell>
          <cell r="AA40">
            <v>1.7975000000000001</v>
          </cell>
          <cell r="AB40">
            <v>1.7976000000000001</v>
          </cell>
          <cell r="AC40">
            <v>0</v>
          </cell>
          <cell r="AD40">
            <v>0</v>
          </cell>
          <cell r="AE40">
            <v>0</v>
          </cell>
        </row>
        <row r="41">
          <cell r="B41">
            <v>0</v>
          </cell>
          <cell r="C41">
            <v>0</v>
          </cell>
          <cell r="D41">
            <v>0</v>
          </cell>
          <cell r="E41">
            <v>0</v>
          </cell>
          <cell r="F41">
            <v>0</v>
          </cell>
          <cell r="G41">
            <v>0</v>
          </cell>
          <cell r="H41">
            <v>0</v>
          </cell>
        </row>
        <row r="42">
          <cell r="B42">
            <v>13.055099999999999</v>
          </cell>
          <cell r="C42">
            <v>13.547599999999999</v>
          </cell>
          <cell r="D42">
            <v>13.6075</v>
          </cell>
          <cell r="E42">
            <v>13.985300000000001</v>
          </cell>
          <cell r="F42">
            <v>14.3377</v>
          </cell>
          <cell r="G42">
            <v>12.84</v>
          </cell>
          <cell r="H42">
            <v>12.895</v>
          </cell>
          <cell r="I42">
            <v>12.9412</v>
          </cell>
          <cell r="J42">
            <v>12.977399999999999</v>
          </cell>
          <cell r="K42">
            <v>13.58</v>
          </cell>
          <cell r="L42">
            <v>13.8705</v>
          </cell>
          <cell r="M42">
            <v>16.3276</v>
          </cell>
          <cell r="N42">
            <v>14.9491</v>
          </cell>
          <cell r="O42">
            <v>13.6075</v>
          </cell>
          <cell r="P42">
            <v>13.346500000000001</v>
          </cell>
          <cell r="Q42">
            <v>13.0923</v>
          </cell>
          <cell r="R42">
            <v>12.84</v>
          </cell>
          <cell r="S42">
            <v>12.592700000000001</v>
          </cell>
          <cell r="T42">
            <v>12.3523</v>
          </cell>
          <cell r="U42">
            <v>12.116899999999999</v>
          </cell>
          <cell r="V42">
            <v>11.8851</v>
          </cell>
          <cell r="W42">
            <v>11.6515</v>
          </cell>
          <cell r="X42">
            <v>11.431699999999999</v>
          </cell>
          <cell r="Y42">
            <v>11.2118</v>
          </cell>
          <cell r="Z42">
            <v>10.990399999999999</v>
          </cell>
          <cell r="AA42">
            <v>10.7828</v>
          </cell>
          <cell r="AB42">
            <v>10.572900000000001</v>
          </cell>
          <cell r="AC42">
            <v>0</v>
          </cell>
          <cell r="AD42">
            <v>0</v>
          </cell>
          <cell r="AE42">
            <v>0</v>
          </cell>
        </row>
        <row r="43">
          <cell r="B43">
            <v>1.4285000000000001</v>
          </cell>
          <cell r="C43">
            <v>1.2425999999999999</v>
          </cell>
          <cell r="D43">
            <v>1.1904999999999999</v>
          </cell>
          <cell r="E43">
            <v>1.1207</v>
          </cell>
          <cell r="F43">
            <v>1.0232000000000001</v>
          </cell>
          <cell r="G43">
            <v>0.95420000000000005</v>
          </cell>
          <cell r="H43">
            <v>0.87450000000000006</v>
          </cell>
          <cell r="I43">
            <v>0.78239999999999998</v>
          </cell>
          <cell r="J43">
            <v>0.67659999999999998</v>
          </cell>
          <cell r="K43">
            <v>0.55359999999999998</v>
          </cell>
          <cell r="L43">
            <v>0.55400000000000005</v>
          </cell>
          <cell r="M43">
            <v>0.55389999999999995</v>
          </cell>
          <cell r="N43">
            <v>0.55389999999999995</v>
          </cell>
          <cell r="O43">
            <v>0.55369999999999997</v>
          </cell>
          <cell r="P43">
            <v>0.55410000000000004</v>
          </cell>
          <cell r="Q43">
            <v>0.55449999999999999</v>
          </cell>
          <cell r="R43">
            <v>0.55420000000000003</v>
          </cell>
          <cell r="S43">
            <v>0.55310000000000004</v>
          </cell>
          <cell r="T43">
            <v>0.5534</v>
          </cell>
          <cell r="U43">
            <v>0.55469999999999997</v>
          </cell>
          <cell r="V43">
            <v>0.55410000000000004</v>
          </cell>
          <cell r="W43">
            <v>0.55449999999999999</v>
          </cell>
          <cell r="X43">
            <v>0.55500000000000005</v>
          </cell>
          <cell r="Y43">
            <v>0.55269999999999997</v>
          </cell>
          <cell r="Z43">
            <v>0.55449999999999999</v>
          </cell>
          <cell r="AA43">
            <v>0.55330000000000001</v>
          </cell>
          <cell r="AB43">
            <v>0.55549999999999999</v>
          </cell>
          <cell r="AC43">
            <v>0</v>
          </cell>
          <cell r="AD43">
            <v>0</v>
          </cell>
          <cell r="AE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B52">
            <v>1</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B55">
            <v>2036</v>
          </cell>
        </row>
        <row r="56">
          <cell r="B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B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B60">
            <v>0.69999998807907104</v>
          </cell>
        </row>
        <row r="61">
          <cell r="B61">
            <v>3074</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CTOS"/>
      <sheetName val="Gráfico1"/>
      <sheetName val="BASE"/>
      <sheetName val="1 PRESUP. COLECTOR PPAL"/>
      <sheetName val="APU COLECTOR PPAL"/>
      <sheetName val="2 PRESUP. INTERCEPTOR"/>
      <sheetName val="APU INTERCEPTOR"/>
      <sheetName val="3 PRESUP. TRAMOS OPTIMIZADOS"/>
      <sheetName val="APU TRAMOS OPTIMIZADOS"/>
      <sheetName val="4 PRESUP. TRAMOS PROYECTADOS"/>
      <sheetName val="APU TRAMOS PROYECTADOS"/>
      <sheetName val="5 PRESUP. TRAM PROY ZONA INUNDA"/>
      <sheetName val="APU TRAMOS PROY ZONA INUNDA"/>
      <sheetName val="6 PRESUP. IMPULSIÓN"/>
      <sheetName val="APU IMPULSIÓN"/>
      <sheetName val="7 PRESUP. OBRAS EBAR"/>
      <sheetName val="APU OBRAS EBAR"/>
      <sheetName val="8 ESTACION ELEVADORA"/>
      <sheetName val="APU ESTACION ELEVADORA"/>
      <sheetName val="9 ESTACI ELEVADORA ZONA INUNDA."/>
      <sheetName val="10 LAGUNA DE OXIDACIÓN"/>
      <sheetName val="APU LAGUNA DE OXIDACIÓN"/>
      <sheetName val="APU ESTACION ELEVADORA INUNDA"/>
      <sheetName val="LAGUNA DE OXIDACIÓN"/>
      <sheetName val="APU LAGUNA OXIDACION"/>
      <sheetName val="APU LAGUNA DE OXIDACIÓN 2"/>
      <sheetName val="OBRA CIVIL E INSTALACIÓN TOTAL"/>
      <sheetName val="SUMINISTRO TOTAL"/>
      <sheetName val="RESUMEN DE OBRAS"/>
      <sheetName val="RESUMEN "/>
      <sheetName val="CONSOLIDADO"/>
      <sheetName val="PLAN FINANCIERO"/>
    </sheetNames>
    <sheetDataSet>
      <sheetData sheetId="0"/>
      <sheetData sheetId="1"/>
      <sheetData sheetId="2"/>
      <sheetData sheetId="3" refreshError="1"/>
      <sheetData sheetId="4">
        <row r="530">
          <cell r="D530">
            <v>39000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CONTROL DIA  EJECUCION"/>
      <sheetName val="BITACORA"/>
      <sheetName val="INFORME CONTRATO"/>
      <sheetName val="EJECPAGO1"/>
      <sheetName val="PAGO 1 "/>
      <sheetName val="RECIBO 1"/>
      <sheetName val="EJECPAGO 2 "/>
      <sheetName val="COMUNICACIONES CON IVA 4%"/>
      <sheetName val="COMUNICACIONES"/>
      <sheetName val="PAGO 2"/>
      <sheetName val="RECIBO 2"/>
      <sheetName val="GASTO  SEPT"/>
      <sheetName val="GASTOS REEMBOLSABLES 1"/>
      <sheetName val="EJECPAGO 3"/>
      <sheetName val="PAGO 3"/>
      <sheetName val="EJECPAGO 4"/>
      <sheetName val="PAGO 4OK"/>
      <sheetName val="EJECPtotalacumulada"/>
      <sheetName val="EJECPAGO 5"/>
      <sheetName val="PAGO 5 OK"/>
      <sheetName val="EJECPAGO 6"/>
      <sheetName val="PAGO 6 OK "/>
      <sheetName val="EJECPAGO 7 Y FINAL"/>
      <sheetName val="PAGO 7 Y FINAL"/>
      <sheetName val="PAGO 5 OK (2)"/>
      <sheetName val="PAGO 4"/>
      <sheetName val="PAGO 5"/>
      <sheetName val="PAGO 5 A"/>
      <sheetName val="PAGO 6"/>
      <sheetName val="MAYOR OBRA"/>
      <sheetName val="proyeccion"/>
      <sheetName val="ACTA DE PROYECCION"/>
      <sheetName val="Gráfico1"/>
      <sheetName val="DATOS PARA GRAFICA (2)"/>
      <sheetName val="IMFORME EJECUTIVO"/>
      <sheetName val="DATOS PARA GRAFICA"/>
      <sheetName val="diana"/>
      <sheetName val="IMFORME EJECUTIVO PARA PAGO2"/>
      <sheetName val="ANALISIS"/>
      <sheetName val="GASTOS REEMBOLSABLES 2"/>
      <sheetName val="GASTOS REEMBOLSABLES 3"/>
      <sheetName val="NECESIDADES ENERO"/>
      <sheetName val="EJECPAGO ENERO"/>
      <sheetName val="COSTO ENERO"/>
      <sheetName val="GASTOS REEMBOLSABLES ENERO"/>
      <sheetName val="LIQUIDA_NOMINA"/>
      <sheetName val="Info-Portaf"/>
    </sheetNames>
    <sheetDataSet>
      <sheetData sheetId="0"/>
      <sheetData sheetId="1" refreshError="1">
        <row r="6">
          <cell r="F6" t="str">
            <v>FELIX OJEDA ING E.U.</v>
          </cell>
        </row>
        <row r="8">
          <cell r="F8" t="str">
            <v>829-003-876-6</v>
          </cell>
        </row>
        <row r="12">
          <cell r="F12" t="str">
            <v>FELIX OJEDA GARRIDO</v>
          </cell>
        </row>
        <row r="14">
          <cell r="F14" t="str">
            <v>DIAGONAL 56 No 13-15 PUEBLO NUEVO</v>
          </cell>
        </row>
        <row r="16">
          <cell r="F16">
            <v>6223408</v>
          </cell>
        </row>
        <row r="24">
          <cell r="F24">
            <v>0.13500000000000001</v>
          </cell>
        </row>
        <row r="26">
          <cell r="F26">
            <v>0.12</v>
          </cell>
        </row>
      </sheetData>
      <sheetData sheetId="2" refreshError="1">
        <row r="8">
          <cell r="E8" t="str">
            <v>GMM-178-04</v>
          </cell>
        </row>
        <row r="9">
          <cell r="H9" t="str">
            <v xml:space="preserve">SMLV : </v>
          </cell>
          <cell r="I9">
            <v>11066.666666666666</v>
          </cell>
        </row>
        <row r="10">
          <cell r="E10">
            <v>38162</v>
          </cell>
        </row>
        <row r="11">
          <cell r="E11">
            <v>38351</v>
          </cell>
        </row>
        <row r="12">
          <cell r="E12" t="str">
            <v>GERARDO GOMEZ SILVA</v>
          </cell>
        </row>
        <row r="16">
          <cell r="E16">
            <v>1400</v>
          </cell>
          <cell r="I16">
            <v>0</v>
          </cell>
        </row>
        <row r="17">
          <cell r="E17">
            <v>0</v>
          </cell>
          <cell r="I17">
            <v>0</v>
          </cell>
        </row>
        <row r="18">
          <cell r="E18">
            <v>0</v>
          </cell>
        </row>
      </sheetData>
      <sheetData sheetId="3"/>
      <sheetData sheetId="4" refreshError="1">
        <row r="3">
          <cell r="H3">
            <v>37833</v>
          </cell>
        </row>
        <row r="4">
          <cell r="C4" t="str">
            <v>DEL 30 DE JULIO AL 30 DE AGOSTO DE 2003</v>
          </cell>
          <cell r="AH4" t="str">
            <v>SI</v>
          </cell>
          <cell r="AL4" t="str">
            <v>SI</v>
          </cell>
          <cell r="AT4" t="str">
            <v>NO</v>
          </cell>
        </row>
      </sheetData>
      <sheetData sheetId="5" refreshError="1">
        <row r="35">
          <cell r="E35">
            <v>3536000</v>
          </cell>
        </row>
        <row r="36">
          <cell r="E36">
            <v>0</v>
          </cell>
          <cell r="N36">
            <v>360442</v>
          </cell>
        </row>
        <row r="37">
          <cell r="E37">
            <v>0</v>
          </cell>
          <cell r="N37">
            <v>180222</v>
          </cell>
        </row>
        <row r="38">
          <cell r="E38">
            <v>0</v>
          </cell>
          <cell r="N38">
            <v>360442</v>
          </cell>
        </row>
        <row r="39">
          <cell r="E39">
            <v>67200</v>
          </cell>
          <cell r="N39">
            <v>3605</v>
          </cell>
        </row>
        <row r="40">
          <cell r="E40">
            <v>0</v>
          </cell>
          <cell r="N40">
            <v>471466</v>
          </cell>
        </row>
        <row r="41">
          <cell r="E41">
            <v>0</v>
          </cell>
          <cell r="N41">
            <v>275022</v>
          </cell>
        </row>
        <row r="42">
          <cell r="E42">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
      <sheetName val="CONTROL DIA  EJECUCION"/>
      <sheetName val="BITACORA"/>
      <sheetName val="INFORME CONTRATO"/>
      <sheetName val="PAGO No1"/>
      <sheetName val="RECIBO No  1"/>
      <sheetName val="PAGO No 2 "/>
      <sheetName val="RECIBO No  2"/>
      <sheetName val="PAGO No 3"/>
      <sheetName val="RECIBO No 3"/>
      <sheetName val="PAGO No 4"/>
      <sheetName val="RECIBO No 4"/>
      <sheetName val="PAGO FINAL"/>
      <sheetName val="RECIBO FINAL"/>
      <sheetName val="CENTROS COSTOS"/>
      <sheetName val="TUBERIASPROCESO"/>
      <sheetName val="VASIJAS"/>
      <sheetName val="CARROTANQUES"/>
      <sheetName val="CALCULOS"/>
      <sheetName val="adicional 1"/>
      <sheetName val="adicional 2"/>
    </sheetNames>
    <sheetDataSet>
      <sheetData sheetId="0"/>
      <sheetData sheetId="1"/>
      <sheetData sheetId="2">
        <row r="17">
          <cell r="E17">
            <v>5004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oc-"/>
      <sheetName val="documento"/>
      <sheetName val="Cantidades"/>
      <sheetName val="Acta"/>
      <sheetName val="Control"/>
      <sheetName val="Graf_fondos"/>
      <sheetName val="AVANCE"/>
      <sheetName val="curva_Avance"/>
      <sheetName val="ejecutivo"/>
      <sheetName val="Indices de gestion"/>
    </sheetNames>
    <sheetDataSet>
      <sheetData sheetId="0" refreshError="1">
        <row r="1">
          <cell r="C1">
            <v>3</v>
          </cell>
        </row>
        <row r="4">
          <cell r="A4">
            <v>1</v>
          </cell>
          <cell r="B4">
            <v>1</v>
          </cell>
          <cell r="C4" t="str">
            <v>PRELIMINARES</v>
          </cell>
        </row>
        <row r="5">
          <cell r="A5">
            <v>2</v>
          </cell>
          <cell r="B5">
            <v>1.1000000000000001</v>
          </cell>
          <cell r="C5" t="str">
            <v xml:space="preserve">Movilización y Campamento </v>
          </cell>
          <cell r="D5" t="str">
            <v>GL</v>
          </cell>
          <cell r="E5">
            <v>1</v>
          </cell>
          <cell r="F5">
            <v>4747478</v>
          </cell>
          <cell r="G5">
            <v>4747478</v>
          </cell>
          <cell r="H5">
            <v>4.4911133061249914E-2</v>
          </cell>
          <cell r="I5">
            <v>5791923.1399999997</v>
          </cell>
          <cell r="J5">
            <v>1044445.1366462108</v>
          </cell>
          <cell r="K5">
            <v>5791923.1399999997</v>
          </cell>
          <cell r="L5">
            <v>5067932.7474999996</v>
          </cell>
          <cell r="M5">
            <v>723990.39249999996</v>
          </cell>
          <cell r="S5">
            <v>5067932.7474999996</v>
          </cell>
          <cell r="T5">
            <v>5791923.1399999997</v>
          </cell>
          <cell r="U5">
            <v>5791923.1399999997</v>
          </cell>
          <cell r="V5">
            <v>5791923.1399999997</v>
          </cell>
          <cell r="W5">
            <v>5791923.1399999997</v>
          </cell>
          <cell r="X5">
            <v>5791923.1399999997</v>
          </cell>
          <cell r="Y5">
            <v>5791923.1399999997</v>
          </cell>
          <cell r="Z5">
            <v>0.875</v>
          </cell>
          <cell r="AA5">
            <v>1</v>
          </cell>
          <cell r="AB5">
            <v>1</v>
          </cell>
          <cell r="AC5">
            <v>1</v>
          </cell>
          <cell r="AD5">
            <v>1</v>
          </cell>
          <cell r="AE5">
            <v>1</v>
          </cell>
          <cell r="AF5">
            <v>1</v>
          </cell>
          <cell r="AG5">
            <v>0.55045533632547483</v>
          </cell>
          <cell r="AH5">
            <v>0.55045533632547483</v>
          </cell>
          <cell r="AI5">
            <v>0.55045533632547483</v>
          </cell>
          <cell r="AJ5">
            <v>0.55045533632547483</v>
          </cell>
          <cell r="AO5">
            <v>3188195</v>
          </cell>
          <cell r="AP5">
            <v>3188195</v>
          </cell>
          <cell r="AQ5">
            <v>3188195</v>
          </cell>
          <cell r="AR5">
            <v>0</v>
          </cell>
          <cell r="AS5">
            <v>0</v>
          </cell>
          <cell r="AT5">
            <v>0</v>
          </cell>
          <cell r="AU5">
            <v>0</v>
          </cell>
          <cell r="AV5">
            <v>0.55045533632547483</v>
          </cell>
          <cell r="AW5">
            <v>0.55045533632547483</v>
          </cell>
          <cell r="AX5">
            <v>0.55045533632547483</v>
          </cell>
          <cell r="AY5">
            <v>0</v>
          </cell>
          <cell r="AZ5">
            <v>0</v>
          </cell>
          <cell r="BA5">
            <v>0</v>
          </cell>
          <cell r="BB5">
            <v>0</v>
          </cell>
        </row>
        <row r="6">
          <cell r="A6">
            <v>3</v>
          </cell>
          <cell r="B6">
            <v>1.2</v>
          </cell>
          <cell r="C6" t="str">
            <v>Localización y Replanteo</v>
          </cell>
          <cell r="D6" t="str">
            <v>GL</v>
          </cell>
          <cell r="E6">
            <v>1</v>
          </cell>
          <cell r="F6">
            <v>862306</v>
          </cell>
          <cell r="G6">
            <v>862306</v>
          </cell>
          <cell r="H6">
            <v>8.1574131582103516E-3</v>
          </cell>
          <cell r="I6">
            <v>1052013.32</v>
          </cell>
          <cell r="J6">
            <v>189707.31575814515</v>
          </cell>
          <cell r="K6">
            <v>1052013.32</v>
          </cell>
          <cell r="L6">
            <v>1052013.32</v>
          </cell>
          <cell r="S6">
            <v>1052013.32</v>
          </cell>
          <cell r="T6">
            <v>1052013.32</v>
          </cell>
          <cell r="U6">
            <v>1052013.32</v>
          </cell>
          <cell r="V6">
            <v>1052013.32</v>
          </cell>
          <cell r="W6">
            <v>1052013.32</v>
          </cell>
          <cell r="X6">
            <v>1052013.32</v>
          </cell>
          <cell r="Y6">
            <v>1052013.32</v>
          </cell>
          <cell r="Z6">
            <v>1</v>
          </cell>
          <cell r="AA6">
            <v>1</v>
          </cell>
          <cell r="AB6">
            <v>1</v>
          </cell>
          <cell r="AC6">
            <v>1</v>
          </cell>
          <cell r="AD6">
            <v>1</v>
          </cell>
          <cell r="AE6">
            <v>1</v>
          </cell>
          <cell r="AF6">
            <v>1</v>
          </cell>
          <cell r="AG6">
            <v>1</v>
          </cell>
          <cell r="AH6">
            <v>1</v>
          </cell>
          <cell r="AI6">
            <v>1</v>
          </cell>
          <cell r="AJ6">
            <v>1</v>
          </cell>
          <cell r="AO6">
            <v>1052013.32</v>
          </cell>
          <cell r="AP6">
            <v>1052013.32</v>
          </cell>
          <cell r="AQ6">
            <v>1052013.32</v>
          </cell>
          <cell r="AR6">
            <v>0</v>
          </cell>
          <cell r="AS6">
            <v>0</v>
          </cell>
          <cell r="AT6">
            <v>0</v>
          </cell>
          <cell r="AU6">
            <v>0</v>
          </cell>
          <cell r="AV6">
            <v>1</v>
          </cell>
          <cell r="AW6">
            <v>1</v>
          </cell>
          <cell r="AX6">
            <v>1</v>
          </cell>
          <cell r="AY6">
            <v>0</v>
          </cell>
          <cell r="AZ6">
            <v>0</v>
          </cell>
          <cell r="BA6">
            <v>0</v>
          </cell>
          <cell r="BB6">
            <v>0</v>
          </cell>
        </row>
        <row r="7">
          <cell r="A7">
            <v>4</v>
          </cell>
          <cell r="B7">
            <v>1.3</v>
          </cell>
          <cell r="C7" t="str">
            <v>SUBTOTAL PRELIMINARES</v>
          </cell>
          <cell r="G7">
            <v>5609784</v>
          </cell>
          <cell r="I7" t="e">
            <v>#DIV/0!</v>
          </cell>
          <cell r="K7">
            <v>6843936.46</v>
          </cell>
          <cell r="L7">
            <v>6119946.0674999999</v>
          </cell>
          <cell r="M7">
            <v>723990.39249999996</v>
          </cell>
          <cell r="N7">
            <v>0</v>
          </cell>
          <cell r="O7">
            <v>0</v>
          </cell>
          <cell r="P7">
            <v>0</v>
          </cell>
          <cell r="Q7">
            <v>0</v>
          </cell>
          <cell r="R7">
            <v>0</v>
          </cell>
          <cell r="S7">
            <v>6119946.0674999999</v>
          </cell>
          <cell r="T7">
            <v>6843936.46</v>
          </cell>
          <cell r="U7">
            <v>6843936.46</v>
          </cell>
          <cell r="V7">
            <v>6843936.46</v>
          </cell>
          <cell r="W7">
            <v>6843936.46</v>
          </cell>
          <cell r="X7">
            <v>6843936.46</v>
          </cell>
          <cell r="Y7">
            <v>6843936.46</v>
          </cell>
          <cell r="Z7">
            <v>0.89421433165964836</v>
          </cell>
          <cell r="AA7">
            <v>1</v>
          </cell>
          <cell r="AB7">
            <v>1</v>
          </cell>
          <cell r="AC7">
            <v>1</v>
          </cell>
          <cell r="AD7">
            <v>1</v>
          </cell>
          <cell r="AE7">
            <v>1</v>
          </cell>
          <cell r="AF7">
            <v>1</v>
          </cell>
          <cell r="AG7" t="e">
            <v>#N/A</v>
          </cell>
          <cell r="AH7">
            <v>0</v>
          </cell>
          <cell r="AI7" t="e">
            <v>#N/A</v>
          </cell>
          <cell r="AJ7" t="e">
            <v>#N/A</v>
          </cell>
          <cell r="AO7">
            <v>4240208.32</v>
          </cell>
          <cell r="AP7">
            <v>4240208.32</v>
          </cell>
          <cell r="AQ7">
            <v>4240208.32</v>
          </cell>
          <cell r="AR7">
            <v>0</v>
          </cell>
          <cell r="AS7">
            <v>0</v>
          </cell>
          <cell r="AT7">
            <v>0</v>
          </cell>
          <cell r="AU7">
            <v>0</v>
          </cell>
          <cell r="AV7">
            <v>0.61955693843481419</v>
          </cell>
          <cell r="AW7">
            <v>0.61955693843481419</v>
          </cell>
          <cell r="AX7">
            <v>0.61955693843481419</v>
          </cell>
          <cell r="AY7">
            <v>0</v>
          </cell>
          <cell r="AZ7">
            <v>0</v>
          </cell>
          <cell r="BA7">
            <v>0</v>
          </cell>
          <cell r="BB7">
            <v>0</v>
          </cell>
        </row>
        <row r="8">
          <cell r="A8">
            <v>5</v>
          </cell>
          <cell r="B8">
            <v>2</v>
          </cell>
          <cell r="C8" t="str">
            <v xml:space="preserve"> CAJAS   DE   INSPECCIÓN</v>
          </cell>
          <cell r="G8">
            <v>0</v>
          </cell>
          <cell r="H8">
            <v>0</v>
          </cell>
          <cell r="I8" t="e">
            <v>#DIV/0!</v>
          </cell>
          <cell r="J8">
            <v>0</v>
          </cell>
          <cell r="K8">
            <v>0</v>
          </cell>
          <cell r="S8">
            <v>0</v>
          </cell>
          <cell r="T8">
            <v>0</v>
          </cell>
          <cell r="U8">
            <v>0</v>
          </cell>
          <cell r="V8">
            <v>0</v>
          </cell>
          <cell r="W8">
            <v>0</v>
          </cell>
          <cell r="X8">
            <v>0</v>
          </cell>
          <cell r="Y8">
            <v>0</v>
          </cell>
          <cell r="Z8" t="e">
            <v>#DIV/0!</v>
          </cell>
          <cell r="AA8" t="e">
            <v>#DIV/0!</v>
          </cell>
          <cell r="AB8" t="e">
            <v>#DIV/0!</v>
          </cell>
          <cell r="AC8" t="e">
            <v>#DIV/0!</v>
          </cell>
          <cell r="AD8" t="e">
            <v>#DIV/0!</v>
          </cell>
          <cell r="AE8" t="e">
            <v>#DIV/0!</v>
          </cell>
          <cell r="AF8" t="e">
            <v>#DIV/0!</v>
          </cell>
          <cell r="AG8" t="e">
            <v>#N/A</v>
          </cell>
          <cell r="AH8">
            <v>0</v>
          </cell>
          <cell r="AI8" t="e">
            <v>#N/A</v>
          </cell>
          <cell r="AJ8" t="e">
            <v>#N/A</v>
          </cell>
          <cell r="AV8" t="e">
            <v>#DIV/0!</v>
          </cell>
          <cell r="AW8" t="e">
            <v>#DIV/0!</v>
          </cell>
          <cell r="AX8" t="e">
            <v>#DIV/0!</v>
          </cell>
          <cell r="AY8" t="e">
            <v>#DIV/0!</v>
          </cell>
          <cell r="AZ8" t="e">
            <v>#DIV/0!</v>
          </cell>
          <cell r="BA8" t="e">
            <v>#DIV/0!</v>
          </cell>
          <cell r="BB8" t="e">
            <v>#DIV/0!</v>
          </cell>
        </row>
        <row r="9">
          <cell r="A9">
            <v>6</v>
          </cell>
          <cell r="B9">
            <v>2.1</v>
          </cell>
          <cell r="C9" t="str">
            <v>Caja de inspección  de 60 x 60 x 120 cm. en concreto  F´c = 3.000 psi.( construcción, tapa en concreto)</v>
          </cell>
          <cell r="D9" t="str">
            <v>UN</v>
          </cell>
          <cell r="E9">
            <v>2</v>
          </cell>
          <cell r="F9">
            <v>361155</v>
          </cell>
          <cell r="G9">
            <v>722310</v>
          </cell>
          <cell r="H9">
            <v>6.8330512582620547E-3</v>
          </cell>
          <cell r="I9">
            <v>440609.1</v>
          </cell>
          <cell r="J9">
            <v>158908.19644681335</v>
          </cell>
          <cell r="K9">
            <v>881218.2</v>
          </cell>
          <cell r="L9">
            <v>881218.2</v>
          </cell>
          <cell r="S9">
            <v>881218.2</v>
          </cell>
          <cell r="T9">
            <v>881218.2</v>
          </cell>
          <cell r="U9">
            <v>881218.2</v>
          </cell>
          <cell r="V9">
            <v>881218.2</v>
          </cell>
          <cell r="W9">
            <v>881218.2</v>
          </cell>
          <cell r="X9">
            <v>881218.2</v>
          </cell>
          <cell r="Y9">
            <v>881218.2</v>
          </cell>
          <cell r="Z9">
            <v>1</v>
          </cell>
          <cell r="AA9">
            <v>1</v>
          </cell>
          <cell r="AB9">
            <v>1</v>
          </cell>
          <cell r="AC9">
            <v>1</v>
          </cell>
          <cell r="AD9">
            <v>1</v>
          </cell>
          <cell r="AE9">
            <v>1</v>
          </cell>
          <cell r="AF9">
            <v>1</v>
          </cell>
          <cell r="AG9">
            <v>0</v>
          </cell>
          <cell r="AH9">
            <v>0</v>
          </cell>
          <cell r="AI9">
            <v>0</v>
          </cell>
          <cell r="AJ9">
            <v>0</v>
          </cell>
          <cell r="AO9">
            <v>0</v>
          </cell>
          <cell r="AP9">
            <v>0</v>
          </cell>
          <cell r="AQ9">
            <v>0</v>
          </cell>
          <cell r="AR9">
            <v>0</v>
          </cell>
          <cell r="AS9">
            <v>0</v>
          </cell>
          <cell r="AT9">
            <v>0</v>
          </cell>
          <cell r="AU9">
            <v>0</v>
          </cell>
          <cell r="AV9">
            <v>0</v>
          </cell>
          <cell r="AW9">
            <v>0</v>
          </cell>
          <cell r="AX9">
            <v>0</v>
          </cell>
          <cell r="AY9">
            <v>0</v>
          </cell>
          <cell r="AZ9">
            <v>0</v>
          </cell>
          <cell r="BA9">
            <v>0</v>
          </cell>
          <cell r="BB9">
            <v>0</v>
          </cell>
        </row>
        <row r="10">
          <cell r="A10">
            <v>7</v>
          </cell>
          <cell r="B10">
            <v>2.2999999999999998</v>
          </cell>
          <cell r="C10" t="str">
            <v>Caja de inspección  de 70 x 70  x 120 cm. en concreto  F´c = 3.000 psi.( construcción, tapa en concreto)</v>
          </cell>
          <cell r="D10" t="str">
            <v>UN</v>
          </cell>
          <cell r="E10">
            <v>5</v>
          </cell>
          <cell r="F10">
            <v>427016</v>
          </cell>
          <cell r="G10">
            <v>2135078</v>
          </cell>
          <cell r="H10">
            <v>2.0197833913953332E-2</v>
          </cell>
          <cell r="I10">
            <v>520959.02999999997</v>
          </cell>
          <cell r="J10">
            <v>469717.14949712635</v>
          </cell>
          <cell r="K10">
            <v>2604795.15</v>
          </cell>
          <cell r="M10">
            <v>2604795.15</v>
          </cell>
          <cell r="S10">
            <v>0</v>
          </cell>
          <cell r="T10">
            <v>2604795.15</v>
          </cell>
          <cell r="U10">
            <v>2604795.15</v>
          </cell>
          <cell r="V10">
            <v>2604795.15</v>
          </cell>
          <cell r="W10">
            <v>2604795.15</v>
          </cell>
          <cell r="X10">
            <v>2604795.15</v>
          </cell>
          <cell r="Y10">
            <v>2604795.15</v>
          </cell>
          <cell r="Z10">
            <v>0</v>
          </cell>
          <cell r="AA10">
            <v>1</v>
          </cell>
          <cell r="AB10">
            <v>1</v>
          </cell>
          <cell r="AC10">
            <v>1</v>
          </cell>
          <cell r="AD10">
            <v>1</v>
          </cell>
          <cell r="AE10">
            <v>1</v>
          </cell>
          <cell r="AF10">
            <v>1</v>
          </cell>
          <cell r="AG10">
            <v>2.9</v>
          </cell>
          <cell r="AH10">
            <v>0</v>
          </cell>
          <cell r="AI10">
            <v>0</v>
          </cell>
          <cell r="AJ10">
            <v>2.9</v>
          </cell>
          <cell r="AO10">
            <v>0</v>
          </cell>
          <cell r="AP10">
            <v>0</v>
          </cell>
          <cell r="AQ10">
            <v>1510781.1869999999</v>
          </cell>
          <cell r="AR10">
            <v>0</v>
          </cell>
          <cell r="AS10">
            <v>0</v>
          </cell>
          <cell r="AT10">
            <v>0</v>
          </cell>
          <cell r="AU10">
            <v>0</v>
          </cell>
          <cell r="AV10">
            <v>0</v>
          </cell>
          <cell r="AW10">
            <v>0</v>
          </cell>
          <cell r="AX10">
            <v>0.57999999999999996</v>
          </cell>
          <cell r="AY10">
            <v>0</v>
          </cell>
          <cell r="AZ10">
            <v>0</v>
          </cell>
          <cell r="BA10">
            <v>0</v>
          </cell>
          <cell r="BB10">
            <v>0</v>
          </cell>
        </row>
        <row r="11">
          <cell r="A11">
            <v>8</v>
          </cell>
          <cell r="B11">
            <v>2.4</v>
          </cell>
          <cell r="C11" t="str">
            <v>Caja de inspección  de 90 x 90 x  altura entre 100 y130 cm. en concreto  F´c = 3.000 psi. (construcción, tapa en  hierro fundido para trafico pesado)</v>
          </cell>
          <cell r="D11" t="str">
            <v>UN</v>
          </cell>
          <cell r="E11">
            <v>3</v>
          </cell>
          <cell r="F11">
            <v>981811</v>
          </cell>
          <cell r="G11">
            <v>2945433</v>
          </cell>
          <cell r="H11">
            <v>2.7863790708666056E-2</v>
          </cell>
          <cell r="I11">
            <v>1197809.4166666667</v>
          </cell>
          <cell r="J11">
            <v>647995.2455108288</v>
          </cell>
          <cell r="K11">
            <v>3593428.25</v>
          </cell>
          <cell r="O11">
            <v>3593428.25</v>
          </cell>
          <cell r="S11">
            <v>0</v>
          </cell>
          <cell r="T11">
            <v>0</v>
          </cell>
          <cell r="U11">
            <v>0</v>
          </cell>
          <cell r="V11">
            <v>3593428.25</v>
          </cell>
          <cell r="W11">
            <v>3593428.25</v>
          </cell>
          <cell r="X11">
            <v>3593428.25</v>
          </cell>
          <cell r="Y11">
            <v>3593428.25</v>
          </cell>
          <cell r="Z11">
            <v>0</v>
          </cell>
          <cell r="AA11">
            <v>0</v>
          </cell>
          <cell r="AB11">
            <v>0</v>
          </cell>
          <cell r="AC11">
            <v>1</v>
          </cell>
          <cell r="AD11">
            <v>1</v>
          </cell>
          <cell r="AE11">
            <v>1</v>
          </cell>
          <cell r="AF11">
            <v>1</v>
          </cell>
          <cell r="AG11">
            <v>0</v>
          </cell>
          <cell r="AH11">
            <v>0</v>
          </cell>
          <cell r="AI11">
            <v>0</v>
          </cell>
          <cell r="AJ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row>
        <row r="12">
          <cell r="A12">
            <v>9</v>
          </cell>
          <cell r="B12">
            <v>2.5</v>
          </cell>
          <cell r="C12" t="str">
            <v>Caja de inspección  de 150 x150 x 180 cm. en concreto  F´c = 3.000 psi.( construcción, tapa en concreto)</v>
          </cell>
          <cell r="D12" t="str">
            <v>UN</v>
          </cell>
          <cell r="E12">
            <v>1</v>
          </cell>
          <cell r="F12">
            <v>1693485</v>
          </cell>
          <cell r="G12">
            <v>1693485</v>
          </cell>
          <cell r="H12">
            <v>1.6020364954241136E-2</v>
          </cell>
          <cell r="I12">
            <v>2066051.69</v>
          </cell>
          <cell r="J12">
            <v>372566.69166941021</v>
          </cell>
          <cell r="K12">
            <v>2066051.69</v>
          </cell>
          <cell r="N12">
            <v>2066051.69</v>
          </cell>
          <cell r="S12">
            <v>0</v>
          </cell>
          <cell r="T12">
            <v>0</v>
          </cell>
          <cell r="U12">
            <v>2066051.69</v>
          </cell>
          <cell r="V12">
            <v>2066051.69</v>
          </cell>
          <cell r="W12">
            <v>2066051.69</v>
          </cell>
          <cell r="X12">
            <v>2066051.69</v>
          </cell>
          <cell r="Y12">
            <v>2066051.69</v>
          </cell>
          <cell r="Z12">
            <v>0</v>
          </cell>
          <cell r="AA12">
            <v>0</v>
          </cell>
          <cell r="AB12">
            <v>1</v>
          </cell>
          <cell r="AC12">
            <v>1</v>
          </cell>
          <cell r="AD12">
            <v>1</v>
          </cell>
          <cell r="AE12">
            <v>1</v>
          </cell>
          <cell r="AF12">
            <v>1</v>
          </cell>
          <cell r="AG12">
            <v>0.90000000000000013</v>
          </cell>
          <cell r="AH12">
            <v>0</v>
          </cell>
          <cell r="AI12">
            <v>0.55000000000000004</v>
          </cell>
          <cell r="AJ12">
            <v>0.9</v>
          </cell>
          <cell r="AO12">
            <v>0</v>
          </cell>
          <cell r="AP12">
            <v>1136328.4295000001</v>
          </cell>
          <cell r="AQ12">
            <v>1859446.5209999999</v>
          </cell>
          <cell r="AR12">
            <v>0</v>
          </cell>
          <cell r="AS12">
            <v>0</v>
          </cell>
          <cell r="AT12">
            <v>0</v>
          </cell>
          <cell r="AU12">
            <v>0</v>
          </cell>
          <cell r="AV12">
            <v>0</v>
          </cell>
          <cell r="AW12">
            <v>0.55000000000000004</v>
          </cell>
          <cell r="AX12">
            <v>0.9</v>
          </cell>
          <cell r="AY12">
            <v>0</v>
          </cell>
          <cell r="AZ12">
            <v>0</v>
          </cell>
          <cell r="BA12">
            <v>0</v>
          </cell>
          <cell r="BB12">
            <v>0</v>
          </cell>
        </row>
        <row r="13">
          <cell r="A13">
            <v>10</v>
          </cell>
          <cell r="B13">
            <v>2.6</v>
          </cell>
          <cell r="C13" t="str">
            <v>Caja de inspección  de 160 x160 x 50 cm. en concreto  F´c = 3.000 psi.( construcción, tapa en concreto)</v>
          </cell>
          <cell r="D13" t="str">
            <v>UN</v>
          </cell>
          <cell r="E13">
            <v>2</v>
          </cell>
          <cell r="F13">
            <v>1000437</v>
          </cell>
          <cell r="G13">
            <v>2000874</v>
          </cell>
          <cell r="H13">
            <v>1.8928264323246017E-2</v>
          </cell>
          <cell r="I13">
            <v>1220533.135</v>
          </cell>
          <cell r="J13">
            <v>440192.27015730256</v>
          </cell>
          <cell r="K13">
            <v>2441066.27</v>
          </cell>
          <cell r="N13">
            <v>2441066.27</v>
          </cell>
          <cell r="S13">
            <v>0</v>
          </cell>
          <cell r="T13">
            <v>0</v>
          </cell>
          <cell r="U13">
            <v>2441066.27</v>
          </cell>
          <cell r="V13">
            <v>2441066.27</v>
          </cell>
          <cell r="W13">
            <v>2441066.27</v>
          </cell>
          <cell r="X13">
            <v>2441066.27</v>
          </cell>
          <cell r="Y13">
            <v>2441066.27</v>
          </cell>
          <cell r="Z13">
            <v>0</v>
          </cell>
          <cell r="AA13">
            <v>0</v>
          </cell>
          <cell r="AB13">
            <v>1</v>
          </cell>
          <cell r="AC13">
            <v>1</v>
          </cell>
          <cell r="AD13">
            <v>1</v>
          </cell>
          <cell r="AE13">
            <v>1</v>
          </cell>
          <cell r="AF13">
            <v>1</v>
          </cell>
          <cell r="AG13">
            <v>0</v>
          </cell>
          <cell r="AH13">
            <v>0</v>
          </cell>
          <cell r="AI13">
            <v>0</v>
          </cell>
          <cell r="AJ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A14">
            <v>11</v>
          </cell>
          <cell r="B14">
            <v>2.7</v>
          </cell>
          <cell r="C14" t="str">
            <v>Caja de inspección  de 100 x100 x 50 cm. en concreto  F´c = 3.000 psi.( construcción, tapa en concreto)</v>
          </cell>
          <cell r="D14" t="str">
            <v>UN</v>
          </cell>
          <cell r="E14">
            <v>1</v>
          </cell>
          <cell r="F14">
            <v>587434</v>
          </cell>
          <cell r="G14">
            <v>587434</v>
          </cell>
          <cell r="H14">
            <v>5.557124548803024E-3</v>
          </cell>
          <cell r="I14">
            <v>716669.48</v>
          </cell>
          <cell r="J14">
            <v>129235.47711029524</v>
          </cell>
          <cell r="K14">
            <v>716669.48</v>
          </cell>
          <cell r="L14">
            <v>716669.48</v>
          </cell>
          <cell r="S14">
            <v>716669.48</v>
          </cell>
          <cell r="T14">
            <v>716669.48</v>
          </cell>
          <cell r="U14">
            <v>716669.48</v>
          </cell>
          <cell r="V14">
            <v>716669.48</v>
          </cell>
          <cell r="W14">
            <v>716669.48</v>
          </cell>
          <cell r="X14">
            <v>716669.48</v>
          </cell>
          <cell r="Y14">
            <v>716669.48</v>
          </cell>
          <cell r="Z14">
            <v>1</v>
          </cell>
          <cell r="AA14">
            <v>1</v>
          </cell>
          <cell r="AB14">
            <v>1</v>
          </cell>
          <cell r="AC14">
            <v>1</v>
          </cell>
          <cell r="AD14">
            <v>1</v>
          </cell>
          <cell r="AE14">
            <v>1</v>
          </cell>
          <cell r="AF14">
            <v>1</v>
          </cell>
          <cell r="AG14">
            <v>0</v>
          </cell>
          <cell r="AH14">
            <v>0</v>
          </cell>
          <cell r="AI14">
            <v>0</v>
          </cell>
          <cell r="AJ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row>
        <row r="15">
          <cell r="A15">
            <v>12</v>
          </cell>
          <cell r="B15">
            <v>2.8</v>
          </cell>
          <cell r="C15" t="str">
            <v>Caja de inspección  de 70 x70 x 110 cm. en concreto  F´c = 3.000 psi. Incluye demolición caja existente  CJ 9´(demolición, construcción)</v>
          </cell>
          <cell r="D15" t="str">
            <v>UN</v>
          </cell>
          <cell r="E15">
            <v>1</v>
          </cell>
          <cell r="F15">
            <v>539417</v>
          </cell>
          <cell r="G15">
            <v>539417</v>
          </cell>
          <cell r="H15">
            <v>5.1028838179977337E-3</v>
          </cell>
          <cell r="I15">
            <v>658088.74</v>
          </cell>
          <cell r="J15">
            <v>118671.73734650042</v>
          </cell>
          <cell r="K15">
            <v>658088.74</v>
          </cell>
          <cell r="L15">
            <v>329044.37</v>
          </cell>
          <cell r="M15">
            <v>329044.37</v>
          </cell>
          <cell r="S15">
            <v>329044.37</v>
          </cell>
          <cell r="T15">
            <v>658088.74</v>
          </cell>
          <cell r="U15">
            <v>658088.74</v>
          </cell>
          <cell r="V15">
            <v>658088.74</v>
          </cell>
          <cell r="W15">
            <v>658088.74</v>
          </cell>
          <cell r="X15">
            <v>658088.74</v>
          </cell>
          <cell r="Y15">
            <v>658088.74</v>
          </cell>
          <cell r="Z15">
            <v>0.5</v>
          </cell>
          <cell r="AA15">
            <v>1</v>
          </cell>
          <cell r="AB15">
            <v>1</v>
          </cell>
          <cell r="AC15">
            <v>1</v>
          </cell>
          <cell r="AD15">
            <v>1</v>
          </cell>
          <cell r="AE15">
            <v>1</v>
          </cell>
          <cell r="AF15">
            <v>1</v>
          </cell>
          <cell r="AG15">
            <v>0</v>
          </cell>
          <cell r="AH15">
            <v>0</v>
          </cell>
          <cell r="AI15">
            <v>0</v>
          </cell>
          <cell r="AJ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row>
        <row r="16">
          <cell r="A16">
            <v>13</v>
          </cell>
          <cell r="B16">
            <v>2.9</v>
          </cell>
          <cell r="C16" t="str">
            <v>Pozo séptico de 320 x 80 x 180 M. en concreto de F`c = 3.000 psi. de acuerdo al Detalle Nº  5  de los Detalles Típicos (construcción, tapa en concreto)</v>
          </cell>
          <cell r="D16" t="str">
            <v>UN</v>
          </cell>
          <cell r="E16">
            <v>1</v>
          </cell>
          <cell r="F16">
            <v>2787992</v>
          </cell>
          <cell r="G16">
            <v>2787992</v>
          </cell>
          <cell r="H16">
            <v>2.6374399141122985E-2</v>
          </cell>
          <cell r="I16">
            <v>3401350.23</v>
          </cell>
          <cell r="J16">
            <v>613358.22628531244</v>
          </cell>
          <cell r="K16">
            <v>3401350.23</v>
          </cell>
          <cell r="M16">
            <v>3401350.23</v>
          </cell>
          <cell r="S16">
            <v>0</v>
          </cell>
          <cell r="T16">
            <v>3401350.23</v>
          </cell>
          <cell r="U16">
            <v>3401350.23</v>
          </cell>
          <cell r="V16">
            <v>3401350.23</v>
          </cell>
          <cell r="W16">
            <v>3401350.23</v>
          </cell>
          <cell r="X16">
            <v>3401350.23</v>
          </cell>
          <cell r="Y16">
            <v>3401350.23</v>
          </cell>
          <cell r="Z16">
            <v>0</v>
          </cell>
          <cell r="AA16">
            <v>1</v>
          </cell>
          <cell r="AB16">
            <v>1</v>
          </cell>
          <cell r="AC16">
            <v>1</v>
          </cell>
          <cell r="AD16">
            <v>1</v>
          </cell>
          <cell r="AE16">
            <v>1</v>
          </cell>
          <cell r="AF16">
            <v>1</v>
          </cell>
          <cell r="AG16">
            <v>0</v>
          </cell>
          <cell r="AH16">
            <v>0</v>
          </cell>
          <cell r="AI16">
            <v>0</v>
          </cell>
          <cell r="AJ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row>
        <row r="17">
          <cell r="A17">
            <v>14</v>
          </cell>
          <cell r="B17">
            <v>2.1</v>
          </cell>
          <cell r="C17" t="str">
            <v>Caja de inspección  de 60 x 60 x 70 cm. en concreto  F´c = 3.000 psi.( construcción, tapa en concreto)</v>
          </cell>
          <cell r="D17" t="str">
            <v>UN</v>
          </cell>
          <cell r="E17">
            <v>1</v>
          </cell>
          <cell r="F17">
            <v>300022</v>
          </cell>
          <cell r="G17">
            <v>300022</v>
          </cell>
          <cell r="H17">
            <v>2.8382075626895631E-3</v>
          </cell>
          <cell r="I17">
            <v>366026.84</v>
          </cell>
          <cell r="J17">
            <v>66004.838524132065</v>
          </cell>
          <cell r="K17">
            <v>366026.84</v>
          </cell>
          <cell r="N17">
            <v>366026.84</v>
          </cell>
          <cell r="S17">
            <v>0</v>
          </cell>
          <cell r="T17">
            <v>0</v>
          </cell>
          <cell r="U17">
            <v>366026.84</v>
          </cell>
          <cell r="V17">
            <v>366026.84</v>
          </cell>
          <cell r="W17">
            <v>366026.84</v>
          </cell>
          <cell r="X17">
            <v>366026.84</v>
          </cell>
          <cell r="Y17">
            <v>366026.84</v>
          </cell>
          <cell r="Z17">
            <v>0</v>
          </cell>
          <cell r="AA17">
            <v>0</v>
          </cell>
          <cell r="AB17">
            <v>1</v>
          </cell>
          <cell r="AC17">
            <v>1</v>
          </cell>
          <cell r="AD17">
            <v>1</v>
          </cell>
          <cell r="AE17">
            <v>1</v>
          </cell>
          <cell r="AF17">
            <v>1</v>
          </cell>
          <cell r="AG17">
            <v>0</v>
          </cell>
          <cell r="AH17">
            <v>0</v>
          </cell>
          <cell r="AI17">
            <v>0</v>
          </cell>
          <cell r="AJ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row>
        <row r="18">
          <cell r="A18">
            <v>15</v>
          </cell>
          <cell r="B18">
            <v>2.11</v>
          </cell>
          <cell r="C18" t="str">
            <v>Caja de inspección  de 100 x100 x 200 cm. en concreto  F´c = 3.000 psi.( construcción, tapa en concreto)</v>
          </cell>
          <cell r="D18" t="str">
            <v>UN</v>
          </cell>
          <cell r="E18">
            <v>1</v>
          </cell>
          <cell r="F18">
            <v>1174041</v>
          </cell>
          <cell r="G18">
            <v>1174041</v>
          </cell>
          <cell r="H18">
            <v>1.1106425679142254E-2</v>
          </cell>
          <cell r="I18">
            <v>1432330.01</v>
          </cell>
          <cell r="J18">
            <v>258289.01422465866</v>
          </cell>
          <cell r="K18">
            <v>1432330.01</v>
          </cell>
          <cell r="N18">
            <v>1145864.0079999999</v>
          </cell>
          <cell r="O18">
            <v>286466.00199999998</v>
          </cell>
          <cell r="S18">
            <v>0</v>
          </cell>
          <cell r="T18">
            <v>0</v>
          </cell>
          <cell r="U18">
            <v>1145864.0079999999</v>
          </cell>
          <cell r="V18">
            <v>1432330.0099999998</v>
          </cell>
          <cell r="W18">
            <v>1432330.0099999998</v>
          </cell>
          <cell r="X18">
            <v>1432330.0099999998</v>
          </cell>
          <cell r="Y18">
            <v>1432330.0099999998</v>
          </cell>
          <cell r="Z18">
            <v>0</v>
          </cell>
          <cell r="AA18">
            <v>0</v>
          </cell>
          <cell r="AB18">
            <v>0.8</v>
          </cell>
          <cell r="AC18">
            <v>1</v>
          </cell>
          <cell r="AD18">
            <v>1</v>
          </cell>
          <cell r="AE18">
            <v>1</v>
          </cell>
          <cell r="AF18">
            <v>1</v>
          </cell>
          <cell r="AG18">
            <v>0.75000000000000011</v>
          </cell>
          <cell r="AH18">
            <v>0</v>
          </cell>
          <cell r="AI18">
            <v>0.55000000000000004</v>
          </cell>
          <cell r="AJ18">
            <v>0.75</v>
          </cell>
          <cell r="AO18">
            <v>0</v>
          </cell>
          <cell r="AP18">
            <v>787781.50550000009</v>
          </cell>
          <cell r="AQ18">
            <v>1074247.5075000001</v>
          </cell>
          <cell r="AR18">
            <v>0</v>
          </cell>
          <cell r="AS18">
            <v>0</v>
          </cell>
          <cell r="AT18">
            <v>0</v>
          </cell>
          <cell r="AU18">
            <v>0</v>
          </cell>
          <cell r="AV18">
            <v>0</v>
          </cell>
          <cell r="AW18">
            <v>0.55000000000000016</v>
          </cell>
          <cell r="AX18">
            <v>0.75000000000000011</v>
          </cell>
          <cell r="AY18">
            <v>0</v>
          </cell>
          <cell r="AZ18">
            <v>0</v>
          </cell>
          <cell r="BA18">
            <v>0</v>
          </cell>
          <cell r="BB18">
            <v>0</v>
          </cell>
        </row>
        <row r="19">
          <cell r="A19">
            <v>16</v>
          </cell>
          <cell r="B19">
            <v>2.12</v>
          </cell>
          <cell r="C19" t="str">
            <v>SUBTOTAL CAJAS DE INSPECCION</v>
          </cell>
          <cell r="G19">
            <v>14886086</v>
          </cell>
          <cell r="I19" t="e">
            <v>#DIV/0!</v>
          </cell>
          <cell r="K19">
            <v>18161024.859999999</v>
          </cell>
          <cell r="L19">
            <v>1926932.05</v>
          </cell>
          <cell r="M19">
            <v>6335189.75</v>
          </cell>
          <cell r="N19">
            <v>6019008.8080000002</v>
          </cell>
          <cell r="O19">
            <v>3879894.2519999999</v>
          </cell>
          <cell r="P19">
            <v>0</v>
          </cell>
          <cell r="Q19">
            <v>0</v>
          </cell>
          <cell r="R19">
            <v>0</v>
          </cell>
          <cell r="S19">
            <v>1926932.05</v>
          </cell>
          <cell r="T19">
            <v>8262121.7999999998</v>
          </cell>
          <cell r="U19">
            <v>14281130.607999999</v>
          </cell>
          <cell r="V19">
            <v>18161024.859999999</v>
          </cell>
          <cell r="W19">
            <v>18161024.859999999</v>
          </cell>
          <cell r="X19">
            <v>18161024.859999999</v>
          </cell>
          <cell r="Y19">
            <v>18161024.859999999</v>
          </cell>
          <cell r="Z19">
            <v>0.10610260515881481</v>
          </cell>
          <cell r="AA19">
            <v>0.45493697980654602</v>
          </cell>
          <cell r="AB19">
            <v>0.7863614921564509</v>
          </cell>
          <cell r="AC19">
            <v>1</v>
          </cell>
          <cell r="AD19">
            <v>1</v>
          </cell>
          <cell r="AE19">
            <v>1</v>
          </cell>
          <cell r="AF19">
            <v>1</v>
          </cell>
          <cell r="AG19" t="e">
            <v>#N/A</v>
          </cell>
          <cell r="AH19">
            <v>0</v>
          </cell>
          <cell r="AI19" t="e">
            <v>#N/A</v>
          </cell>
          <cell r="AJ19" t="e">
            <v>#N/A</v>
          </cell>
          <cell r="AO19">
            <v>0</v>
          </cell>
          <cell r="AP19">
            <v>1924109.9350000001</v>
          </cell>
          <cell r="AQ19">
            <v>4444475.2154999999</v>
          </cell>
          <cell r="AR19">
            <v>0</v>
          </cell>
          <cell r="AS19">
            <v>0</v>
          </cell>
          <cell r="AT19">
            <v>0</v>
          </cell>
          <cell r="AU19">
            <v>0</v>
          </cell>
          <cell r="AV19">
            <v>0</v>
          </cell>
          <cell r="AW19">
            <v>0.10594721112011077</v>
          </cell>
          <cell r="AX19">
            <v>0.24472601352410681</v>
          </cell>
          <cell r="AY19">
            <v>0</v>
          </cell>
          <cell r="AZ19">
            <v>0</v>
          </cell>
          <cell r="BA19">
            <v>0</v>
          </cell>
          <cell r="BB19">
            <v>0</v>
          </cell>
        </row>
        <row r="20">
          <cell r="A20">
            <v>17</v>
          </cell>
          <cell r="B20">
            <v>3</v>
          </cell>
          <cell r="C20" t="str">
            <v>SUMINISTRO E INSTALACIÒN DE TUBERIAS</v>
          </cell>
          <cell r="G20">
            <v>0</v>
          </cell>
          <cell r="H20">
            <v>0</v>
          </cell>
          <cell r="I20" t="e">
            <v>#DIV/0!</v>
          </cell>
          <cell r="J20">
            <v>0</v>
          </cell>
          <cell r="K20">
            <v>0</v>
          </cell>
          <cell r="S20">
            <v>0</v>
          </cell>
          <cell r="T20">
            <v>0</v>
          </cell>
          <cell r="U20">
            <v>0</v>
          </cell>
          <cell r="V20">
            <v>0</v>
          </cell>
          <cell r="W20">
            <v>0</v>
          </cell>
          <cell r="X20">
            <v>0</v>
          </cell>
          <cell r="Y20">
            <v>0</v>
          </cell>
          <cell r="Z20" t="e">
            <v>#DIV/0!</v>
          </cell>
          <cell r="AA20" t="e">
            <v>#DIV/0!</v>
          </cell>
          <cell r="AB20" t="e">
            <v>#DIV/0!</v>
          </cell>
          <cell r="AC20" t="e">
            <v>#DIV/0!</v>
          </cell>
          <cell r="AD20" t="e">
            <v>#DIV/0!</v>
          </cell>
          <cell r="AE20" t="e">
            <v>#DIV/0!</v>
          </cell>
          <cell r="AF20" t="e">
            <v>#DIV/0!</v>
          </cell>
          <cell r="AG20" t="e">
            <v>#N/A</v>
          </cell>
          <cell r="AH20">
            <v>0</v>
          </cell>
          <cell r="AI20" t="e">
            <v>#N/A</v>
          </cell>
          <cell r="AJ20" t="e">
            <v>#N/A</v>
          </cell>
          <cell r="AV20" t="e">
            <v>#DIV/0!</v>
          </cell>
          <cell r="AW20" t="e">
            <v>#DIV/0!</v>
          </cell>
          <cell r="AX20" t="e">
            <v>#DIV/0!</v>
          </cell>
          <cell r="AY20" t="e">
            <v>#DIV/0!</v>
          </cell>
          <cell r="AZ20" t="e">
            <v>#DIV/0!</v>
          </cell>
          <cell r="BA20" t="e">
            <v>#DIV/0!</v>
          </cell>
          <cell r="BB20" t="e">
            <v>#DIV/0!</v>
          </cell>
        </row>
        <row r="21">
          <cell r="A21">
            <v>18</v>
          </cell>
          <cell r="B21">
            <v>3.1</v>
          </cell>
          <cell r="C21" t="str">
            <v>Tubería f 6"  PVCS  (montaje y construcción) suministrada por Ecopetrol con 10 uniones</v>
          </cell>
          <cell r="D21" t="str">
            <v>ML</v>
          </cell>
          <cell r="E21">
            <v>192</v>
          </cell>
          <cell r="F21">
            <v>8737</v>
          </cell>
          <cell r="G21">
            <v>1677504</v>
          </cell>
          <cell r="H21">
            <v>1.5869184723926889E-2</v>
          </cell>
          <cell r="I21">
            <v>10659.139947916667</v>
          </cell>
          <cell r="J21">
            <v>369050.87174802396</v>
          </cell>
          <cell r="K21">
            <v>2046554.87</v>
          </cell>
          <cell r="N21">
            <v>511638.71750000003</v>
          </cell>
          <cell r="O21">
            <v>1193823.6741666666</v>
          </cell>
          <cell r="P21">
            <v>341092.47833333333</v>
          </cell>
          <cell r="S21">
            <v>0</v>
          </cell>
          <cell r="T21">
            <v>0</v>
          </cell>
          <cell r="U21">
            <v>511638.71750000003</v>
          </cell>
          <cell r="V21">
            <v>1705462.3916666666</v>
          </cell>
          <cell r="W21">
            <v>2046554.8699999999</v>
          </cell>
          <cell r="X21">
            <v>2046554.8699999999</v>
          </cell>
          <cell r="Y21">
            <v>2046554.8699999999</v>
          </cell>
          <cell r="Z21">
            <v>0</v>
          </cell>
          <cell r="AA21">
            <v>0</v>
          </cell>
          <cell r="AB21">
            <v>0.25000000000000006</v>
          </cell>
          <cell r="AC21">
            <v>0.83333333333333337</v>
          </cell>
          <cell r="AD21">
            <v>1</v>
          </cell>
          <cell r="AE21">
            <v>1</v>
          </cell>
          <cell r="AF21">
            <v>1</v>
          </cell>
          <cell r="AG21">
            <v>0</v>
          </cell>
          <cell r="AH21">
            <v>0</v>
          </cell>
          <cell r="AI21">
            <v>0</v>
          </cell>
          <cell r="AJ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row>
        <row r="22">
          <cell r="A22">
            <v>19</v>
          </cell>
          <cell r="B22">
            <v>3.2</v>
          </cell>
          <cell r="C22" t="str">
            <v>Tubería f 6"  PVCS  (suministro, montaje y construcción)</v>
          </cell>
          <cell r="D22" t="str">
            <v>ML</v>
          </cell>
          <cell r="E22">
            <v>263</v>
          </cell>
          <cell r="F22">
            <v>34985</v>
          </cell>
          <cell r="G22">
            <v>9201055</v>
          </cell>
          <cell r="H22">
            <v>8.7041963208440098E-2</v>
          </cell>
          <cell r="I22">
            <v>42681.699809885933</v>
          </cell>
          <cell r="J22">
            <v>2024232.0547381791</v>
          </cell>
          <cell r="K22">
            <v>11225287.050000001</v>
          </cell>
          <cell r="N22">
            <v>2245057.41</v>
          </cell>
          <cell r="O22">
            <v>5238467.29</v>
          </cell>
          <cell r="P22">
            <v>3741762.35</v>
          </cell>
          <cell r="S22">
            <v>0</v>
          </cell>
          <cell r="T22">
            <v>0</v>
          </cell>
          <cell r="U22">
            <v>2245057.41</v>
          </cell>
          <cell r="V22">
            <v>7483524.7000000002</v>
          </cell>
          <cell r="W22">
            <v>11225287.050000001</v>
          </cell>
          <cell r="X22">
            <v>11225287.050000001</v>
          </cell>
          <cell r="Y22">
            <v>11225287.050000001</v>
          </cell>
          <cell r="Z22">
            <v>0</v>
          </cell>
          <cell r="AA22">
            <v>0</v>
          </cell>
          <cell r="AB22">
            <v>0.2</v>
          </cell>
          <cell r="AC22">
            <v>0.66666666666666663</v>
          </cell>
          <cell r="AD22">
            <v>1</v>
          </cell>
          <cell r="AE22">
            <v>1</v>
          </cell>
          <cell r="AF22">
            <v>1</v>
          </cell>
          <cell r="AG22">
            <v>121</v>
          </cell>
          <cell r="AH22">
            <v>12</v>
          </cell>
          <cell r="AI22">
            <v>63</v>
          </cell>
          <cell r="AJ22">
            <v>121</v>
          </cell>
          <cell r="AO22">
            <v>512180.3977186312</v>
          </cell>
          <cell r="AP22">
            <v>2688947.0880228137</v>
          </cell>
          <cell r="AQ22">
            <v>5164485.6769961976</v>
          </cell>
          <cell r="AR22">
            <v>0</v>
          </cell>
          <cell r="AS22">
            <v>0</v>
          </cell>
          <cell r="AT22">
            <v>0</v>
          </cell>
          <cell r="AU22">
            <v>0</v>
          </cell>
          <cell r="AV22">
            <v>4.5627376425855515E-2</v>
          </cell>
          <cell r="AW22">
            <v>0.23954372623574144</v>
          </cell>
          <cell r="AX22">
            <v>0.46007604562737636</v>
          </cell>
          <cell r="AY22">
            <v>0</v>
          </cell>
          <cell r="AZ22">
            <v>0</v>
          </cell>
          <cell r="BA22">
            <v>0</v>
          </cell>
          <cell r="BB22">
            <v>0</v>
          </cell>
        </row>
        <row r="23">
          <cell r="A23">
            <v>20</v>
          </cell>
          <cell r="B23">
            <v>3.3</v>
          </cell>
          <cell r="C23" t="str">
            <v>Tubería f 10"  AC. - SCH 20, no incluye soldadura ( montaje y construcción)</v>
          </cell>
          <cell r="D23" t="str">
            <v>ML</v>
          </cell>
          <cell r="E23">
            <v>22</v>
          </cell>
          <cell r="F23">
            <v>72468</v>
          </cell>
          <cell r="G23">
            <v>1594296</v>
          </cell>
          <cell r="H23">
            <v>1.5082037198491176E-2</v>
          </cell>
          <cell r="I23">
            <v>88410.959545454549</v>
          </cell>
          <cell r="J23">
            <v>350745.11215734069</v>
          </cell>
          <cell r="K23">
            <v>1945041.11</v>
          </cell>
          <cell r="N23">
            <v>1945041.11</v>
          </cell>
          <cell r="S23">
            <v>0</v>
          </cell>
          <cell r="T23">
            <v>0</v>
          </cell>
          <cell r="U23">
            <v>1945041.11</v>
          </cell>
          <cell r="V23">
            <v>1945041.11</v>
          </cell>
          <cell r="W23">
            <v>1945041.11</v>
          </cell>
          <cell r="X23">
            <v>1945041.11</v>
          </cell>
          <cell r="Y23">
            <v>1945041.11</v>
          </cell>
          <cell r="Z23">
            <v>0</v>
          </cell>
          <cell r="AA23">
            <v>0</v>
          </cell>
          <cell r="AB23">
            <v>1</v>
          </cell>
          <cell r="AC23">
            <v>1</v>
          </cell>
          <cell r="AD23">
            <v>1</v>
          </cell>
          <cell r="AE23">
            <v>1</v>
          </cell>
          <cell r="AF23">
            <v>1</v>
          </cell>
          <cell r="AG23">
            <v>0</v>
          </cell>
          <cell r="AH23">
            <v>0</v>
          </cell>
          <cell r="AI23">
            <v>0</v>
          </cell>
          <cell r="AJ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row>
        <row r="24">
          <cell r="A24">
            <v>21</v>
          </cell>
          <cell r="B24">
            <v>3.4</v>
          </cell>
          <cell r="C24" t="str">
            <v>Tubería f 12"  AC. - SCH. 20   no incluye soldadura ( montaje y construcción)</v>
          </cell>
          <cell r="D24" t="str">
            <v>ML</v>
          </cell>
          <cell r="E24">
            <v>80</v>
          </cell>
          <cell r="F24">
            <v>78188</v>
          </cell>
          <cell r="G24">
            <v>6255040</v>
          </cell>
          <cell r="H24">
            <v>5.917266678085515E-2</v>
          </cell>
          <cell r="I24">
            <v>95389.359624999997</v>
          </cell>
          <cell r="J24">
            <v>1376108.7692302132</v>
          </cell>
          <cell r="K24">
            <v>7631148.7699999996</v>
          </cell>
          <cell r="M24">
            <v>5087432.5133333327</v>
          </cell>
          <cell r="N24">
            <v>2543716.2566666664</v>
          </cell>
          <cell r="S24">
            <v>0</v>
          </cell>
          <cell r="T24">
            <v>5087432.5133333327</v>
          </cell>
          <cell r="U24">
            <v>7631148.7699999996</v>
          </cell>
          <cell r="V24">
            <v>7631148.7699999996</v>
          </cell>
          <cell r="W24">
            <v>7631148.7699999996</v>
          </cell>
          <cell r="X24">
            <v>7631148.7699999996</v>
          </cell>
          <cell r="Y24">
            <v>7631148.7699999996</v>
          </cell>
          <cell r="Z24">
            <v>0</v>
          </cell>
          <cell r="AA24">
            <v>0.66666666666666663</v>
          </cell>
          <cell r="AB24">
            <v>1</v>
          </cell>
          <cell r="AC24">
            <v>1</v>
          </cell>
          <cell r="AD24">
            <v>1</v>
          </cell>
          <cell r="AE24">
            <v>1</v>
          </cell>
          <cell r="AF24">
            <v>1</v>
          </cell>
          <cell r="AG24">
            <v>35.799999999999997</v>
          </cell>
          <cell r="AH24">
            <v>5.4</v>
          </cell>
          <cell r="AI24">
            <v>12.6</v>
          </cell>
          <cell r="AJ24">
            <v>35.799999999999997</v>
          </cell>
          <cell r="AO24">
            <v>515102.541975</v>
          </cell>
          <cell r="AP24">
            <v>1201905.9312749999</v>
          </cell>
          <cell r="AQ24">
            <v>3414939.0745749995</v>
          </cell>
          <cell r="AR24">
            <v>0</v>
          </cell>
          <cell r="AS24">
            <v>0</v>
          </cell>
          <cell r="AT24">
            <v>0</v>
          </cell>
          <cell r="AU24">
            <v>0</v>
          </cell>
          <cell r="AV24">
            <v>6.7500000000000004E-2</v>
          </cell>
          <cell r="AW24">
            <v>0.1575</v>
          </cell>
          <cell r="AX24">
            <v>0.44749999999999995</v>
          </cell>
          <cell r="AY24">
            <v>0</v>
          </cell>
          <cell r="AZ24">
            <v>0</v>
          </cell>
          <cell r="BA24">
            <v>0</v>
          </cell>
          <cell r="BB24">
            <v>0</v>
          </cell>
        </row>
        <row r="25">
          <cell r="A25">
            <v>22</v>
          </cell>
          <cell r="B25">
            <v>3.5</v>
          </cell>
          <cell r="C25" t="str">
            <v>Tubería f 14"  AC. - SCH. 20, no incluye soldadura  ( montaje y construcción)</v>
          </cell>
          <cell r="D25" t="str">
            <v>ML</v>
          </cell>
          <cell r="E25">
            <v>37</v>
          </cell>
          <cell r="F25">
            <v>81768</v>
          </cell>
          <cell r="G25">
            <v>3025416</v>
          </cell>
          <cell r="H25">
            <v>2.8620429740092417E-2</v>
          </cell>
          <cell r="I25">
            <v>99756.95972972973</v>
          </cell>
          <cell r="J25">
            <v>665591.50511737657</v>
          </cell>
          <cell r="K25">
            <v>3691007.51</v>
          </cell>
          <cell r="M25">
            <v>3691007.51</v>
          </cell>
          <cell r="S25">
            <v>0</v>
          </cell>
          <cell r="T25">
            <v>3691007.51</v>
          </cell>
          <cell r="U25">
            <v>3691007.51</v>
          </cell>
          <cell r="V25">
            <v>3691007.51</v>
          </cell>
          <cell r="W25">
            <v>3691007.51</v>
          </cell>
          <cell r="X25">
            <v>3691007.51</v>
          </cell>
          <cell r="Y25">
            <v>3691007.51</v>
          </cell>
          <cell r="Z25">
            <v>0</v>
          </cell>
          <cell r="AA25">
            <v>1</v>
          </cell>
          <cell r="AB25">
            <v>1</v>
          </cell>
          <cell r="AC25">
            <v>1</v>
          </cell>
          <cell r="AD25">
            <v>1</v>
          </cell>
          <cell r="AE25">
            <v>1</v>
          </cell>
          <cell r="AF25">
            <v>1</v>
          </cell>
          <cell r="AG25">
            <v>23.2</v>
          </cell>
          <cell r="AH25">
            <v>0</v>
          </cell>
          <cell r="AI25">
            <v>0</v>
          </cell>
          <cell r="AJ25">
            <v>23.2</v>
          </cell>
          <cell r="AO25">
            <v>0</v>
          </cell>
          <cell r="AP25">
            <v>0</v>
          </cell>
          <cell r="AQ25">
            <v>2314361.4657297297</v>
          </cell>
          <cell r="AR25">
            <v>0</v>
          </cell>
          <cell r="AS25">
            <v>0</v>
          </cell>
          <cell r="AT25">
            <v>0</v>
          </cell>
          <cell r="AU25">
            <v>0</v>
          </cell>
          <cell r="AV25">
            <v>0</v>
          </cell>
          <cell r="AW25">
            <v>0</v>
          </cell>
          <cell r="AX25">
            <v>0.62702702702702706</v>
          </cell>
          <cell r="AY25">
            <v>0</v>
          </cell>
          <cell r="AZ25">
            <v>0</v>
          </cell>
          <cell r="BA25">
            <v>0</v>
          </cell>
          <cell r="BB25">
            <v>0</v>
          </cell>
        </row>
        <row r="26">
          <cell r="A26">
            <v>23</v>
          </cell>
          <cell r="B26">
            <v>3.6</v>
          </cell>
          <cell r="C26" t="str">
            <v>Tubería f 6"  PVCS; incluye la demolición y reconstrucción del cruce  de la vía en pavimento asfáltico  y andenes en concreto  en una franja de 80 cm de ancho, además de la  intalación de una camisa en tubería  f10" AC, suministrada por ECOPETROL y el rel</v>
          </cell>
          <cell r="D26" t="str">
            <v>ML</v>
          </cell>
          <cell r="E26">
            <v>32</v>
          </cell>
          <cell r="F26">
            <v>129634</v>
          </cell>
          <cell r="G26">
            <v>4148288</v>
          </cell>
          <cell r="H26">
            <v>3.9242796774284425E-2</v>
          </cell>
          <cell r="I26">
            <v>158153.479375</v>
          </cell>
          <cell r="J26">
            <v>912623.33959374565</v>
          </cell>
          <cell r="K26">
            <v>5060911.34</v>
          </cell>
          <cell r="P26">
            <v>5060911.34</v>
          </cell>
          <cell r="S26">
            <v>0</v>
          </cell>
          <cell r="T26">
            <v>0</v>
          </cell>
          <cell r="U26">
            <v>0</v>
          </cell>
          <cell r="V26">
            <v>0</v>
          </cell>
          <cell r="W26">
            <v>5060911.34</v>
          </cell>
          <cell r="X26">
            <v>5060911.34</v>
          </cell>
          <cell r="Y26">
            <v>5060911.34</v>
          </cell>
          <cell r="Z26">
            <v>0</v>
          </cell>
          <cell r="AA26">
            <v>0</v>
          </cell>
          <cell r="AB26">
            <v>0</v>
          </cell>
          <cell r="AC26">
            <v>0</v>
          </cell>
          <cell r="AD26">
            <v>1</v>
          </cell>
          <cell r="AE26">
            <v>1</v>
          </cell>
          <cell r="AF26">
            <v>1</v>
          </cell>
          <cell r="AG26">
            <v>0</v>
          </cell>
          <cell r="AH26">
            <v>0</v>
          </cell>
          <cell r="AI26">
            <v>0</v>
          </cell>
          <cell r="AJ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row>
        <row r="27">
          <cell r="A27">
            <v>24</v>
          </cell>
          <cell r="B27">
            <v>3.7</v>
          </cell>
          <cell r="C27" t="str">
            <v>Tubería f 6"  PVCS  encamisada con tubería  f 10" AC(suministrada por ECOPETROL), relleno de la zanja con material de río (suministro, instalación, compactación y construcc.)</v>
          </cell>
          <cell r="D27" t="str">
            <v>ML</v>
          </cell>
          <cell r="E27">
            <v>160</v>
          </cell>
          <cell r="F27">
            <v>99337</v>
          </cell>
          <cell r="G27">
            <v>15893920</v>
          </cell>
          <cell r="H27">
            <v>0.15035645367600675</v>
          </cell>
          <cell r="I27">
            <v>121191.1395</v>
          </cell>
          <cell r="J27">
            <v>3496662.3218146442</v>
          </cell>
          <cell r="K27">
            <v>19390582.32</v>
          </cell>
          <cell r="P27">
            <v>5817174.6960000005</v>
          </cell>
          <cell r="Q27">
            <v>13573407.624</v>
          </cell>
          <cell r="S27">
            <v>0</v>
          </cell>
          <cell r="T27">
            <v>0</v>
          </cell>
          <cell r="U27">
            <v>0</v>
          </cell>
          <cell r="V27">
            <v>0</v>
          </cell>
          <cell r="W27">
            <v>5817174.6960000005</v>
          </cell>
          <cell r="X27">
            <v>19390582.32</v>
          </cell>
          <cell r="Y27">
            <v>19390582.32</v>
          </cell>
          <cell r="Z27">
            <v>0</v>
          </cell>
          <cell r="AA27">
            <v>0</v>
          </cell>
          <cell r="AB27">
            <v>0</v>
          </cell>
          <cell r="AC27">
            <v>0</v>
          </cell>
          <cell r="AD27">
            <v>0.30000000000000004</v>
          </cell>
          <cell r="AE27">
            <v>1</v>
          </cell>
          <cell r="AF27">
            <v>1</v>
          </cell>
          <cell r="AG27">
            <v>0</v>
          </cell>
          <cell r="AH27">
            <v>0</v>
          </cell>
          <cell r="AI27">
            <v>0</v>
          </cell>
          <cell r="AJ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row>
        <row r="28">
          <cell r="A28">
            <v>25</v>
          </cell>
          <cell r="B28">
            <v>3.8</v>
          </cell>
          <cell r="C28" t="str">
            <v>Tubería f 14"  AC. - SCH. 20  encamisada con tubería  f 18" AC,  relleno de la zanja con material de río  ( instalación, compactación y construcción)</v>
          </cell>
          <cell r="D28" t="str">
            <v>ML</v>
          </cell>
          <cell r="E28">
            <v>25</v>
          </cell>
          <cell r="F28">
            <v>198155</v>
          </cell>
          <cell r="G28">
            <v>4953875</v>
          </cell>
          <cell r="H28">
            <v>4.686364829785402E-2</v>
          </cell>
          <cell r="I28">
            <v>241749.09920000003</v>
          </cell>
          <cell r="J28">
            <v>1089852.4756309029</v>
          </cell>
          <cell r="K28">
            <v>6043727.4800000004</v>
          </cell>
          <cell r="L28">
            <v>6043727.4800000004</v>
          </cell>
          <cell r="S28">
            <v>6043727.4800000004</v>
          </cell>
          <cell r="T28">
            <v>6043727.4800000004</v>
          </cell>
          <cell r="U28">
            <v>6043727.4800000004</v>
          </cell>
          <cell r="V28">
            <v>6043727.4800000004</v>
          </cell>
          <cell r="W28">
            <v>6043727.4800000004</v>
          </cell>
          <cell r="X28">
            <v>6043727.4800000004</v>
          </cell>
          <cell r="Y28">
            <v>6043727.4800000004</v>
          </cell>
          <cell r="Z28">
            <v>1</v>
          </cell>
          <cell r="AA28">
            <v>1</v>
          </cell>
          <cell r="AB28">
            <v>1</v>
          </cell>
          <cell r="AC28">
            <v>1</v>
          </cell>
          <cell r="AD28">
            <v>1</v>
          </cell>
          <cell r="AE28">
            <v>1</v>
          </cell>
          <cell r="AF28">
            <v>1</v>
          </cell>
          <cell r="AG28">
            <v>0</v>
          </cell>
          <cell r="AH28">
            <v>0</v>
          </cell>
          <cell r="AI28">
            <v>0</v>
          </cell>
          <cell r="AJ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row>
        <row r="29">
          <cell r="A29">
            <v>26</v>
          </cell>
          <cell r="B29">
            <v>3.9</v>
          </cell>
          <cell r="C29" t="str">
            <v>SUBTOTAL SUMINISTRO E INSTALACION DE TUBERIA</v>
          </cell>
          <cell r="G29">
            <v>46749394</v>
          </cell>
          <cell r="I29" t="e">
            <v>#DIV/0!</v>
          </cell>
          <cell r="K29">
            <v>57034260.450000003</v>
          </cell>
          <cell r="L29">
            <v>6043727.4800000004</v>
          </cell>
          <cell r="M29">
            <v>8778440.0233333334</v>
          </cell>
          <cell r="N29">
            <v>7245453.4941666666</v>
          </cell>
          <cell r="O29">
            <v>6432290.9641666673</v>
          </cell>
          <cell r="P29">
            <v>14960940.864333333</v>
          </cell>
          <cell r="Q29">
            <v>13573407.624</v>
          </cell>
          <cell r="R29">
            <v>0</v>
          </cell>
          <cell r="S29">
            <v>6043727.4800000004</v>
          </cell>
          <cell r="T29">
            <v>14822167.503333334</v>
          </cell>
          <cell r="U29">
            <v>22067620.997500002</v>
          </cell>
          <cell r="V29">
            <v>28499911.96166667</v>
          </cell>
          <cell r="W29">
            <v>43460852.826000005</v>
          </cell>
          <cell r="X29">
            <v>57034260.450000003</v>
          </cell>
          <cell r="Y29">
            <v>57034260.450000003</v>
          </cell>
          <cell r="Z29">
            <v>0.10596661431769297</v>
          </cell>
          <cell r="AA29">
            <v>0.25988182166975626</v>
          </cell>
          <cell r="AB29">
            <v>0.38691868402231561</v>
          </cell>
          <cell r="AC29">
            <v>0.49969810666084769</v>
          </cell>
          <cell r="AD29">
            <v>0.7620130862238611</v>
          </cell>
          <cell r="AE29">
            <v>1</v>
          </cell>
          <cell r="AF29">
            <v>1</v>
          </cell>
          <cell r="AG29" t="e">
            <v>#N/A</v>
          </cell>
          <cell r="AH29">
            <v>0</v>
          </cell>
          <cell r="AI29" t="e">
            <v>#N/A</v>
          </cell>
          <cell r="AJ29" t="e">
            <v>#N/A</v>
          </cell>
          <cell r="AO29">
            <v>1027282.9396936311</v>
          </cell>
          <cell r="AP29">
            <v>3890853.0192978135</v>
          </cell>
          <cell r="AQ29">
            <v>10893786.217300927</v>
          </cell>
          <cell r="AR29">
            <v>0</v>
          </cell>
          <cell r="AS29">
            <v>0</v>
          </cell>
          <cell r="AT29">
            <v>0</v>
          </cell>
          <cell r="AU29">
            <v>0</v>
          </cell>
          <cell r="AV29">
            <v>1.8011681603099162E-2</v>
          </cell>
          <cell r="AW29">
            <v>6.8219575192156517E-2</v>
          </cell>
          <cell r="AX29">
            <v>0.19100425132804411</v>
          </cell>
          <cell r="AY29">
            <v>0</v>
          </cell>
          <cell r="AZ29">
            <v>0</v>
          </cell>
          <cell r="BA29">
            <v>0</v>
          </cell>
          <cell r="BB29">
            <v>0</v>
          </cell>
        </row>
        <row r="30">
          <cell r="A30">
            <v>27</v>
          </cell>
          <cell r="B30">
            <v>4</v>
          </cell>
          <cell r="C30" t="str">
            <v xml:space="preserve"> TUBERIA  F 6"  EN  PVCS (localizada en el costado occidental del Hospital) (incluye :retiro, demolición  y reconstrucción de plaquetas en concreto enchapadas y de tubería existente de 4" de diámetro en PVC)</v>
          </cell>
          <cell r="D30" t="str">
            <v>ML</v>
          </cell>
          <cell r="E30">
            <v>15</v>
          </cell>
          <cell r="F30">
            <v>54653</v>
          </cell>
          <cell r="G30">
            <v>819801</v>
          </cell>
          <cell r="H30">
            <v>7.7553159371661629E-3</v>
          </cell>
          <cell r="I30">
            <v>66677.148000000001</v>
          </cell>
          <cell r="J30">
            <v>180356.21596723571</v>
          </cell>
          <cell r="K30">
            <v>1000157.22</v>
          </cell>
          <cell r="N30">
            <v>500078.61</v>
          </cell>
          <cell r="O30">
            <v>500078.61</v>
          </cell>
          <cell r="S30">
            <v>0</v>
          </cell>
          <cell r="T30">
            <v>0</v>
          </cell>
          <cell r="U30">
            <v>500078.61</v>
          </cell>
          <cell r="V30">
            <v>1000157.22</v>
          </cell>
          <cell r="W30">
            <v>1000157.22</v>
          </cell>
          <cell r="X30">
            <v>1000157.22</v>
          </cell>
          <cell r="Y30">
            <v>1000157.22</v>
          </cell>
          <cell r="Z30">
            <v>0</v>
          </cell>
          <cell r="AA30">
            <v>0</v>
          </cell>
          <cell r="AB30">
            <v>0.5</v>
          </cell>
          <cell r="AC30">
            <v>1</v>
          </cell>
          <cell r="AD30">
            <v>1</v>
          </cell>
          <cell r="AE30">
            <v>1</v>
          </cell>
          <cell r="AF30">
            <v>1</v>
          </cell>
          <cell r="AG30">
            <v>0</v>
          </cell>
          <cell r="AH30">
            <v>0</v>
          </cell>
          <cell r="AI30">
            <v>0</v>
          </cell>
          <cell r="AJ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row>
        <row r="31">
          <cell r="A31">
            <v>28</v>
          </cell>
          <cell r="B31">
            <v>5</v>
          </cell>
          <cell r="C31" t="str">
            <v xml:space="preserve">EXCAVACIÒN  MANUAL </v>
          </cell>
          <cell r="D31" t="str">
            <v>M3</v>
          </cell>
          <cell r="E31">
            <v>20</v>
          </cell>
          <cell r="F31">
            <v>15575</v>
          </cell>
          <cell r="G31">
            <v>311500</v>
          </cell>
          <cell r="H31">
            <v>2.9467894213684293E-3</v>
          </cell>
          <cell r="I31">
            <v>19001.5</v>
          </cell>
          <cell r="J31">
            <v>68529.998467669502</v>
          </cell>
          <cell r="K31">
            <v>380030</v>
          </cell>
          <cell r="L31">
            <v>36193.333333333336</v>
          </cell>
          <cell r="M31">
            <v>63338.333333333336</v>
          </cell>
          <cell r="N31">
            <v>63338.333333333336</v>
          </cell>
          <cell r="O31">
            <v>63338.333333333336</v>
          </cell>
          <cell r="P31">
            <v>63338.333333333336</v>
          </cell>
          <cell r="Q31">
            <v>63338.333333333336</v>
          </cell>
          <cell r="R31">
            <v>27145</v>
          </cell>
          <cell r="S31">
            <v>36193.333333333336</v>
          </cell>
          <cell r="T31">
            <v>99531.666666666672</v>
          </cell>
          <cell r="U31">
            <v>162870</v>
          </cell>
          <cell r="V31">
            <v>226208.33333333334</v>
          </cell>
          <cell r="W31">
            <v>289546.66666666669</v>
          </cell>
          <cell r="X31">
            <v>352885</v>
          </cell>
          <cell r="Y31">
            <v>380030</v>
          </cell>
          <cell r="Z31">
            <v>9.5238095238095247E-2</v>
          </cell>
          <cell r="AA31">
            <v>0.26190476190476192</v>
          </cell>
          <cell r="AB31">
            <v>0.42857142857142855</v>
          </cell>
          <cell r="AC31">
            <v>0.59523809523809523</v>
          </cell>
          <cell r="AD31">
            <v>0.76190476190476197</v>
          </cell>
          <cell r="AE31">
            <v>0.9285714285714286</v>
          </cell>
          <cell r="AF31">
            <v>1</v>
          </cell>
          <cell r="AG31">
            <v>6</v>
          </cell>
          <cell r="AH31">
            <v>0</v>
          </cell>
          <cell r="AI31">
            <v>6</v>
          </cell>
          <cell r="AJ31">
            <v>6</v>
          </cell>
          <cell r="AO31">
            <v>0</v>
          </cell>
          <cell r="AP31">
            <v>114009</v>
          </cell>
          <cell r="AQ31">
            <v>114009</v>
          </cell>
          <cell r="AR31">
            <v>0</v>
          </cell>
          <cell r="AS31">
            <v>0</v>
          </cell>
          <cell r="AT31">
            <v>0</v>
          </cell>
          <cell r="AU31">
            <v>0</v>
          </cell>
          <cell r="AV31">
            <v>0</v>
          </cell>
          <cell r="AW31">
            <v>0.3</v>
          </cell>
          <cell r="AX31">
            <v>0.3</v>
          </cell>
          <cell r="AY31">
            <v>0</v>
          </cell>
          <cell r="AZ31">
            <v>0</v>
          </cell>
          <cell r="BA31">
            <v>0</v>
          </cell>
          <cell r="BB31">
            <v>0</v>
          </cell>
        </row>
        <row r="32">
          <cell r="A32">
            <v>29</v>
          </cell>
          <cell r="B32">
            <v>6</v>
          </cell>
          <cell r="C32" t="str">
            <v>RELLENO  MATERIAL SELECCIONADO (suministro, transp., colocación y compact.)</v>
          </cell>
          <cell r="D32" t="str">
            <v>M3</v>
          </cell>
          <cell r="E32">
            <v>30</v>
          </cell>
          <cell r="F32">
            <v>45053</v>
          </cell>
          <cell r="G32">
            <v>1351590</v>
          </cell>
          <cell r="H32">
            <v>1.2786038889333403E-2</v>
          </cell>
          <cell r="I32">
            <v>54964.659666666666</v>
          </cell>
          <cell r="J32">
            <v>297349.79335125978</v>
          </cell>
          <cell r="K32">
            <v>1648939.79</v>
          </cell>
          <cell r="L32">
            <v>157041.88476190477</v>
          </cell>
          <cell r="M32">
            <v>274823.29833333334</v>
          </cell>
          <cell r="N32">
            <v>274823.29833333334</v>
          </cell>
          <cell r="O32">
            <v>274823.29833333334</v>
          </cell>
          <cell r="P32">
            <v>274823.29833333334</v>
          </cell>
          <cell r="Q32">
            <v>274823.29833333334</v>
          </cell>
          <cell r="R32">
            <v>117781.41357142858</v>
          </cell>
          <cell r="S32">
            <v>157041.88476190477</v>
          </cell>
          <cell r="T32">
            <v>431865.18309523811</v>
          </cell>
          <cell r="U32">
            <v>706688.48142857151</v>
          </cell>
          <cell r="V32">
            <v>981511.77976190485</v>
          </cell>
          <cell r="W32">
            <v>1256335.0780952382</v>
          </cell>
          <cell r="X32">
            <v>1531158.3764285715</v>
          </cell>
          <cell r="Y32">
            <v>1648939.79</v>
          </cell>
          <cell r="Z32">
            <v>9.5238095238095247E-2</v>
          </cell>
          <cell r="AA32">
            <v>0.26190476190476192</v>
          </cell>
          <cell r="AB32">
            <v>0.4285714285714286</v>
          </cell>
          <cell r="AC32">
            <v>0.59523809523809523</v>
          </cell>
          <cell r="AD32">
            <v>0.76190476190476197</v>
          </cell>
          <cell r="AE32">
            <v>0.9285714285714286</v>
          </cell>
          <cell r="AF32">
            <v>1</v>
          </cell>
          <cell r="AG32">
            <v>0</v>
          </cell>
          <cell r="AH32">
            <v>0</v>
          </cell>
          <cell r="AI32">
            <v>0</v>
          </cell>
          <cell r="AJ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row>
        <row r="33">
          <cell r="A33">
            <v>30</v>
          </cell>
          <cell r="B33">
            <v>7</v>
          </cell>
          <cell r="C33" t="str">
            <v>CONCRETO DE F`c = 3.000 psi. (construcción)</v>
          </cell>
          <cell r="D33" t="str">
            <v>M3</v>
          </cell>
          <cell r="E33">
            <v>5</v>
          </cell>
          <cell r="F33">
            <v>269160</v>
          </cell>
          <cell r="G33">
            <v>1345800</v>
          </cell>
          <cell r="H33">
            <v>1.2731265500088707E-2</v>
          </cell>
          <cell r="I33">
            <v>328375.19799999997</v>
          </cell>
          <cell r="J33">
            <v>296075.99337974197</v>
          </cell>
          <cell r="K33">
            <v>1641875.99</v>
          </cell>
          <cell r="L33">
            <v>156369.1419047619</v>
          </cell>
          <cell r="M33">
            <v>273645.99833333329</v>
          </cell>
          <cell r="N33">
            <v>273645.99833333329</v>
          </cell>
          <cell r="O33">
            <v>273645.99833333329</v>
          </cell>
          <cell r="P33">
            <v>273645.99833333329</v>
          </cell>
          <cell r="Q33">
            <v>273645.99833333329</v>
          </cell>
          <cell r="R33">
            <v>117276.85642857142</v>
          </cell>
          <cell r="S33">
            <v>156369.1419047619</v>
          </cell>
          <cell r="T33">
            <v>430015.14023809519</v>
          </cell>
          <cell r="U33">
            <v>703661.13857142848</v>
          </cell>
          <cell r="V33">
            <v>977307.13690476178</v>
          </cell>
          <cell r="W33">
            <v>1250953.1352380952</v>
          </cell>
          <cell r="X33">
            <v>1524599.1335714285</v>
          </cell>
          <cell r="Y33">
            <v>1641875.99</v>
          </cell>
          <cell r="Z33">
            <v>9.5238095238095233E-2</v>
          </cell>
          <cell r="AA33">
            <v>0.26190476190476186</v>
          </cell>
          <cell r="AB33">
            <v>0.42857142857142855</v>
          </cell>
          <cell r="AC33">
            <v>0.59523809523809512</v>
          </cell>
          <cell r="AD33">
            <v>0.76190476190476186</v>
          </cell>
          <cell r="AE33">
            <v>0.92857142857142849</v>
          </cell>
          <cell r="AF33">
            <v>1</v>
          </cell>
          <cell r="AG33">
            <v>0</v>
          </cell>
          <cell r="AH33">
            <v>0</v>
          </cell>
          <cell r="AI33">
            <v>0</v>
          </cell>
          <cell r="AJ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row>
        <row r="34">
          <cell r="A34">
            <v>31</v>
          </cell>
          <cell r="B34">
            <v>8</v>
          </cell>
          <cell r="C34" t="str">
            <v>REFUERZO DE Fy = 60.000 psi. (suministro, figuración y colocación)</v>
          </cell>
          <cell r="D34" t="str">
            <v>KG</v>
          </cell>
          <cell r="E34">
            <v>350</v>
          </cell>
          <cell r="F34">
            <v>1446</v>
          </cell>
          <cell r="G34">
            <v>505988</v>
          </cell>
          <cell r="H34">
            <v>4.7866455400942818E-3</v>
          </cell>
          <cell r="I34">
            <v>1763.7295999999999</v>
          </cell>
          <cell r="J34">
            <v>111317.35751094432</v>
          </cell>
          <cell r="K34">
            <v>617305.36</v>
          </cell>
          <cell r="L34">
            <v>58790.986666666664</v>
          </cell>
          <cell r="M34">
            <v>102884.22666666665</v>
          </cell>
          <cell r="N34">
            <v>102884.22666666665</v>
          </cell>
          <cell r="O34">
            <v>102884.22666666665</v>
          </cell>
          <cell r="P34">
            <v>102884.22666666665</v>
          </cell>
          <cell r="Q34">
            <v>102884.22666666665</v>
          </cell>
          <cell r="R34">
            <v>44093.24</v>
          </cell>
          <cell r="S34">
            <v>58790.986666666664</v>
          </cell>
          <cell r="T34">
            <v>161675.21333333332</v>
          </cell>
          <cell r="U34">
            <v>264559.43999999994</v>
          </cell>
          <cell r="V34">
            <v>367443.66666666663</v>
          </cell>
          <cell r="W34">
            <v>470327.89333333331</v>
          </cell>
          <cell r="X34">
            <v>573212.12</v>
          </cell>
          <cell r="Y34">
            <v>617305.36</v>
          </cell>
          <cell r="Z34">
            <v>9.5238095238095233E-2</v>
          </cell>
          <cell r="AA34">
            <v>0.26190476190476186</v>
          </cell>
          <cell r="AB34">
            <v>0.42857142857142849</v>
          </cell>
          <cell r="AC34">
            <v>0.59523809523809523</v>
          </cell>
          <cell r="AD34">
            <v>0.76190476190476186</v>
          </cell>
          <cell r="AE34">
            <v>0.9285714285714286</v>
          </cell>
          <cell r="AF34">
            <v>1</v>
          </cell>
          <cell r="AG34">
            <v>0</v>
          </cell>
          <cell r="AH34">
            <v>0</v>
          </cell>
          <cell r="AI34">
            <v>0</v>
          </cell>
          <cell r="AJ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row>
        <row r="35">
          <cell r="A35">
            <v>32</v>
          </cell>
          <cell r="B35">
            <v>9</v>
          </cell>
          <cell r="C35" t="str">
            <v>RELLENO  MATERIAL DE RIO (suministro, transporte, colocación y compactación)</v>
          </cell>
          <cell r="D35" t="str">
            <v>M3</v>
          </cell>
          <cell r="E35">
            <v>15</v>
          </cell>
          <cell r="F35">
            <v>28430</v>
          </cell>
          <cell r="G35">
            <v>426450</v>
          </cell>
          <cell r="H35">
            <v>4.0342162078413051E-3</v>
          </cell>
          <cell r="I35">
            <v>34684.6</v>
          </cell>
          <cell r="J35">
            <v>93818.997902207571</v>
          </cell>
          <cell r="K35">
            <v>520269</v>
          </cell>
          <cell r="L35">
            <v>49549.428571428572</v>
          </cell>
          <cell r="M35">
            <v>86711.5</v>
          </cell>
          <cell r="N35">
            <v>86711.5</v>
          </cell>
          <cell r="O35">
            <v>86711.5</v>
          </cell>
          <cell r="P35">
            <v>86711.5</v>
          </cell>
          <cell r="Q35">
            <v>86711.5</v>
          </cell>
          <cell r="R35">
            <v>37162.071428571428</v>
          </cell>
          <cell r="S35">
            <v>49549.428571428572</v>
          </cell>
          <cell r="T35">
            <v>136260.92857142858</v>
          </cell>
          <cell r="U35">
            <v>222972.42857142858</v>
          </cell>
          <cell r="V35">
            <v>309683.92857142858</v>
          </cell>
          <cell r="W35">
            <v>396395.42857142858</v>
          </cell>
          <cell r="X35">
            <v>483106.92857142858</v>
          </cell>
          <cell r="Y35">
            <v>520269</v>
          </cell>
          <cell r="Z35">
            <v>9.5238095238095247E-2</v>
          </cell>
          <cell r="AA35">
            <v>0.26190476190476192</v>
          </cell>
          <cell r="AB35">
            <v>0.4285714285714286</v>
          </cell>
          <cell r="AC35">
            <v>0.59523809523809523</v>
          </cell>
          <cell r="AD35">
            <v>0.76190476190476197</v>
          </cell>
          <cell r="AE35">
            <v>0.9285714285714286</v>
          </cell>
          <cell r="AF35">
            <v>1</v>
          </cell>
          <cell r="AG35">
            <v>0</v>
          </cell>
          <cell r="AH35">
            <v>0</v>
          </cell>
          <cell r="AI35">
            <v>0</v>
          </cell>
          <cell r="AJ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row>
        <row r="36">
          <cell r="A36">
            <v>33</v>
          </cell>
          <cell r="B36">
            <v>10</v>
          </cell>
          <cell r="C36" t="str">
            <v>RELLENO MATERIAL DE RIO LAVADO TAMAÑOS ENTRE 2.5 Y 10.0 CM. (Suministro, transporte, colocación y compactación)</v>
          </cell>
          <cell r="D36" t="str">
            <v>M3</v>
          </cell>
          <cell r="E36">
            <v>5</v>
          </cell>
          <cell r="F36">
            <v>50815</v>
          </cell>
          <cell r="G36">
            <v>254075</v>
          </cell>
          <cell r="H36">
            <v>2.4035490280391127E-3</v>
          </cell>
          <cell r="I36">
            <v>61994.3</v>
          </cell>
          <cell r="J36">
            <v>55896.498750154504</v>
          </cell>
          <cell r="K36">
            <v>309971.5</v>
          </cell>
          <cell r="L36">
            <v>29521.095238095237</v>
          </cell>
          <cell r="M36">
            <v>51661.916666666664</v>
          </cell>
          <cell r="N36">
            <v>51661.916666666664</v>
          </cell>
          <cell r="O36">
            <v>51661.916666666664</v>
          </cell>
          <cell r="P36">
            <v>51661.916666666664</v>
          </cell>
          <cell r="Q36">
            <v>51661.916666666664</v>
          </cell>
          <cell r="R36">
            <v>22140.821428571428</v>
          </cell>
          <cell r="S36">
            <v>29521.095238095237</v>
          </cell>
          <cell r="T36">
            <v>81183.011904761894</v>
          </cell>
          <cell r="U36">
            <v>132844.92857142855</v>
          </cell>
          <cell r="V36">
            <v>184506.84523809521</v>
          </cell>
          <cell r="W36">
            <v>236168.76190476186</v>
          </cell>
          <cell r="X36">
            <v>287830.67857142852</v>
          </cell>
          <cell r="Y36">
            <v>309971.49999999994</v>
          </cell>
          <cell r="Z36">
            <v>9.5238095238095247E-2</v>
          </cell>
          <cell r="AA36">
            <v>0.26190476190476192</v>
          </cell>
          <cell r="AB36">
            <v>0.4285714285714286</v>
          </cell>
          <cell r="AC36">
            <v>0.59523809523809523</v>
          </cell>
          <cell r="AD36">
            <v>0.76190476190476197</v>
          </cell>
          <cell r="AE36">
            <v>0.9285714285714286</v>
          </cell>
          <cell r="AF36">
            <v>1</v>
          </cell>
          <cell r="AG36">
            <v>0</v>
          </cell>
          <cell r="AH36">
            <v>0</v>
          </cell>
          <cell r="AI36">
            <v>0</v>
          </cell>
          <cell r="AJ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row>
        <row r="37">
          <cell r="A37">
            <v>34</v>
          </cell>
          <cell r="B37">
            <v>11</v>
          </cell>
          <cell r="C37" t="str">
            <v>RETIRO DE MATERIAL DE EXCAVACIONES Y DEMOLICIONES (Cargue, transporte y colocaciòn en botadero escogido por el Contratista)</v>
          </cell>
          <cell r="D37" t="str">
            <v>M3</v>
          </cell>
          <cell r="E37">
            <v>10</v>
          </cell>
          <cell r="F37">
            <v>15106</v>
          </cell>
          <cell r="G37">
            <v>151060</v>
          </cell>
          <cell r="H37">
            <v>1.4290273193961955E-3</v>
          </cell>
          <cell r="I37">
            <v>18429.32</v>
          </cell>
          <cell r="J37">
            <v>33233.199256905791</v>
          </cell>
          <cell r="K37">
            <v>184293.2</v>
          </cell>
          <cell r="L37">
            <v>21429.441860465118</v>
          </cell>
          <cell r="M37">
            <v>30001.218604651163</v>
          </cell>
          <cell r="N37">
            <v>30001.218604651163</v>
          </cell>
          <cell r="O37">
            <v>30001.218604651163</v>
          </cell>
          <cell r="P37">
            <v>30001.218604651163</v>
          </cell>
          <cell r="Q37">
            <v>30001.218604651163</v>
          </cell>
          <cell r="R37">
            <v>12857.665116279069</v>
          </cell>
          <cell r="S37">
            <v>21429.441860465118</v>
          </cell>
          <cell r="T37">
            <v>51430.660465116278</v>
          </cell>
          <cell r="U37">
            <v>81431.879069767441</v>
          </cell>
          <cell r="V37">
            <v>111433.0976744186</v>
          </cell>
          <cell r="W37">
            <v>141434.31627906975</v>
          </cell>
          <cell r="X37">
            <v>171435.53488372092</v>
          </cell>
          <cell r="Y37">
            <v>184293.19999999998</v>
          </cell>
          <cell r="Z37">
            <v>0.11627906976744189</v>
          </cell>
          <cell r="AA37">
            <v>0.27906976744186046</v>
          </cell>
          <cell r="AB37">
            <v>0.44186046511627913</v>
          </cell>
          <cell r="AC37">
            <v>0.60465116279069775</v>
          </cell>
          <cell r="AD37">
            <v>0.76744186046511631</v>
          </cell>
          <cell r="AE37">
            <v>0.93023255813953487</v>
          </cell>
          <cell r="AF37">
            <v>1</v>
          </cell>
          <cell r="AG37">
            <v>0</v>
          </cell>
          <cell r="AH37">
            <v>0</v>
          </cell>
          <cell r="AI37">
            <v>0</v>
          </cell>
          <cell r="AJ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row>
        <row r="38">
          <cell r="A38">
            <v>35</v>
          </cell>
          <cell r="B38">
            <v>12</v>
          </cell>
          <cell r="C38" t="str">
            <v>LIMPIEZA DE CAJAS EN  LA  RED PRINCIPAL  EXISTENTE (Limpieza y retiro del material al botadero escogido por el Contratista)</v>
          </cell>
          <cell r="D38" t="str">
            <v>UN</v>
          </cell>
          <cell r="E38">
            <v>20</v>
          </cell>
          <cell r="F38">
            <v>21985</v>
          </cell>
          <cell r="G38">
            <v>439700</v>
          </cell>
          <cell r="H38">
            <v>4.159561183228566E-3</v>
          </cell>
          <cell r="I38">
            <v>26821.7</v>
          </cell>
          <cell r="J38">
            <v>96733.99783702819</v>
          </cell>
          <cell r="K38">
            <v>536434</v>
          </cell>
          <cell r="L38">
            <v>357622.66666666669</v>
          </cell>
          <cell r="M38">
            <v>178811.33333333331</v>
          </cell>
          <cell r="S38">
            <v>357622.66666666669</v>
          </cell>
          <cell r="T38">
            <v>536434</v>
          </cell>
          <cell r="U38">
            <v>536434</v>
          </cell>
          <cell r="V38">
            <v>536434</v>
          </cell>
          <cell r="W38">
            <v>536434</v>
          </cell>
          <cell r="X38">
            <v>536434</v>
          </cell>
          <cell r="Y38">
            <v>536434</v>
          </cell>
          <cell r="Z38">
            <v>0.66666666666666674</v>
          </cell>
          <cell r="AA38">
            <v>1</v>
          </cell>
          <cell r="AB38">
            <v>1</v>
          </cell>
          <cell r="AC38">
            <v>1</v>
          </cell>
          <cell r="AD38">
            <v>1</v>
          </cell>
          <cell r="AE38">
            <v>1</v>
          </cell>
          <cell r="AF38">
            <v>1</v>
          </cell>
          <cell r="AG38">
            <v>12</v>
          </cell>
          <cell r="AH38">
            <v>0</v>
          </cell>
          <cell r="AI38">
            <v>10</v>
          </cell>
          <cell r="AJ38">
            <v>12</v>
          </cell>
          <cell r="AO38">
            <v>0</v>
          </cell>
          <cell r="AP38">
            <v>268217</v>
          </cell>
          <cell r="AQ38">
            <v>321860.40000000002</v>
          </cell>
          <cell r="AR38">
            <v>0</v>
          </cell>
          <cell r="AS38">
            <v>0</v>
          </cell>
          <cell r="AT38">
            <v>0</v>
          </cell>
          <cell r="AU38">
            <v>0</v>
          </cell>
          <cell r="AV38">
            <v>0</v>
          </cell>
          <cell r="AW38">
            <v>0.5</v>
          </cell>
          <cell r="AX38">
            <v>0.60000000000000009</v>
          </cell>
          <cell r="AY38">
            <v>0</v>
          </cell>
          <cell r="AZ38">
            <v>0</v>
          </cell>
          <cell r="BA38">
            <v>0</v>
          </cell>
          <cell r="BB38">
            <v>0</v>
          </cell>
        </row>
        <row r="39">
          <cell r="A39">
            <v>36</v>
          </cell>
          <cell r="B39">
            <v>13</v>
          </cell>
          <cell r="C39" t="str">
            <v>LIMPIEZA  DE TUBERIA   EN  LA RED  PRINCIPAL DEL  ALCANTARILLADO EXISTENTE (limpieza y retiro del material  al botadero escogido por el Contratista)</v>
          </cell>
          <cell r="D39" t="str">
            <v>ML</v>
          </cell>
          <cell r="E39">
            <v>380</v>
          </cell>
          <cell r="F39">
            <v>5047</v>
          </cell>
          <cell r="G39">
            <v>1917860</v>
          </cell>
          <cell r="H39">
            <v>1.8142952037449939E-2</v>
          </cell>
          <cell r="I39">
            <v>6157.3399736842102</v>
          </cell>
          <cell r="J39">
            <v>421929.19056566496</v>
          </cell>
          <cell r="K39">
            <v>2339789.19</v>
          </cell>
          <cell r="M39">
            <v>1299882.8833333333</v>
          </cell>
          <cell r="N39">
            <v>1039906.3066666666</v>
          </cell>
          <cell r="S39">
            <v>0</v>
          </cell>
          <cell r="T39">
            <v>1299882.8833333333</v>
          </cell>
          <cell r="U39">
            <v>2339789.19</v>
          </cell>
          <cell r="V39">
            <v>2339789.19</v>
          </cell>
          <cell r="W39">
            <v>2339789.19</v>
          </cell>
          <cell r="X39">
            <v>2339789.19</v>
          </cell>
          <cell r="Y39">
            <v>2339789.19</v>
          </cell>
          <cell r="Z39">
            <v>0</v>
          </cell>
          <cell r="AA39">
            <v>0.55555555555555558</v>
          </cell>
          <cell r="AB39">
            <v>1</v>
          </cell>
          <cell r="AC39">
            <v>1</v>
          </cell>
          <cell r="AD39">
            <v>1</v>
          </cell>
          <cell r="AE39">
            <v>1</v>
          </cell>
          <cell r="AF39">
            <v>1</v>
          </cell>
          <cell r="AG39">
            <v>101.7</v>
          </cell>
          <cell r="AH39">
            <v>0</v>
          </cell>
          <cell r="AI39">
            <v>0</v>
          </cell>
          <cell r="AJ39">
            <v>101.7</v>
          </cell>
          <cell r="AO39">
            <v>0</v>
          </cell>
          <cell r="AP39">
            <v>0</v>
          </cell>
          <cell r="AQ39">
            <v>626201.47532368416</v>
          </cell>
          <cell r="AR39">
            <v>0</v>
          </cell>
          <cell r="AS39">
            <v>0</v>
          </cell>
          <cell r="AT39">
            <v>0</v>
          </cell>
          <cell r="AU39">
            <v>0</v>
          </cell>
          <cell r="AV39">
            <v>0</v>
          </cell>
          <cell r="AW39">
            <v>0</v>
          </cell>
          <cell r="AX39">
            <v>0.26763157894736839</v>
          </cell>
          <cell r="AY39">
            <v>0</v>
          </cell>
          <cell r="AZ39">
            <v>0</v>
          </cell>
          <cell r="BA39">
            <v>0</v>
          </cell>
          <cell r="BB39">
            <v>0</v>
          </cell>
        </row>
        <row r="40">
          <cell r="A40">
            <v>37</v>
          </cell>
          <cell r="B40">
            <v>14</v>
          </cell>
          <cell r="C40" t="str">
            <v>RELLENO MATERIAL COMÙN (suministro, transporte, colocación y compactación)</v>
          </cell>
          <cell r="D40" t="str">
            <v>M3</v>
          </cell>
          <cell r="E40">
            <v>100</v>
          </cell>
          <cell r="F40">
            <v>12883</v>
          </cell>
          <cell r="G40">
            <v>1288250</v>
          </cell>
          <cell r="H40">
            <v>1.2186842606991585E-2</v>
          </cell>
          <cell r="I40">
            <v>15716.6499</v>
          </cell>
          <cell r="J40">
            <v>283414.99366284185</v>
          </cell>
          <cell r="K40">
            <v>1571664.99</v>
          </cell>
          <cell r="L40">
            <v>149682.38</v>
          </cell>
          <cell r="M40">
            <v>261944.16500000001</v>
          </cell>
          <cell r="N40">
            <v>261944.16500000001</v>
          </cell>
          <cell r="O40">
            <v>261944.16500000001</v>
          </cell>
          <cell r="P40">
            <v>261944.16500000001</v>
          </cell>
          <cell r="Q40">
            <v>261944.16500000001</v>
          </cell>
          <cell r="R40">
            <v>112261.785</v>
          </cell>
          <cell r="S40">
            <v>149682.38</v>
          </cell>
          <cell r="T40">
            <v>411626.54500000004</v>
          </cell>
          <cell r="U40">
            <v>673570.71000000008</v>
          </cell>
          <cell r="V40">
            <v>935514.87500000012</v>
          </cell>
          <cell r="W40">
            <v>1197459.04</v>
          </cell>
          <cell r="X40">
            <v>1459403.2050000001</v>
          </cell>
          <cell r="Y40">
            <v>1571664.99</v>
          </cell>
          <cell r="Z40">
            <v>9.5238095238095247E-2</v>
          </cell>
          <cell r="AA40">
            <v>0.26190476190476192</v>
          </cell>
          <cell r="AB40">
            <v>0.4285714285714286</v>
          </cell>
          <cell r="AC40">
            <v>0.59523809523809534</v>
          </cell>
          <cell r="AD40">
            <v>0.76190476190476197</v>
          </cell>
          <cell r="AE40">
            <v>0.9285714285714286</v>
          </cell>
          <cell r="AF40">
            <v>1</v>
          </cell>
          <cell r="AG40">
            <v>16.2</v>
          </cell>
          <cell r="AH40">
            <v>0</v>
          </cell>
          <cell r="AI40">
            <v>6</v>
          </cell>
          <cell r="AJ40">
            <v>16.2</v>
          </cell>
          <cell r="AO40">
            <v>0</v>
          </cell>
          <cell r="AP40">
            <v>94299.899399999995</v>
          </cell>
          <cell r="AQ40">
            <v>254609.72837999999</v>
          </cell>
          <cell r="AR40">
            <v>0</v>
          </cell>
          <cell r="AS40">
            <v>0</v>
          </cell>
          <cell r="AT40">
            <v>0</v>
          </cell>
          <cell r="AU40">
            <v>0</v>
          </cell>
          <cell r="AV40">
            <v>0</v>
          </cell>
          <cell r="AW40">
            <v>0.06</v>
          </cell>
          <cell r="AX40">
            <v>0.16200000000000001</v>
          </cell>
          <cell r="AY40">
            <v>0</v>
          </cell>
          <cell r="AZ40">
            <v>0</v>
          </cell>
          <cell r="BA40">
            <v>0</v>
          </cell>
          <cell r="BB40">
            <v>0</v>
          </cell>
        </row>
        <row r="41">
          <cell r="A41">
            <v>38</v>
          </cell>
          <cell r="B41">
            <v>15</v>
          </cell>
          <cell r="C41" t="str">
            <v>MARCOS  "H" EN TUBERÍA  F 6" A.C. (montaje y construcción; tubería a suministrar por ECOPETROL)</v>
          </cell>
          <cell r="D41" t="str">
            <v>UN</v>
          </cell>
          <cell r="E41">
            <v>8</v>
          </cell>
          <cell r="F41">
            <v>118520</v>
          </cell>
          <cell r="G41">
            <v>948163</v>
          </cell>
          <cell r="H41">
            <v>8.9696202187253739E-3</v>
          </cell>
          <cell r="I41">
            <v>144594.85750000001</v>
          </cell>
          <cell r="J41">
            <v>208595.85533579747</v>
          </cell>
          <cell r="K41">
            <v>1156758.8600000001</v>
          </cell>
          <cell r="M41">
            <v>925407.08800000011</v>
          </cell>
          <cell r="N41">
            <v>231351.772</v>
          </cell>
          <cell r="S41">
            <v>0</v>
          </cell>
          <cell r="T41">
            <v>925407.08800000011</v>
          </cell>
          <cell r="U41">
            <v>1156758.8600000001</v>
          </cell>
          <cell r="V41">
            <v>1156758.8600000001</v>
          </cell>
          <cell r="W41">
            <v>1156758.8600000001</v>
          </cell>
          <cell r="X41">
            <v>1156758.8600000001</v>
          </cell>
          <cell r="Y41">
            <v>1156758.8600000001</v>
          </cell>
          <cell r="Z41">
            <v>0</v>
          </cell>
          <cell r="AA41">
            <v>0.8</v>
          </cell>
          <cell r="AB41">
            <v>1</v>
          </cell>
          <cell r="AC41">
            <v>1</v>
          </cell>
          <cell r="AD41">
            <v>1</v>
          </cell>
          <cell r="AE41">
            <v>1</v>
          </cell>
          <cell r="AF41">
            <v>1</v>
          </cell>
          <cell r="AG41">
            <v>0</v>
          </cell>
          <cell r="AH41">
            <v>0</v>
          </cell>
          <cell r="AI41">
            <v>0</v>
          </cell>
          <cell r="AJ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row>
        <row r="42">
          <cell r="A42">
            <v>39</v>
          </cell>
          <cell r="B42">
            <v>16</v>
          </cell>
          <cell r="C42" t="str">
            <v>REALZAR CAJA  EXISTENTE  DE 70 X 70 CM. EN CONCRETO F´c = 3.000 psi. (const.)</v>
          </cell>
          <cell r="D42" t="str">
            <v>UN</v>
          </cell>
          <cell r="E42">
            <v>7</v>
          </cell>
          <cell r="F42">
            <v>106523</v>
          </cell>
          <cell r="G42">
            <v>745660</v>
          </cell>
          <cell r="H42">
            <v>7.0539422148879066E-3</v>
          </cell>
          <cell r="I42">
            <v>129957.8857142857</v>
          </cell>
          <cell r="J42">
            <v>164045.19633195005</v>
          </cell>
          <cell r="K42">
            <v>909705.2</v>
          </cell>
          <cell r="O42">
            <v>606470.1333333333</v>
          </cell>
          <cell r="P42">
            <v>303235.06666666665</v>
          </cell>
          <cell r="S42">
            <v>0</v>
          </cell>
          <cell r="T42">
            <v>0</v>
          </cell>
          <cell r="U42">
            <v>0</v>
          </cell>
          <cell r="V42">
            <v>606470.1333333333</v>
          </cell>
          <cell r="W42">
            <v>909705.2</v>
          </cell>
          <cell r="X42">
            <v>909705.2</v>
          </cell>
          <cell r="Y42">
            <v>909705.2</v>
          </cell>
          <cell r="Z42">
            <v>0</v>
          </cell>
          <cell r="AA42">
            <v>0</v>
          </cell>
          <cell r="AB42">
            <v>0</v>
          </cell>
          <cell r="AC42">
            <v>0.66666666666666663</v>
          </cell>
          <cell r="AD42">
            <v>1</v>
          </cell>
          <cell r="AE42">
            <v>1</v>
          </cell>
          <cell r="AF42">
            <v>1</v>
          </cell>
          <cell r="AG42">
            <v>0</v>
          </cell>
          <cell r="AH42">
            <v>0</v>
          </cell>
          <cell r="AI42">
            <v>0</v>
          </cell>
          <cell r="AJ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row>
        <row r="43">
          <cell r="A43">
            <v>40</v>
          </cell>
          <cell r="B43">
            <v>17</v>
          </cell>
          <cell r="C43" t="str">
            <v>TRAMPAS DE GRASA EN CONCRETO DE Fc¨= 3.000psi. (construcción)</v>
          </cell>
          <cell r="D43" t="str">
            <v>UN</v>
          </cell>
          <cell r="E43">
            <v>2</v>
          </cell>
          <cell r="F43">
            <v>994603</v>
          </cell>
          <cell r="G43">
            <v>1989206</v>
          </cell>
          <cell r="H43">
            <v>1.881788506492009E-2</v>
          </cell>
          <cell r="I43">
            <v>1213415.655</v>
          </cell>
          <cell r="J43">
            <v>437625.31021469977</v>
          </cell>
          <cell r="K43">
            <v>2426831.31</v>
          </cell>
          <cell r="P43">
            <v>1348239.6166666667</v>
          </cell>
          <cell r="Q43">
            <v>1078591.6933333334</v>
          </cell>
          <cell r="S43">
            <v>0</v>
          </cell>
          <cell r="T43">
            <v>0</v>
          </cell>
          <cell r="U43">
            <v>0</v>
          </cell>
          <cell r="V43">
            <v>0</v>
          </cell>
          <cell r="W43">
            <v>1348239.6166666667</v>
          </cell>
          <cell r="X43">
            <v>2426831.31</v>
          </cell>
          <cell r="Y43">
            <v>2426831.31</v>
          </cell>
          <cell r="Z43">
            <v>0</v>
          </cell>
          <cell r="AA43">
            <v>0</v>
          </cell>
          <cell r="AB43">
            <v>0</v>
          </cell>
          <cell r="AC43">
            <v>0</v>
          </cell>
          <cell r="AD43">
            <v>0.55555555555555558</v>
          </cell>
          <cell r="AE43">
            <v>1</v>
          </cell>
          <cell r="AF43">
            <v>1</v>
          </cell>
          <cell r="AG43">
            <v>0</v>
          </cell>
          <cell r="AH43">
            <v>0</v>
          </cell>
          <cell r="AI43">
            <v>0</v>
          </cell>
          <cell r="AJ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row>
        <row r="44">
          <cell r="A44">
            <v>41</v>
          </cell>
          <cell r="B44">
            <v>18</v>
          </cell>
          <cell r="C44" t="str">
            <v>DEMOLER Y REALZAR  TAPA DE CAJA - CJ 29  de 1.20 m. DE DIAMETRO (construcción)</v>
          </cell>
          <cell r="D44" t="str">
            <v>UN</v>
          </cell>
          <cell r="E44">
            <v>1</v>
          </cell>
          <cell r="F44">
            <v>193459</v>
          </cell>
          <cell r="G44">
            <v>193459</v>
          </cell>
          <cell r="H44">
            <v>1.8301217806372871E-3</v>
          </cell>
          <cell r="I44">
            <v>236019.98</v>
          </cell>
          <cell r="J44">
            <v>42560.979048336674</v>
          </cell>
          <cell r="K44">
            <v>236019.98</v>
          </cell>
          <cell r="Q44">
            <v>236019.98</v>
          </cell>
          <cell r="S44">
            <v>0</v>
          </cell>
          <cell r="T44">
            <v>0</v>
          </cell>
          <cell r="U44">
            <v>0</v>
          </cell>
          <cell r="V44">
            <v>0</v>
          </cell>
          <cell r="W44">
            <v>0</v>
          </cell>
          <cell r="X44">
            <v>236019.98</v>
          </cell>
          <cell r="Y44">
            <v>236019.98</v>
          </cell>
          <cell r="Z44">
            <v>0</v>
          </cell>
          <cell r="AA44">
            <v>0</v>
          </cell>
          <cell r="AB44">
            <v>0</v>
          </cell>
          <cell r="AC44">
            <v>0</v>
          </cell>
          <cell r="AD44">
            <v>0</v>
          </cell>
          <cell r="AE44">
            <v>1</v>
          </cell>
          <cell r="AF44">
            <v>1</v>
          </cell>
          <cell r="AG44">
            <v>0</v>
          </cell>
          <cell r="AH44">
            <v>0</v>
          </cell>
          <cell r="AI44">
            <v>0</v>
          </cell>
          <cell r="AJ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row>
        <row r="45">
          <cell r="A45">
            <v>42</v>
          </cell>
          <cell r="B45">
            <v>19</v>
          </cell>
          <cell r="C45" t="str">
            <v>CERRAMIENTO  EN  MALLA  ESLABONADA (suministro, montaje y construcción)</v>
          </cell>
          <cell r="D45" t="str">
            <v>ML</v>
          </cell>
          <cell r="E45">
            <v>90</v>
          </cell>
          <cell r="F45">
            <v>119756</v>
          </cell>
          <cell r="G45">
            <v>10778040</v>
          </cell>
          <cell r="H45">
            <v>0.10196023837908759</v>
          </cell>
          <cell r="I45">
            <v>146102.31944444444</v>
          </cell>
          <cell r="J45">
            <v>2371168.746980676</v>
          </cell>
          <cell r="K45">
            <v>13149208.75</v>
          </cell>
          <cell r="N45">
            <v>4640897.2058823528</v>
          </cell>
          <cell r="O45">
            <v>5414380.0735294111</v>
          </cell>
          <cell r="P45">
            <v>3093931.4705882352</v>
          </cell>
          <cell r="S45">
            <v>0</v>
          </cell>
          <cell r="T45">
            <v>0</v>
          </cell>
          <cell r="U45">
            <v>4640897.2058823528</v>
          </cell>
          <cell r="V45">
            <v>10055277.279411763</v>
          </cell>
          <cell r="W45">
            <v>13149208.749999998</v>
          </cell>
          <cell r="X45">
            <v>13149208.749999998</v>
          </cell>
          <cell r="Y45">
            <v>13149208.749999998</v>
          </cell>
          <cell r="Z45">
            <v>0</v>
          </cell>
          <cell r="AA45">
            <v>0</v>
          </cell>
          <cell r="AB45">
            <v>0.35294117647058826</v>
          </cell>
          <cell r="AC45">
            <v>0.76470588235294112</v>
          </cell>
          <cell r="AD45">
            <v>1</v>
          </cell>
          <cell r="AE45">
            <v>1</v>
          </cell>
          <cell r="AF45">
            <v>1</v>
          </cell>
          <cell r="AG45">
            <v>0</v>
          </cell>
          <cell r="AH45">
            <v>0</v>
          </cell>
          <cell r="AI45">
            <v>0</v>
          </cell>
          <cell r="AJ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row>
        <row r="46">
          <cell r="A46">
            <v>43</v>
          </cell>
          <cell r="B46">
            <v>20</v>
          </cell>
          <cell r="C46" t="str">
            <v>CUNETA EN CONCRETO DE F`c = 3.000 psi (construcción)</v>
          </cell>
          <cell r="D46" t="str">
            <v>ML</v>
          </cell>
          <cell r="E46">
            <v>100</v>
          </cell>
          <cell r="F46">
            <v>27900</v>
          </cell>
          <cell r="G46">
            <v>2790000</v>
          </cell>
          <cell r="H46">
            <v>2.6393394817392994E-2</v>
          </cell>
          <cell r="I46">
            <v>34037.999900000003</v>
          </cell>
          <cell r="J46">
            <v>613799.98627543473</v>
          </cell>
          <cell r="K46">
            <v>3403799.99</v>
          </cell>
          <cell r="Q46">
            <v>1701899.9950000001</v>
          </cell>
          <cell r="R46">
            <v>1701899.9950000001</v>
          </cell>
          <cell r="S46">
            <v>0</v>
          </cell>
          <cell r="T46">
            <v>0</v>
          </cell>
          <cell r="U46">
            <v>0</v>
          </cell>
          <cell r="V46">
            <v>0</v>
          </cell>
          <cell r="W46">
            <v>0</v>
          </cell>
          <cell r="X46">
            <v>1701899.9950000001</v>
          </cell>
          <cell r="Y46">
            <v>3403799.99</v>
          </cell>
          <cell r="Z46">
            <v>0</v>
          </cell>
          <cell r="AA46">
            <v>0</v>
          </cell>
          <cell r="AB46">
            <v>0</v>
          </cell>
          <cell r="AC46">
            <v>0</v>
          </cell>
          <cell r="AD46">
            <v>0</v>
          </cell>
          <cell r="AE46">
            <v>0.5</v>
          </cell>
          <cell r="AF46">
            <v>1</v>
          </cell>
          <cell r="AG46">
            <v>0</v>
          </cell>
          <cell r="AH46">
            <v>0</v>
          </cell>
          <cell r="AI46">
            <v>0</v>
          </cell>
          <cell r="AJ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row>
        <row r="47">
          <cell r="A47">
            <v>44</v>
          </cell>
          <cell r="B47">
            <v>21</v>
          </cell>
          <cell r="C47" t="str">
            <v>CORTE  BISELADO Y  SOLDADURA  DE TUBERIA  (suministro y  construccion)</v>
          </cell>
          <cell r="D47" t="str">
            <v>PULG.</v>
          </cell>
          <cell r="E47">
            <v>1200</v>
          </cell>
          <cell r="F47">
            <v>898</v>
          </cell>
          <cell r="G47">
            <v>1077600</v>
          </cell>
          <cell r="H47">
            <v>1.0194093998287702E-2</v>
          </cell>
          <cell r="I47">
            <v>1095.5599916666667</v>
          </cell>
          <cell r="J47">
            <v>237071.9946990711</v>
          </cell>
          <cell r="K47">
            <v>1314671.99</v>
          </cell>
          <cell r="L47">
            <v>547779.99583333335</v>
          </cell>
          <cell r="M47">
            <v>766891.99416666664</v>
          </cell>
          <cell r="S47">
            <v>547779.99583333335</v>
          </cell>
          <cell r="T47">
            <v>1314671.99</v>
          </cell>
          <cell r="U47">
            <v>1314671.99</v>
          </cell>
          <cell r="V47">
            <v>1314671.99</v>
          </cell>
          <cell r="W47">
            <v>1314671.99</v>
          </cell>
          <cell r="X47">
            <v>1314671.99</v>
          </cell>
          <cell r="Y47">
            <v>1314671.99</v>
          </cell>
          <cell r="Z47">
            <v>0.41666666666666669</v>
          </cell>
          <cell r="AA47">
            <v>1</v>
          </cell>
          <cell r="AB47">
            <v>1</v>
          </cell>
          <cell r="AC47">
            <v>1</v>
          </cell>
          <cell r="AD47">
            <v>1</v>
          </cell>
          <cell r="AE47">
            <v>1</v>
          </cell>
          <cell r="AF47">
            <v>1</v>
          </cell>
          <cell r="AG47">
            <v>0</v>
          </cell>
          <cell r="AH47">
            <v>0</v>
          </cell>
          <cell r="AI47">
            <v>0</v>
          </cell>
          <cell r="AJ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row>
        <row r="48">
          <cell r="A48">
            <v>45</v>
          </cell>
          <cell r="B48">
            <v>22</v>
          </cell>
          <cell r="C48" t="str">
            <v>ACOMETIDA ELECTRICA</v>
          </cell>
          <cell r="D48" t="str">
            <v>ML</v>
          </cell>
          <cell r="E48">
            <v>150</v>
          </cell>
          <cell r="F48">
            <v>60723</v>
          </cell>
          <cell r="G48">
            <v>9108450</v>
          </cell>
          <cell r="H48">
            <v>8.6165920080459937E-2</v>
          </cell>
          <cell r="I48">
            <v>74082.059733333343</v>
          </cell>
          <cell r="J48">
            <v>2003858.9551937217</v>
          </cell>
          <cell r="K48">
            <v>11112308.960000001</v>
          </cell>
          <cell r="Q48">
            <v>6349890.8342857147</v>
          </cell>
          <cell r="R48">
            <v>4762418.1257142862</v>
          </cell>
          <cell r="S48">
            <v>0</v>
          </cell>
          <cell r="T48">
            <v>0</v>
          </cell>
          <cell r="U48">
            <v>0</v>
          </cell>
          <cell r="V48">
            <v>0</v>
          </cell>
          <cell r="W48">
            <v>0</v>
          </cell>
          <cell r="X48">
            <v>6349890.8342857147</v>
          </cell>
          <cell r="Y48">
            <v>11112308.960000001</v>
          </cell>
          <cell r="Z48">
            <v>0</v>
          </cell>
          <cell r="AA48">
            <v>0</v>
          </cell>
          <cell r="AB48">
            <v>0</v>
          </cell>
          <cell r="AC48">
            <v>0</v>
          </cell>
          <cell r="AD48">
            <v>0</v>
          </cell>
          <cell r="AE48">
            <v>0.5714285714285714</v>
          </cell>
          <cell r="AF48">
            <v>1</v>
          </cell>
          <cell r="AG48">
            <v>0</v>
          </cell>
          <cell r="AH48">
            <v>0</v>
          </cell>
          <cell r="AI48">
            <v>0</v>
          </cell>
          <cell r="AJ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row>
        <row r="49">
          <cell r="A49">
            <v>46</v>
          </cell>
          <cell r="B49">
            <v>23</v>
          </cell>
          <cell r="C49" t="str">
            <v>ACOMETIDA DE AGUA</v>
          </cell>
          <cell r="D49" t="str">
            <v>ML</v>
          </cell>
          <cell r="E49">
            <v>150</v>
          </cell>
          <cell r="F49">
            <v>7169</v>
          </cell>
          <cell r="G49">
            <v>1075350</v>
          </cell>
          <cell r="H49">
            <v>1.0172809002467224E-2</v>
          </cell>
          <cell r="I49">
            <v>8746.1799333333329</v>
          </cell>
          <cell r="J49">
            <v>236576.99471013932</v>
          </cell>
          <cell r="K49">
            <v>1311926.99</v>
          </cell>
          <cell r="Q49">
            <v>749672.56571428571</v>
          </cell>
          <cell r="R49">
            <v>562254.42428571428</v>
          </cell>
          <cell r="S49">
            <v>0</v>
          </cell>
          <cell r="T49">
            <v>0</v>
          </cell>
          <cell r="U49">
            <v>0</v>
          </cell>
          <cell r="V49">
            <v>0</v>
          </cell>
          <cell r="W49">
            <v>0</v>
          </cell>
          <cell r="X49">
            <v>749672.56571428571</v>
          </cell>
          <cell r="Y49">
            <v>1311926.99</v>
          </cell>
          <cell r="Z49">
            <v>0</v>
          </cell>
          <cell r="AA49">
            <v>0</v>
          </cell>
          <cell r="AB49">
            <v>0</v>
          </cell>
          <cell r="AC49">
            <v>0</v>
          </cell>
          <cell r="AD49">
            <v>0</v>
          </cell>
          <cell r="AE49">
            <v>0.5714285714285714</v>
          </cell>
          <cell r="AF49">
            <v>1</v>
          </cell>
          <cell r="AG49">
            <v>0</v>
          </cell>
          <cell r="AH49">
            <v>0</v>
          </cell>
          <cell r="AI49">
            <v>0</v>
          </cell>
          <cell r="AJ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row>
        <row r="50">
          <cell r="A50">
            <v>47</v>
          </cell>
          <cell r="B50">
            <v>24</v>
          </cell>
          <cell r="C50" t="str">
            <v>Planos "AS  BUILT"</v>
          </cell>
          <cell r="D50" t="str">
            <v>GL</v>
          </cell>
          <cell r="E50">
            <v>1</v>
          </cell>
          <cell r="F50">
            <v>945000</v>
          </cell>
          <cell r="G50">
            <v>945000</v>
          </cell>
          <cell r="H50">
            <v>8.9396982446008529E-3</v>
          </cell>
          <cell r="I50">
            <v>1152900</v>
          </cell>
          <cell r="J50">
            <v>207899.99535135692</v>
          </cell>
          <cell r="K50">
            <v>1152900</v>
          </cell>
          <cell r="Q50">
            <v>658800</v>
          </cell>
          <cell r="R50">
            <v>494100</v>
          </cell>
          <cell r="S50">
            <v>0</v>
          </cell>
          <cell r="T50">
            <v>0</v>
          </cell>
          <cell r="U50">
            <v>0</v>
          </cell>
          <cell r="V50">
            <v>0</v>
          </cell>
          <cell r="W50">
            <v>0</v>
          </cell>
          <cell r="X50">
            <v>658800</v>
          </cell>
          <cell r="Y50">
            <v>1152900</v>
          </cell>
          <cell r="Z50">
            <v>0</v>
          </cell>
          <cell r="AA50">
            <v>0</v>
          </cell>
          <cell r="AB50">
            <v>0</v>
          </cell>
          <cell r="AC50">
            <v>0</v>
          </cell>
          <cell r="AD50">
            <v>0</v>
          </cell>
          <cell r="AE50">
            <v>0.5714285714285714</v>
          </cell>
          <cell r="AF50">
            <v>1</v>
          </cell>
          <cell r="AG50">
            <v>0</v>
          </cell>
          <cell r="AH50">
            <v>0</v>
          </cell>
          <cell r="AI50">
            <v>0</v>
          </cell>
          <cell r="AJ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row>
        <row r="51">
          <cell r="A51">
            <v>48</v>
          </cell>
          <cell r="C51" t="str">
            <v>TOTAL</v>
          </cell>
          <cell r="G51">
            <v>172953530</v>
          </cell>
          <cell r="K51">
            <v>128964084.03999998</v>
          </cell>
          <cell r="L51">
            <v>16152059.744689595</v>
          </cell>
          <cell r="M51">
            <v>20538836.128957592</v>
          </cell>
          <cell r="N51">
            <v>20837115.333947785</v>
          </cell>
          <cell r="O51">
            <v>17716180.524967395</v>
          </cell>
          <cell r="P51">
            <v>20589413.510192886</v>
          </cell>
          <cell r="Q51">
            <v>25231349.184271317</v>
          </cell>
          <cell r="R51">
            <v>7899129.6129734227</v>
          </cell>
          <cell r="S51">
            <v>16152059.744689595</v>
          </cell>
          <cell r="T51">
            <v>36690895.873647183</v>
          </cell>
          <cell r="U51">
            <v>57528011.207594968</v>
          </cell>
          <cell r="V51">
            <v>75244191.732562363</v>
          </cell>
          <cell r="W51">
            <v>95833605.242755249</v>
          </cell>
          <cell r="X51">
            <v>121064954.42702657</v>
          </cell>
          <cell r="Y51">
            <v>128964084.03999999</v>
          </cell>
          <cell r="Z51">
            <v>0.12524463586063087</v>
          </cell>
          <cell r="AA51">
            <v>0.28450476073840059</v>
          </cell>
          <cell r="AB51">
            <v>0.44607777146505273</v>
          </cell>
          <cell r="AC51">
            <v>0.58345075136752289</v>
          </cell>
          <cell r="AD51">
            <v>0.7431030581586664</v>
          </cell>
          <cell r="AE51">
            <v>0.93874938381663375</v>
          </cell>
          <cell r="AF51">
            <v>1</v>
          </cell>
          <cell r="AG51" t="e">
            <v>#N/A</v>
          </cell>
          <cell r="AH51">
            <v>0</v>
          </cell>
          <cell r="AI51" t="e">
            <v>#N/A</v>
          </cell>
          <cell r="AJ51" t="e">
            <v>#N/A</v>
          </cell>
          <cell r="AO51">
            <v>5267491.2596936319</v>
          </cell>
          <cell r="AP51">
            <v>10531697.173697814</v>
          </cell>
          <cell r="AQ51">
            <v>20895150.356504612</v>
          </cell>
          <cell r="AR51">
            <v>0</v>
          </cell>
          <cell r="AS51">
            <v>0</v>
          </cell>
          <cell r="AT51">
            <v>0</v>
          </cell>
          <cell r="AU51">
            <v>0</v>
          </cell>
          <cell r="AV51">
            <v>4.0844637473328206E-2</v>
          </cell>
          <cell r="AW51">
            <v>8.1663800057939107E-2</v>
          </cell>
          <cell r="AX51">
            <v>0.16202301991323176</v>
          </cell>
          <cell r="AY51">
            <v>0</v>
          </cell>
          <cell r="AZ51">
            <v>0</v>
          </cell>
          <cell r="BA51">
            <v>0</v>
          </cell>
          <cell r="BB51">
            <v>0</v>
          </cell>
        </row>
        <row r="52">
          <cell r="A52">
            <v>49</v>
          </cell>
          <cell r="C52" t="str">
            <v>ADMINISTRACION</v>
          </cell>
          <cell r="G52">
            <v>11627909</v>
          </cell>
        </row>
        <row r="53">
          <cell r="A53">
            <v>50</v>
          </cell>
          <cell r="C53" t="str">
            <v>IMPREVISTOS</v>
          </cell>
          <cell r="G53">
            <v>6342496</v>
          </cell>
        </row>
        <row r="54">
          <cell r="A54">
            <v>51</v>
          </cell>
          <cell r="C54" t="str">
            <v>UTILIDADES</v>
          </cell>
          <cell r="G54">
            <v>5285413</v>
          </cell>
        </row>
        <row r="55">
          <cell r="A55">
            <v>52</v>
          </cell>
          <cell r="C55" t="str">
            <v>TOTAL CON AIU</v>
          </cell>
          <cell r="G55">
            <v>128964084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ÍSICO"/>
      <sheetName val="PRESUPUESTAL"/>
      <sheetName val="A34310"/>
    </sheetNames>
    <sheetDataSet>
      <sheetData sheetId="0"/>
      <sheetData sheetId="1">
        <row r="4">
          <cell r="A4" t="str">
            <v>DESCRIPCION</v>
          </cell>
          <cell r="B4" t="str">
            <v xml:space="preserve">VALOR </v>
          </cell>
          <cell r="C4" t="str">
            <v>PESO</v>
          </cell>
          <cell r="E4">
            <v>2004</v>
          </cell>
        </row>
        <row r="5">
          <cell r="B5" t="str">
            <v>COL$</v>
          </cell>
          <cell r="C5" t="str">
            <v>%</v>
          </cell>
          <cell r="E5" t="str">
            <v>ENE</v>
          </cell>
          <cell r="F5" t="str">
            <v>FEB</v>
          </cell>
          <cell r="G5" t="str">
            <v>MAR</v>
          </cell>
          <cell r="H5" t="str">
            <v>ABR</v>
          </cell>
          <cell r="I5" t="str">
            <v>MAY</v>
          </cell>
          <cell r="J5" t="str">
            <v>JUN</v>
          </cell>
          <cell r="K5" t="str">
            <v>JUL</v>
          </cell>
          <cell r="L5" t="str">
            <v>AGO</v>
          </cell>
          <cell r="M5" t="str">
            <v>SEP</v>
          </cell>
          <cell r="N5" t="str">
            <v>OCT</v>
          </cell>
          <cell r="O5" t="str">
            <v>NOV</v>
          </cell>
          <cell r="P5" t="str">
            <v>DIC</v>
          </cell>
        </row>
        <row r="6">
          <cell r="A6" t="str">
            <v>INGENIERÍA</v>
          </cell>
          <cell r="B6">
            <v>370000000</v>
          </cell>
          <cell r="C6">
            <v>1</v>
          </cell>
          <cell r="D6" t="str">
            <v>P</v>
          </cell>
          <cell r="P6">
            <v>370000000</v>
          </cell>
        </row>
        <row r="7">
          <cell r="A7" t="str">
            <v>inge2</v>
          </cell>
          <cell r="D7" t="str">
            <v>E</v>
          </cell>
        </row>
        <row r="8">
          <cell r="A8" t="str">
            <v>DETALLADA</v>
          </cell>
          <cell r="B8">
            <v>370000000</v>
          </cell>
          <cell r="C8">
            <v>1</v>
          </cell>
          <cell r="D8" t="str">
            <v>P</v>
          </cell>
          <cell r="P8">
            <v>370000000</v>
          </cell>
        </row>
        <row r="9">
          <cell r="A9" t="str">
            <v>deta2</v>
          </cell>
          <cell r="D9" t="str">
            <v>E</v>
          </cell>
        </row>
        <row r="10">
          <cell r="A10" t="str">
            <v>TOTALES</v>
          </cell>
          <cell r="B10">
            <v>370000000</v>
          </cell>
          <cell r="C10">
            <v>1</v>
          </cell>
          <cell r="D10" t="str">
            <v>P</v>
          </cell>
          <cell r="P10">
            <v>370000000</v>
          </cell>
        </row>
        <row r="11">
          <cell r="D11" t="str">
            <v>E</v>
          </cell>
        </row>
        <row r="12">
          <cell r="A12" t="str">
            <v>Estimado 2004</v>
          </cell>
          <cell r="B12">
            <v>498400000</v>
          </cell>
        </row>
        <row r="14">
          <cell r="A14" t="str">
            <v>CONTROL AVANCE PRESUPUESTAL</v>
          </cell>
        </row>
        <row r="15">
          <cell r="A15" t="str">
            <v>PROYECTO :</v>
          </cell>
          <cell r="B15" t="str">
            <v>Montaje  de D-4124, Eyector C4100  de etileno II, Montaje Sistemas Hidrúlicos P- 2251 A/B/C/D SOLO bombas de iniciador, Enfriador de gas E- 2257, COMPLETO</v>
          </cell>
        </row>
        <row r="16">
          <cell r="A16" t="str">
            <v>INSTRUCCIÓN</v>
          </cell>
        </row>
        <row r="17">
          <cell r="A17" t="str">
            <v>DESCRIPCION</v>
          </cell>
          <cell r="B17" t="str">
            <v xml:space="preserve">VALOR </v>
          </cell>
          <cell r="C17" t="str">
            <v>PESO</v>
          </cell>
          <cell r="E17">
            <v>2004</v>
          </cell>
        </row>
        <row r="18">
          <cell r="B18" t="str">
            <v>COL$</v>
          </cell>
          <cell r="C18" t="str">
            <v>%</v>
          </cell>
          <cell r="E18" t="str">
            <v>ENE</v>
          </cell>
          <cell r="F18" t="str">
            <v>FEB</v>
          </cell>
          <cell r="G18" t="str">
            <v>MAR</v>
          </cell>
          <cell r="H18" t="str">
            <v>ABR</v>
          </cell>
          <cell r="I18" t="str">
            <v>MAY</v>
          </cell>
          <cell r="J18" t="str">
            <v>JUN</v>
          </cell>
          <cell r="K18" t="str">
            <v>JUL</v>
          </cell>
          <cell r="L18" t="str">
            <v>AGO</v>
          </cell>
          <cell r="M18" t="str">
            <v>SEP</v>
          </cell>
          <cell r="N18" t="str">
            <v>OCT</v>
          </cell>
          <cell r="O18" t="str">
            <v>NOV</v>
          </cell>
          <cell r="P18" t="str">
            <v>DIC</v>
          </cell>
        </row>
        <row r="19">
          <cell r="A19" t="str">
            <v>COMPRAS</v>
          </cell>
          <cell r="B19">
            <v>12500000</v>
          </cell>
          <cell r="C19">
            <v>0.11597733937767626</v>
          </cell>
          <cell r="D19" t="str">
            <v>P</v>
          </cell>
          <cell r="H19">
            <v>6000000</v>
          </cell>
          <cell r="K19">
            <v>6500000</v>
          </cell>
        </row>
        <row r="20">
          <cell r="A20" t="str">
            <v>comp2</v>
          </cell>
          <cell r="D20" t="str">
            <v>E</v>
          </cell>
          <cell r="H20">
            <v>6000000</v>
          </cell>
          <cell r="K20">
            <v>6500000</v>
          </cell>
        </row>
        <row r="21">
          <cell r="A21" t="str">
            <v>NACIONALES</v>
          </cell>
          <cell r="B21">
            <v>12500000</v>
          </cell>
          <cell r="C21">
            <v>0.11597733937767626</v>
          </cell>
          <cell r="D21" t="str">
            <v>P</v>
          </cell>
          <cell r="H21">
            <v>6000000</v>
          </cell>
          <cell r="K21">
            <v>6500000</v>
          </cell>
        </row>
        <row r="22">
          <cell r="A22" t="str">
            <v>naci2</v>
          </cell>
          <cell r="D22" t="str">
            <v>E</v>
          </cell>
          <cell r="H22">
            <v>6000000</v>
          </cell>
          <cell r="K22">
            <v>6500000</v>
          </cell>
        </row>
        <row r="23">
          <cell r="A23" t="str">
            <v>CONSTRUCCIÓN</v>
          </cell>
          <cell r="B23">
            <v>80513312.469999999</v>
          </cell>
          <cell r="C23">
            <v>0.7470175811803268</v>
          </cell>
          <cell r="D23" t="str">
            <v>P</v>
          </cell>
          <cell r="G23">
            <v>22058400.659999996</v>
          </cell>
          <cell r="H23">
            <v>36764001.43</v>
          </cell>
          <cell r="I23">
            <v>14440238.379999999</v>
          </cell>
          <cell r="M23">
            <v>7250671.9999999991</v>
          </cell>
        </row>
        <row r="24">
          <cell r="A24" t="str">
            <v>const2</v>
          </cell>
          <cell r="D24" t="str">
            <v>E</v>
          </cell>
          <cell r="G24">
            <v>22058400.659999996</v>
          </cell>
          <cell r="H24">
            <v>36764001.43</v>
          </cell>
          <cell r="I24">
            <v>14440238.379999999</v>
          </cell>
        </row>
        <row r="25">
          <cell r="A25" t="str">
            <v>CIVIL</v>
          </cell>
          <cell r="B25">
            <v>10000000</v>
          </cell>
          <cell r="C25">
            <v>9.2781871502141011E-2</v>
          </cell>
          <cell r="D25" t="str">
            <v>P</v>
          </cell>
          <cell r="G25">
            <v>2739720.9210860827</v>
          </cell>
          <cell r="H25">
            <v>4566201.5761304814</v>
          </cell>
          <cell r="I25">
            <v>1793521.8334707771</v>
          </cell>
          <cell r="M25">
            <v>900555.66931265767</v>
          </cell>
        </row>
        <row r="26">
          <cell r="A26" t="str">
            <v>civi2</v>
          </cell>
          <cell r="D26" t="str">
            <v>E</v>
          </cell>
          <cell r="G26">
            <v>2739720.9210860827</v>
          </cell>
          <cell r="H26">
            <v>4566201.5761304814</v>
          </cell>
          <cell r="I26">
            <v>1793521.8334707771</v>
          </cell>
        </row>
        <row r="27">
          <cell r="A27" t="str">
            <v>ELÉCTRICA</v>
          </cell>
          <cell r="B27">
            <v>10000000</v>
          </cell>
          <cell r="C27">
            <v>9.2781871502141011E-2</v>
          </cell>
          <cell r="D27" t="str">
            <v>P</v>
          </cell>
          <cell r="G27">
            <v>2739720.9210860827</v>
          </cell>
          <cell r="H27">
            <v>4566201.5761304814</v>
          </cell>
          <cell r="I27">
            <v>1793521.8334707771</v>
          </cell>
          <cell r="M27">
            <v>900555.66931265767</v>
          </cell>
        </row>
        <row r="28">
          <cell r="A28" t="str">
            <v>eléc2</v>
          </cell>
          <cell r="D28" t="str">
            <v>E</v>
          </cell>
          <cell r="G28">
            <v>2739720.9210860827</v>
          </cell>
          <cell r="H28">
            <v>4566201.5761304814</v>
          </cell>
          <cell r="I28">
            <v>1793521.8334707771</v>
          </cell>
        </row>
        <row r="29">
          <cell r="A29" t="str">
            <v>MECÁNICA</v>
          </cell>
          <cell r="B29">
            <v>50000000</v>
          </cell>
          <cell r="C29">
            <v>0.46390935751070506</v>
          </cell>
          <cell r="D29" t="str">
            <v>P</v>
          </cell>
          <cell r="G29">
            <v>13698604.605430413</v>
          </cell>
          <cell r="H29">
            <v>22831007.880652409</v>
          </cell>
          <cell r="I29">
            <v>8967609.1673538852</v>
          </cell>
          <cell r="M29">
            <v>4502778.346563288</v>
          </cell>
        </row>
        <row r="30">
          <cell r="A30" t="str">
            <v>mecá2</v>
          </cell>
          <cell r="D30" t="str">
            <v>E</v>
          </cell>
          <cell r="G30">
            <v>13698604.605430413</v>
          </cell>
          <cell r="H30">
            <v>22831007.880652409</v>
          </cell>
          <cell r="I30">
            <v>8967609.1673538852</v>
          </cell>
        </row>
        <row r="31">
          <cell r="A31" t="str">
            <v>INSTRUMENTACIÓN</v>
          </cell>
          <cell r="B31">
            <v>10513312.469999999</v>
          </cell>
          <cell r="C31">
            <v>9.7544480665339661E-2</v>
          </cell>
          <cell r="D31" t="str">
            <v>P</v>
          </cell>
          <cell r="G31">
            <v>2880354.2123974198</v>
          </cell>
          <cell r="H31">
            <v>4800590.397086625</v>
          </cell>
          <cell r="I31">
            <v>1885585.5457045583</v>
          </cell>
          <cell r="M31">
            <v>946782.31481139583</v>
          </cell>
        </row>
        <row r="32">
          <cell r="A32" t="str">
            <v>inst2</v>
          </cell>
          <cell r="D32" t="str">
            <v>E</v>
          </cell>
          <cell r="G32">
            <v>2880354.2123974198</v>
          </cell>
          <cell r="H32">
            <v>4800590.397086625</v>
          </cell>
          <cell r="I32">
            <v>1885585.5457045583</v>
          </cell>
        </row>
        <row r="33">
          <cell r="A33" t="str">
            <v>CIERRE</v>
          </cell>
          <cell r="B33">
            <v>14766363</v>
          </cell>
          <cell r="C33">
            <v>0.13700507944199694</v>
          </cell>
          <cell r="D33" t="str">
            <v>P</v>
          </cell>
          <cell r="M33">
            <v>14766363</v>
          </cell>
        </row>
        <row r="34">
          <cell r="A34" t="str">
            <v>cierr2</v>
          </cell>
          <cell r="D34" t="str">
            <v>E</v>
          </cell>
        </row>
        <row r="35">
          <cell r="A35" t="str">
            <v>TOTALES</v>
          </cell>
          <cell r="B35">
            <v>107779675.47</v>
          </cell>
          <cell r="C35">
            <v>1</v>
          </cell>
          <cell r="D35" t="str">
            <v>P</v>
          </cell>
          <cell r="G35">
            <v>22058400.659999996</v>
          </cell>
          <cell r="H35">
            <v>36764001.43</v>
          </cell>
          <cell r="I35">
            <v>14440238.379999999</v>
          </cell>
          <cell r="M35">
            <v>22017035</v>
          </cell>
        </row>
        <row r="36">
          <cell r="A36" t="str">
            <v>tota2</v>
          </cell>
          <cell r="D36" t="str">
            <v>E</v>
          </cell>
          <cell r="G36">
            <v>22058400.659999996</v>
          </cell>
          <cell r="H36">
            <v>36764001.43</v>
          </cell>
          <cell r="I36">
            <v>14440238.379999999</v>
          </cell>
        </row>
        <row r="37">
          <cell r="A37" t="str">
            <v>Estimado 2004</v>
          </cell>
          <cell r="B37">
            <v>126000000</v>
          </cell>
          <cell r="G37">
            <v>22058400.66</v>
          </cell>
          <cell r="H37">
            <v>36764001.43</v>
          </cell>
          <cell r="I37">
            <v>14440238.379999999</v>
          </cell>
          <cell r="M37">
            <v>14766363</v>
          </cell>
        </row>
        <row r="38">
          <cell r="B38">
            <v>95279675.469999999</v>
          </cell>
          <cell r="M38">
            <v>7250672</v>
          </cell>
        </row>
        <row r="39">
          <cell r="A39" t="str">
            <v>CONTROL AVANCE PRESUPUESTAL</v>
          </cell>
        </row>
        <row r="40">
          <cell r="A40" t="str">
            <v>PROYECTO :</v>
          </cell>
          <cell r="B40" t="str">
            <v>Montaje de P-767 y P-1104</v>
          </cell>
        </row>
        <row r="41">
          <cell r="A41" t="str">
            <v>INSTRUCCIÓN</v>
          </cell>
        </row>
        <row r="42">
          <cell r="A42" t="str">
            <v>DESCRIPCION</v>
          </cell>
          <cell r="B42" t="str">
            <v xml:space="preserve">VALOR </v>
          </cell>
          <cell r="C42" t="str">
            <v>PESO</v>
          </cell>
          <cell r="E42">
            <v>2004</v>
          </cell>
        </row>
        <row r="43">
          <cell r="B43" t="str">
            <v>COL$</v>
          </cell>
          <cell r="C43" t="str">
            <v>%</v>
          </cell>
          <cell r="E43" t="str">
            <v>ENE</v>
          </cell>
          <cell r="F43" t="str">
            <v>FEB</v>
          </cell>
          <cell r="G43" t="str">
            <v>MAR</v>
          </cell>
          <cell r="H43" t="str">
            <v>ABR</v>
          </cell>
          <cell r="I43" t="str">
            <v>MAY</v>
          </cell>
          <cell r="J43" t="str">
            <v>JUN</v>
          </cell>
          <cell r="K43" t="str">
            <v>JUL</v>
          </cell>
          <cell r="L43" t="str">
            <v>AGO</v>
          </cell>
          <cell r="M43" t="str">
            <v>SEP</v>
          </cell>
          <cell r="N43" t="str">
            <v>OCT</v>
          </cell>
          <cell r="O43" t="str">
            <v>NOV</v>
          </cell>
          <cell r="P43" t="str">
            <v>DIC</v>
          </cell>
        </row>
        <row r="44">
          <cell r="A44" t="str">
            <v>CONSTRUCCIÓN</v>
          </cell>
          <cell r="B44">
            <v>112000000</v>
          </cell>
          <cell r="C44">
            <v>1</v>
          </cell>
          <cell r="D44" t="str">
            <v>P</v>
          </cell>
          <cell r="P44">
            <v>112000000</v>
          </cell>
        </row>
        <row r="45">
          <cell r="A45" t="str">
            <v>const2</v>
          </cell>
          <cell r="D45" t="str">
            <v>E</v>
          </cell>
        </row>
        <row r="46">
          <cell r="A46" t="str">
            <v>CIVIL</v>
          </cell>
          <cell r="B46">
            <v>28000000</v>
          </cell>
          <cell r="C46">
            <v>0.25</v>
          </cell>
          <cell r="D46" t="str">
            <v>P</v>
          </cell>
          <cell r="P46">
            <v>28000000</v>
          </cell>
        </row>
        <row r="47">
          <cell r="A47" t="str">
            <v>civi2</v>
          </cell>
          <cell r="D47" t="str">
            <v>E</v>
          </cell>
        </row>
        <row r="48">
          <cell r="A48" t="str">
            <v>ELÉCTRICA</v>
          </cell>
          <cell r="B48">
            <v>28000000</v>
          </cell>
          <cell r="C48">
            <v>0.25</v>
          </cell>
          <cell r="D48" t="str">
            <v>P</v>
          </cell>
          <cell r="P48">
            <v>28000000</v>
          </cell>
        </row>
        <row r="49">
          <cell r="A49" t="str">
            <v>eléc2</v>
          </cell>
          <cell r="D49" t="str">
            <v>E</v>
          </cell>
        </row>
        <row r="50">
          <cell r="A50" t="str">
            <v>MECÁNICA</v>
          </cell>
          <cell r="B50">
            <v>28000000</v>
          </cell>
          <cell r="C50">
            <v>0.25</v>
          </cell>
          <cell r="D50" t="str">
            <v>P</v>
          </cell>
          <cell r="P50">
            <v>28000000</v>
          </cell>
        </row>
        <row r="51">
          <cell r="A51" t="str">
            <v>mecá2</v>
          </cell>
          <cell r="D51" t="str">
            <v>E</v>
          </cell>
        </row>
        <row r="52">
          <cell r="A52" t="str">
            <v>INSTRUMENTACIÓN</v>
          </cell>
          <cell r="B52">
            <v>28000000</v>
          </cell>
          <cell r="C52">
            <v>0.25</v>
          </cell>
          <cell r="D52" t="str">
            <v>P</v>
          </cell>
          <cell r="P52">
            <v>28000000</v>
          </cell>
        </row>
        <row r="53">
          <cell r="A53" t="str">
            <v>inst2</v>
          </cell>
          <cell r="D53" t="str">
            <v>E</v>
          </cell>
        </row>
        <row r="54">
          <cell r="A54" t="str">
            <v>TOTALES</v>
          </cell>
          <cell r="B54">
            <v>112000000</v>
          </cell>
          <cell r="C54">
            <v>1</v>
          </cell>
          <cell r="D54" t="str">
            <v>P</v>
          </cell>
          <cell r="P54">
            <v>112000000</v>
          </cell>
        </row>
        <row r="55">
          <cell r="A55" t="str">
            <v>tota2</v>
          </cell>
          <cell r="D55" t="str">
            <v>E</v>
          </cell>
        </row>
        <row r="56">
          <cell r="A56" t="str">
            <v>Estimado 2004</v>
          </cell>
          <cell r="B56">
            <v>112000000</v>
          </cell>
        </row>
        <row r="58">
          <cell r="A58" t="str">
            <v>CONTROL AVANCE PRESUPUESTAL</v>
          </cell>
        </row>
        <row r="59">
          <cell r="A59" t="str">
            <v>PROYECTO :</v>
          </cell>
          <cell r="B59" t="str">
            <v>Asistencia técnica para el montaje medidor DimetilDisulfuro</v>
          </cell>
          <cell r="H59" t="str">
            <v>Instrumentos y controles S.A.</v>
          </cell>
        </row>
        <row r="60">
          <cell r="A60" t="str">
            <v>INSTRUCCIÓN</v>
          </cell>
        </row>
        <row r="61">
          <cell r="A61" t="str">
            <v>DESCRIPCION</v>
          </cell>
          <cell r="B61" t="str">
            <v xml:space="preserve">VALOR </v>
          </cell>
          <cell r="C61" t="str">
            <v>PESO</v>
          </cell>
          <cell r="E61">
            <v>2004</v>
          </cell>
        </row>
        <row r="62">
          <cell r="B62" t="str">
            <v>COL$</v>
          </cell>
          <cell r="C62" t="str">
            <v>%</v>
          </cell>
          <cell r="E62" t="str">
            <v>ENE</v>
          </cell>
          <cell r="F62" t="str">
            <v>FEB</v>
          </cell>
          <cell r="G62" t="str">
            <v>MAR</v>
          </cell>
          <cell r="H62" t="str">
            <v>ABR</v>
          </cell>
          <cell r="I62" t="str">
            <v>MAY</v>
          </cell>
          <cell r="J62" t="str">
            <v>JUN</v>
          </cell>
          <cell r="K62" t="str">
            <v>JUL</v>
          </cell>
          <cell r="L62" t="str">
            <v>AGO</v>
          </cell>
          <cell r="M62" t="str">
            <v>SEP</v>
          </cell>
          <cell r="N62" t="str">
            <v>OCT</v>
          </cell>
          <cell r="O62" t="str">
            <v>NOV</v>
          </cell>
          <cell r="P62" t="str">
            <v>DIC</v>
          </cell>
        </row>
        <row r="63">
          <cell r="A63" t="str">
            <v>INGENIERÍA</v>
          </cell>
          <cell r="B63">
            <v>9466760</v>
          </cell>
          <cell r="C63">
            <v>1</v>
          </cell>
          <cell r="D63" t="str">
            <v>P</v>
          </cell>
          <cell r="H63">
            <v>9466760</v>
          </cell>
        </row>
        <row r="64">
          <cell r="A64" t="str">
            <v>inge2</v>
          </cell>
          <cell r="D64" t="str">
            <v>E</v>
          </cell>
          <cell r="H64">
            <v>9466760</v>
          </cell>
        </row>
        <row r="65">
          <cell r="A65" t="str">
            <v>DETALLADA</v>
          </cell>
          <cell r="B65">
            <v>9466760</v>
          </cell>
          <cell r="C65">
            <v>1</v>
          </cell>
          <cell r="D65" t="str">
            <v>P</v>
          </cell>
          <cell r="H65">
            <v>9466760</v>
          </cell>
        </row>
        <row r="66">
          <cell r="A66" t="str">
            <v>deta2</v>
          </cell>
          <cell r="D66" t="str">
            <v>E</v>
          </cell>
          <cell r="H66">
            <v>9466760</v>
          </cell>
        </row>
        <row r="67">
          <cell r="A67" t="str">
            <v>TOTALES</v>
          </cell>
          <cell r="B67">
            <v>9466760</v>
          </cell>
          <cell r="C67">
            <v>1</v>
          </cell>
          <cell r="D67" t="str">
            <v>P</v>
          </cell>
          <cell r="H67">
            <v>9466760</v>
          </cell>
        </row>
        <row r="68">
          <cell r="A68" t="str">
            <v>tota2</v>
          </cell>
          <cell r="D68" t="str">
            <v>E</v>
          </cell>
          <cell r="H68">
            <v>9466760</v>
          </cell>
        </row>
        <row r="69">
          <cell r="A69" t="str">
            <v>Estimado 2004</v>
          </cell>
          <cell r="B69">
            <v>11200000</v>
          </cell>
        </row>
        <row r="71">
          <cell r="A71" t="str">
            <v>CONTROL AVANCE PRESUPUESTAL</v>
          </cell>
        </row>
        <row r="72">
          <cell r="A72" t="str">
            <v>PROYECTO :</v>
          </cell>
          <cell r="B72" t="str">
            <v>Asistencia técnica para el montaje P-2251</v>
          </cell>
          <cell r="H72" t="str">
            <v>OIL GEAR</v>
          </cell>
        </row>
        <row r="73">
          <cell r="A73" t="str">
            <v>INSTRUCCIÓN</v>
          </cell>
        </row>
        <row r="74">
          <cell r="A74" t="str">
            <v>DESCRIPCION</v>
          </cell>
          <cell r="B74" t="str">
            <v xml:space="preserve">VALOR </v>
          </cell>
          <cell r="C74" t="str">
            <v>PESO</v>
          </cell>
          <cell r="E74">
            <v>2004</v>
          </cell>
        </row>
        <row r="75">
          <cell r="B75" t="str">
            <v>COL$</v>
          </cell>
          <cell r="C75" t="str">
            <v>%</v>
          </cell>
          <cell r="E75" t="str">
            <v>ENE</v>
          </cell>
          <cell r="F75" t="str">
            <v>FEB</v>
          </cell>
          <cell r="G75" t="str">
            <v>MAR</v>
          </cell>
          <cell r="H75" t="str">
            <v>ABR</v>
          </cell>
          <cell r="I75" t="str">
            <v>MAY</v>
          </cell>
          <cell r="J75" t="str">
            <v>JUN</v>
          </cell>
          <cell r="K75" t="str">
            <v>JUL</v>
          </cell>
          <cell r="L75" t="str">
            <v>AGO</v>
          </cell>
          <cell r="M75" t="str">
            <v>SEP</v>
          </cell>
          <cell r="N75" t="str">
            <v>OCT</v>
          </cell>
          <cell r="O75" t="str">
            <v>NOV</v>
          </cell>
          <cell r="P75" t="str">
            <v>DIC</v>
          </cell>
        </row>
        <row r="76">
          <cell r="A76" t="str">
            <v>INGENIERÍA</v>
          </cell>
          <cell r="B76">
            <v>35400000</v>
          </cell>
          <cell r="C76">
            <v>1</v>
          </cell>
          <cell r="D76" t="str">
            <v>P</v>
          </cell>
          <cell r="H76">
            <v>35400000</v>
          </cell>
        </row>
        <row r="77">
          <cell r="A77" t="str">
            <v>inge2</v>
          </cell>
          <cell r="D77" t="str">
            <v>E</v>
          </cell>
          <cell r="H77">
            <v>35400000</v>
          </cell>
        </row>
        <row r="78">
          <cell r="A78" t="str">
            <v>DETALLADA</v>
          </cell>
          <cell r="B78">
            <v>35400000</v>
          </cell>
          <cell r="C78">
            <v>3.7393997523968072</v>
          </cell>
          <cell r="D78" t="str">
            <v>P</v>
          </cell>
          <cell r="H78">
            <v>35400000</v>
          </cell>
        </row>
        <row r="79">
          <cell r="A79" t="str">
            <v>deta2</v>
          </cell>
          <cell r="D79" t="str">
            <v>E</v>
          </cell>
          <cell r="H79">
            <v>35400000</v>
          </cell>
        </row>
        <row r="80">
          <cell r="A80" t="str">
            <v>TOTALES</v>
          </cell>
          <cell r="B80">
            <v>35400000</v>
          </cell>
          <cell r="C80">
            <v>1</v>
          </cell>
          <cell r="D80" t="str">
            <v>P</v>
          </cell>
          <cell r="H80">
            <v>35400000</v>
          </cell>
        </row>
        <row r="81">
          <cell r="A81" t="str">
            <v>tota2</v>
          </cell>
          <cell r="D81" t="str">
            <v>E</v>
          </cell>
          <cell r="H81">
            <v>35400000</v>
          </cell>
        </row>
        <row r="82">
          <cell r="A82" t="str">
            <v>Estimado 2004</v>
          </cell>
          <cell r="B82">
            <v>11200000</v>
          </cell>
        </row>
        <row r="84">
          <cell r="A84" t="str">
            <v>CONTROL AVANCE PRESUPUESTAL</v>
          </cell>
        </row>
        <row r="85">
          <cell r="A85" t="str">
            <v>PROYECTO :</v>
          </cell>
          <cell r="B85" t="str">
            <v>Montaje medidor DimetilDisulfuro y Equipo Monitoreo Bently Nevada C-4100</v>
          </cell>
          <cell r="G85" t="str">
            <v>TECS</v>
          </cell>
        </row>
        <row r="86">
          <cell r="A86" t="str">
            <v>INSTRUCCIÓN</v>
          </cell>
        </row>
        <row r="87">
          <cell r="A87" t="str">
            <v>DESCRIPCION</v>
          </cell>
          <cell r="B87" t="str">
            <v xml:space="preserve">VALOR </v>
          </cell>
          <cell r="C87" t="str">
            <v>PESO</v>
          </cell>
          <cell r="E87">
            <v>2004</v>
          </cell>
        </row>
        <row r="88">
          <cell r="B88" t="str">
            <v>COL$</v>
          </cell>
          <cell r="C88" t="str">
            <v>%</v>
          </cell>
          <cell r="E88" t="str">
            <v>ENE</v>
          </cell>
          <cell r="F88" t="str">
            <v>FEB</v>
          </cell>
          <cell r="G88" t="str">
            <v>MAR</v>
          </cell>
          <cell r="H88" t="str">
            <v>ABR</v>
          </cell>
          <cell r="I88" t="str">
            <v>MAY</v>
          </cell>
          <cell r="J88" t="str">
            <v>JUN</v>
          </cell>
          <cell r="K88" t="str">
            <v>JUL</v>
          </cell>
          <cell r="L88" t="str">
            <v>AGO</v>
          </cell>
          <cell r="M88" t="str">
            <v>SEP</v>
          </cell>
          <cell r="N88" t="str">
            <v>OCT</v>
          </cell>
          <cell r="O88" t="str">
            <v>NOV</v>
          </cell>
          <cell r="P88" t="str">
            <v>DIC</v>
          </cell>
        </row>
        <row r="89">
          <cell r="A89" t="str">
            <v>COMPRAS</v>
          </cell>
          <cell r="B89">
            <v>91000000</v>
          </cell>
          <cell r="C89">
            <v>0.37299161524482771</v>
          </cell>
          <cell r="D89" t="str">
            <v>P</v>
          </cell>
          <cell r="H89">
            <v>91000000</v>
          </cell>
        </row>
        <row r="90">
          <cell r="A90" t="str">
            <v>comp2</v>
          </cell>
          <cell r="D90" t="str">
            <v>E</v>
          </cell>
          <cell r="H90">
            <v>91000000</v>
          </cell>
        </row>
        <row r="91">
          <cell r="A91" t="str">
            <v>NACIONALES</v>
          </cell>
          <cell r="B91">
            <v>91000000</v>
          </cell>
          <cell r="C91">
            <v>0.37299161524482771</v>
          </cell>
          <cell r="D91" t="str">
            <v>P</v>
          </cell>
          <cell r="H91">
            <v>91000000</v>
          </cell>
        </row>
        <row r="92">
          <cell r="A92" t="str">
            <v>naci2</v>
          </cell>
          <cell r="D92" t="str">
            <v>E</v>
          </cell>
          <cell r="H92">
            <v>91000000</v>
          </cell>
        </row>
        <row r="93">
          <cell r="A93" t="str">
            <v>CONSTRUCCIÓN</v>
          </cell>
          <cell r="B93">
            <v>131375774</v>
          </cell>
          <cell r="C93">
            <v>0.53848419943186188</v>
          </cell>
          <cell r="D93" t="str">
            <v>P</v>
          </cell>
          <cell r="J93">
            <v>56202432.000000007</v>
          </cell>
          <cell r="L93">
            <v>75173341.999999985</v>
          </cell>
          <cell r="P93">
            <v>0</v>
          </cell>
        </row>
        <row r="94">
          <cell r="A94" t="str">
            <v>const2</v>
          </cell>
          <cell r="D94" t="str">
            <v>E</v>
          </cell>
          <cell r="J94">
            <v>56202432.000000007</v>
          </cell>
          <cell r="L94">
            <v>75173341.999999985</v>
          </cell>
        </row>
        <row r="95">
          <cell r="A95" t="str">
            <v>CIVIL</v>
          </cell>
          <cell r="B95">
            <v>61375774</v>
          </cell>
          <cell r="C95">
            <v>0.25156757232045601</v>
          </cell>
          <cell r="D95" t="str">
            <v>P</v>
          </cell>
          <cell r="J95">
            <v>26256498.132466707</v>
          </cell>
          <cell r="L95">
            <v>35119275.867533296</v>
          </cell>
        </row>
        <row r="96">
          <cell r="A96" t="str">
            <v>civi2</v>
          </cell>
          <cell r="D96" t="str">
            <v>E</v>
          </cell>
          <cell r="J96">
            <v>26256498.132466707</v>
          </cell>
          <cell r="L96">
            <v>35119275.867533296</v>
          </cell>
        </row>
        <row r="97">
          <cell r="A97" t="str">
            <v>ELÉCTRICA</v>
          </cell>
          <cell r="B97">
            <v>22000000</v>
          </cell>
          <cell r="C97">
            <v>9.0173797092156144E-2</v>
          </cell>
          <cell r="D97" t="str">
            <v>P</v>
          </cell>
          <cell r="J97">
            <v>9411579.2155104652</v>
          </cell>
          <cell r="L97">
            <v>12588420.784489535</v>
          </cell>
        </row>
        <row r="98">
          <cell r="A98" t="str">
            <v>eléc2</v>
          </cell>
          <cell r="D98" t="str">
            <v>E</v>
          </cell>
          <cell r="J98">
            <v>9411579.2155104652</v>
          </cell>
          <cell r="L98">
            <v>12588420.784489535</v>
          </cell>
        </row>
        <row r="99">
          <cell r="A99" t="str">
            <v>MECÁNICA</v>
          </cell>
          <cell r="B99">
            <v>35000000</v>
          </cell>
          <cell r="C99">
            <v>0.14345831355570296</v>
          </cell>
          <cell r="D99" t="str">
            <v>P</v>
          </cell>
          <cell r="J99">
            <v>14972966.93376665</v>
          </cell>
          <cell r="L99">
            <v>20027033.066233352</v>
          </cell>
        </row>
        <row r="100">
          <cell r="A100" t="str">
            <v>mecá2</v>
          </cell>
          <cell r="D100" t="str">
            <v>E</v>
          </cell>
          <cell r="J100">
            <v>14972966.93376665</v>
          </cell>
          <cell r="L100">
            <v>20027033.066233352</v>
          </cell>
        </row>
        <row r="101">
          <cell r="A101" t="str">
            <v>INSTRUMENTACIÓN</v>
          </cell>
          <cell r="B101">
            <v>13000000</v>
          </cell>
          <cell r="C101">
            <v>5.3284516463546816E-2</v>
          </cell>
          <cell r="D101" t="str">
            <v>P</v>
          </cell>
          <cell r="J101">
            <v>5561387.7182561839</v>
          </cell>
          <cell r="L101">
            <v>7438612.2817438161</v>
          </cell>
        </row>
        <row r="102">
          <cell r="A102" t="str">
            <v>inst2</v>
          </cell>
          <cell r="D102" t="str">
            <v>E</v>
          </cell>
          <cell r="J102">
            <v>5561387.7182561839</v>
          </cell>
          <cell r="L102">
            <v>7438612.2817438161</v>
          </cell>
        </row>
        <row r="103">
          <cell r="A103" t="str">
            <v>CIERRE</v>
          </cell>
          <cell r="B103">
            <v>21597538.752000004</v>
          </cell>
          <cell r="C103">
            <v>8.8524185323310342E-2</v>
          </cell>
          <cell r="D103" t="str">
            <v>P</v>
          </cell>
          <cell r="P103">
            <v>21597538.752000004</v>
          </cell>
        </row>
        <row r="104">
          <cell r="A104" t="str">
            <v>cierr2</v>
          </cell>
          <cell r="D104" t="str">
            <v>E</v>
          </cell>
        </row>
        <row r="105">
          <cell r="A105" t="str">
            <v>TOTALES</v>
          </cell>
          <cell r="B105">
            <v>243973312.752</v>
          </cell>
          <cell r="C105">
            <v>0.91147581467668959</v>
          </cell>
          <cell r="D105" t="str">
            <v>P</v>
          </cell>
          <cell r="H105">
            <v>91000000</v>
          </cell>
          <cell r="J105">
            <v>56202432.000000007</v>
          </cell>
          <cell r="L105">
            <v>75173341.999999985</v>
          </cell>
          <cell r="P105">
            <v>21597538.752000004</v>
          </cell>
        </row>
        <row r="106">
          <cell r="A106" t="str">
            <v>tota2</v>
          </cell>
          <cell r="D106" t="str">
            <v>E</v>
          </cell>
          <cell r="H106">
            <v>91000000</v>
          </cell>
          <cell r="J106">
            <v>56202432.000000007</v>
          </cell>
          <cell r="L106">
            <v>75173341.999999985</v>
          </cell>
        </row>
        <row r="107">
          <cell r="A107" t="str">
            <v>Estimado 2004</v>
          </cell>
          <cell r="B107">
            <v>140000000</v>
          </cell>
          <cell r="J107">
            <v>56202432</v>
          </cell>
          <cell r="L107">
            <v>75173342</v>
          </cell>
          <cell r="P107">
            <v>21597538.752000004</v>
          </cell>
        </row>
        <row r="108">
          <cell r="P108">
            <v>152973312.752</v>
          </cell>
        </row>
        <row r="109">
          <cell r="A109" t="str">
            <v>CONTROL AVANCE PRESUPUESTAL</v>
          </cell>
        </row>
        <row r="110">
          <cell r="A110" t="str">
            <v>PROYECTO :</v>
          </cell>
          <cell r="B110" t="str">
            <v>Montaje W-4101 decalentador y Eyectores  C4101/2 de etileno II</v>
          </cell>
          <cell r="H110" t="str">
            <v>SP-2269B MOTOR Y BOMBA</v>
          </cell>
        </row>
        <row r="111">
          <cell r="A111" t="str">
            <v>INSTRUCCIÓN</v>
          </cell>
        </row>
        <row r="112">
          <cell r="A112" t="str">
            <v>DESCRIPCION</v>
          </cell>
          <cell r="B112" t="str">
            <v xml:space="preserve">VALOR </v>
          </cell>
          <cell r="C112" t="str">
            <v>PESO</v>
          </cell>
          <cell r="E112">
            <v>2004</v>
          </cell>
        </row>
        <row r="113">
          <cell r="B113" t="str">
            <v>COL$</v>
          </cell>
          <cell r="C113" t="str">
            <v>%</v>
          </cell>
          <cell r="E113" t="str">
            <v>ENE</v>
          </cell>
          <cell r="F113" t="str">
            <v>FEB</v>
          </cell>
          <cell r="G113" t="str">
            <v>MAR</v>
          </cell>
          <cell r="H113" t="str">
            <v>ABR</v>
          </cell>
          <cell r="I113" t="str">
            <v>MAY</v>
          </cell>
          <cell r="J113" t="str">
            <v>JUN</v>
          </cell>
          <cell r="K113" t="str">
            <v>JUL</v>
          </cell>
          <cell r="L113" t="str">
            <v>AGO</v>
          </cell>
          <cell r="M113" t="str">
            <v>SEP</v>
          </cell>
          <cell r="N113" t="str">
            <v>OCT</v>
          </cell>
          <cell r="O113" t="str">
            <v>NOV</v>
          </cell>
          <cell r="P113" t="str">
            <v>DIC</v>
          </cell>
        </row>
        <row r="114">
          <cell r="A114" t="str">
            <v>INGENIERÍA</v>
          </cell>
          <cell r="B114">
            <v>15000000</v>
          </cell>
          <cell r="C114">
            <v>6.2240663900414939E-2</v>
          </cell>
          <cell r="D114" t="str">
            <v>P</v>
          </cell>
          <cell r="N114">
            <v>15000000</v>
          </cell>
        </row>
        <row r="115">
          <cell r="A115" t="str">
            <v>inge2</v>
          </cell>
          <cell r="D115" t="str">
            <v>E</v>
          </cell>
        </row>
        <row r="116">
          <cell r="A116" t="str">
            <v>DETALLADA</v>
          </cell>
          <cell r="B116">
            <v>15000000</v>
          </cell>
          <cell r="C116">
            <v>6.2240663900414939E-2</v>
          </cell>
          <cell r="D116" t="str">
            <v>P</v>
          </cell>
          <cell r="N116">
            <v>15000000</v>
          </cell>
        </row>
        <row r="117">
          <cell r="A117" t="str">
            <v>deta2</v>
          </cell>
          <cell r="D117" t="str">
            <v>E</v>
          </cell>
        </row>
        <row r="118">
          <cell r="A118" t="str">
            <v>CONSTRUCCIÓN</v>
          </cell>
          <cell r="B118">
            <v>203000000</v>
          </cell>
          <cell r="C118">
            <v>0.84232365145228216</v>
          </cell>
          <cell r="D118" t="str">
            <v>P</v>
          </cell>
          <cell r="N118">
            <v>101500000</v>
          </cell>
          <cell r="O118">
            <v>101500000</v>
          </cell>
        </row>
        <row r="119">
          <cell r="A119" t="str">
            <v>const2</v>
          </cell>
          <cell r="D119" t="str">
            <v>E</v>
          </cell>
        </row>
        <row r="120">
          <cell r="A120" t="str">
            <v>CIVIL</v>
          </cell>
          <cell r="B120">
            <v>33000000</v>
          </cell>
          <cell r="C120">
            <v>0.13692946058091288</v>
          </cell>
          <cell r="D120" t="str">
            <v>P</v>
          </cell>
          <cell r="N120">
            <v>16500000</v>
          </cell>
          <cell r="O120">
            <v>16500000</v>
          </cell>
        </row>
        <row r="121">
          <cell r="A121" t="str">
            <v>civi2</v>
          </cell>
          <cell r="D121" t="str">
            <v>E</v>
          </cell>
        </row>
        <row r="122">
          <cell r="A122" t="str">
            <v>ELÉCTRICA</v>
          </cell>
          <cell r="B122">
            <v>10000000</v>
          </cell>
          <cell r="C122">
            <v>4.1493775933609957E-2</v>
          </cell>
          <cell r="D122" t="str">
            <v>P</v>
          </cell>
          <cell r="N122">
            <v>5000000</v>
          </cell>
          <cell r="O122">
            <v>5000000</v>
          </cell>
        </row>
        <row r="123">
          <cell r="A123" t="str">
            <v>eléc2</v>
          </cell>
          <cell r="D123" t="str">
            <v>E</v>
          </cell>
        </row>
        <row r="124">
          <cell r="A124" t="str">
            <v>MECÁNICA</v>
          </cell>
          <cell r="B124">
            <v>150000000</v>
          </cell>
          <cell r="C124">
            <v>0.62240663900414939</v>
          </cell>
          <cell r="D124" t="str">
            <v>P</v>
          </cell>
          <cell r="N124">
            <v>75000000</v>
          </cell>
          <cell r="O124">
            <v>75000000</v>
          </cell>
        </row>
        <row r="125">
          <cell r="A125" t="str">
            <v>mecá2</v>
          </cell>
          <cell r="D125" t="str">
            <v>E</v>
          </cell>
        </row>
        <row r="126">
          <cell r="A126" t="str">
            <v>INSTRUMENTACIÓN</v>
          </cell>
          <cell r="B126">
            <v>10000000</v>
          </cell>
          <cell r="C126">
            <v>4.1493775933609957E-2</v>
          </cell>
          <cell r="D126" t="str">
            <v>P</v>
          </cell>
          <cell r="N126">
            <v>5000000</v>
          </cell>
          <cell r="O126">
            <v>5000000</v>
          </cell>
        </row>
        <row r="127">
          <cell r="A127" t="str">
            <v>inst2</v>
          </cell>
          <cell r="D127" t="str">
            <v>E</v>
          </cell>
        </row>
        <row r="128">
          <cell r="A128" t="str">
            <v>CIERRE</v>
          </cell>
          <cell r="B128">
            <v>23000000</v>
          </cell>
          <cell r="C128">
            <v>9.5435684647302899E-2</v>
          </cell>
          <cell r="D128" t="str">
            <v>P</v>
          </cell>
          <cell r="P128">
            <v>23000000</v>
          </cell>
        </row>
        <row r="129">
          <cell r="A129" t="str">
            <v>cierr2</v>
          </cell>
          <cell r="D129" t="str">
            <v>E</v>
          </cell>
        </row>
        <row r="130">
          <cell r="A130" t="str">
            <v>TOTALES</v>
          </cell>
          <cell r="B130">
            <v>241000000</v>
          </cell>
          <cell r="C130">
            <v>1</v>
          </cell>
          <cell r="D130" t="str">
            <v>P</v>
          </cell>
          <cell r="N130">
            <v>116500000</v>
          </cell>
          <cell r="O130">
            <v>101500000</v>
          </cell>
          <cell r="P130">
            <v>23000000</v>
          </cell>
        </row>
        <row r="131">
          <cell r="A131" t="str">
            <v>tota2</v>
          </cell>
          <cell r="D131" t="str">
            <v>E</v>
          </cell>
        </row>
        <row r="132">
          <cell r="A132" t="str">
            <v>Estimado 2004</v>
          </cell>
          <cell r="B132">
            <v>232400000</v>
          </cell>
        </row>
        <row r="133">
          <cell r="A133" t="str">
            <v>Mecatronic</v>
          </cell>
          <cell r="B133">
            <v>231029925.22440001</v>
          </cell>
        </row>
        <row r="134">
          <cell r="A134" t="str">
            <v>CONTROL AVANCE PRESUPUESTAL</v>
          </cell>
        </row>
        <row r="135">
          <cell r="A135" t="str">
            <v>PROYECTO :</v>
          </cell>
          <cell r="B135" t="str">
            <v>Equipo Monitoreo Bently Nevada C-4100/1/2</v>
          </cell>
        </row>
        <row r="136">
          <cell r="A136" t="str">
            <v>INSTRUCCIÓN</v>
          </cell>
        </row>
        <row r="137">
          <cell r="A137" t="str">
            <v>DESCRIPCION</v>
          </cell>
          <cell r="B137" t="str">
            <v xml:space="preserve">VALOR </v>
          </cell>
          <cell r="C137" t="str">
            <v>PESO</v>
          </cell>
          <cell r="E137">
            <v>2004</v>
          </cell>
        </row>
        <row r="138">
          <cell r="B138" t="str">
            <v>COL$</v>
          </cell>
          <cell r="C138" t="str">
            <v>%</v>
          </cell>
          <cell r="E138" t="str">
            <v>ENE</v>
          </cell>
          <cell r="F138" t="str">
            <v>FEB</v>
          </cell>
          <cell r="G138" t="str">
            <v>MAR</v>
          </cell>
          <cell r="H138" t="str">
            <v>ABR</v>
          </cell>
          <cell r="I138" t="str">
            <v>MAY</v>
          </cell>
          <cell r="J138" t="str">
            <v>JUN</v>
          </cell>
          <cell r="K138" t="str">
            <v>JUL</v>
          </cell>
          <cell r="L138" t="str">
            <v>AGO</v>
          </cell>
          <cell r="M138" t="str">
            <v>SEP</v>
          </cell>
          <cell r="N138" t="str">
            <v>OCT</v>
          </cell>
          <cell r="O138" t="str">
            <v>NOV</v>
          </cell>
          <cell r="P138" t="str">
            <v>DIC</v>
          </cell>
        </row>
        <row r="139">
          <cell r="A139" t="str">
            <v>INGENIERÍA</v>
          </cell>
          <cell r="B139">
            <v>360000000</v>
          </cell>
          <cell r="C139">
            <v>1</v>
          </cell>
          <cell r="D139" t="str">
            <v>P</v>
          </cell>
          <cell r="P139">
            <v>360000000</v>
          </cell>
        </row>
        <row r="140">
          <cell r="A140" t="str">
            <v>inge2</v>
          </cell>
          <cell r="D140" t="str">
            <v>E</v>
          </cell>
        </row>
        <row r="141">
          <cell r="A141" t="str">
            <v>DETALLADA</v>
          </cell>
          <cell r="B141">
            <v>360000000</v>
          </cell>
          <cell r="C141">
            <v>1</v>
          </cell>
          <cell r="D141" t="str">
            <v>P</v>
          </cell>
          <cell r="P141">
            <v>360000000</v>
          </cell>
        </row>
        <row r="142">
          <cell r="A142" t="str">
            <v>deta2</v>
          </cell>
          <cell r="D142" t="str">
            <v>E</v>
          </cell>
        </row>
        <row r="143">
          <cell r="A143" t="str">
            <v>TOTALES</v>
          </cell>
          <cell r="B143">
            <v>360000000</v>
          </cell>
          <cell r="C143">
            <v>1</v>
          </cell>
          <cell r="D143" t="str">
            <v>P</v>
          </cell>
          <cell r="P143">
            <v>360000000</v>
          </cell>
        </row>
        <row r="144">
          <cell r="A144" t="str">
            <v>tota2</v>
          </cell>
          <cell r="D144" t="str">
            <v>E</v>
          </cell>
        </row>
        <row r="145">
          <cell r="A145" t="str">
            <v>Estimado 2004</v>
          </cell>
          <cell r="B145">
            <v>361200000</v>
          </cell>
        </row>
        <row r="147">
          <cell r="A147" t="str">
            <v>CONTROL AVANCE PRESUPUESTAL</v>
          </cell>
        </row>
        <row r="148">
          <cell r="A148" t="str">
            <v>PROYECTO :</v>
          </cell>
          <cell r="B148" t="str">
            <v>Reposición de haz de tubos de E-1301, E-1314A, E-1310 A, E-1505 y E-1507 aromaticos</v>
          </cell>
        </row>
        <row r="149">
          <cell r="A149" t="str">
            <v>INSTRUCCIÓN</v>
          </cell>
        </row>
        <row r="150">
          <cell r="A150" t="str">
            <v>DESCRIPCION</v>
          </cell>
          <cell r="B150" t="str">
            <v xml:space="preserve">VALOR </v>
          </cell>
          <cell r="C150" t="str">
            <v>PESO</v>
          </cell>
          <cell r="E150">
            <v>2004</v>
          </cell>
        </row>
        <row r="151">
          <cell r="B151" t="str">
            <v>COL$</v>
          </cell>
          <cell r="C151" t="str">
            <v>%</v>
          </cell>
          <cell r="E151" t="str">
            <v>ENE</v>
          </cell>
          <cell r="F151" t="str">
            <v>FEB</v>
          </cell>
          <cell r="G151" t="str">
            <v>MAR</v>
          </cell>
          <cell r="H151" t="str">
            <v>ABR</v>
          </cell>
          <cell r="I151" t="str">
            <v>MAY</v>
          </cell>
          <cell r="J151" t="str">
            <v>JUN</v>
          </cell>
          <cell r="K151" t="str">
            <v>JUL</v>
          </cell>
          <cell r="L151" t="str">
            <v>AGO</v>
          </cell>
          <cell r="M151" t="str">
            <v>SEP</v>
          </cell>
          <cell r="N151" t="str">
            <v>OCT</v>
          </cell>
          <cell r="O151" t="str">
            <v>NOV</v>
          </cell>
          <cell r="P151" t="str">
            <v>DIC</v>
          </cell>
        </row>
        <row r="152">
          <cell r="A152" t="str">
            <v>COMPRAS</v>
          </cell>
          <cell r="B152">
            <v>764400000</v>
          </cell>
          <cell r="C152">
            <v>1</v>
          </cell>
          <cell r="D152" t="str">
            <v>P</v>
          </cell>
          <cell r="N152">
            <v>764400000</v>
          </cell>
        </row>
        <row r="153">
          <cell r="A153" t="str">
            <v>comp2</v>
          </cell>
          <cell r="D153" t="str">
            <v>E</v>
          </cell>
        </row>
        <row r="154">
          <cell r="A154" t="str">
            <v>NACIONALES</v>
          </cell>
          <cell r="B154">
            <v>764400000</v>
          </cell>
          <cell r="C154">
            <v>1</v>
          </cell>
          <cell r="D154" t="str">
            <v>P</v>
          </cell>
          <cell r="N154">
            <v>764400000</v>
          </cell>
        </row>
        <row r="155">
          <cell r="A155" t="str">
            <v>naci2</v>
          </cell>
          <cell r="D155" t="str">
            <v>E</v>
          </cell>
        </row>
        <row r="156">
          <cell r="A156" t="str">
            <v>TOTALES</v>
          </cell>
          <cell r="B156">
            <v>764400000</v>
          </cell>
          <cell r="C156">
            <v>1</v>
          </cell>
          <cell r="D156" t="str">
            <v>P</v>
          </cell>
          <cell r="N156">
            <v>764400000</v>
          </cell>
        </row>
        <row r="157">
          <cell r="A157" t="str">
            <v>tota2</v>
          </cell>
          <cell r="D157" t="str">
            <v>E</v>
          </cell>
        </row>
        <row r="158">
          <cell r="A158" t="str">
            <v>Estimado 2004</v>
          </cell>
          <cell r="B158">
            <v>764400000</v>
          </cell>
        </row>
        <row r="160">
          <cell r="A160" t="str">
            <v>CONTROL AVANCE PRESUPUESTAL</v>
          </cell>
        </row>
        <row r="161">
          <cell r="A161" t="str">
            <v>PROYECTO :</v>
          </cell>
          <cell r="B161" t="str">
            <v>OC No 2F3008 Motor Mp-4137 c y Oc No 2F3033 NP-4137A</v>
          </cell>
        </row>
        <row r="162">
          <cell r="A162" t="str">
            <v>INSTRUCCIÓN</v>
          </cell>
        </row>
        <row r="163">
          <cell r="A163" t="str">
            <v>DESCRIPCION</v>
          </cell>
          <cell r="B163" t="str">
            <v xml:space="preserve">VALOR </v>
          </cell>
          <cell r="C163" t="str">
            <v>PESO</v>
          </cell>
          <cell r="E163">
            <v>2004</v>
          </cell>
        </row>
        <row r="164">
          <cell r="B164" t="str">
            <v>COL$</v>
          </cell>
          <cell r="C164" t="str">
            <v>%</v>
          </cell>
          <cell r="E164" t="str">
            <v>ENE</v>
          </cell>
          <cell r="F164" t="str">
            <v>FEB</v>
          </cell>
          <cell r="G164" t="str">
            <v>MAR</v>
          </cell>
          <cell r="H164" t="str">
            <v>ABR</v>
          </cell>
          <cell r="I164" t="str">
            <v>MAY</v>
          </cell>
          <cell r="J164" t="str">
            <v>JUN</v>
          </cell>
          <cell r="K164" t="str">
            <v>JUL</v>
          </cell>
          <cell r="L164" t="str">
            <v>AGO</v>
          </cell>
          <cell r="M164" t="str">
            <v>SEP</v>
          </cell>
          <cell r="N164" t="str">
            <v>OCT</v>
          </cell>
          <cell r="O164" t="str">
            <v>NOV</v>
          </cell>
          <cell r="P164" t="str">
            <v>DIC</v>
          </cell>
        </row>
        <row r="165">
          <cell r="A165" t="str">
            <v>COMPRAS</v>
          </cell>
          <cell r="B165">
            <v>94941840</v>
          </cell>
          <cell r="C165">
            <v>1</v>
          </cell>
          <cell r="D165" t="str">
            <v>P</v>
          </cell>
          <cell r="J165">
            <v>94941840</v>
          </cell>
        </row>
        <row r="166">
          <cell r="A166" t="str">
            <v>comp2</v>
          </cell>
          <cell r="D166" t="str">
            <v>E</v>
          </cell>
          <cell r="J166">
            <v>94941840</v>
          </cell>
        </row>
        <row r="167">
          <cell r="A167" t="str">
            <v>EXTERIOR</v>
          </cell>
          <cell r="B167">
            <v>94941840</v>
          </cell>
          <cell r="C167">
            <v>1</v>
          </cell>
          <cell r="D167" t="str">
            <v>P</v>
          </cell>
          <cell r="J167">
            <v>94941840</v>
          </cell>
        </row>
        <row r="168">
          <cell r="A168" t="str">
            <v>exte2</v>
          </cell>
          <cell r="D168" t="str">
            <v>E</v>
          </cell>
          <cell r="J168">
            <v>94941840</v>
          </cell>
        </row>
        <row r="169">
          <cell r="A169" t="str">
            <v>TOTALES</v>
          </cell>
          <cell r="B169">
            <v>94941840</v>
          </cell>
          <cell r="C169">
            <v>1</v>
          </cell>
          <cell r="D169" t="str">
            <v>P</v>
          </cell>
          <cell r="J169">
            <v>94941840</v>
          </cell>
        </row>
        <row r="170">
          <cell r="A170" t="str">
            <v>tota2</v>
          </cell>
          <cell r="D170" t="str">
            <v>E</v>
          </cell>
          <cell r="J170">
            <v>94941840</v>
          </cell>
        </row>
        <row r="173">
          <cell r="A173" t="str">
            <v>CONTROL AVANCE PRESUPUESTAL</v>
          </cell>
        </row>
        <row r="174">
          <cell r="A174" t="str">
            <v>PROYECTO :</v>
          </cell>
          <cell r="B174" t="str">
            <v>OC 2A2516 Motor Mp-4139 y MP-1201</v>
          </cell>
        </row>
        <row r="175">
          <cell r="A175" t="str">
            <v>INSTRUCCIÓN</v>
          </cell>
        </row>
        <row r="176">
          <cell r="A176" t="str">
            <v>DESCRIPCION</v>
          </cell>
          <cell r="B176" t="str">
            <v xml:space="preserve">VALOR </v>
          </cell>
          <cell r="C176" t="str">
            <v>PESO</v>
          </cell>
          <cell r="E176">
            <v>2004</v>
          </cell>
        </row>
        <row r="177">
          <cell r="B177" t="str">
            <v>COL$</v>
          </cell>
          <cell r="C177" t="str">
            <v>%</v>
          </cell>
          <cell r="E177" t="str">
            <v>ENE</v>
          </cell>
          <cell r="F177" t="str">
            <v>FEB</v>
          </cell>
          <cell r="G177" t="str">
            <v>MAR</v>
          </cell>
          <cell r="H177" t="str">
            <v>ABR</v>
          </cell>
          <cell r="I177" t="str">
            <v>MAY</v>
          </cell>
          <cell r="J177" t="str">
            <v>JUN</v>
          </cell>
          <cell r="K177" t="str">
            <v>JUL</v>
          </cell>
          <cell r="L177" t="str">
            <v>AGO</v>
          </cell>
          <cell r="M177" t="str">
            <v>SEP</v>
          </cell>
          <cell r="N177" t="str">
            <v>OCT</v>
          </cell>
          <cell r="O177" t="str">
            <v>NOV</v>
          </cell>
          <cell r="P177" t="str">
            <v>DIC</v>
          </cell>
        </row>
        <row r="178">
          <cell r="A178" t="str">
            <v>COMPRAS</v>
          </cell>
          <cell r="B178">
            <v>37353579.919999994</v>
          </cell>
          <cell r="C178">
            <v>1</v>
          </cell>
          <cell r="D178" t="str">
            <v>P</v>
          </cell>
          <cell r="P178">
            <v>37353579.919999994</v>
          </cell>
        </row>
        <row r="179">
          <cell r="A179" t="str">
            <v>comp2</v>
          </cell>
          <cell r="D179" t="str">
            <v>E</v>
          </cell>
          <cell r="P179">
            <v>37353579.919999994</v>
          </cell>
        </row>
        <row r="180">
          <cell r="A180" t="str">
            <v>EXTERIOR</v>
          </cell>
          <cell r="B180">
            <v>37353579.919999994</v>
          </cell>
          <cell r="C180">
            <v>1</v>
          </cell>
          <cell r="D180" t="str">
            <v>P</v>
          </cell>
          <cell r="P180">
            <v>37353579.919999994</v>
          </cell>
        </row>
        <row r="181">
          <cell r="A181" t="str">
            <v>exte2</v>
          </cell>
          <cell r="D181" t="str">
            <v>E</v>
          </cell>
          <cell r="P181">
            <v>37353579.919999994</v>
          </cell>
        </row>
        <row r="182">
          <cell r="A182" t="str">
            <v>TOTALES</v>
          </cell>
          <cell r="B182">
            <v>37353579.919999994</v>
          </cell>
          <cell r="C182">
            <v>1</v>
          </cell>
          <cell r="D182" t="str">
            <v>P</v>
          </cell>
          <cell r="P182">
            <v>37353579.919999994</v>
          </cell>
        </row>
        <row r="183">
          <cell r="A183" t="str">
            <v>tota2</v>
          </cell>
          <cell r="D183" t="str">
            <v>E</v>
          </cell>
          <cell r="P183">
            <v>37353579.919999994</v>
          </cell>
        </row>
        <row r="186">
          <cell r="A186" t="str">
            <v>CONTROL AVANCE PRESUPUESTAL</v>
          </cell>
        </row>
        <row r="187">
          <cell r="A187" t="str">
            <v>PROYECTO :</v>
          </cell>
          <cell r="B187" t="str">
            <v>Puesta en marcha NP-1202A y 1203A</v>
          </cell>
        </row>
        <row r="188">
          <cell r="A188" t="str">
            <v>INSTRUCCIÓN</v>
          </cell>
        </row>
        <row r="189">
          <cell r="A189" t="str">
            <v>DESCRIPCION</v>
          </cell>
          <cell r="B189" t="str">
            <v xml:space="preserve">VALOR </v>
          </cell>
          <cell r="C189" t="str">
            <v>PESO</v>
          </cell>
          <cell r="E189">
            <v>2004</v>
          </cell>
        </row>
        <row r="190">
          <cell r="B190" t="str">
            <v>COL$</v>
          </cell>
          <cell r="C190" t="str">
            <v>%</v>
          </cell>
          <cell r="E190" t="str">
            <v>ENE</v>
          </cell>
          <cell r="F190" t="str">
            <v>FEB</v>
          </cell>
          <cell r="G190" t="str">
            <v>MAR</v>
          </cell>
          <cell r="H190" t="str">
            <v>ABR</v>
          </cell>
          <cell r="I190" t="str">
            <v>MAY</v>
          </cell>
          <cell r="J190" t="str">
            <v>JUN</v>
          </cell>
          <cell r="K190" t="str">
            <v>JUL</v>
          </cell>
          <cell r="L190" t="str">
            <v>AGO</v>
          </cell>
          <cell r="M190" t="str">
            <v>SEP</v>
          </cell>
          <cell r="N190" t="str">
            <v>OCT</v>
          </cell>
          <cell r="O190" t="str">
            <v>NOV</v>
          </cell>
          <cell r="P190" t="str">
            <v>DIC</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ORIGINAL"/>
      <sheetName val="PRESUP"/>
      <sheetName val="INV"/>
      <sheetName val="AASHTO"/>
      <sheetName val="PRECIOS"/>
      <sheetName val="PROY_ORIGINAL"/>
      <sheetName val="PU (2)"/>
      <sheetName val="PRESUPUESTOS-REV1"/>
      <sheetName val="PESOS"/>
      <sheetName val="G&amp;G"/>
      <sheetName val="Datos"/>
      <sheetName val="CABG"/>
      <sheetName val="COSTOS UNITARIOS"/>
      <sheetName val="CA-2909"/>
      <sheetName val="TRAYECTO 1"/>
      <sheetName val=""/>
      <sheetName val="PRESUPUESTO"/>
      <sheetName val="PPTONUEVOFORMATO"/>
      <sheetName val="PRESUPUESTO1"/>
      <sheetName val="200P.1"/>
      <sheetName val="210.2.2"/>
      <sheetName val="320.1"/>
      <sheetName val="640.1"/>
      <sheetName val="500P.1"/>
      <sheetName val="500P.2"/>
      <sheetName val="600.1"/>
      <sheetName val="610.1"/>
      <sheetName val="630.4"/>
      <sheetName val="640P.2"/>
      <sheetName val="640.1 (2)"/>
      <sheetName val="672P.1"/>
      <sheetName val="2P.1"/>
      <sheetName val="900.2"/>
      <sheetName val="materiales de insumo"/>
      <sheetName val="jornales y prestaciones"/>
      <sheetName val="CANTIDADES"/>
      <sheetName val="210.1"/>
      <sheetName val="310.1"/>
      <sheetName val="600.4"/>
      <sheetName val="661.1"/>
      <sheetName val="673.1"/>
      <sheetName val="673.2"/>
      <sheetName val="673.3"/>
      <sheetName val="3P"/>
      <sheetName val="672.1"/>
      <sheetName val="2P"/>
      <sheetName val="3P.1"/>
      <sheetName val="3P.2"/>
      <sheetName val="6.1P"/>
      <sheetName val="6.2P"/>
      <sheetName val="6.4P"/>
      <sheetName val="muros"/>
      <sheetName val="PROY_ORIGINAL2"/>
      <sheetName val="PU_(2)1"/>
      <sheetName val="PROY_ORIGINAL1"/>
      <sheetName val="PU_(2)"/>
      <sheetName val="PROY_ORIGINAL3"/>
      <sheetName val="PU_(2)2"/>
      <sheetName val="PROY_ORIGINAL5"/>
      <sheetName val="PU_(2)4"/>
      <sheetName val="PROY_ORIGINAL4"/>
      <sheetName val="PU_(2)3"/>
      <sheetName val="Seguim-16"/>
      <sheetName val="Varios"/>
      <sheetName val="INFORME SEMANAL"/>
      <sheetName val="201.7"/>
      <sheetName val="211.1"/>
      <sheetName val="320.2"/>
      <sheetName val="330.1"/>
      <sheetName val="330.2"/>
      <sheetName val="411.2"/>
      <sheetName val="450.2P"/>
      <sheetName val="450.9P"/>
      <sheetName val="461.1"/>
      <sheetName val="465.1"/>
      <sheetName val="464.1P"/>
      <sheetName val="600.2"/>
      <sheetName val="630.5"/>
      <sheetName val="630.6"/>
      <sheetName val="630.7"/>
      <sheetName val="681.1"/>
      <sheetName val="4P"/>
      <sheetName val="7P"/>
      <sheetName val="670.P"/>
      <sheetName val="671.P"/>
      <sheetName val="6P"/>
      <sheetName val="674.2"/>
      <sheetName val="450.3P"/>
      <sheetName val="621.1P"/>
      <sheetName val="8P"/>
      <sheetName val="9P"/>
      <sheetName val="610.2P"/>
      <sheetName val="465-3P"/>
      <sheetName val="11P"/>
      <sheetName val="230.2"/>
      <sheetName val="230.2P"/>
      <sheetName val="621.1-1P"/>
      <sheetName val="14P"/>
      <sheetName val="15P"/>
      <sheetName val="17P"/>
      <sheetName val="18P"/>
      <sheetName val="19P"/>
      <sheetName val="20P"/>
      <sheetName val="21P"/>
      <sheetName val="22P"/>
      <sheetName val="621.1.2P"/>
      <sheetName val="PESO VARILLAS"/>
      <sheetName val="FORMATO PREACTA"/>
      <sheetName val="SOPORTES"/>
      <sheetName val="FORMATO FECHA)"/>
      <sheetName val="DESMONTE LIMP."/>
      <sheetName val="REGISTRO FOTOGRAFICO"/>
      <sheetName val="S200.1 DESM. LIMP.B "/>
      <sheetName val="S200.2 DESM. LIMP. NB"/>
      <sheetName val="S201.7 DEMO. ESTRUCTURAS"/>
      <sheetName val="Remocion alcantarillas."/>
      <sheetName val="Excav. Mat. Comun."/>
      <sheetName val="s201.15-remoción de alcantarill"/>
      <sheetName val="s210.2.2-Exc de expl"/>
      <sheetName val="s210.2.1-Exc en roca"/>
      <sheetName val="s211.1 REMOCION DERR."/>
      <sheetName val="s220.1 Terraplenes"/>
      <sheetName val="s221.1 Pedraplen"/>
      <sheetName val="S900.3 TRANS. DERRUMBE"/>
      <sheetName val="s231.1 Geotextil"/>
      <sheetName val="S230.2 Mejora. de la Sub-Ra"/>
      <sheetName val="S320.1 Sub base"/>
      <sheetName val="S330.1 BASE GRANULAR"/>
      <sheetName val="SUB-BASE"/>
      <sheetName val="CONFM. DE CALZADA EXISTENTE"/>
      <sheetName val="S310.1 Confor. calzada existe "/>
      <sheetName val=" S450.1 MEZCLA MDC-1"/>
      <sheetName val=" S450.2MEZCLA MDC-2"/>
      <sheetName val="S420.1 RIEGO DE IMPRIMACION."/>
      <sheetName val="S421.1 RIEGO LIGA CRR-1"/>
      <sheetName val="S460.1 FRESADO."/>
      <sheetName val="Excav. REPARACION PAVIMENTO."/>
      <sheetName val="S465.1 EXC. PAV. ASFALTICO"/>
      <sheetName val="S500.1 PAVIMENTO CONCRETO"/>
      <sheetName val="S510.1 PAVIMENTO ADOQUIN"/>
      <sheetName val="S600.1 EXCAV. VARIAS "/>
      <sheetName val="Relleno Estructuras"/>
      <sheetName val="eXCAVACIONES VARIAS EN ROCA "/>
      <sheetName val="S600.2 EXCAV. ROCA"/>
      <sheetName val="S610.1 Relleno Estructuras"/>
      <sheetName val="S623.1 Anclajes "/>
      <sheetName val="S623P1 Pantalla Concreto"/>
      <sheetName val="S630.3 Concretos C"/>
      <sheetName val="S630.4a Concretos D"/>
      <sheetName val="S630.4b Concretos D"/>
      <sheetName val="S630.6 CONCRETO F"/>
      <sheetName val="CONCRETO G"/>
      <sheetName val="S630.7 CONCRETO G"/>
      <sheetName val="s640.1 Acero refuerzo"/>
      <sheetName val="S642.13 Juntas dilatacion"/>
      <sheetName val="S644.2 Tuberia PVC 4&quot;"/>
      <sheetName val=" TUBERIA 36&quot;"/>
      <sheetName val="S632.1 Baranda"/>
      <sheetName val=" S661.1 TUBERIA 36&quot; "/>
      <sheetName val="S673.1 MAT. FILTRANTE"/>
      <sheetName val="S673.2 GEOTEXTIL"/>
      <sheetName val="GAVIONES"/>
      <sheetName val="Señales"/>
      <sheetName val="TRANS. EXPLANACION"/>
      <sheetName val=" S673.3 GEODREN PLANAR 6&quot;"/>
      <sheetName val="S681.1 GAVIONES"/>
      <sheetName val="S700.1 Demarcacion"/>
      <sheetName val="S700.2 Marca víal"/>
      <sheetName val="S701.1 tachas reflectivas"/>
      <sheetName val="S710.1.1 SEÑ VERT. "/>
      <sheetName val="S710.2 SEÑ VERT.V"/>
      <sheetName val="S710.1.2 SEÑ VERT."/>
      <sheetName val="S730.1Defensas "/>
      <sheetName val="S800.2 CERCAS"/>
      <sheetName val="S810.1 PROTECCION TALUDES"/>
      <sheetName val="S900.2Trans explan"/>
      <sheetName val="Drenes"/>
      <sheetName val="Tratamiento fisuras"/>
      <sheetName val="MARCAS VIALES"/>
      <sheetName val="Geomalla con fibra de vidrio"/>
      <sheetName val="Anclajes pasivos 4#6"/>
      <sheetName val="SNP1-geomalla fibra Vidrio"/>
      <sheetName val="SNP2-geomalla Biaxial"/>
      <sheetName val="SNP3 concreto 3500 "/>
      <sheetName val="SNP4 CEM. ASFALTICO"/>
      <sheetName val="SNP5 MTTO RUTINARIO"/>
      <sheetName val="SNP6 Drenes"/>
      <sheetName val="SNP7 Anclajes pasivos 4#6"/>
      <sheetName val="SNP8 Anclajes activos 2 Tor"/>
      <sheetName val="SNP9 Anclajes activos 4 Tor"/>
      <sheetName val="SNP10 MATERIAL 3&quot; TRIT"/>
      <sheetName val="SNP11 Material Relleno"/>
      <sheetName val="SNP12 CUNETAS 3.000"/>
      <sheetName val="SNP13 PARCHEO"/>
      <sheetName val="SNP14 SELLO JUNTAS"/>
      <sheetName val="SNP15 Pilotes"/>
      <sheetName val="SNP16 EXCAV. PAVIMENTO"/>
      <sheetName val="SNP17 TRANS BASE"/>
      <sheetName val="SNP18 AFIRMADO 3&quot;"/>
      <sheetName val="alcantarilla K69+103"/>
      <sheetName val="alcantarilla K68+437"/>
      <sheetName val="alcantarilla K67+455"/>
      <sheetName val="BOXXXX"/>
      <sheetName val="BOX 110+520 PUENTE EL VERDE"/>
      <sheetName val="Muro K99+0703"/>
      <sheetName val="MURO K104+454"/>
      <sheetName val="Muro K109+0570"/>
      <sheetName val="BOX K"/>
      <sheetName val="CONVERCIONES"/>
      <sheetName val="PARCHEO"/>
      <sheetName val="proveedores"/>
      <sheetName val="APU´s"/>
      <sheetName val="RESUMEN"/>
      <sheetName val="VALOR ENSAYOS"/>
      <sheetName val="K9+900"/>
      <sheetName val="PR10+760"/>
      <sheetName val="PR11+020"/>
      <sheetName val="PR12+400"/>
      <sheetName val="PR18+560"/>
      <sheetName val="PR19+100"/>
      <sheetName val="PR19+900"/>
      <sheetName val="PR21+380"/>
      <sheetName val="PR21+900"/>
      <sheetName val="PR23+350"/>
      <sheetName val="PR24+500"/>
      <sheetName val="PR25+700"/>
      <sheetName val="PR31+200"/>
      <sheetName val="PR33+010"/>
      <sheetName val="PR33+030"/>
      <sheetName val="PR35+400A"/>
      <sheetName val="PR35+400"/>
      <sheetName val="PR35+540"/>
      <sheetName val="ó&gt;_x0000__x0001__x0000__x0000__x0000_j0$_x0000_#_x0000__x0000__x0000_j.$_x0000_#_x0000__x0000__x0000_L_x0012_Óu_x0000__x0000__x0000__x0000_"/>
      <sheetName val="plantilla"/>
      <sheetName val="resumen preacta"/>
      <sheetName val="1"/>
      <sheetName val="2"/>
      <sheetName val="3"/>
      <sheetName val="4"/>
      <sheetName val="5"/>
      <sheetName val="7"/>
      <sheetName val="8"/>
      <sheetName val="9"/>
      <sheetName val="10"/>
      <sheetName val="11"/>
      <sheetName val="12"/>
      <sheetName val="13"/>
      <sheetName val="14"/>
      <sheetName val="16"/>
      <sheetName val="17"/>
      <sheetName val="19"/>
      <sheetName val="21"/>
      <sheetName val="22"/>
      <sheetName val="23"/>
      <sheetName val="24"/>
      <sheetName val="25"/>
      <sheetName val="26"/>
      <sheetName val="28"/>
      <sheetName val="29"/>
      <sheetName val="30"/>
      <sheetName val="31"/>
      <sheetName val="32"/>
      <sheetName val="33"/>
      <sheetName val="34"/>
      <sheetName val="38"/>
      <sheetName val="42"/>
      <sheetName val="43"/>
      <sheetName val="44"/>
      <sheetName val="Resalto en asfalto"/>
      <sheetName val="Mat fresado para ampliacion"/>
      <sheetName val="Tuberia filtro D=6&quot;"/>
      <sheetName val="Realce de bordillo"/>
      <sheetName val="Remocion tuberia d=24&quot;"/>
      <sheetName val="GRAVA ATRAQUES DE ALCANTARILLA"/>
      <sheetName val="RESALTO"/>
      <sheetName val="Geodren"/>
      <sheetName val="Hoja1"/>
      <sheetName val="Información"/>
      <sheetName val="PROY_ORIGINAL6"/>
      <sheetName val="PU_(2)5"/>
      <sheetName val="200P_1"/>
      <sheetName val="210_2_2"/>
      <sheetName val="320_1"/>
      <sheetName val="640_1"/>
      <sheetName val="500P_1"/>
      <sheetName val="500P_2"/>
      <sheetName val="600_1"/>
      <sheetName val="610_1"/>
      <sheetName val="630_4"/>
      <sheetName val="640P_2"/>
      <sheetName val="640_1_(2)"/>
      <sheetName val="672P_1"/>
      <sheetName val="2P_1"/>
      <sheetName val="900_2"/>
      <sheetName val="materiales_de_insumo"/>
      <sheetName val="jornales_y_prestaciones"/>
      <sheetName val="210_1"/>
      <sheetName val="310_1"/>
      <sheetName val="600_4"/>
      <sheetName val="661_1"/>
      <sheetName val="673_1"/>
      <sheetName val="673_2"/>
      <sheetName val="673_3"/>
      <sheetName val="672_1"/>
      <sheetName val="3P_1"/>
      <sheetName val="3P_2"/>
      <sheetName val="6_1P"/>
      <sheetName val="6_2P"/>
      <sheetName val="6_4P"/>
      <sheetName val="COSTOS_UNITARIOS"/>
      <sheetName val="TRAYECTO_1"/>
      <sheetName val="INFORME_SEMANAL"/>
      <sheetName val="201_7"/>
      <sheetName val="211_1"/>
      <sheetName val="320_2"/>
      <sheetName val="330_1"/>
      <sheetName val="330_2"/>
      <sheetName val="411_2"/>
      <sheetName val="450_2P"/>
      <sheetName val="450_9P"/>
      <sheetName val="461_1"/>
      <sheetName val="465_1"/>
      <sheetName val="464_1P"/>
      <sheetName val="600_2"/>
      <sheetName val="630_5"/>
      <sheetName val="630_6"/>
      <sheetName val="630_7"/>
      <sheetName val="681_1"/>
      <sheetName val="670_P"/>
      <sheetName val="671_P"/>
      <sheetName val="674_2"/>
      <sheetName val="450_3P"/>
      <sheetName val="621_1P"/>
      <sheetName val="610_2P"/>
      <sheetName val="230_2"/>
      <sheetName val="230_2P"/>
      <sheetName val="621_1-1P"/>
      <sheetName val="621_1_2P"/>
      <sheetName val="PESO_VARILLAS"/>
      <sheetName val="FORMATO_PREACTA"/>
      <sheetName val="FORMATO_FECHA)"/>
      <sheetName val="DESMONTE_LIMP_"/>
      <sheetName val="REGISTRO_FOTOGRAFICO"/>
      <sheetName val="S200_1_DESM__LIMP_B_"/>
      <sheetName val="S200_2_DESM__LIMP__NB"/>
      <sheetName val="S201_7_DEMO__ESTRUCTURAS"/>
      <sheetName val="Remocion_alcantarillas_"/>
      <sheetName val="Excav__Mat__Comun_"/>
      <sheetName val="s201_15-remoción_de_alcantarill"/>
      <sheetName val="s210_2_2-Exc_de_expl"/>
      <sheetName val="s210_2_1-Exc_en_roca"/>
      <sheetName val="s211_1_REMOCION_DERR_"/>
      <sheetName val="s220_1_Terraplenes"/>
      <sheetName val="s221_1_Pedraplen"/>
      <sheetName val="S900_3_TRANS__DERRUMBE"/>
      <sheetName val="s231_1_Geotextil"/>
      <sheetName val="S230_2_Mejora__de_la_Sub-Ra"/>
      <sheetName val="S320_1_Sub_base"/>
      <sheetName val="S330_1_BASE_GRANULAR"/>
      <sheetName val="CONFM__DE_CALZADA_EXISTENTE"/>
      <sheetName val="S310_1_Confor__calzada_existe_"/>
      <sheetName val="_S450_1_MEZCLA_MDC-1"/>
      <sheetName val="_S450_2MEZCLA_MDC-2"/>
      <sheetName val="S420_1_RIEGO_DE_IMPRIMACION_"/>
      <sheetName val="S421_1_RIEGO_LIGA_CRR-1"/>
      <sheetName val="S460_1_FRESADO_"/>
      <sheetName val="Excav__REPARACION_PAVIMENTO_"/>
      <sheetName val="S465_1_EXC__PAV__ASFALTICO"/>
      <sheetName val="S500_1_PAVIMENTO_CONCRETO"/>
      <sheetName val="S510_1_PAVIMENTO_ADOQUIN"/>
      <sheetName val="S600_1_EXCAV__VARIAS_"/>
      <sheetName val="Relleno_Estructuras"/>
      <sheetName val="eXCAVACIONES_VARIAS_EN_ROCA_"/>
      <sheetName val="S600_2_EXCAV__ROCA"/>
      <sheetName val="S610_1_Relleno_Estructuras"/>
      <sheetName val="S623_1_Anclajes_"/>
      <sheetName val="S623P1_Pantalla_Concreto"/>
      <sheetName val="S630_3_Concretos_C"/>
      <sheetName val="S630_4a_Concretos_D"/>
      <sheetName val="S630_4b_Concretos_D"/>
      <sheetName val="S630_6_CONCRETO_F"/>
      <sheetName val="CONCRETO_G"/>
      <sheetName val="S630_7_CONCRETO_G"/>
      <sheetName val="s640_1_Acero_refuerzo"/>
      <sheetName val="S642_13_Juntas_dilatacion"/>
      <sheetName val="S644_2_Tuberia_PVC_4&quot;"/>
      <sheetName val="_TUBERIA_36&quot;"/>
      <sheetName val="S632_1_Baranda"/>
      <sheetName val="_S661_1_TUBERIA_36&quot;_"/>
      <sheetName val="S673_1_MAT__FILTRANTE"/>
      <sheetName val="S673_2_GEOTEXTIL"/>
      <sheetName val="TRANS__EXPLANACION"/>
      <sheetName val="_S673_3_GEODREN_PLANAR_6&quot;"/>
      <sheetName val="S681_1_GAVIONES"/>
      <sheetName val="S700_1_Demarcacion"/>
      <sheetName val="S700_2_Marca_víal"/>
      <sheetName val="S701_1_tachas_reflectivas"/>
      <sheetName val="S710_1_1_SEÑ_VERT__"/>
      <sheetName val="S710_2_SEÑ_VERT_V"/>
      <sheetName val="S710_1_2_SEÑ_VERT_"/>
      <sheetName val="S730_1Defensas_"/>
      <sheetName val="S800_2_CERCAS"/>
      <sheetName val="S810_1_PROTECCION_TALUDES"/>
      <sheetName val="S900_2Trans_explan"/>
      <sheetName val="Tratamiento_fisuras"/>
      <sheetName val="MARCAS_VIALES"/>
      <sheetName val="Geomalla_con_fibra_de_vidrio"/>
      <sheetName val="Anclajes_pasivos_4#6"/>
      <sheetName val="SNP1-geomalla_fibra_Vidrio"/>
      <sheetName val="SNP2-geomalla_Biaxial"/>
      <sheetName val="SNP3_concreto_3500_"/>
      <sheetName val="SNP4_CEM__ASFALTICO"/>
      <sheetName val="SNP5_MTTO_RUTINARIO"/>
      <sheetName val="SNP6_Drenes"/>
      <sheetName val="SNP7_Anclajes_pasivos_4#6"/>
      <sheetName val="SNP8_Anclajes_activos_2_Tor"/>
      <sheetName val="SNP9_Anclajes_activos_4_Tor"/>
      <sheetName val="SNP10_MATERIAL_3&quot;_TRIT"/>
      <sheetName val="SNP11_Material_Relleno"/>
      <sheetName val="SNP12_CUNETAS_3_000"/>
      <sheetName val="SNP13_PARCHEO"/>
      <sheetName val="SNP14_SELLO_JUNTAS"/>
      <sheetName val="SNP15_Pilotes"/>
      <sheetName val="SNP16_EXCAV__PAVIMENTO"/>
      <sheetName val="SNP17_TRANS_BASE"/>
      <sheetName val="SNP18_AFIRMADO_3&quot;"/>
      <sheetName val="alcantarilla_K69+103"/>
      <sheetName val="alcantarilla_K68+437"/>
      <sheetName val="alcantarilla_K67+455"/>
      <sheetName val="BOX_110+520_PUENTE_EL_VERDE"/>
      <sheetName val="Muro_K99+0703"/>
      <sheetName val="MURO_K104+454"/>
      <sheetName val="Muro_K109+0570"/>
      <sheetName val="BOX_K"/>
      <sheetName val="VALOR_ENSAYOS"/>
      <sheetName val="ó&gt;j0$#j_$#LÓu"/>
      <sheetName val="resumen_preacta"/>
      <sheetName val="Resalto_en_asfalto"/>
      <sheetName val="Mat_fresado_para_ampliacion"/>
      <sheetName val="Tuberia_filtro_D=6&quot;"/>
      <sheetName val="Realce_de_bordillo"/>
      <sheetName val="Remocion_tuberia_d=24&quot;"/>
      <sheetName val="GRAVA_ATRAQUES_DE_ALCANTARILLA"/>
      <sheetName val="INVIAS"/>
      <sheetName val="LISTA_EPC"/>
      <sheetName val="210.1.1"/>
      <sheetName val="210.1.2"/>
      <sheetName val="210.2.1"/>
      <sheetName val="220.1"/>
      <sheetName val="420.1"/>
      <sheetName val="421.1"/>
      <sheetName val="450p"/>
      <sheetName val="630.4.1"/>
      <sheetName val="640.1.1"/>
      <sheetName val="4P.1.1"/>
      <sheetName val="671.1"/>
      <sheetName val="673P.1"/>
      <sheetName val="673-dren"/>
      <sheetName val="674p.2"/>
      <sheetName val="640.1.2"/>
      <sheetName val="640.1.4"/>
      <sheetName val="630.3.1"/>
      <sheetName val="700.1"/>
      <sheetName val="701.2"/>
      <sheetName val="710.1"/>
      <sheetName val="730.1"/>
      <sheetName val="Concret-Clase-A"/>
      <sheetName val="Concret-Clase-B"/>
      <sheetName val="Concret-Clase-C"/>
      <sheetName val="Concret-Clase-D"/>
      <sheetName val="Concret-Clase-E"/>
      <sheetName val="Concret-Clase-F"/>
      <sheetName val="Concret-Clase_G"/>
      <sheetName val="Mortero_13"/>
      <sheetName val="ACTIVIDADES"/>
      <sheetName val="TORTA EST"/>
      <sheetName val="BD"/>
      <sheetName val="PROY_ORIGINAL7"/>
      <sheetName val="PU_(2)6"/>
      <sheetName val="COSTOS_UNITARIOS1"/>
      <sheetName val="TRAYECTO_11"/>
      <sheetName val="200P_11"/>
      <sheetName val="210_2_21"/>
      <sheetName val="320_11"/>
      <sheetName val="640_11"/>
      <sheetName val="500P_11"/>
      <sheetName val="500P_21"/>
      <sheetName val="600_11"/>
      <sheetName val="610_11"/>
      <sheetName val="630_41"/>
      <sheetName val="640P_21"/>
      <sheetName val="640_1_(2)1"/>
      <sheetName val="672P_11"/>
      <sheetName val="2P_11"/>
      <sheetName val="900_21"/>
      <sheetName val="materiales_de_insumo1"/>
      <sheetName val="jornales_y_prestaciones1"/>
      <sheetName val="210_11"/>
      <sheetName val="310_11"/>
      <sheetName val="600_41"/>
      <sheetName val="661_11"/>
      <sheetName val="673_11"/>
      <sheetName val="673_21"/>
      <sheetName val="673_31"/>
      <sheetName val="672_11"/>
      <sheetName val="3P_11"/>
      <sheetName val="3P_21"/>
      <sheetName val="6_1P1"/>
      <sheetName val="6_2P1"/>
      <sheetName val="6_4P1"/>
      <sheetName val="VALOR_ENSAYOS1"/>
      <sheetName val="resumen_preacta1"/>
      <sheetName val="Resalto_en_asfalto1"/>
      <sheetName val="Mat_fresado_para_ampliacion1"/>
      <sheetName val="Tuberia_filtro_D=6&quot;1"/>
      <sheetName val="Realce_de_bordillo1"/>
      <sheetName val="Remocion_tuberia_d=24&quot;1"/>
      <sheetName val="GRAVA_ATRAQUES_DE_ALCANTARILLA1"/>
      <sheetName val="FORMATO_PREACTA1"/>
      <sheetName val="FORMATO_FECHA)1"/>
      <sheetName val="DESMONTE_LIMP_1"/>
      <sheetName val="REGISTRO_FOTOGRAFICO1"/>
      <sheetName val="S200_1_DESM__LIMP_B_1"/>
      <sheetName val="S200_2_DESM__LIMP__NB1"/>
      <sheetName val="S201_7_DEMO__ESTRUCTURAS1"/>
      <sheetName val="Remocion_alcantarillas_1"/>
      <sheetName val="Excav__Mat__Comun_1"/>
      <sheetName val="s201_15-remoción_de_alcantaril1"/>
      <sheetName val="s210_2_2-Exc_de_expl1"/>
      <sheetName val="s210_2_1-Exc_en_roca1"/>
      <sheetName val="s211_1_REMOCION_DERR_1"/>
      <sheetName val="s220_1_Terraplenes1"/>
      <sheetName val="s221_1_Pedraplen1"/>
      <sheetName val="S900_3_TRANS__DERRUMBE1"/>
      <sheetName val="s231_1_Geotextil1"/>
      <sheetName val="S230_2_Mejora__de_la_Sub-Ra1"/>
      <sheetName val="S320_1_Sub_base1"/>
      <sheetName val="S330_1_BASE_GRANULAR1"/>
      <sheetName val="CONFM__DE_CALZADA_EXISTENTE1"/>
      <sheetName val="S310_1_Confor__calzada_existe_1"/>
      <sheetName val="_S450_1_MEZCLA_MDC-11"/>
      <sheetName val="_S450_2MEZCLA_MDC-21"/>
      <sheetName val="S420_1_RIEGO_DE_IMPRIMACION_1"/>
      <sheetName val="S421_1_RIEGO_LIGA_CRR-11"/>
      <sheetName val="S460_1_FRESADO_1"/>
      <sheetName val="Excav__REPARACION_PAVIMENTO_1"/>
      <sheetName val="S465_1_EXC__PAV__ASFALTICO1"/>
      <sheetName val="S500_1_PAVIMENTO_CONCRETO1"/>
      <sheetName val="S510_1_PAVIMENTO_ADOQUIN1"/>
      <sheetName val="S600_1_EXCAV__VARIAS_1"/>
      <sheetName val="Relleno_Estructuras1"/>
      <sheetName val="eXCAVACIONES_VARIAS_EN_ROCA_1"/>
      <sheetName val="S600_2_EXCAV__ROCA1"/>
      <sheetName val="S610_1_Relleno_Estructuras1"/>
      <sheetName val="S623_1_Anclajes_1"/>
      <sheetName val="S623P1_Pantalla_Concreto1"/>
      <sheetName val="S630_3_Concretos_C1"/>
      <sheetName val="S630_4a_Concretos_D1"/>
      <sheetName val="S630_4b_Concretos_D1"/>
      <sheetName val="S630_6_CONCRETO_F1"/>
      <sheetName val="CONCRETO_G1"/>
      <sheetName val="S630_7_CONCRETO_G1"/>
      <sheetName val="s640_1_Acero_refuerzo1"/>
      <sheetName val="S642_13_Juntas_dilatacion1"/>
      <sheetName val="S644_2_Tuberia_PVC_4&quot;1"/>
      <sheetName val="_TUBERIA_36&quot;1"/>
      <sheetName val="S632_1_Baranda1"/>
      <sheetName val="_S661_1_TUBERIA_36&quot;_1"/>
      <sheetName val="S673_1_MAT__FILTRANTE1"/>
      <sheetName val="S673_2_GEOTEXTIL1"/>
      <sheetName val="TRANS__EXPLANACION1"/>
      <sheetName val="_S673_3_GEODREN_PLANAR_6&quot;1"/>
      <sheetName val="S681_1_GAVIONES1"/>
      <sheetName val="S700_1_Demarcacion1"/>
      <sheetName val="S700_2_Marca_víal1"/>
      <sheetName val="S701_1_tachas_reflectivas1"/>
      <sheetName val="S710_1_1_SEÑ_VERT__1"/>
      <sheetName val="S710_2_SEÑ_VERT_V1"/>
      <sheetName val="S710_1_2_SEÑ_VERT_1"/>
      <sheetName val="S730_1Defensas_1"/>
      <sheetName val="S800_2_CERCAS1"/>
      <sheetName val="S810_1_PROTECCION_TALUDES1"/>
      <sheetName val="S900_2Trans_explan1"/>
      <sheetName val="Tratamiento_fisuras1"/>
      <sheetName val="MARCAS_VIALES1"/>
      <sheetName val="Geomalla_con_fibra_de_vidrio1"/>
      <sheetName val="Anclajes_pasivos_4#61"/>
      <sheetName val="SNP1-geomalla_fibra_Vidrio1"/>
      <sheetName val="SNP2-geomalla_Biaxial1"/>
      <sheetName val="SNP3_concreto_3500_1"/>
      <sheetName val="SNP4_CEM__ASFALTICO1"/>
      <sheetName val="SNP5_MTTO_RUTINARIO1"/>
      <sheetName val="SNP6_Drenes1"/>
      <sheetName val="SNP7_Anclajes_pasivos_4#61"/>
      <sheetName val="SNP8_Anclajes_activos_2_Tor1"/>
      <sheetName val="SNP9_Anclajes_activos_4_Tor1"/>
      <sheetName val="SNP10_MATERIAL_3&quot;_TRIT1"/>
      <sheetName val="SNP11_Material_Relleno1"/>
      <sheetName val="SNP12_CUNETAS_3_0001"/>
      <sheetName val="SNP13_PARCHEO1"/>
      <sheetName val="SNP14_SELLO_JUNTAS1"/>
      <sheetName val="SNP15_Pilotes1"/>
      <sheetName val="SNP16_EXCAV__PAVIMENTO1"/>
      <sheetName val="SNP17_TRANS_BASE1"/>
      <sheetName val="SNP18_AFIRMADO_3&quot;1"/>
      <sheetName val="alcantarilla_K69+1031"/>
      <sheetName val="alcantarilla_K68+4371"/>
      <sheetName val="alcantarilla_K67+4551"/>
      <sheetName val="BOX_110+520_PUENTE_EL_VERDE1"/>
      <sheetName val="Muro_K99+07031"/>
      <sheetName val="MURO_K104+4541"/>
      <sheetName val="Muro_K109+05701"/>
      <sheetName val="BOX_K1"/>
      <sheetName val="PROY_ORIGINAL8"/>
      <sheetName val="PU_(2)7"/>
      <sheetName val="COSTOS_UNITARIOS2"/>
      <sheetName val="TRAYECTO_12"/>
      <sheetName val="200P_12"/>
      <sheetName val="210_2_22"/>
      <sheetName val="320_12"/>
      <sheetName val="640_12"/>
      <sheetName val="500P_12"/>
      <sheetName val="500P_22"/>
      <sheetName val="600_12"/>
      <sheetName val="610_12"/>
      <sheetName val="630_42"/>
      <sheetName val="640P_22"/>
      <sheetName val="640_1_(2)2"/>
      <sheetName val="672P_12"/>
      <sheetName val="2P_12"/>
      <sheetName val="900_22"/>
      <sheetName val="materiales_de_insumo2"/>
      <sheetName val="jornales_y_prestaciones2"/>
      <sheetName val="210_12"/>
      <sheetName val="310_12"/>
      <sheetName val="600_42"/>
      <sheetName val="661_12"/>
      <sheetName val="673_12"/>
      <sheetName val="673_22"/>
      <sheetName val="673_32"/>
      <sheetName val="672_12"/>
      <sheetName val="3P_12"/>
      <sheetName val="3P_22"/>
      <sheetName val="6_1P2"/>
      <sheetName val="6_2P2"/>
      <sheetName val="6_4P2"/>
      <sheetName val="VALOR_ENSAYOS2"/>
      <sheetName val="resumen_preacta2"/>
      <sheetName val="Resalto_en_asfalto2"/>
      <sheetName val="Mat_fresado_para_ampliacion2"/>
      <sheetName val="Tuberia_filtro_D=6&quot;2"/>
      <sheetName val="Realce_de_bordillo2"/>
      <sheetName val="Remocion_tuberia_d=24&quot;2"/>
      <sheetName val="GRAVA_ATRAQUES_DE_ALCANTARILLA2"/>
      <sheetName val="FORMATO_PREACTA2"/>
      <sheetName val="FORMATO_FECHA)2"/>
      <sheetName val="DESMONTE_LIMP_2"/>
      <sheetName val="REGISTRO_FOTOGRAFICO2"/>
      <sheetName val="S200_1_DESM__LIMP_B_2"/>
      <sheetName val="S200_2_DESM__LIMP__NB2"/>
      <sheetName val="S201_7_DEMO__ESTRUCTURAS2"/>
      <sheetName val="Remocion_alcantarillas_2"/>
      <sheetName val="Excav__Mat__Comun_2"/>
      <sheetName val="s201_15-remoción_de_alcantaril2"/>
      <sheetName val="s210_2_2-Exc_de_expl2"/>
      <sheetName val="s210_2_1-Exc_en_roca2"/>
      <sheetName val="s211_1_REMOCION_DERR_2"/>
      <sheetName val="s220_1_Terraplenes2"/>
      <sheetName val="s221_1_Pedraplen2"/>
      <sheetName val="S900_3_TRANS__DERRUMBE2"/>
      <sheetName val="s231_1_Geotextil2"/>
      <sheetName val="S230_2_Mejora__de_la_Sub-Ra2"/>
      <sheetName val="S320_1_Sub_base2"/>
      <sheetName val="S330_1_BASE_GRANULAR2"/>
      <sheetName val="CONFM__DE_CALZADA_EXISTENTE2"/>
      <sheetName val="S310_1_Confor__calzada_existe_2"/>
      <sheetName val="_S450_1_MEZCLA_MDC-12"/>
      <sheetName val="_S450_2MEZCLA_MDC-22"/>
      <sheetName val="S420_1_RIEGO_DE_IMPRIMACION_2"/>
      <sheetName val="S421_1_RIEGO_LIGA_CRR-12"/>
      <sheetName val="S460_1_FRESADO_2"/>
      <sheetName val="Excav__REPARACION_PAVIMENTO_2"/>
      <sheetName val="S465_1_EXC__PAV__ASFALTICO2"/>
      <sheetName val="S500_1_PAVIMENTO_CONCRETO2"/>
      <sheetName val="S510_1_PAVIMENTO_ADOQUIN2"/>
      <sheetName val="S600_1_EXCAV__VARIAS_2"/>
      <sheetName val="Relleno_Estructuras2"/>
      <sheetName val="eXCAVACIONES_VARIAS_EN_ROCA_2"/>
      <sheetName val="S600_2_EXCAV__ROCA2"/>
      <sheetName val="S610_1_Relleno_Estructuras2"/>
      <sheetName val="S623_1_Anclajes_2"/>
      <sheetName val="S623P1_Pantalla_Concreto2"/>
      <sheetName val="S630_3_Concretos_C2"/>
      <sheetName val="S630_4a_Concretos_D2"/>
      <sheetName val="S630_4b_Concretos_D2"/>
      <sheetName val="S630_6_CONCRETO_F2"/>
      <sheetName val="CONCRETO_G2"/>
      <sheetName val="S630_7_CONCRETO_G2"/>
      <sheetName val="s640_1_Acero_refuerzo2"/>
      <sheetName val="S642_13_Juntas_dilatacion2"/>
      <sheetName val="S644_2_Tuberia_PVC_4&quot;2"/>
      <sheetName val="_TUBERIA_36&quot;2"/>
      <sheetName val="S632_1_Baranda2"/>
      <sheetName val="_S661_1_TUBERIA_36&quot;_2"/>
      <sheetName val="S673_1_MAT__FILTRANTE2"/>
      <sheetName val="S673_2_GEOTEXTIL2"/>
      <sheetName val="TRANS__EXPLANACION2"/>
      <sheetName val="_S673_3_GEODREN_PLANAR_6&quot;2"/>
      <sheetName val="S681_1_GAVIONES2"/>
      <sheetName val="S700_1_Demarcacion2"/>
      <sheetName val="S700_2_Marca_víal2"/>
      <sheetName val="S701_1_tachas_reflectivas2"/>
      <sheetName val="S710_1_1_SEÑ_VERT__2"/>
      <sheetName val="S710_2_SEÑ_VERT_V2"/>
      <sheetName val="S710_1_2_SEÑ_VERT_2"/>
      <sheetName val="S730_1Defensas_2"/>
      <sheetName val="S800_2_CERCAS2"/>
      <sheetName val="S810_1_PROTECCION_TALUDES2"/>
      <sheetName val="S900_2Trans_explan2"/>
      <sheetName val="Tratamiento_fisuras2"/>
      <sheetName val="MARCAS_VIALES2"/>
      <sheetName val="Geomalla_con_fibra_de_vidrio2"/>
      <sheetName val="Anclajes_pasivos_4#62"/>
      <sheetName val="SNP1-geomalla_fibra_Vidrio2"/>
      <sheetName val="SNP2-geomalla_Biaxial2"/>
      <sheetName val="SNP3_concreto_3500_2"/>
      <sheetName val="SNP4_CEM__ASFALTICO2"/>
      <sheetName val="SNP5_MTTO_RUTINARIO2"/>
      <sheetName val="SNP6_Drenes2"/>
      <sheetName val="SNP7_Anclajes_pasivos_4#62"/>
      <sheetName val="SNP8_Anclajes_activos_2_Tor2"/>
      <sheetName val="SNP9_Anclajes_activos_4_Tor2"/>
      <sheetName val="SNP10_MATERIAL_3&quot;_TRIT2"/>
      <sheetName val="SNP11_Material_Relleno2"/>
      <sheetName val="SNP12_CUNETAS_3_0002"/>
      <sheetName val="SNP13_PARCHEO2"/>
      <sheetName val="SNP14_SELLO_JUNTAS2"/>
      <sheetName val="SNP15_Pilotes2"/>
      <sheetName val="SNP16_EXCAV__PAVIMENTO2"/>
      <sheetName val="SNP17_TRANS_BASE2"/>
      <sheetName val="SNP18_AFIRMADO_3&quot;2"/>
      <sheetName val="alcantarilla_K69+1032"/>
      <sheetName val="alcantarilla_K68+4372"/>
      <sheetName val="alcantarilla_K67+4552"/>
      <sheetName val="BOX_110+520_PUENTE_EL_VERDE2"/>
      <sheetName val="Muro_K99+07032"/>
      <sheetName val="MURO_K104+4542"/>
      <sheetName val="Muro_K109+05702"/>
      <sheetName val="BOX_K2"/>
      <sheetName val="Tramo 2"/>
      <sheetName val="Accidentalidad"/>
      <sheetName val="Causa Posible"/>
      <sheetName val="Base de Datos"/>
      <sheetName val="Elementos Involucrados"/>
      <sheetName val="PROY_ORIGINAL9"/>
      <sheetName val="PU_(2)8"/>
      <sheetName val="COSTOS_UNITARIOS3"/>
      <sheetName val="TRAYECTO_13"/>
      <sheetName val="200P_13"/>
      <sheetName val="210_2_23"/>
      <sheetName val="320_13"/>
      <sheetName val="640_13"/>
      <sheetName val="500P_13"/>
      <sheetName val="500P_23"/>
      <sheetName val="600_13"/>
      <sheetName val="610_13"/>
      <sheetName val="630_43"/>
      <sheetName val="640P_23"/>
      <sheetName val="640_1_(2)3"/>
      <sheetName val="672P_13"/>
      <sheetName val="2P_13"/>
      <sheetName val="900_23"/>
      <sheetName val="materiales_de_insumo3"/>
      <sheetName val="jornales_y_prestaciones3"/>
      <sheetName val="210_13"/>
      <sheetName val="310_13"/>
      <sheetName val="600_43"/>
      <sheetName val="661_13"/>
      <sheetName val="673_13"/>
      <sheetName val="673_23"/>
      <sheetName val="673_33"/>
      <sheetName val="672_13"/>
      <sheetName val="3P_13"/>
      <sheetName val="3P_23"/>
      <sheetName val="6_1P3"/>
      <sheetName val="6_2P3"/>
      <sheetName val="6_4P3"/>
      <sheetName val="VALOR_ENSAYOS3"/>
      <sheetName val="resumen_preacta3"/>
      <sheetName val="Resalto_en_asfalto3"/>
      <sheetName val="Mat_fresado_para_ampliacion3"/>
      <sheetName val="Tuberia_filtro_D=6&quot;3"/>
      <sheetName val="Realce_de_bordillo3"/>
      <sheetName val="Remocion_tuberia_d=24&quot;3"/>
      <sheetName val="GRAVA_ATRAQUES_DE_ALCANTARILLA3"/>
      <sheetName val="FORMATO_PREACTA3"/>
      <sheetName val="FORMATO_FECHA)3"/>
      <sheetName val="DESMONTE_LIMP_3"/>
      <sheetName val="REGISTRO_FOTOGRAFICO3"/>
      <sheetName val="S200_1_DESM__LIMP_B_3"/>
      <sheetName val="S200_2_DESM__LIMP__NB3"/>
      <sheetName val="S201_7_DEMO__ESTRUCTURAS3"/>
      <sheetName val="Remocion_alcantarillas_3"/>
      <sheetName val="Excav__Mat__Comun_3"/>
      <sheetName val="s201_15-remoción_de_alcantaril3"/>
      <sheetName val="s210_2_2-Exc_de_expl3"/>
      <sheetName val="s210_2_1-Exc_en_roca3"/>
      <sheetName val="s211_1_REMOCION_DERR_3"/>
      <sheetName val="s220_1_Terraplenes3"/>
      <sheetName val="s221_1_Pedraplen3"/>
      <sheetName val="S900_3_TRANS__DERRUMBE3"/>
      <sheetName val="s231_1_Geotextil3"/>
      <sheetName val="S230_2_Mejora__de_la_Sub-Ra3"/>
      <sheetName val="S320_1_Sub_base3"/>
      <sheetName val="S330_1_BASE_GRANULAR3"/>
      <sheetName val="CONFM__DE_CALZADA_EXISTENTE3"/>
      <sheetName val="S310_1_Confor__calzada_existe_3"/>
      <sheetName val="_S450_1_MEZCLA_MDC-13"/>
      <sheetName val="_S450_2MEZCLA_MDC-23"/>
      <sheetName val="S420_1_RIEGO_DE_IMPRIMACION_3"/>
      <sheetName val="S421_1_RIEGO_LIGA_CRR-13"/>
      <sheetName val="S460_1_FRESADO_3"/>
      <sheetName val="Excav__REPARACION_PAVIMENTO_3"/>
      <sheetName val="S465_1_EXC__PAV__ASFALTICO3"/>
      <sheetName val="S500_1_PAVIMENTO_CONCRETO3"/>
      <sheetName val="S510_1_PAVIMENTO_ADOQUIN3"/>
      <sheetName val="S600_1_EXCAV__VARIAS_3"/>
      <sheetName val="Relleno_Estructuras3"/>
      <sheetName val="eXCAVACIONES_VARIAS_EN_ROCA_3"/>
      <sheetName val="S600_2_EXCAV__ROCA3"/>
      <sheetName val="S610_1_Relleno_Estructuras3"/>
      <sheetName val="S623_1_Anclajes_3"/>
      <sheetName val="S623P1_Pantalla_Concreto3"/>
      <sheetName val="S630_3_Concretos_C3"/>
      <sheetName val="S630_4a_Concretos_D3"/>
      <sheetName val="S630_4b_Concretos_D3"/>
      <sheetName val="S630_6_CONCRETO_F3"/>
      <sheetName val="CONCRETO_G3"/>
      <sheetName val="S630_7_CONCRETO_G3"/>
      <sheetName val="s640_1_Acero_refuerzo3"/>
      <sheetName val="S642_13_Juntas_dilatacion3"/>
      <sheetName val="S644_2_Tuberia_PVC_4&quot;3"/>
      <sheetName val="_TUBERIA_36&quot;3"/>
      <sheetName val="S632_1_Baranda3"/>
      <sheetName val="_S661_1_TUBERIA_36&quot;_3"/>
      <sheetName val="S673_1_MAT__FILTRANTE3"/>
      <sheetName val="S673_2_GEOTEXTIL3"/>
      <sheetName val="TRANS__EXPLANACION3"/>
      <sheetName val="_S673_3_GEODREN_PLANAR_6&quot;3"/>
      <sheetName val="S681_1_GAVIONES3"/>
      <sheetName val="S700_1_Demarcacion3"/>
      <sheetName val="S700_2_Marca_víal3"/>
      <sheetName val="S701_1_tachas_reflectivas3"/>
      <sheetName val="S710_1_1_SEÑ_VERT__3"/>
      <sheetName val="S710_2_SEÑ_VERT_V3"/>
      <sheetName val="S710_1_2_SEÑ_VERT_3"/>
      <sheetName val="S730_1Defensas_3"/>
      <sheetName val="S800_2_CERCAS3"/>
      <sheetName val="S810_1_PROTECCION_TALUDES3"/>
      <sheetName val="S900_2Trans_explan3"/>
      <sheetName val="Tratamiento_fisuras3"/>
      <sheetName val="MARCAS_VIALES3"/>
      <sheetName val="Geomalla_con_fibra_de_vidrio3"/>
      <sheetName val="Anclajes_pasivos_4#63"/>
      <sheetName val="SNP1-geomalla_fibra_Vidrio3"/>
      <sheetName val="SNP2-geomalla_Biaxial3"/>
      <sheetName val="SNP3_concreto_3500_3"/>
      <sheetName val="SNP4_CEM__ASFALTICO3"/>
      <sheetName val="SNP5_MTTO_RUTINARIO3"/>
      <sheetName val="SNP6_Drenes3"/>
      <sheetName val="SNP7_Anclajes_pasivos_4#63"/>
      <sheetName val="SNP8_Anclajes_activos_2_Tor3"/>
      <sheetName val="SNP9_Anclajes_activos_4_Tor3"/>
      <sheetName val="SNP10_MATERIAL_3&quot;_TRIT3"/>
      <sheetName val="SNP11_Material_Relleno3"/>
      <sheetName val="SNP12_CUNETAS_3_0003"/>
      <sheetName val="SNP13_PARCHEO3"/>
      <sheetName val="SNP14_SELLO_JUNTAS3"/>
      <sheetName val="SNP15_Pilotes3"/>
      <sheetName val="SNP16_EXCAV__PAVIMENTO3"/>
      <sheetName val="SNP17_TRANS_BASE3"/>
      <sheetName val="SNP18_AFIRMADO_3&quot;3"/>
      <sheetName val="alcantarilla_K69+1033"/>
      <sheetName val="alcantarilla_K68+4373"/>
      <sheetName val="alcantarilla_K67+4553"/>
      <sheetName val="BOX_110+520_PUENTE_EL_VERDE3"/>
      <sheetName val="Muro_K99+07033"/>
      <sheetName val="MURO_K104+4543"/>
      <sheetName val="Muro_K109+05703"/>
      <sheetName val="BOX_K3"/>
      <sheetName val="PROY_ORIGINAL10"/>
      <sheetName val="PU_(2)9"/>
      <sheetName val="COSTOS_UNITARIOS4"/>
      <sheetName val="TRAYECTO_14"/>
      <sheetName val="200P_14"/>
      <sheetName val="210_2_24"/>
      <sheetName val="320_14"/>
      <sheetName val="640_14"/>
      <sheetName val="500P_14"/>
      <sheetName val="500P_24"/>
      <sheetName val="600_14"/>
      <sheetName val="610_14"/>
      <sheetName val="630_44"/>
      <sheetName val="640P_24"/>
      <sheetName val="640_1_(2)4"/>
      <sheetName val="672P_14"/>
      <sheetName val="2P_14"/>
      <sheetName val="900_24"/>
      <sheetName val="materiales_de_insumo4"/>
      <sheetName val="jornales_y_prestaciones4"/>
      <sheetName val="210_14"/>
      <sheetName val="310_14"/>
      <sheetName val="600_44"/>
      <sheetName val="661_14"/>
      <sheetName val="673_14"/>
      <sheetName val="673_24"/>
      <sheetName val="673_34"/>
      <sheetName val="672_14"/>
      <sheetName val="3P_14"/>
      <sheetName val="3P_24"/>
      <sheetName val="6_1P4"/>
      <sheetName val="6_2P4"/>
      <sheetName val="6_4P4"/>
      <sheetName val="VALOR_ENSAYOS4"/>
      <sheetName val="resumen_preacta4"/>
      <sheetName val="Resalto_en_asfalto4"/>
      <sheetName val="Mat_fresado_para_ampliacion4"/>
      <sheetName val="Tuberia_filtro_D=6&quot;4"/>
      <sheetName val="Realce_de_bordillo4"/>
      <sheetName val="Remocion_tuberia_d=24&quot;4"/>
      <sheetName val="GRAVA_ATRAQUES_DE_ALCANTARILLA4"/>
      <sheetName val="FORMATO_PREACTA4"/>
      <sheetName val="FORMATO_FECHA)4"/>
      <sheetName val="DESMONTE_LIMP_4"/>
      <sheetName val="REGISTRO_FOTOGRAFICO4"/>
      <sheetName val="S200_1_DESM__LIMP_B_4"/>
      <sheetName val="S200_2_DESM__LIMP__NB4"/>
      <sheetName val="S201_7_DEMO__ESTRUCTURAS4"/>
      <sheetName val="Remocion_alcantarillas_4"/>
      <sheetName val="Excav__Mat__Comun_4"/>
      <sheetName val="s201_15-remoción_de_alcantaril4"/>
      <sheetName val="s210_2_2-Exc_de_expl4"/>
      <sheetName val="s210_2_1-Exc_en_roca4"/>
      <sheetName val="s211_1_REMOCION_DERR_4"/>
      <sheetName val="s220_1_Terraplenes4"/>
      <sheetName val="s221_1_Pedraplen4"/>
      <sheetName val="S900_3_TRANS__DERRUMBE4"/>
      <sheetName val="s231_1_Geotextil4"/>
      <sheetName val="S230_2_Mejora__de_la_Sub-Ra4"/>
      <sheetName val="S320_1_Sub_base4"/>
      <sheetName val="S330_1_BASE_GRANULAR4"/>
      <sheetName val="CONFM__DE_CALZADA_EXISTENTE4"/>
      <sheetName val="S310_1_Confor__calzada_existe_4"/>
      <sheetName val="_S450_1_MEZCLA_MDC-14"/>
      <sheetName val="_S450_2MEZCLA_MDC-24"/>
      <sheetName val="S420_1_RIEGO_DE_IMPRIMACION_4"/>
      <sheetName val="S421_1_RIEGO_LIGA_CRR-14"/>
      <sheetName val="S460_1_FRESADO_4"/>
      <sheetName val="Excav__REPARACION_PAVIMENTO_4"/>
      <sheetName val="S465_1_EXC__PAV__ASFALTICO4"/>
      <sheetName val="S500_1_PAVIMENTO_CONCRETO4"/>
      <sheetName val="S510_1_PAVIMENTO_ADOQUIN4"/>
      <sheetName val="S600_1_EXCAV__VARIAS_4"/>
      <sheetName val="Relleno_Estructuras4"/>
      <sheetName val="eXCAVACIONES_VARIAS_EN_ROCA_4"/>
      <sheetName val="S600_2_EXCAV__ROCA4"/>
      <sheetName val="S610_1_Relleno_Estructuras4"/>
      <sheetName val="S623_1_Anclajes_4"/>
      <sheetName val="S623P1_Pantalla_Concreto4"/>
      <sheetName val="S630_3_Concretos_C4"/>
      <sheetName val="S630_4a_Concretos_D4"/>
      <sheetName val="S630_4b_Concretos_D4"/>
      <sheetName val="S630_6_CONCRETO_F4"/>
      <sheetName val="CONCRETO_G4"/>
      <sheetName val="S630_7_CONCRETO_G4"/>
      <sheetName val="s640_1_Acero_refuerzo4"/>
      <sheetName val="S642_13_Juntas_dilatacion4"/>
      <sheetName val="S644_2_Tuberia_PVC_4&quot;4"/>
      <sheetName val="_TUBERIA_36&quot;4"/>
      <sheetName val="S632_1_Baranda4"/>
      <sheetName val="_S661_1_TUBERIA_36&quot;_4"/>
      <sheetName val="S673_1_MAT__FILTRANTE4"/>
      <sheetName val="S673_2_GEOTEXTIL4"/>
      <sheetName val="TRANS__EXPLANACION4"/>
      <sheetName val="_S673_3_GEODREN_PLANAR_6&quot;4"/>
      <sheetName val="S681_1_GAVIONES4"/>
      <sheetName val="S700_1_Demarcacion4"/>
      <sheetName val="S700_2_Marca_víal4"/>
      <sheetName val="S701_1_tachas_reflectivas4"/>
      <sheetName val="S710_1_1_SEÑ_VERT__4"/>
      <sheetName val="S710_2_SEÑ_VERT_V4"/>
      <sheetName val="S710_1_2_SEÑ_VERT_4"/>
      <sheetName val="S730_1Defensas_4"/>
      <sheetName val="S800_2_CERCAS4"/>
      <sheetName val="S810_1_PROTECCION_TALUDES4"/>
      <sheetName val="S900_2Trans_explan4"/>
      <sheetName val="Tratamiento_fisuras4"/>
      <sheetName val="MARCAS_VIALES4"/>
      <sheetName val="Geomalla_con_fibra_de_vidrio4"/>
      <sheetName val="Anclajes_pasivos_4#64"/>
      <sheetName val="SNP1-geomalla_fibra_Vidrio4"/>
      <sheetName val="SNP2-geomalla_Biaxial4"/>
      <sheetName val="SNP3_concreto_3500_4"/>
      <sheetName val="SNP4_CEM__ASFALTICO4"/>
      <sheetName val="SNP5_MTTO_RUTINARIO4"/>
      <sheetName val="SNP6_Drenes4"/>
      <sheetName val="SNP7_Anclajes_pasivos_4#64"/>
      <sheetName val="SNP8_Anclajes_activos_2_Tor4"/>
      <sheetName val="SNP9_Anclajes_activos_4_Tor4"/>
      <sheetName val="SNP10_MATERIAL_3&quot;_TRIT4"/>
      <sheetName val="SNP11_Material_Relleno4"/>
      <sheetName val="SNP12_CUNETAS_3_0004"/>
      <sheetName val="SNP13_PARCHEO4"/>
      <sheetName val="SNP14_SELLO_JUNTAS4"/>
      <sheetName val="SNP15_Pilotes4"/>
      <sheetName val="SNP16_EXCAV__PAVIMENTO4"/>
      <sheetName val="SNP17_TRANS_BASE4"/>
      <sheetName val="SNP18_AFIRMADO_3&quot;4"/>
      <sheetName val="alcantarilla_K69+1034"/>
      <sheetName val="alcantarilla_K68+4374"/>
      <sheetName val="alcantarilla_K67+4554"/>
      <sheetName val="BOX_110+520_PUENTE_EL_VERDE4"/>
      <sheetName val="Muro_K99+07034"/>
      <sheetName val="MURO_K104+4544"/>
      <sheetName val="Muro_K109+05704"/>
      <sheetName val="BOX_K4"/>
      <sheetName val="TARIFAS MATERIALES"/>
      <sheetName val="TARIFAS EQUIPOS "/>
      <sheetName val="TARIFA SALARIOS"/>
      <sheetName val="PRES"/>
      <sheetName val="SNP7 Anclajes pasivos6j_x0000_"/>
      <sheetName val="ó&gt;_x005f_x0000__x005f_x0001__x005f_x0000__x005f_x0000__"/>
      <sheetName val="CRA.MODI"/>
      <sheetName val="MYE OBRA"/>
      <sheetName val="LISTADO_APU"/>
      <sheetName val="Operation"/>
      <sheetName val="Inputs"/>
      <sheetName val="Concesionaria_-_Administrativo1"/>
      <sheetName val="Concesionaria_-_Sistemas1"/>
      <sheetName val="Control"/>
      <sheetName val="Construction"/>
      <sheetName val="MDC-1 COLOCACION "/>
      <sheetName val="D-20 COLOCACION "/>
      <sheetName val="TRANSPORTE MEZCLA ASFALTICA"/>
      <sheetName val="Fresado"/>
      <sheetName val="EXT microagomerado"/>
      <sheetName val="Hoja5"/>
      <sheetName val="Hoja3"/>
      <sheetName val="Hoja2"/>
      <sheetName val="Transportes"/>
      <sheetName val="Indicadores Y Listas"/>
      <sheetName val="Grafico Avance"/>
      <sheetName val="ó&gt;?_x0001_???j0$?#???j.$?#???L_x0012_Óu????"/>
    </sheetNames>
    <sheetDataSet>
      <sheetData sheetId="0">
        <row r="2">
          <cell r="A2">
            <v>0</v>
          </cell>
        </row>
      </sheetData>
      <sheetData sheetId="1">
        <row r="2">
          <cell r="A2">
            <v>0</v>
          </cell>
        </row>
      </sheetData>
      <sheetData sheetId="2" refreshError="1">
        <row r="2">
          <cell r="A2">
            <v>0</v>
          </cell>
        </row>
        <row r="5">
          <cell r="B5" t="str">
            <v>T1</v>
          </cell>
          <cell r="C5" t="str">
            <v>T2</v>
          </cell>
          <cell r="D5" t="str">
            <v>T3</v>
          </cell>
          <cell r="G5" t="str">
            <v>T1</v>
          </cell>
          <cell r="H5" t="str">
            <v>T2</v>
          </cell>
          <cell r="I5" t="str">
            <v>T3</v>
          </cell>
          <cell r="L5" t="str">
            <v>T1</v>
          </cell>
          <cell r="M5" t="str">
            <v>T2</v>
          </cell>
          <cell r="N5" t="str">
            <v>T3</v>
          </cell>
        </row>
        <row r="6">
          <cell r="A6" t="str">
            <v>S1</v>
          </cell>
          <cell r="B6">
            <v>20</v>
          </cell>
          <cell r="C6">
            <v>20</v>
          </cell>
          <cell r="D6">
            <v>20</v>
          </cell>
          <cell r="F6" t="str">
            <v>S1</v>
          </cell>
          <cell r="G6">
            <v>20</v>
          </cell>
          <cell r="H6">
            <v>20</v>
          </cell>
          <cell r="I6">
            <v>25</v>
          </cell>
          <cell r="K6" t="str">
            <v>S1</v>
          </cell>
          <cell r="L6">
            <v>25</v>
          </cell>
          <cell r="M6">
            <v>30</v>
          </cell>
          <cell r="N6">
            <v>35</v>
          </cell>
        </row>
        <row r="7">
          <cell r="A7" t="str">
            <v>S2</v>
          </cell>
          <cell r="B7">
            <v>15</v>
          </cell>
          <cell r="C7">
            <v>20</v>
          </cell>
          <cell r="D7">
            <v>20</v>
          </cell>
          <cell r="F7" t="str">
            <v>S2</v>
          </cell>
          <cell r="G7">
            <v>20</v>
          </cell>
          <cell r="H7">
            <v>20</v>
          </cell>
          <cell r="I7">
            <v>25</v>
          </cell>
          <cell r="K7" t="str">
            <v>S2</v>
          </cell>
          <cell r="L7">
            <v>20</v>
          </cell>
          <cell r="M7">
            <v>25</v>
          </cell>
          <cell r="N7">
            <v>25</v>
          </cell>
        </row>
        <row r="8">
          <cell r="A8" t="str">
            <v>S4</v>
          </cell>
          <cell r="B8">
            <v>15</v>
          </cell>
          <cell r="C8">
            <v>15</v>
          </cell>
          <cell r="D8">
            <v>15</v>
          </cell>
          <cell r="F8" t="str">
            <v>S4</v>
          </cell>
          <cell r="G8">
            <v>15</v>
          </cell>
          <cell r="H8">
            <v>20</v>
          </cell>
          <cell r="I8">
            <v>20</v>
          </cell>
          <cell r="K8" t="str">
            <v>S4</v>
          </cell>
          <cell r="L8">
            <v>15</v>
          </cell>
          <cell r="M8">
            <v>15</v>
          </cell>
          <cell r="N8">
            <v>20</v>
          </cell>
        </row>
        <row r="12">
          <cell r="B12" t="str">
            <v>T1</v>
          </cell>
          <cell r="C12" t="str">
            <v>T2</v>
          </cell>
          <cell r="D12" t="str">
            <v>T3</v>
          </cell>
          <cell r="G12" t="str">
            <v>T1</v>
          </cell>
          <cell r="H12" t="str">
            <v>T2</v>
          </cell>
          <cell r="I12" t="str">
            <v>T3</v>
          </cell>
          <cell r="L12" t="str">
            <v>T1</v>
          </cell>
          <cell r="M12" t="str">
            <v>T2</v>
          </cell>
          <cell r="N12" t="str">
            <v>T3</v>
          </cell>
        </row>
        <row r="13">
          <cell r="A13" t="str">
            <v>S1</v>
          </cell>
          <cell r="B13">
            <v>25</v>
          </cell>
          <cell r="C13">
            <v>35</v>
          </cell>
          <cell r="D13">
            <v>35</v>
          </cell>
          <cell r="F13" t="str">
            <v>S1</v>
          </cell>
          <cell r="G13">
            <v>35</v>
          </cell>
          <cell r="H13">
            <v>45</v>
          </cell>
          <cell r="I13">
            <v>45</v>
          </cell>
          <cell r="K13" t="str">
            <v>S1</v>
          </cell>
          <cell r="L13">
            <v>40</v>
          </cell>
          <cell r="M13">
            <v>40</v>
          </cell>
          <cell r="N13">
            <v>45</v>
          </cell>
        </row>
        <row r="14">
          <cell r="A14" t="str">
            <v>S2</v>
          </cell>
          <cell r="B14">
            <v>20</v>
          </cell>
          <cell r="C14">
            <v>20</v>
          </cell>
          <cell r="D14">
            <v>20</v>
          </cell>
          <cell r="F14" t="str">
            <v>S2</v>
          </cell>
          <cell r="G14">
            <v>35</v>
          </cell>
          <cell r="H14">
            <v>35</v>
          </cell>
          <cell r="I14">
            <v>35</v>
          </cell>
          <cell r="K14" t="str">
            <v>S2</v>
          </cell>
          <cell r="L14">
            <v>30</v>
          </cell>
          <cell r="M14">
            <v>30</v>
          </cell>
          <cell r="N14">
            <v>40</v>
          </cell>
        </row>
        <row r="15">
          <cell r="A15" t="str">
            <v>S4</v>
          </cell>
          <cell r="B15">
            <v>20</v>
          </cell>
          <cell r="C15">
            <v>20</v>
          </cell>
          <cell r="D15">
            <v>15</v>
          </cell>
          <cell r="F15" t="str">
            <v>S4</v>
          </cell>
          <cell r="G15">
            <v>30</v>
          </cell>
          <cell r="H15">
            <v>20</v>
          </cell>
          <cell r="I15">
            <v>20</v>
          </cell>
          <cell r="K15" t="str">
            <v>S4</v>
          </cell>
          <cell r="L15">
            <v>25</v>
          </cell>
          <cell r="M15">
            <v>30</v>
          </cell>
          <cell r="N15">
            <v>35</v>
          </cell>
        </row>
        <row r="19">
          <cell r="B19" t="str">
            <v>T1</v>
          </cell>
          <cell r="C19" t="str">
            <v>T2</v>
          </cell>
          <cell r="D19" t="str">
            <v>T3</v>
          </cell>
          <cell r="G19" t="str">
            <v>T1</v>
          </cell>
          <cell r="H19" t="str">
            <v>T2</v>
          </cell>
          <cell r="I19" t="str">
            <v>T3</v>
          </cell>
          <cell r="L19" t="str">
            <v>T1</v>
          </cell>
          <cell r="M19" t="str">
            <v>T2</v>
          </cell>
          <cell r="N19" t="str">
            <v>T3</v>
          </cell>
        </row>
        <row r="20">
          <cell r="A20" t="str">
            <v>S1</v>
          </cell>
          <cell r="B20">
            <v>10</v>
          </cell>
          <cell r="C20">
            <v>10</v>
          </cell>
          <cell r="D20">
            <v>12</v>
          </cell>
          <cell r="F20" t="str">
            <v>S1</v>
          </cell>
          <cell r="G20">
            <v>10</v>
          </cell>
          <cell r="H20">
            <v>10</v>
          </cell>
          <cell r="I20">
            <v>12</v>
          </cell>
          <cell r="K20" t="str">
            <v>S1</v>
          </cell>
          <cell r="L20">
            <v>10</v>
          </cell>
          <cell r="M20">
            <v>10</v>
          </cell>
          <cell r="N20">
            <v>10</v>
          </cell>
        </row>
        <row r="21">
          <cell r="A21" t="str">
            <v>S2</v>
          </cell>
          <cell r="B21">
            <v>10</v>
          </cell>
          <cell r="C21">
            <v>10</v>
          </cell>
          <cell r="D21">
            <v>12</v>
          </cell>
          <cell r="F21" t="str">
            <v>S2</v>
          </cell>
          <cell r="G21">
            <v>7.5</v>
          </cell>
          <cell r="H21">
            <v>7.5</v>
          </cell>
          <cell r="I21">
            <v>12</v>
          </cell>
          <cell r="K21" t="str">
            <v>S2</v>
          </cell>
          <cell r="L21">
            <v>10</v>
          </cell>
          <cell r="M21">
            <v>10</v>
          </cell>
          <cell r="N21">
            <v>10</v>
          </cell>
        </row>
        <row r="22">
          <cell r="A22" t="str">
            <v>S4</v>
          </cell>
          <cell r="B22">
            <v>5</v>
          </cell>
          <cell r="C22">
            <v>7.5</v>
          </cell>
          <cell r="D22">
            <v>10</v>
          </cell>
          <cell r="F22" t="str">
            <v>S4</v>
          </cell>
          <cell r="G22">
            <v>5</v>
          </cell>
          <cell r="H22">
            <v>7.5</v>
          </cell>
          <cell r="I22">
            <v>10</v>
          </cell>
          <cell r="K22" t="str">
            <v>S4</v>
          </cell>
          <cell r="L22">
            <v>7.5</v>
          </cell>
          <cell r="M22">
            <v>7.5</v>
          </cell>
          <cell r="N22">
            <v>7.5</v>
          </cell>
        </row>
        <row r="25">
          <cell r="B25" t="str">
            <v>T1</v>
          </cell>
          <cell r="C25" t="str">
            <v>T2</v>
          </cell>
          <cell r="D25" t="str">
            <v>T3</v>
          </cell>
          <cell r="G25" t="str">
            <v>T1</v>
          </cell>
          <cell r="H25" t="str">
            <v>T2</v>
          </cell>
          <cell r="I25" t="str">
            <v>T3</v>
          </cell>
          <cell r="L25" t="str">
            <v>T1</v>
          </cell>
          <cell r="M25" t="str">
            <v>T2</v>
          </cell>
          <cell r="N25" t="str">
            <v>T3</v>
          </cell>
        </row>
        <row r="26">
          <cell r="A26" t="str">
            <v>S0</v>
          </cell>
          <cell r="B26">
            <v>25</v>
          </cell>
          <cell r="C26">
            <v>25</v>
          </cell>
          <cell r="D26">
            <v>25</v>
          </cell>
          <cell r="F26" t="str">
            <v>S0</v>
          </cell>
          <cell r="G26">
            <v>25</v>
          </cell>
          <cell r="H26">
            <v>25</v>
          </cell>
          <cell r="I26">
            <v>25</v>
          </cell>
          <cell r="K26" t="str">
            <v>S0</v>
          </cell>
          <cell r="L26">
            <v>25</v>
          </cell>
          <cell r="M26">
            <v>25</v>
          </cell>
          <cell r="N26">
            <v>25</v>
          </cell>
        </row>
      </sheetData>
      <sheetData sheetId="3" refreshError="1">
        <row r="2">
          <cell r="A2">
            <v>0</v>
          </cell>
          <cell r="B2">
            <v>100</v>
          </cell>
          <cell r="C2">
            <v>200</v>
          </cell>
          <cell r="D2">
            <v>500</v>
          </cell>
          <cell r="E2">
            <v>1000</v>
          </cell>
          <cell r="F2">
            <v>2500</v>
          </cell>
        </row>
        <row r="3">
          <cell r="A3" t="str">
            <v>S1</v>
          </cell>
          <cell r="B3">
            <v>12</v>
          </cell>
          <cell r="C3">
            <v>10</v>
          </cell>
          <cell r="D3">
            <v>10</v>
          </cell>
          <cell r="E3">
            <v>20</v>
          </cell>
          <cell r="F3">
            <v>25</v>
          </cell>
        </row>
        <row r="4">
          <cell r="A4" t="str">
            <v>S2</v>
          </cell>
          <cell r="B4">
            <v>12</v>
          </cell>
          <cell r="C4">
            <v>10</v>
          </cell>
          <cell r="D4">
            <v>10</v>
          </cell>
          <cell r="E4">
            <v>15</v>
          </cell>
          <cell r="F4">
            <v>20</v>
          </cell>
        </row>
        <row r="5">
          <cell r="A5" t="str">
            <v>S4</v>
          </cell>
          <cell r="B5">
            <v>12</v>
          </cell>
          <cell r="C5">
            <v>10</v>
          </cell>
          <cell r="D5">
            <v>15</v>
          </cell>
          <cell r="E5">
            <v>15</v>
          </cell>
          <cell r="F5">
            <v>20</v>
          </cell>
        </row>
        <row r="8">
          <cell r="A8" t="str">
            <v>S4</v>
          </cell>
          <cell r="B8">
            <v>100</v>
          </cell>
          <cell r="C8">
            <v>200</v>
          </cell>
          <cell r="D8">
            <v>500</v>
          </cell>
          <cell r="E8">
            <v>1000</v>
          </cell>
          <cell r="F8">
            <v>2500</v>
          </cell>
        </row>
        <row r="9">
          <cell r="A9" t="str">
            <v>S1</v>
          </cell>
          <cell r="B9">
            <v>24</v>
          </cell>
          <cell r="C9">
            <v>26</v>
          </cell>
          <cell r="D9">
            <v>31</v>
          </cell>
          <cell r="E9">
            <v>26</v>
          </cell>
          <cell r="F9">
            <v>31</v>
          </cell>
        </row>
        <row r="10">
          <cell r="A10" t="str">
            <v>S2</v>
          </cell>
          <cell r="B10">
            <v>12</v>
          </cell>
          <cell r="C10">
            <v>14</v>
          </cell>
          <cell r="D10">
            <v>20</v>
          </cell>
          <cell r="E10">
            <v>18</v>
          </cell>
          <cell r="F10">
            <v>33</v>
          </cell>
        </row>
        <row r="11">
          <cell r="A11" t="str">
            <v>S4</v>
          </cell>
          <cell r="B11">
            <v>5</v>
          </cell>
          <cell r="C11">
            <v>11</v>
          </cell>
          <cell r="D11">
            <v>11</v>
          </cell>
          <cell r="E11">
            <v>18</v>
          </cell>
          <cell r="F11">
            <v>33</v>
          </cell>
        </row>
        <row r="14">
          <cell r="A14" t="str">
            <v>S2</v>
          </cell>
          <cell r="B14">
            <v>100</v>
          </cell>
          <cell r="C14">
            <v>200</v>
          </cell>
          <cell r="D14">
            <v>500</v>
          </cell>
          <cell r="E14">
            <v>1000</v>
          </cell>
          <cell r="F14">
            <v>2500</v>
          </cell>
        </row>
        <row r="15">
          <cell r="A15" t="str">
            <v>S1</v>
          </cell>
          <cell r="B15">
            <v>9</v>
          </cell>
          <cell r="C15">
            <v>11</v>
          </cell>
          <cell r="D15">
            <v>12</v>
          </cell>
          <cell r="E15">
            <v>12</v>
          </cell>
          <cell r="F15">
            <v>12</v>
          </cell>
        </row>
        <row r="16">
          <cell r="A16" t="str">
            <v>S2</v>
          </cell>
          <cell r="B16">
            <v>9</v>
          </cell>
          <cell r="C16">
            <v>11</v>
          </cell>
          <cell r="D16">
            <v>12</v>
          </cell>
          <cell r="E16">
            <v>12</v>
          </cell>
          <cell r="F16">
            <v>12</v>
          </cell>
        </row>
        <row r="17">
          <cell r="A17" t="str">
            <v>S4</v>
          </cell>
          <cell r="B17">
            <v>9</v>
          </cell>
          <cell r="C17">
            <v>7</v>
          </cell>
          <cell r="D17">
            <v>12</v>
          </cell>
          <cell r="E17">
            <v>12</v>
          </cell>
          <cell r="F17">
            <v>12</v>
          </cell>
        </row>
      </sheetData>
      <sheetData sheetId="4">
        <row r="2">
          <cell r="A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2">
          <cell r="A2">
            <v>0</v>
          </cell>
        </row>
      </sheetData>
      <sheetData sheetId="53">
        <row r="2">
          <cell r="A2">
            <v>0</v>
          </cell>
        </row>
      </sheetData>
      <sheetData sheetId="54">
        <row r="2">
          <cell r="A2">
            <v>0</v>
          </cell>
        </row>
      </sheetData>
      <sheetData sheetId="55">
        <row r="2">
          <cell r="A2">
            <v>0</v>
          </cell>
        </row>
      </sheetData>
      <sheetData sheetId="56">
        <row r="2">
          <cell r="A2">
            <v>0</v>
          </cell>
        </row>
      </sheetData>
      <sheetData sheetId="57">
        <row r="2">
          <cell r="A2">
            <v>0</v>
          </cell>
        </row>
      </sheetData>
      <sheetData sheetId="58">
        <row r="2">
          <cell r="A2">
            <v>0</v>
          </cell>
        </row>
      </sheetData>
      <sheetData sheetId="59">
        <row r="2">
          <cell r="A2">
            <v>0</v>
          </cell>
        </row>
      </sheetData>
      <sheetData sheetId="60" refreshError="1"/>
      <sheetData sheetId="61" refreshError="1"/>
      <sheetData sheetId="62">
        <row r="2">
          <cell r="A2">
            <v>0</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ow r="2">
          <cell r="A2">
            <v>0</v>
          </cell>
        </row>
      </sheetData>
      <sheetData sheetId="108">
        <row r="2">
          <cell r="A2">
            <v>0</v>
          </cell>
        </row>
      </sheetData>
      <sheetData sheetId="109">
        <row r="2">
          <cell r="A2">
            <v>0</v>
          </cell>
        </row>
      </sheetData>
      <sheetData sheetId="110">
        <row r="2">
          <cell r="A2">
            <v>0</v>
          </cell>
        </row>
      </sheetData>
      <sheetData sheetId="111">
        <row r="2">
          <cell r="A2">
            <v>0</v>
          </cell>
        </row>
      </sheetData>
      <sheetData sheetId="112">
        <row r="2">
          <cell r="A2">
            <v>0</v>
          </cell>
        </row>
      </sheetData>
      <sheetData sheetId="113">
        <row r="2">
          <cell r="A2">
            <v>0</v>
          </cell>
        </row>
      </sheetData>
      <sheetData sheetId="114">
        <row r="2">
          <cell r="A2">
            <v>0</v>
          </cell>
        </row>
      </sheetData>
      <sheetData sheetId="115">
        <row r="2">
          <cell r="A2">
            <v>0</v>
          </cell>
        </row>
      </sheetData>
      <sheetData sheetId="116">
        <row r="2">
          <cell r="A2">
            <v>0</v>
          </cell>
        </row>
      </sheetData>
      <sheetData sheetId="117">
        <row r="2">
          <cell r="A2">
            <v>0</v>
          </cell>
        </row>
      </sheetData>
      <sheetData sheetId="118">
        <row r="2">
          <cell r="A2">
            <v>0</v>
          </cell>
        </row>
      </sheetData>
      <sheetData sheetId="119">
        <row r="2">
          <cell r="A2">
            <v>0</v>
          </cell>
        </row>
      </sheetData>
      <sheetData sheetId="120">
        <row r="2">
          <cell r="A2">
            <v>0</v>
          </cell>
        </row>
      </sheetData>
      <sheetData sheetId="121">
        <row r="2">
          <cell r="A2">
            <v>0</v>
          </cell>
        </row>
      </sheetData>
      <sheetData sheetId="122">
        <row r="2">
          <cell r="A2">
            <v>0</v>
          </cell>
        </row>
      </sheetData>
      <sheetData sheetId="123">
        <row r="2">
          <cell r="A2">
            <v>0</v>
          </cell>
        </row>
      </sheetData>
      <sheetData sheetId="124">
        <row r="2">
          <cell r="A2">
            <v>0</v>
          </cell>
        </row>
      </sheetData>
      <sheetData sheetId="125">
        <row r="2">
          <cell r="A2">
            <v>0</v>
          </cell>
        </row>
      </sheetData>
      <sheetData sheetId="126">
        <row r="2">
          <cell r="A2">
            <v>0</v>
          </cell>
        </row>
      </sheetData>
      <sheetData sheetId="127">
        <row r="2">
          <cell r="A2">
            <v>0</v>
          </cell>
        </row>
      </sheetData>
      <sheetData sheetId="128">
        <row r="2">
          <cell r="A2">
            <v>0</v>
          </cell>
        </row>
      </sheetData>
      <sheetData sheetId="129">
        <row r="2">
          <cell r="A2">
            <v>0</v>
          </cell>
        </row>
      </sheetData>
      <sheetData sheetId="130">
        <row r="2">
          <cell r="A2">
            <v>0</v>
          </cell>
        </row>
      </sheetData>
      <sheetData sheetId="131">
        <row r="2">
          <cell r="A2">
            <v>0</v>
          </cell>
        </row>
      </sheetData>
      <sheetData sheetId="132">
        <row r="2">
          <cell r="A2">
            <v>0</v>
          </cell>
        </row>
      </sheetData>
      <sheetData sheetId="133">
        <row r="2">
          <cell r="A2">
            <v>0</v>
          </cell>
        </row>
      </sheetData>
      <sheetData sheetId="134">
        <row r="2">
          <cell r="A2">
            <v>0</v>
          </cell>
        </row>
      </sheetData>
      <sheetData sheetId="135">
        <row r="2">
          <cell r="A2">
            <v>0</v>
          </cell>
        </row>
      </sheetData>
      <sheetData sheetId="136">
        <row r="2">
          <cell r="A2">
            <v>0</v>
          </cell>
        </row>
      </sheetData>
      <sheetData sheetId="137">
        <row r="2">
          <cell r="A2">
            <v>0</v>
          </cell>
        </row>
      </sheetData>
      <sheetData sheetId="138">
        <row r="2">
          <cell r="A2">
            <v>0</v>
          </cell>
        </row>
      </sheetData>
      <sheetData sheetId="139">
        <row r="2">
          <cell r="A2">
            <v>0</v>
          </cell>
        </row>
      </sheetData>
      <sheetData sheetId="140">
        <row r="2">
          <cell r="A2">
            <v>0</v>
          </cell>
        </row>
      </sheetData>
      <sheetData sheetId="141">
        <row r="2">
          <cell r="A2">
            <v>0</v>
          </cell>
        </row>
      </sheetData>
      <sheetData sheetId="142">
        <row r="2">
          <cell r="A2">
            <v>0</v>
          </cell>
        </row>
      </sheetData>
      <sheetData sheetId="143">
        <row r="2">
          <cell r="A2">
            <v>0</v>
          </cell>
        </row>
      </sheetData>
      <sheetData sheetId="144">
        <row r="2">
          <cell r="A2">
            <v>0</v>
          </cell>
        </row>
      </sheetData>
      <sheetData sheetId="145">
        <row r="2">
          <cell r="A2">
            <v>0</v>
          </cell>
        </row>
      </sheetData>
      <sheetData sheetId="146">
        <row r="2">
          <cell r="A2">
            <v>0</v>
          </cell>
        </row>
      </sheetData>
      <sheetData sheetId="147">
        <row r="2">
          <cell r="A2">
            <v>0</v>
          </cell>
        </row>
      </sheetData>
      <sheetData sheetId="148">
        <row r="2">
          <cell r="A2">
            <v>0</v>
          </cell>
        </row>
      </sheetData>
      <sheetData sheetId="149">
        <row r="2">
          <cell r="A2">
            <v>0</v>
          </cell>
        </row>
      </sheetData>
      <sheetData sheetId="150">
        <row r="2">
          <cell r="A2">
            <v>0</v>
          </cell>
        </row>
      </sheetData>
      <sheetData sheetId="151">
        <row r="2">
          <cell r="A2">
            <v>0</v>
          </cell>
        </row>
      </sheetData>
      <sheetData sheetId="152">
        <row r="2">
          <cell r="A2">
            <v>0</v>
          </cell>
        </row>
      </sheetData>
      <sheetData sheetId="153">
        <row r="2">
          <cell r="A2">
            <v>0</v>
          </cell>
        </row>
      </sheetData>
      <sheetData sheetId="154">
        <row r="2">
          <cell r="A2">
            <v>0</v>
          </cell>
        </row>
      </sheetData>
      <sheetData sheetId="155">
        <row r="2">
          <cell r="A2">
            <v>0</v>
          </cell>
        </row>
      </sheetData>
      <sheetData sheetId="156">
        <row r="2">
          <cell r="A2">
            <v>0</v>
          </cell>
        </row>
      </sheetData>
      <sheetData sheetId="157">
        <row r="2">
          <cell r="A2">
            <v>0</v>
          </cell>
        </row>
      </sheetData>
      <sheetData sheetId="158">
        <row r="2">
          <cell r="A2">
            <v>0</v>
          </cell>
        </row>
      </sheetData>
      <sheetData sheetId="159">
        <row r="2">
          <cell r="A2">
            <v>0</v>
          </cell>
        </row>
      </sheetData>
      <sheetData sheetId="160">
        <row r="2">
          <cell r="A2">
            <v>0</v>
          </cell>
        </row>
      </sheetData>
      <sheetData sheetId="161">
        <row r="2">
          <cell r="A2">
            <v>0</v>
          </cell>
        </row>
      </sheetData>
      <sheetData sheetId="162">
        <row r="2">
          <cell r="A2">
            <v>0</v>
          </cell>
        </row>
      </sheetData>
      <sheetData sheetId="163">
        <row r="2">
          <cell r="A2">
            <v>0</v>
          </cell>
        </row>
      </sheetData>
      <sheetData sheetId="164">
        <row r="2">
          <cell r="A2">
            <v>0</v>
          </cell>
        </row>
      </sheetData>
      <sheetData sheetId="165">
        <row r="2">
          <cell r="A2">
            <v>0</v>
          </cell>
        </row>
      </sheetData>
      <sheetData sheetId="166">
        <row r="2">
          <cell r="A2">
            <v>0</v>
          </cell>
        </row>
      </sheetData>
      <sheetData sheetId="167">
        <row r="2">
          <cell r="A2">
            <v>0</v>
          </cell>
        </row>
      </sheetData>
      <sheetData sheetId="168">
        <row r="2">
          <cell r="A2">
            <v>0</v>
          </cell>
        </row>
      </sheetData>
      <sheetData sheetId="169">
        <row r="2">
          <cell r="A2">
            <v>0</v>
          </cell>
        </row>
      </sheetData>
      <sheetData sheetId="170">
        <row r="2">
          <cell r="A2">
            <v>0</v>
          </cell>
        </row>
      </sheetData>
      <sheetData sheetId="171">
        <row r="2">
          <cell r="A2">
            <v>0</v>
          </cell>
        </row>
      </sheetData>
      <sheetData sheetId="172">
        <row r="2">
          <cell r="A2">
            <v>0</v>
          </cell>
        </row>
      </sheetData>
      <sheetData sheetId="173">
        <row r="2">
          <cell r="A2">
            <v>0</v>
          </cell>
        </row>
      </sheetData>
      <sheetData sheetId="174">
        <row r="2">
          <cell r="A2">
            <v>0</v>
          </cell>
        </row>
      </sheetData>
      <sheetData sheetId="175">
        <row r="2">
          <cell r="A2">
            <v>0</v>
          </cell>
        </row>
      </sheetData>
      <sheetData sheetId="176">
        <row r="2">
          <cell r="A2">
            <v>0</v>
          </cell>
        </row>
      </sheetData>
      <sheetData sheetId="177">
        <row r="2">
          <cell r="A2">
            <v>0</v>
          </cell>
        </row>
      </sheetData>
      <sheetData sheetId="178">
        <row r="2">
          <cell r="A2">
            <v>0</v>
          </cell>
        </row>
      </sheetData>
      <sheetData sheetId="179">
        <row r="2">
          <cell r="A2">
            <v>0</v>
          </cell>
        </row>
      </sheetData>
      <sheetData sheetId="180">
        <row r="2">
          <cell r="A2">
            <v>0</v>
          </cell>
        </row>
      </sheetData>
      <sheetData sheetId="181">
        <row r="2">
          <cell r="A2">
            <v>0</v>
          </cell>
        </row>
      </sheetData>
      <sheetData sheetId="182">
        <row r="2">
          <cell r="A2">
            <v>0</v>
          </cell>
        </row>
      </sheetData>
      <sheetData sheetId="183">
        <row r="2">
          <cell r="A2">
            <v>0</v>
          </cell>
        </row>
      </sheetData>
      <sheetData sheetId="184">
        <row r="2">
          <cell r="A2">
            <v>0</v>
          </cell>
        </row>
      </sheetData>
      <sheetData sheetId="185">
        <row r="2">
          <cell r="A2">
            <v>0</v>
          </cell>
        </row>
      </sheetData>
      <sheetData sheetId="186" refreshError="1"/>
      <sheetData sheetId="187" refreshError="1"/>
      <sheetData sheetId="188" refreshError="1"/>
      <sheetData sheetId="189" refreshError="1"/>
      <sheetData sheetId="190" refreshError="1"/>
      <sheetData sheetId="191" refreshError="1"/>
      <sheetData sheetId="192" refreshError="1"/>
      <sheetData sheetId="193">
        <row r="2">
          <cell r="A2">
            <v>0</v>
          </cell>
        </row>
      </sheetData>
      <sheetData sheetId="194">
        <row r="2">
          <cell r="A2">
            <v>0</v>
          </cell>
        </row>
      </sheetData>
      <sheetData sheetId="195">
        <row r="2">
          <cell r="A2">
            <v>0</v>
          </cell>
        </row>
      </sheetData>
      <sheetData sheetId="196">
        <row r="2">
          <cell r="A2">
            <v>0</v>
          </cell>
        </row>
      </sheetData>
      <sheetData sheetId="197">
        <row r="2">
          <cell r="A2">
            <v>0</v>
          </cell>
        </row>
      </sheetData>
      <sheetData sheetId="198">
        <row r="2">
          <cell r="A2">
            <v>0</v>
          </cell>
        </row>
      </sheetData>
      <sheetData sheetId="199">
        <row r="2">
          <cell r="A2">
            <v>0</v>
          </cell>
        </row>
      </sheetData>
      <sheetData sheetId="200">
        <row r="2">
          <cell r="A2">
            <v>0</v>
          </cell>
        </row>
      </sheetData>
      <sheetData sheetId="201">
        <row r="2">
          <cell r="A2">
            <v>0</v>
          </cell>
        </row>
      </sheetData>
      <sheetData sheetId="202">
        <row r="2">
          <cell r="A2">
            <v>0</v>
          </cell>
        </row>
      </sheetData>
      <sheetData sheetId="203">
        <row r="2">
          <cell r="A2">
            <v>0</v>
          </cell>
        </row>
      </sheetData>
      <sheetData sheetId="204">
        <row r="2">
          <cell r="A2">
            <v>0</v>
          </cell>
        </row>
      </sheetData>
      <sheetData sheetId="205">
        <row r="2">
          <cell r="A2">
            <v>0</v>
          </cell>
        </row>
      </sheetData>
      <sheetData sheetId="206">
        <row r="2">
          <cell r="A2">
            <v>0</v>
          </cell>
        </row>
      </sheetData>
      <sheetData sheetId="207">
        <row r="2">
          <cell r="A2">
            <v>0</v>
          </cell>
        </row>
      </sheetData>
      <sheetData sheetId="208">
        <row r="2">
          <cell r="A2">
            <v>0</v>
          </cell>
        </row>
      </sheetData>
      <sheetData sheetId="209">
        <row r="2">
          <cell r="A2">
            <v>0</v>
          </cell>
        </row>
      </sheetData>
      <sheetData sheetId="210" refreshError="1"/>
      <sheetData sheetId="211" refreshError="1"/>
      <sheetData sheetId="212">
        <row r="2">
          <cell r="A2">
            <v>0</v>
          </cell>
        </row>
      </sheetData>
      <sheetData sheetId="213">
        <row r="2">
          <cell r="A2">
            <v>0</v>
          </cell>
        </row>
      </sheetData>
      <sheetData sheetId="214">
        <row r="2">
          <cell r="A2">
            <v>0</v>
          </cell>
        </row>
      </sheetData>
      <sheetData sheetId="215">
        <row r="2">
          <cell r="A2">
            <v>0</v>
          </cell>
        </row>
      </sheetData>
      <sheetData sheetId="216">
        <row r="2">
          <cell r="A2">
            <v>0</v>
          </cell>
        </row>
      </sheetData>
      <sheetData sheetId="217" refreshError="1"/>
      <sheetData sheetId="218" refreshError="1"/>
      <sheetData sheetId="219">
        <row r="2">
          <cell r="A2">
            <v>0</v>
          </cell>
        </row>
      </sheetData>
      <sheetData sheetId="220">
        <row r="2">
          <cell r="A2">
            <v>0</v>
          </cell>
        </row>
      </sheetData>
      <sheetData sheetId="221">
        <row r="2">
          <cell r="A2">
            <v>0</v>
          </cell>
        </row>
      </sheetData>
      <sheetData sheetId="222">
        <row r="2">
          <cell r="A2">
            <v>0</v>
          </cell>
        </row>
      </sheetData>
      <sheetData sheetId="223">
        <row r="2">
          <cell r="A2">
            <v>0</v>
          </cell>
        </row>
      </sheetData>
      <sheetData sheetId="224">
        <row r="2">
          <cell r="A2">
            <v>0</v>
          </cell>
        </row>
      </sheetData>
      <sheetData sheetId="225">
        <row r="2">
          <cell r="A2">
            <v>0</v>
          </cell>
        </row>
      </sheetData>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ow r="2">
          <cell r="A2">
            <v>0</v>
          </cell>
        </row>
      </sheetData>
      <sheetData sheetId="237">
        <row r="2">
          <cell r="A2">
            <v>0</v>
          </cell>
        </row>
      </sheetData>
      <sheetData sheetId="238">
        <row r="2">
          <cell r="A2">
            <v>0</v>
          </cell>
        </row>
      </sheetData>
      <sheetData sheetId="239">
        <row r="2">
          <cell r="A2">
            <v>0</v>
          </cell>
        </row>
      </sheetData>
      <sheetData sheetId="240">
        <row r="2">
          <cell r="A2">
            <v>0</v>
          </cell>
        </row>
      </sheetData>
      <sheetData sheetId="241">
        <row r="2">
          <cell r="A2">
            <v>0</v>
          </cell>
        </row>
      </sheetData>
      <sheetData sheetId="242">
        <row r="2">
          <cell r="A2">
            <v>0</v>
          </cell>
        </row>
      </sheetData>
      <sheetData sheetId="243">
        <row r="2">
          <cell r="A2">
            <v>0</v>
          </cell>
        </row>
      </sheetData>
      <sheetData sheetId="244">
        <row r="2">
          <cell r="A2">
            <v>0</v>
          </cell>
        </row>
      </sheetData>
      <sheetData sheetId="245">
        <row r="2">
          <cell r="A2">
            <v>0</v>
          </cell>
        </row>
      </sheetData>
      <sheetData sheetId="246">
        <row r="2">
          <cell r="A2">
            <v>0</v>
          </cell>
        </row>
      </sheetData>
      <sheetData sheetId="247">
        <row r="2">
          <cell r="A2">
            <v>0</v>
          </cell>
        </row>
      </sheetData>
      <sheetData sheetId="248">
        <row r="2">
          <cell r="A2">
            <v>0</v>
          </cell>
        </row>
      </sheetData>
      <sheetData sheetId="249">
        <row r="2">
          <cell r="A2">
            <v>0</v>
          </cell>
        </row>
      </sheetData>
      <sheetData sheetId="250">
        <row r="2">
          <cell r="A2">
            <v>0</v>
          </cell>
        </row>
      </sheetData>
      <sheetData sheetId="251">
        <row r="2">
          <cell r="A2">
            <v>0</v>
          </cell>
        </row>
      </sheetData>
      <sheetData sheetId="252">
        <row r="2">
          <cell r="A2">
            <v>0</v>
          </cell>
        </row>
      </sheetData>
      <sheetData sheetId="253">
        <row r="2">
          <cell r="A2">
            <v>0</v>
          </cell>
        </row>
      </sheetData>
      <sheetData sheetId="254">
        <row r="2">
          <cell r="A2">
            <v>0</v>
          </cell>
        </row>
      </sheetData>
      <sheetData sheetId="255">
        <row r="2">
          <cell r="A2">
            <v>0</v>
          </cell>
        </row>
      </sheetData>
      <sheetData sheetId="256">
        <row r="2">
          <cell r="A2">
            <v>0</v>
          </cell>
        </row>
      </sheetData>
      <sheetData sheetId="257">
        <row r="2">
          <cell r="A2">
            <v>0</v>
          </cell>
        </row>
      </sheetData>
      <sheetData sheetId="258">
        <row r="2">
          <cell r="A2">
            <v>0</v>
          </cell>
        </row>
      </sheetData>
      <sheetData sheetId="259">
        <row r="2">
          <cell r="A2">
            <v>0</v>
          </cell>
        </row>
      </sheetData>
      <sheetData sheetId="260">
        <row r="2">
          <cell r="A2">
            <v>0</v>
          </cell>
        </row>
      </sheetData>
      <sheetData sheetId="261">
        <row r="2">
          <cell r="A2">
            <v>0</v>
          </cell>
        </row>
      </sheetData>
      <sheetData sheetId="262">
        <row r="2">
          <cell r="A2">
            <v>0</v>
          </cell>
        </row>
      </sheetData>
      <sheetData sheetId="263">
        <row r="2">
          <cell r="A2">
            <v>0</v>
          </cell>
        </row>
      </sheetData>
      <sheetData sheetId="264">
        <row r="2">
          <cell r="A2">
            <v>0</v>
          </cell>
        </row>
      </sheetData>
      <sheetData sheetId="265">
        <row r="2">
          <cell r="A2">
            <v>0</v>
          </cell>
        </row>
      </sheetData>
      <sheetData sheetId="266">
        <row r="2">
          <cell r="A2">
            <v>0</v>
          </cell>
        </row>
      </sheetData>
      <sheetData sheetId="267">
        <row r="2">
          <cell r="A2">
            <v>0</v>
          </cell>
        </row>
      </sheetData>
      <sheetData sheetId="268">
        <row r="2">
          <cell r="A2">
            <v>0</v>
          </cell>
        </row>
      </sheetData>
      <sheetData sheetId="269">
        <row r="2">
          <cell r="A2">
            <v>0</v>
          </cell>
        </row>
      </sheetData>
      <sheetData sheetId="270">
        <row r="2">
          <cell r="A2">
            <v>0</v>
          </cell>
        </row>
      </sheetData>
      <sheetData sheetId="271">
        <row r="2">
          <cell r="A2">
            <v>0</v>
          </cell>
        </row>
      </sheetData>
      <sheetData sheetId="272">
        <row r="2">
          <cell r="A2">
            <v>0</v>
          </cell>
        </row>
      </sheetData>
      <sheetData sheetId="273">
        <row r="2">
          <cell r="A2">
            <v>0</v>
          </cell>
        </row>
      </sheetData>
      <sheetData sheetId="274">
        <row r="2">
          <cell r="A2">
            <v>0</v>
          </cell>
        </row>
      </sheetData>
      <sheetData sheetId="275">
        <row r="2">
          <cell r="A2">
            <v>0</v>
          </cell>
        </row>
      </sheetData>
      <sheetData sheetId="276">
        <row r="2">
          <cell r="A2">
            <v>0</v>
          </cell>
        </row>
      </sheetData>
      <sheetData sheetId="277" refreshError="1"/>
      <sheetData sheetId="278">
        <row r="2">
          <cell r="A2">
            <v>0</v>
          </cell>
        </row>
      </sheetData>
      <sheetData sheetId="279">
        <row r="2">
          <cell r="A2">
            <v>0</v>
          </cell>
        </row>
      </sheetData>
      <sheetData sheetId="280">
        <row r="2">
          <cell r="A2">
            <v>0</v>
          </cell>
        </row>
      </sheetData>
      <sheetData sheetId="281">
        <row r="2">
          <cell r="A2">
            <v>0</v>
          </cell>
        </row>
      </sheetData>
      <sheetData sheetId="282"/>
      <sheetData sheetId="283">
        <row r="2">
          <cell r="A2">
            <v>0</v>
          </cell>
        </row>
      </sheetData>
      <sheetData sheetId="284">
        <row r="2">
          <cell r="A2">
            <v>0</v>
          </cell>
        </row>
      </sheetData>
      <sheetData sheetId="285">
        <row r="2">
          <cell r="A2">
            <v>0</v>
          </cell>
        </row>
      </sheetData>
      <sheetData sheetId="286">
        <row r="2">
          <cell r="A2">
            <v>0</v>
          </cell>
        </row>
      </sheetData>
      <sheetData sheetId="287">
        <row r="2">
          <cell r="A2">
            <v>0</v>
          </cell>
        </row>
      </sheetData>
      <sheetData sheetId="288">
        <row r="2">
          <cell r="A2">
            <v>0</v>
          </cell>
        </row>
      </sheetData>
      <sheetData sheetId="289">
        <row r="2">
          <cell r="A2">
            <v>0</v>
          </cell>
        </row>
      </sheetData>
      <sheetData sheetId="290">
        <row r="2">
          <cell r="A2">
            <v>0</v>
          </cell>
        </row>
      </sheetData>
      <sheetData sheetId="291">
        <row r="2">
          <cell r="A2">
            <v>0</v>
          </cell>
        </row>
      </sheetData>
      <sheetData sheetId="292">
        <row r="2">
          <cell r="A2">
            <v>0</v>
          </cell>
        </row>
      </sheetData>
      <sheetData sheetId="293">
        <row r="2">
          <cell r="A2">
            <v>0</v>
          </cell>
        </row>
      </sheetData>
      <sheetData sheetId="294">
        <row r="2">
          <cell r="A2">
            <v>0</v>
          </cell>
        </row>
      </sheetData>
      <sheetData sheetId="295">
        <row r="2">
          <cell r="A2">
            <v>0</v>
          </cell>
        </row>
      </sheetData>
      <sheetData sheetId="296">
        <row r="2">
          <cell r="A2">
            <v>0</v>
          </cell>
        </row>
      </sheetData>
      <sheetData sheetId="297">
        <row r="2">
          <cell r="A2">
            <v>0</v>
          </cell>
        </row>
      </sheetData>
      <sheetData sheetId="298">
        <row r="2">
          <cell r="A2">
            <v>0</v>
          </cell>
        </row>
      </sheetData>
      <sheetData sheetId="299">
        <row r="2">
          <cell r="A2">
            <v>0</v>
          </cell>
        </row>
      </sheetData>
      <sheetData sheetId="300">
        <row r="2">
          <cell r="A2">
            <v>0</v>
          </cell>
        </row>
      </sheetData>
      <sheetData sheetId="301">
        <row r="2">
          <cell r="A2">
            <v>0</v>
          </cell>
        </row>
      </sheetData>
      <sheetData sheetId="302">
        <row r="2">
          <cell r="A2">
            <v>0</v>
          </cell>
        </row>
      </sheetData>
      <sheetData sheetId="303">
        <row r="2">
          <cell r="A2">
            <v>0</v>
          </cell>
        </row>
      </sheetData>
      <sheetData sheetId="304">
        <row r="2">
          <cell r="A2">
            <v>0</v>
          </cell>
        </row>
      </sheetData>
      <sheetData sheetId="305">
        <row r="2">
          <cell r="A2">
            <v>0</v>
          </cell>
        </row>
      </sheetData>
      <sheetData sheetId="306">
        <row r="2">
          <cell r="A2">
            <v>0</v>
          </cell>
        </row>
      </sheetData>
      <sheetData sheetId="307">
        <row r="2">
          <cell r="A2">
            <v>0</v>
          </cell>
        </row>
      </sheetData>
      <sheetData sheetId="308">
        <row r="2">
          <cell r="A2">
            <v>0</v>
          </cell>
        </row>
      </sheetData>
      <sheetData sheetId="309">
        <row r="2">
          <cell r="A2">
            <v>0</v>
          </cell>
        </row>
      </sheetData>
      <sheetData sheetId="310">
        <row r="2">
          <cell r="A2">
            <v>0</v>
          </cell>
        </row>
      </sheetData>
      <sheetData sheetId="311">
        <row r="2">
          <cell r="A2">
            <v>0</v>
          </cell>
        </row>
      </sheetData>
      <sheetData sheetId="312"/>
      <sheetData sheetId="313">
        <row r="2">
          <cell r="A2">
            <v>0</v>
          </cell>
        </row>
      </sheetData>
      <sheetData sheetId="314">
        <row r="2">
          <cell r="A2">
            <v>0</v>
          </cell>
        </row>
      </sheetData>
      <sheetData sheetId="315">
        <row r="2">
          <cell r="A2">
            <v>0</v>
          </cell>
        </row>
      </sheetData>
      <sheetData sheetId="316"/>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ow r="2">
          <cell r="A2">
            <v>0</v>
          </cell>
        </row>
      </sheetData>
      <sheetData sheetId="324">
        <row r="2">
          <cell r="A2">
            <v>0</v>
          </cell>
        </row>
      </sheetData>
      <sheetData sheetId="325">
        <row r="2">
          <cell r="A2">
            <v>0</v>
          </cell>
        </row>
      </sheetData>
      <sheetData sheetId="326">
        <row r="2">
          <cell r="A2">
            <v>0</v>
          </cell>
        </row>
      </sheetData>
      <sheetData sheetId="327">
        <row r="2">
          <cell r="A2">
            <v>0</v>
          </cell>
        </row>
      </sheetData>
      <sheetData sheetId="328">
        <row r="2">
          <cell r="A2">
            <v>0</v>
          </cell>
        </row>
      </sheetData>
      <sheetData sheetId="329">
        <row r="2">
          <cell r="A2">
            <v>0</v>
          </cell>
        </row>
      </sheetData>
      <sheetData sheetId="330">
        <row r="2">
          <cell r="A2">
            <v>0</v>
          </cell>
        </row>
      </sheetData>
      <sheetData sheetId="331">
        <row r="2">
          <cell r="A2">
            <v>0</v>
          </cell>
        </row>
      </sheetData>
      <sheetData sheetId="332">
        <row r="2">
          <cell r="A2">
            <v>0</v>
          </cell>
        </row>
      </sheetData>
      <sheetData sheetId="333">
        <row r="2">
          <cell r="A2">
            <v>0</v>
          </cell>
        </row>
      </sheetData>
      <sheetData sheetId="334">
        <row r="2">
          <cell r="A2">
            <v>0</v>
          </cell>
        </row>
      </sheetData>
      <sheetData sheetId="335">
        <row r="2">
          <cell r="A2">
            <v>0</v>
          </cell>
        </row>
      </sheetData>
      <sheetData sheetId="336">
        <row r="2">
          <cell r="A2">
            <v>0</v>
          </cell>
        </row>
      </sheetData>
      <sheetData sheetId="337">
        <row r="2">
          <cell r="A2">
            <v>0</v>
          </cell>
        </row>
      </sheetData>
      <sheetData sheetId="338">
        <row r="2">
          <cell r="A2">
            <v>0</v>
          </cell>
        </row>
      </sheetData>
      <sheetData sheetId="339">
        <row r="2">
          <cell r="A2">
            <v>0</v>
          </cell>
        </row>
      </sheetData>
      <sheetData sheetId="340">
        <row r="2">
          <cell r="A2">
            <v>0</v>
          </cell>
        </row>
      </sheetData>
      <sheetData sheetId="341">
        <row r="2">
          <cell r="A2">
            <v>0</v>
          </cell>
        </row>
      </sheetData>
      <sheetData sheetId="342">
        <row r="2">
          <cell r="A2">
            <v>0</v>
          </cell>
        </row>
      </sheetData>
      <sheetData sheetId="343">
        <row r="2">
          <cell r="A2">
            <v>0</v>
          </cell>
        </row>
      </sheetData>
      <sheetData sheetId="344">
        <row r="2">
          <cell r="A2">
            <v>0</v>
          </cell>
        </row>
      </sheetData>
      <sheetData sheetId="345">
        <row r="2">
          <cell r="A2">
            <v>0</v>
          </cell>
        </row>
      </sheetData>
      <sheetData sheetId="346">
        <row r="2">
          <cell r="A2">
            <v>0</v>
          </cell>
        </row>
      </sheetData>
      <sheetData sheetId="347">
        <row r="2">
          <cell r="A2">
            <v>0</v>
          </cell>
        </row>
      </sheetData>
      <sheetData sheetId="348">
        <row r="2">
          <cell r="A2">
            <v>0</v>
          </cell>
        </row>
      </sheetData>
      <sheetData sheetId="349">
        <row r="2">
          <cell r="A2">
            <v>0</v>
          </cell>
        </row>
      </sheetData>
      <sheetData sheetId="350">
        <row r="2">
          <cell r="A2">
            <v>0</v>
          </cell>
        </row>
      </sheetData>
      <sheetData sheetId="351">
        <row r="2">
          <cell r="A2">
            <v>0</v>
          </cell>
        </row>
      </sheetData>
      <sheetData sheetId="352">
        <row r="2">
          <cell r="A2">
            <v>0</v>
          </cell>
        </row>
      </sheetData>
      <sheetData sheetId="353">
        <row r="2">
          <cell r="A2">
            <v>0</v>
          </cell>
        </row>
      </sheetData>
      <sheetData sheetId="354">
        <row r="2">
          <cell r="A2">
            <v>0</v>
          </cell>
        </row>
      </sheetData>
      <sheetData sheetId="355">
        <row r="2">
          <cell r="A2">
            <v>0</v>
          </cell>
        </row>
      </sheetData>
      <sheetData sheetId="356">
        <row r="2">
          <cell r="A2">
            <v>0</v>
          </cell>
        </row>
      </sheetData>
      <sheetData sheetId="357">
        <row r="2">
          <cell r="A2">
            <v>0</v>
          </cell>
        </row>
      </sheetData>
      <sheetData sheetId="358">
        <row r="2">
          <cell r="A2">
            <v>0</v>
          </cell>
        </row>
      </sheetData>
      <sheetData sheetId="359">
        <row r="2">
          <cell r="A2">
            <v>0</v>
          </cell>
        </row>
      </sheetData>
      <sheetData sheetId="360">
        <row r="2">
          <cell r="A2">
            <v>0</v>
          </cell>
        </row>
      </sheetData>
      <sheetData sheetId="361">
        <row r="2">
          <cell r="A2">
            <v>0</v>
          </cell>
        </row>
      </sheetData>
      <sheetData sheetId="362">
        <row r="2">
          <cell r="A2">
            <v>0</v>
          </cell>
        </row>
      </sheetData>
      <sheetData sheetId="363">
        <row r="2">
          <cell r="A2">
            <v>0</v>
          </cell>
        </row>
      </sheetData>
      <sheetData sheetId="364">
        <row r="2">
          <cell r="A2">
            <v>0</v>
          </cell>
        </row>
      </sheetData>
      <sheetData sheetId="365">
        <row r="2">
          <cell r="A2">
            <v>0</v>
          </cell>
        </row>
      </sheetData>
      <sheetData sheetId="366">
        <row r="2">
          <cell r="A2">
            <v>0</v>
          </cell>
        </row>
      </sheetData>
      <sheetData sheetId="367">
        <row r="2">
          <cell r="A2">
            <v>0</v>
          </cell>
        </row>
      </sheetData>
      <sheetData sheetId="368">
        <row r="2">
          <cell r="A2">
            <v>0</v>
          </cell>
        </row>
      </sheetData>
      <sheetData sheetId="369">
        <row r="2">
          <cell r="A2">
            <v>0</v>
          </cell>
        </row>
      </sheetData>
      <sheetData sheetId="370">
        <row r="2">
          <cell r="A2">
            <v>0</v>
          </cell>
        </row>
      </sheetData>
      <sheetData sheetId="371">
        <row r="2">
          <cell r="A2">
            <v>0</v>
          </cell>
        </row>
      </sheetData>
      <sheetData sheetId="372">
        <row r="2">
          <cell r="A2">
            <v>0</v>
          </cell>
        </row>
      </sheetData>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ow r="2">
          <cell r="A2">
            <v>0</v>
          </cell>
        </row>
      </sheetData>
      <sheetData sheetId="394">
        <row r="2">
          <cell r="A2">
            <v>0</v>
          </cell>
        </row>
      </sheetData>
      <sheetData sheetId="395">
        <row r="2">
          <cell r="A2">
            <v>0</v>
          </cell>
        </row>
      </sheetData>
      <sheetData sheetId="396">
        <row r="2">
          <cell r="A2">
            <v>0</v>
          </cell>
        </row>
      </sheetData>
      <sheetData sheetId="397">
        <row r="2">
          <cell r="A2">
            <v>0</v>
          </cell>
        </row>
      </sheetData>
      <sheetData sheetId="398">
        <row r="2">
          <cell r="A2">
            <v>0</v>
          </cell>
        </row>
      </sheetData>
      <sheetData sheetId="399">
        <row r="2">
          <cell r="A2">
            <v>0</v>
          </cell>
        </row>
      </sheetData>
      <sheetData sheetId="400">
        <row r="2">
          <cell r="A2">
            <v>0</v>
          </cell>
        </row>
      </sheetData>
      <sheetData sheetId="401"/>
      <sheetData sheetId="402"/>
      <sheetData sheetId="403"/>
      <sheetData sheetId="404"/>
      <sheetData sheetId="405">
        <row r="2">
          <cell r="A2">
            <v>0</v>
          </cell>
        </row>
      </sheetData>
      <sheetData sheetId="406">
        <row r="2">
          <cell r="A2">
            <v>0</v>
          </cell>
        </row>
      </sheetData>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row r="2">
          <cell r="A2">
            <v>0</v>
          </cell>
        </row>
      </sheetData>
      <sheetData sheetId="422">
        <row r="2">
          <cell r="A2">
            <v>0</v>
          </cell>
        </row>
      </sheetData>
      <sheetData sheetId="423">
        <row r="2">
          <cell r="A2">
            <v>0</v>
          </cell>
        </row>
      </sheetData>
      <sheetData sheetId="424">
        <row r="2">
          <cell r="A2">
            <v>0</v>
          </cell>
        </row>
      </sheetData>
      <sheetData sheetId="425">
        <row r="2">
          <cell r="A2">
            <v>0</v>
          </cell>
        </row>
      </sheetData>
      <sheetData sheetId="426">
        <row r="2">
          <cell r="A2">
            <v>0</v>
          </cell>
        </row>
      </sheetData>
      <sheetData sheetId="427">
        <row r="2">
          <cell r="A2">
            <v>0</v>
          </cell>
        </row>
      </sheetData>
      <sheetData sheetId="428">
        <row r="2">
          <cell r="A2">
            <v>0</v>
          </cell>
        </row>
      </sheetData>
      <sheetData sheetId="429">
        <row r="2">
          <cell r="A2">
            <v>0</v>
          </cell>
        </row>
      </sheetData>
      <sheetData sheetId="430">
        <row r="2">
          <cell r="A2">
            <v>0</v>
          </cell>
        </row>
      </sheetData>
      <sheetData sheetId="431">
        <row r="2">
          <cell r="A2">
            <v>0</v>
          </cell>
        </row>
      </sheetData>
      <sheetData sheetId="432">
        <row r="2">
          <cell r="A2">
            <v>0</v>
          </cell>
        </row>
      </sheetData>
      <sheetData sheetId="433">
        <row r="2">
          <cell r="A2">
            <v>0</v>
          </cell>
        </row>
      </sheetData>
      <sheetData sheetId="434">
        <row r="2">
          <cell r="A2">
            <v>0</v>
          </cell>
        </row>
      </sheetData>
      <sheetData sheetId="435">
        <row r="2">
          <cell r="A2">
            <v>0</v>
          </cell>
        </row>
      </sheetData>
      <sheetData sheetId="436">
        <row r="2">
          <cell r="A2">
            <v>0</v>
          </cell>
        </row>
      </sheetData>
      <sheetData sheetId="437">
        <row r="2">
          <cell r="A2">
            <v>0</v>
          </cell>
        </row>
      </sheetData>
      <sheetData sheetId="438">
        <row r="2">
          <cell r="A2">
            <v>0</v>
          </cell>
        </row>
      </sheetData>
      <sheetData sheetId="439">
        <row r="2">
          <cell r="A2">
            <v>0</v>
          </cell>
        </row>
      </sheetData>
      <sheetData sheetId="440">
        <row r="2">
          <cell r="A2">
            <v>0</v>
          </cell>
        </row>
      </sheetData>
      <sheetData sheetId="441">
        <row r="2">
          <cell r="A2">
            <v>0</v>
          </cell>
        </row>
      </sheetData>
      <sheetData sheetId="442">
        <row r="2">
          <cell r="A2">
            <v>0</v>
          </cell>
        </row>
      </sheetData>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ow r="2">
          <cell r="A2">
            <v>0</v>
          </cell>
        </row>
      </sheetData>
      <sheetData sheetId="478" refreshError="1"/>
      <sheetData sheetId="479" refreshError="1"/>
      <sheetData sheetId="480" refreshError="1"/>
      <sheetData sheetId="481">
        <row r="2">
          <cell r="A2">
            <v>0</v>
          </cell>
        </row>
      </sheetData>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refreshError="1"/>
      <sheetData sheetId="512">
        <row r="2">
          <cell r="A2">
            <v>0</v>
          </cell>
        </row>
      </sheetData>
      <sheetData sheetId="513">
        <row r="2">
          <cell r="A2">
            <v>0</v>
          </cell>
        </row>
      </sheetData>
      <sheetData sheetId="514">
        <row r="2">
          <cell r="A2">
            <v>0</v>
          </cell>
        </row>
      </sheetData>
      <sheetData sheetId="515">
        <row r="2">
          <cell r="A2">
            <v>0</v>
          </cell>
        </row>
      </sheetData>
      <sheetData sheetId="516">
        <row r="2">
          <cell r="A2">
            <v>0</v>
          </cell>
        </row>
      </sheetData>
      <sheetData sheetId="517">
        <row r="2">
          <cell r="A2">
            <v>0</v>
          </cell>
        </row>
      </sheetData>
      <sheetData sheetId="518">
        <row r="2">
          <cell r="A2">
            <v>0</v>
          </cell>
        </row>
      </sheetData>
      <sheetData sheetId="519">
        <row r="2">
          <cell r="A2">
            <v>0</v>
          </cell>
        </row>
      </sheetData>
      <sheetData sheetId="520">
        <row r="2">
          <cell r="A2">
            <v>0</v>
          </cell>
        </row>
      </sheetData>
      <sheetData sheetId="521">
        <row r="2">
          <cell r="A2">
            <v>0</v>
          </cell>
        </row>
      </sheetData>
      <sheetData sheetId="522">
        <row r="2">
          <cell r="A2">
            <v>0</v>
          </cell>
        </row>
      </sheetData>
      <sheetData sheetId="523">
        <row r="2">
          <cell r="A2">
            <v>0</v>
          </cell>
        </row>
      </sheetData>
      <sheetData sheetId="524">
        <row r="2">
          <cell r="A2">
            <v>0</v>
          </cell>
        </row>
      </sheetData>
      <sheetData sheetId="525">
        <row r="2">
          <cell r="A2">
            <v>0</v>
          </cell>
        </row>
      </sheetData>
      <sheetData sheetId="526">
        <row r="2">
          <cell r="A2">
            <v>0</v>
          </cell>
        </row>
      </sheetData>
      <sheetData sheetId="527">
        <row r="2">
          <cell r="A2">
            <v>0</v>
          </cell>
        </row>
      </sheetData>
      <sheetData sheetId="528">
        <row r="2">
          <cell r="A2">
            <v>0</v>
          </cell>
        </row>
      </sheetData>
      <sheetData sheetId="529">
        <row r="2">
          <cell r="A2">
            <v>0</v>
          </cell>
        </row>
      </sheetData>
      <sheetData sheetId="530">
        <row r="2">
          <cell r="A2">
            <v>0</v>
          </cell>
        </row>
      </sheetData>
      <sheetData sheetId="531">
        <row r="2">
          <cell r="A2">
            <v>0</v>
          </cell>
        </row>
      </sheetData>
      <sheetData sheetId="532">
        <row r="2">
          <cell r="A2">
            <v>0</v>
          </cell>
        </row>
      </sheetData>
      <sheetData sheetId="533">
        <row r="2">
          <cell r="A2">
            <v>0</v>
          </cell>
        </row>
      </sheetData>
      <sheetData sheetId="534">
        <row r="2">
          <cell r="A2">
            <v>0</v>
          </cell>
        </row>
      </sheetData>
      <sheetData sheetId="535">
        <row r="2">
          <cell r="A2">
            <v>0</v>
          </cell>
        </row>
      </sheetData>
      <sheetData sheetId="536">
        <row r="2">
          <cell r="A2">
            <v>0</v>
          </cell>
        </row>
      </sheetData>
      <sheetData sheetId="537"/>
      <sheetData sheetId="538"/>
      <sheetData sheetId="539"/>
      <sheetData sheetId="540"/>
      <sheetData sheetId="541"/>
      <sheetData sheetId="542"/>
      <sheetData sheetId="543"/>
      <sheetData sheetId="544"/>
      <sheetData sheetId="545"/>
      <sheetData sheetId="546">
        <row r="2">
          <cell r="A2">
            <v>0</v>
          </cell>
        </row>
      </sheetData>
      <sheetData sheetId="547"/>
      <sheetData sheetId="548"/>
      <sheetData sheetId="549">
        <row r="2">
          <cell r="A2">
            <v>0</v>
          </cell>
        </row>
      </sheetData>
      <sheetData sheetId="550">
        <row r="2">
          <cell r="A2">
            <v>0</v>
          </cell>
        </row>
      </sheetData>
      <sheetData sheetId="551"/>
      <sheetData sheetId="552">
        <row r="2">
          <cell r="A2">
            <v>0</v>
          </cell>
        </row>
      </sheetData>
      <sheetData sheetId="553">
        <row r="2">
          <cell r="A2">
            <v>0</v>
          </cell>
        </row>
      </sheetData>
      <sheetData sheetId="554"/>
      <sheetData sheetId="555"/>
      <sheetData sheetId="556"/>
      <sheetData sheetId="557">
        <row r="2">
          <cell r="A2">
            <v>0</v>
          </cell>
        </row>
      </sheetData>
      <sheetData sheetId="558">
        <row r="2">
          <cell r="A2">
            <v>0</v>
          </cell>
        </row>
      </sheetData>
      <sheetData sheetId="559">
        <row r="2">
          <cell r="A2">
            <v>0</v>
          </cell>
        </row>
      </sheetData>
      <sheetData sheetId="560">
        <row r="2">
          <cell r="A2">
            <v>0</v>
          </cell>
        </row>
      </sheetData>
      <sheetData sheetId="561">
        <row r="2">
          <cell r="A2">
            <v>0</v>
          </cell>
        </row>
      </sheetData>
      <sheetData sheetId="562">
        <row r="2">
          <cell r="A2">
            <v>0</v>
          </cell>
        </row>
      </sheetData>
      <sheetData sheetId="563">
        <row r="2">
          <cell r="A2">
            <v>0</v>
          </cell>
        </row>
      </sheetData>
      <sheetData sheetId="564">
        <row r="2">
          <cell r="A2">
            <v>0</v>
          </cell>
        </row>
      </sheetData>
      <sheetData sheetId="565">
        <row r="2">
          <cell r="A2">
            <v>0</v>
          </cell>
        </row>
      </sheetData>
      <sheetData sheetId="566">
        <row r="2">
          <cell r="A2">
            <v>0</v>
          </cell>
        </row>
      </sheetData>
      <sheetData sheetId="567">
        <row r="2">
          <cell r="A2">
            <v>0</v>
          </cell>
        </row>
      </sheetData>
      <sheetData sheetId="568">
        <row r="2">
          <cell r="A2">
            <v>0</v>
          </cell>
        </row>
      </sheetData>
      <sheetData sheetId="569">
        <row r="2">
          <cell r="A2">
            <v>0</v>
          </cell>
        </row>
      </sheetData>
      <sheetData sheetId="570"/>
      <sheetData sheetId="571">
        <row r="2">
          <cell r="A2">
            <v>0</v>
          </cell>
        </row>
      </sheetData>
      <sheetData sheetId="572">
        <row r="2">
          <cell r="A2">
            <v>0</v>
          </cell>
        </row>
      </sheetData>
      <sheetData sheetId="573">
        <row r="2">
          <cell r="A2">
            <v>0</v>
          </cell>
        </row>
      </sheetData>
      <sheetData sheetId="574"/>
      <sheetData sheetId="575">
        <row r="2">
          <cell r="A2">
            <v>0</v>
          </cell>
        </row>
      </sheetData>
      <sheetData sheetId="576">
        <row r="2">
          <cell r="A2">
            <v>0</v>
          </cell>
        </row>
      </sheetData>
      <sheetData sheetId="577">
        <row r="2">
          <cell r="A2">
            <v>0</v>
          </cell>
        </row>
      </sheetData>
      <sheetData sheetId="578"/>
      <sheetData sheetId="579">
        <row r="2">
          <cell r="A2">
            <v>0</v>
          </cell>
        </row>
      </sheetData>
      <sheetData sheetId="580">
        <row r="2">
          <cell r="A2">
            <v>0</v>
          </cell>
        </row>
      </sheetData>
      <sheetData sheetId="581"/>
      <sheetData sheetId="582"/>
      <sheetData sheetId="583">
        <row r="2">
          <cell r="A2">
            <v>0</v>
          </cell>
        </row>
      </sheetData>
      <sheetData sheetId="584">
        <row r="2">
          <cell r="A2">
            <v>0</v>
          </cell>
        </row>
      </sheetData>
      <sheetData sheetId="585"/>
      <sheetData sheetId="586"/>
      <sheetData sheetId="587"/>
      <sheetData sheetId="588"/>
      <sheetData sheetId="589"/>
      <sheetData sheetId="590"/>
      <sheetData sheetId="591">
        <row r="2">
          <cell r="A2">
            <v>0</v>
          </cell>
        </row>
      </sheetData>
      <sheetData sheetId="592" refreshError="1"/>
      <sheetData sheetId="593" refreshError="1"/>
      <sheetData sheetId="594" refreshError="1"/>
      <sheetData sheetId="595" refreshError="1"/>
      <sheetData sheetId="596" refreshError="1"/>
      <sheetData sheetId="597" refreshError="1"/>
      <sheetData sheetId="598" refreshError="1"/>
      <sheetData sheetId="599"/>
      <sheetData sheetId="600"/>
      <sheetData sheetId="601"/>
      <sheetData sheetId="602"/>
      <sheetData sheetId="603"/>
      <sheetData sheetId="604">
        <row r="2">
          <cell r="A2">
            <v>0</v>
          </cell>
        </row>
      </sheetData>
      <sheetData sheetId="605">
        <row r="2">
          <cell r="A2">
            <v>0</v>
          </cell>
        </row>
      </sheetData>
      <sheetData sheetId="606">
        <row r="2">
          <cell r="A2">
            <v>0</v>
          </cell>
        </row>
      </sheetData>
      <sheetData sheetId="607">
        <row r="2">
          <cell r="A2">
            <v>0</v>
          </cell>
        </row>
      </sheetData>
      <sheetData sheetId="608">
        <row r="2">
          <cell r="A2">
            <v>0</v>
          </cell>
        </row>
      </sheetData>
      <sheetData sheetId="609">
        <row r="2">
          <cell r="A2">
            <v>0</v>
          </cell>
        </row>
      </sheetData>
      <sheetData sheetId="610">
        <row r="2">
          <cell r="A2">
            <v>0</v>
          </cell>
        </row>
      </sheetData>
      <sheetData sheetId="611">
        <row r="2">
          <cell r="A2">
            <v>0</v>
          </cell>
        </row>
      </sheetData>
      <sheetData sheetId="612">
        <row r="2">
          <cell r="A2">
            <v>0</v>
          </cell>
        </row>
      </sheetData>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ow r="2">
          <cell r="A2">
            <v>0</v>
          </cell>
        </row>
      </sheetData>
      <sheetData sheetId="755" refreshError="1"/>
      <sheetData sheetId="756" refreshError="1"/>
      <sheetData sheetId="757" refreshError="1"/>
      <sheetData sheetId="758" refreshError="1"/>
      <sheetData sheetId="759">
        <row r="2">
          <cell r="A2">
            <v>0</v>
          </cell>
        </row>
      </sheetData>
      <sheetData sheetId="760">
        <row r="2">
          <cell r="A2">
            <v>0</v>
          </cell>
        </row>
      </sheetData>
      <sheetData sheetId="761">
        <row r="2">
          <cell r="A2">
            <v>0</v>
          </cell>
        </row>
      </sheetData>
      <sheetData sheetId="762">
        <row r="2">
          <cell r="A2">
            <v>0</v>
          </cell>
        </row>
      </sheetData>
      <sheetData sheetId="763">
        <row r="2">
          <cell r="A2">
            <v>0</v>
          </cell>
        </row>
      </sheetData>
      <sheetData sheetId="764">
        <row r="2">
          <cell r="A2">
            <v>0</v>
          </cell>
        </row>
      </sheetData>
      <sheetData sheetId="765">
        <row r="2">
          <cell r="A2">
            <v>0</v>
          </cell>
        </row>
      </sheetData>
      <sheetData sheetId="766">
        <row r="2">
          <cell r="A2">
            <v>0</v>
          </cell>
        </row>
      </sheetData>
      <sheetData sheetId="767">
        <row r="2">
          <cell r="A2">
            <v>0</v>
          </cell>
        </row>
      </sheetData>
      <sheetData sheetId="768"/>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sheetData sheetId="792"/>
      <sheetData sheetId="793">
        <row r="2">
          <cell r="A2">
            <v>0</v>
          </cell>
        </row>
      </sheetData>
      <sheetData sheetId="794">
        <row r="2">
          <cell r="A2">
            <v>0</v>
          </cell>
        </row>
      </sheetData>
      <sheetData sheetId="795">
        <row r="2">
          <cell r="A2">
            <v>0</v>
          </cell>
        </row>
      </sheetData>
      <sheetData sheetId="796">
        <row r="2">
          <cell r="A2">
            <v>0</v>
          </cell>
        </row>
      </sheetData>
      <sheetData sheetId="797">
        <row r="2">
          <cell r="A2">
            <v>0</v>
          </cell>
        </row>
      </sheetData>
      <sheetData sheetId="798">
        <row r="2">
          <cell r="A2">
            <v>0</v>
          </cell>
        </row>
      </sheetData>
      <sheetData sheetId="799">
        <row r="2">
          <cell r="A2">
            <v>0</v>
          </cell>
        </row>
      </sheetData>
      <sheetData sheetId="800">
        <row r="2">
          <cell r="A2">
            <v>0</v>
          </cell>
        </row>
      </sheetData>
      <sheetData sheetId="801">
        <row r="2">
          <cell r="A2">
            <v>0</v>
          </cell>
        </row>
      </sheetData>
      <sheetData sheetId="802">
        <row r="2">
          <cell r="A2">
            <v>0</v>
          </cell>
        </row>
      </sheetData>
      <sheetData sheetId="803">
        <row r="2">
          <cell r="A2">
            <v>0</v>
          </cell>
        </row>
      </sheetData>
      <sheetData sheetId="804">
        <row r="2">
          <cell r="A2">
            <v>0</v>
          </cell>
        </row>
      </sheetData>
      <sheetData sheetId="805">
        <row r="2">
          <cell r="A2">
            <v>0</v>
          </cell>
        </row>
      </sheetData>
      <sheetData sheetId="806">
        <row r="2">
          <cell r="A2">
            <v>0</v>
          </cell>
        </row>
      </sheetData>
      <sheetData sheetId="807">
        <row r="2">
          <cell r="A2">
            <v>0</v>
          </cell>
        </row>
      </sheetData>
      <sheetData sheetId="808">
        <row r="2">
          <cell r="A2">
            <v>0</v>
          </cell>
        </row>
      </sheetData>
      <sheetData sheetId="809">
        <row r="2">
          <cell r="A2">
            <v>0</v>
          </cell>
        </row>
      </sheetData>
      <sheetData sheetId="810">
        <row r="2">
          <cell r="A2">
            <v>0</v>
          </cell>
        </row>
      </sheetData>
      <sheetData sheetId="811">
        <row r="2">
          <cell r="A2">
            <v>0</v>
          </cell>
        </row>
      </sheetData>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refreshError="1"/>
      <sheetData sheetId="875" refreshError="1"/>
      <sheetData sheetId="876" refreshError="1"/>
      <sheetData sheetId="877" refreshError="1"/>
      <sheetData sheetId="878" refreshError="1"/>
      <sheetData sheetId="879" refreshError="1"/>
      <sheetData sheetId="880" refreshError="1"/>
      <sheetData sheetId="881"/>
      <sheetData sheetId="882"/>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ow r="2">
          <cell r="A2">
            <v>0</v>
          </cell>
        </row>
      </sheetData>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row r="2">
          <cell r="A2">
            <v>0</v>
          </cell>
        </row>
      </sheetData>
      <sheetData sheetId="931">
        <row r="2">
          <cell r="A2">
            <v>0</v>
          </cell>
        </row>
      </sheetData>
      <sheetData sheetId="932"/>
      <sheetData sheetId="933">
        <row r="2">
          <cell r="A2">
            <v>0</v>
          </cell>
        </row>
      </sheetData>
      <sheetData sheetId="934">
        <row r="2">
          <cell r="A2">
            <v>0</v>
          </cell>
        </row>
      </sheetData>
      <sheetData sheetId="935">
        <row r="2">
          <cell r="A2">
            <v>0</v>
          </cell>
        </row>
      </sheetData>
      <sheetData sheetId="936"/>
      <sheetData sheetId="937"/>
      <sheetData sheetId="938"/>
      <sheetData sheetId="939"/>
      <sheetData sheetId="940"/>
      <sheetData sheetId="941">
        <row r="2">
          <cell r="A2">
            <v>0</v>
          </cell>
        </row>
      </sheetData>
      <sheetData sheetId="942">
        <row r="2">
          <cell r="A2">
            <v>0</v>
          </cell>
        </row>
      </sheetData>
      <sheetData sheetId="943"/>
      <sheetData sheetId="944"/>
      <sheetData sheetId="945">
        <row r="2">
          <cell r="A2">
            <v>0</v>
          </cell>
        </row>
      </sheetData>
      <sheetData sheetId="946">
        <row r="2">
          <cell r="A2">
            <v>0</v>
          </cell>
        </row>
      </sheetData>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sheetData sheetId="1035"/>
      <sheetData sheetId="1036"/>
      <sheetData sheetId="1037"/>
      <sheetData sheetId="1038" refreshError="1"/>
      <sheetData sheetId="1039"/>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do$"/>
      <sheetName val="Programado%"/>
      <sheetName val="Ejecutado$"/>
      <sheetName val="Ejecutado%"/>
      <sheetName val="Cantidades"/>
      <sheetName val="Informe"/>
    </sheetNames>
    <sheetDataSet>
      <sheetData sheetId="0">
        <row r="1">
          <cell r="J1">
            <v>39489</v>
          </cell>
          <cell r="K1">
            <v>39490</v>
          </cell>
          <cell r="L1">
            <v>39491</v>
          </cell>
          <cell r="M1">
            <v>39492</v>
          </cell>
          <cell r="N1">
            <v>39493</v>
          </cell>
          <cell r="O1">
            <v>39494</v>
          </cell>
          <cell r="P1">
            <v>39495</v>
          </cell>
          <cell r="Q1">
            <v>39496</v>
          </cell>
          <cell r="R1">
            <v>39497</v>
          </cell>
          <cell r="S1">
            <v>39498</v>
          </cell>
          <cell r="T1">
            <v>39499</v>
          </cell>
          <cell r="U1">
            <v>39500</v>
          </cell>
          <cell r="V1">
            <v>39501</v>
          </cell>
          <cell r="W1">
            <v>39502</v>
          </cell>
          <cell r="X1">
            <v>39503</v>
          </cell>
          <cell r="Y1">
            <v>39504</v>
          </cell>
          <cell r="Z1">
            <v>39505</v>
          </cell>
          <cell r="AA1">
            <v>39506</v>
          </cell>
          <cell r="AB1">
            <v>39507</v>
          </cell>
          <cell r="AC1">
            <v>39508</v>
          </cell>
          <cell r="AD1">
            <v>39509</v>
          </cell>
          <cell r="AE1">
            <v>39510</v>
          </cell>
          <cell r="AF1">
            <v>39511</v>
          </cell>
          <cell r="AG1">
            <v>39512</v>
          </cell>
          <cell r="AH1">
            <v>39513</v>
          </cell>
          <cell r="AI1">
            <v>39514</v>
          </cell>
          <cell r="AJ1">
            <v>39515</v>
          </cell>
          <cell r="AK1">
            <v>39516</v>
          </cell>
          <cell r="AL1">
            <v>39517</v>
          </cell>
          <cell r="AM1">
            <v>39518</v>
          </cell>
          <cell r="AN1">
            <v>39519</v>
          </cell>
          <cell r="AO1">
            <v>39520</v>
          </cell>
          <cell r="AP1">
            <v>39521</v>
          </cell>
          <cell r="AQ1">
            <v>39522</v>
          </cell>
          <cell r="AR1">
            <v>39523</v>
          </cell>
          <cell r="AS1">
            <v>39524</v>
          </cell>
          <cell r="AT1">
            <v>39525</v>
          </cell>
          <cell r="AU1">
            <v>39526</v>
          </cell>
          <cell r="AV1">
            <v>39527</v>
          </cell>
          <cell r="AW1">
            <v>39528</v>
          </cell>
          <cell r="AX1">
            <v>39529</v>
          </cell>
          <cell r="AY1">
            <v>39530</v>
          </cell>
          <cell r="AZ1">
            <v>39531</v>
          </cell>
          <cell r="BA1">
            <v>39532</v>
          </cell>
          <cell r="BB1">
            <v>39533</v>
          </cell>
          <cell r="BC1">
            <v>39534</v>
          </cell>
          <cell r="BD1">
            <v>39535</v>
          </cell>
          <cell r="BE1">
            <v>39536</v>
          </cell>
          <cell r="BF1">
            <v>39537</v>
          </cell>
          <cell r="BG1">
            <v>39538</v>
          </cell>
          <cell r="BH1">
            <v>39539</v>
          </cell>
          <cell r="BI1">
            <v>39540</v>
          </cell>
          <cell r="BJ1">
            <v>39541</v>
          </cell>
          <cell r="BK1">
            <v>39542</v>
          </cell>
          <cell r="BL1">
            <v>39543</v>
          </cell>
          <cell r="BM1">
            <v>39544</v>
          </cell>
          <cell r="BN1">
            <v>39545</v>
          </cell>
          <cell r="BO1">
            <v>39546</v>
          </cell>
          <cell r="BP1">
            <v>39547</v>
          </cell>
          <cell r="BQ1">
            <v>39548</v>
          </cell>
          <cell r="BR1">
            <v>39549</v>
          </cell>
          <cell r="BS1">
            <v>39550</v>
          </cell>
          <cell r="BT1">
            <v>39551</v>
          </cell>
          <cell r="BU1">
            <v>39552</v>
          </cell>
          <cell r="BV1">
            <v>39553</v>
          </cell>
          <cell r="BW1">
            <v>39554</v>
          </cell>
          <cell r="BX1">
            <v>39555</v>
          </cell>
          <cell r="BY1">
            <v>39556</v>
          </cell>
          <cell r="BZ1">
            <v>39557</v>
          </cell>
          <cell r="CA1">
            <v>39558</v>
          </cell>
          <cell r="CB1">
            <v>39559</v>
          </cell>
          <cell r="CC1">
            <v>39560</v>
          </cell>
          <cell r="CD1">
            <v>39561</v>
          </cell>
          <cell r="CE1">
            <v>39562</v>
          </cell>
          <cell r="CF1">
            <v>39563</v>
          </cell>
          <cell r="CG1">
            <v>39564</v>
          </cell>
          <cell r="CH1">
            <v>39565</v>
          </cell>
          <cell r="CI1">
            <v>39566</v>
          </cell>
          <cell r="CJ1">
            <v>39567</v>
          </cell>
          <cell r="CK1">
            <v>39568</v>
          </cell>
        </row>
        <row r="3">
          <cell r="J3">
            <v>1</v>
          </cell>
          <cell r="K3">
            <v>2</v>
          </cell>
          <cell r="L3">
            <v>3</v>
          </cell>
          <cell r="M3">
            <v>4</v>
          </cell>
          <cell r="N3">
            <v>5</v>
          </cell>
          <cell r="O3">
            <v>6</v>
          </cell>
          <cell r="P3">
            <v>7</v>
          </cell>
          <cell r="Q3">
            <v>8</v>
          </cell>
          <cell r="R3">
            <v>9</v>
          </cell>
          <cell r="S3">
            <v>10</v>
          </cell>
          <cell r="T3">
            <v>11</v>
          </cell>
          <cell r="U3">
            <v>12</v>
          </cell>
          <cell r="V3">
            <v>13</v>
          </cell>
          <cell r="W3">
            <v>14</v>
          </cell>
          <cell r="X3">
            <v>15</v>
          </cell>
          <cell r="Y3">
            <v>16</v>
          </cell>
          <cell r="Z3">
            <v>17</v>
          </cell>
          <cell r="AA3">
            <v>18</v>
          </cell>
          <cell r="AB3">
            <v>19</v>
          </cell>
          <cell r="AC3">
            <v>20</v>
          </cell>
          <cell r="AD3">
            <v>21</v>
          </cell>
          <cell r="AE3">
            <v>22</v>
          </cell>
          <cell r="AF3">
            <v>23</v>
          </cell>
          <cell r="AG3">
            <v>24</v>
          </cell>
          <cell r="AH3">
            <v>25</v>
          </cell>
          <cell r="AI3">
            <v>26</v>
          </cell>
          <cell r="AJ3">
            <v>27</v>
          </cell>
          <cell r="AK3">
            <v>28</v>
          </cell>
          <cell r="AL3">
            <v>29</v>
          </cell>
          <cell r="AM3">
            <v>30</v>
          </cell>
          <cell r="AN3">
            <v>31</v>
          </cell>
          <cell r="AO3">
            <v>32</v>
          </cell>
          <cell r="AP3">
            <v>33</v>
          </cell>
          <cell r="AQ3">
            <v>34</v>
          </cell>
          <cell r="AR3">
            <v>35</v>
          </cell>
          <cell r="AS3">
            <v>36</v>
          </cell>
          <cell r="AT3">
            <v>37</v>
          </cell>
          <cell r="AU3">
            <v>38</v>
          </cell>
          <cell r="AV3">
            <v>39</v>
          </cell>
          <cell r="AW3">
            <v>40</v>
          </cell>
          <cell r="AX3">
            <v>41</v>
          </cell>
          <cell r="AY3">
            <v>42</v>
          </cell>
          <cell r="AZ3">
            <v>43</v>
          </cell>
          <cell r="BA3">
            <v>44</v>
          </cell>
          <cell r="BB3">
            <v>45</v>
          </cell>
          <cell r="BC3">
            <v>46</v>
          </cell>
          <cell r="BD3">
            <v>47</v>
          </cell>
          <cell r="BE3">
            <v>48</v>
          </cell>
          <cell r="BF3">
            <v>49</v>
          </cell>
          <cell r="BG3">
            <v>50</v>
          </cell>
          <cell r="BH3">
            <v>51</v>
          </cell>
          <cell r="BI3">
            <v>52</v>
          </cell>
          <cell r="BJ3">
            <v>53</v>
          </cell>
          <cell r="BK3">
            <v>54</v>
          </cell>
          <cell r="BL3">
            <v>55</v>
          </cell>
          <cell r="BM3">
            <v>56</v>
          </cell>
          <cell r="BN3">
            <v>57</v>
          </cell>
          <cell r="BO3">
            <v>58</v>
          </cell>
          <cell r="BP3">
            <v>59</v>
          </cell>
          <cell r="BQ3">
            <v>60</v>
          </cell>
          <cell r="BR3">
            <v>61</v>
          </cell>
          <cell r="BS3">
            <v>62</v>
          </cell>
          <cell r="BT3">
            <v>63</v>
          </cell>
          <cell r="BU3">
            <v>64</v>
          </cell>
          <cell r="BV3">
            <v>65</v>
          </cell>
          <cell r="BW3">
            <v>66</v>
          </cell>
          <cell r="BX3">
            <v>67</v>
          </cell>
          <cell r="BY3">
            <v>68</v>
          </cell>
          <cell r="BZ3">
            <v>69</v>
          </cell>
          <cell r="CA3">
            <v>70</v>
          </cell>
          <cell r="CB3">
            <v>71</v>
          </cell>
          <cell r="CC3">
            <v>72</v>
          </cell>
          <cell r="CD3">
            <v>73</v>
          </cell>
          <cell r="CE3">
            <v>74</v>
          </cell>
          <cell r="CF3">
            <v>75</v>
          </cell>
          <cell r="CG3">
            <v>76</v>
          </cell>
          <cell r="CH3">
            <v>77</v>
          </cell>
          <cell r="CI3">
            <v>78</v>
          </cell>
          <cell r="CJ3">
            <v>79</v>
          </cell>
          <cell r="CK3">
            <v>80</v>
          </cell>
        </row>
        <row r="4">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284168.42105263157</v>
          </cell>
          <cell r="AY4">
            <v>0</v>
          </cell>
          <cell r="AZ4">
            <v>284168.42105263157</v>
          </cell>
          <cell r="BA4">
            <v>284168.42105263157</v>
          </cell>
          <cell r="BB4">
            <v>284168.42105263157</v>
          </cell>
          <cell r="BC4">
            <v>284168.42105263157</v>
          </cell>
          <cell r="BD4">
            <v>284168.42105263157</v>
          </cell>
          <cell r="BE4">
            <v>284168.42105263157</v>
          </cell>
          <cell r="BF4">
            <v>0</v>
          </cell>
          <cell r="BG4">
            <v>284168.42105263157</v>
          </cell>
          <cell r="BH4">
            <v>284168.42105263157</v>
          </cell>
          <cell r="BI4">
            <v>284168.42105263157</v>
          </cell>
          <cell r="BJ4">
            <v>284168.42105263157</v>
          </cell>
          <cell r="BK4">
            <v>284168.42105263157</v>
          </cell>
          <cell r="BL4">
            <v>284168.42105263157</v>
          </cell>
          <cell r="BM4">
            <v>0</v>
          </cell>
          <cell r="BN4">
            <v>284168.42105263157</v>
          </cell>
          <cell r="BO4">
            <v>284168.42105263157</v>
          </cell>
          <cell r="BP4">
            <v>284168.42105263157</v>
          </cell>
          <cell r="BQ4">
            <v>284168.42105263157</v>
          </cell>
          <cell r="BR4">
            <v>284168.42105263157</v>
          </cell>
          <cell r="BS4">
            <v>284168.42105263157</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J4">
            <v>0</v>
          </cell>
          <cell r="CK4">
            <v>0</v>
          </cell>
        </row>
        <row r="5">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10140160</v>
          </cell>
          <cell r="AY5">
            <v>0</v>
          </cell>
          <cell r="AZ5">
            <v>10140160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J5">
            <v>0</v>
          </cell>
          <cell r="CK5">
            <v>0</v>
          </cell>
        </row>
        <row r="6">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261500</v>
          </cell>
        </row>
        <row r="7">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8463000</v>
          </cell>
          <cell r="BB7">
            <v>8463000</v>
          </cell>
          <cell r="BC7">
            <v>8463000</v>
          </cell>
          <cell r="BD7">
            <v>8463000</v>
          </cell>
          <cell r="BE7">
            <v>8463000</v>
          </cell>
          <cell r="BF7">
            <v>0</v>
          </cell>
          <cell r="BG7">
            <v>8463000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row>
        <row r="8">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582080</v>
          </cell>
          <cell r="BJ8">
            <v>582080</v>
          </cell>
          <cell r="BK8">
            <v>582080</v>
          </cell>
          <cell r="BL8">
            <v>582080</v>
          </cell>
          <cell r="BM8">
            <v>0</v>
          </cell>
          <cell r="BN8">
            <v>582080</v>
          </cell>
          <cell r="BO8">
            <v>582080</v>
          </cell>
          <cell r="BP8">
            <v>582080</v>
          </cell>
          <cell r="BQ8">
            <v>582080</v>
          </cell>
          <cell r="BR8">
            <v>582080</v>
          </cell>
          <cell r="BS8">
            <v>582080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row>
        <row r="9">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4210560</v>
          </cell>
          <cell r="BH9">
            <v>4210560</v>
          </cell>
          <cell r="BI9">
            <v>4210560</v>
          </cell>
          <cell r="BJ9">
            <v>4210560</v>
          </cell>
          <cell r="BK9">
            <v>4210560</v>
          </cell>
          <cell r="BL9">
            <v>4210560</v>
          </cell>
          <cell r="BM9">
            <v>0</v>
          </cell>
          <cell r="BN9">
            <v>4210560</v>
          </cell>
          <cell r="BO9">
            <v>4210560</v>
          </cell>
          <cell r="BP9">
            <v>4210560</v>
          </cell>
          <cell r="BQ9">
            <v>4210560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row>
        <row r="10">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6868680</v>
          </cell>
          <cell r="BH10">
            <v>6868680</v>
          </cell>
          <cell r="BI10">
            <v>6868680</v>
          </cell>
          <cell r="BJ10">
            <v>6868680</v>
          </cell>
          <cell r="BK10">
            <v>6868680</v>
          </cell>
          <cell r="BL10">
            <v>6868680</v>
          </cell>
          <cell r="BM10">
            <v>0</v>
          </cell>
          <cell r="BN10">
            <v>6868680</v>
          </cell>
          <cell r="BO10">
            <v>6868680</v>
          </cell>
          <cell r="BP10">
            <v>6868680</v>
          </cell>
          <cell r="BQ10">
            <v>6868680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row>
        <row r="11">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475046</v>
          </cell>
          <cell r="AF11">
            <v>475046</v>
          </cell>
          <cell r="AG11">
            <v>475046</v>
          </cell>
          <cell r="AH11">
            <v>475046</v>
          </cell>
          <cell r="AI11">
            <v>475046</v>
          </cell>
          <cell r="AJ11">
            <v>475046</v>
          </cell>
          <cell r="AK11">
            <v>0</v>
          </cell>
          <cell r="AL11">
            <v>475046</v>
          </cell>
          <cell r="AM11">
            <v>475046</v>
          </cell>
          <cell r="AN11">
            <v>475046</v>
          </cell>
          <cell r="AO11">
            <v>475046</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row>
        <row r="12">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1127000</v>
          </cell>
        </row>
        <row r="13">
          <cell r="J13">
            <v>0</v>
          </cell>
          <cell r="K13">
            <v>0</v>
          </cell>
          <cell r="L13">
            <v>0</v>
          </cell>
          <cell r="M13">
            <v>0</v>
          </cell>
          <cell r="N13">
            <v>0</v>
          </cell>
          <cell r="O13">
            <v>0</v>
          </cell>
          <cell r="P13">
            <v>0</v>
          </cell>
          <cell r="Q13">
            <v>0</v>
          </cell>
          <cell r="R13">
            <v>0</v>
          </cell>
          <cell r="S13">
            <v>0</v>
          </cell>
          <cell r="T13">
            <v>0</v>
          </cell>
          <cell r="U13">
            <v>0</v>
          </cell>
          <cell r="V13">
            <v>0</v>
          </cell>
          <cell r="W13">
            <v>0</v>
          </cell>
          <cell r="X13">
            <v>318489.23076923081</v>
          </cell>
          <cell r="Y13">
            <v>318489.23076923081</v>
          </cell>
          <cell r="Z13">
            <v>318489.23076923081</v>
          </cell>
          <cell r="AA13">
            <v>318489.23076923081</v>
          </cell>
          <cell r="AB13">
            <v>318489.23076923081</v>
          </cell>
          <cell r="AC13">
            <v>318489.23076923081</v>
          </cell>
          <cell r="AD13">
            <v>0</v>
          </cell>
          <cell r="AE13">
            <v>318489.23076923081</v>
          </cell>
          <cell r="AF13">
            <v>318489.23076923081</v>
          </cell>
          <cell r="AG13">
            <v>318489.23076923081</v>
          </cell>
          <cell r="AH13">
            <v>318489.23076923081</v>
          </cell>
          <cell r="AI13">
            <v>318489.23076923081</v>
          </cell>
          <cell r="AJ13">
            <v>318489.23076923081</v>
          </cell>
          <cell r="AK13">
            <v>0</v>
          </cell>
          <cell r="AL13">
            <v>318489.23076923081</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row>
        <row r="14">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217200</v>
          </cell>
          <cell r="BA14">
            <v>217200</v>
          </cell>
          <cell r="BB14">
            <v>217200</v>
          </cell>
          <cell r="BC14">
            <v>217200</v>
          </cell>
          <cell r="BD14">
            <v>217200</v>
          </cell>
          <cell r="BE14">
            <v>217200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row>
        <row r="15">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1541100</v>
          </cell>
          <cell r="CC15">
            <v>0</v>
          </cell>
          <cell r="CD15">
            <v>0</v>
          </cell>
          <cell r="CE15">
            <v>0</v>
          </cell>
          <cell r="CF15">
            <v>0</v>
          </cell>
          <cell r="CG15">
            <v>0</v>
          </cell>
          <cell r="CH15">
            <v>0</v>
          </cell>
          <cell r="CI15">
            <v>0</v>
          </cell>
          <cell r="CJ15">
            <v>0</v>
          </cell>
          <cell r="CK15">
            <v>0</v>
          </cell>
        </row>
        <row r="16">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874311.66666666663</v>
          </cell>
          <cell r="CC16">
            <v>874311.66666666663</v>
          </cell>
          <cell r="CD16">
            <v>874311.66666666663</v>
          </cell>
          <cell r="CE16">
            <v>874311.66666666663</v>
          </cell>
          <cell r="CF16">
            <v>874311.66666666663</v>
          </cell>
          <cell r="CG16">
            <v>874311.66666666663</v>
          </cell>
          <cell r="CH16">
            <v>0</v>
          </cell>
          <cell r="CI16">
            <v>0</v>
          </cell>
          <cell r="CJ16">
            <v>0</v>
          </cell>
          <cell r="CK16">
            <v>0</v>
          </cell>
        </row>
        <row r="18">
          <cell r="J18">
            <v>108200.60869565218</v>
          </cell>
          <cell r="K18">
            <v>108200.60869565218</v>
          </cell>
          <cell r="L18">
            <v>108200.60869565218</v>
          </cell>
          <cell r="M18">
            <v>108200.60869565218</v>
          </cell>
          <cell r="N18">
            <v>108200.60869565218</v>
          </cell>
          <cell r="O18">
            <v>108200.60869565218</v>
          </cell>
          <cell r="P18">
            <v>0</v>
          </cell>
          <cell r="Q18">
            <v>108200.60869565218</v>
          </cell>
          <cell r="R18">
            <v>108200.60869565218</v>
          </cell>
          <cell r="S18">
            <v>108200.60869565218</v>
          </cell>
          <cell r="T18">
            <v>108200.60869565218</v>
          </cell>
          <cell r="U18">
            <v>108200.60869565218</v>
          </cell>
          <cell r="V18">
            <v>108200.60869565218</v>
          </cell>
          <cell r="W18">
            <v>0</v>
          </cell>
          <cell r="X18">
            <v>108200.60869565218</v>
          </cell>
          <cell r="Y18">
            <v>108200.60869565218</v>
          </cell>
          <cell r="Z18">
            <v>108200.60869565218</v>
          </cell>
          <cell r="AA18">
            <v>108200.60869565218</v>
          </cell>
          <cell r="AB18">
            <v>108200.60869565218</v>
          </cell>
          <cell r="AC18">
            <v>108200.60869565218</v>
          </cell>
          <cell r="AD18">
            <v>0</v>
          </cell>
          <cell r="AE18">
            <v>108200.60869565218</v>
          </cell>
          <cell r="AF18">
            <v>108200.60869565218</v>
          </cell>
          <cell r="AG18">
            <v>108200.60869565218</v>
          </cell>
          <cell r="AH18">
            <v>108200.60869565218</v>
          </cell>
          <cell r="AI18">
            <v>108200.60869565218</v>
          </cell>
          <cell r="AJ18">
            <v>108200.60869565218</v>
          </cell>
          <cell r="AK18">
            <v>0</v>
          </cell>
          <cell r="AL18">
            <v>108200.60869565218</v>
          </cell>
          <cell r="AM18">
            <v>108200.60869565218</v>
          </cell>
          <cell r="AN18">
            <v>108200.60869565218</v>
          </cell>
          <cell r="AO18">
            <v>108200.60869565218</v>
          </cell>
          <cell r="AP18">
            <v>108200.60869565218</v>
          </cell>
          <cell r="AQ18">
            <v>108200.60869565218</v>
          </cell>
          <cell r="AR18">
            <v>0</v>
          </cell>
          <cell r="AS18">
            <v>108200.60869565218</v>
          </cell>
          <cell r="AT18">
            <v>108200.60869565218</v>
          </cell>
          <cell r="AU18">
            <v>108200.60869565218</v>
          </cell>
          <cell r="AV18">
            <v>108200.60869565218</v>
          </cell>
          <cell r="AW18">
            <v>108200.60869565218</v>
          </cell>
          <cell r="AX18">
            <v>108200.60869565218</v>
          </cell>
          <cell r="AY18">
            <v>0</v>
          </cell>
          <cell r="AZ18">
            <v>108200.60869565218</v>
          </cell>
          <cell r="BA18">
            <v>108200.60869565218</v>
          </cell>
          <cell r="BB18">
            <v>108200.60869565218</v>
          </cell>
          <cell r="BC18">
            <v>108200.60869565218</v>
          </cell>
          <cell r="BD18">
            <v>108200.60869565218</v>
          </cell>
          <cell r="BE18">
            <v>108200.60869565218</v>
          </cell>
          <cell r="BF18">
            <v>0</v>
          </cell>
          <cell r="BG18">
            <v>108200.60869565218</v>
          </cell>
          <cell r="BH18">
            <v>108200.60869565218</v>
          </cell>
          <cell r="BI18">
            <v>108200.60869565218</v>
          </cell>
          <cell r="BJ18">
            <v>108200.60869565218</v>
          </cell>
          <cell r="BK18">
            <v>108200.60869565218</v>
          </cell>
          <cell r="BL18">
            <v>108200.60869565218</v>
          </cell>
          <cell r="BM18">
            <v>0</v>
          </cell>
          <cell r="BN18">
            <v>108200.60869565218</v>
          </cell>
          <cell r="BO18">
            <v>108200.60869565218</v>
          </cell>
          <cell r="BP18">
            <v>108200.60869565218</v>
          </cell>
          <cell r="BQ18">
            <v>108200.60869565218</v>
          </cell>
          <cell r="BR18">
            <v>108200.60869565218</v>
          </cell>
          <cell r="BS18">
            <v>108200.60869565218</v>
          </cell>
          <cell r="BT18">
            <v>0</v>
          </cell>
          <cell r="BU18">
            <v>108200.60869565218</v>
          </cell>
          <cell r="BV18">
            <v>108200.60869565218</v>
          </cell>
          <cell r="BW18">
            <v>108200.60869565218</v>
          </cell>
          <cell r="BX18">
            <v>108200.60869565218</v>
          </cell>
          <cell r="BY18">
            <v>108200.60869565218</v>
          </cell>
          <cell r="BZ18">
            <v>108200.60869565218</v>
          </cell>
          <cell r="CA18">
            <v>0</v>
          </cell>
          <cell r="CB18">
            <v>108200.60869565218</v>
          </cell>
          <cell r="CC18">
            <v>108200.60869565218</v>
          </cell>
          <cell r="CD18">
            <v>108200.60869565218</v>
          </cell>
          <cell r="CE18">
            <v>108200.60869565218</v>
          </cell>
          <cell r="CF18">
            <v>108200.60869565218</v>
          </cell>
          <cell r="CG18">
            <v>108200.60869565218</v>
          </cell>
          <cell r="CH18">
            <v>0</v>
          </cell>
          <cell r="CI18">
            <v>108200.60869565218</v>
          </cell>
          <cell r="CJ18">
            <v>108200.60869565218</v>
          </cell>
          <cell r="CK18">
            <v>108200.60869565218</v>
          </cell>
        </row>
        <row r="19">
          <cell r="J19">
            <v>4473600</v>
          </cell>
          <cell r="K19">
            <v>4473600</v>
          </cell>
          <cell r="L19">
            <v>4473600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row>
        <row r="20">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953511.57894736831</v>
          </cell>
          <cell r="AJ20">
            <v>953511.57894736831</v>
          </cell>
          <cell r="AK20">
            <v>0</v>
          </cell>
          <cell r="AL20">
            <v>953511.57894736831</v>
          </cell>
          <cell r="AM20">
            <v>953511.57894736831</v>
          </cell>
          <cell r="AN20">
            <v>953511.57894736831</v>
          </cell>
          <cell r="AO20">
            <v>953511.57894736831</v>
          </cell>
          <cell r="AP20">
            <v>953511.57894736831</v>
          </cell>
          <cell r="AQ20">
            <v>953511.57894736831</v>
          </cell>
          <cell r="AR20">
            <v>0</v>
          </cell>
          <cell r="AS20">
            <v>953511.57894736831</v>
          </cell>
          <cell r="AT20">
            <v>953511.57894736831</v>
          </cell>
          <cell r="AU20">
            <v>953511.57894736831</v>
          </cell>
          <cell r="AV20">
            <v>953511.57894736831</v>
          </cell>
          <cell r="AW20">
            <v>953511.57894736831</v>
          </cell>
          <cell r="AX20">
            <v>953511.57894736831</v>
          </cell>
          <cell r="AY20">
            <v>0</v>
          </cell>
          <cell r="AZ20">
            <v>953511.57894736831</v>
          </cell>
          <cell r="BA20">
            <v>953511.57894736831</v>
          </cell>
          <cell r="BB20">
            <v>953511.57894736831</v>
          </cell>
          <cell r="BC20">
            <v>953511.57894736831</v>
          </cell>
          <cell r="BD20">
            <v>953511.57894736831</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row>
        <row r="21">
          <cell r="J21">
            <v>4956900</v>
          </cell>
          <cell r="K21">
            <v>4956900</v>
          </cell>
          <cell r="L21">
            <v>4956900</v>
          </cell>
          <cell r="M21">
            <v>4956900</v>
          </cell>
          <cell r="N21">
            <v>4956900</v>
          </cell>
          <cell r="O21">
            <v>4956900</v>
          </cell>
          <cell r="P21">
            <v>0</v>
          </cell>
          <cell r="Q21">
            <v>4956900</v>
          </cell>
          <cell r="R21">
            <v>4956900</v>
          </cell>
          <cell r="S21">
            <v>4956900</v>
          </cell>
          <cell r="T21">
            <v>4956900</v>
          </cell>
          <cell r="U21">
            <v>4956900</v>
          </cell>
          <cell r="V21">
            <v>4956900</v>
          </cell>
          <cell r="W21">
            <v>0</v>
          </cell>
          <cell r="X21">
            <v>4956900</v>
          </cell>
          <cell r="Y21">
            <v>4956900</v>
          </cell>
          <cell r="Z21">
            <v>4956900</v>
          </cell>
          <cell r="AA21">
            <v>4956900</v>
          </cell>
          <cell r="AB21">
            <v>4956900</v>
          </cell>
          <cell r="AC21">
            <v>4956900</v>
          </cell>
          <cell r="AD21">
            <v>0</v>
          </cell>
          <cell r="AE21">
            <v>4956900</v>
          </cell>
          <cell r="AF21">
            <v>4956900</v>
          </cell>
          <cell r="AG21">
            <v>4956900</v>
          </cell>
          <cell r="AH21">
            <v>4956900</v>
          </cell>
          <cell r="AI21">
            <v>4956900</v>
          </cell>
          <cell r="AJ21">
            <v>4956900</v>
          </cell>
          <cell r="AK21">
            <v>0</v>
          </cell>
          <cell r="AL21">
            <v>4956900</v>
          </cell>
          <cell r="AM21">
            <v>4956900</v>
          </cell>
          <cell r="AN21">
            <v>4956900</v>
          </cell>
          <cell r="AO21">
            <v>4956900</v>
          </cell>
          <cell r="AP21">
            <v>4956900</v>
          </cell>
          <cell r="AQ21">
            <v>4956900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row>
        <row r="22">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2476800</v>
          </cell>
          <cell r="AM22">
            <v>2476800</v>
          </cell>
          <cell r="AN22">
            <v>2476800</v>
          </cell>
          <cell r="AO22">
            <v>2476800</v>
          </cell>
          <cell r="AP22">
            <v>2476800</v>
          </cell>
          <cell r="AQ22">
            <v>2476800</v>
          </cell>
          <cell r="AR22">
            <v>0</v>
          </cell>
          <cell r="AS22">
            <v>2476800</v>
          </cell>
          <cell r="AT22">
            <v>2476800</v>
          </cell>
          <cell r="AU22">
            <v>2476800</v>
          </cell>
          <cell r="AV22">
            <v>2476800</v>
          </cell>
          <cell r="AW22">
            <v>2476800</v>
          </cell>
          <cell r="AX22">
            <v>2476800</v>
          </cell>
          <cell r="AY22">
            <v>0</v>
          </cell>
          <cell r="AZ22">
            <v>2476800</v>
          </cell>
          <cell r="BA22">
            <v>2476800</v>
          </cell>
          <cell r="BB22">
            <v>2476800</v>
          </cell>
          <cell r="BC22">
            <v>2476800</v>
          </cell>
          <cell r="BD22">
            <v>2476800</v>
          </cell>
          <cell r="BE22">
            <v>2476800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row>
        <row r="23">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4368000</v>
          </cell>
          <cell r="AM23">
            <v>4368000</v>
          </cell>
          <cell r="AN23">
            <v>4368000</v>
          </cell>
          <cell r="AO23">
            <v>4368000</v>
          </cell>
          <cell r="AP23">
            <v>4368000</v>
          </cell>
          <cell r="AQ23">
            <v>4368000</v>
          </cell>
          <cell r="AR23">
            <v>0</v>
          </cell>
          <cell r="AS23">
            <v>4368000</v>
          </cell>
          <cell r="AT23">
            <v>4368000</v>
          </cell>
          <cell r="AU23">
            <v>4368000</v>
          </cell>
          <cell r="AV23">
            <v>4368000</v>
          </cell>
          <cell r="AW23">
            <v>4368000</v>
          </cell>
          <cell r="AX23">
            <v>4368000</v>
          </cell>
          <cell r="AY23">
            <v>0</v>
          </cell>
          <cell r="AZ23">
            <v>4368000</v>
          </cell>
          <cell r="BA23">
            <v>4368000</v>
          </cell>
          <cell r="BB23">
            <v>4368000</v>
          </cell>
          <cell r="BC23">
            <v>4368000</v>
          </cell>
          <cell r="BD23">
            <v>4368000</v>
          </cell>
          <cell r="BE23">
            <v>4368000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row>
        <row r="24">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2702754.5925925924</v>
          </cell>
          <cell r="AT24">
            <v>2702754.5925925924</v>
          </cell>
          <cell r="AU24">
            <v>2702754.5925925924</v>
          </cell>
          <cell r="AV24">
            <v>2702754.5925925924</v>
          </cell>
          <cell r="AW24">
            <v>2702754.5925925924</v>
          </cell>
          <cell r="AX24">
            <v>2702754.5925925924</v>
          </cell>
          <cell r="AY24">
            <v>0</v>
          </cell>
          <cell r="AZ24">
            <v>2702754.5925925924</v>
          </cell>
          <cell r="BA24">
            <v>2702754.5925925924</v>
          </cell>
          <cell r="BB24">
            <v>2702754.5925925924</v>
          </cell>
          <cell r="BC24">
            <v>2702754.5925925924</v>
          </cell>
          <cell r="BD24">
            <v>2702754.5925925924</v>
          </cell>
          <cell r="BE24">
            <v>2702754.5925925924</v>
          </cell>
          <cell r="BF24">
            <v>0</v>
          </cell>
          <cell r="BG24">
            <v>2702754.5925925924</v>
          </cell>
          <cell r="BH24">
            <v>2702754.5925925924</v>
          </cell>
          <cell r="BI24">
            <v>2702754.5925925924</v>
          </cell>
          <cell r="BJ24">
            <v>2702754.5925925924</v>
          </cell>
          <cell r="BK24">
            <v>2702754.5925925924</v>
          </cell>
          <cell r="BL24">
            <v>2702754.5925925924</v>
          </cell>
          <cell r="BM24">
            <v>0</v>
          </cell>
          <cell r="BN24">
            <v>2702754.5925925924</v>
          </cell>
          <cell r="BO24">
            <v>2702754.5925925924</v>
          </cell>
          <cell r="BP24">
            <v>2702754.5925925924</v>
          </cell>
          <cell r="BQ24">
            <v>2702754.5925925924</v>
          </cell>
          <cell r="BR24">
            <v>2702754.5925925924</v>
          </cell>
          <cell r="BS24">
            <v>2702754.5925925924</v>
          </cell>
          <cell r="BT24">
            <v>0</v>
          </cell>
          <cell r="BU24">
            <v>2702754.5925925924</v>
          </cell>
          <cell r="BV24">
            <v>2702754.5925925924</v>
          </cell>
          <cell r="BW24">
            <v>2702754.5925925924</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row>
        <row r="25">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911743</v>
          </cell>
          <cell r="AR25">
            <v>0</v>
          </cell>
          <cell r="AS25">
            <v>911743</v>
          </cell>
          <cell r="AT25">
            <v>911743</v>
          </cell>
          <cell r="AU25">
            <v>911743</v>
          </cell>
          <cell r="AV25">
            <v>911743</v>
          </cell>
          <cell r="AW25">
            <v>911743</v>
          </cell>
          <cell r="AX25">
            <v>911743</v>
          </cell>
          <cell r="AY25">
            <v>0</v>
          </cell>
          <cell r="AZ25">
            <v>911743</v>
          </cell>
          <cell r="BA25">
            <v>911743</v>
          </cell>
          <cell r="BB25">
            <v>911743</v>
          </cell>
          <cell r="BC25">
            <v>911743</v>
          </cell>
          <cell r="BD25">
            <v>911743</v>
          </cell>
          <cell r="BE25">
            <v>911743</v>
          </cell>
          <cell r="BF25">
            <v>0</v>
          </cell>
          <cell r="BG25">
            <v>911743</v>
          </cell>
          <cell r="BH25">
            <v>911743</v>
          </cell>
          <cell r="BI25">
            <v>911743</v>
          </cell>
          <cell r="BJ25">
            <v>911743</v>
          </cell>
          <cell r="BK25">
            <v>911743</v>
          </cell>
          <cell r="BL25">
            <v>911743</v>
          </cell>
          <cell r="BM25">
            <v>0</v>
          </cell>
          <cell r="BN25">
            <v>911743</v>
          </cell>
          <cell r="BO25">
            <v>911743</v>
          </cell>
          <cell r="BP25">
            <v>911743</v>
          </cell>
          <cell r="BQ25">
            <v>911743</v>
          </cell>
          <cell r="BR25">
            <v>911743</v>
          </cell>
          <cell r="BS25">
            <v>911743</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row>
        <row r="26">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965685</v>
          </cell>
          <cell r="BR26">
            <v>965685</v>
          </cell>
          <cell r="BS26">
            <v>965685</v>
          </cell>
          <cell r="BT26">
            <v>0</v>
          </cell>
          <cell r="BU26">
            <v>965685</v>
          </cell>
          <cell r="BV26">
            <v>965685</v>
          </cell>
          <cell r="BW26">
            <v>965685</v>
          </cell>
          <cell r="BX26">
            <v>965685</v>
          </cell>
          <cell r="BY26">
            <v>965685</v>
          </cell>
          <cell r="BZ26">
            <v>965685</v>
          </cell>
          <cell r="CA26">
            <v>0</v>
          </cell>
          <cell r="CB26">
            <v>965685</v>
          </cell>
          <cell r="CC26">
            <v>0</v>
          </cell>
          <cell r="CD26">
            <v>0</v>
          </cell>
          <cell r="CE26">
            <v>0</v>
          </cell>
          <cell r="CF26">
            <v>0</v>
          </cell>
          <cell r="CG26">
            <v>0</v>
          </cell>
          <cell r="CH26">
            <v>0</v>
          </cell>
          <cell r="CI26">
            <v>0</v>
          </cell>
          <cell r="CJ26">
            <v>0</v>
          </cell>
          <cell r="CK26">
            <v>0</v>
          </cell>
        </row>
        <row r="27">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1092000</v>
          </cell>
          <cell r="BH27">
            <v>1092000</v>
          </cell>
          <cell r="BI27">
            <v>1092000</v>
          </cell>
          <cell r="BJ27">
            <v>1092000</v>
          </cell>
          <cell r="BK27">
            <v>1092000</v>
          </cell>
          <cell r="BL27">
            <v>1092000</v>
          </cell>
          <cell r="BM27">
            <v>0</v>
          </cell>
          <cell r="BN27">
            <v>1092000</v>
          </cell>
          <cell r="BO27">
            <v>1092000</v>
          </cell>
          <cell r="BP27">
            <v>1092000</v>
          </cell>
          <cell r="BQ27">
            <v>1092000</v>
          </cell>
          <cell r="BR27">
            <v>1092000</v>
          </cell>
          <cell r="BS27">
            <v>1092000</v>
          </cell>
          <cell r="BT27">
            <v>0</v>
          </cell>
          <cell r="BU27">
            <v>1092000</v>
          </cell>
          <cell r="BV27">
            <v>1092000</v>
          </cell>
          <cell r="BW27">
            <v>1092000</v>
          </cell>
          <cell r="BX27">
            <v>1092000</v>
          </cell>
          <cell r="BY27">
            <v>1092000</v>
          </cell>
          <cell r="BZ27">
            <v>1092000</v>
          </cell>
          <cell r="CA27">
            <v>0</v>
          </cell>
          <cell r="CB27">
            <v>0</v>
          </cell>
          <cell r="CC27">
            <v>0</v>
          </cell>
          <cell r="CD27">
            <v>0</v>
          </cell>
          <cell r="CE27">
            <v>0</v>
          </cell>
          <cell r="CF27">
            <v>0</v>
          </cell>
          <cell r="CG27">
            <v>0</v>
          </cell>
          <cell r="CH27">
            <v>0</v>
          </cell>
          <cell r="CI27">
            <v>0</v>
          </cell>
          <cell r="CJ27">
            <v>0</v>
          </cell>
          <cell r="CK27">
            <v>0</v>
          </cell>
        </row>
        <row r="28">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5402800</v>
          </cell>
        </row>
        <row r="29">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6497135.5</v>
          </cell>
          <cell r="CD29">
            <v>6497135.5</v>
          </cell>
          <cell r="CE29">
            <v>6497135.5</v>
          </cell>
          <cell r="CF29">
            <v>6497135.5</v>
          </cell>
          <cell r="CG29">
            <v>0</v>
          </cell>
          <cell r="CH29">
            <v>0</v>
          </cell>
          <cell r="CI29">
            <v>0</v>
          </cell>
          <cell r="CJ29">
            <v>0</v>
          </cell>
          <cell r="CK29">
            <v>0</v>
          </cell>
        </row>
        <row r="30">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548640</v>
          </cell>
          <cell r="BH30">
            <v>548640</v>
          </cell>
          <cell r="BI30">
            <v>548640</v>
          </cell>
          <cell r="BJ30">
            <v>548640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row>
        <row r="31">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551353.84615384613</v>
          </cell>
          <cell r="BO31">
            <v>551353.84615384613</v>
          </cell>
          <cell r="BP31">
            <v>551353.84615384613</v>
          </cell>
          <cell r="BQ31">
            <v>551353.84615384613</v>
          </cell>
          <cell r="BR31">
            <v>551353.84615384613</v>
          </cell>
          <cell r="BS31">
            <v>551353.84615384613</v>
          </cell>
          <cell r="BT31">
            <v>0</v>
          </cell>
          <cell r="BU31">
            <v>551353.84615384613</v>
          </cell>
          <cell r="BV31">
            <v>551353.84615384613</v>
          </cell>
          <cell r="BW31">
            <v>551353.84615384613</v>
          </cell>
          <cell r="BX31">
            <v>551353.84615384613</v>
          </cell>
          <cell r="BY31">
            <v>551353.84615384613</v>
          </cell>
          <cell r="BZ31">
            <v>551353.84615384613</v>
          </cell>
          <cell r="CA31">
            <v>0</v>
          </cell>
          <cell r="CB31">
            <v>551353.84615384613</v>
          </cell>
          <cell r="CC31">
            <v>0</v>
          </cell>
          <cell r="CD31">
            <v>0</v>
          </cell>
          <cell r="CE31">
            <v>0</v>
          </cell>
          <cell r="CF31">
            <v>0</v>
          </cell>
          <cell r="CG31">
            <v>0</v>
          </cell>
          <cell r="CH31">
            <v>0</v>
          </cell>
          <cell r="CI31">
            <v>0</v>
          </cell>
          <cell r="CJ31">
            <v>0</v>
          </cell>
          <cell r="CK31">
            <v>0</v>
          </cell>
        </row>
        <row r="32">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28710000</v>
          </cell>
        </row>
        <row r="33">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708566.66666666663</v>
          </cell>
          <cell r="BV33">
            <v>708566.66666666663</v>
          </cell>
          <cell r="BW33">
            <v>708566.66666666663</v>
          </cell>
          <cell r="BX33">
            <v>708566.66666666663</v>
          </cell>
          <cell r="BY33">
            <v>708566.66666666663</v>
          </cell>
          <cell r="BZ33">
            <v>708566.66666666663</v>
          </cell>
          <cell r="CA33">
            <v>0</v>
          </cell>
          <cell r="CB33">
            <v>0</v>
          </cell>
          <cell r="CC33">
            <v>0</v>
          </cell>
          <cell r="CD33">
            <v>0</v>
          </cell>
          <cell r="CE33">
            <v>0</v>
          </cell>
          <cell r="CF33">
            <v>0</v>
          </cell>
          <cell r="CG33">
            <v>0</v>
          </cell>
          <cell r="CH33">
            <v>0</v>
          </cell>
          <cell r="CI33">
            <v>0</v>
          </cell>
          <cell r="CJ33">
            <v>0</v>
          </cell>
          <cell r="CK33">
            <v>0</v>
          </cell>
        </row>
        <row r="34">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625400</v>
          </cell>
        </row>
        <row r="35">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398000</v>
          </cell>
        </row>
        <row r="36">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1015400</v>
          </cell>
        </row>
        <row r="37">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2200000</v>
          </cell>
          <cell r="BV37">
            <v>2200000</v>
          </cell>
          <cell r="BW37">
            <v>2200000</v>
          </cell>
          <cell r="BX37">
            <v>2200000</v>
          </cell>
          <cell r="BY37">
            <v>2200000</v>
          </cell>
          <cell r="BZ37">
            <v>2200000</v>
          </cell>
          <cell r="CA37">
            <v>0</v>
          </cell>
          <cell r="CB37">
            <v>2200000</v>
          </cell>
          <cell r="CC37">
            <v>0</v>
          </cell>
          <cell r="CD37">
            <v>0</v>
          </cell>
          <cell r="CE37">
            <v>0</v>
          </cell>
          <cell r="CF37">
            <v>0</v>
          </cell>
          <cell r="CG37">
            <v>0</v>
          </cell>
          <cell r="CH37">
            <v>0</v>
          </cell>
          <cell r="CI37">
            <v>0</v>
          </cell>
          <cell r="CJ37">
            <v>0</v>
          </cell>
          <cell r="CK37">
            <v>0</v>
          </cell>
        </row>
        <row r="41">
          <cell r="J41">
            <v>9538700.6086956523</v>
          </cell>
          <cell r="K41">
            <v>9538700.6086956523</v>
          </cell>
          <cell r="L41">
            <v>9538700.6086956523</v>
          </cell>
          <cell r="M41">
            <v>5065100.6086956523</v>
          </cell>
          <cell r="N41">
            <v>5065100.6086956523</v>
          </cell>
          <cell r="O41">
            <v>5065100.6086956523</v>
          </cell>
          <cell r="P41">
            <v>0</v>
          </cell>
          <cell r="Q41">
            <v>5065100.6086956523</v>
          </cell>
          <cell r="R41">
            <v>5065100.6086956523</v>
          </cell>
          <cell r="S41">
            <v>5065100.6086956523</v>
          </cell>
          <cell r="T41">
            <v>5065100.6086956523</v>
          </cell>
          <cell r="U41">
            <v>5065100.6086956523</v>
          </cell>
          <cell r="V41">
            <v>5065100.6086956523</v>
          </cell>
          <cell r="W41">
            <v>0</v>
          </cell>
          <cell r="X41">
            <v>5383589.8394648833</v>
          </cell>
          <cell r="Y41">
            <v>5383589.8394648833</v>
          </cell>
          <cell r="Z41">
            <v>5383589.8394648833</v>
          </cell>
          <cell r="AA41">
            <v>5383589.8394648833</v>
          </cell>
          <cell r="AB41">
            <v>5383589.8394648833</v>
          </cell>
          <cell r="AC41">
            <v>5383589.8394648833</v>
          </cell>
          <cell r="AD41">
            <v>0</v>
          </cell>
          <cell r="AE41">
            <v>5858635.8394648833</v>
          </cell>
          <cell r="AF41">
            <v>5858635.8394648833</v>
          </cell>
          <cell r="AG41">
            <v>5858635.8394648833</v>
          </cell>
          <cell r="AH41">
            <v>5858635.8394648833</v>
          </cell>
          <cell r="AI41">
            <v>6812147.4184122514</v>
          </cell>
          <cell r="AJ41">
            <v>6812147.4184122514</v>
          </cell>
          <cell r="AK41">
            <v>0</v>
          </cell>
          <cell r="AL41">
            <v>13656947.418412251</v>
          </cell>
          <cell r="AM41">
            <v>13338458.187643021</v>
          </cell>
          <cell r="AN41">
            <v>13338458.187643021</v>
          </cell>
          <cell r="AO41">
            <v>13338458.187643021</v>
          </cell>
          <cell r="AP41">
            <v>12863412.187643021</v>
          </cell>
          <cell r="AQ41">
            <v>13775155.187643021</v>
          </cell>
          <cell r="AR41">
            <v>0</v>
          </cell>
          <cell r="AS41">
            <v>11521009.780235613</v>
          </cell>
          <cell r="AT41">
            <v>11521009.780235613</v>
          </cell>
          <cell r="AU41">
            <v>11521009.780235613</v>
          </cell>
          <cell r="AV41">
            <v>11521009.780235613</v>
          </cell>
          <cell r="AW41">
            <v>11521009.780235613</v>
          </cell>
          <cell r="AX41">
            <v>21945338.201288246</v>
          </cell>
          <cell r="AY41">
            <v>0</v>
          </cell>
          <cell r="AZ41">
            <v>22162538.201288246</v>
          </cell>
          <cell r="BA41">
            <v>20485378.201288246</v>
          </cell>
          <cell r="BB41">
            <v>20485378.201288246</v>
          </cell>
          <cell r="BC41">
            <v>20485378.201288246</v>
          </cell>
          <cell r="BD41">
            <v>20485378.201288246</v>
          </cell>
          <cell r="BE41">
            <v>19531866.622340877</v>
          </cell>
          <cell r="BF41">
            <v>0</v>
          </cell>
          <cell r="BG41">
            <v>25189746.622340877</v>
          </cell>
          <cell r="BH41">
            <v>16726746.622340877</v>
          </cell>
          <cell r="BI41">
            <v>17308826.622340877</v>
          </cell>
          <cell r="BJ41">
            <v>17308826.622340877</v>
          </cell>
          <cell r="BK41">
            <v>16760186.622340877</v>
          </cell>
          <cell r="BL41">
            <v>16760186.622340877</v>
          </cell>
          <cell r="BM41">
            <v>0</v>
          </cell>
          <cell r="BN41">
            <v>17311540.468494724</v>
          </cell>
          <cell r="BO41">
            <v>17311540.468494724</v>
          </cell>
          <cell r="BP41">
            <v>17311540.468494724</v>
          </cell>
          <cell r="BQ41">
            <v>18277225.468494724</v>
          </cell>
          <cell r="BR41">
            <v>7197985.4684947226</v>
          </cell>
          <cell r="BS41">
            <v>7197985.4684947226</v>
          </cell>
          <cell r="BT41">
            <v>0</v>
          </cell>
          <cell r="BU41">
            <v>8328560.7141087577</v>
          </cell>
          <cell r="BV41">
            <v>8328560.7141087577</v>
          </cell>
          <cell r="BW41">
            <v>8328560.7141087577</v>
          </cell>
          <cell r="BX41">
            <v>5625806.1215161644</v>
          </cell>
          <cell r="BY41">
            <v>5625806.1215161644</v>
          </cell>
          <cell r="BZ41">
            <v>5625806.1215161644</v>
          </cell>
          <cell r="CA41">
            <v>0</v>
          </cell>
          <cell r="CB41">
            <v>6240651.1215161644</v>
          </cell>
          <cell r="CC41">
            <v>7479647.7753623184</v>
          </cell>
          <cell r="CD41">
            <v>7479647.7753623184</v>
          </cell>
          <cell r="CE41">
            <v>7479647.7753623184</v>
          </cell>
          <cell r="CF41">
            <v>7479647.7753623184</v>
          </cell>
          <cell r="CG41">
            <v>982512.27536231885</v>
          </cell>
          <cell r="CH41">
            <v>0</v>
          </cell>
          <cell r="CI41">
            <v>108200.60869565218</v>
          </cell>
          <cell r="CJ41">
            <v>108200.60869565218</v>
          </cell>
          <cell r="CK41">
            <v>37648300.608695656</v>
          </cell>
        </row>
        <row r="42">
          <cell r="J42">
            <v>9538700.6086956523</v>
          </cell>
          <cell r="K42">
            <v>19077401.217391305</v>
          </cell>
          <cell r="L42">
            <v>28616101.826086957</v>
          </cell>
          <cell r="M42">
            <v>33681202.434782609</v>
          </cell>
          <cell r="N42">
            <v>38746303.043478265</v>
          </cell>
          <cell r="O42">
            <v>43811403.652173921</v>
          </cell>
          <cell r="P42">
            <v>43811403.652173921</v>
          </cell>
          <cell r="Q42">
            <v>48876504.260869578</v>
          </cell>
          <cell r="R42">
            <v>53941604.869565234</v>
          </cell>
          <cell r="S42">
            <v>59006705.47826089</v>
          </cell>
          <cell r="T42">
            <v>64071806.086956546</v>
          </cell>
          <cell r="U42">
            <v>69136906.695652202</v>
          </cell>
          <cell r="V42">
            <v>74202007.304347858</v>
          </cell>
          <cell r="W42">
            <v>74202007.304347858</v>
          </cell>
          <cell r="X42">
            <v>79585597.143812746</v>
          </cell>
          <cell r="Y42">
            <v>84969186.983277634</v>
          </cell>
          <cell r="Z42">
            <v>90352776.822742522</v>
          </cell>
          <cell r="AA42">
            <v>95736366.66220741</v>
          </cell>
          <cell r="AB42">
            <v>101119956.5016723</v>
          </cell>
          <cell r="AC42">
            <v>106503546.34113719</v>
          </cell>
          <cell r="AD42">
            <v>106503546.34113719</v>
          </cell>
          <cell r="AE42">
            <v>112362182.18060207</v>
          </cell>
          <cell r="AF42">
            <v>118220818.02006696</v>
          </cell>
          <cell r="AG42">
            <v>124079453.85953185</v>
          </cell>
          <cell r="AH42">
            <v>129938089.69899674</v>
          </cell>
          <cell r="AI42">
            <v>136750237.11740899</v>
          </cell>
          <cell r="AJ42">
            <v>143562384.53582123</v>
          </cell>
          <cell r="AK42">
            <v>143562384.53582123</v>
          </cell>
          <cell r="AL42">
            <v>157219331.95423347</v>
          </cell>
          <cell r="AM42">
            <v>170557790.14187649</v>
          </cell>
          <cell r="AN42">
            <v>183896248.32951951</v>
          </cell>
          <cell r="AO42">
            <v>197234706.51716253</v>
          </cell>
          <cell r="AP42">
            <v>210098118.70480555</v>
          </cell>
          <cell r="AQ42">
            <v>223873273.89244857</v>
          </cell>
          <cell r="AR42">
            <v>223873273.89244857</v>
          </cell>
          <cell r="AS42">
            <v>235394283.67268419</v>
          </cell>
          <cell r="AT42">
            <v>246915293.45291981</v>
          </cell>
          <cell r="AU42">
            <v>258436303.23315543</v>
          </cell>
          <cell r="AV42">
            <v>269957313.01339102</v>
          </cell>
          <cell r="AW42">
            <v>281478322.79362661</v>
          </cell>
          <cell r="AX42">
            <v>303423660.99491483</v>
          </cell>
          <cell r="AY42">
            <v>303423660.99491483</v>
          </cell>
          <cell r="AZ42">
            <v>325586199.19620305</v>
          </cell>
          <cell r="BA42">
            <v>346071577.39749128</v>
          </cell>
          <cell r="BB42">
            <v>366556955.5987795</v>
          </cell>
          <cell r="BC42">
            <v>387042333.80006772</v>
          </cell>
          <cell r="BD42">
            <v>407527712.00135595</v>
          </cell>
          <cell r="BE42">
            <v>427059578.6236968</v>
          </cell>
          <cell r="BF42">
            <v>427059578.6236968</v>
          </cell>
          <cell r="BG42">
            <v>452249325.24603766</v>
          </cell>
          <cell r="BH42">
            <v>468976071.86837852</v>
          </cell>
          <cell r="BI42">
            <v>486284898.49071938</v>
          </cell>
          <cell r="BJ42">
            <v>503593725.11306024</v>
          </cell>
          <cell r="BK42">
            <v>520353911.73540109</v>
          </cell>
          <cell r="BL42">
            <v>537114098.35774195</v>
          </cell>
          <cell r="BM42">
            <v>537114098.35774195</v>
          </cell>
          <cell r="BN42">
            <v>554425638.82623672</v>
          </cell>
          <cell r="BO42">
            <v>571737179.2947315</v>
          </cell>
          <cell r="BP42">
            <v>589048719.76322627</v>
          </cell>
          <cell r="BQ42">
            <v>607325945.23172104</v>
          </cell>
          <cell r="BR42">
            <v>614523930.70021582</v>
          </cell>
          <cell r="BS42">
            <v>621721916.16871059</v>
          </cell>
          <cell r="BT42">
            <v>621721916.16871059</v>
          </cell>
          <cell r="BU42">
            <v>630050476.88281929</v>
          </cell>
          <cell r="BV42">
            <v>638379037.596928</v>
          </cell>
          <cell r="BW42">
            <v>646707598.31103671</v>
          </cell>
          <cell r="BX42">
            <v>652333404.43255281</v>
          </cell>
          <cell r="BY42">
            <v>657959210.55406892</v>
          </cell>
          <cell r="BZ42">
            <v>663585016.67558503</v>
          </cell>
          <cell r="CA42">
            <v>663585016.67558503</v>
          </cell>
          <cell r="CB42">
            <v>669825667.79710114</v>
          </cell>
          <cell r="CC42">
            <v>677305315.57246351</v>
          </cell>
          <cell r="CD42">
            <v>684784963.34782588</v>
          </cell>
          <cell r="CE42">
            <v>692264611.12318826</v>
          </cell>
          <cell r="CF42">
            <v>699744258.89855063</v>
          </cell>
          <cell r="CG42">
            <v>700726771.173913</v>
          </cell>
          <cell r="CH42">
            <v>700726771.173913</v>
          </cell>
          <cell r="CI42">
            <v>700834971.78260863</v>
          </cell>
          <cell r="CJ42">
            <v>700943172.39130425</v>
          </cell>
          <cell r="CK42">
            <v>738591472.99999988</v>
          </cell>
        </row>
        <row r="44">
          <cell r="J44">
            <v>1.291471802395917E-2</v>
          </cell>
          <cell r="K44">
            <v>1.291471802395917E-2</v>
          </cell>
          <cell r="L44">
            <v>1.291471802395917E-2</v>
          </cell>
          <cell r="M44">
            <v>6.8577837598399307E-3</v>
          </cell>
          <cell r="N44">
            <v>6.8577837598399307E-3</v>
          </cell>
          <cell r="O44">
            <v>6.8577837598399307E-3</v>
          </cell>
          <cell r="P44">
            <v>0</v>
          </cell>
          <cell r="Q44">
            <v>6.8577837598399307E-3</v>
          </cell>
          <cell r="R44">
            <v>6.8577837598399307E-3</v>
          </cell>
          <cell r="S44">
            <v>6.8577837598399307E-3</v>
          </cell>
          <cell r="T44">
            <v>6.8577837598399307E-3</v>
          </cell>
          <cell r="U44">
            <v>6.8577837598399307E-3</v>
          </cell>
          <cell r="V44">
            <v>6.8577837598399307E-3</v>
          </cell>
          <cell r="W44">
            <v>0</v>
          </cell>
          <cell r="X44">
            <v>7.288995386851539E-3</v>
          </cell>
          <cell r="Y44">
            <v>7.288995386851539E-3</v>
          </cell>
          <cell r="Z44">
            <v>7.288995386851539E-3</v>
          </cell>
          <cell r="AA44">
            <v>7.288995386851539E-3</v>
          </cell>
          <cell r="AB44">
            <v>7.288995386851539E-3</v>
          </cell>
          <cell r="AC44">
            <v>7.288995386851539E-3</v>
          </cell>
          <cell r="AD44">
            <v>0</v>
          </cell>
          <cell r="AE44">
            <v>7.9321736760219596E-3</v>
          </cell>
          <cell r="AF44">
            <v>7.9321736760219596E-3</v>
          </cell>
          <cell r="AG44">
            <v>7.9321736760219596E-3</v>
          </cell>
          <cell r="AH44">
            <v>7.9321736760219596E-3</v>
          </cell>
          <cell r="AI44">
            <v>9.2231601195485926E-3</v>
          </cell>
          <cell r="AJ44">
            <v>9.2231601195485926E-3</v>
          </cell>
          <cell r="AK44">
            <v>0</v>
          </cell>
          <cell r="AL44">
            <v>1.8490529497911291E-2</v>
          </cell>
          <cell r="AM44">
            <v>1.8059317870899684E-2</v>
          </cell>
          <cell r="AN44">
            <v>1.8059317870899684E-2</v>
          </cell>
          <cell r="AO44">
            <v>1.8059317870899684E-2</v>
          </cell>
          <cell r="AP44">
            <v>1.7416139581729266E-2</v>
          </cell>
          <cell r="AQ44">
            <v>1.865057435836796E-2</v>
          </cell>
          <cell r="AR44">
            <v>0</v>
          </cell>
          <cell r="AS44">
            <v>1.5598622785935701E-2</v>
          </cell>
          <cell r="AT44">
            <v>1.5598622785935701E-2</v>
          </cell>
          <cell r="AU44">
            <v>1.5598622785935701E-2</v>
          </cell>
          <cell r="AV44">
            <v>1.5598622785935701E-2</v>
          </cell>
          <cell r="AW44">
            <v>1.5598622785935701E-2</v>
          </cell>
          <cell r="AX44">
            <v>2.971241749129731E-2</v>
          </cell>
          <cell r="AY44">
            <v>0</v>
          </cell>
          <cell r="AZ44">
            <v>3.000649074821941E-2</v>
          </cell>
          <cell r="BA44">
            <v>2.7735736127687795E-2</v>
          </cell>
          <cell r="BB44">
            <v>2.7735736127687795E-2</v>
          </cell>
          <cell r="BC44">
            <v>2.7735736127687795E-2</v>
          </cell>
          <cell r="BD44">
            <v>2.7735736127687795E-2</v>
          </cell>
          <cell r="BE44">
            <v>2.6444749684161162E-2</v>
          </cell>
          <cell r="BF44">
            <v>0</v>
          </cell>
          <cell r="BG44">
            <v>3.4105114319862823E-2</v>
          </cell>
          <cell r="BH44">
            <v>2.264681794172416E-2</v>
          </cell>
          <cell r="BI44">
            <v>2.3434912607420363E-2</v>
          </cell>
          <cell r="BJ44">
            <v>2.3434912607420363E-2</v>
          </cell>
          <cell r="BK44">
            <v>2.2692093308719904E-2</v>
          </cell>
          <cell r="BL44">
            <v>2.2692093308719904E-2</v>
          </cell>
          <cell r="BM44">
            <v>0</v>
          </cell>
          <cell r="BN44">
            <v>2.3438586960906768E-2</v>
          </cell>
          <cell r="BO44">
            <v>2.3438586960906768E-2</v>
          </cell>
          <cell r="BP44">
            <v>2.3438586960906768E-2</v>
          </cell>
          <cell r="BQ44">
            <v>2.4746055345394875E-2</v>
          </cell>
          <cell r="BR44">
            <v>9.7455572283525714E-3</v>
          </cell>
          <cell r="BS44">
            <v>9.7455572283525714E-3</v>
          </cell>
          <cell r="BT44">
            <v>0</v>
          </cell>
          <cell r="BU44">
            <v>1.1276275205669423E-2</v>
          </cell>
          <cell r="BV44">
            <v>1.1276275205669423E-2</v>
          </cell>
          <cell r="BW44">
            <v>1.1276275205669423E-2</v>
          </cell>
          <cell r="BX44">
            <v>7.6169388994776063E-3</v>
          </cell>
          <cell r="BY44">
            <v>7.6169388994776063E-3</v>
          </cell>
          <cell r="BZ44">
            <v>7.6169388994776063E-3</v>
          </cell>
          <cell r="CA44">
            <v>0</v>
          </cell>
          <cell r="CB44">
            <v>8.4493950304733133E-3</v>
          </cell>
          <cell r="CC44">
            <v>1.0126907835777734E-2</v>
          </cell>
          <cell r="CD44">
            <v>1.0126907835777734E-2</v>
          </cell>
          <cell r="CE44">
            <v>1.0126907835777734E-2</v>
          </cell>
          <cell r="CF44">
            <v>1.0126907835777734E-2</v>
          </cell>
          <cell r="CG44">
            <v>1.3302513111498092E-3</v>
          </cell>
          <cell r="CH44">
            <v>0</v>
          </cell>
          <cell r="CI44">
            <v>1.4649588121585608E-4</v>
          </cell>
          <cell r="CJ44">
            <v>1.4649588121585608E-4</v>
          </cell>
          <cell r="CK44">
            <v>5.0973104869159049E-2</v>
          </cell>
        </row>
        <row r="45">
          <cell r="J45">
            <v>1.291471802395917E-2</v>
          </cell>
          <cell r="K45">
            <v>2.582943604791834E-2</v>
          </cell>
          <cell r="L45">
            <v>3.8744154071877507E-2</v>
          </cell>
          <cell r="M45">
            <v>4.560193783171744E-2</v>
          </cell>
          <cell r="N45">
            <v>5.2459721591557373E-2</v>
          </cell>
          <cell r="O45">
            <v>5.9317505351397307E-2</v>
          </cell>
          <cell r="P45">
            <v>5.9317505351397307E-2</v>
          </cell>
          <cell r="Q45">
            <v>6.617528911123724E-2</v>
          </cell>
          <cell r="R45">
            <v>7.3033072871077173E-2</v>
          </cell>
          <cell r="S45">
            <v>7.9890856630917106E-2</v>
          </cell>
          <cell r="T45">
            <v>8.674864039075704E-2</v>
          </cell>
          <cell r="U45">
            <v>9.3606424150596973E-2</v>
          </cell>
          <cell r="V45">
            <v>0.10046420791043691</v>
          </cell>
          <cell r="W45">
            <v>0.10046420791043691</v>
          </cell>
          <cell r="X45">
            <v>0.10775320329728845</v>
          </cell>
          <cell r="Y45">
            <v>0.11504219868413999</v>
          </cell>
          <cell r="Z45">
            <v>0.12233119407099154</v>
          </cell>
          <cell r="AA45">
            <v>0.12962018945784307</v>
          </cell>
          <cell r="AB45">
            <v>0.13690918484469461</v>
          </cell>
          <cell r="AC45">
            <v>0.14419818023154615</v>
          </cell>
          <cell r="AD45">
            <v>0.14419818023154615</v>
          </cell>
          <cell r="AE45">
            <v>0.1521303539075681</v>
          </cell>
          <cell r="AF45">
            <v>0.16006252758359005</v>
          </cell>
          <cell r="AG45">
            <v>0.16799470125961199</v>
          </cell>
          <cell r="AH45">
            <v>0.17592687493563394</v>
          </cell>
          <cell r="AI45">
            <v>0.18515003505518254</v>
          </cell>
          <cell r="AJ45">
            <v>0.19437319517473114</v>
          </cell>
          <cell r="AK45">
            <v>0.19437319517473114</v>
          </cell>
          <cell r="AL45">
            <v>0.21286372467264245</v>
          </cell>
          <cell r="AM45">
            <v>0.23092304254354212</v>
          </cell>
          <cell r="AN45">
            <v>0.2489823604144418</v>
          </cell>
          <cell r="AO45">
            <v>0.26704167828534148</v>
          </cell>
          <cell r="AP45">
            <v>0.28445781786707075</v>
          </cell>
          <cell r="AQ45">
            <v>0.30310839222543873</v>
          </cell>
          <cell r="AR45">
            <v>0.30310839222543873</v>
          </cell>
          <cell r="AS45">
            <v>0.31870701501137444</v>
          </cell>
          <cell r="AT45">
            <v>0.33430563779731015</v>
          </cell>
          <cell r="AU45">
            <v>0.34990426058324586</v>
          </cell>
          <cell r="AV45">
            <v>0.36550288336918157</v>
          </cell>
          <cell r="AW45">
            <v>0.38110150615511729</v>
          </cell>
          <cell r="AX45">
            <v>0.41081392364641461</v>
          </cell>
          <cell r="AY45">
            <v>0.41081392364641461</v>
          </cell>
          <cell r="AZ45">
            <v>0.44082041439463404</v>
          </cell>
          <cell r="BA45">
            <v>0.46855615052232186</v>
          </cell>
          <cell r="BB45">
            <v>0.49629188665000967</v>
          </cell>
          <cell r="BC45">
            <v>0.52402762277769743</v>
          </cell>
          <cell r="BD45">
            <v>0.55176335890538519</v>
          </cell>
          <cell r="BE45">
            <v>0.5782081085895463</v>
          </cell>
          <cell r="BF45">
            <v>0.5782081085895463</v>
          </cell>
          <cell r="BG45">
            <v>0.61231322290940915</v>
          </cell>
          <cell r="BH45">
            <v>0.63496004085113333</v>
          </cell>
          <cell r="BI45">
            <v>0.6583949534585537</v>
          </cell>
          <cell r="BJ45">
            <v>0.68182986606597407</v>
          </cell>
          <cell r="BK45">
            <v>0.70452195937469397</v>
          </cell>
          <cell r="BL45">
            <v>0.72721405268341388</v>
          </cell>
          <cell r="BM45">
            <v>0.72721405268341388</v>
          </cell>
          <cell r="BN45">
            <v>0.75065263964432061</v>
          </cell>
          <cell r="BO45">
            <v>0.77409122660522733</v>
          </cell>
          <cell r="BP45">
            <v>0.79752981356613406</v>
          </cell>
          <cell r="BQ45">
            <v>0.82227586891152893</v>
          </cell>
          <cell r="BR45">
            <v>0.8320214261398815</v>
          </cell>
          <cell r="BS45">
            <v>0.84176698336823408</v>
          </cell>
          <cell r="BT45">
            <v>0.84176698336823408</v>
          </cell>
          <cell r="BU45">
            <v>0.85304325857390351</v>
          </cell>
          <cell r="BV45">
            <v>0.86431953377957293</v>
          </cell>
          <cell r="BW45">
            <v>0.87559580898524236</v>
          </cell>
          <cell r="BX45">
            <v>0.88321274788471993</v>
          </cell>
          <cell r="BY45">
            <v>0.89082968678419749</v>
          </cell>
          <cell r="BZ45">
            <v>0.89844662568367506</v>
          </cell>
          <cell r="CA45">
            <v>0.89844662568367506</v>
          </cell>
          <cell r="CB45">
            <v>0.90689602071414832</v>
          </cell>
          <cell r="CC45">
            <v>0.91702292854992606</v>
          </cell>
          <cell r="CD45">
            <v>0.92714983638570381</v>
          </cell>
          <cell r="CE45">
            <v>0.93727674422148155</v>
          </cell>
          <cell r="CF45">
            <v>0.94740365205725929</v>
          </cell>
          <cell r="CG45">
            <v>0.94873390336840913</v>
          </cell>
          <cell r="CH45">
            <v>0.94873390336840913</v>
          </cell>
          <cell r="CI45">
            <v>0.94888039924962497</v>
          </cell>
          <cell r="CJ45">
            <v>0.94902689513084082</v>
          </cell>
          <cell r="CK45">
            <v>0.99999999999999989</v>
          </cell>
        </row>
      </sheetData>
      <sheetData sheetId="1"/>
      <sheetData sheetId="2">
        <row r="1">
          <cell r="D1">
            <v>39489</v>
          </cell>
          <cell r="E1">
            <v>39490</v>
          </cell>
          <cell r="F1">
            <v>39491</v>
          </cell>
          <cell r="G1">
            <v>39492</v>
          </cell>
          <cell r="H1">
            <v>39493</v>
          </cell>
          <cell r="I1">
            <v>39494</v>
          </cell>
          <cell r="J1">
            <v>39495</v>
          </cell>
          <cell r="K1">
            <v>39496</v>
          </cell>
          <cell r="L1">
            <v>39497</v>
          </cell>
          <cell r="M1">
            <v>39498</v>
          </cell>
          <cell r="N1">
            <v>39499</v>
          </cell>
          <cell r="O1">
            <v>39500</v>
          </cell>
          <cell r="P1">
            <v>39501</v>
          </cell>
          <cell r="Q1">
            <v>39502</v>
          </cell>
          <cell r="R1">
            <v>39503</v>
          </cell>
          <cell r="S1">
            <v>39504</v>
          </cell>
          <cell r="T1">
            <v>39505</v>
          </cell>
          <cell r="U1">
            <v>39506</v>
          </cell>
          <cell r="V1">
            <v>39507</v>
          </cell>
          <cell r="W1">
            <v>39508</v>
          </cell>
          <cell r="X1">
            <v>39509</v>
          </cell>
          <cell r="Y1">
            <v>39510</v>
          </cell>
          <cell r="Z1">
            <v>39511</v>
          </cell>
          <cell r="AA1">
            <v>39512</v>
          </cell>
          <cell r="AB1">
            <v>39513</v>
          </cell>
          <cell r="AC1">
            <v>39514</v>
          </cell>
          <cell r="AD1">
            <v>39515</v>
          </cell>
          <cell r="AE1">
            <v>39516</v>
          </cell>
          <cell r="AF1">
            <v>39517</v>
          </cell>
          <cell r="AG1">
            <v>39518</v>
          </cell>
          <cell r="AH1">
            <v>39519</v>
          </cell>
          <cell r="AI1">
            <v>39520</v>
          </cell>
          <cell r="AJ1">
            <v>39521</v>
          </cell>
          <cell r="AK1">
            <v>39522</v>
          </cell>
          <cell r="AL1">
            <v>39523</v>
          </cell>
          <cell r="AM1">
            <v>39524</v>
          </cell>
          <cell r="AN1">
            <v>39525</v>
          </cell>
          <cell r="AO1">
            <v>39526</v>
          </cell>
          <cell r="AP1">
            <v>39527</v>
          </cell>
          <cell r="AQ1">
            <v>39528</v>
          </cell>
          <cell r="AR1">
            <v>39529</v>
          </cell>
          <cell r="AS1">
            <v>39530</v>
          </cell>
          <cell r="AT1">
            <v>39531</v>
          </cell>
          <cell r="AU1">
            <v>39532</v>
          </cell>
          <cell r="AV1">
            <v>39533</v>
          </cell>
          <cell r="AW1">
            <v>39534</v>
          </cell>
          <cell r="AX1">
            <v>39535</v>
          </cell>
          <cell r="AY1">
            <v>39536</v>
          </cell>
          <cell r="AZ1">
            <v>39537</v>
          </cell>
          <cell r="BA1">
            <v>39538</v>
          </cell>
          <cell r="BB1">
            <v>39539</v>
          </cell>
          <cell r="BC1">
            <v>39540</v>
          </cell>
          <cell r="BD1">
            <v>39541</v>
          </cell>
          <cell r="BE1">
            <v>39542</v>
          </cell>
          <cell r="BF1">
            <v>39543</v>
          </cell>
          <cell r="BG1">
            <v>39544</v>
          </cell>
          <cell r="BH1">
            <v>39545</v>
          </cell>
          <cell r="BI1">
            <v>39546</v>
          </cell>
          <cell r="BJ1">
            <v>39547</v>
          </cell>
          <cell r="BK1">
            <v>39548</v>
          </cell>
          <cell r="BL1">
            <v>39549</v>
          </cell>
          <cell r="BM1">
            <v>39550</v>
          </cell>
          <cell r="BN1">
            <v>39551</v>
          </cell>
          <cell r="BO1">
            <v>39552</v>
          </cell>
          <cell r="BP1">
            <v>39553</v>
          </cell>
          <cell r="BQ1">
            <v>39554</v>
          </cell>
          <cell r="BR1">
            <v>39555</v>
          </cell>
          <cell r="BS1">
            <v>39556</v>
          </cell>
          <cell r="BT1">
            <v>39557</v>
          </cell>
          <cell r="BU1">
            <v>39558</v>
          </cell>
          <cell r="BV1">
            <v>39559</v>
          </cell>
          <cell r="BW1">
            <v>39560</v>
          </cell>
          <cell r="BX1">
            <v>39561</v>
          </cell>
          <cell r="BY1">
            <v>39562</v>
          </cell>
          <cell r="BZ1">
            <v>39563</v>
          </cell>
          <cell r="CA1">
            <v>39564</v>
          </cell>
          <cell r="CB1">
            <v>39565</v>
          </cell>
          <cell r="CC1">
            <v>39566</v>
          </cell>
          <cell r="CD1">
            <v>39567</v>
          </cell>
          <cell r="CE1">
            <v>39568</v>
          </cell>
        </row>
        <row r="4">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198500</v>
          </cell>
          <cell r="V4">
            <v>794000</v>
          </cell>
          <cell r="W4">
            <v>4406700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row>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745600</v>
          </cell>
          <cell r="V5">
            <v>186400</v>
          </cell>
          <cell r="W5">
            <v>372800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10881000</v>
          </cell>
          <cell r="V7">
            <v>3264299.9999999995</v>
          </cell>
          <cell r="W7">
            <v>7254000</v>
          </cell>
          <cell r="X7">
            <v>0</v>
          </cell>
          <cell r="Y7">
            <v>5077800</v>
          </cell>
          <cell r="Z7">
            <v>3336840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856000</v>
          </cell>
          <cell r="W8">
            <v>1070000</v>
          </cell>
          <cell r="X8">
            <v>0</v>
          </cell>
          <cell r="Y8">
            <v>0</v>
          </cell>
          <cell r="Z8">
            <v>149800</v>
          </cell>
          <cell r="AA8">
            <v>0</v>
          </cell>
          <cell r="AB8">
            <v>0</v>
          </cell>
          <cell r="AC8">
            <v>0</v>
          </cell>
          <cell r="AD8">
            <v>0</v>
          </cell>
          <cell r="AE8">
            <v>0</v>
          </cell>
          <cell r="AF8">
            <v>2140000</v>
          </cell>
          <cell r="AG8">
            <v>0</v>
          </cell>
          <cell r="AH8">
            <v>1605000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2580000</v>
          </cell>
          <cell r="W9">
            <v>7740000.0000000009</v>
          </cell>
          <cell r="X9">
            <v>0</v>
          </cell>
          <cell r="Y9">
            <v>0</v>
          </cell>
          <cell r="Z9">
            <v>1909200</v>
          </cell>
          <cell r="AA9">
            <v>0</v>
          </cell>
          <cell r="AB9">
            <v>0</v>
          </cell>
          <cell r="AC9">
            <v>0</v>
          </cell>
          <cell r="AD9">
            <v>2838000</v>
          </cell>
          <cell r="AE9">
            <v>0</v>
          </cell>
          <cell r="AF9">
            <v>0</v>
          </cell>
          <cell r="AG9">
            <v>0</v>
          </cell>
          <cell r="AH9">
            <v>5160000</v>
          </cell>
          <cell r="AI9">
            <v>0</v>
          </cell>
          <cell r="AJ9">
            <v>4128000</v>
          </cell>
          <cell r="AK9">
            <v>4644000</v>
          </cell>
          <cell r="AL9">
            <v>3612000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8372000</v>
          </cell>
          <cell r="W10">
            <v>17232670</v>
          </cell>
          <cell r="X10">
            <v>0</v>
          </cell>
          <cell r="Y10">
            <v>0</v>
          </cell>
          <cell r="Z10">
            <v>4300660</v>
          </cell>
          <cell r="AA10">
            <v>0</v>
          </cell>
          <cell r="AB10">
            <v>0</v>
          </cell>
          <cell r="AC10">
            <v>0</v>
          </cell>
          <cell r="AD10">
            <v>4879420</v>
          </cell>
          <cell r="AE10">
            <v>0</v>
          </cell>
          <cell r="AF10">
            <v>0</v>
          </cell>
          <cell r="AG10">
            <v>0</v>
          </cell>
          <cell r="AH10">
            <v>8872500</v>
          </cell>
          <cell r="AI10">
            <v>0</v>
          </cell>
          <cell r="AJ10">
            <v>7098000</v>
          </cell>
          <cell r="AK10">
            <v>7985250</v>
          </cell>
          <cell r="AL10">
            <v>6256250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row>
        <row r="18">
          <cell r="D18">
            <v>114859.10769230771</v>
          </cell>
          <cell r="E18">
            <v>114859.10769230771</v>
          </cell>
          <cell r="F18">
            <v>114859.10769230771</v>
          </cell>
          <cell r="G18">
            <v>114859.10769230771</v>
          </cell>
          <cell r="H18">
            <v>114859.10769230771</v>
          </cell>
          <cell r="I18">
            <v>114859.10769230771</v>
          </cell>
          <cell r="J18">
            <v>0</v>
          </cell>
          <cell r="K18">
            <v>6776687.3538461542</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row>
        <row r="19">
          <cell r="D19">
            <v>4697280</v>
          </cell>
          <cell r="E19">
            <v>6058000</v>
          </cell>
          <cell r="F19">
            <v>2665520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3355200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2615000</v>
          </cell>
          <cell r="V20">
            <v>1046000</v>
          </cell>
          <cell r="W20">
            <v>1961250</v>
          </cell>
          <cell r="X20">
            <v>2615000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row>
        <row r="21">
          <cell r="D21">
            <v>0</v>
          </cell>
          <cell r="E21">
            <v>0</v>
          </cell>
          <cell r="F21">
            <v>7254000</v>
          </cell>
          <cell r="G21">
            <v>7254000</v>
          </cell>
          <cell r="H21">
            <v>8704800</v>
          </cell>
          <cell r="I21">
            <v>6528600</v>
          </cell>
          <cell r="J21">
            <v>9430200</v>
          </cell>
          <cell r="K21">
            <v>18860400</v>
          </cell>
          <cell r="L21">
            <v>34093800</v>
          </cell>
          <cell r="M21">
            <v>26839800</v>
          </cell>
          <cell r="N21">
            <v>8704800</v>
          </cell>
          <cell r="O21">
            <v>6528600</v>
          </cell>
          <cell r="P21">
            <v>5478220.8000000007</v>
          </cell>
          <cell r="Q21">
            <v>3264300</v>
          </cell>
          <cell r="R21">
            <v>2176200</v>
          </cell>
          <cell r="S21">
            <v>2901600</v>
          </cell>
          <cell r="T21">
            <v>11568679.200000001</v>
          </cell>
          <cell r="U21">
            <v>2901600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2580000</v>
          </cell>
          <cell r="V22">
            <v>0</v>
          </cell>
          <cell r="W22">
            <v>0</v>
          </cell>
          <cell r="X22">
            <v>1599600</v>
          </cell>
          <cell r="Y22">
            <v>3560399.9999999995</v>
          </cell>
          <cell r="Z22">
            <v>2889600</v>
          </cell>
          <cell r="AA22">
            <v>3612000</v>
          </cell>
          <cell r="AB22">
            <v>5160000</v>
          </cell>
          <cell r="AC22">
            <v>8720400</v>
          </cell>
          <cell r="AD22">
            <v>2580000</v>
          </cell>
          <cell r="AE22">
            <v>0</v>
          </cell>
          <cell r="AF22">
            <v>6192000</v>
          </cell>
          <cell r="AG22">
            <v>0</v>
          </cell>
          <cell r="AH22">
            <v>2322000</v>
          </cell>
          <cell r="AI22">
            <v>0</v>
          </cell>
          <cell r="AJ22">
            <v>0</v>
          </cell>
          <cell r="AK22">
            <v>0</v>
          </cell>
          <cell r="AL22">
            <v>763680</v>
          </cell>
          <cell r="AM22">
            <v>1083600</v>
          </cell>
          <cell r="AN22">
            <v>1083600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4777500</v>
          </cell>
          <cell r="V23">
            <v>0</v>
          </cell>
          <cell r="W23">
            <v>0</v>
          </cell>
          <cell r="X23">
            <v>6784050</v>
          </cell>
          <cell r="Y23">
            <v>10414950</v>
          </cell>
          <cell r="Z23">
            <v>7261800</v>
          </cell>
          <cell r="AA23">
            <v>10510500</v>
          </cell>
          <cell r="AB23">
            <v>9555000</v>
          </cell>
          <cell r="AC23">
            <v>19778850</v>
          </cell>
          <cell r="AD23">
            <v>4777500</v>
          </cell>
          <cell r="AE23">
            <v>0</v>
          </cell>
          <cell r="AF23">
            <v>11466000</v>
          </cell>
          <cell r="AG23">
            <v>0</v>
          </cell>
          <cell r="AH23">
            <v>4299750</v>
          </cell>
          <cell r="AI23">
            <v>0</v>
          </cell>
          <cell r="AJ23">
            <v>0</v>
          </cell>
          <cell r="AK23">
            <v>0</v>
          </cell>
          <cell r="AL23">
            <v>1414140</v>
          </cell>
          <cell r="AM23">
            <v>2006550</v>
          </cell>
          <cell r="AN23">
            <v>2006550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522550.60000000003</v>
          </cell>
          <cell r="T24">
            <v>0</v>
          </cell>
          <cell r="U24">
            <v>0</v>
          </cell>
          <cell r="V24">
            <v>0</v>
          </cell>
          <cell r="W24">
            <v>4797964.6000000006</v>
          </cell>
          <cell r="X24">
            <v>0</v>
          </cell>
          <cell r="Y24">
            <v>0</v>
          </cell>
          <cell r="Z24">
            <v>0</v>
          </cell>
          <cell r="AA24">
            <v>0</v>
          </cell>
          <cell r="AB24">
            <v>15201472</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766762.5</v>
          </cell>
          <cell r="U25">
            <v>0</v>
          </cell>
          <cell r="V25">
            <v>0</v>
          </cell>
          <cell r="W25">
            <v>0</v>
          </cell>
          <cell r="X25">
            <v>0</v>
          </cell>
          <cell r="Y25">
            <v>0</v>
          </cell>
          <cell r="Z25">
            <v>5353250</v>
          </cell>
          <cell r="AA25">
            <v>0</v>
          </cell>
          <cell r="AB25">
            <v>0</v>
          </cell>
          <cell r="AC25">
            <v>0</v>
          </cell>
          <cell r="AD25">
            <v>0</v>
          </cell>
          <cell r="AE25">
            <v>0</v>
          </cell>
          <cell r="AF25">
            <v>497087.5</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409500</v>
          </cell>
          <cell r="Z27">
            <v>409500</v>
          </cell>
          <cell r="AA27">
            <v>409500</v>
          </cell>
          <cell r="AB27">
            <v>0</v>
          </cell>
          <cell r="AC27">
            <v>0</v>
          </cell>
          <cell r="AD27">
            <v>204750</v>
          </cell>
          <cell r="AE27">
            <v>0</v>
          </cell>
          <cell r="AF27">
            <v>1023750</v>
          </cell>
          <cell r="AG27">
            <v>1023750</v>
          </cell>
          <cell r="AH27">
            <v>1228500</v>
          </cell>
          <cell r="AI27">
            <v>0</v>
          </cell>
          <cell r="AJ27">
            <v>2661750</v>
          </cell>
          <cell r="AK27">
            <v>1638000</v>
          </cell>
          <cell r="AL27">
            <v>982800</v>
          </cell>
          <cell r="AM27">
            <v>1740375</v>
          </cell>
          <cell r="AN27">
            <v>2252250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1368360</v>
          </cell>
          <cell r="U31">
            <v>1042560</v>
          </cell>
          <cell r="V31">
            <v>0</v>
          </cell>
          <cell r="W31">
            <v>0</v>
          </cell>
          <cell r="X31">
            <v>0</v>
          </cell>
          <cell r="Y31">
            <v>260640</v>
          </cell>
          <cell r="Z31">
            <v>0</v>
          </cell>
          <cell r="AA31">
            <v>521280</v>
          </cell>
          <cell r="AB31">
            <v>0</v>
          </cell>
          <cell r="AC31">
            <v>0</v>
          </cell>
          <cell r="AD31">
            <v>651600</v>
          </cell>
          <cell r="AE31">
            <v>0</v>
          </cell>
          <cell r="AF31">
            <v>325800</v>
          </cell>
          <cell r="AG31">
            <v>390960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5390000</v>
          </cell>
          <cell r="AB37">
            <v>4928000</v>
          </cell>
          <cell r="AC37">
            <v>0</v>
          </cell>
          <cell r="AD37">
            <v>0</v>
          </cell>
          <cell r="AE37">
            <v>0</v>
          </cell>
          <cell r="AF37">
            <v>0</v>
          </cell>
          <cell r="AG37">
            <v>0</v>
          </cell>
          <cell r="AH37">
            <v>1232000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row>
        <row r="41">
          <cell r="D41">
            <v>4812139.1076923078</v>
          </cell>
          <cell r="E41">
            <v>6172859.1076923078</v>
          </cell>
          <cell r="F41">
            <v>10034379.107692309</v>
          </cell>
          <cell r="G41">
            <v>7368859.1076923078</v>
          </cell>
          <cell r="H41">
            <v>8819659.1076923069</v>
          </cell>
          <cell r="I41">
            <v>6643459.1076923078</v>
          </cell>
          <cell r="J41">
            <v>9430200</v>
          </cell>
          <cell r="K41">
            <v>25637087.353846155</v>
          </cell>
          <cell r="L41">
            <v>34093800</v>
          </cell>
          <cell r="M41">
            <v>26839800</v>
          </cell>
          <cell r="N41">
            <v>8704800</v>
          </cell>
          <cell r="O41">
            <v>6528600</v>
          </cell>
          <cell r="P41">
            <v>5478220.8000000007</v>
          </cell>
          <cell r="Q41">
            <v>3264300</v>
          </cell>
          <cell r="R41">
            <v>2176200</v>
          </cell>
          <cell r="S41">
            <v>3424150.6</v>
          </cell>
          <cell r="T41">
            <v>13703801.700000001</v>
          </cell>
          <cell r="U41">
            <v>29096960</v>
          </cell>
          <cell r="V41">
            <v>17098700</v>
          </cell>
          <cell r="W41">
            <v>44835384.600000001</v>
          </cell>
          <cell r="X41">
            <v>10998650</v>
          </cell>
          <cell r="Y41">
            <v>19723290</v>
          </cell>
          <cell r="Z41">
            <v>25610650</v>
          </cell>
          <cell r="AA41">
            <v>20443280</v>
          </cell>
          <cell r="AB41">
            <v>34844472</v>
          </cell>
          <cell r="AC41">
            <v>28499250</v>
          </cell>
          <cell r="AD41">
            <v>15931270</v>
          </cell>
          <cell r="AE41">
            <v>0</v>
          </cell>
          <cell r="AF41">
            <v>21644637.5</v>
          </cell>
          <cell r="AG41">
            <v>1414710</v>
          </cell>
          <cell r="AH41">
            <v>24719750</v>
          </cell>
          <cell r="AI41">
            <v>0</v>
          </cell>
          <cell r="AJ41">
            <v>13887750</v>
          </cell>
          <cell r="AK41">
            <v>14267250</v>
          </cell>
          <cell r="AL41">
            <v>13028870</v>
          </cell>
          <cell r="AM41">
            <v>4830525</v>
          </cell>
          <cell r="AN41">
            <v>5342400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row>
        <row r="42">
          <cell r="D42">
            <v>4812139.1076923078</v>
          </cell>
          <cell r="E42">
            <v>10984998.215384616</v>
          </cell>
          <cell r="F42">
            <v>21019377.323076926</v>
          </cell>
          <cell r="G42">
            <v>28388236.430769235</v>
          </cell>
          <cell r="H42">
            <v>37207895.538461544</v>
          </cell>
          <cell r="I42">
            <v>43851354.646153852</v>
          </cell>
          <cell r="J42">
            <v>53281554.646153852</v>
          </cell>
          <cell r="K42">
            <v>78918642</v>
          </cell>
          <cell r="L42">
            <v>113012442</v>
          </cell>
          <cell r="M42">
            <v>139852242</v>
          </cell>
          <cell r="N42">
            <v>148557042</v>
          </cell>
          <cell r="O42">
            <v>155085642</v>
          </cell>
          <cell r="P42">
            <v>160563862.80000001</v>
          </cell>
          <cell r="Q42">
            <v>163828162.80000001</v>
          </cell>
          <cell r="R42">
            <v>166004362.80000001</v>
          </cell>
          <cell r="S42">
            <v>169428513.40000001</v>
          </cell>
          <cell r="T42">
            <v>183132315.09999999</v>
          </cell>
          <cell r="U42">
            <v>212229275.09999999</v>
          </cell>
          <cell r="V42">
            <v>229327975.09999999</v>
          </cell>
          <cell r="W42">
            <v>274163359.69999999</v>
          </cell>
          <cell r="X42">
            <v>285162009.69999999</v>
          </cell>
          <cell r="Y42">
            <v>304885299.69999999</v>
          </cell>
          <cell r="Z42">
            <v>330495949.69999999</v>
          </cell>
          <cell r="AA42">
            <v>350939229.69999999</v>
          </cell>
          <cell r="AB42">
            <v>385783701.69999999</v>
          </cell>
          <cell r="AC42">
            <v>414282951.69999999</v>
          </cell>
          <cell r="AD42">
            <v>430214221.69999999</v>
          </cell>
          <cell r="AE42">
            <v>430214221.69999999</v>
          </cell>
          <cell r="AF42">
            <v>451858859.19999999</v>
          </cell>
          <cell r="AG42">
            <v>453273569.19999999</v>
          </cell>
          <cell r="AH42">
            <v>477993319.19999999</v>
          </cell>
          <cell r="AI42">
            <v>477993319.19999999</v>
          </cell>
          <cell r="AJ42">
            <v>491881069.19999999</v>
          </cell>
          <cell r="AK42">
            <v>506148319.19999999</v>
          </cell>
          <cell r="AL42">
            <v>519177189.19999999</v>
          </cell>
          <cell r="AM42">
            <v>524007714.19999999</v>
          </cell>
          <cell r="AN42">
            <v>529350114.19999999</v>
          </cell>
          <cell r="AO42">
            <v>529350114.19999999</v>
          </cell>
          <cell r="AP42">
            <v>529350114.19999999</v>
          </cell>
          <cell r="AQ42">
            <v>529350114.19999999</v>
          </cell>
          <cell r="AR42">
            <v>529350114.19999999</v>
          </cell>
          <cell r="AS42">
            <v>529350114.19999999</v>
          </cell>
          <cell r="AT42">
            <v>529350114.19999999</v>
          </cell>
          <cell r="AU42">
            <v>529350114.19999999</v>
          </cell>
          <cell r="AV42">
            <v>529350114.19999999</v>
          </cell>
          <cell r="AW42">
            <v>529350114.19999999</v>
          </cell>
          <cell r="AX42">
            <v>529350114.19999999</v>
          </cell>
          <cell r="AY42">
            <v>529350114.19999999</v>
          </cell>
          <cell r="AZ42">
            <v>529350114.19999999</v>
          </cell>
          <cell r="BA42">
            <v>529350114.19999999</v>
          </cell>
          <cell r="BB42">
            <v>529350114.19999999</v>
          </cell>
          <cell r="BC42">
            <v>529350114.19999999</v>
          </cell>
          <cell r="BD42">
            <v>529350114.19999999</v>
          </cell>
          <cell r="BE42">
            <v>529350114.19999999</v>
          </cell>
          <cell r="BF42">
            <v>529350114.19999999</v>
          </cell>
          <cell r="BG42">
            <v>529350114.19999999</v>
          </cell>
          <cell r="BH42">
            <v>529350114.19999999</v>
          </cell>
          <cell r="BI42">
            <v>529350114.19999999</v>
          </cell>
          <cell r="BJ42">
            <v>529350114.19999999</v>
          </cell>
          <cell r="BK42">
            <v>529350114.19999999</v>
          </cell>
          <cell r="BL42">
            <v>529350114.19999999</v>
          </cell>
          <cell r="BM42">
            <v>529350114.19999999</v>
          </cell>
          <cell r="BN42">
            <v>529350114.19999999</v>
          </cell>
          <cell r="BO42">
            <v>529350114.19999999</v>
          </cell>
          <cell r="BP42">
            <v>529350114.19999999</v>
          </cell>
          <cell r="BQ42">
            <v>529350114.19999999</v>
          </cell>
          <cell r="BR42">
            <v>529350114.19999999</v>
          </cell>
          <cell r="BS42">
            <v>529350114.19999999</v>
          </cell>
          <cell r="BT42">
            <v>529350114.19999999</v>
          </cell>
          <cell r="BU42">
            <v>529350114.19999999</v>
          </cell>
          <cell r="BV42">
            <v>529350114.19999999</v>
          </cell>
          <cell r="BW42">
            <v>529350114.19999999</v>
          </cell>
          <cell r="BX42">
            <v>529350114.19999999</v>
          </cell>
          <cell r="BY42">
            <v>529350114.19999999</v>
          </cell>
          <cell r="BZ42">
            <v>529350114.19999999</v>
          </cell>
          <cell r="CA42">
            <v>529350114.19999999</v>
          </cell>
          <cell r="CB42">
            <v>529350114.19999999</v>
          </cell>
          <cell r="CC42">
            <v>529350114.19999999</v>
          </cell>
          <cell r="CD42">
            <v>529350114.19999999</v>
          </cell>
          <cell r="CE42">
            <v>529350114.19999999</v>
          </cell>
        </row>
        <row r="44">
          <cell r="D44">
            <v>6.5152919896928028E-3</v>
          </cell>
          <cell r="E44">
            <v>8.3576094950290718E-3</v>
          </cell>
          <cell r="F44">
            <v>1.3585831240286075E-2</v>
          </cell>
          <cell r="G44">
            <v>9.9769079079150263E-3</v>
          </cell>
          <cell r="H44">
            <v>1.1941187287024511E-2</v>
          </cell>
          <cell r="I44">
            <v>8.9947682183602832E-3</v>
          </cell>
          <cell r="J44">
            <v>1.2767815964211653E-2</v>
          </cell>
          <cell r="K44">
            <v>3.471078165811177E-2</v>
          </cell>
          <cell r="L44">
            <v>4.6160565409072901E-2</v>
          </cell>
          <cell r="M44">
            <v>3.633916851352547E-2</v>
          </cell>
          <cell r="N44">
            <v>1.178567627465691E-2</v>
          </cell>
          <cell r="O44">
            <v>8.8392572059926827E-3</v>
          </cell>
          <cell r="P44">
            <v>7.4171189355174165E-3</v>
          </cell>
          <cell r="Q44">
            <v>4.4196286029963413E-3</v>
          </cell>
          <cell r="R44">
            <v>2.9464190686642276E-3</v>
          </cell>
          <cell r="S44">
            <v>4.6360548763064316E-3</v>
          </cell>
          <cell r="T44">
            <v>1.8553966842235668E-2</v>
          </cell>
          <cell r="U44">
            <v>3.939520162860044E-2</v>
          </cell>
          <cell r="V44">
            <v>2.3150416197669804E-2</v>
          </cell>
          <cell r="W44">
            <v>6.0703902277517902E-2</v>
          </cell>
          <cell r="X44">
            <v>1.4891385024153941E-2</v>
          </cell>
          <cell r="Y44">
            <v>2.6703923239037988E-2</v>
          </cell>
          <cell r="Z44">
            <v>3.4674987372891049E-2</v>
          </cell>
          <cell r="AA44">
            <v>2.7678738175738456E-2</v>
          </cell>
          <cell r="AB44">
            <v>4.717692157813471E-2</v>
          </cell>
          <cell r="AC44">
            <v>3.8585945061404739E-2</v>
          </cell>
          <cell r="AD44">
            <v>2.1569799520282304E-2</v>
          </cell>
          <cell r="AE44">
            <v>0</v>
          </cell>
          <cell r="AF44">
            <v>2.9305290260235647E-2</v>
          </cell>
          <cell r="AG44">
            <v>1.9154161017507442E-3</v>
          </cell>
          <cell r="AH44">
            <v>3.3468772526703675E-2</v>
          </cell>
          <cell r="AI44">
            <v>0</v>
          </cell>
          <cell r="AJ44">
            <v>1.8803019676887064E-2</v>
          </cell>
          <cell r="AK44">
            <v>1.9316835519437414E-2</v>
          </cell>
          <cell r="AL44">
            <v>1.764015761931224E-2</v>
          </cell>
          <cell r="AM44">
            <v>6.5401851721621487E-3</v>
          </cell>
          <cell r="AN44">
            <v>7.2332272918076319E-3</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row>
        <row r="45">
          <cell r="D45">
            <v>6.5152919896928028E-3</v>
          </cell>
          <cell r="E45">
            <v>1.4872901484721875E-2</v>
          </cell>
          <cell r="F45">
            <v>2.845873272500795E-2</v>
          </cell>
          <cell r="G45">
            <v>3.8435640632922978E-2</v>
          </cell>
          <cell r="H45">
            <v>5.0376827919947492E-2</v>
          </cell>
          <cell r="I45">
            <v>5.9371596138307774E-2</v>
          </cell>
          <cell r="J45">
            <v>7.2139412102519423E-2</v>
          </cell>
          <cell r="K45">
            <v>0.10685019376063119</v>
          </cell>
          <cell r="L45">
            <v>0.15301075916970408</v>
          </cell>
          <cell r="M45">
            <v>0.18934992768322956</v>
          </cell>
          <cell r="N45">
            <v>0.20113560395788646</v>
          </cell>
          <cell r="O45">
            <v>0.20997486116387915</v>
          </cell>
          <cell r="P45">
            <v>0.21739198009939656</v>
          </cell>
          <cell r="Q45">
            <v>0.22181160870239289</v>
          </cell>
          <cell r="R45">
            <v>0.22475802777105711</v>
          </cell>
          <cell r="S45">
            <v>0.22939408264736355</v>
          </cell>
          <cell r="T45">
            <v>0.24794804948959923</v>
          </cell>
          <cell r="U45">
            <v>0.28734325111819969</v>
          </cell>
          <cell r="V45">
            <v>0.31049366731586947</v>
          </cell>
          <cell r="W45">
            <v>0.37119756959338734</v>
          </cell>
          <cell r="X45">
            <v>0.38608895461754128</v>
          </cell>
          <cell r="Y45">
            <v>0.41279287785657925</v>
          </cell>
          <cell r="Z45">
            <v>0.4474678652294703</v>
          </cell>
          <cell r="AA45">
            <v>0.47514660340520876</v>
          </cell>
          <cell r="AB45">
            <v>0.52232352498334345</v>
          </cell>
          <cell r="AC45">
            <v>0.56090947004474823</v>
          </cell>
          <cell r="AD45">
            <v>0.58247926956503049</v>
          </cell>
          <cell r="AE45">
            <v>0.58247926956503049</v>
          </cell>
          <cell r="AF45">
            <v>0.61178455982526614</v>
          </cell>
          <cell r="AG45">
            <v>0.61369997592701686</v>
          </cell>
          <cell r="AH45">
            <v>0.64716874845372052</v>
          </cell>
          <cell r="AI45">
            <v>0.64716874845372052</v>
          </cell>
          <cell r="AJ45">
            <v>0.66597176813060754</v>
          </cell>
          <cell r="AK45">
            <v>0.68528860365004496</v>
          </cell>
          <cell r="AL45">
            <v>0.70292876126935722</v>
          </cell>
          <cell r="AM45">
            <v>0.70946894644151937</v>
          </cell>
          <cell r="AN45">
            <v>0.71670217373332701</v>
          </cell>
          <cell r="AO45">
            <v>0.71670217373332701</v>
          </cell>
          <cell r="AP45">
            <v>0.71670217373332701</v>
          </cell>
          <cell r="AQ45">
            <v>0.71670217373332701</v>
          </cell>
          <cell r="AR45">
            <v>0.71670217373332701</v>
          </cell>
          <cell r="AS45">
            <v>0.71670217373332701</v>
          </cell>
          <cell r="AT45">
            <v>0.71670217373332701</v>
          </cell>
          <cell r="AU45">
            <v>0.71670217373332701</v>
          </cell>
          <cell r="AV45">
            <v>0.71670217373332701</v>
          </cell>
          <cell r="AW45">
            <v>0.71670217373332701</v>
          </cell>
          <cell r="AX45">
            <v>0.71670217373332701</v>
          </cell>
          <cell r="AY45">
            <v>0.71670217373332701</v>
          </cell>
          <cell r="AZ45">
            <v>0.71670217373332701</v>
          </cell>
          <cell r="BA45">
            <v>0.71670217373332701</v>
          </cell>
          <cell r="BB45">
            <v>0.71670217373332701</v>
          </cell>
          <cell r="BC45">
            <v>0.71670217373332701</v>
          </cell>
          <cell r="BD45">
            <v>0.71670217373332701</v>
          </cell>
          <cell r="BE45">
            <v>0.71670217373332701</v>
          </cell>
          <cell r="BF45">
            <v>0.71670217373332701</v>
          </cell>
          <cell r="BG45">
            <v>0.71670217373332701</v>
          </cell>
          <cell r="BH45">
            <v>0.71670217373332701</v>
          </cell>
          <cell r="BI45">
            <v>0.71670217373332701</v>
          </cell>
          <cell r="BJ45">
            <v>0.71670217373332701</v>
          </cell>
          <cell r="BK45">
            <v>0.71670217373332701</v>
          </cell>
          <cell r="BL45">
            <v>0.71670217373332701</v>
          </cell>
          <cell r="BM45">
            <v>0.71670217373332701</v>
          </cell>
          <cell r="BN45">
            <v>0.71670217373332701</v>
          </cell>
          <cell r="BO45">
            <v>0.71670217373332701</v>
          </cell>
          <cell r="BP45">
            <v>0.71670217373332701</v>
          </cell>
          <cell r="BQ45">
            <v>0.71670217373332701</v>
          </cell>
          <cell r="BR45">
            <v>0.71670217373332701</v>
          </cell>
          <cell r="BS45">
            <v>0.71670217373332701</v>
          </cell>
          <cell r="BT45">
            <v>0.71670217373332701</v>
          </cell>
          <cell r="BU45">
            <v>0.71670217373332701</v>
          </cell>
          <cell r="BV45">
            <v>0.71670217373332701</v>
          </cell>
          <cell r="BW45">
            <v>0.71670217373332701</v>
          </cell>
          <cell r="BX45">
            <v>0.71670217373332701</v>
          </cell>
          <cell r="BY45">
            <v>0.71670217373332701</v>
          </cell>
          <cell r="BZ45">
            <v>0.71670217373332701</v>
          </cell>
          <cell r="CA45">
            <v>0.71670217373332701</v>
          </cell>
          <cell r="CB45">
            <v>0.71670217373332701</v>
          </cell>
          <cell r="CC45">
            <v>0.71670217373332701</v>
          </cell>
          <cell r="CD45">
            <v>0.71670217373332701</v>
          </cell>
          <cell r="CE45">
            <v>0.71670217373332701</v>
          </cell>
        </row>
      </sheetData>
      <sheetData sheetId="3"/>
      <sheetData sheetId="4"/>
      <sheetData sheetId="5"/>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cc"/>
      <sheetName val="steel"/>
    </sheetNames>
    <sheetDataSet>
      <sheetData sheetId="0"/>
      <sheetData sheetId="1" refreshError="1">
        <row r="8">
          <cell r="F8" t="str">
            <v>PRICES</v>
          </cell>
          <cell r="K8" t="str">
            <v>MANHOURS</v>
          </cell>
        </row>
        <row r="9">
          <cell r="B9" t="str">
            <v>ITEM</v>
          </cell>
          <cell r="C9" t="str">
            <v>D E S C R I P T I O N</v>
          </cell>
          <cell r="D9" t="str">
            <v xml:space="preserve"> U.M.</v>
          </cell>
          <cell r="E9" t="str">
            <v xml:space="preserve"> Q.TY</v>
          </cell>
          <cell r="F9" t="str">
            <v>U. P.  SUPPLY</v>
          </cell>
          <cell r="G9" t="str">
            <v>U.P. ERECTION</v>
          </cell>
          <cell r="H9" t="str">
            <v>TOT. SUPPLY</v>
          </cell>
          <cell r="I9" t="str">
            <v>TOT. ERECTION</v>
          </cell>
          <cell r="J9" t="str">
            <v>GRAND TOTAL</v>
          </cell>
          <cell r="K9" t="str">
            <v>H.  P.</v>
          </cell>
          <cell r="L9" t="str">
            <v>TOTAL</v>
          </cell>
        </row>
        <row r="10">
          <cell r="F10" t="str">
            <v>(USD/U.M.)</v>
          </cell>
          <cell r="G10" t="str">
            <v>(USD/U.M.)</v>
          </cell>
          <cell r="H10" t="str">
            <v>(USD)</v>
          </cell>
          <cell r="I10" t="str">
            <v>(USD)</v>
          </cell>
          <cell r="J10" t="str">
            <v>(USD)</v>
          </cell>
          <cell r="K10" t="str">
            <v>(U.M./h)</v>
          </cell>
          <cell r="L10" t="str">
            <v>(h)</v>
          </cell>
        </row>
        <row r="12">
          <cell r="B12" t="str">
            <v>3461.01</v>
          </cell>
          <cell r="C12" t="str">
            <v>Steel Structures Type 1 (Trestle)</v>
          </cell>
          <cell r="D12" t="str">
            <v>kg</v>
          </cell>
          <cell r="E12">
            <v>0</v>
          </cell>
        </row>
        <row r="13">
          <cell r="B13" t="str">
            <v>3463.01</v>
          </cell>
          <cell r="C13" t="str">
            <v>Steel Structures Type 2 (Pipe rack)</v>
          </cell>
          <cell r="D13" t="str">
            <v>kg</v>
          </cell>
          <cell r="E13">
            <v>21423</v>
          </cell>
        </row>
        <row r="14">
          <cell r="B14" t="str">
            <v>3462.01</v>
          </cell>
          <cell r="C14" t="str">
            <v>Steel Structures Type 2 (Structures)</v>
          </cell>
          <cell r="D14" t="str">
            <v>kg</v>
          </cell>
          <cell r="E14">
            <v>67949</v>
          </cell>
        </row>
        <row r="15">
          <cell r="B15" t="str">
            <v>3464.01</v>
          </cell>
          <cell r="C15" t="str">
            <v>Steel Structures Type 3 (Platforms)</v>
          </cell>
          <cell r="D15" t="str">
            <v>kg</v>
          </cell>
          <cell r="E15">
            <v>1307</v>
          </cell>
        </row>
        <row r="16">
          <cell r="B16" t="str">
            <v>3465.01</v>
          </cell>
          <cell r="C16" t="str">
            <v>Steel Structures Type 4 (Count.sad.)</v>
          </cell>
          <cell r="D16" t="str">
            <v>kg</v>
          </cell>
          <cell r="E16">
            <v>0</v>
          </cell>
        </row>
        <row r="17">
          <cell r="B17" t="str">
            <v>3462.61.01</v>
          </cell>
          <cell r="C17" t="str">
            <v>Handrails straight</v>
          </cell>
          <cell r="D17" t="str">
            <v>kg</v>
          </cell>
          <cell r="E17">
            <v>3279</v>
          </cell>
        </row>
        <row r="18">
          <cell r="B18" t="str">
            <v>3462.61.02</v>
          </cell>
          <cell r="C18" t="str">
            <v xml:space="preserve">Handrails for sloped stair </v>
          </cell>
          <cell r="D18" t="str">
            <v>kg</v>
          </cell>
          <cell r="E18">
            <v>251</v>
          </cell>
        </row>
        <row r="19">
          <cell r="B19" t="str">
            <v>3462.61.03</v>
          </cell>
          <cell r="C19" t="str">
            <v>Handrails circular</v>
          </cell>
          <cell r="D19" t="str">
            <v>kg</v>
          </cell>
          <cell r="E19">
            <v>361</v>
          </cell>
        </row>
        <row r="20">
          <cell r="B20" t="str">
            <v>3462.51.01</v>
          </cell>
          <cell r="C20" t="str">
            <v>Galvanized grating straight flooring</v>
          </cell>
          <cell r="D20" t="str">
            <v>kg</v>
          </cell>
          <cell r="E20">
            <v>12787</v>
          </cell>
        </row>
        <row r="21">
          <cell r="B21" t="str">
            <v>3462.51.02</v>
          </cell>
          <cell r="C21" t="str">
            <v>Galvanized grating circular flooring</v>
          </cell>
          <cell r="D21" t="str">
            <v>kg</v>
          </cell>
          <cell r="E21">
            <v>522</v>
          </cell>
        </row>
        <row r="22">
          <cell r="B22" t="str">
            <v>3462.41.01</v>
          </cell>
          <cell r="C22" t="str">
            <v>Galvanized grating stair steps</v>
          </cell>
          <cell r="D22" t="str">
            <v>kg</v>
          </cell>
          <cell r="E22">
            <v>495</v>
          </cell>
        </row>
        <row r="23">
          <cell r="B23" t="str">
            <v>3462.56.01</v>
          </cell>
          <cell r="C23" t="str">
            <v>Checkered plate straight flooring</v>
          </cell>
          <cell r="D23" t="str">
            <v>kg</v>
          </cell>
          <cell r="E23">
            <v>0</v>
          </cell>
        </row>
        <row r="24">
          <cell r="B24" t="str">
            <v>3462.56.02</v>
          </cell>
          <cell r="C24" t="str">
            <v>Corrugated steel plate for flooring</v>
          </cell>
          <cell r="D24" t="str">
            <v>kg</v>
          </cell>
          <cell r="E24">
            <v>0</v>
          </cell>
        </row>
        <row r="25">
          <cell r="B25" t="str">
            <v>3462.56.03</v>
          </cell>
          <cell r="C25" t="str">
            <v>Checkered plate circular flooring</v>
          </cell>
          <cell r="D25" t="str">
            <v>kg</v>
          </cell>
          <cell r="E25">
            <v>0</v>
          </cell>
        </row>
        <row r="26">
          <cell r="B26" t="str">
            <v>3462.41.02</v>
          </cell>
          <cell r="C26" t="str">
            <v>Checkered plate stair steps</v>
          </cell>
          <cell r="D26" t="str">
            <v>kg</v>
          </cell>
          <cell r="E26">
            <v>0</v>
          </cell>
        </row>
        <row r="27">
          <cell r="B27" t="str">
            <v>3462.66.01</v>
          </cell>
          <cell r="C27" t="str">
            <v>Ladders with safety cage</v>
          </cell>
          <cell r="D27" t="str">
            <v>kg</v>
          </cell>
          <cell r="E27">
            <v>1241</v>
          </cell>
        </row>
        <row r="28">
          <cell r="B28" t="str">
            <v>3462.66.02</v>
          </cell>
          <cell r="C28" t="str">
            <v>Ladders without safety cage</v>
          </cell>
          <cell r="D28" t="str">
            <v>kg</v>
          </cell>
          <cell r="E28">
            <v>653</v>
          </cell>
        </row>
        <row r="29">
          <cell r="B29" t="str">
            <v>3466.01.01</v>
          </cell>
          <cell r="C29" t="str">
            <v>Roofing Corr. Prep. Galv. Steel Sheet 8/10</v>
          </cell>
          <cell r="D29" t="str">
            <v>m2</v>
          </cell>
          <cell r="E29">
            <v>0</v>
          </cell>
        </row>
        <row r="30">
          <cell r="B30" t="str">
            <v>3466.06.01</v>
          </cell>
          <cell r="C30" t="str">
            <v>Roofing type Prep.Galv. Sandwich Panels</v>
          </cell>
          <cell r="D30" t="str">
            <v>m2</v>
          </cell>
          <cell r="E30">
            <v>0</v>
          </cell>
        </row>
        <row r="31">
          <cell r="B31" t="str">
            <v>3466.01.02</v>
          </cell>
          <cell r="C31" t="str">
            <v>Siding Corr. Prep. Galv. Steel Sheet 8/10</v>
          </cell>
          <cell r="D31" t="str">
            <v>m2</v>
          </cell>
          <cell r="E31">
            <v>0</v>
          </cell>
        </row>
        <row r="32">
          <cell r="B32" t="str">
            <v>3466.06.02</v>
          </cell>
          <cell r="C32" t="str">
            <v>Siding type Prep.Galv. Sandwich Panels</v>
          </cell>
          <cell r="D32" t="str">
            <v>m2</v>
          </cell>
          <cell r="E32">
            <v>0</v>
          </cell>
        </row>
        <row r="33">
          <cell r="B33" t="str">
            <v>3466.01.03</v>
          </cell>
          <cell r="C33" t="str">
            <v>Fiberglass translucid sheet</v>
          </cell>
          <cell r="D33" t="str">
            <v>m2</v>
          </cell>
          <cell r="E33">
            <v>0</v>
          </cell>
        </row>
        <row r="34">
          <cell r="B34" t="str">
            <v>3466.01.04</v>
          </cell>
          <cell r="C34" t="str">
            <v>Fiberglass translucid double sheet &amp; frame</v>
          </cell>
          <cell r="D34" t="str">
            <v>m2</v>
          </cell>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6">
          <cell r="C46" t="str">
            <v xml:space="preserve"> TOTAL</v>
          </cell>
          <cell r="D46" t="str">
            <v>kg</v>
          </cell>
          <cell r="E46">
            <v>110268</v>
          </cell>
          <cell r="F46">
            <v>0</v>
          </cell>
          <cell r="J46">
            <v>0</v>
          </cell>
          <cell r="L46">
            <v>0</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elo"/>
      <sheetName val="medelo (2)"/>
    </sheetNames>
    <sheetDataSet>
      <sheetData sheetId="0" refreshError="1">
        <row r="37">
          <cell r="D37">
            <v>60</v>
          </cell>
        </row>
        <row r="46">
          <cell r="D46">
            <v>1500</v>
          </cell>
        </row>
        <row r="63">
          <cell r="B63">
            <v>699.21328667342482</v>
          </cell>
        </row>
        <row r="66">
          <cell r="A66">
            <v>0</v>
          </cell>
        </row>
        <row r="67">
          <cell r="A67">
            <v>100</v>
          </cell>
        </row>
        <row r="68">
          <cell r="A68">
            <v>200</v>
          </cell>
        </row>
        <row r="69">
          <cell r="A69">
            <v>300</v>
          </cell>
        </row>
        <row r="70">
          <cell r="A70">
            <v>400</v>
          </cell>
        </row>
        <row r="71">
          <cell r="A71">
            <v>500</v>
          </cell>
        </row>
        <row r="72">
          <cell r="A72">
            <v>600</v>
          </cell>
        </row>
        <row r="73">
          <cell r="A73">
            <v>700</v>
          </cell>
        </row>
        <row r="74">
          <cell r="A74">
            <v>800</v>
          </cell>
        </row>
        <row r="75">
          <cell r="A75">
            <v>850.87</v>
          </cell>
        </row>
        <row r="76">
          <cell r="A76">
            <v>900</v>
          </cell>
        </row>
        <row r="77">
          <cell r="A77">
            <v>1000</v>
          </cell>
        </row>
        <row r="78">
          <cell r="A78">
            <v>1100</v>
          </cell>
        </row>
        <row r="79">
          <cell r="A79">
            <v>1200</v>
          </cell>
        </row>
        <row r="80">
          <cell r="A80">
            <v>1300</v>
          </cell>
        </row>
        <row r="81">
          <cell r="A81">
            <v>1400</v>
          </cell>
        </row>
        <row r="82">
          <cell r="A82">
            <v>1500</v>
          </cell>
        </row>
      </sheetData>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1H1"/>
      <sheetName val="FORMATO1H2"/>
      <sheetName val="FORMATO1H3"/>
      <sheetName val="FORMATO1H4"/>
      <sheetName val="Form5 _Pág_ 1"/>
      <sheetName val="Form5 _Pág_ 2"/>
      <sheetName val="Form7"/>
      <sheetName val="forma7"/>
      <sheetName val="Form9"/>
    </sheetNames>
    <sheetDataSet>
      <sheetData sheetId="0"/>
      <sheetData sheetId="1"/>
      <sheetData sheetId="2"/>
      <sheetData sheetId="3"/>
      <sheetData sheetId="4"/>
      <sheetData sheetId="5"/>
      <sheetData sheetId="6"/>
      <sheetData sheetId="7"/>
      <sheetData sheetId="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MO 01"/>
      <sheetName val="TRAMO 02"/>
      <sheetName val="TRAMO 03"/>
      <sheetName val="TRAMO 04"/>
      <sheetName val="TRAMO 05-1"/>
      <sheetName val="TRAMO 05-2"/>
      <sheetName val="TRAMO 06"/>
      <sheetName val="CANTIDADES SEÑALIZACIÓN"/>
      <sheetName val="Hoja1"/>
      <sheetName val="Presup LA MESA - MESITAS"/>
      <sheetName val="CANTIDADES HIDRÁULICAS"/>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G4">
            <v>13300</v>
          </cell>
        </row>
      </sheetData>
      <sheetData sheetId="8" refreshError="1"/>
      <sheetData sheetId="9" refreshError="1"/>
      <sheetData sheetId="10" refreshError="1"/>
      <sheetData sheetId="1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 DISEÑO"/>
      <sheetName val="cbr granulares"/>
      <sheetName val="ESTRUCTURAS EXISTENTES"/>
      <sheetName val="SECTORIZACIÓN"/>
      <sheetName val="AASHTO CALZ EXISTENTE"/>
      <sheetName val="AASHTO AMPLIACIONES"/>
      <sheetName val="REPORTE"/>
      <sheetName val="TRÁNSITO"/>
      <sheetName val="Sheet1"/>
      <sheetName val="ITEMS"/>
      <sheetName val="I.D"/>
      <sheetName val="EQPO"/>
      <sheetName val="INSUMOS"/>
      <sheetName val="TRANSPORTES"/>
      <sheetName val="SALARIOS"/>
    </sheetNames>
    <sheetDataSet>
      <sheetData sheetId="0"/>
      <sheetData sheetId="1"/>
      <sheetData sheetId="2"/>
      <sheetData sheetId="3">
        <row r="12">
          <cell r="A12" t="str">
            <v>INICIO</v>
          </cell>
          <cell r="C12" t="str">
            <v>CBR PER 85</v>
          </cell>
          <cell r="D12" t="str">
            <v>ESPESOR REMANENTE</v>
          </cell>
          <cell r="E12" t="str">
            <v>CBR MEDIA GRAN</v>
          </cell>
          <cell r="F12" t="str">
            <v>CBR MEJORAMIENTO</v>
          </cell>
          <cell r="G12" t="str">
            <v>ESPESOR MEJORAMIENTO cm</v>
          </cell>
        </row>
        <row r="13">
          <cell r="A13">
            <v>0</v>
          </cell>
          <cell r="C13">
            <v>25.75</v>
          </cell>
          <cell r="D13">
            <v>42.714285714285715</v>
          </cell>
          <cell r="E13">
            <v>27.5</v>
          </cell>
          <cell r="F13">
            <v>10</v>
          </cell>
          <cell r="G13">
            <v>40</v>
          </cell>
        </row>
        <row r="14">
          <cell r="A14">
            <v>1625</v>
          </cell>
          <cell r="C14">
            <v>12.2</v>
          </cell>
          <cell r="D14">
            <v>54</v>
          </cell>
          <cell r="E14">
            <v>15</v>
          </cell>
          <cell r="F14">
            <v>10</v>
          </cell>
          <cell r="G14">
            <v>40</v>
          </cell>
        </row>
        <row r="15">
          <cell r="A15">
            <v>2875</v>
          </cell>
          <cell r="C15">
            <v>18.8</v>
          </cell>
          <cell r="D15">
            <v>51.652173913043477</v>
          </cell>
          <cell r="E15">
            <v>28.688888888888886</v>
          </cell>
          <cell r="F15">
            <v>10</v>
          </cell>
          <cell r="G15">
            <v>40</v>
          </cell>
        </row>
        <row r="16">
          <cell r="A16">
            <v>8625</v>
          </cell>
          <cell r="C16">
            <v>10.4</v>
          </cell>
          <cell r="D16">
            <v>118.22222222222223</v>
          </cell>
          <cell r="E16">
            <v>24.28</v>
          </cell>
          <cell r="F16">
            <v>10</v>
          </cell>
          <cell r="G16">
            <v>40</v>
          </cell>
        </row>
        <row r="17">
          <cell r="A17">
            <v>10875</v>
          </cell>
          <cell r="C17">
            <v>18</v>
          </cell>
          <cell r="D17">
            <v>35.714285714285715</v>
          </cell>
          <cell r="E17">
            <v>18</v>
          </cell>
          <cell r="F17">
            <v>10</v>
          </cell>
          <cell r="G17">
            <v>40</v>
          </cell>
        </row>
        <row r="18">
          <cell r="A18">
            <v>12625</v>
          </cell>
          <cell r="C18">
            <v>19.8</v>
          </cell>
          <cell r="D18">
            <v>49.375</v>
          </cell>
          <cell r="E18">
            <v>22.5</v>
          </cell>
          <cell r="F18">
            <v>10</v>
          </cell>
          <cell r="G18">
            <v>40</v>
          </cell>
        </row>
        <row r="19">
          <cell r="A19">
            <v>14625</v>
          </cell>
          <cell r="C19">
            <v>10.6</v>
          </cell>
          <cell r="D19">
            <v>61.5</v>
          </cell>
          <cell r="E19">
            <v>12</v>
          </cell>
          <cell r="F19">
            <v>10</v>
          </cell>
          <cell r="G19">
            <v>40</v>
          </cell>
        </row>
        <row r="20">
          <cell r="A20">
            <v>15625</v>
          </cell>
          <cell r="C20">
            <v>17.649999999999999</v>
          </cell>
          <cell r="D20">
            <v>58.6</v>
          </cell>
          <cell r="E20">
            <v>18.833333333333332</v>
          </cell>
          <cell r="F20">
            <v>10</v>
          </cell>
          <cell r="G20">
            <v>40</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alizar"/>
      <sheetName val="AutoOpen Stub Data"/>
      <sheetName val="Factura13"/>
      <sheetName val="Form5 _Pág_ 1"/>
      <sheetName val="Form5 _Pág_ 2"/>
    </sheetNames>
    <definedNames>
      <definedName name="Customize"/>
      <definedName name="FareWellStmnt"/>
      <definedName name="FinePrint"/>
      <definedName name="INV_Payments"/>
      <definedName name="Nada"/>
    </definedNames>
    <sheetDataSet>
      <sheetData sheetId="0">
        <row r="15">
          <cell r="E15" t="str">
            <v>CUNDINAMARCA</v>
          </cell>
        </row>
        <row r="22">
          <cell r="E22" t="str">
            <v>estatal</v>
          </cell>
          <cell r="G22" t="str">
            <v>Tarjeta 1</v>
          </cell>
        </row>
        <row r="23">
          <cell r="E23">
            <v>0.05</v>
          </cell>
          <cell r="G23" t="str">
            <v>Tarjeta 2</v>
          </cell>
        </row>
        <row r="24">
          <cell r="D24" t="b">
            <v>0</v>
          </cell>
          <cell r="G24" t="str">
            <v>Tarjeta 3</v>
          </cell>
        </row>
        <row r="27">
          <cell r="G27">
            <v>7</v>
          </cell>
        </row>
        <row r="28">
          <cell r="D28" t="b">
            <v>0</v>
          </cell>
        </row>
      </sheetData>
      <sheetData sheetId="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U PART"/>
      <sheetName val="A. P. U."/>
      <sheetName val="Listado"/>
      <sheetName val="PPTOS"/>
      <sheetName val="Borrable"/>
      <sheetName val="Análisis de precios"/>
      <sheetName val="Analisis de Precios Unitarios A"/>
      <sheetName val="INDICMICROEMP"/>
      <sheetName val="Analisis%20de%20Precios%20Unita"/>
      <sheetName val="ESTADO RED"/>
      <sheetName val="CARRETERAS"/>
      <sheetName val="GENERALIDADES "/>
      <sheetName val="APU_PART1"/>
      <sheetName val="A__P__U_1"/>
      <sheetName val="Analisis_de_Precios_Unitarios_1"/>
      <sheetName val="APU_PART"/>
      <sheetName val="A__P__U_"/>
      <sheetName val="Analisis_de_Precios_Unitarios_A"/>
      <sheetName val="A_ P_ U_"/>
      <sheetName val="INDICE"/>
      <sheetName val="Puntajes"/>
      <sheetName val="TOTCAPIT"/>
      <sheetName val="JORNABAS"/>
      <sheetName val="MATERIALES"/>
      <sheetName val="TOTCUADEQ"/>
      <sheetName val="TOTCUADMO"/>
      <sheetName val="Anexo No. 5"/>
      <sheetName val="5094-2003"/>
      <sheetName val="FINANCIERA"/>
      <sheetName val="DATOS"/>
      <sheetName val="PREACTA"/>
      <sheetName val="ESTADO VÍA-CRIT.TECNICO"/>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1 (2)"/>
      <sheetName val="Hoja4"/>
      <sheetName val="Hoja4 (2)"/>
      <sheetName val="Hoja4 (3)"/>
      <sheetName val="Hoja2"/>
      <sheetName val="Hoja3"/>
      <sheetName val="Hoja1_(2)"/>
      <sheetName val="Hoja4_(2)"/>
      <sheetName val="Hoja4_(3)"/>
      <sheetName val="5094-2003"/>
      <sheetName val="AIU"/>
      <sheetName val="A. P. U."/>
    </sheetNames>
    <sheetDataSet>
      <sheetData sheetId="0" refreshError="1">
        <row r="60">
          <cell r="F60">
            <v>80591.125</v>
          </cell>
        </row>
        <row r="81">
          <cell r="C81">
            <v>1030017.2290000001</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
      <sheetName val="Datos"/>
      <sheetName val="Presup"/>
      <sheetName val="Unitarios"/>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s>
    <sheetDataSet>
      <sheetData sheetId="0"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resup"/>
      <sheetName val="Unitarios"/>
      <sheetName val="Insum"/>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 val="Accidentalidad"/>
      <sheetName val="Causa Posible"/>
      <sheetName val="Elementos Involucrados"/>
    </sheetNames>
    <sheetDataSet>
      <sheetData sheetId="0" refreshError="1"/>
      <sheetData sheetId="1" refreshError="1"/>
      <sheetData sheetId="2" refreshError="1"/>
      <sheetData sheetId="3"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Datos"/>
      <sheetName val="Constantes"/>
      <sheetName val="salarios"/>
      <sheetName val="Hoja5"/>
      <sheetName val="Hoja6"/>
      <sheetName val="Hoja7"/>
      <sheetName val="Hoja8"/>
      <sheetName val="Hoja9"/>
      <sheetName val="Hoja10"/>
      <sheetName val="Hoja11"/>
      <sheetName val="Hoja12"/>
      <sheetName val="Hoja13"/>
      <sheetName val="Hoja14"/>
      <sheetName val="Hoja15"/>
      <sheetName val="Hoja16"/>
      <sheetName val="Módulo1"/>
      <sheetName val="Módulo2"/>
    </sheetNames>
    <sheetDataSet>
      <sheetData sheetId="0"/>
      <sheetData sheetId="1"/>
      <sheetData sheetId="2"/>
      <sheetData sheetId="3">
        <row r="7">
          <cell r="D7">
            <v>0</v>
          </cell>
        </row>
        <row r="8">
          <cell r="D8">
            <v>0</v>
          </cell>
        </row>
        <row r="9">
          <cell r="D9">
            <v>0</v>
          </cell>
        </row>
        <row r="12">
          <cell r="D12">
            <v>0</v>
          </cell>
        </row>
        <row r="14">
          <cell r="D14">
            <v>30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sheetData sheetId="2"/>
      <sheetData sheetId="3" refreshError="1">
        <row r="13">
          <cell r="G13" t="str">
            <v>02-30513-324240-2003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O (2)"/>
      <sheetName val="Tablas"/>
      <sheetName val="CCDO"/>
      <sheetName val="RRHH"/>
      <sheetName val="HrsP"/>
      <sheetName val="HSE"/>
      <sheetName val="IDO"/>
      <sheetName val="ISO"/>
      <sheetName val="AVP"/>
      <sheetName val="ACTA"/>
      <sheetName val="PENDIENTES X COBRAR"/>
      <sheetName val="BITACORA"/>
      <sheetName val="UTILI-FRENTE"/>
      <sheetName val="ABIMAELXPAGAR"/>
      <sheetName val="INCLUYO_EDUIN"/>
      <sheetName val="AVP (2)"/>
      <sheetName val="Hoja1"/>
      <sheetName val="PROYECCION"/>
      <sheetName val="CUADRO DE CANTIDADES"/>
      <sheetName val="ACTA_2"/>
      <sheetName val="AJUSTE CANTIDADES"/>
      <sheetName val="PROYECCIONES"/>
      <sheetName val="HOMOLOGACION DE CANTIDADES"/>
    </sheetNames>
    <sheetDataSet>
      <sheetData sheetId="0"/>
      <sheetData sheetId="1">
        <row r="1">
          <cell r="B1" t="str">
            <v>FECHA</v>
          </cell>
          <cell r="C1" t="str">
            <v>POZO</v>
          </cell>
          <cell r="H1" t="str">
            <v>INTENDENCIA</v>
          </cell>
        </row>
        <row r="2">
          <cell r="A2" t="str">
            <v>COSTO HH</v>
          </cell>
          <cell r="B2">
            <v>39326</v>
          </cell>
          <cell r="C2" t="str">
            <v>BONANZA_28</v>
          </cell>
          <cell r="H2" t="str">
            <v>SMA</v>
          </cell>
        </row>
        <row r="3">
          <cell r="A3" t="str">
            <v>COSTO_PRESUPUESTO</v>
          </cell>
          <cell r="B3">
            <v>39327</v>
          </cell>
          <cell r="C3" t="str">
            <v>BONANZA_29</v>
          </cell>
          <cell r="H3" t="str">
            <v>SMA</v>
          </cell>
        </row>
        <row r="4">
          <cell r="B4">
            <v>39328</v>
          </cell>
          <cell r="C4" t="str">
            <v>BONANZA_30</v>
          </cell>
          <cell r="H4" t="str">
            <v>SMA</v>
          </cell>
        </row>
        <row r="5">
          <cell r="B5">
            <v>39329</v>
          </cell>
          <cell r="C5" t="str">
            <v>BONANZA_31</v>
          </cell>
          <cell r="H5" t="str">
            <v>SMA</v>
          </cell>
        </row>
        <row r="6">
          <cell r="B6">
            <v>39330</v>
          </cell>
          <cell r="C6" t="str">
            <v>BONANZA_MANIFOLD</v>
          </cell>
          <cell r="H6" t="str">
            <v>SMA</v>
          </cell>
        </row>
        <row r="7">
          <cell r="B7">
            <v>39330</v>
          </cell>
          <cell r="C7" t="str">
            <v>BONANZA_XXX</v>
          </cell>
        </row>
        <row r="8">
          <cell r="B8">
            <v>39330</v>
          </cell>
          <cell r="C8" t="str">
            <v>BONANZA_YYY</v>
          </cell>
        </row>
        <row r="9">
          <cell r="B9">
            <v>39331</v>
          </cell>
          <cell r="C9" t="str">
            <v>CARDALES_1N</v>
          </cell>
          <cell r="H9" t="str">
            <v>SMA</v>
          </cell>
        </row>
        <row r="10">
          <cell r="B10">
            <v>39332</v>
          </cell>
          <cell r="C10" t="str">
            <v>CASABE_1060</v>
          </cell>
          <cell r="H10" t="str">
            <v>SAR</v>
          </cell>
        </row>
        <row r="11">
          <cell r="B11">
            <v>39333</v>
          </cell>
          <cell r="C11" t="str">
            <v>CASABE_1068</v>
          </cell>
          <cell r="H11" t="str">
            <v>SAR</v>
          </cell>
        </row>
        <row r="12">
          <cell r="B12">
            <v>39334</v>
          </cell>
          <cell r="C12" t="str">
            <v>CASABE_1069</v>
          </cell>
          <cell r="H12" t="str">
            <v>SAR</v>
          </cell>
        </row>
        <row r="13">
          <cell r="B13">
            <v>39335</v>
          </cell>
          <cell r="C13" t="str">
            <v>CASABE_1072</v>
          </cell>
          <cell r="H13" t="str">
            <v>SAR</v>
          </cell>
        </row>
        <row r="14">
          <cell r="B14">
            <v>39336</v>
          </cell>
          <cell r="C14" t="str">
            <v>CASABE_1073</v>
          </cell>
          <cell r="H14" t="str">
            <v>SAR</v>
          </cell>
        </row>
        <row r="15">
          <cell r="B15">
            <v>39337</v>
          </cell>
          <cell r="C15" t="str">
            <v>CASABE_1200</v>
          </cell>
          <cell r="H15" t="str">
            <v>SAR</v>
          </cell>
        </row>
        <row r="16">
          <cell r="B16">
            <v>39338</v>
          </cell>
          <cell r="C16" t="str">
            <v>CASABE_1204</v>
          </cell>
          <cell r="H16" t="str">
            <v>SAR</v>
          </cell>
        </row>
        <row r="17">
          <cell r="B17">
            <v>39339</v>
          </cell>
          <cell r="C17" t="str">
            <v>CASABE_1206</v>
          </cell>
          <cell r="H17" t="str">
            <v>SAR</v>
          </cell>
        </row>
        <row r="18">
          <cell r="B18">
            <v>39340</v>
          </cell>
          <cell r="C18" t="str">
            <v>CASABE_1208</v>
          </cell>
          <cell r="H18" t="str">
            <v>SAR</v>
          </cell>
        </row>
        <row r="19">
          <cell r="B19">
            <v>39341</v>
          </cell>
          <cell r="C19" t="str">
            <v>CASABE_1209</v>
          </cell>
          <cell r="H19" t="str">
            <v>SAR</v>
          </cell>
        </row>
        <row r="20">
          <cell r="B20">
            <v>39342</v>
          </cell>
          <cell r="C20" t="str">
            <v>CASABE_1210</v>
          </cell>
          <cell r="H20" t="str">
            <v>SAR</v>
          </cell>
        </row>
        <row r="21">
          <cell r="B21">
            <v>39343</v>
          </cell>
          <cell r="C21" t="str">
            <v>CASABE_1212</v>
          </cell>
          <cell r="H21" t="str">
            <v>SAR</v>
          </cell>
        </row>
        <row r="22">
          <cell r="B22">
            <v>39344</v>
          </cell>
          <cell r="C22" t="str">
            <v>CASABE_1213</v>
          </cell>
          <cell r="H22" t="str">
            <v>SAR</v>
          </cell>
        </row>
        <row r="23">
          <cell r="B23">
            <v>39345</v>
          </cell>
          <cell r="C23" t="str">
            <v>CASABE_1214</v>
          </cell>
          <cell r="H23" t="str">
            <v>SAR</v>
          </cell>
        </row>
        <row r="24">
          <cell r="B24">
            <v>39346</v>
          </cell>
          <cell r="C24" t="str">
            <v>CASABE_1215</v>
          </cell>
          <cell r="H24" t="str">
            <v>SAR</v>
          </cell>
        </row>
        <row r="25">
          <cell r="B25">
            <v>39347</v>
          </cell>
          <cell r="C25" t="str">
            <v>CASABE_1223</v>
          </cell>
          <cell r="H25" t="str">
            <v>SAR</v>
          </cell>
        </row>
        <row r="26">
          <cell r="B26">
            <v>39348</v>
          </cell>
          <cell r="C26" t="str">
            <v>CASABE_FACILIDAD</v>
          </cell>
          <cell r="H26" t="str">
            <v>SAR</v>
          </cell>
        </row>
        <row r="27">
          <cell r="B27">
            <v>39349</v>
          </cell>
          <cell r="C27" t="str">
            <v>MULTIPLE DE INYECCION ZONA_5</v>
          </cell>
          <cell r="H27" t="str">
            <v>SAR</v>
          </cell>
        </row>
        <row r="28">
          <cell r="B28">
            <v>39350</v>
          </cell>
          <cell r="C28" t="str">
            <v>GALA_13</v>
          </cell>
          <cell r="H28" t="str">
            <v>SMA</v>
          </cell>
        </row>
        <row r="29">
          <cell r="B29">
            <v>39351</v>
          </cell>
          <cell r="C29" t="str">
            <v>GALAN_118</v>
          </cell>
          <cell r="H29" t="str">
            <v>SMA</v>
          </cell>
        </row>
        <row r="30">
          <cell r="B30">
            <v>39352</v>
          </cell>
          <cell r="C30" t="str">
            <v>GALAN_125</v>
          </cell>
          <cell r="H30" t="str">
            <v>SMA</v>
          </cell>
        </row>
        <row r="31">
          <cell r="B31">
            <v>39353</v>
          </cell>
          <cell r="C31" t="str">
            <v>GALAN_133</v>
          </cell>
          <cell r="H31" t="str">
            <v>SMA</v>
          </cell>
        </row>
        <row r="32">
          <cell r="B32">
            <v>39354</v>
          </cell>
          <cell r="C32" t="str">
            <v>GALAN_134</v>
          </cell>
          <cell r="H32" t="str">
            <v>SMA</v>
          </cell>
        </row>
        <row r="33">
          <cell r="B33">
            <v>39355</v>
          </cell>
          <cell r="C33" t="str">
            <v>GALAN_135</v>
          </cell>
          <cell r="H33" t="str">
            <v>SMA</v>
          </cell>
        </row>
        <row r="34">
          <cell r="B34">
            <v>39356</v>
          </cell>
          <cell r="C34" t="str">
            <v>GALAN_69</v>
          </cell>
          <cell r="H34" t="str">
            <v>SMA</v>
          </cell>
        </row>
        <row r="35">
          <cell r="B35">
            <v>39358</v>
          </cell>
          <cell r="C35" t="str">
            <v>LISAMA_158</v>
          </cell>
          <cell r="H35" t="str">
            <v>SMA</v>
          </cell>
        </row>
        <row r="36">
          <cell r="B36">
            <v>39359</v>
          </cell>
          <cell r="C36" t="str">
            <v>LISAMA_159</v>
          </cell>
          <cell r="H36" t="str">
            <v>SMA</v>
          </cell>
        </row>
        <row r="37">
          <cell r="B37">
            <v>39360</v>
          </cell>
          <cell r="C37" t="str">
            <v>LISAMA_1N</v>
          </cell>
          <cell r="H37" t="str">
            <v>SMA</v>
          </cell>
        </row>
        <row r="38">
          <cell r="B38">
            <v>39361</v>
          </cell>
          <cell r="C38" t="str">
            <v>LLANITO_107</v>
          </cell>
          <cell r="H38" t="str">
            <v>SMA</v>
          </cell>
        </row>
        <row r="39">
          <cell r="B39">
            <v>39362</v>
          </cell>
          <cell r="C39" t="str">
            <v>LLANITO_113</v>
          </cell>
          <cell r="H39" t="str">
            <v>SMA</v>
          </cell>
        </row>
        <row r="40">
          <cell r="B40">
            <v>39363</v>
          </cell>
          <cell r="C40" t="str">
            <v>LLANITO_114</v>
          </cell>
          <cell r="H40" t="str">
            <v>SMA</v>
          </cell>
        </row>
        <row r="41">
          <cell r="B41">
            <v>39364</v>
          </cell>
          <cell r="C41" t="str">
            <v>LLANITO_117</v>
          </cell>
          <cell r="H41" t="str">
            <v>SMA</v>
          </cell>
        </row>
        <row r="42">
          <cell r="B42">
            <v>39365</v>
          </cell>
          <cell r="C42" t="str">
            <v>LLANITO_MANIFOLD</v>
          </cell>
          <cell r="H42" t="str">
            <v>SMA</v>
          </cell>
        </row>
        <row r="43">
          <cell r="B43">
            <v>39366</v>
          </cell>
          <cell r="C43" t="str">
            <v>NUTRIA_35</v>
          </cell>
          <cell r="H43" t="str">
            <v>SMA</v>
          </cell>
        </row>
        <row r="44">
          <cell r="B44">
            <v>39367</v>
          </cell>
          <cell r="C44" t="str">
            <v>NUTRIA_30</v>
          </cell>
          <cell r="H44" t="str">
            <v>SMA</v>
          </cell>
        </row>
        <row r="45">
          <cell r="B45">
            <v>39368</v>
          </cell>
          <cell r="C45" t="str">
            <v>NUTRIA_32</v>
          </cell>
          <cell r="H45" t="str">
            <v>SMA</v>
          </cell>
        </row>
        <row r="46">
          <cell r="B46">
            <v>39369</v>
          </cell>
          <cell r="C46" t="str">
            <v>NUTRIA_33</v>
          </cell>
        </row>
        <row r="47">
          <cell r="B47">
            <v>39370</v>
          </cell>
          <cell r="C47" t="str">
            <v>NUTRIA_MANIFOLD_TESORO_40</v>
          </cell>
          <cell r="H47" t="str">
            <v>SMA</v>
          </cell>
        </row>
        <row r="48">
          <cell r="B48">
            <v>39370</v>
          </cell>
          <cell r="C48" t="str">
            <v>NUTRIA_MANIFOLD_23R</v>
          </cell>
          <cell r="H48" t="str">
            <v>SMA</v>
          </cell>
        </row>
        <row r="49">
          <cell r="B49">
            <v>39371</v>
          </cell>
          <cell r="C49" t="str">
            <v>SAN_ROQUE_3</v>
          </cell>
          <cell r="H49" t="str">
            <v>SMA</v>
          </cell>
        </row>
        <row r="50">
          <cell r="B50">
            <v>39372</v>
          </cell>
          <cell r="C50" t="str">
            <v>TESORO_40</v>
          </cell>
          <cell r="H50" t="str">
            <v>SMA</v>
          </cell>
        </row>
        <row r="51">
          <cell r="B51">
            <v>39373</v>
          </cell>
          <cell r="C51" t="str">
            <v>TISQUIRAMA_6</v>
          </cell>
          <cell r="H51" t="str">
            <v>SMA</v>
          </cell>
        </row>
        <row r="52">
          <cell r="B52">
            <v>39374</v>
          </cell>
          <cell r="C52" t="str">
            <v>TISQUIRAMA_7</v>
          </cell>
          <cell r="H52" t="str">
            <v>SMA</v>
          </cell>
        </row>
        <row r="53">
          <cell r="B53">
            <v>39377</v>
          </cell>
          <cell r="C53" t="str">
            <v>YARIGUIES_104</v>
          </cell>
          <cell r="H53" t="str">
            <v>SAR</v>
          </cell>
        </row>
        <row r="54">
          <cell r="B54">
            <v>39378</v>
          </cell>
          <cell r="C54" t="str">
            <v>YARIGUIES_104</v>
          </cell>
        </row>
        <row r="55">
          <cell r="B55">
            <v>39380</v>
          </cell>
          <cell r="C55" t="str">
            <v>CASABE_385</v>
          </cell>
          <cell r="H55" t="str">
            <v>SAR</v>
          </cell>
        </row>
        <row r="56">
          <cell r="B56">
            <v>39382</v>
          </cell>
          <cell r="C56" t="str">
            <v>ISLA_4</v>
          </cell>
          <cell r="H56" t="str">
            <v>SAR</v>
          </cell>
        </row>
        <row r="57">
          <cell r="B57">
            <v>39383</v>
          </cell>
          <cell r="C57" t="str">
            <v>TESORO_41</v>
          </cell>
          <cell r="H57" t="str">
            <v>SMA</v>
          </cell>
        </row>
        <row r="58">
          <cell r="B58">
            <v>39384</v>
          </cell>
          <cell r="C58" t="str">
            <v>CASABE_1207</v>
          </cell>
          <cell r="H58" t="str">
            <v>SAR</v>
          </cell>
        </row>
        <row r="59">
          <cell r="B59">
            <v>39384</v>
          </cell>
          <cell r="C59" t="str">
            <v>CASABE_CV4_E3</v>
          </cell>
          <cell r="H59" t="str">
            <v>SAR</v>
          </cell>
        </row>
        <row r="60">
          <cell r="B60">
            <v>39386</v>
          </cell>
          <cell r="C60" t="str">
            <v>CASABE_CV4_E4</v>
          </cell>
          <cell r="H60" t="str">
            <v>SAR</v>
          </cell>
        </row>
        <row r="61">
          <cell r="B61">
            <v>39390</v>
          </cell>
          <cell r="C61" t="str">
            <v>YARIQUIES_503</v>
          </cell>
          <cell r="H61" t="str">
            <v>SAR</v>
          </cell>
        </row>
        <row r="62">
          <cell r="B62">
            <v>39391</v>
          </cell>
          <cell r="C62" t="str">
            <v>YARIQUIES_504</v>
          </cell>
          <cell r="H62" t="str">
            <v>SAR</v>
          </cell>
        </row>
        <row r="63">
          <cell r="B63">
            <v>39348</v>
          </cell>
          <cell r="C63" t="str">
            <v>CASABE_1218</v>
          </cell>
          <cell r="H63" t="str">
            <v>SAR</v>
          </cell>
        </row>
        <row r="64">
          <cell r="B64">
            <v>39349</v>
          </cell>
          <cell r="C64" t="str">
            <v>CASABE_1220</v>
          </cell>
          <cell r="H64" t="str">
            <v>SAR</v>
          </cell>
        </row>
        <row r="65">
          <cell r="B65">
            <v>39356</v>
          </cell>
          <cell r="C65" t="str">
            <v>GALA_8</v>
          </cell>
          <cell r="H65" t="str">
            <v>SMA</v>
          </cell>
        </row>
        <row r="66">
          <cell r="B66">
            <v>39392</v>
          </cell>
          <cell r="C66" t="str">
            <v>LISAMA_146</v>
          </cell>
          <cell r="H66" t="str">
            <v>SMA</v>
          </cell>
        </row>
        <row r="67">
          <cell r="B67">
            <v>39393</v>
          </cell>
          <cell r="C67" t="str">
            <v>CASABE_1067</v>
          </cell>
          <cell r="H67" t="str">
            <v>SAR</v>
          </cell>
        </row>
        <row r="68">
          <cell r="B68">
            <v>39394</v>
          </cell>
          <cell r="C68" t="str">
            <v>CASABE_731</v>
          </cell>
          <cell r="H68" t="str">
            <v>SAR</v>
          </cell>
        </row>
        <row r="69">
          <cell r="B69">
            <v>39395</v>
          </cell>
          <cell r="C69" t="str">
            <v>CASABE_571</v>
          </cell>
          <cell r="H69" t="str">
            <v>SAR</v>
          </cell>
        </row>
        <row r="70">
          <cell r="B70">
            <v>39396</v>
          </cell>
          <cell r="C70" t="str">
            <v>CASABE_794</v>
          </cell>
          <cell r="H70" t="str">
            <v>SAR</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2"/>
      <sheetData sheetId="3"/>
      <sheetData sheetId="4"/>
      <sheetData sheetId="5"/>
      <sheetData sheetId="6"/>
      <sheetData sheetId="7"/>
      <sheetData sheetId="8"/>
      <sheetData sheetId="9"/>
      <sheetData sheetId="10"/>
      <sheetData sheetId="11">
        <row r="1">
          <cell r="E1" t="str">
            <v>VALOR TOTAL</v>
          </cell>
        </row>
        <row r="2">
          <cell r="E2">
            <v>1716000</v>
          </cell>
        </row>
        <row r="3">
          <cell r="E3">
            <v>1144000</v>
          </cell>
        </row>
        <row r="4">
          <cell r="E4">
            <v>1716000</v>
          </cell>
        </row>
        <row r="5">
          <cell r="E5">
            <v>1716000</v>
          </cell>
        </row>
        <row r="6">
          <cell r="E6">
            <v>0</v>
          </cell>
        </row>
        <row r="7">
          <cell r="E7">
            <v>1716000</v>
          </cell>
        </row>
        <row r="8">
          <cell r="E8">
            <v>381333.33333333331</v>
          </cell>
        </row>
        <row r="9">
          <cell r="E9">
            <v>236888.88888888888</v>
          </cell>
        </row>
        <row r="10">
          <cell r="E10">
            <v>1066000</v>
          </cell>
        </row>
        <row r="11">
          <cell r="E11">
            <v>1066000</v>
          </cell>
        </row>
        <row r="12">
          <cell r="E12">
            <v>533000</v>
          </cell>
        </row>
        <row r="13">
          <cell r="E13">
            <v>592222.22222222225</v>
          </cell>
        </row>
        <row r="14">
          <cell r="E14">
            <v>355333.33333333331</v>
          </cell>
        </row>
        <row r="15">
          <cell r="E15">
            <v>1066000</v>
          </cell>
        </row>
        <row r="16">
          <cell r="E16">
            <v>1066000</v>
          </cell>
        </row>
        <row r="17">
          <cell r="E17">
            <v>1066000</v>
          </cell>
        </row>
        <row r="18">
          <cell r="E18">
            <v>1066000</v>
          </cell>
        </row>
        <row r="19">
          <cell r="E19">
            <v>1066000</v>
          </cell>
        </row>
        <row r="20">
          <cell r="E20">
            <v>1066000</v>
          </cell>
        </row>
        <row r="21">
          <cell r="E21">
            <v>1066000</v>
          </cell>
        </row>
        <row r="22">
          <cell r="E22">
            <v>1066000</v>
          </cell>
        </row>
        <row r="23">
          <cell r="E23">
            <v>1066000</v>
          </cell>
        </row>
        <row r="24">
          <cell r="E24">
            <v>1066000</v>
          </cell>
        </row>
        <row r="25">
          <cell r="E25">
            <v>1066000</v>
          </cell>
        </row>
        <row r="26">
          <cell r="E26">
            <v>1066000</v>
          </cell>
        </row>
        <row r="27">
          <cell r="E27">
            <v>1066000</v>
          </cell>
        </row>
        <row r="28">
          <cell r="E28">
            <v>1066000</v>
          </cell>
        </row>
        <row r="29">
          <cell r="E29">
            <v>1066000</v>
          </cell>
        </row>
        <row r="30">
          <cell r="E30">
            <v>1066000</v>
          </cell>
        </row>
        <row r="31">
          <cell r="E31">
            <v>1066000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Insum"/>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v_roma"/>
      <sheetName val="steel_roma"/>
      <sheetName val="tub_suma"/>
      <sheetName val="PRES"/>
      <sheetName val="ele"/>
      <sheetName val="inst_N"/>
      <sheetName val="pres_CMD"/>
      <sheetName val="oocc"/>
      <sheetName val="mont_mec"/>
      <sheetName val="desm_mec"/>
    </sheetNames>
    <sheetDataSet>
      <sheetData sheetId="0" refreshError="1">
        <row r="9">
          <cell r="C9" t="str">
            <v>ITEM</v>
          </cell>
          <cell r="F9" t="str">
            <v>|</v>
          </cell>
        </row>
        <row r="10">
          <cell r="D10" t="str">
            <v>EARTH MOVING</v>
          </cell>
          <cell r="F10" t="str">
            <v>|</v>
          </cell>
        </row>
        <row r="11">
          <cell r="F11" t="str">
            <v>|</v>
          </cell>
        </row>
        <row r="12">
          <cell r="C12">
            <v>2110.0100000000002</v>
          </cell>
          <cell r="D12" t="str">
            <v>Soil scrubbing 15 cm thick</v>
          </cell>
          <cell r="E12" t="str">
            <v>sqm</v>
          </cell>
          <cell r="F12" t="str">
            <v>|</v>
          </cell>
          <cell r="G12">
            <v>0</v>
          </cell>
        </row>
        <row r="13">
          <cell r="C13">
            <v>2111.0100000000002</v>
          </cell>
          <cell r="D13" t="str">
            <v>Soil general excavation</v>
          </cell>
          <cell r="E13" t="str">
            <v>cum</v>
          </cell>
          <cell r="F13" t="str">
            <v>|</v>
          </cell>
          <cell r="G13">
            <v>0</v>
          </cell>
        </row>
        <row r="14">
          <cell r="C14">
            <v>2113.1</v>
          </cell>
          <cell r="D14" t="str">
            <v>Gen.embankment w/matl from exc</v>
          </cell>
          <cell r="E14" t="str">
            <v>cum</v>
          </cell>
          <cell r="F14" t="str">
            <v>|</v>
          </cell>
          <cell r="G14">
            <v>0</v>
          </cell>
        </row>
        <row r="15">
          <cell r="C15">
            <v>2113.11</v>
          </cell>
          <cell r="D15" t="str">
            <v>Gen.embankment w/matl by contr</v>
          </cell>
          <cell r="E15" t="str">
            <v>cum</v>
          </cell>
          <cell r="F15" t="str">
            <v>|</v>
          </cell>
          <cell r="G15">
            <v>0</v>
          </cell>
        </row>
        <row r="16">
          <cell r="C16">
            <v>2199.02</v>
          </cell>
          <cell r="D16" t="str">
            <v>Exist. Binder &amp; W.course scarifying</v>
          </cell>
          <cell r="E16" t="str">
            <v>sqm</v>
          </cell>
          <cell r="F16" t="str">
            <v>|</v>
          </cell>
          <cell r="G16">
            <v>0</v>
          </cell>
        </row>
        <row r="17">
          <cell r="F17" t="str">
            <v>|</v>
          </cell>
        </row>
        <row r="18">
          <cell r="D18" t="str">
            <v>Total Earth Moving</v>
          </cell>
          <cell r="E18" t="str">
            <v>cum</v>
          </cell>
          <cell r="F18" t="str">
            <v>|</v>
          </cell>
        </row>
        <row r="19">
          <cell r="F19" t="str">
            <v>|</v>
          </cell>
        </row>
        <row r="20">
          <cell r="D20" t="str">
            <v>EARTH DYKES AND TANK BASIN AREA</v>
          </cell>
          <cell r="F20" t="str">
            <v>|</v>
          </cell>
        </row>
        <row r="21">
          <cell r="F21" t="str">
            <v>|</v>
          </cell>
        </row>
        <row r="22">
          <cell r="C22">
            <v>2117.02</v>
          </cell>
          <cell r="D22" t="str">
            <v>Surface compaction 90%</v>
          </cell>
          <cell r="E22" t="str">
            <v>sqm</v>
          </cell>
          <cell r="F22" t="str">
            <v>|</v>
          </cell>
          <cell r="G22">
            <v>0</v>
          </cell>
        </row>
        <row r="23">
          <cell r="C23">
            <v>2117.0300000000002</v>
          </cell>
          <cell r="D23" t="str">
            <v>Surface compaction 95%</v>
          </cell>
          <cell r="E23" t="str">
            <v>sqm</v>
          </cell>
          <cell r="F23" t="str">
            <v>|</v>
          </cell>
          <cell r="G23">
            <v>0</v>
          </cell>
        </row>
        <row r="24">
          <cell r="C24">
            <v>2117.0100000000002</v>
          </cell>
          <cell r="D24" t="str">
            <v>Surface levelling</v>
          </cell>
          <cell r="E24" t="str">
            <v>sqm</v>
          </cell>
          <cell r="F24" t="str">
            <v>|</v>
          </cell>
          <cell r="G24">
            <v>0</v>
          </cell>
        </row>
        <row r="25">
          <cell r="C25">
            <v>2111.3000000000002</v>
          </cell>
          <cell r="D25" t="str">
            <v>Soil sect.exc.by mach.up to 2m</v>
          </cell>
          <cell r="E25" t="str">
            <v>cum</v>
          </cell>
          <cell r="F25" t="str">
            <v>|</v>
          </cell>
          <cell r="G25">
            <v>0</v>
          </cell>
        </row>
        <row r="26">
          <cell r="C26">
            <v>2112.04</v>
          </cell>
          <cell r="D26" t="str">
            <v>Materials from excav.transport</v>
          </cell>
          <cell r="E26" t="str">
            <v>cum</v>
          </cell>
          <cell r="F26" t="str">
            <v>|</v>
          </cell>
          <cell r="G26">
            <v>0</v>
          </cell>
        </row>
        <row r="27">
          <cell r="C27">
            <v>2113.14</v>
          </cell>
          <cell r="D27" t="str">
            <v>Earth-dyke w/ matl from exc.</v>
          </cell>
          <cell r="E27" t="str">
            <v>cum</v>
          </cell>
          <cell r="F27" t="str">
            <v>|</v>
          </cell>
          <cell r="G27">
            <v>0</v>
          </cell>
        </row>
        <row r="28">
          <cell r="C28">
            <v>2117.06</v>
          </cell>
          <cell r="D28" t="str">
            <v>Vegetal soil surface lining</v>
          </cell>
          <cell r="E28" t="str">
            <v>cum</v>
          </cell>
          <cell r="F28" t="str">
            <v>|</v>
          </cell>
          <cell r="G28">
            <v>0</v>
          </cell>
        </row>
        <row r="29">
          <cell r="C29">
            <v>2117.04</v>
          </cell>
          <cell r="D29" t="str">
            <v>Crush.stone finish 5cm thk</v>
          </cell>
          <cell r="E29" t="str">
            <v>sqm</v>
          </cell>
          <cell r="F29" t="str">
            <v>|</v>
          </cell>
          <cell r="G29">
            <v>0</v>
          </cell>
        </row>
        <row r="30">
          <cell r="C30">
            <v>2199.0700000000002</v>
          </cell>
          <cell r="D30" t="str">
            <v>Clay lining 20 cm thk bottom tank basins</v>
          </cell>
          <cell r="E30" t="str">
            <v>sqm</v>
          </cell>
          <cell r="F30" t="str">
            <v>|</v>
          </cell>
          <cell r="G30">
            <v>0</v>
          </cell>
        </row>
        <row r="31">
          <cell r="C31">
            <v>2199.08</v>
          </cell>
          <cell r="D31" t="str">
            <v>5cm Dykes Finis.by mix.bitum.&amp; crus.stone</v>
          </cell>
          <cell r="E31" t="str">
            <v>sqm</v>
          </cell>
          <cell r="F31" t="str">
            <v>|</v>
          </cell>
          <cell r="G31">
            <v>0</v>
          </cell>
        </row>
        <row r="32">
          <cell r="C32">
            <v>1716.04</v>
          </cell>
          <cell r="D32" t="str">
            <v>Reinf.concrete paving thk 10cm</v>
          </cell>
          <cell r="E32" t="str">
            <v>sqm</v>
          </cell>
          <cell r="F32" t="str">
            <v>|</v>
          </cell>
          <cell r="G32">
            <v>0</v>
          </cell>
        </row>
        <row r="33">
          <cell r="C33">
            <v>1716.13</v>
          </cell>
          <cell r="D33" t="str">
            <v>Cut joint ( control )</v>
          </cell>
          <cell r="E33" t="str">
            <v>lm</v>
          </cell>
          <cell r="F33" t="str">
            <v>|</v>
          </cell>
          <cell r="G33">
            <v>0</v>
          </cell>
        </row>
        <row r="34">
          <cell r="C34">
            <v>1716.14</v>
          </cell>
          <cell r="D34" t="str">
            <v>Construction joint</v>
          </cell>
          <cell r="E34" t="str">
            <v>lm</v>
          </cell>
          <cell r="F34" t="str">
            <v>|</v>
          </cell>
          <cell r="G34">
            <v>0</v>
          </cell>
        </row>
        <row r="35">
          <cell r="C35">
            <v>1716.15</v>
          </cell>
          <cell r="D35" t="str">
            <v>Isolation joint</v>
          </cell>
          <cell r="E35" t="str">
            <v>lm</v>
          </cell>
          <cell r="F35" t="str">
            <v>|</v>
          </cell>
          <cell r="G35">
            <v>0</v>
          </cell>
        </row>
        <row r="36">
          <cell r="C36">
            <v>1716.16</v>
          </cell>
          <cell r="D36" t="str">
            <v>Expansion joint ( contraction )</v>
          </cell>
          <cell r="E36" t="str">
            <v>lm</v>
          </cell>
          <cell r="F36" t="str">
            <v>|</v>
          </cell>
          <cell r="G36">
            <v>0</v>
          </cell>
        </row>
        <row r="37">
          <cell r="C37">
            <v>2116.0500000000002</v>
          </cell>
          <cell r="D37" t="str">
            <v>Side-walk pav. 10cm thk</v>
          </cell>
          <cell r="E37" t="str">
            <v>sqm</v>
          </cell>
          <cell r="F37" t="str">
            <v>|</v>
          </cell>
          <cell r="G37">
            <v>0</v>
          </cell>
        </row>
        <row r="38">
          <cell r="C38">
            <v>2116.02</v>
          </cell>
          <cell r="D38" t="str">
            <v>Sidewalk fndn w.matl from exc.</v>
          </cell>
          <cell r="E38" t="str">
            <v>cum</v>
          </cell>
          <cell r="F38" t="str">
            <v>|</v>
          </cell>
          <cell r="G38">
            <v>0</v>
          </cell>
        </row>
        <row r="39">
          <cell r="C39">
            <v>1714.13</v>
          </cell>
          <cell r="D39" t="str">
            <v>Welded wire mesh</v>
          </cell>
          <cell r="E39" t="str">
            <v>Kg</v>
          </cell>
          <cell r="F39" t="str">
            <v>|</v>
          </cell>
          <cell r="G39">
            <v>0</v>
          </cell>
        </row>
        <row r="40">
          <cell r="C40">
            <v>1711.12</v>
          </cell>
          <cell r="D40" t="str">
            <v>Earth Slope lining 8 cm thk conc.slab</v>
          </cell>
          <cell r="E40" t="str">
            <v>sqm</v>
          </cell>
          <cell r="F40" t="str">
            <v>|</v>
          </cell>
          <cell r="G40">
            <v>0</v>
          </cell>
        </row>
        <row r="41">
          <cell r="C41">
            <v>1799.05</v>
          </cell>
          <cell r="D41" t="str">
            <v>Precast concrete stair steps for dykes</v>
          </cell>
          <cell r="E41" t="str">
            <v>lm</v>
          </cell>
          <cell r="F41" t="str">
            <v>|</v>
          </cell>
          <cell r="G41">
            <v>0</v>
          </cell>
        </row>
        <row r="42">
          <cell r="F42" t="str">
            <v>|</v>
          </cell>
        </row>
        <row r="43">
          <cell r="D43" t="str">
            <v>Total Earth Dykes And Tank Basin Area</v>
          </cell>
          <cell r="E43" t="str">
            <v>cum</v>
          </cell>
          <cell r="F43" t="str">
            <v>|</v>
          </cell>
        </row>
        <row r="44">
          <cell r="F44" t="str">
            <v>|</v>
          </cell>
        </row>
        <row r="45">
          <cell r="D45" t="str">
            <v>TANK PADS</v>
          </cell>
          <cell r="F45" t="str">
            <v>|</v>
          </cell>
        </row>
        <row r="46">
          <cell r="F46" t="str">
            <v>|</v>
          </cell>
        </row>
        <row r="47">
          <cell r="C47">
            <v>2111.3000000000002</v>
          </cell>
          <cell r="D47" t="str">
            <v>Soil sect.exc.by mach.up to 2m</v>
          </cell>
          <cell r="E47" t="str">
            <v>cum</v>
          </cell>
          <cell r="F47" t="str">
            <v>|</v>
          </cell>
          <cell r="G47">
            <v>0</v>
          </cell>
        </row>
        <row r="48">
          <cell r="C48">
            <v>2111.1</v>
          </cell>
          <cell r="D48" t="str">
            <v>Soil sect.exc.by hand up to 2m</v>
          </cell>
          <cell r="E48" t="str">
            <v>cum</v>
          </cell>
          <cell r="F48" t="str">
            <v>|</v>
          </cell>
          <cell r="G48">
            <v>0</v>
          </cell>
        </row>
        <row r="49">
          <cell r="C49">
            <v>2111.0100000000002</v>
          </cell>
          <cell r="D49" t="str">
            <v>Soil general excavation</v>
          </cell>
          <cell r="E49" t="str">
            <v>cum</v>
          </cell>
          <cell r="F49" t="str">
            <v>|</v>
          </cell>
          <cell r="G49">
            <v>0</v>
          </cell>
        </row>
        <row r="50">
          <cell r="C50">
            <v>2112.04</v>
          </cell>
          <cell r="D50" t="str">
            <v>Materials from excav.transport</v>
          </cell>
          <cell r="E50" t="str">
            <v>cum</v>
          </cell>
          <cell r="F50" t="str">
            <v>|</v>
          </cell>
          <cell r="G50">
            <v>0</v>
          </cell>
        </row>
        <row r="51">
          <cell r="C51">
            <v>2113.0100000000002</v>
          </cell>
          <cell r="D51" t="str">
            <v>Backfill w/ matl from exc.</v>
          </cell>
          <cell r="E51" t="str">
            <v>cum</v>
          </cell>
          <cell r="F51" t="str">
            <v>|</v>
          </cell>
          <cell r="G51">
            <v>0</v>
          </cell>
        </row>
        <row r="52">
          <cell r="C52">
            <v>2113.11</v>
          </cell>
          <cell r="D52" t="str">
            <v>Gen.embankment w/matl by contr</v>
          </cell>
          <cell r="E52" t="str">
            <v>cum</v>
          </cell>
          <cell r="F52" t="str">
            <v>|</v>
          </cell>
          <cell r="G52">
            <v>0</v>
          </cell>
        </row>
        <row r="53">
          <cell r="C53">
            <v>2117.0300000000002</v>
          </cell>
          <cell r="D53" t="str">
            <v>Surface compaction 95%</v>
          </cell>
          <cell r="E53" t="str">
            <v>sqm</v>
          </cell>
          <cell r="F53" t="str">
            <v>|</v>
          </cell>
          <cell r="G53">
            <v>0</v>
          </cell>
        </row>
        <row r="54">
          <cell r="C54">
            <v>2113.12</v>
          </cell>
          <cell r="D54" t="str">
            <v>Tank-pad.w/ matl from exc.</v>
          </cell>
          <cell r="E54" t="str">
            <v>cum</v>
          </cell>
          <cell r="F54" t="str">
            <v>|</v>
          </cell>
          <cell r="G54">
            <v>0</v>
          </cell>
        </row>
        <row r="55">
          <cell r="C55">
            <v>2113.13</v>
          </cell>
          <cell r="D55" t="str">
            <v>Tank-pad.w/ matl by contr.</v>
          </cell>
          <cell r="E55" t="str">
            <v>cum</v>
          </cell>
          <cell r="F55" t="str">
            <v>|</v>
          </cell>
          <cell r="G55">
            <v>0</v>
          </cell>
        </row>
        <row r="56">
          <cell r="C56">
            <v>2199.04</v>
          </cell>
          <cell r="D56" t="str">
            <v>Top course pad tk 10 cm w/ crushed stone</v>
          </cell>
          <cell r="E56" t="str">
            <v>cum</v>
          </cell>
          <cell r="F56" t="str">
            <v>|</v>
          </cell>
          <cell r="G56">
            <v>0</v>
          </cell>
        </row>
        <row r="57">
          <cell r="C57">
            <v>1710.02</v>
          </cell>
          <cell r="D57" t="str">
            <v>Lean concrete 10cm thk.</v>
          </cell>
          <cell r="E57" t="str">
            <v>sqm</v>
          </cell>
          <cell r="F57" t="str">
            <v>|</v>
          </cell>
          <cell r="G57">
            <v>0</v>
          </cell>
        </row>
        <row r="58">
          <cell r="C58">
            <v>1711.01</v>
          </cell>
          <cell r="D58" t="str">
            <v>Concrete for foundation</v>
          </cell>
          <cell r="E58" t="str">
            <v>cum</v>
          </cell>
          <cell r="F58" t="str">
            <v>|</v>
          </cell>
          <cell r="G58">
            <v>0</v>
          </cell>
        </row>
        <row r="59">
          <cell r="C59">
            <v>1714.01</v>
          </cell>
          <cell r="D59" t="str">
            <v>Formwork foundation</v>
          </cell>
          <cell r="E59" t="str">
            <v>sqm</v>
          </cell>
          <cell r="F59" t="str">
            <v>|</v>
          </cell>
          <cell r="G59">
            <v>0</v>
          </cell>
        </row>
        <row r="60">
          <cell r="C60">
            <v>1714.05</v>
          </cell>
          <cell r="D60" t="str">
            <v>Circular formwork el. &lt;10m</v>
          </cell>
          <cell r="E60" t="str">
            <v>sqm</v>
          </cell>
          <cell r="F60" t="str">
            <v>|</v>
          </cell>
          <cell r="G60">
            <v>0</v>
          </cell>
        </row>
        <row r="61">
          <cell r="C61">
            <v>1714.12</v>
          </cell>
          <cell r="D61" t="str">
            <v>Improved bond reinf.steel</v>
          </cell>
          <cell r="E61" t="str">
            <v>Kg</v>
          </cell>
          <cell r="F61" t="str">
            <v>|</v>
          </cell>
          <cell r="G61">
            <v>0</v>
          </cell>
        </row>
        <row r="62">
          <cell r="C62">
            <v>1718.01</v>
          </cell>
          <cell r="D62" t="str">
            <v>Grout 25mm thk.</v>
          </cell>
          <cell r="E62" t="str">
            <v>sqm</v>
          </cell>
          <cell r="F62" t="str">
            <v>|</v>
          </cell>
          <cell r="G62">
            <v>0</v>
          </cell>
        </row>
        <row r="63">
          <cell r="C63">
            <v>1714.17</v>
          </cell>
          <cell r="D63" t="str">
            <v>Anchor bolts weight up to 20Kg</v>
          </cell>
          <cell r="E63" t="str">
            <v>Kg</v>
          </cell>
          <cell r="F63" t="str">
            <v>|</v>
          </cell>
          <cell r="G63">
            <v>0</v>
          </cell>
        </row>
        <row r="64">
          <cell r="C64">
            <v>1716.04</v>
          </cell>
          <cell r="D64" t="str">
            <v>Reinf.concrete paving thk 10cm</v>
          </cell>
          <cell r="E64" t="str">
            <v>sqm</v>
          </cell>
          <cell r="F64" t="str">
            <v>|</v>
          </cell>
          <cell r="G64">
            <v>0</v>
          </cell>
        </row>
        <row r="65">
          <cell r="C65">
            <v>1714.13</v>
          </cell>
          <cell r="D65" t="str">
            <v>Welded wire mesh</v>
          </cell>
          <cell r="E65" t="str">
            <v>Kg</v>
          </cell>
          <cell r="F65" t="str">
            <v>|</v>
          </cell>
          <cell r="G65">
            <v>0</v>
          </cell>
        </row>
        <row r="66">
          <cell r="C66">
            <v>1718.22</v>
          </cell>
          <cell r="D66" t="str">
            <v>Acid-resistant lining w. epoxy</v>
          </cell>
          <cell r="E66" t="str">
            <v>sqm</v>
          </cell>
          <cell r="F66" t="str">
            <v>|</v>
          </cell>
          <cell r="G66">
            <v>0</v>
          </cell>
        </row>
        <row r="67">
          <cell r="C67">
            <v>2116.06</v>
          </cell>
          <cell r="D67" t="str">
            <v>Bituminous emulsion 1,5Kg/sqm</v>
          </cell>
          <cell r="E67" t="str">
            <v>sqm</v>
          </cell>
          <cell r="F67" t="str">
            <v>|</v>
          </cell>
          <cell r="G67">
            <v>0</v>
          </cell>
        </row>
        <row r="68">
          <cell r="C68">
            <v>2116.0700000000002</v>
          </cell>
          <cell r="D68" t="str">
            <v>Tank-fndn: wear-carpet, 3cmthk</v>
          </cell>
          <cell r="E68" t="str">
            <v>sqm</v>
          </cell>
          <cell r="F68" t="str">
            <v>|</v>
          </cell>
          <cell r="G68">
            <v>0</v>
          </cell>
        </row>
        <row r="69">
          <cell r="C69">
            <v>2116.08</v>
          </cell>
          <cell r="D69" t="str">
            <v>Bitumen mastic sealing</v>
          </cell>
          <cell r="E69" t="str">
            <v>lm</v>
          </cell>
          <cell r="F69" t="str">
            <v>|</v>
          </cell>
          <cell r="G69">
            <v>0</v>
          </cell>
        </row>
        <row r="70">
          <cell r="F70" t="str">
            <v>|</v>
          </cell>
        </row>
        <row r="71">
          <cell r="D71" t="str">
            <v>Total Tank Pads</v>
          </cell>
          <cell r="E71" t="str">
            <v>sqm</v>
          </cell>
          <cell r="F71" t="str">
            <v>|</v>
          </cell>
        </row>
        <row r="72">
          <cell r="F72" t="str">
            <v>|</v>
          </cell>
        </row>
        <row r="73">
          <cell r="D73" t="str">
            <v>CONCRETE  PAVING</v>
          </cell>
          <cell r="F73" t="str">
            <v>|</v>
          </cell>
        </row>
        <row r="74">
          <cell r="F74" t="str">
            <v>|</v>
          </cell>
        </row>
        <row r="75">
          <cell r="C75">
            <v>2117.0100000000002</v>
          </cell>
          <cell r="D75" t="str">
            <v>Surface levelling</v>
          </cell>
          <cell r="E75" t="str">
            <v>sqm</v>
          </cell>
          <cell r="F75" t="str">
            <v>|</v>
          </cell>
          <cell r="G75">
            <v>0</v>
          </cell>
        </row>
        <row r="76">
          <cell r="C76">
            <v>2117.02</v>
          </cell>
          <cell r="D76" t="str">
            <v>Surface compaction 90%</v>
          </cell>
          <cell r="E76" t="str">
            <v>sqm</v>
          </cell>
          <cell r="F76" t="str">
            <v>|</v>
          </cell>
          <cell r="G76">
            <v>0</v>
          </cell>
        </row>
        <row r="77">
          <cell r="C77">
            <v>2111.3000000000002</v>
          </cell>
          <cell r="D77" t="str">
            <v>Soil sect.exc.by mach.up to 2m</v>
          </cell>
          <cell r="E77" t="str">
            <v>cum</v>
          </cell>
          <cell r="F77" t="str">
            <v>|</v>
          </cell>
          <cell r="G77">
            <v>0</v>
          </cell>
        </row>
        <row r="78">
          <cell r="C78">
            <v>2112.04</v>
          </cell>
          <cell r="D78" t="str">
            <v>Materials from excav.transport</v>
          </cell>
          <cell r="E78" t="str">
            <v>cum</v>
          </cell>
          <cell r="F78" t="str">
            <v>|</v>
          </cell>
          <cell r="G78">
            <v>0</v>
          </cell>
        </row>
        <row r="79">
          <cell r="C79">
            <v>1716.01</v>
          </cell>
          <cell r="D79" t="str">
            <v>Floor sub-base</v>
          </cell>
          <cell r="E79" t="str">
            <v>cum</v>
          </cell>
          <cell r="F79" t="str">
            <v>|</v>
          </cell>
          <cell r="G79">
            <v>0</v>
          </cell>
        </row>
        <row r="80">
          <cell r="C80">
            <v>1716.02</v>
          </cell>
          <cell r="D80" t="str">
            <v>Stabilized floor sub-base</v>
          </cell>
          <cell r="E80" t="str">
            <v>cum</v>
          </cell>
          <cell r="F80" t="str">
            <v>|</v>
          </cell>
          <cell r="G80">
            <v>0</v>
          </cell>
        </row>
        <row r="81">
          <cell r="C81">
            <v>1716.03</v>
          </cell>
          <cell r="D81" t="str">
            <v>Polyethilene vapor barrier</v>
          </cell>
          <cell r="E81" t="str">
            <v>sqm</v>
          </cell>
          <cell r="F81" t="str">
            <v>|</v>
          </cell>
          <cell r="G81">
            <v>0</v>
          </cell>
        </row>
        <row r="82">
          <cell r="C82">
            <v>1716.04</v>
          </cell>
          <cell r="D82" t="str">
            <v>Reinf.concrete paving thk 10cm</v>
          </cell>
          <cell r="E82" t="str">
            <v>sqm</v>
          </cell>
          <cell r="F82" t="str">
            <v>|</v>
          </cell>
          <cell r="G82">
            <v>0</v>
          </cell>
        </row>
        <row r="83">
          <cell r="C83">
            <v>1716.05</v>
          </cell>
          <cell r="D83" t="str">
            <v>Reinf.concrete paving thk 15cm</v>
          </cell>
          <cell r="E83" t="str">
            <v>sqm</v>
          </cell>
          <cell r="F83" t="str">
            <v>|</v>
          </cell>
          <cell r="G83">
            <v>0</v>
          </cell>
        </row>
        <row r="84">
          <cell r="C84">
            <v>1716.06</v>
          </cell>
          <cell r="D84" t="str">
            <v>Reinf.concrete paving thk 20cm</v>
          </cell>
          <cell r="E84" t="str">
            <v>sqm</v>
          </cell>
          <cell r="F84" t="str">
            <v>|</v>
          </cell>
          <cell r="G84">
            <v>0</v>
          </cell>
        </row>
        <row r="85">
          <cell r="C85">
            <v>1714.13</v>
          </cell>
          <cell r="D85" t="str">
            <v>Welded wire mesh</v>
          </cell>
          <cell r="E85" t="str">
            <v>Kg</v>
          </cell>
          <cell r="F85" t="str">
            <v>|</v>
          </cell>
          <cell r="G85">
            <v>0</v>
          </cell>
        </row>
        <row r="86">
          <cell r="C86">
            <v>2116.0100000000002</v>
          </cell>
          <cell r="D86" t="str">
            <v>Sidewalk kerb</v>
          </cell>
          <cell r="E86" t="str">
            <v>lm</v>
          </cell>
          <cell r="F86" t="str">
            <v>|</v>
          </cell>
          <cell r="G86">
            <v>0</v>
          </cell>
        </row>
        <row r="87">
          <cell r="C87">
            <v>2116.02</v>
          </cell>
          <cell r="D87" t="str">
            <v>Sidewalk fndn w.matl from exc.</v>
          </cell>
          <cell r="E87" t="str">
            <v>cum</v>
          </cell>
          <cell r="F87" t="str">
            <v>|</v>
          </cell>
          <cell r="G87">
            <v>0</v>
          </cell>
        </row>
        <row r="88">
          <cell r="C88">
            <v>2116.0500000000002</v>
          </cell>
          <cell r="D88" t="str">
            <v>Side-walk pav. 10cm thk</v>
          </cell>
          <cell r="E88" t="str">
            <v>sqm</v>
          </cell>
          <cell r="F88" t="str">
            <v>|</v>
          </cell>
          <cell r="G88">
            <v>0</v>
          </cell>
        </row>
        <row r="89">
          <cell r="C89">
            <v>1716.08</v>
          </cell>
          <cell r="D89" t="str">
            <v>Reinf.concrete curb</v>
          </cell>
          <cell r="E89" t="str">
            <v>lm</v>
          </cell>
          <cell r="F89" t="str">
            <v>|</v>
          </cell>
          <cell r="G89">
            <v>0</v>
          </cell>
        </row>
        <row r="90">
          <cell r="C90">
            <v>1716.13</v>
          </cell>
          <cell r="D90" t="str">
            <v>Cut joint ( control )</v>
          </cell>
          <cell r="E90" t="str">
            <v>lm</v>
          </cell>
          <cell r="F90" t="str">
            <v>|</v>
          </cell>
          <cell r="G90">
            <v>0</v>
          </cell>
        </row>
        <row r="91">
          <cell r="C91">
            <v>1716.14</v>
          </cell>
          <cell r="D91" t="str">
            <v>Construction joint</v>
          </cell>
          <cell r="E91" t="str">
            <v>lm</v>
          </cell>
          <cell r="F91" t="str">
            <v>|</v>
          </cell>
          <cell r="G91">
            <v>0</v>
          </cell>
        </row>
        <row r="92">
          <cell r="C92">
            <v>1716.15</v>
          </cell>
          <cell r="D92" t="str">
            <v>Isolation joint</v>
          </cell>
          <cell r="E92" t="str">
            <v>lm</v>
          </cell>
          <cell r="F92" t="str">
            <v>|</v>
          </cell>
          <cell r="G92">
            <v>0</v>
          </cell>
        </row>
        <row r="93">
          <cell r="C93">
            <v>1716.16</v>
          </cell>
          <cell r="D93" t="str">
            <v>Expansion joint ( contraction )</v>
          </cell>
          <cell r="E93" t="str">
            <v>lm</v>
          </cell>
          <cell r="F93" t="str">
            <v>|</v>
          </cell>
          <cell r="G93">
            <v>0</v>
          </cell>
        </row>
        <row r="94">
          <cell r="C94">
            <v>1799.35</v>
          </cell>
          <cell r="D94" t="str">
            <v>Coal Tar Epoxy painting on cls surfaces</v>
          </cell>
          <cell r="E94" t="str">
            <v>sqm</v>
          </cell>
          <cell r="F94" t="str">
            <v>|</v>
          </cell>
          <cell r="G94">
            <v>0</v>
          </cell>
        </row>
        <row r="95">
          <cell r="C95">
            <v>1718.21</v>
          </cell>
          <cell r="D95" t="str">
            <v>Acid-resistant lining w. tiles</v>
          </cell>
          <cell r="E95" t="str">
            <v>sqm</v>
          </cell>
          <cell r="F95" t="str">
            <v>|</v>
          </cell>
          <cell r="G95">
            <v>0</v>
          </cell>
        </row>
        <row r="96">
          <cell r="C96">
            <v>1718.23</v>
          </cell>
          <cell r="D96" t="str">
            <v>Acid-resistant plaster w.resin</v>
          </cell>
          <cell r="E96" t="str">
            <v>sqm</v>
          </cell>
          <cell r="F96" t="str">
            <v>|</v>
          </cell>
          <cell r="G96">
            <v>0</v>
          </cell>
        </row>
        <row r="97">
          <cell r="C97">
            <v>1716.09</v>
          </cell>
          <cell r="D97" t="str">
            <v>Hardener on paving (dust)</v>
          </cell>
          <cell r="E97" t="str">
            <v>sqm</v>
          </cell>
          <cell r="F97" t="str">
            <v>|</v>
          </cell>
          <cell r="G97">
            <v>0</v>
          </cell>
        </row>
        <row r="98">
          <cell r="F98" t="str">
            <v>|</v>
          </cell>
        </row>
        <row r="99">
          <cell r="D99" t="str">
            <v>Total Concrete Paving</v>
          </cell>
          <cell r="E99" t="str">
            <v>sqm</v>
          </cell>
          <cell r="F99" t="str">
            <v>|</v>
          </cell>
        </row>
        <row r="100">
          <cell r="F100" t="str">
            <v>|</v>
          </cell>
        </row>
        <row r="101">
          <cell r="D101" t="str">
            <v>SOIL FINISHING</v>
          </cell>
          <cell r="F101" t="str">
            <v>|</v>
          </cell>
        </row>
        <row r="102">
          <cell r="F102" t="str">
            <v>|</v>
          </cell>
        </row>
        <row r="103">
          <cell r="C103">
            <v>2117.0100000000002</v>
          </cell>
          <cell r="D103" t="str">
            <v>Surface levelling</v>
          </cell>
          <cell r="E103" t="str">
            <v>sqm</v>
          </cell>
          <cell r="F103" t="str">
            <v>|</v>
          </cell>
          <cell r="G103">
            <v>0</v>
          </cell>
        </row>
        <row r="104">
          <cell r="C104">
            <v>2117.02</v>
          </cell>
          <cell r="D104" t="str">
            <v>Surface compaction 90%</v>
          </cell>
          <cell r="E104" t="str">
            <v>sqm</v>
          </cell>
          <cell r="F104" t="str">
            <v>|</v>
          </cell>
          <cell r="G104">
            <v>0</v>
          </cell>
        </row>
        <row r="105">
          <cell r="C105">
            <v>2117.04</v>
          </cell>
          <cell r="D105" t="str">
            <v>Crush.stone finish 5cm thk</v>
          </cell>
          <cell r="E105" t="str">
            <v>sqm</v>
          </cell>
          <cell r="F105" t="str">
            <v>|</v>
          </cell>
          <cell r="G105">
            <v>0</v>
          </cell>
        </row>
        <row r="106">
          <cell r="F106" t="str">
            <v>|</v>
          </cell>
        </row>
        <row r="107">
          <cell r="D107" t="str">
            <v>Total Soil Finishing</v>
          </cell>
          <cell r="E107" t="str">
            <v>sqm</v>
          </cell>
          <cell r="F107" t="str">
            <v>|</v>
          </cell>
        </row>
        <row r="108">
          <cell r="F108" t="str">
            <v>|</v>
          </cell>
        </row>
        <row r="109">
          <cell r="D109" t="str">
            <v>ROADS &amp; YARDS</v>
          </cell>
          <cell r="F109" t="str">
            <v>|</v>
          </cell>
        </row>
        <row r="110">
          <cell r="F110" t="str">
            <v>|</v>
          </cell>
        </row>
        <row r="111">
          <cell r="C111">
            <v>2111.3000000000002</v>
          </cell>
          <cell r="D111" t="str">
            <v>Soil sect.exc.by mach.up to 2m</v>
          </cell>
          <cell r="E111" t="str">
            <v>cum</v>
          </cell>
          <cell r="F111" t="str">
            <v>|</v>
          </cell>
          <cell r="G111">
            <v>0</v>
          </cell>
        </row>
        <row r="112">
          <cell r="C112">
            <v>2112.04</v>
          </cell>
          <cell r="D112" t="str">
            <v>Materials from excav.transport</v>
          </cell>
          <cell r="E112" t="str">
            <v>cum</v>
          </cell>
          <cell r="F112" t="str">
            <v>|</v>
          </cell>
          <cell r="G112">
            <v>0</v>
          </cell>
        </row>
        <row r="113">
          <cell r="C113">
            <v>2199.21</v>
          </cell>
          <cell r="D113" t="str">
            <v>Backfill with desert matl.</v>
          </cell>
          <cell r="E113" t="str">
            <v>cum</v>
          </cell>
          <cell r="F113" t="str">
            <v>|</v>
          </cell>
          <cell r="G113">
            <v>0</v>
          </cell>
        </row>
        <row r="114">
          <cell r="C114">
            <v>2117.0100000000002</v>
          </cell>
          <cell r="D114" t="str">
            <v>Surface levelling</v>
          </cell>
          <cell r="E114" t="str">
            <v>sqm</v>
          </cell>
          <cell r="F114" t="str">
            <v>|</v>
          </cell>
          <cell r="G114">
            <v>0</v>
          </cell>
        </row>
        <row r="115">
          <cell r="C115">
            <v>2117.0300000000002</v>
          </cell>
          <cell r="D115" t="str">
            <v>Surface compaction 95%</v>
          </cell>
          <cell r="E115" t="str">
            <v>sqm</v>
          </cell>
          <cell r="F115" t="str">
            <v>|</v>
          </cell>
          <cell r="G115">
            <v>0</v>
          </cell>
        </row>
        <row r="116">
          <cell r="C116">
            <v>2115.0500000000002</v>
          </cell>
          <cell r="D116" t="str">
            <v>Road fndn.w.matl by contr.</v>
          </cell>
          <cell r="E116" t="str">
            <v>cum</v>
          </cell>
          <cell r="F116" t="str">
            <v>|</v>
          </cell>
          <cell r="G116">
            <v>0</v>
          </cell>
        </row>
        <row r="117">
          <cell r="C117">
            <v>2115.08</v>
          </cell>
          <cell r="D117" t="str">
            <v>Base-course w/ matl by contr.</v>
          </cell>
          <cell r="E117" t="str">
            <v>cum</v>
          </cell>
          <cell r="F117" t="str">
            <v>|</v>
          </cell>
          <cell r="G117">
            <v>0</v>
          </cell>
        </row>
        <row r="118">
          <cell r="C118">
            <v>2115.09</v>
          </cell>
          <cell r="D118" t="str">
            <v>Bituminous emulsion 1,5Kg/sqm</v>
          </cell>
          <cell r="E118" t="str">
            <v>sqm</v>
          </cell>
          <cell r="F118" t="str">
            <v>|</v>
          </cell>
          <cell r="G118">
            <v>0</v>
          </cell>
        </row>
        <row r="119">
          <cell r="C119">
            <v>2115.1</v>
          </cell>
          <cell r="D119" t="str">
            <v>Binder 7cm thk.</v>
          </cell>
          <cell r="E119" t="str">
            <v>sqm</v>
          </cell>
          <cell r="F119" t="str">
            <v>|</v>
          </cell>
          <cell r="G119">
            <v>0</v>
          </cell>
        </row>
        <row r="120">
          <cell r="C120">
            <v>2115.11</v>
          </cell>
          <cell r="D120" t="str">
            <v>Binder thk. variation: 1cm</v>
          </cell>
          <cell r="E120" t="str">
            <v>sqm</v>
          </cell>
          <cell r="F120" t="str">
            <v>|</v>
          </cell>
          <cell r="G120">
            <v>0</v>
          </cell>
        </row>
        <row r="121">
          <cell r="C121">
            <v>2115.12</v>
          </cell>
          <cell r="D121" t="str">
            <v>Bituminous emulsion 1,0Kg/sqm</v>
          </cell>
          <cell r="E121" t="str">
            <v>sqm</v>
          </cell>
          <cell r="F121" t="str">
            <v>|</v>
          </cell>
          <cell r="G121">
            <v>0</v>
          </cell>
        </row>
        <row r="122">
          <cell r="C122">
            <v>2115.13</v>
          </cell>
          <cell r="D122" t="str">
            <v>Wearing course 3cm thk.</v>
          </cell>
          <cell r="E122" t="str">
            <v>sqm</v>
          </cell>
          <cell r="F122" t="str">
            <v>|</v>
          </cell>
          <cell r="G122">
            <v>0</v>
          </cell>
        </row>
        <row r="123">
          <cell r="C123">
            <v>2115.14</v>
          </cell>
          <cell r="D123" t="str">
            <v>Wearing course thk. var.: 1cm</v>
          </cell>
          <cell r="E123" t="str">
            <v>sqm</v>
          </cell>
          <cell r="F123" t="str">
            <v>|</v>
          </cell>
          <cell r="G123">
            <v>0</v>
          </cell>
        </row>
        <row r="124">
          <cell r="C124">
            <v>1711.12</v>
          </cell>
          <cell r="D124" t="str">
            <v>Earth Slope lining 8 cm thk conc.slab</v>
          </cell>
          <cell r="E124" t="str">
            <v>sqm</v>
          </cell>
          <cell r="F124" t="str">
            <v>|</v>
          </cell>
          <cell r="G124">
            <v>0</v>
          </cell>
        </row>
        <row r="125">
          <cell r="C125">
            <v>1799.06</v>
          </cell>
          <cell r="D125" t="str">
            <v>As item 1711.12 ditches lining 10 cm thk</v>
          </cell>
          <cell r="E125" t="str">
            <v>sqm</v>
          </cell>
          <cell r="F125" t="str">
            <v>|</v>
          </cell>
          <cell r="G125">
            <v>0</v>
          </cell>
        </row>
        <row r="126">
          <cell r="C126">
            <v>1714.13</v>
          </cell>
          <cell r="D126" t="str">
            <v>Welded wire mesh</v>
          </cell>
          <cell r="E126" t="str">
            <v>Kg</v>
          </cell>
          <cell r="F126" t="str">
            <v>|</v>
          </cell>
          <cell r="G126">
            <v>0</v>
          </cell>
        </row>
        <row r="127">
          <cell r="C127">
            <v>1710.01</v>
          </cell>
          <cell r="D127" t="str">
            <v>Lean concrete 5cm thk.</v>
          </cell>
          <cell r="E127" t="str">
            <v>sqm</v>
          </cell>
          <cell r="F127" t="str">
            <v>|</v>
          </cell>
          <cell r="G127">
            <v>0</v>
          </cell>
        </row>
        <row r="128">
          <cell r="C128">
            <v>2199.09</v>
          </cell>
          <cell r="D128" t="str">
            <v>Precast Con.Side ditch (Det.2 ST 2100.03)</v>
          </cell>
          <cell r="E128" t="str">
            <v>lm</v>
          </cell>
          <cell r="F128" t="str">
            <v>|</v>
          </cell>
          <cell r="G128">
            <v>0</v>
          </cell>
        </row>
        <row r="129">
          <cell r="C129">
            <v>2199.1</v>
          </cell>
          <cell r="D129" t="str">
            <v>Excav. for earth ditches formation</v>
          </cell>
          <cell r="E129" t="str">
            <v>cum</v>
          </cell>
          <cell r="F129" t="str">
            <v>|</v>
          </cell>
          <cell r="G129">
            <v>0</v>
          </cell>
        </row>
        <row r="130">
          <cell r="C130">
            <v>1716.08</v>
          </cell>
          <cell r="D130" t="str">
            <v>Reinf.concrete curb</v>
          </cell>
          <cell r="E130" t="str">
            <v>lm</v>
          </cell>
          <cell r="F130" t="str">
            <v>|</v>
          </cell>
          <cell r="G130">
            <v>0</v>
          </cell>
        </row>
        <row r="131">
          <cell r="C131">
            <v>2199.14</v>
          </cell>
          <cell r="D131" t="str">
            <v>As item 2115.09 but 3kg/sqm for shoulders</v>
          </cell>
          <cell r="E131" t="str">
            <v>sqm</v>
          </cell>
          <cell r="F131" t="str">
            <v>|</v>
          </cell>
          <cell r="G131">
            <v>0</v>
          </cell>
        </row>
        <row r="132">
          <cell r="C132">
            <v>2199.0100000000002</v>
          </cell>
          <cell r="D132" t="str">
            <v>Roads w.c. w/ comp. gravel 10 cm thk.</v>
          </cell>
          <cell r="E132" t="str">
            <v>sqm</v>
          </cell>
          <cell r="F132" t="str">
            <v>|</v>
          </cell>
          <cell r="G132">
            <v>0</v>
          </cell>
        </row>
        <row r="133">
          <cell r="F133" t="str">
            <v>|</v>
          </cell>
        </row>
        <row r="134">
          <cell r="D134" t="str">
            <v>Total Roads &amp; Yards</v>
          </cell>
          <cell r="E134" t="str">
            <v>sqm</v>
          </cell>
          <cell r="F134" t="str">
            <v>|</v>
          </cell>
        </row>
        <row r="135">
          <cell r="F135" t="str">
            <v>|</v>
          </cell>
        </row>
        <row r="136">
          <cell r="D136" t="str">
            <v>FENCING &amp; GATES</v>
          </cell>
          <cell r="F136" t="str">
            <v>|</v>
          </cell>
        </row>
        <row r="137">
          <cell r="F137" t="str">
            <v>|</v>
          </cell>
        </row>
        <row r="138">
          <cell r="C138">
            <v>2117.0700000000002</v>
          </cell>
          <cell r="D138" t="str">
            <v>Transformers galvanized fence</v>
          </cell>
          <cell r="E138" t="str">
            <v>lm</v>
          </cell>
          <cell r="F138" t="str">
            <v>|</v>
          </cell>
          <cell r="G138">
            <v>0</v>
          </cell>
        </row>
        <row r="139">
          <cell r="C139">
            <v>2117.08</v>
          </cell>
          <cell r="D139" t="str">
            <v>Property galvanized fence</v>
          </cell>
          <cell r="E139" t="str">
            <v>lm</v>
          </cell>
          <cell r="F139" t="str">
            <v>|</v>
          </cell>
          <cell r="G139">
            <v>0</v>
          </cell>
        </row>
        <row r="140">
          <cell r="C140">
            <v>2117.09</v>
          </cell>
          <cell r="D140" t="str">
            <v>Property R.C. fence</v>
          </cell>
          <cell r="E140" t="str">
            <v>lm</v>
          </cell>
          <cell r="F140" t="str">
            <v>|</v>
          </cell>
          <cell r="G140">
            <v>0</v>
          </cell>
        </row>
        <row r="141">
          <cell r="C141">
            <v>2117.1</v>
          </cell>
          <cell r="D141" t="str">
            <v>Galvanized steel gate</v>
          </cell>
          <cell r="E141" t="str">
            <v>u</v>
          </cell>
          <cell r="F141" t="str">
            <v>|</v>
          </cell>
          <cell r="G141">
            <v>0</v>
          </cell>
        </row>
        <row r="142">
          <cell r="C142">
            <v>2117.11</v>
          </cell>
          <cell r="D142" t="str">
            <v>Pedestrian gate</v>
          </cell>
          <cell r="E142" t="str">
            <v>u</v>
          </cell>
          <cell r="F142" t="str">
            <v>|</v>
          </cell>
          <cell r="G142">
            <v>0</v>
          </cell>
        </row>
        <row r="143">
          <cell r="C143">
            <v>2117.12</v>
          </cell>
          <cell r="D143" t="str">
            <v>Motorized barrier</v>
          </cell>
          <cell r="E143" t="str">
            <v>u</v>
          </cell>
          <cell r="F143" t="str">
            <v>|</v>
          </cell>
          <cell r="G143">
            <v>0</v>
          </cell>
        </row>
        <row r="144">
          <cell r="C144">
            <v>2117.13</v>
          </cell>
          <cell r="D144" t="str">
            <v>Fence as per KS</v>
          </cell>
          <cell r="E144" t="str">
            <v>lm</v>
          </cell>
          <cell r="F144" t="str">
            <v>|</v>
          </cell>
          <cell r="G144">
            <v>0</v>
          </cell>
        </row>
        <row r="145">
          <cell r="F145" t="str">
            <v>|</v>
          </cell>
        </row>
        <row r="146">
          <cell r="D146" t="str">
            <v>Total Fencing &amp; Gates</v>
          </cell>
          <cell r="E146" t="str">
            <v>lm</v>
          </cell>
          <cell r="F146" t="str">
            <v>|</v>
          </cell>
        </row>
        <row r="147">
          <cell r="F147" t="str">
            <v>|</v>
          </cell>
        </row>
        <row r="148">
          <cell r="D148" t="str">
            <v xml:space="preserve"> PILING</v>
          </cell>
          <cell r="F148" t="str">
            <v>|</v>
          </cell>
        </row>
        <row r="149">
          <cell r="F149" t="str">
            <v>|</v>
          </cell>
        </row>
        <row r="150">
          <cell r="C150">
            <v>2702.2</v>
          </cell>
          <cell r="D150" t="str">
            <v>Supply of precast concrete piles 30 tons</v>
          </cell>
          <cell r="E150" t="str">
            <v>lm</v>
          </cell>
          <cell r="F150" t="str">
            <v>|</v>
          </cell>
          <cell r="G150">
            <v>0</v>
          </cell>
        </row>
        <row r="151">
          <cell r="C151">
            <v>2703.2</v>
          </cell>
          <cell r="D151" t="str">
            <v>Driving of concrete piles</v>
          </cell>
          <cell r="E151" t="str">
            <v>lm</v>
          </cell>
          <cell r="F151" t="str">
            <v>|</v>
          </cell>
          <cell r="G151">
            <v>0</v>
          </cell>
        </row>
        <row r="152">
          <cell r="C152">
            <v>2799.04</v>
          </cell>
          <cell r="D152" t="str">
            <v xml:space="preserve">Cast in situ piles diam. 0.6 m &amp; h=16 m </v>
          </cell>
          <cell r="E152" t="str">
            <v>lm</v>
          </cell>
          <cell r="F152" t="str">
            <v>|</v>
          </cell>
          <cell r="G152">
            <v>0</v>
          </cell>
        </row>
        <row r="153">
          <cell r="C153">
            <v>2799.02</v>
          </cell>
          <cell r="D153" t="str">
            <v>Compression test for drilled piles</v>
          </cell>
          <cell r="E153" t="str">
            <v>tons</v>
          </cell>
          <cell r="F153" t="str">
            <v>|</v>
          </cell>
          <cell r="G153">
            <v>0</v>
          </cell>
        </row>
        <row r="154">
          <cell r="C154">
            <v>2799.03</v>
          </cell>
          <cell r="D154" t="str">
            <v>Tension test for drilled piles</v>
          </cell>
          <cell r="E154" t="str">
            <v>tons</v>
          </cell>
          <cell r="F154" t="str">
            <v>|</v>
          </cell>
          <cell r="G154">
            <v>0</v>
          </cell>
        </row>
        <row r="155">
          <cell r="C155">
            <v>2706.2</v>
          </cell>
          <cell r="D155" t="str">
            <v>Compression test</v>
          </cell>
          <cell r="E155" t="str">
            <v>u.</v>
          </cell>
          <cell r="F155" t="str">
            <v>|</v>
          </cell>
          <cell r="G155">
            <v>0</v>
          </cell>
        </row>
        <row r="156">
          <cell r="C156">
            <v>2706.5</v>
          </cell>
          <cell r="D156" t="str">
            <v>Tension test</v>
          </cell>
          <cell r="E156" t="str">
            <v>u.</v>
          </cell>
          <cell r="F156" t="str">
            <v>|</v>
          </cell>
          <cell r="G156">
            <v>0</v>
          </cell>
        </row>
        <row r="157">
          <cell r="F157" t="str">
            <v>|</v>
          </cell>
        </row>
        <row r="158">
          <cell r="D158" t="str">
            <v>Total Piling</v>
          </cell>
          <cell r="E158" t="str">
            <v>lm</v>
          </cell>
          <cell r="F158" t="str">
            <v>|</v>
          </cell>
        </row>
        <row r="159">
          <cell r="F159" t="str">
            <v>|</v>
          </cell>
        </row>
        <row r="160">
          <cell r="D160" t="str">
            <v>FOUNDATIONS CONCRETE</v>
          </cell>
          <cell r="F160" t="str">
            <v>|</v>
          </cell>
        </row>
        <row r="161">
          <cell r="F161" t="str">
            <v>|</v>
          </cell>
        </row>
        <row r="162">
          <cell r="C162">
            <v>1710.02</v>
          </cell>
          <cell r="D162" t="str">
            <v>Lean concrete 10cm thk.</v>
          </cell>
          <cell r="E162" t="str">
            <v>sqm</v>
          </cell>
          <cell r="F162" t="str">
            <v>|</v>
          </cell>
          <cell r="G162">
            <v>427.12666666666667</v>
          </cell>
        </row>
        <row r="163">
          <cell r="C163">
            <v>1710.03</v>
          </cell>
          <cell r="D163" t="str">
            <v>Lean concrete &gt;10cm thk.</v>
          </cell>
          <cell r="E163" t="str">
            <v>cum</v>
          </cell>
          <cell r="F163" t="str">
            <v>|</v>
          </cell>
          <cell r="G163">
            <v>0</v>
          </cell>
        </row>
        <row r="164">
          <cell r="C164">
            <v>1711.01</v>
          </cell>
          <cell r="D164" t="str">
            <v>Concrete for foundation</v>
          </cell>
          <cell r="E164" t="str">
            <v>cum</v>
          </cell>
          <cell r="F164" t="str">
            <v>|</v>
          </cell>
          <cell r="G164">
            <v>455.25333333333333</v>
          </cell>
        </row>
        <row r="165">
          <cell r="C165">
            <v>1711.02</v>
          </cell>
          <cell r="D165" t="str">
            <v>Bitumen coat for foundation</v>
          </cell>
          <cell r="E165" t="str">
            <v>sqm</v>
          </cell>
          <cell r="F165" t="str">
            <v>|</v>
          </cell>
          <cell r="G165">
            <v>0</v>
          </cell>
        </row>
        <row r="166">
          <cell r="C166">
            <v>1712.01</v>
          </cell>
          <cell r="D166" t="str">
            <v>Concrete elev. up to 10m</v>
          </cell>
          <cell r="E166" t="str">
            <v>cum</v>
          </cell>
          <cell r="F166" t="str">
            <v>|</v>
          </cell>
          <cell r="G166">
            <v>150.03920000000002</v>
          </cell>
        </row>
        <row r="167">
          <cell r="C167">
            <v>1714.01</v>
          </cell>
          <cell r="D167" t="str">
            <v>Formwork foundation</v>
          </cell>
          <cell r="E167" t="str">
            <v>sqm</v>
          </cell>
          <cell r="F167" t="str">
            <v>|</v>
          </cell>
          <cell r="G167">
            <v>479.56666666666666</v>
          </cell>
        </row>
        <row r="168">
          <cell r="C168">
            <v>1714.02</v>
          </cell>
          <cell r="D168" t="str">
            <v>Formwork elev. up to 10m</v>
          </cell>
          <cell r="E168" t="str">
            <v>sqm</v>
          </cell>
          <cell r="F168" t="str">
            <v>|</v>
          </cell>
          <cell r="G168">
            <v>582.05999999999995</v>
          </cell>
        </row>
        <row r="169">
          <cell r="C169">
            <v>1714.12</v>
          </cell>
          <cell r="D169" t="str">
            <v>Improved bond reinf.steel</v>
          </cell>
          <cell r="E169" t="str">
            <v>Kg</v>
          </cell>
          <cell r="F169" t="str">
            <v>|</v>
          </cell>
          <cell r="G169">
            <v>58650.666666666664</v>
          </cell>
        </row>
        <row r="170">
          <cell r="C170">
            <v>1714.17</v>
          </cell>
          <cell r="D170" t="str">
            <v>Anchor bolts weight up to 20Kg</v>
          </cell>
          <cell r="E170" t="str">
            <v>Kg</v>
          </cell>
          <cell r="F170" t="str">
            <v>|</v>
          </cell>
          <cell r="G170">
            <v>801.94</v>
          </cell>
        </row>
        <row r="171">
          <cell r="C171">
            <v>1714.18</v>
          </cell>
          <cell r="D171" t="str">
            <v>Anchor bolts weight &gt;20Kg</v>
          </cell>
          <cell r="E171" t="str">
            <v>Kg</v>
          </cell>
          <cell r="F171" t="str">
            <v>|</v>
          </cell>
          <cell r="G171">
            <v>0</v>
          </cell>
        </row>
        <row r="172">
          <cell r="C172">
            <v>1714.21</v>
          </cell>
          <cell r="D172" t="str">
            <v>Sliding plates</v>
          </cell>
          <cell r="E172" t="str">
            <v>Kg</v>
          </cell>
          <cell r="F172" t="str">
            <v>|</v>
          </cell>
          <cell r="G172">
            <v>220.5</v>
          </cell>
        </row>
        <row r="173">
          <cell r="C173">
            <v>1714.25</v>
          </cell>
          <cell r="D173" t="str">
            <v>Steel insert</v>
          </cell>
          <cell r="E173" t="str">
            <v>Kg</v>
          </cell>
          <cell r="F173" t="str">
            <v>|</v>
          </cell>
          <cell r="G173">
            <v>174.4</v>
          </cell>
        </row>
        <row r="174">
          <cell r="C174">
            <v>1716.05</v>
          </cell>
          <cell r="D174" t="str">
            <v>Reinf.concrete paving thk 15cm</v>
          </cell>
          <cell r="E174" t="str">
            <v>sqm</v>
          </cell>
          <cell r="F174" t="str">
            <v>|</v>
          </cell>
          <cell r="G174">
            <v>0</v>
          </cell>
        </row>
        <row r="175">
          <cell r="C175">
            <v>1716.08</v>
          </cell>
          <cell r="D175" t="str">
            <v>Reinf.concrete curb</v>
          </cell>
          <cell r="E175" t="str">
            <v>lm</v>
          </cell>
          <cell r="F175" t="str">
            <v>|</v>
          </cell>
          <cell r="G175">
            <v>0</v>
          </cell>
        </row>
        <row r="176">
          <cell r="C176">
            <v>1718.01</v>
          </cell>
          <cell r="D176" t="str">
            <v>Grout 25mm thk.</v>
          </cell>
          <cell r="E176" t="str">
            <v>sqm</v>
          </cell>
          <cell r="F176" t="str">
            <v>|</v>
          </cell>
          <cell r="G176">
            <v>28.74</v>
          </cell>
        </row>
        <row r="177">
          <cell r="C177">
            <v>1718.03</v>
          </cell>
          <cell r="D177" t="str">
            <v>Grout &gt;50mm thk.</v>
          </cell>
          <cell r="E177" t="str">
            <v>cum</v>
          </cell>
          <cell r="F177" t="str">
            <v>|</v>
          </cell>
          <cell r="G177">
            <v>0</v>
          </cell>
        </row>
        <row r="178">
          <cell r="C178">
            <v>1718.04</v>
          </cell>
          <cell r="D178" t="str">
            <v>Non-shrinking grout 25mm</v>
          </cell>
          <cell r="E178" t="str">
            <v>sqm</v>
          </cell>
          <cell r="F178" t="str">
            <v>|</v>
          </cell>
          <cell r="G178">
            <v>0</v>
          </cell>
        </row>
        <row r="179">
          <cell r="C179">
            <v>1718.05</v>
          </cell>
          <cell r="D179" t="str">
            <v>Non-shrinking grout 50mm</v>
          </cell>
          <cell r="E179" t="str">
            <v>sqm</v>
          </cell>
          <cell r="F179" t="str">
            <v>|</v>
          </cell>
          <cell r="G179">
            <v>17.3</v>
          </cell>
        </row>
        <row r="180">
          <cell r="C180">
            <v>1718.06</v>
          </cell>
          <cell r="D180" t="str">
            <v>Non-shrinking grout &gt;50mm</v>
          </cell>
          <cell r="E180" t="str">
            <v>cum</v>
          </cell>
          <cell r="F180" t="str">
            <v>|</v>
          </cell>
          <cell r="G180">
            <v>0</v>
          </cell>
        </row>
        <row r="181">
          <cell r="C181">
            <v>1718.11</v>
          </cell>
          <cell r="D181" t="str">
            <v>PVC water-stop: 20cm wide</v>
          </cell>
          <cell r="E181" t="str">
            <v>lm</v>
          </cell>
          <cell r="F181" t="str">
            <v>|</v>
          </cell>
          <cell r="G181">
            <v>0</v>
          </cell>
        </row>
        <row r="182">
          <cell r="C182">
            <v>1799.03</v>
          </cell>
          <cell r="D182" t="str">
            <v>Precast concrete covers 10 cm thick</v>
          </cell>
          <cell r="E182" t="str">
            <v>sqm</v>
          </cell>
          <cell r="F182" t="str">
            <v>|</v>
          </cell>
          <cell r="G182">
            <v>0</v>
          </cell>
        </row>
        <row r="183">
          <cell r="C183">
            <v>1799.07</v>
          </cell>
          <cell r="D183" t="str">
            <v>Non-shrinking grout 25mm Epoxy Type</v>
          </cell>
          <cell r="E183" t="str">
            <v>sqm</v>
          </cell>
          <cell r="F183" t="str">
            <v>|</v>
          </cell>
          <cell r="G183">
            <v>0</v>
          </cell>
        </row>
        <row r="184">
          <cell r="C184">
            <v>1799.25</v>
          </cell>
          <cell r="D184" t="str">
            <v>Chipping of existing concrete surface</v>
          </cell>
          <cell r="E184" t="str">
            <v>sqm</v>
          </cell>
          <cell r="F184" t="str">
            <v>|</v>
          </cell>
          <cell r="G184">
            <v>0</v>
          </cell>
        </row>
        <row r="185">
          <cell r="C185">
            <v>1799.26</v>
          </cell>
          <cell r="D185" t="str">
            <v>Drilled Holes 2" on reinf. concrete</v>
          </cell>
          <cell r="E185" t="str">
            <v>lm</v>
          </cell>
          <cell r="F185" t="str">
            <v>|</v>
          </cell>
          <cell r="G185">
            <v>0</v>
          </cell>
        </row>
        <row r="186">
          <cell r="C186">
            <v>1799.27</v>
          </cell>
          <cell r="D186" t="str">
            <v>Sticking epoxy resin on concrete surface</v>
          </cell>
          <cell r="E186" t="str">
            <v>sqm</v>
          </cell>
          <cell r="F186" t="str">
            <v>|</v>
          </cell>
          <cell r="G186">
            <v>0</v>
          </cell>
        </row>
        <row r="187">
          <cell r="C187">
            <v>1799.28</v>
          </cell>
          <cell r="D187" t="str">
            <v>Injection of mortar Pagel in holes 2"</v>
          </cell>
          <cell r="E187" t="str">
            <v>cum</v>
          </cell>
          <cell r="F187" t="str">
            <v>|</v>
          </cell>
          <cell r="G187">
            <v>0</v>
          </cell>
        </row>
        <row r="188">
          <cell r="C188">
            <v>1799.3</v>
          </cell>
          <cell r="D188" t="str">
            <v>Precast concrete covers 20 cm thick</v>
          </cell>
          <cell r="E188" t="str">
            <v>sqm</v>
          </cell>
          <cell r="F188" t="str">
            <v>|</v>
          </cell>
          <cell r="G188">
            <v>0</v>
          </cell>
        </row>
        <row r="189">
          <cell r="C189">
            <v>1799.33</v>
          </cell>
          <cell r="D189" t="str">
            <v>Polyethylene sheet under foundations</v>
          </cell>
          <cell r="E189" t="str">
            <v>sqm</v>
          </cell>
          <cell r="F189" t="str">
            <v>|</v>
          </cell>
          <cell r="G189">
            <v>0</v>
          </cell>
        </row>
        <row r="190">
          <cell r="C190">
            <v>2111.1</v>
          </cell>
          <cell r="D190" t="str">
            <v>Soil sect.exc.by hand up to 2m</v>
          </cell>
          <cell r="E190" t="str">
            <v>cum</v>
          </cell>
          <cell r="F190" t="str">
            <v>|</v>
          </cell>
          <cell r="G190">
            <v>30</v>
          </cell>
        </row>
        <row r="191">
          <cell r="C191">
            <v>2111.11</v>
          </cell>
          <cell r="D191" t="str">
            <v>Sect.exc.hand from 2to4m depth</v>
          </cell>
          <cell r="E191" t="str">
            <v>cum</v>
          </cell>
          <cell r="F191" t="str">
            <v>|</v>
          </cell>
          <cell r="G191">
            <v>1139.8589999999999</v>
          </cell>
        </row>
        <row r="192">
          <cell r="C192">
            <v>2111.1999999999998</v>
          </cell>
          <cell r="D192" t="str">
            <v>Extra price for water table by hand</v>
          </cell>
          <cell r="E192" t="str">
            <v>cum</v>
          </cell>
          <cell r="F192" t="str">
            <v>|</v>
          </cell>
          <cell r="G192">
            <v>0</v>
          </cell>
        </row>
        <row r="193">
          <cell r="C193">
            <v>2111.3000000000002</v>
          </cell>
          <cell r="D193" t="str">
            <v>Soil sect.exc.by mach.up to 2m</v>
          </cell>
          <cell r="E193" t="str">
            <v>cum</v>
          </cell>
          <cell r="F193" t="str">
            <v>|</v>
          </cell>
          <cell r="G193">
            <v>0</v>
          </cell>
        </row>
        <row r="194">
          <cell r="C194">
            <v>2111.31</v>
          </cell>
          <cell r="D194" t="str">
            <v>Sect.exc.mach.from 2to4m depth</v>
          </cell>
          <cell r="E194" t="str">
            <v>cum</v>
          </cell>
          <cell r="F194" t="str">
            <v>|</v>
          </cell>
          <cell r="G194">
            <v>0</v>
          </cell>
        </row>
        <row r="195">
          <cell r="C195">
            <v>2111.4</v>
          </cell>
          <cell r="D195" t="str">
            <v>Extra price for water table by mach.</v>
          </cell>
          <cell r="E195" t="str">
            <v>cum</v>
          </cell>
          <cell r="F195" t="str">
            <v>|</v>
          </cell>
          <cell r="G195">
            <v>0</v>
          </cell>
        </row>
        <row r="196">
          <cell r="C196">
            <v>2112.04</v>
          </cell>
          <cell r="D196" t="str">
            <v>Materials from excav.transport</v>
          </cell>
          <cell r="E196" t="str">
            <v>cum</v>
          </cell>
          <cell r="F196" t="str">
            <v>|</v>
          </cell>
          <cell r="G196">
            <v>628.5</v>
          </cell>
        </row>
        <row r="197">
          <cell r="C197">
            <v>2113.0100000000002</v>
          </cell>
          <cell r="D197" t="str">
            <v>Backfill w/ matl from exc.</v>
          </cell>
          <cell r="E197" t="str">
            <v>cum</v>
          </cell>
          <cell r="F197" t="str">
            <v>|</v>
          </cell>
          <cell r="G197">
            <v>541.40000000000009</v>
          </cell>
        </row>
        <row r="198">
          <cell r="C198">
            <v>2113.0300000000002</v>
          </cell>
          <cell r="D198" t="str">
            <v>Sand for pipes bedding</v>
          </cell>
          <cell r="E198" t="str">
            <v>cum</v>
          </cell>
          <cell r="F198" t="str">
            <v>|</v>
          </cell>
          <cell r="G198">
            <v>0</v>
          </cell>
        </row>
        <row r="199">
          <cell r="C199">
            <v>2114.0700000000002</v>
          </cell>
          <cell r="D199" t="str">
            <v>Reinf. concrete paving demol.</v>
          </cell>
          <cell r="E199" t="str">
            <v>sqm</v>
          </cell>
          <cell r="F199" t="str">
            <v>|</v>
          </cell>
          <cell r="G199">
            <v>0</v>
          </cell>
        </row>
        <row r="200">
          <cell r="C200">
            <v>2115.15</v>
          </cell>
          <cell r="D200" t="str">
            <v>Reinst.of binder &amp; wear.course</v>
          </cell>
          <cell r="E200" t="str">
            <v>sqm</v>
          </cell>
          <cell r="F200" t="str">
            <v>|</v>
          </cell>
          <cell r="G200">
            <v>0</v>
          </cell>
        </row>
        <row r="201">
          <cell r="C201">
            <v>2199.02</v>
          </cell>
          <cell r="D201" t="str">
            <v>Exist. Binder &amp; W.course scarifying</v>
          </cell>
          <cell r="E201" t="str">
            <v>sqm</v>
          </cell>
          <cell r="F201" t="str">
            <v>|</v>
          </cell>
          <cell r="G201">
            <v>0</v>
          </cell>
        </row>
        <row r="202">
          <cell r="C202">
            <v>2199.0300000000002</v>
          </cell>
          <cell r="D202" t="str">
            <v>Demol.&amp; Reinst. exist. roads fnds.</v>
          </cell>
          <cell r="E202" t="str">
            <v>cum</v>
          </cell>
          <cell r="F202" t="str">
            <v>|</v>
          </cell>
          <cell r="G202">
            <v>0</v>
          </cell>
        </row>
        <row r="203">
          <cell r="C203">
            <v>2199.1999999999998</v>
          </cell>
          <cell r="D203" t="str">
            <v>Soil improv.under found.desert matl.</v>
          </cell>
          <cell r="E203" t="str">
            <v>cum</v>
          </cell>
          <cell r="F203" t="str">
            <v>|</v>
          </cell>
          <cell r="G203">
            <v>0</v>
          </cell>
        </row>
        <row r="204">
          <cell r="C204">
            <v>2199.23</v>
          </cell>
          <cell r="D204" t="str">
            <v>Formation of anchor bolts pockets</v>
          </cell>
          <cell r="E204" t="str">
            <v>cu.dm</v>
          </cell>
          <cell r="F204" t="str">
            <v>|</v>
          </cell>
          <cell r="G204">
            <v>0</v>
          </cell>
        </row>
        <row r="205">
          <cell r="F205" t="str">
            <v>|</v>
          </cell>
        </row>
        <row r="206">
          <cell r="D206" t="str">
            <v>Total Foundations Concrete</v>
          </cell>
          <cell r="E206" t="str">
            <v>cum</v>
          </cell>
          <cell r="F206" t="str">
            <v>|</v>
          </cell>
        </row>
        <row r="207">
          <cell r="F207" t="str">
            <v>|</v>
          </cell>
        </row>
        <row r="208">
          <cell r="D208" t="str">
            <v>ELEVATION CONCRETE STRUCTURES</v>
          </cell>
          <cell r="F208" t="str">
            <v>|</v>
          </cell>
        </row>
        <row r="209">
          <cell r="F209" t="str">
            <v>|</v>
          </cell>
        </row>
        <row r="210">
          <cell r="C210">
            <v>1712.01</v>
          </cell>
          <cell r="D210" t="str">
            <v>Concrete elev. up to 10m</v>
          </cell>
          <cell r="E210" t="str">
            <v>cum</v>
          </cell>
          <cell r="F210" t="str">
            <v>|</v>
          </cell>
          <cell r="G210">
            <v>69.233333333333334</v>
          </cell>
        </row>
        <row r="211">
          <cell r="C211">
            <v>1712.02</v>
          </cell>
          <cell r="D211" t="str">
            <v>Concr.elev.from 10,01to20m</v>
          </cell>
          <cell r="E211" t="str">
            <v>cum</v>
          </cell>
          <cell r="F211" t="str">
            <v>|</v>
          </cell>
          <cell r="G211">
            <v>63.333333333333336</v>
          </cell>
        </row>
        <row r="212">
          <cell r="C212">
            <v>1712.03</v>
          </cell>
          <cell r="D212" t="str">
            <v>Concr.elev.   &gt;20m</v>
          </cell>
          <cell r="E212" t="str">
            <v>cum</v>
          </cell>
          <cell r="F212" t="str">
            <v>|</v>
          </cell>
          <cell r="G212">
            <v>0</v>
          </cell>
        </row>
        <row r="213">
          <cell r="C213">
            <v>1714.02</v>
          </cell>
          <cell r="D213" t="str">
            <v>Formwork elev. up to 10m</v>
          </cell>
          <cell r="E213" t="str">
            <v>sqm</v>
          </cell>
          <cell r="F213" t="str">
            <v>|</v>
          </cell>
          <cell r="G213">
            <v>345.5</v>
          </cell>
        </row>
        <row r="214">
          <cell r="C214">
            <v>1714.03</v>
          </cell>
          <cell r="D214" t="str">
            <v>Formwork elev. 10/20m</v>
          </cell>
          <cell r="E214" t="str">
            <v>sqm</v>
          </cell>
          <cell r="F214" t="str">
            <v>|</v>
          </cell>
          <cell r="G214">
            <v>316.66666666666669</v>
          </cell>
        </row>
        <row r="215">
          <cell r="C215">
            <v>1714.04</v>
          </cell>
          <cell r="D215" t="str">
            <v>Formwork elev. &gt;20m</v>
          </cell>
          <cell r="E215" t="str">
            <v>sqm</v>
          </cell>
          <cell r="F215" t="str">
            <v>|</v>
          </cell>
          <cell r="G215">
            <v>0</v>
          </cell>
        </row>
        <row r="216">
          <cell r="C216">
            <v>1714.08</v>
          </cell>
          <cell r="D216" t="str">
            <v>Fair-faced formwork el. &lt;10m</v>
          </cell>
          <cell r="E216" t="str">
            <v>sqm</v>
          </cell>
          <cell r="F216" t="str">
            <v>|</v>
          </cell>
          <cell r="G216">
            <v>0</v>
          </cell>
        </row>
        <row r="217">
          <cell r="C217">
            <v>1714.09</v>
          </cell>
          <cell r="D217" t="str">
            <v>Fair-faced formwork el.10/20m</v>
          </cell>
          <cell r="E217" t="str">
            <v>sqm</v>
          </cell>
          <cell r="F217" t="str">
            <v>|</v>
          </cell>
          <cell r="G217">
            <v>0</v>
          </cell>
        </row>
        <row r="218">
          <cell r="C218">
            <v>1714.1</v>
          </cell>
          <cell r="D218" t="str">
            <v>Fair-faced formwork el. &gt;20m</v>
          </cell>
          <cell r="E218" t="str">
            <v>sqm</v>
          </cell>
          <cell r="F218" t="str">
            <v>|</v>
          </cell>
          <cell r="G218">
            <v>0</v>
          </cell>
        </row>
        <row r="219">
          <cell r="C219">
            <v>1714.05</v>
          </cell>
          <cell r="D219" t="str">
            <v>Circular formwork el. &lt;10m</v>
          </cell>
          <cell r="E219" t="str">
            <v>sqm</v>
          </cell>
          <cell r="F219" t="str">
            <v>|</v>
          </cell>
          <cell r="G219">
            <v>0</v>
          </cell>
        </row>
        <row r="220">
          <cell r="C220">
            <v>1714.12</v>
          </cell>
          <cell r="D220" t="str">
            <v>Improved bond reinf.steel</v>
          </cell>
          <cell r="E220" t="str">
            <v>Kg</v>
          </cell>
          <cell r="F220" t="str">
            <v>|</v>
          </cell>
          <cell r="G220">
            <v>27119.833333333336</v>
          </cell>
        </row>
        <row r="221">
          <cell r="C221">
            <v>1718.01</v>
          </cell>
          <cell r="D221" t="str">
            <v>Grout 25mm thk.</v>
          </cell>
          <cell r="E221" t="str">
            <v>sqm</v>
          </cell>
          <cell r="F221" t="str">
            <v>|</v>
          </cell>
          <cell r="G221">
            <v>5.8183333333333334</v>
          </cell>
        </row>
        <row r="222">
          <cell r="C222">
            <v>1718.05</v>
          </cell>
          <cell r="D222" t="str">
            <v>Non-shrinking grout 50mm</v>
          </cell>
          <cell r="E222" t="str">
            <v>sqm</v>
          </cell>
          <cell r="F222" t="str">
            <v>|</v>
          </cell>
          <cell r="G222">
            <v>0</v>
          </cell>
        </row>
        <row r="223">
          <cell r="C223">
            <v>1799.07</v>
          </cell>
          <cell r="D223" t="str">
            <v>Non-shrinking grout 25mm Epoxy Type</v>
          </cell>
          <cell r="E223" t="str">
            <v>sqm</v>
          </cell>
          <cell r="F223" t="str">
            <v>|</v>
          </cell>
          <cell r="G223">
            <v>0</v>
          </cell>
        </row>
        <row r="224">
          <cell r="C224">
            <v>1799.09</v>
          </cell>
          <cell r="D224" t="str">
            <v>Non-shrinking grout &gt;50mm Epoxy Type</v>
          </cell>
          <cell r="E224" t="str">
            <v>cum</v>
          </cell>
          <cell r="F224" t="str">
            <v>|</v>
          </cell>
          <cell r="G224">
            <v>0</v>
          </cell>
        </row>
        <row r="225">
          <cell r="C225">
            <v>1714.17</v>
          </cell>
          <cell r="D225" t="str">
            <v>Anchor bolts weight up to 20Kg</v>
          </cell>
          <cell r="E225" t="str">
            <v>Kg</v>
          </cell>
          <cell r="F225" t="str">
            <v>|</v>
          </cell>
          <cell r="G225">
            <v>43.833333333333336</v>
          </cell>
        </row>
        <row r="226">
          <cell r="C226">
            <v>1714.18</v>
          </cell>
          <cell r="D226" t="str">
            <v>Anchor bolts weight &gt;20Kg</v>
          </cell>
          <cell r="E226" t="str">
            <v>Kg</v>
          </cell>
          <cell r="F226" t="str">
            <v>|</v>
          </cell>
          <cell r="G226">
            <v>0</v>
          </cell>
        </row>
        <row r="227">
          <cell r="C227">
            <v>1714.25</v>
          </cell>
          <cell r="D227" t="str">
            <v>Steel insert</v>
          </cell>
          <cell r="E227" t="str">
            <v>Kg</v>
          </cell>
          <cell r="F227" t="str">
            <v>|</v>
          </cell>
          <cell r="G227">
            <v>4855.8333333333339</v>
          </cell>
        </row>
        <row r="228">
          <cell r="F228" t="str">
            <v>|</v>
          </cell>
        </row>
        <row r="229">
          <cell r="D229" t="str">
            <v>Total Elevation Concrete Structures</v>
          </cell>
          <cell r="E229" t="str">
            <v>cum</v>
          </cell>
          <cell r="F229" t="str">
            <v>|</v>
          </cell>
        </row>
        <row r="230">
          <cell r="F230" t="str">
            <v>|</v>
          </cell>
        </row>
        <row r="231">
          <cell r="D231" t="str">
            <v xml:space="preserve"> CONCRETE BASINS</v>
          </cell>
          <cell r="F231" t="str">
            <v>|</v>
          </cell>
        </row>
        <row r="232">
          <cell r="F232" t="str">
            <v>|</v>
          </cell>
        </row>
        <row r="233">
          <cell r="C233">
            <v>2111.3000000000002</v>
          </cell>
          <cell r="D233" t="str">
            <v>Soil sect.exc.by mach.up to 2m</v>
          </cell>
          <cell r="E233" t="str">
            <v>cum</v>
          </cell>
          <cell r="F233" t="str">
            <v>|</v>
          </cell>
          <cell r="G233">
            <v>0</v>
          </cell>
        </row>
        <row r="234">
          <cell r="C234">
            <v>2111.1</v>
          </cell>
          <cell r="D234" t="str">
            <v>Soil sect.exc.by hand up to 2m</v>
          </cell>
          <cell r="E234" t="str">
            <v>cum</v>
          </cell>
          <cell r="F234" t="str">
            <v>|</v>
          </cell>
          <cell r="G234">
            <v>0</v>
          </cell>
        </row>
        <row r="235">
          <cell r="C235">
            <v>2111.31</v>
          </cell>
          <cell r="D235" t="str">
            <v>Sect.exc.mach.from 2to4m depth</v>
          </cell>
          <cell r="E235" t="str">
            <v>cum</v>
          </cell>
          <cell r="F235" t="str">
            <v>|</v>
          </cell>
          <cell r="G235">
            <v>0</v>
          </cell>
        </row>
        <row r="236">
          <cell r="C236">
            <v>2111.11</v>
          </cell>
          <cell r="D236" t="str">
            <v>Sect.exc.hand from 2to4m depth</v>
          </cell>
          <cell r="E236" t="str">
            <v>cum</v>
          </cell>
          <cell r="F236" t="str">
            <v>|</v>
          </cell>
          <cell r="G236">
            <v>0</v>
          </cell>
        </row>
        <row r="237">
          <cell r="C237">
            <v>2111.3200000000002</v>
          </cell>
          <cell r="D237" t="str">
            <v>Sect.exc.mach.exceed. 4m depth</v>
          </cell>
          <cell r="E237" t="str">
            <v>cum</v>
          </cell>
          <cell r="F237" t="str">
            <v>|</v>
          </cell>
          <cell r="G237">
            <v>0</v>
          </cell>
        </row>
        <row r="238">
          <cell r="C238">
            <v>2111.12</v>
          </cell>
          <cell r="D238" t="str">
            <v>Sect.exc.hand exceed. 4m depth</v>
          </cell>
          <cell r="E238" t="str">
            <v>cum</v>
          </cell>
          <cell r="F238" t="str">
            <v>|</v>
          </cell>
          <cell r="G238">
            <v>0</v>
          </cell>
        </row>
        <row r="239">
          <cell r="C239">
            <v>2112.04</v>
          </cell>
          <cell r="D239" t="str">
            <v>Materials from excav.transport</v>
          </cell>
          <cell r="E239" t="str">
            <v>cum</v>
          </cell>
          <cell r="F239" t="str">
            <v>|</v>
          </cell>
          <cell r="G239">
            <v>0</v>
          </cell>
        </row>
        <row r="240">
          <cell r="C240">
            <v>2113.0100000000002</v>
          </cell>
          <cell r="D240" t="str">
            <v>Backfill w/ matl from exc.</v>
          </cell>
          <cell r="E240" t="str">
            <v>cum</v>
          </cell>
          <cell r="F240" t="str">
            <v>|</v>
          </cell>
          <cell r="G240">
            <v>0</v>
          </cell>
        </row>
        <row r="241">
          <cell r="C241">
            <v>2115.08</v>
          </cell>
          <cell r="D241" t="str">
            <v>Base-course w/ matl by contr.</v>
          </cell>
          <cell r="E241" t="str">
            <v>cum</v>
          </cell>
          <cell r="F241" t="str">
            <v>|</v>
          </cell>
          <cell r="G241">
            <v>0</v>
          </cell>
        </row>
        <row r="242">
          <cell r="C242">
            <v>1710.02</v>
          </cell>
          <cell r="D242" t="str">
            <v>Lean concrete 10cm thk.</v>
          </cell>
          <cell r="E242" t="str">
            <v>sqm</v>
          </cell>
          <cell r="F242" t="str">
            <v>|</v>
          </cell>
          <cell r="G242">
            <v>0</v>
          </cell>
        </row>
        <row r="243">
          <cell r="C243">
            <v>1711.01</v>
          </cell>
          <cell r="D243" t="str">
            <v>Concrete for foundation</v>
          </cell>
          <cell r="E243" t="str">
            <v>cum</v>
          </cell>
          <cell r="F243" t="str">
            <v>|</v>
          </cell>
          <cell r="G243">
            <v>0</v>
          </cell>
        </row>
        <row r="244">
          <cell r="C244">
            <v>1712.01</v>
          </cell>
          <cell r="D244" t="str">
            <v>Concrete elev. up to 10m</v>
          </cell>
          <cell r="E244" t="str">
            <v>cum</v>
          </cell>
          <cell r="F244" t="str">
            <v>|</v>
          </cell>
          <cell r="G244">
            <v>0</v>
          </cell>
        </row>
        <row r="245">
          <cell r="C245">
            <v>1714.01</v>
          </cell>
          <cell r="D245" t="str">
            <v>Formwork foundation</v>
          </cell>
          <cell r="E245" t="str">
            <v>sqm</v>
          </cell>
          <cell r="F245" t="str">
            <v>|</v>
          </cell>
          <cell r="G245">
            <v>0</v>
          </cell>
        </row>
        <row r="246">
          <cell r="C246">
            <v>1714.02</v>
          </cell>
          <cell r="D246" t="str">
            <v>Formwork elev. up to 10m</v>
          </cell>
          <cell r="E246" t="str">
            <v>sqm</v>
          </cell>
          <cell r="F246" t="str">
            <v>|</v>
          </cell>
          <cell r="G246">
            <v>0</v>
          </cell>
        </row>
        <row r="247">
          <cell r="C247">
            <v>1714.05</v>
          </cell>
          <cell r="D247" t="str">
            <v>Circular formwork el. &lt;10m</v>
          </cell>
          <cell r="E247" t="str">
            <v>sqm</v>
          </cell>
          <cell r="F247" t="str">
            <v>|</v>
          </cell>
          <cell r="G247">
            <v>0</v>
          </cell>
        </row>
        <row r="248">
          <cell r="C248">
            <v>1714.08</v>
          </cell>
          <cell r="D248" t="str">
            <v>Fair-faced formwork el. &lt;10m</v>
          </cell>
          <cell r="E248" t="str">
            <v>sqm</v>
          </cell>
          <cell r="F248" t="str">
            <v>|</v>
          </cell>
          <cell r="G248">
            <v>0</v>
          </cell>
        </row>
        <row r="249">
          <cell r="C249">
            <v>1714.12</v>
          </cell>
          <cell r="D249" t="str">
            <v>Improved bond reinf.steel</v>
          </cell>
          <cell r="E249" t="str">
            <v>Kg</v>
          </cell>
          <cell r="F249" t="str">
            <v>|</v>
          </cell>
          <cell r="G249">
            <v>0</v>
          </cell>
        </row>
        <row r="250">
          <cell r="C250">
            <v>1718.01</v>
          </cell>
          <cell r="D250" t="str">
            <v>Grout 25mm thk.</v>
          </cell>
          <cell r="E250" t="str">
            <v>sqm</v>
          </cell>
          <cell r="F250" t="str">
            <v>|</v>
          </cell>
          <cell r="G250">
            <v>0</v>
          </cell>
        </row>
        <row r="251">
          <cell r="C251">
            <v>1718.21</v>
          </cell>
          <cell r="D251" t="str">
            <v>Acid-resistant lining w. tiles</v>
          </cell>
          <cell r="E251" t="str">
            <v>sqm</v>
          </cell>
          <cell r="F251" t="str">
            <v>|</v>
          </cell>
          <cell r="G251">
            <v>0</v>
          </cell>
        </row>
        <row r="252">
          <cell r="C252">
            <v>1718.22</v>
          </cell>
          <cell r="D252" t="str">
            <v>Acid-resistant lining w. epoxy</v>
          </cell>
          <cell r="E252" t="str">
            <v>sqm</v>
          </cell>
          <cell r="F252" t="str">
            <v>|</v>
          </cell>
          <cell r="G252">
            <v>0</v>
          </cell>
        </row>
        <row r="253">
          <cell r="C253">
            <v>1714.17</v>
          </cell>
          <cell r="D253" t="str">
            <v>Anchor bolts weight up to 20Kg</v>
          </cell>
          <cell r="E253" t="str">
            <v>Kg</v>
          </cell>
          <cell r="F253" t="str">
            <v>|</v>
          </cell>
          <cell r="G253">
            <v>0</v>
          </cell>
        </row>
        <row r="254">
          <cell r="C254">
            <v>1714.21</v>
          </cell>
          <cell r="D254" t="str">
            <v>Sliding plates</v>
          </cell>
          <cell r="E254" t="str">
            <v>Kg</v>
          </cell>
          <cell r="F254" t="str">
            <v>|</v>
          </cell>
          <cell r="G254">
            <v>0</v>
          </cell>
        </row>
        <row r="255">
          <cell r="C255">
            <v>1714.25</v>
          </cell>
          <cell r="D255" t="str">
            <v>Steel insert</v>
          </cell>
          <cell r="E255" t="str">
            <v>Kg</v>
          </cell>
          <cell r="F255" t="str">
            <v>|</v>
          </cell>
          <cell r="G255">
            <v>0</v>
          </cell>
        </row>
        <row r="256">
          <cell r="C256">
            <v>1715.08</v>
          </cell>
          <cell r="D256" t="str">
            <v>Supply of cast iron cover</v>
          </cell>
          <cell r="E256" t="str">
            <v>Kg</v>
          </cell>
          <cell r="F256" t="str">
            <v>|</v>
          </cell>
          <cell r="G256">
            <v>0</v>
          </cell>
        </row>
        <row r="257">
          <cell r="C257">
            <v>1715.09</v>
          </cell>
          <cell r="D257" t="str">
            <v>Laying of cast-iron cover</v>
          </cell>
          <cell r="E257" t="str">
            <v>Kg</v>
          </cell>
          <cell r="F257" t="str">
            <v>|</v>
          </cell>
          <cell r="G257">
            <v>0</v>
          </cell>
        </row>
        <row r="258">
          <cell r="C258">
            <v>1715.12</v>
          </cell>
          <cell r="D258" t="str">
            <v>Checkered plate cover</v>
          </cell>
          <cell r="E258" t="str">
            <v>Kg</v>
          </cell>
          <cell r="F258" t="str">
            <v>|</v>
          </cell>
          <cell r="G258">
            <v>0</v>
          </cell>
        </row>
        <row r="259">
          <cell r="C259">
            <v>1718.11</v>
          </cell>
          <cell r="D259" t="str">
            <v>PVC water-stop: 20cm wide</v>
          </cell>
          <cell r="E259" t="str">
            <v>lm</v>
          </cell>
          <cell r="F259" t="str">
            <v>|</v>
          </cell>
          <cell r="G259">
            <v>0</v>
          </cell>
        </row>
        <row r="260">
          <cell r="C260">
            <v>1799.02</v>
          </cell>
          <cell r="D260" t="str">
            <v>Waterproof cement additive</v>
          </cell>
          <cell r="E260" t="str">
            <v>kg</v>
          </cell>
          <cell r="F260" t="str">
            <v>|</v>
          </cell>
          <cell r="G260">
            <v>0</v>
          </cell>
        </row>
        <row r="261">
          <cell r="C261">
            <v>1711.02</v>
          </cell>
          <cell r="D261" t="str">
            <v>Bitumen coat for foundation</v>
          </cell>
          <cell r="E261" t="str">
            <v>sqm</v>
          </cell>
          <cell r="F261" t="str">
            <v>|</v>
          </cell>
          <cell r="G261">
            <v>0</v>
          </cell>
        </row>
        <row r="262">
          <cell r="C262">
            <v>1799.33</v>
          </cell>
          <cell r="D262" t="str">
            <v>Polyethylene sheet under foundations</v>
          </cell>
          <cell r="E262" t="str">
            <v>sqm</v>
          </cell>
          <cell r="F262" t="str">
            <v>|</v>
          </cell>
          <cell r="G262">
            <v>0</v>
          </cell>
        </row>
        <row r="263">
          <cell r="F263" t="str">
            <v>|</v>
          </cell>
        </row>
        <row r="264">
          <cell r="D264" t="str">
            <v>Total Concrete Basins</v>
          </cell>
          <cell r="E264" t="str">
            <v>cum</v>
          </cell>
          <cell r="F264" t="str">
            <v>|</v>
          </cell>
        </row>
        <row r="265">
          <cell r="F265" t="str">
            <v>|</v>
          </cell>
        </row>
        <row r="266">
          <cell r="D266" t="str">
            <v>CONCRETE WALLS</v>
          </cell>
          <cell r="F266" t="str">
            <v>|</v>
          </cell>
        </row>
        <row r="267">
          <cell r="F267" t="str">
            <v>|</v>
          </cell>
        </row>
        <row r="268">
          <cell r="C268">
            <v>2111.3000000000002</v>
          </cell>
          <cell r="D268" t="str">
            <v>Soil sect.exc.by mach.up to 2m</v>
          </cell>
          <cell r="E268" t="str">
            <v>cum</v>
          </cell>
          <cell r="F268" t="str">
            <v>|</v>
          </cell>
          <cell r="G268">
            <v>0</v>
          </cell>
        </row>
        <row r="269">
          <cell r="C269">
            <v>2111.1</v>
          </cell>
          <cell r="D269" t="str">
            <v>Soil sect.exc.by hand up to 2m</v>
          </cell>
          <cell r="E269" t="str">
            <v>cum</v>
          </cell>
          <cell r="F269" t="str">
            <v>|</v>
          </cell>
          <cell r="G269">
            <v>0</v>
          </cell>
        </row>
        <row r="270">
          <cell r="C270">
            <v>2112.04</v>
          </cell>
          <cell r="D270" t="str">
            <v>Materials from excav.transport</v>
          </cell>
          <cell r="E270" t="str">
            <v>cum</v>
          </cell>
          <cell r="F270" t="str">
            <v>|</v>
          </cell>
          <cell r="G270">
            <v>0</v>
          </cell>
        </row>
        <row r="271">
          <cell r="C271">
            <v>2113.0100000000002</v>
          </cell>
          <cell r="D271" t="str">
            <v>Backfill w/ matl from exc.</v>
          </cell>
          <cell r="E271" t="str">
            <v>cum</v>
          </cell>
          <cell r="F271" t="str">
            <v>|</v>
          </cell>
          <cell r="G271">
            <v>0</v>
          </cell>
        </row>
        <row r="272">
          <cell r="C272">
            <v>1710.02</v>
          </cell>
          <cell r="D272" t="str">
            <v>Lean concrete 10cm thk.</v>
          </cell>
          <cell r="E272" t="str">
            <v>sqm</v>
          </cell>
          <cell r="F272" t="str">
            <v>|</v>
          </cell>
          <cell r="G272">
            <v>0</v>
          </cell>
        </row>
        <row r="273">
          <cell r="C273">
            <v>1711.01</v>
          </cell>
          <cell r="D273" t="str">
            <v>Concrete for foundation</v>
          </cell>
          <cell r="E273" t="str">
            <v>cum</v>
          </cell>
          <cell r="F273" t="str">
            <v>|</v>
          </cell>
          <cell r="G273">
            <v>0</v>
          </cell>
        </row>
        <row r="274">
          <cell r="C274">
            <v>1712.01</v>
          </cell>
          <cell r="D274" t="str">
            <v>Concrete elev. up to 10m</v>
          </cell>
          <cell r="E274" t="str">
            <v>cum</v>
          </cell>
          <cell r="F274" t="str">
            <v>|</v>
          </cell>
          <cell r="G274">
            <v>0</v>
          </cell>
        </row>
        <row r="275">
          <cell r="C275">
            <v>1714.01</v>
          </cell>
          <cell r="D275" t="str">
            <v>Formwork foundation</v>
          </cell>
          <cell r="E275" t="str">
            <v>sqm</v>
          </cell>
          <cell r="F275" t="str">
            <v>|</v>
          </cell>
          <cell r="G275">
            <v>0</v>
          </cell>
        </row>
        <row r="276">
          <cell r="C276">
            <v>1714.02</v>
          </cell>
          <cell r="D276" t="str">
            <v>Formwork elev. up to 10m</v>
          </cell>
          <cell r="E276" t="str">
            <v>sqm</v>
          </cell>
          <cell r="F276" t="str">
            <v>|</v>
          </cell>
          <cell r="G276">
            <v>0</v>
          </cell>
        </row>
        <row r="277">
          <cell r="C277">
            <v>1714.12</v>
          </cell>
          <cell r="D277" t="str">
            <v>Improved bond reinf.steel</v>
          </cell>
          <cell r="E277" t="str">
            <v>Kg</v>
          </cell>
          <cell r="F277" t="str">
            <v>|</v>
          </cell>
          <cell r="G277">
            <v>0</v>
          </cell>
        </row>
        <row r="278">
          <cell r="C278">
            <v>1714.17</v>
          </cell>
          <cell r="D278" t="str">
            <v>Anchor bolts weight up to 20Kg</v>
          </cell>
          <cell r="E278" t="str">
            <v>Kg</v>
          </cell>
          <cell r="F278" t="str">
            <v>|</v>
          </cell>
          <cell r="G278">
            <v>0</v>
          </cell>
        </row>
        <row r="279">
          <cell r="C279">
            <v>1718.01</v>
          </cell>
          <cell r="D279" t="str">
            <v>Grout 25mm thk.</v>
          </cell>
          <cell r="E279" t="str">
            <v>sqm</v>
          </cell>
          <cell r="F279" t="str">
            <v>|</v>
          </cell>
          <cell r="G279">
            <v>0</v>
          </cell>
        </row>
        <row r="280">
          <cell r="C280">
            <v>1714.25</v>
          </cell>
          <cell r="D280" t="str">
            <v>Steel insert</v>
          </cell>
          <cell r="E280" t="str">
            <v>Kg</v>
          </cell>
          <cell r="F280" t="str">
            <v>|</v>
          </cell>
          <cell r="G280">
            <v>0</v>
          </cell>
        </row>
        <row r="281">
          <cell r="C281">
            <v>1711.02</v>
          </cell>
          <cell r="D281" t="str">
            <v>Bitumen coat for foundation</v>
          </cell>
          <cell r="E281" t="str">
            <v>sqm</v>
          </cell>
          <cell r="F281" t="str">
            <v>|</v>
          </cell>
          <cell r="G281">
            <v>0</v>
          </cell>
        </row>
        <row r="282">
          <cell r="C282">
            <v>1799.33</v>
          </cell>
          <cell r="D282" t="str">
            <v>Polyethylene sheet under foundations</v>
          </cell>
          <cell r="E282" t="str">
            <v>sqm</v>
          </cell>
          <cell r="F282" t="str">
            <v>|</v>
          </cell>
          <cell r="G282">
            <v>0</v>
          </cell>
        </row>
        <row r="283">
          <cell r="C283">
            <v>1799.35</v>
          </cell>
          <cell r="D283" t="str">
            <v>Coal Tar Epoxy painting on cls surfaces</v>
          </cell>
          <cell r="E283" t="str">
            <v>sqm</v>
          </cell>
          <cell r="F283" t="str">
            <v>|</v>
          </cell>
          <cell r="G283">
            <v>0</v>
          </cell>
        </row>
        <row r="284">
          <cell r="C284">
            <v>1718.22</v>
          </cell>
          <cell r="D284" t="str">
            <v>Acid-resistant lining w. epoxy</v>
          </cell>
          <cell r="E284" t="str">
            <v>sqm</v>
          </cell>
          <cell r="F284" t="str">
            <v>|</v>
          </cell>
          <cell r="G284">
            <v>0</v>
          </cell>
        </row>
        <row r="285">
          <cell r="C285">
            <v>1718.11</v>
          </cell>
          <cell r="D285" t="str">
            <v>PVC water-stop: 20cm wide</v>
          </cell>
          <cell r="E285" t="str">
            <v>lm</v>
          </cell>
          <cell r="F285" t="str">
            <v>|</v>
          </cell>
          <cell r="G285">
            <v>0</v>
          </cell>
        </row>
        <row r="286">
          <cell r="F286" t="str">
            <v>|</v>
          </cell>
        </row>
        <row r="287">
          <cell r="D287" t="str">
            <v>Total Concrete Walls</v>
          </cell>
          <cell r="E287" t="str">
            <v>cum</v>
          </cell>
          <cell r="F287" t="str">
            <v>|</v>
          </cell>
        </row>
        <row r="288">
          <cell r="F288" t="str">
            <v>|</v>
          </cell>
        </row>
        <row r="289">
          <cell r="D289" t="str">
            <v>SLEEPERS</v>
          </cell>
          <cell r="F289" t="str">
            <v>|</v>
          </cell>
        </row>
        <row r="290">
          <cell r="F290" t="str">
            <v>|</v>
          </cell>
        </row>
        <row r="291">
          <cell r="C291">
            <v>1711.05</v>
          </cell>
          <cell r="D291" t="str">
            <v xml:space="preserve">Sleepers </v>
          </cell>
          <cell r="E291" t="str">
            <v>lm</v>
          </cell>
          <cell r="F291" t="str">
            <v>|</v>
          </cell>
          <cell r="G291">
            <v>0</v>
          </cell>
        </row>
        <row r="292">
          <cell r="C292">
            <v>1799.23</v>
          </cell>
          <cell r="D292" t="str">
            <v>Sleepers type "1"</v>
          </cell>
          <cell r="E292" t="str">
            <v>lm</v>
          </cell>
          <cell r="F292" t="str">
            <v>|</v>
          </cell>
          <cell r="G292">
            <v>0</v>
          </cell>
        </row>
        <row r="293">
          <cell r="C293">
            <v>1799.24</v>
          </cell>
          <cell r="D293" t="str">
            <v>Sleepers fixed point type</v>
          </cell>
          <cell r="E293" t="str">
            <v>cum</v>
          </cell>
          <cell r="F293" t="str">
            <v>|</v>
          </cell>
          <cell r="G293">
            <v>0</v>
          </cell>
        </row>
        <row r="294">
          <cell r="F294" t="str">
            <v>|</v>
          </cell>
        </row>
        <row r="295">
          <cell r="D295" t="str">
            <v>Total Sleepers</v>
          </cell>
          <cell r="E295" t="str">
            <v>lm</v>
          </cell>
          <cell r="F295" t="str">
            <v>|</v>
          </cell>
        </row>
        <row r="296">
          <cell r="F296" t="str">
            <v>|</v>
          </cell>
        </row>
        <row r="297">
          <cell r="D297" t="str">
            <v>FIREPROOFING</v>
          </cell>
          <cell r="F297" t="str">
            <v>|</v>
          </cell>
        </row>
        <row r="298">
          <cell r="F298" t="str">
            <v>|</v>
          </cell>
        </row>
        <row r="299">
          <cell r="C299">
            <v>1717.01</v>
          </cell>
          <cell r="D299" t="str">
            <v>Concrete for steel structure</v>
          </cell>
          <cell r="E299" t="str">
            <v>cum</v>
          </cell>
          <cell r="F299" t="str">
            <v>|</v>
          </cell>
          <cell r="G299">
            <v>0</v>
          </cell>
        </row>
        <row r="300">
          <cell r="C300">
            <v>1717.03</v>
          </cell>
          <cell r="D300" t="str">
            <v>Concrete for vessel bottom</v>
          </cell>
          <cell r="E300" t="str">
            <v>cum</v>
          </cell>
          <cell r="F300" t="str">
            <v>|</v>
          </cell>
          <cell r="G300">
            <v>0</v>
          </cell>
        </row>
        <row r="301">
          <cell r="C301">
            <v>1717.06</v>
          </cell>
          <cell r="D301" t="str">
            <v>Sprayed mortar for skirt</v>
          </cell>
          <cell r="E301" t="str">
            <v>sqm</v>
          </cell>
          <cell r="F301" t="str">
            <v>|</v>
          </cell>
          <cell r="G301">
            <v>0</v>
          </cell>
        </row>
        <row r="302">
          <cell r="C302">
            <v>1717.07</v>
          </cell>
          <cell r="D302" t="str">
            <v>Sprayed mortar for vessel bott</v>
          </cell>
          <cell r="E302" t="str">
            <v>sqm</v>
          </cell>
          <cell r="F302" t="str">
            <v>|</v>
          </cell>
          <cell r="G302">
            <v>0</v>
          </cell>
        </row>
        <row r="303">
          <cell r="C303">
            <v>1717.04</v>
          </cell>
          <cell r="D303" t="str">
            <v>Concrete for skirt-curb</v>
          </cell>
          <cell r="E303" t="str">
            <v>cum</v>
          </cell>
          <cell r="F303" t="str">
            <v>|</v>
          </cell>
          <cell r="G303">
            <v>0</v>
          </cell>
        </row>
        <row r="304">
          <cell r="F304" t="str">
            <v>|</v>
          </cell>
        </row>
        <row r="305">
          <cell r="D305" t="str">
            <v>Total Fireproofing</v>
          </cell>
          <cell r="E305" t="str">
            <v>cum</v>
          </cell>
          <cell r="F305" t="str">
            <v>|</v>
          </cell>
        </row>
        <row r="306">
          <cell r="F306" t="str">
            <v>|</v>
          </cell>
        </row>
        <row r="307">
          <cell r="D307" t="str">
            <v>SEWERS</v>
          </cell>
          <cell r="F307" t="str">
            <v>|</v>
          </cell>
        </row>
        <row r="308">
          <cell r="F308" t="str">
            <v>|</v>
          </cell>
        </row>
        <row r="309">
          <cell r="C309">
            <v>2111.3000000000002</v>
          </cell>
          <cell r="D309" t="str">
            <v>Soil sect.exc.by mach.up to 2m</v>
          </cell>
          <cell r="E309" t="str">
            <v>cum</v>
          </cell>
          <cell r="F309" t="str">
            <v>|</v>
          </cell>
          <cell r="G309">
            <v>0</v>
          </cell>
        </row>
        <row r="310">
          <cell r="C310">
            <v>2111.1</v>
          </cell>
          <cell r="D310" t="str">
            <v>Soil sect.exc.by hand up to 2m</v>
          </cell>
          <cell r="E310" t="str">
            <v>cum</v>
          </cell>
          <cell r="F310" t="str">
            <v>|</v>
          </cell>
          <cell r="G310">
            <v>130</v>
          </cell>
        </row>
        <row r="311">
          <cell r="C311">
            <v>2112.04</v>
          </cell>
          <cell r="D311" t="str">
            <v>Materials from excav.transport</v>
          </cell>
          <cell r="E311" t="str">
            <v>cum</v>
          </cell>
          <cell r="F311" t="str">
            <v>|</v>
          </cell>
          <cell r="G311">
            <v>8</v>
          </cell>
        </row>
        <row r="312">
          <cell r="C312">
            <v>2113.0100000000002</v>
          </cell>
          <cell r="D312" t="str">
            <v>Backfill w/ matl from exc.</v>
          </cell>
          <cell r="E312" t="str">
            <v>cum</v>
          </cell>
          <cell r="F312" t="str">
            <v>|</v>
          </cell>
          <cell r="G312">
            <v>122</v>
          </cell>
        </row>
        <row r="313">
          <cell r="C313">
            <v>1710.02</v>
          </cell>
          <cell r="D313" t="str">
            <v>Lean concrete 10cm thk.</v>
          </cell>
          <cell r="E313" t="str">
            <v>sqm</v>
          </cell>
          <cell r="F313" t="str">
            <v>|</v>
          </cell>
          <cell r="G313">
            <v>0</v>
          </cell>
        </row>
        <row r="314">
          <cell r="C314">
            <v>1710.04</v>
          </cell>
          <cell r="D314" t="str">
            <v>L.C. for U/G pipes bedding</v>
          </cell>
          <cell r="E314" t="str">
            <v>cum</v>
          </cell>
          <cell r="F314" t="str">
            <v>|</v>
          </cell>
          <cell r="G314">
            <v>0</v>
          </cell>
        </row>
        <row r="315">
          <cell r="C315">
            <v>2113.0300000000002</v>
          </cell>
          <cell r="D315" t="str">
            <v>Sand for pipes bedding</v>
          </cell>
          <cell r="E315" t="str">
            <v>cum</v>
          </cell>
          <cell r="F315" t="str">
            <v>|</v>
          </cell>
          <cell r="G315">
            <v>4</v>
          </cell>
        </row>
        <row r="316">
          <cell r="C316">
            <v>1711.01</v>
          </cell>
          <cell r="D316" t="str">
            <v>Concrete for foundation</v>
          </cell>
          <cell r="E316" t="str">
            <v>cum</v>
          </cell>
          <cell r="F316" t="str">
            <v>|</v>
          </cell>
          <cell r="G316">
            <v>0</v>
          </cell>
        </row>
        <row r="317">
          <cell r="C317">
            <v>1714.01</v>
          </cell>
          <cell r="D317" t="str">
            <v>Formwork foundation</v>
          </cell>
          <cell r="E317" t="str">
            <v>sqm</v>
          </cell>
          <cell r="F317" t="str">
            <v>|</v>
          </cell>
          <cell r="G317">
            <v>0</v>
          </cell>
        </row>
        <row r="318">
          <cell r="C318">
            <v>1714.12</v>
          </cell>
          <cell r="D318" t="str">
            <v>Improved bond reinf.steel</v>
          </cell>
          <cell r="E318" t="str">
            <v>Kg</v>
          </cell>
          <cell r="F318" t="str">
            <v>|</v>
          </cell>
          <cell r="G318">
            <v>0</v>
          </cell>
        </row>
        <row r="319">
          <cell r="C319">
            <v>1715.1</v>
          </cell>
          <cell r="D319" t="str">
            <v>Galvanized grating cover</v>
          </cell>
          <cell r="E319" t="str">
            <v>Kg</v>
          </cell>
          <cell r="F319" t="str">
            <v>|</v>
          </cell>
          <cell r="G319">
            <v>0</v>
          </cell>
        </row>
        <row r="320">
          <cell r="C320">
            <v>1715.08</v>
          </cell>
          <cell r="D320" t="str">
            <v>Supply of cast iron cover</v>
          </cell>
          <cell r="E320" t="str">
            <v>Kg</v>
          </cell>
          <cell r="F320" t="str">
            <v>|</v>
          </cell>
          <cell r="G320">
            <v>0</v>
          </cell>
        </row>
        <row r="321">
          <cell r="C321">
            <v>1715.09</v>
          </cell>
          <cell r="D321" t="str">
            <v>Laying of cast-iron cover</v>
          </cell>
          <cell r="E321" t="str">
            <v>Kg</v>
          </cell>
          <cell r="F321" t="str">
            <v>|</v>
          </cell>
          <cell r="G321">
            <v>0</v>
          </cell>
        </row>
        <row r="322">
          <cell r="C322">
            <v>1715.12</v>
          </cell>
          <cell r="D322" t="str">
            <v>Checkered plate cover</v>
          </cell>
          <cell r="E322" t="str">
            <v>Kg</v>
          </cell>
          <cell r="F322" t="str">
            <v>|</v>
          </cell>
          <cell r="G322">
            <v>0</v>
          </cell>
        </row>
        <row r="323">
          <cell r="C323">
            <v>1715.07</v>
          </cell>
          <cell r="D323" t="str">
            <v>Prefabricated septic-tank</v>
          </cell>
          <cell r="E323" t="str">
            <v>u</v>
          </cell>
          <cell r="F323" t="str">
            <v>|</v>
          </cell>
          <cell r="G323">
            <v>0</v>
          </cell>
        </row>
        <row r="324">
          <cell r="C324">
            <v>1715.01</v>
          </cell>
          <cell r="D324" t="str">
            <v>Pit 0,5x0,5 to 0,9x0,9m</v>
          </cell>
          <cell r="E324" t="str">
            <v>cum</v>
          </cell>
          <cell r="F324" t="str">
            <v>|</v>
          </cell>
          <cell r="G324">
            <v>8</v>
          </cell>
        </row>
        <row r="325">
          <cell r="C325">
            <v>1715.02</v>
          </cell>
          <cell r="D325" t="str">
            <v>Pit 0,91x0,91 to 1,5x1,5m</v>
          </cell>
          <cell r="E325" t="str">
            <v>cum</v>
          </cell>
          <cell r="F325" t="str">
            <v>|</v>
          </cell>
          <cell r="G325">
            <v>0</v>
          </cell>
        </row>
        <row r="326">
          <cell r="C326">
            <v>1718.11</v>
          </cell>
          <cell r="D326" t="str">
            <v>PVC water-stop: 20cm wide</v>
          </cell>
          <cell r="E326" t="str">
            <v>lm</v>
          </cell>
          <cell r="F326" t="str">
            <v>|</v>
          </cell>
          <cell r="G326">
            <v>0</v>
          </cell>
        </row>
        <row r="327">
          <cell r="C327">
            <v>1718.12</v>
          </cell>
          <cell r="D327" t="str">
            <v>PVC water-stop: 30cm wide</v>
          </cell>
          <cell r="E327" t="str">
            <v>lm</v>
          </cell>
          <cell r="F327" t="str">
            <v>|</v>
          </cell>
          <cell r="G327">
            <v>0</v>
          </cell>
        </row>
        <row r="328">
          <cell r="C328">
            <v>1718.21</v>
          </cell>
          <cell r="D328" t="str">
            <v>Acid-resistant lining w. tiles</v>
          </cell>
          <cell r="E328" t="str">
            <v>sqm</v>
          </cell>
          <cell r="F328" t="str">
            <v>|</v>
          </cell>
          <cell r="G328">
            <v>0</v>
          </cell>
        </row>
        <row r="329">
          <cell r="C329">
            <v>1718.22</v>
          </cell>
          <cell r="D329" t="str">
            <v>Acid-resistant lining w. epoxy</v>
          </cell>
          <cell r="E329" t="str">
            <v>sqm</v>
          </cell>
          <cell r="F329" t="str">
            <v>|</v>
          </cell>
          <cell r="G329">
            <v>0</v>
          </cell>
        </row>
        <row r="330">
          <cell r="C330">
            <v>1416.01</v>
          </cell>
          <cell r="D330" t="str">
            <v>Carbon steel piping</v>
          </cell>
          <cell r="E330" t="str">
            <v>Kg</v>
          </cell>
          <cell r="F330" t="str">
            <v>|</v>
          </cell>
          <cell r="G330">
            <v>3740</v>
          </cell>
        </row>
        <row r="331">
          <cell r="C331">
            <v>1416.03</v>
          </cell>
          <cell r="D331" t="str">
            <v>Carbon steel valve</v>
          </cell>
          <cell r="E331" t="str">
            <v>Kg</v>
          </cell>
          <cell r="F331" t="str">
            <v>|</v>
          </cell>
          <cell r="G331">
            <v>0</v>
          </cell>
        </row>
        <row r="332">
          <cell r="C332">
            <v>1410.01</v>
          </cell>
          <cell r="D332" t="str">
            <v>Cast iron piping</v>
          </cell>
          <cell r="E332" t="str">
            <v>Kg</v>
          </cell>
          <cell r="F332" t="str">
            <v>|</v>
          </cell>
          <cell r="G332">
            <v>0</v>
          </cell>
        </row>
        <row r="333">
          <cell r="C333">
            <v>1411.16</v>
          </cell>
          <cell r="D333" t="str">
            <v>Centr. r.c. piping    dia.50cm</v>
          </cell>
          <cell r="E333" t="str">
            <v>lm</v>
          </cell>
          <cell r="F333" t="str">
            <v>|</v>
          </cell>
          <cell r="G333">
            <v>0</v>
          </cell>
        </row>
        <row r="334">
          <cell r="C334">
            <v>1411.35</v>
          </cell>
          <cell r="D334" t="str">
            <v>R.c. pip. inst. only  dia.50cm</v>
          </cell>
          <cell r="E334" t="str">
            <v>lm</v>
          </cell>
          <cell r="F334" t="str">
            <v>|</v>
          </cell>
          <cell r="G334">
            <v>0</v>
          </cell>
        </row>
        <row r="335">
          <cell r="C335">
            <v>1413.02</v>
          </cell>
          <cell r="D335" t="str">
            <v>PVC piping         dia. 160mm</v>
          </cell>
          <cell r="E335" t="str">
            <v>lm</v>
          </cell>
          <cell r="F335" t="str">
            <v>|</v>
          </cell>
          <cell r="G335">
            <v>0</v>
          </cell>
        </row>
        <row r="336">
          <cell r="C336">
            <v>1413.03</v>
          </cell>
          <cell r="D336" t="str">
            <v>PVC piping         dia. 200mm</v>
          </cell>
          <cell r="E336" t="str">
            <v>lm</v>
          </cell>
          <cell r="F336" t="str">
            <v>|</v>
          </cell>
          <cell r="G336">
            <v>0</v>
          </cell>
        </row>
        <row r="337">
          <cell r="C337">
            <v>2199.0300000000002</v>
          </cell>
          <cell r="D337" t="str">
            <v>Demol.&amp; Reinst. exist. roads fnds.</v>
          </cell>
          <cell r="E337" t="str">
            <v>cum</v>
          </cell>
          <cell r="F337" t="str">
            <v>|</v>
          </cell>
          <cell r="G337">
            <v>0</v>
          </cell>
        </row>
        <row r="338">
          <cell r="C338">
            <v>2199.02</v>
          </cell>
          <cell r="D338" t="str">
            <v>Exist. Binder &amp; W.course scarifying</v>
          </cell>
          <cell r="E338" t="str">
            <v>sqm</v>
          </cell>
          <cell r="F338" t="str">
            <v>|</v>
          </cell>
          <cell r="G338">
            <v>0</v>
          </cell>
        </row>
        <row r="339">
          <cell r="C339">
            <v>2115.15</v>
          </cell>
          <cell r="D339" t="str">
            <v>Reinst.of binder &amp; wear.course</v>
          </cell>
          <cell r="E339" t="str">
            <v>sqm</v>
          </cell>
          <cell r="F339" t="str">
            <v>|</v>
          </cell>
          <cell r="G339">
            <v>0</v>
          </cell>
        </row>
        <row r="340">
          <cell r="C340">
            <v>1714.25</v>
          </cell>
          <cell r="D340" t="str">
            <v>Steel insert</v>
          </cell>
          <cell r="E340" t="str">
            <v>Kg</v>
          </cell>
          <cell r="F340" t="str">
            <v>|</v>
          </cell>
          <cell r="G340">
            <v>0</v>
          </cell>
        </row>
        <row r="341">
          <cell r="C341">
            <v>2114.0500000000002</v>
          </cell>
          <cell r="D341" t="str">
            <v>Reinforced concrete demol.</v>
          </cell>
          <cell r="E341" t="str">
            <v>cum</v>
          </cell>
          <cell r="F341" t="str">
            <v>|</v>
          </cell>
          <cell r="G341">
            <v>0</v>
          </cell>
        </row>
        <row r="342">
          <cell r="C342">
            <v>1799.02</v>
          </cell>
          <cell r="D342" t="str">
            <v>Waterproof cement additive</v>
          </cell>
          <cell r="E342" t="str">
            <v>kg</v>
          </cell>
          <cell r="F342" t="str">
            <v>|</v>
          </cell>
          <cell r="G342">
            <v>0</v>
          </cell>
        </row>
        <row r="343">
          <cell r="C343">
            <v>1499.04</v>
          </cell>
          <cell r="D343" t="str">
            <v>Carbon steel vents</v>
          </cell>
          <cell r="E343" t="str">
            <v>Kg</v>
          </cell>
          <cell r="F343" t="str">
            <v>|</v>
          </cell>
          <cell r="G343">
            <v>0</v>
          </cell>
        </row>
        <row r="344">
          <cell r="C344">
            <v>1499.01</v>
          </cell>
          <cell r="D344" t="str">
            <v>Cast iron floor drain  diam. 6"</v>
          </cell>
          <cell r="E344" t="str">
            <v>u</v>
          </cell>
          <cell r="F344" t="str">
            <v>|</v>
          </cell>
          <cell r="G344">
            <v>0</v>
          </cell>
        </row>
        <row r="345">
          <cell r="C345">
            <v>1499.02</v>
          </cell>
          <cell r="D345" t="str">
            <v>Carbon steel drain hubs 4"</v>
          </cell>
          <cell r="E345" t="str">
            <v>u</v>
          </cell>
          <cell r="F345" t="str">
            <v>|</v>
          </cell>
          <cell r="G345">
            <v>0</v>
          </cell>
        </row>
        <row r="346">
          <cell r="C346">
            <v>1499.03</v>
          </cell>
          <cell r="D346" t="str">
            <v>Carbon steel clean out diam. 6"</v>
          </cell>
          <cell r="E346" t="str">
            <v>u</v>
          </cell>
          <cell r="F346" t="str">
            <v>|</v>
          </cell>
          <cell r="G346">
            <v>0</v>
          </cell>
        </row>
        <row r="347">
          <cell r="C347">
            <v>1711.02</v>
          </cell>
          <cell r="D347" t="str">
            <v>Bitumen coat for foundation</v>
          </cell>
          <cell r="E347" t="str">
            <v>sqm</v>
          </cell>
          <cell r="F347" t="str">
            <v>|</v>
          </cell>
          <cell r="G347">
            <v>0</v>
          </cell>
        </row>
        <row r="348">
          <cell r="C348">
            <v>1799.33</v>
          </cell>
          <cell r="D348" t="str">
            <v>Polyethylene sheet under foundations</v>
          </cell>
          <cell r="E348" t="str">
            <v>sqm</v>
          </cell>
          <cell r="F348" t="str">
            <v>|</v>
          </cell>
          <cell r="G348">
            <v>0</v>
          </cell>
        </row>
        <row r="349">
          <cell r="C349">
            <v>2114.0700000000002</v>
          </cell>
          <cell r="D349" t="str">
            <v>Reinf. concrete paving demol.</v>
          </cell>
          <cell r="E349" t="str">
            <v>sqm</v>
          </cell>
          <cell r="F349" t="str">
            <v>|</v>
          </cell>
          <cell r="G349">
            <v>0</v>
          </cell>
        </row>
        <row r="350">
          <cell r="C350">
            <v>1716.05</v>
          </cell>
          <cell r="D350" t="str">
            <v>Reinf.concrete paving thk 15cm</v>
          </cell>
          <cell r="E350" t="str">
            <v>sqm</v>
          </cell>
          <cell r="F350" t="str">
            <v>|</v>
          </cell>
          <cell r="G350">
            <v>0</v>
          </cell>
        </row>
        <row r="351">
          <cell r="F351" t="str">
            <v>|</v>
          </cell>
        </row>
        <row r="352">
          <cell r="D352" t="str">
            <v>Total Sewers</v>
          </cell>
          <cell r="E352" t="str">
            <v>lm</v>
          </cell>
          <cell r="F352" t="str">
            <v>|</v>
          </cell>
        </row>
        <row r="353">
          <cell r="F353" t="str">
            <v>|</v>
          </cell>
        </row>
        <row r="354">
          <cell r="D354" t="str">
            <v xml:space="preserve"> UNDERGROUND PIPING</v>
          </cell>
          <cell r="F354" t="str">
            <v>|</v>
          </cell>
        </row>
        <row r="355">
          <cell r="F355" t="str">
            <v>|</v>
          </cell>
        </row>
        <row r="356">
          <cell r="C356">
            <v>2111.3000000000002</v>
          </cell>
          <cell r="D356" t="str">
            <v>Soil sect.exc.by mach.up to 2m</v>
          </cell>
          <cell r="E356" t="str">
            <v>cum</v>
          </cell>
          <cell r="F356" t="str">
            <v>|</v>
          </cell>
          <cell r="G356">
            <v>0</v>
          </cell>
        </row>
        <row r="357">
          <cell r="C357">
            <v>2111.1</v>
          </cell>
          <cell r="D357" t="str">
            <v>Soil sect.exc.by hand up to 2m</v>
          </cell>
          <cell r="E357" t="str">
            <v>cum</v>
          </cell>
          <cell r="F357" t="str">
            <v>|</v>
          </cell>
          <cell r="G357">
            <v>230</v>
          </cell>
        </row>
        <row r="358">
          <cell r="C358">
            <v>2111.31</v>
          </cell>
          <cell r="D358" t="str">
            <v>Sect.exc.mach.from 2to4m depth</v>
          </cell>
          <cell r="E358" t="str">
            <v>cum</v>
          </cell>
          <cell r="F358" t="str">
            <v>|</v>
          </cell>
          <cell r="G358">
            <v>0</v>
          </cell>
        </row>
        <row r="359">
          <cell r="C359">
            <v>2111.11</v>
          </cell>
          <cell r="D359" t="str">
            <v>Sect.exc.hand from 2to4m depth</v>
          </cell>
          <cell r="E359" t="str">
            <v>cum</v>
          </cell>
          <cell r="F359" t="str">
            <v>|</v>
          </cell>
          <cell r="G359">
            <v>0</v>
          </cell>
        </row>
        <row r="360">
          <cell r="C360">
            <v>2111.3200000000002</v>
          </cell>
          <cell r="D360" t="str">
            <v>Sect.exc.mach.exceed. 4m depth</v>
          </cell>
          <cell r="E360" t="str">
            <v>cum</v>
          </cell>
          <cell r="F360" t="str">
            <v>|</v>
          </cell>
          <cell r="G360">
            <v>0</v>
          </cell>
        </row>
        <row r="361">
          <cell r="C361">
            <v>2111.12</v>
          </cell>
          <cell r="D361" t="str">
            <v>Sect.exc.hand exceed. 4m depth</v>
          </cell>
          <cell r="E361" t="str">
            <v>cum</v>
          </cell>
          <cell r="F361" t="str">
            <v>|</v>
          </cell>
          <cell r="G361">
            <v>0</v>
          </cell>
        </row>
        <row r="362">
          <cell r="C362">
            <v>2111.4</v>
          </cell>
          <cell r="D362" t="str">
            <v>Extra price for water table by mach.</v>
          </cell>
          <cell r="E362" t="str">
            <v>cum</v>
          </cell>
          <cell r="F362" t="str">
            <v>|</v>
          </cell>
          <cell r="G362">
            <v>0</v>
          </cell>
        </row>
        <row r="363">
          <cell r="C363">
            <v>2111.1999999999998</v>
          </cell>
          <cell r="D363" t="str">
            <v>Extra price for water table by hand</v>
          </cell>
          <cell r="E363" t="str">
            <v>cum</v>
          </cell>
          <cell r="F363" t="str">
            <v>|</v>
          </cell>
          <cell r="G363">
            <v>0</v>
          </cell>
        </row>
        <row r="364">
          <cell r="C364">
            <v>2112.04</v>
          </cell>
          <cell r="D364" t="str">
            <v>Materials from excav.transport</v>
          </cell>
          <cell r="E364" t="str">
            <v>cum</v>
          </cell>
          <cell r="F364" t="str">
            <v>|</v>
          </cell>
          <cell r="G364">
            <v>20</v>
          </cell>
        </row>
        <row r="365">
          <cell r="C365">
            <v>2113.0100000000002</v>
          </cell>
          <cell r="D365" t="str">
            <v>Backfill w/ matl from exc.</v>
          </cell>
          <cell r="E365" t="str">
            <v>cum</v>
          </cell>
          <cell r="F365" t="str">
            <v>|</v>
          </cell>
          <cell r="G365">
            <v>210</v>
          </cell>
        </row>
        <row r="366">
          <cell r="C366">
            <v>2199.21</v>
          </cell>
          <cell r="D366" t="str">
            <v>Backfill with desert matl.</v>
          </cell>
          <cell r="E366" t="str">
            <v>cum</v>
          </cell>
          <cell r="F366" t="str">
            <v>|</v>
          </cell>
          <cell r="G366">
            <v>0</v>
          </cell>
        </row>
        <row r="367">
          <cell r="C367">
            <v>2113.0300000000002</v>
          </cell>
          <cell r="D367" t="str">
            <v>Sand for pipes bedding</v>
          </cell>
          <cell r="E367" t="str">
            <v>cum</v>
          </cell>
          <cell r="F367" t="str">
            <v>|</v>
          </cell>
          <cell r="G367">
            <v>5</v>
          </cell>
        </row>
        <row r="368">
          <cell r="C368">
            <v>1711.02</v>
          </cell>
          <cell r="D368" t="str">
            <v>Bitumen coat for foundation</v>
          </cell>
          <cell r="E368" t="str">
            <v>sqm</v>
          </cell>
          <cell r="F368" t="str">
            <v>|</v>
          </cell>
          <cell r="G368">
            <v>0</v>
          </cell>
        </row>
        <row r="369">
          <cell r="C369">
            <v>1799.33</v>
          </cell>
          <cell r="D369" t="str">
            <v>Polyethylene sheet under foundations</v>
          </cell>
          <cell r="E369" t="str">
            <v>sqm</v>
          </cell>
          <cell r="F369" t="str">
            <v>|</v>
          </cell>
          <cell r="G369">
            <v>0</v>
          </cell>
        </row>
        <row r="370">
          <cell r="C370">
            <v>1710.02</v>
          </cell>
          <cell r="D370" t="str">
            <v>Lean concrete 10cm thk.</v>
          </cell>
          <cell r="E370" t="str">
            <v>sqm</v>
          </cell>
          <cell r="F370" t="str">
            <v>|</v>
          </cell>
          <cell r="G370">
            <v>0</v>
          </cell>
        </row>
        <row r="371">
          <cell r="C371">
            <v>1711.01</v>
          </cell>
          <cell r="D371" t="str">
            <v>Concrete for foundation</v>
          </cell>
          <cell r="E371" t="str">
            <v>cum</v>
          </cell>
          <cell r="F371" t="str">
            <v>|</v>
          </cell>
          <cell r="G371">
            <v>0</v>
          </cell>
        </row>
        <row r="372">
          <cell r="C372">
            <v>1712.01</v>
          </cell>
          <cell r="D372" t="str">
            <v>Concrete elev. up to 10m</v>
          </cell>
          <cell r="E372" t="str">
            <v>cum</v>
          </cell>
          <cell r="F372" t="str">
            <v>|</v>
          </cell>
          <cell r="G372">
            <v>0</v>
          </cell>
        </row>
        <row r="373">
          <cell r="C373">
            <v>1714.01</v>
          </cell>
          <cell r="D373" t="str">
            <v>Formwork foundation</v>
          </cell>
          <cell r="E373" t="str">
            <v>sqm</v>
          </cell>
          <cell r="F373" t="str">
            <v>|</v>
          </cell>
          <cell r="G373">
            <v>0</v>
          </cell>
        </row>
        <row r="374">
          <cell r="C374">
            <v>1714.02</v>
          </cell>
          <cell r="D374" t="str">
            <v>Formwork elev. up to 10m</v>
          </cell>
          <cell r="E374" t="str">
            <v>sqm</v>
          </cell>
          <cell r="F374" t="str">
            <v>|</v>
          </cell>
          <cell r="G374">
            <v>0</v>
          </cell>
        </row>
        <row r="375">
          <cell r="C375">
            <v>1714.12</v>
          </cell>
          <cell r="D375" t="str">
            <v>Improved bond reinf.steel</v>
          </cell>
          <cell r="E375" t="str">
            <v>Kg</v>
          </cell>
          <cell r="F375" t="str">
            <v>|</v>
          </cell>
          <cell r="G375">
            <v>0</v>
          </cell>
        </row>
        <row r="376">
          <cell r="C376">
            <v>1718.11</v>
          </cell>
          <cell r="D376" t="str">
            <v>PVC water-stop: 20cm wide</v>
          </cell>
          <cell r="E376" t="str">
            <v>lm</v>
          </cell>
          <cell r="F376" t="str">
            <v>|</v>
          </cell>
          <cell r="G376">
            <v>0</v>
          </cell>
        </row>
        <row r="377">
          <cell r="C377">
            <v>1714.25</v>
          </cell>
          <cell r="D377" t="str">
            <v>Steel insert</v>
          </cell>
          <cell r="E377" t="str">
            <v>Kg</v>
          </cell>
          <cell r="F377" t="str">
            <v>|</v>
          </cell>
          <cell r="G377">
            <v>0</v>
          </cell>
        </row>
        <row r="378">
          <cell r="C378">
            <v>1799.1</v>
          </cell>
          <cell r="D378" t="str">
            <v>Hydrants Basements</v>
          </cell>
          <cell r="E378" t="str">
            <v>u</v>
          </cell>
          <cell r="F378" t="str">
            <v>|</v>
          </cell>
          <cell r="G378">
            <v>0</v>
          </cell>
        </row>
        <row r="379">
          <cell r="C379">
            <v>1799.11</v>
          </cell>
          <cell r="D379" t="str">
            <v>Lance Monitor Basements</v>
          </cell>
          <cell r="E379" t="str">
            <v>u</v>
          </cell>
          <cell r="F379" t="str">
            <v>|</v>
          </cell>
          <cell r="G379">
            <v>0</v>
          </cell>
        </row>
        <row r="380">
          <cell r="C380">
            <v>1715.02</v>
          </cell>
          <cell r="D380" t="str">
            <v>Pit 0,91x0,91 to 1,5x1,5m</v>
          </cell>
          <cell r="E380" t="str">
            <v>cum</v>
          </cell>
          <cell r="F380" t="str">
            <v>|</v>
          </cell>
          <cell r="G380">
            <v>5</v>
          </cell>
        </row>
        <row r="381">
          <cell r="C381">
            <v>1715.12</v>
          </cell>
          <cell r="D381" t="str">
            <v>Checkered plate cover</v>
          </cell>
          <cell r="E381" t="str">
            <v>Kg</v>
          </cell>
          <cell r="F381" t="str">
            <v>|</v>
          </cell>
          <cell r="G381">
            <v>0</v>
          </cell>
        </row>
        <row r="382">
          <cell r="C382">
            <v>2115.15</v>
          </cell>
          <cell r="D382" t="str">
            <v>Reinst.of binder &amp; wear.course</v>
          </cell>
          <cell r="E382" t="str">
            <v>sqm</v>
          </cell>
          <cell r="F382" t="str">
            <v>|</v>
          </cell>
          <cell r="G382">
            <v>0</v>
          </cell>
        </row>
        <row r="383">
          <cell r="C383">
            <v>2199.0300000000002</v>
          </cell>
          <cell r="D383" t="str">
            <v>Demol.&amp; Reinst. exist. roads fnds.</v>
          </cell>
          <cell r="E383" t="str">
            <v>cum</v>
          </cell>
          <cell r="F383" t="str">
            <v>|</v>
          </cell>
          <cell r="G383">
            <v>0</v>
          </cell>
        </row>
        <row r="384">
          <cell r="C384">
            <v>2199.02</v>
          </cell>
          <cell r="D384" t="str">
            <v>Exist. Binder &amp; W.course scarifying</v>
          </cell>
          <cell r="E384" t="str">
            <v>sqm</v>
          </cell>
          <cell r="F384" t="str">
            <v>|</v>
          </cell>
          <cell r="G384">
            <v>0</v>
          </cell>
        </row>
        <row r="385">
          <cell r="C385">
            <v>2114.0700000000002</v>
          </cell>
          <cell r="D385" t="str">
            <v>Reinf. concrete paving demol.</v>
          </cell>
          <cell r="E385" t="str">
            <v>sqm</v>
          </cell>
          <cell r="F385" t="str">
            <v>|</v>
          </cell>
          <cell r="G385">
            <v>0</v>
          </cell>
        </row>
        <row r="386">
          <cell r="C386">
            <v>1716.05</v>
          </cell>
          <cell r="D386" t="str">
            <v>Reinf.concrete paving thk 15cm</v>
          </cell>
          <cell r="E386" t="str">
            <v>sqm</v>
          </cell>
          <cell r="F386" t="str">
            <v>|</v>
          </cell>
          <cell r="G386">
            <v>0</v>
          </cell>
        </row>
        <row r="387">
          <cell r="F387" t="str">
            <v>|</v>
          </cell>
        </row>
        <row r="388">
          <cell r="D388" t="str">
            <v>Total Underground Piping</v>
          </cell>
          <cell r="E388" t="str">
            <v>lm</v>
          </cell>
          <cell r="F388" t="str">
            <v>|</v>
          </cell>
        </row>
        <row r="389">
          <cell r="F389" t="str">
            <v>|</v>
          </cell>
        </row>
        <row r="390">
          <cell r="D390" t="str">
            <v>ELECTRICAL CABLE TRENCHES</v>
          </cell>
          <cell r="F390" t="str">
            <v>|</v>
          </cell>
        </row>
        <row r="391">
          <cell r="F391" t="str">
            <v>|</v>
          </cell>
        </row>
        <row r="392">
          <cell r="C392">
            <v>2111.3000000000002</v>
          </cell>
          <cell r="D392" t="str">
            <v>Soil sect.exc.by mach.up to 2m</v>
          </cell>
          <cell r="E392" t="str">
            <v>cum</v>
          </cell>
          <cell r="F392" t="str">
            <v>|</v>
          </cell>
          <cell r="G392">
            <v>0</v>
          </cell>
        </row>
        <row r="393">
          <cell r="C393">
            <v>2111.1</v>
          </cell>
          <cell r="D393" t="str">
            <v>Soil sect.exc.by hand up to 2m</v>
          </cell>
          <cell r="E393" t="str">
            <v>cum</v>
          </cell>
          <cell r="F393" t="str">
            <v>|</v>
          </cell>
          <cell r="G393">
            <v>435</v>
          </cell>
        </row>
        <row r="394">
          <cell r="C394">
            <v>2112.04</v>
          </cell>
          <cell r="D394" t="str">
            <v>Materials from excav.transport</v>
          </cell>
          <cell r="E394" t="str">
            <v>cum</v>
          </cell>
          <cell r="F394" t="str">
            <v>|</v>
          </cell>
          <cell r="G394">
            <v>125</v>
          </cell>
        </row>
        <row r="395">
          <cell r="C395">
            <v>2113.0100000000002</v>
          </cell>
          <cell r="D395" t="str">
            <v>Backfill w/ matl from exc.</v>
          </cell>
          <cell r="E395" t="str">
            <v>cum</v>
          </cell>
          <cell r="F395" t="str">
            <v>|</v>
          </cell>
          <cell r="G395">
            <v>310</v>
          </cell>
        </row>
        <row r="396">
          <cell r="C396">
            <v>1710.02</v>
          </cell>
          <cell r="D396" t="str">
            <v>Lean concrete 10cm thk.</v>
          </cell>
          <cell r="E396" t="str">
            <v>sqm</v>
          </cell>
          <cell r="F396" t="str">
            <v>|</v>
          </cell>
          <cell r="G396">
            <v>0</v>
          </cell>
        </row>
        <row r="397">
          <cell r="C397">
            <v>2010.01</v>
          </cell>
          <cell r="D397" t="str">
            <v>Hollow-block wall 20cm thk</v>
          </cell>
          <cell r="E397" t="str">
            <v>sqm</v>
          </cell>
          <cell r="F397" t="str">
            <v>|</v>
          </cell>
          <cell r="G397">
            <v>0</v>
          </cell>
        </row>
        <row r="398">
          <cell r="C398">
            <v>1716.06</v>
          </cell>
          <cell r="D398" t="str">
            <v>Reinf.concrete paving thk 20cm</v>
          </cell>
          <cell r="E398" t="str">
            <v>sqm</v>
          </cell>
          <cell r="F398" t="str">
            <v>|</v>
          </cell>
          <cell r="G398">
            <v>230</v>
          </cell>
        </row>
        <row r="399">
          <cell r="C399">
            <v>1711.01</v>
          </cell>
          <cell r="D399" t="str">
            <v>Concrete for foundation</v>
          </cell>
          <cell r="E399" t="str">
            <v>cum</v>
          </cell>
          <cell r="F399" t="str">
            <v>|</v>
          </cell>
          <cell r="G399">
            <v>0</v>
          </cell>
        </row>
        <row r="400">
          <cell r="C400">
            <v>1711.09</v>
          </cell>
          <cell r="D400" t="str">
            <v>Duct bank with PVC pipes</v>
          </cell>
          <cell r="E400" t="str">
            <v>cum</v>
          </cell>
          <cell r="F400" t="str">
            <v>|</v>
          </cell>
          <cell r="G400">
            <v>125</v>
          </cell>
        </row>
        <row r="401">
          <cell r="C401">
            <v>1714.01</v>
          </cell>
          <cell r="D401" t="str">
            <v>Formwork foundation</v>
          </cell>
          <cell r="E401" t="str">
            <v>sqm</v>
          </cell>
          <cell r="F401" t="str">
            <v>|</v>
          </cell>
          <cell r="G401">
            <v>0</v>
          </cell>
        </row>
        <row r="402">
          <cell r="C402">
            <v>1714.12</v>
          </cell>
          <cell r="D402" t="str">
            <v>Improved bond reinf.steel</v>
          </cell>
          <cell r="E402" t="str">
            <v>Kg</v>
          </cell>
          <cell r="F402" t="str">
            <v>|</v>
          </cell>
          <cell r="G402">
            <v>0</v>
          </cell>
        </row>
        <row r="403">
          <cell r="C403">
            <v>1714.13</v>
          </cell>
          <cell r="D403" t="str">
            <v>Welded wire mesh</v>
          </cell>
          <cell r="E403" t="str">
            <v>Kg</v>
          </cell>
          <cell r="F403" t="str">
            <v>|</v>
          </cell>
          <cell r="G403">
            <v>0</v>
          </cell>
        </row>
        <row r="404">
          <cell r="C404">
            <v>1718.03</v>
          </cell>
          <cell r="D404" t="str">
            <v>Grout &gt;50mm thk.</v>
          </cell>
          <cell r="E404" t="str">
            <v>cum</v>
          </cell>
          <cell r="F404" t="str">
            <v>|</v>
          </cell>
          <cell r="G404">
            <v>0</v>
          </cell>
        </row>
        <row r="405">
          <cell r="C405">
            <v>1714.25</v>
          </cell>
          <cell r="D405" t="str">
            <v>Steel insert</v>
          </cell>
          <cell r="E405" t="str">
            <v>Kg</v>
          </cell>
          <cell r="F405" t="str">
            <v>|</v>
          </cell>
          <cell r="G405">
            <v>0</v>
          </cell>
        </row>
        <row r="406">
          <cell r="C406">
            <v>1710.05</v>
          </cell>
          <cell r="D406" t="str">
            <v>Red coloured lean concrete</v>
          </cell>
          <cell r="E406" t="str">
            <v>sqm</v>
          </cell>
          <cell r="F406" t="str">
            <v>|</v>
          </cell>
          <cell r="G406">
            <v>0</v>
          </cell>
        </row>
        <row r="407">
          <cell r="C407">
            <v>2113.04</v>
          </cell>
          <cell r="D407" t="str">
            <v>Sand for cables bedding</v>
          </cell>
          <cell r="E407" t="str">
            <v>cum</v>
          </cell>
          <cell r="F407" t="str">
            <v>|</v>
          </cell>
          <cell r="G407">
            <v>0</v>
          </cell>
        </row>
        <row r="408">
          <cell r="C408">
            <v>1799.33</v>
          </cell>
          <cell r="D408" t="str">
            <v>Polyethylene sheet under foundations</v>
          </cell>
          <cell r="E408" t="str">
            <v>sqm</v>
          </cell>
          <cell r="F408" t="str">
            <v>|</v>
          </cell>
          <cell r="G408">
            <v>0</v>
          </cell>
        </row>
        <row r="409">
          <cell r="C409">
            <v>1715.03</v>
          </cell>
          <cell r="D409" t="str">
            <v>Pit for cables 1,5x1,5 max</v>
          </cell>
          <cell r="E409" t="str">
            <v>cum</v>
          </cell>
          <cell r="F409" t="str">
            <v>|</v>
          </cell>
          <cell r="G409">
            <v>21</v>
          </cell>
        </row>
        <row r="410">
          <cell r="C410">
            <v>1715.12</v>
          </cell>
          <cell r="D410" t="str">
            <v>Checkered plate cover</v>
          </cell>
          <cell r="E410" t="str">
            <v>Kg</v>
          </cell>
          <cell r="F410" t="str">
            <v>|</v>
          </cell>
          <cell r="G410">
            <v>0</v>
          </cell>
        </row>
        <row r="411">
          <cell r="C411">
            <v>1711.11</v>
          </cell>
          <cell r="D411" t="str">
            <v>PVC pipes dia.110 to 160mm</v>
          </cell>
          <cell r="E411" t="str">
            <v>lm</v>
          </cell>
          <cell r="F411" t="str">
            <v>|</v>
          </cell>
          <cell r="G411">
            <v>0</v>
          </cell>
        </row>
        <row r="412">
          <cell r="C412">
            <v>1413.03</v>
          </cell>
          <cell r="D412" t="str">
            <v>PVC piping         dia. 200mm</v>
          </cell>
          <cell r="E412" t="str">
            <v>lm</v>
          </cell>
          <cell r="F412" t="str">
            <v>|</v>
          </cell>
          <cell r="G412">
            <v>0</v>
          </cell>
        </row>
        <row r="413">
          <cell r="C413">
            <v>1799.03</v>
          </cell>
          <cell r="D413" t="str">
            <v>Precast concrete covers 10 cm thick</v>
          </cell>
          <cell r="E413" t="str">
            <v>sqm</v>
          </cell>
          <cell r="F413" t="str">
            <v>|</v>
          </cell>
          <cell r="G413">
            <v>0</v>
          </cell>
        </row>
        <row r="414">
          <cell r="C414">
            <v>1799.04</v>
          </cell>
          <cell r="D414" t="str">
            <v>Precast concrete covers 15 cm thick</v>
          </cell>
          <cell r="E414" t="str">
            <v>sqm</v>
          </cell>
          <cell r="F414" t="str">
            <v>|</v>
          </cell>
          <cell r="G414">
            <v>0</v>
          </cell>
        </row>
        <row r="415">
          <cell r="C415">
            <v>1799.3</v>
          </cell>
          <cell r="D415" t="str">
            <v>Precast concrete covers 20 cm thick</v>
          </cell>
          <cell r="E415" t="str">
            <v>sqm</v>
          </cell>
          <cell r="F415" t="str">
            <v>|</v>
          </cell>
          <cell r="G415">
            <v>0</v>
          </cell>
        </row>
        <row r="416">
          <cell r="C416">
            <v>2199.0300000000002</v>
          </cell>
          <cell r="D416" t="str">
            <v>Demol.&amp; Reinst. exist. roads fnds.</v>
          </cell>
          <cell r="E416" t="str">
            <v>cum</v>
          </cell>
          <cell r="F416" t="str">
            <v>|</v>
          </cell>
          <cell r="G416">
            <v>0</v>
          </cell>
        </row>
        <row r="417">
          <cell r="C417">
            <v>2199.02</v>
          </cell>
          <cell r="D417" t="str">
            <v>Exist. Binder &amp; W.course scarifying</v>
          </cell>
          <cell r="E417" t="str">
            <v>sqm</v>
          </cell>
          <cell r="F417" t="str">
            <v>|</v>
          </cell>
          <cell r="G417">
            <v>0</v>
          </cell>
        </row>
        <row r="418">
          <cell r="C418">
            <v>2115.15</v>
          </cell>
          <cell r="D418" t="str">
            <v>Reinst.of binder &amp; wear.course</v>
          </cell>
          <cell r="E418" t="str">
            <v>sqm</v>
          </cell>
          <cell r="F418" t="str">
            <v>|</v>
          </cell>
          <cell r="G418">
            <v>0</v>
          </cell>
        </row>
        <row r="419">
          <cell r="C419">
            <v>1711.02</v>
          </cell>
          <cell r="D419" t="str">
            <v>Bitumen coat for foundation</v>
          </cell>
          <cell r="E419" t="str">
            <v>sqm</v>
          </cell>
          <cell r="F419" t="str">
            <v>|</v>
          </cell>
          <cell r="G419">
            <v>0</v>
          </cell>
        </row>
        <row r="420">
          <cell r="C420">
            <v>1799.01</v>
          </cell>
          <cell r="D420" t="str">
            <v>PVC piping         dia.  20mm</v>
          </cell>
          <cell r="E420" t="str">
            <v>lm</v>
          </cell>
          <cell r="F420" t="str">
            <v>|</v>
          </cell>
          <cell r="G420">
            <v>0</v>
          </cell>
        </row>
        <row r="421">
          <cell r="C421">
            <v>1799.29</v>
          </cell>
          <cell r="D421" t="str">
            <v>Remotion of precast concrete covers</v>
          </cell>
          <cell r="E421" t="str">
            <v>sqm</v>
          </cell>
          <cell r="F421" t="str">
            <v>|</v>
          </cell>
          <cell r="G421">
            <v>0</v>
          </cell>
        </row>
        <row r="422">
          <cell r="C422">
            <v>2114.0700000000002</v>
          </cell>
          <cell r="D422" t="str">
            <v>Reinf. concrete paving demol.</v>
          </cell>
          <cell r="E422" t="str">
            <v>sqm</v>
          </cell>
          <cell r="F422" t="str">
            <v>|</v>
          </cell>
          <cell r="G422">
            <v>0</v>
          </cell>
        </row>
        <row r="423">
          <cell r="F423" t="str">
            <v>|</v>
          </cell>
        </row>
        <row r="424">
          <cell r="D424" t="str">
            <v>Total Electrical Cable Trenches</v>
          </cell>
          <cell r="E424" t="str">
            <v>lm</v>
          </cell>
          <cell r="F424" t="str">
            <v>|</v>
          </cell>
        </row>
        <row r="425">
          <cell r="F425" t="str">
            <v>|</v>
          </cell>
        </row>
        <row r="426">
          <cell r="D426" t="str">
            <v xml:space="preserve">BUILDINGS ( CONCRETE &amp; MASONRY TYPE - LSP) </v>
          </cell>
          <cell r="F426" t="str">
            <v>|</v>
          </cell>
        </row>
        <row r="427">
          <cell r="F427" t="str">
            <v>|</v>
          </cell>
        </row>
        <row r="428">
          <cell r="C428">
            <v>2099.0300000000002</v>
          </cell>
          <cell r="D428" t="str">
            <v>Electrical Substation</v>
          </cell>
          <cell r="E428" t="str">
            <v>cum</v>
          </cell>
          <cell r="F428" t="str">
            <v>|</v>
          </cell>
          <cell r="G428">
            <v>0</v>
          </cell>
        </row>
        <row r="429">
          <cell r="C429">
            <v>2099.08</v>
          </cell>
          <cell r="D429" t="str">
            <v>Administration Building</v>
          </cell>
          <cell r="E429" t="str">
            <v>cum</v>
          </cell>
          <cell r="F429" t="str">
            <v>|</v>
          </cell>
          <cell r="G429">
            <v>0</v>
          </cell>
        </row>
        <row r="430">
          <cell r="C430">
            <v>2099.09</v>
          </cell>
          <cell r="D430" t="str">
            <v>Canteen</v>
          </cell>
          <cell r="E430" t="str">
            <v>cum</v>
          </cell>
          <cell r="F430" t="str">
            <v>|</v>
          </cell>
          <cell r="G430">
            <v>0</v>
          </cell>
        </row>
        <row r="431">
          <cell r="C431">
            <v>2099.1</v>
          </cell>
          <cell r="D431" t="str">
            <v>Lockers Bldg.</v>
          </cell>
          <cell r="E431" t="str">
            <v>cum</v>
          </cell>
          <cell r="F431" t="str">
            <v>|</v>
          </cell>
          <cell r="G431">
            <v>0</v>
          </cell>
        </row>
        <row r="432">
          <cell r="C432">
            <v>2099.11</v>
          </cell>
          <cell r="D432" t="str">
            <v>First Aid Bldg.</v>
          </cell>
          <cell r="E432" t="str">
            <v>cum</v>
          </cell>
          <cell r="F432" t="str">
            <v>|</v>
          </cell>
          <cell r="G432">
            <v>0</v>
          </cell>
        </row>
        <row r="433">
          <cell r="C433">
            <v>2099.0100000000002</v>
          </cell>
          <cell r="D433" t="str">
            <v xml:space="preserve">Control Room </v>
          </cell>
          <cell r="E433" t="str">
            <v>cum</v>
          </cell>
          <cell r="F433" t="str">
            <v>|</v>
          </cell>
          <cell r="G433">
            <v>0</v>
          </cell>
        </row>
        <row r="434">
          <cell r="F434" t="str">
            <v>|</v>
          </cell>
        </row>
        <row r="435">
          <cell r="F435" t="str">
            <v>|</v>
          </cell>
        </row>
        <row r="436">
          <cell r="F436" t="str">
            <v>|</v>
          </cell>
        </row>
        <row r="437">
          <cell r="D437" t="str">
            <v>Total Build.(Concrete &amp; Masonry Type)</v>
          </cell>
          <cell r="E437" t="str">
            <v>cum</v>
          </cell>
          <cell r="F437" t="str">
            <v>|</v>
          </cell>
        </row>
        <row r="438">
          <cell r="F438" t="str">
            <v>|</v>
          </cell>
        </row>
        <row r="439">
          <cell r="D439" t="str">
            <v>BUILDINGS ( STEEL &amp; MASONRY TYPE )</v>
          </cell>
          <cell r="F439" t="str">
            <v>|</v>
          </cell>
        </row>
        <row r="440">
          <cell r="F440" t="str">
            <v>|</v>
          </cell>
        </row>
        <row r="441">
          <cell r="C441">
            <v>2111.3000000000002</v>
          </cell>
          <cell r="D441" t="str">
            <v>Soil sect.exc.by mach.up to 2m</v>
          </cell>
          <cell r="E441" t="str">
            <v>cum</v>
          </cell>
          <cell r="F441" t="str">
            <v>|</v>
          </cell>
          <cell r="G441">
            <v>0</v>
          </cell>
        </row>
        <row r="442">
          <cell r="C442">
            <v>2111.1</v>
          </cell>
          <cell r="D442" t="str">
            <v>Soil sect.exc.by hand up to 2m</v>
          </cell>
          <cell r="E442" t="str">
            <v>cum</v>
          </cell>
          <cell r="F442" t="str">
            <v>|</v>
          </cell>
          <cell r="G442">
            <v>0</v>
          </cell>
        </row>
        <row r="443">
          <cell r="C443">
            <v>2112.04</v>
          </cell>
          <cell r="D443" t="str">
            <v>Materials from excav.transport</v>
          </cell>
          <cell r="E443" t="str">
            <v>cum</v>
          </cell>
          <cell r="F443" t="str">
            <v>|</v>
          </cell>
          <cell r="G443">
            <v>0</v>
          </cell>
        </row>
        <row r="444">
          <cell r="C444">
            <v>2113.0100000000002</v>
          </cell>
          <cell r="D444" t="str">
            <v>Backfill w/ matl from exc.</v>
          </cell>
          <cell r="E444" t="str">
            <v>cum</v>
          </cell>
          <cell r="F444" t="str">
            <v>|</v>
          </cell>
          <cell r="G444">
            <v>0</v>
          </cell>
        </row>
        <row r="445">
          <cell r="C445">
            <v>2199.1999999999998</v>
          </cell>
          <cell r="D445" t="str">
            <v>Soil improv.under found.desert matl.</v>
          </cell>
          <cell r="E445" t="str">
            <v>cum</v>
          </cell>
          <cell r="F445" t="str">
            <v>|</v>
          </cell>
          <cell r="G445">
            <v>0</v>
          </cell>
        </row>
        <row r="446">
          <cell r="C446">
            <v>1710.01</v>
          </cell>
          <cell r="D446" t="str">
            <v>Lean concrete 5cm thk.</v>
          </cell>
          <cell r="E446" t="str">
            <v>sqm</v>
          </cell>
          <cell r="F446" t="str">
            <v>|</v>
          </cell>
          <cell r="G446">
            <v>0</v>
          </cell>
        </row>
        <row r="447">
          <cell r="C447">
            <v>1710.02</v>
          </cell>
          <cell r="D447" t="str">
            <v>Lean concrete 10cm thk.</v>
          </cell>
          <cell r="E447" t="str">
            <v>sqm</v>
          </cell>
          <cell r="F447" t="str">
            <v>|</v>
          </cell>
          <cell r="G447">
            <v>0</v>
          </cell>
        </row>
        <row r="448">
          <cell r="C448">
            <v>1799.33</v>
          </cell>
          <cell r="D448" t="str">
            <v>Polyethylene sheet under foundations</v>
          </cell>
          <cell r="E448" t="str">
            <v>sqm</v>
          </cell>
          <cell r="F448" t="str">
            <v>|</v>
          </cell>
          <cell r="G448">
            <v>0</v>
          </cell>
        </row>
        <row r="449">
          <cell r="C449">
            <v>1711.02</v>
          </cell>
          <cell r="D449" t="str">
            <v>Bitumen coat for foundation</v>
          </cell>
          <cell r="E449" t="str">
            <v>sqm</v>
          </cell>
          <cell r="F449" t="str">
            <v>|</v>
          </cell>
          <cell r="G449">
            <v>0</v>
          </cell>
        </row>
        <row r="450">
          <cell r="C450">
            <v>1711.01</v>
          </cell>
          <cell r="D450" t="str">
            <v>Concrete for foundation</v>
          </cell>
          <cell r="E450" t="str">
            <v>cum</v>
          </cell>
          <cell r="F450" t="str">
            <v>|</v>
          </cell>
          <cell r="G450">
            <v>0</v>
          </cell>
        </row>
        <row r="451">
          <cell r="C451">
            <v>1714.01</v>
          </cell>
          <cell r="D451" t="str">
            <v>Formwork foundation</v>
          </cell>
          <cell r="E451" t="str">
            <v>sqm</v>
          </cell>
          <cell r="F451" t="str">
            <v>|</v>
          </cell>
          <cell r="G451">
            <v>0</v>
          </cell>
        </row>
        <row r="452">
          <cell r="C452">
            <v>1714.12</v>
          </cell>
          <cell r="D452" t="str">
            <v>Improved bond reinf.steel</v>
          </cell>
          <cell r="E452" t="str">
            <v>Kg</v>
          </cell>
          <cell r="F452" t="str">
            <v>|</v>
          </cell>
          <cell r="G452">
            <v>0</v>
          </cell>
        </row>
        <row r="453">
          <cell r="C453">
            <v>1718.01</v>
          </cell>
          <cell r="D453" t="str">
            <v>Grout 25mm thk.</v>
          </cell>
          <cell r="E453" t="str">
            <v>sqm</v>
          </cell>
          <cell r="F453" t="str">
            <v>|</v>
          </cell>
          <cell r="G453">
            <v>0</v>
          </cell>
        </row>
        <row r="454">
          <cell r="C454">
            <v>1714.17</v>
          </cell>
          <cell r="D454" t="str">
            <v>Anchor bolts weight up to 20Kg</v>
          </cell>
          <cell r="E454" t="str">
            <v>Kg</v>
          </cell>
          <cell r="F454" t="str">
            <v>|</v>
          </cell>
          <cell r="G454">
            <v>0</v>
          </cell>
        </row>
        <row r="455">
          <cell r="C455">
            <v>1714.25</v>
          </cell>
          <cell r="D455" t="str">
            <v>Steel insert</v>
          </cell>
          <cell r="E455" t="str">
            <v>Kg</v>
          </cell>
          <cell r="F455" t="str">
            <v>|</v>
          </cell>
          <cell r="G455">
            <v>0</v>
          </cell>
        </row>
        <row r="456">
          <cell r="C456">
            <v>2117.0100000000002</v>
          </cell>
          <cell r="D456" t="str">
            <v>Surface levelling</v>
          </cell>
          <cell r="E456" t="str">
            <v>sqm</v>
          </cell>
          <cell r="F456" t="str">
            <v>|</v>
          </cell>
          <cell r="G456">
            <v>0</v>
          </cell>
        </row>
        <row r="457">
          <cell r="C457">
            <v>2117.02</v>
          </cell>
          <cell r="D457" t="str">
            <v>Surface compaction 90%</v>
          </cell>
          <cell r="E457" t="str">
            <v>sqm</v>
          </cell>
          <cell r="F457" t="str">
            <v>|</v>
          </cell>
          <cell r="G457">
            <v>0</v>
          </cell>
        </row>
        <row r="458">
          <cell r="C458">
            <v>1716.01</v>
          </cell>
          <cell r="D458" t="str">
            <v>Floor sub-base</v>
          </cell>
          <cell r="E458" t="str">
            <v>cum</v>
          </cell>
          <cell r="F458" t="str">
            <v>|</v>
          </cell>
          <cell r="G458">
            <v>0</v>
          </cell>
        </row>
        <row r="459">
          <cell r="C459">
            <v>1716.03</v>
          </cell>
          <cell r="D459" t="str">
            <v>Polyethilene vapor barrier</v>
          </cell>
          <cell r="E459" t="str">
            <v>sqm</v>
          </cell>
          <cell r="F459" t="str">
            <v>|</v>
          </cell>
          <cell r="G459">
            <v>0</v>
          </cell>
        </row>
        <row r="460">
          <cell r="C460">
            <v>1716.04</v>
          </cell>
          <cell r="D460" t="str">
            <v>Reinf.concrete paving thk 10cm</v>
          </cell>
          <cell r="E460" t="str">
            <v>sqm</v>
          </cell>
          <cell r="F460" t="str">
            <v>|</v>
          </cell>
          <cell r="G460">
            <v>0</v>
          </cell>
        </row>
        <row r="461">
          <cell r="C461">
            <v>1716.05</v>
          </cell>
          <cell r="D461" t="str">
            <v>Reinf.concrete paving thk 15cm</v>
          </cell>
          <cell r="E461" t="str">
            <v>sqm</v>
          </cell>
          <cell r="F461" t="str">
            <v>|</v>
          </cell>
          <cell r="G461">
            <v>0</v>
          </cell>
        </row>
        <row r="462">
          <cell r="C462">
            <v>1714.13</v>
          </cell>
          <cell r="D462" t="str">
            <v>Welded wire mesh</v>
          </cell>
          <cell r="E462" t="str">
            <v>Kg</v>
          </cell>
          <cell r="F462" t="str">
            <v>|</v>
          </cell>
          <cell r="G462">
            <v>0</v>
          </cell>
        </row>
        <row r="463">
          <cell r="C463">
            <v>1716.14</v>
          </cell>
          <cell r="D463" t="str">
            <v>Construction joint</v>
          </cell>
          <cell r="E463" t="str">
            <v>lm</v>
          </cell>
          <cell r="F463" t="str">
            <v>|</v>
          </cell>
          <cell r="G463">
            <v>0</v>
          </cell>
        </row>
        <row r="464">
          <cell r="C464">
            <v>1716.15</v>
          </cell>
          <cell r="D464" t="str">
            <v>Isolation joint</v>
          </cell>
          <cell r="E464" t="str">
            <v>lm</v>
          </cell>
          <cell r="F464" t="str">
            <v>|</v>
          </cell>
          <cell r="G464">
            <v>0</v>
          </cell>
        </row>
        <row r="465">
          <cell r="C465">
            <v>1799.34</v>
          </cell>
          <cell r="D465" t="str">
            <v>Conc. Curb 20x50cm TPL 2100.04 2of2 det.3</v>
          </cell>
          <cell r="E465" t="str">
            <v>lm</v>
          </cell>
          <cell r="F465" t="str">
            <v>|</v>
          </cell>
          <cell r="G465">
            <v>0</v>
          </cell>
        </row>
        <row r="466">
          <cell r="C466">
            <v>1718.21</v>
          </cell>
          <cell r="D466" t="str">
            <v>Acid-resistant lining w. tiles</v>
          </cell>
          <cell r="E466" t="str">
            <v>sqm</v>
          </cell>
          <cell r="F466" t="str">
            <v>|</v>
          </cell>
          <cell r="G466">
            <v>0</v>
          </cell>
        </row>
        <row r="467">
          <cell r="C467">
            <v>2011.16</v>
          </cell>
          <cell r="D467" t="str">
            <v>Glazed gres skirting board</v>
          </cell>
          <cell r="E467" t="str">
            <v>lm</v>
          </cell>
          <cell r="F467" t="str">
            <v>|</v>
          </cell>
          <cell r="G467">
            <v>0</v>
          </cell>
        </row>
        <row r="468">
          <cell r="C468">
            <v>2010.13</v>
          </cell>
          <cell r="D468" t="str">
            <v>Insulating mtl for cavity-wall</v>
          </cell>
          <cell r="E468" t="str">
            <v>sqm</v>
          </cell>
          <cell r="F468" t="str">
            <v>|</v>
          </cell>
          <cell r="G468">
            <v>0</v>
          </cell>
        </row>
        <row r="469">
          <cell r="C469">
            <v>2010.01</v>
          </cell>
          <cell r="D469" t="str">
            <v>Hollow-block wall 20cm thk</v>
          </cell>
          <cell r="E469" t="str">
            <v>sqm</v>
          </cell>
          <cell r="F469" t="str">
            <v>|</v>
          </cell>
          <cell r="G469">
            <v>0</v>
          </cell>
        </row>
        <row r="470">
          <cell r="C470">
            <v>2010.02</v>
          </cell>
          <cell r="D470" t="str">
            <v>Hollow-block wall 10/12cm thk</v>
          </cell>
          <cell r="E470" t="str">
            <v>sqm</v>
          </cell>
          <cell r="F470" t="str">
            <v>|</v>
          </cell>
          <cell r="G470">
            <v>0</v>
          </cell>
        </row>
        <row r="471">
          <cell r="C471">
            <v>2116.0500000000002</v>
          </cell>
          <cell r="D471" t="str">
            <v>Side-walk pav. 10cm thk</v>
          </cell>
          <cell r="E471" t="str">
            <v>sqm</v>
          </cell>
          <cell r="F471" t="str">
            <v>|</v>
          </cell>
          <cell r="G471">
            <v>0</v>
          </cell>
        </row>
        <row r="472">
          <cell r="C472">
            <v>2116.0100000000002</v>
          </cell>
          <cell r="D472" t="str">
            <v>Sidewalk kerb</v>
          </cell>
          <cell r="E472" t="str">
            <v>lm</v>
          </cell>
          <cell r="F472" t="str">
            <v>|</v>
          </cell>
          <cell r="G472">
            <v>0</v>
          </cell>
        </row>
        <row r="473">
          <cell r="C473">
            <v>2116.02</v>
          </cell>
          <cell r="D473" t="str">
            <v>Sidewalk fndn w.matl from exc.</v>
          </cell>
          <cell r="E473" t="str">
            <v>cum</v>
          </cell>
          <cell r="F473" t="str">
            <v>|</v>
          </cell>
          <cell r="G473">
            <v>0</v>
          </cell>
        </row>
        <row r="474">
          <cell r="C474">
            <v>2010.15</v>
          </cell>
          <cell r="D474" t="str">
            <v>Rough plaster</v>
          </cell>
          <cell r="E474" t="str">
            <v>sqm</v>
          </cell>
          <cell r="F474" t="str">
            <v>|</v>
          </cell>
          <cell r="G474">
            <v>0</v>
          </cell>
        </row>
        <row r="475">
          <cell r="C475">
            <v>2010.16</v>
          </cell>
          <cell r="D475" t="str">
            <v>3-layers plastering</v>
          </cell>
          <cell r="E475" t="str">
            <v>sqm</v>
          </cell>
          <cell r="F475" t="str">
            <v>|</v>
          </cell>
          <cell r="G475">
            <v>0</v>
          </cell>
        </row>
        <row r="476">
          <cell r="C476">
            <v>2015.02</v>
          </cell>
          <cell r="D476" t="str">
            <v>Washable acrilic paint</v>
          </cell>
          <cell r="E476" t="str">
            <v>sqm</v>
          </cell>
          <cell r="F476" t="str">
            <v>|</v>
          </cell>
          <cell r="G476">
            <v>0</v>
          </cell>
        </row>
        <row r="477">
          <cell r="C477">
            <v>1799.25</v>
          </cell>
          <cell r="D477" t="str">
            <v>Chipping of existing concrete surface</v>
          </cell>
          <cell r="E477" t="str">
            <v>sqm</v>
          </cell>
          <cell r="F477" t="str">
            <v>|</v>
          </cell>
          <cell r="G477">
            <v>0</v>
          </cell>
        </row>
        <row r="478">
          <cell r="C478">
            <v>2011.01</v>
          </cell>
          <cell r="D478" t="str">
            <v>Cem. floor topping 5cm thk</v>
          </cell>
          <cell r="E478" t="str">
            <v>sqm</v>
          </cell>
          <cell r="F478" t="str">
            <v>|</v>
          </cell>
          <cell r="G478">
            <v>0</v>
          </cell>
        </row>
        <row r="479">
          <cell r="C479">
            <v>1716.09</v>
          </cell>
          <cell r="D479" t="str">
            <v>Hardener on paving (dust)</v>
          </cell>
          <cell r="E479" t="str">
            <v>sqm</v>
          </cell>
          <cell r="F479" t="str">
            <v>|</v>
          </cell>
          <cell r="G479">
            <v>0</v>
          </cell>
        </row>
        <row r="480">
          <cell r="C480">
            <v>2015.05</v>
          </cell>
          <cell r="D480" t="str">
            <v>Quartz paint</v>
          </cell>
          <cell r="E480" t="str">
            <v>sqm</v>
          </cell>
          <cell r="F480" t="str">
            <v>|</v>
          </cell>
          <cell r="G480">
            <v>0</v>
          </cell>
        </row>
        <row r="481">
          <cell r="C481">
            <v>1715.1</v>
          </cell>
          <cell r="D481" t="str">
            <v>Galvanized grating cover</v>
          </cell>
          <cell r="E481" t="str">
            <v>Kg</v>
          </cell>
          <cell r="F481" t="str">
            <v>|</v>
          </cell>
          <cell r="G481">
            <v>0</v>
          </cell>
        </row>
        <row r="482">
          <cell r="C482">
            <v>2012.02</v>
          </cell>
          <cell r="D482" t="str">
            <v>Quarry stone for caps, etc.</v>
          </cell>
          <cell r="E482" t="str">
            <v>sqm</v>
          </cell>
          <cell r="F482" t="str">
            <v>|</v>
          </cell>
          <cell r="G482">
            <v>0</v>
          </cell>
        </row>
        <row r="483">
          <cell r="C483">
            <v>2012.03</v>
          </cell>
          <cell r="D483" t="str">
            <v>Quarry stone for special tread</v>
          </cell>
          <cell r="E483" t="str">
            <v>sqm</v>
          </cell>
          <cell r="F483" t="str">
            <v>|</v>
          </cell>
          <cell r="G483">
            <v>0</v>
          </cell>
        </row>
        <row r="484">
          <cell r="F484" t="str">
            <v>|</v>
          </cell>
        </row>
        <row r="485">
          <cell r="D485" t="str">
            <v>Total Build.( Steel &amp; Masonry Type )</v>
          </cell>
          <cell r="E485" t="str">
            <v>cum</v>
          </cell>
          <cell r="F485" t="str">
            <v>|</v>
          </cell>
        </row>
        <row r="486">
          <cell r="F486" t="str">
            <v>|</v>
          </cell>
        </row>
        <row r="487">
          <cell r="D487" t="str">
            <v xml:space="preserve">BUILDINGS ( CONCRETE &amp; MASONRY TYPE ) </v>
          </cell>
          <cell r="F487" t="str">
            <v>|</v>
          </cell>
        </row>
        <row r="488">
          <cell r="F488" t="str">
            <v>|</v>
          </cell>
        </row>
        <row r="489">
          <cell r="C489">
            <v>2111.3000000000002</v>
          </cell>
          <cell r="D489" t="str">
            <v>Soil sect.exc.by mach.up to 2m</v>
          </cell>
          <cell r="E489" t="str">
            <v>cum</v>
          </cell>
          <cell r="F489" t="str">
            <v>|</v>
          </cell>
          <cell r="G489">
            <v>0</v>
          </cell>
        </row>
        <row r="490">
          <cell r="C490">
            <v>2111.1</v>
          </cell>
          <cell r="D490" t="str">
            <v>Soil sect.exc.by hand up to 2m</v>
          </cell>
          <cell r="E490" t="str">
            <v>cum</v>
          </cell>
          <cell r="F490" t="str">
            <v>|</v>
          </cell>
          <cell r="G490">
            <v>0</v>
          </cell>
        </row>
        <row r="491">
          <cell r="C491">
            <v>2111.31</v>
          </cell>
          <cell r="D491" t="str">
            <v>Sect.exc.mach.from 2to4m depth</v>
          </cell>
          <cell r="E491" t="str">
            <v>cum</v>
          </cell>
          <cell r="F491" t="str">
            <v>|</v>
          </cell>
          <cell r="G491">
            <v>0</v>
          </cell>
        </row>
        <row r="492">
          <cell r="C492">
            <v>2111.11</v>
          </cell>
          <cell r="D492" t="str">
            <v>Sect.exc.hand from 2to4m depth</v>
          </cell>
          <cell r="E492" t="str">
            <v>cum</v>
          </cell>
          <cell r="F492" t="str">
            <v>|</v>
          </cell>
          <cell r="G492">
            <v>0</v>
          </cell>
        </row>
        <row r="493">
          <cell r="C493">
            <v>2111.4</v>
          </cell>
          <cell r="D493" t="str">
            <v>Extra price for water table by mach.</v>
          </cell>
          <cell r="E493" t="str">
            <v>cum</v>
          </cell>
          <cell r="F493" t="str">
            <v>|</v>
          </cell>
          <cell r="G493">
            <v>0</v>
          </cell>
        </row>
        <row r="494">
          <cell r="C494">
            <v>2111.1999999999998</v>
          </cell>
          <cell r="D494" t="str">
            <v>Extra price for water table by hand</v>
          </cell>
          <cell r="E494" t="str">
            <v>cum</v>
          </cell>
          <cell r="F494" t="str">
            <v>|</v>
          </cell>
          <cell r="G494">
            <v>0</v>
          </cell>
        </row>
        <row r="495">
          <cell r="C495">
            <v>2112.04</v>
          </cell>
          <cell r="D495" t="str">
            <v>Materials from excav.transport</v>
          </cell>
          <cell r="E495" t="str">
            <v>cum</v>
          </cell>
          <cell r="F495" t="str">
            <v>|</v>
          </cell>
          <cell r="G495">
            <v>0</v>
          </cell>
        </row>
        <row r="496">
          <cell r="C496">
            <v>2113.0100000000002</v>
          </cell>
          <cell r="D496" t="str">
            <v>Backfill w/ matl from exc.</v>
          </cell>
          <cell r="E496" t="str">
            <v>cum</v>
          </cell>
          <cell r="F496" t="str">
            <v>|</v>
          </cell>
          <cell r="G496">
            <v>0</v>
          </cell>
        </row>
        <row r="497">
          <cell r="C497">
            <v>1710.01</v>
          </cell>
          <cell r="D497" t="str">
            <v>Lean concrete 5cm thk.</v>
          </cell>
          <cell r="E497" t="str">
            <v>sqm</v>
          </cell>
          <cell r="F497" t="str">
            <v>|</v>
          </cell>
          <cell r="G497">
            <v>0</v>
          </cell>
        </row>
        <row r="498">
          <cell r="C498">
            <v>1710.02</v>
          </cell>
          <cell r="D498" t="str">
            <v>Lean concrete 10cm thk.</v>
          </cell>
          <cell r="E498" t="str">
            <v>sqm</v>
          </cell>
          <cell r="F498" t="str">
            <v>|</v>
          </cell>
          <cell r="G498">
            <v>0</v>
          </cell>
        </row>
        <row r="499">
          <cell r="C499">
            <v>1711.01</v>
          </cell>
          <cell r="D499" t="str">
            <v>Concrete for foundation</v>
          </cell>
          <cell r="E499" t="str">
            <v>cum</v>
          </cell>
          <cell r="F499" t="str">
            <v>|</v>
          </cell>
          <cell r="G499">
            <v>0</v>
          </cell>
        </row>
        <row r="500">
          <cell r="C500">
            <v>1712.01</v>
          </cell>
          <cell r="D500" t="str">
            <v>Concrete elev. up to 10m</v>
          </cell>
          <cell r="E500" t="str">
            <v>cum</v>
          </cell>
          <cell r="F500" t="str">
            <v>|</v>
          </cell>
          <cell r="G500">
            <v>0</v>
          </cell>
        </row>
        <row r="501">
          <cell r="C501">
            <v>1712.02</v>
          </cell>
          <cell r="D501" t="str">
            <v>Concr.elev.from 10,01to20m</v>
          </cell>
          <cell r="E501" t="str">
            <v>cum</v>
          </cell>
          <cell r="F501" t="str">
            <v>|</v>
          </cell>
          <cell r="G501">
            <v>0</v>
          </cell>
        </row>
        <row r="502">
          <cell r="C502">
            <v>1714.01</v>
          </cell>
          <cell r="D502" t="str">
            <v>Formwork foundation</v>
          </cell>
          <cell r="E502" t="str">
            <v>sqm</v>
          </cell>
          <cell r="F502" t="str">
            <v>|</v>
          </cell>
          <cell r="G502">
            <v>0</v>
          </cell>
        </row>
        <row r="503">
          <cell r="C503">
            <v>1714.02</v>
          </cell>
          <cell r="D503" t="str">
            <v>Formwork elev. up to 10m</v>
          </cell>
          <cell r="E503" t="str">
            <v>sqm</v>
          </cell>
          <cell r="F503" t="str">
            <v>|</v>
          </cell>
          <cell r="G503">
            <v>0</v>
          </cell>
        </row>
        <row r="504">
          <cell r="C504">
            <v>1714.03</v>
          </cell>
          <cell r="D504" t="str">
            <v>Formwork elev. 10/20m</v>
          </cell>
          <cell r="E504" t="str">
            <v>sqm</v>
          </cell>
          <cell r="F504" t="str">
            <v>|</v>
          </cell>
          <cell r="G504">
            <v>0</v>
          </cell>
        </row>
        <row r="505">
          <cell r="C505">
            <v>1714.08</v>
          </cell>
          <cell r="D505" t="str">
            <v>Fair-faced formwork el. &lt;10m</v>
          </cell>
          <cell r="E505" t="str">
            <v>sqm</v>
          </cell>
          <cell r="F505" t="str">
            <v>|</v>
          </cell>
          <cell r="G505">
            <v>0</v>
          </cell>
        </row>
        <row r="506">
          <cell r="C506">
            <v>1714.09</v>
          </cell>
          <cell r="D506" t="str">
            <v>Fair-faced formwork el.10/20m</v>
          </cell>
          <cell r="E506" t="str">
            <v>sqm</v>
          </cell>
          <cell r="F506" t="str">
            <v>|</v>
          </cell>
          <cell r="G506">
            <v>0</v>
          </cell>
        </row>
        <row r="507">
          <cell r="C507">
            <v>1714.12</v>
          </cell>
          <cell r="D507" t="str">
            <v>Improved bond reinf.steel</v>
          </cell>
          <cell r="E507" t="str">
            <v>Kg</v>
          </cell>
          <cell r="F507" t="str">
            <v>|</v>
          </cell>
          <cell r="G507">
            <v>0</v>
          </cell>
        </row>
        <row r="508">
          <cell r="C508">
            <v>1718.01</v>
          </cell>
          <cell r="D508" t="str">
            <v>Grout 25mm thk.</v>
          </cell>
          <cell r="E508" t="str">
            <v>sqm</v>
          </cell>
          <cell r="F508" t="str">
            <v>|</v>
          </cell>
          <cell r="G508">
            <v>0</v>
          </cell>
        </row>
        <row r="509">
          <cell r="C509">
            <v>1714.17</v>
          </cell>
          <cell r="D509" t="str">
            <v>Anchor bolts weight up to 20Kg</v>
          </cell>
          <cell r="E509" t="str">
            <v>Kg</v>
          </cell>
          <cell r="F509" t="str">
            <v>|</v>
          </cell>
          <cell r="G509">
            <v>0</v>
          </cell>
        </row>
        <row r="510">
          <cell r="C510">
            <v>1714.25</v>
          </cell>
          <cell r="D510" t="str">
            <v>Steel insert</v>
          </cell>
          <cell r="E510" t="str">
            <v>Kg</v>
          </cell>
          <cell r="F510" t="str">
            <v>|</v>
          </cell>
          <cell r="G510">
            <v>0</v>
          </cell>
        </row>
        <row r="511">
          <cell r="C511">
            <v>2117.02</v>
          </cell>
          <cell r="D511" t="str">
            <v>Surface compaction 90%</v>
          </cell>
          <cell r="E511" t="str">
            <v>sqm</v>
          </cell>
          <cell r="F511" t="str">
            <v>|</v>
          </cell>
          <cell r="G511">
            <v>0</v>
          </cell>
        </row>
        <row r="512">
          <cell r="C512">
            <v>1716.01</v>
          </cell>
          <cell r="D512" t="str">
            <v>Floor sub-base</v>
          </cell>
          <cell r="E512" t="str">
            <v>cum</v>
          </cell>
          <cell r="F512" t="str">
            <v>|</v>
          </cell>
          <cell r="G512">
            <v>0</v>
          </cell>
        </row>
        <row r="513">
          <cell r="C513">
            <v>1716.03</v>
          </cell>
          <cell r="D513" t="str">
            <v>Polyethilene vapor barrier</v>
          </cell>
          <cell r="E513" t="str">
            <v>sqm</v>
          </cell>
          <cell r="F513" t="str">
            <v>|</v>
          </cell>
          <cell r="G513">
            <v>0</v>
          </cell>
        </row>
        <row r="514">
          <cell r="C514">
            <v>1711.02</v>
          </cell>
          <cell r="D514" t="str">
            <v>Bitumen coat for foundation</v>
          </cell>
          <cell r="E514" t="str">
            <v>sqm</v>
          </cell>
          <cell r="F514" t="str">
            <v>|</v>
          </cell>
          <cell r="G514">
            <v>0</v>
          </cell>
        </row>
        <row r="515">
          <cell r="C515">
            <v>1799.33</v>
          </cell>
          <cell r="D515" t="str">
            <v>Polyethylene sheet under foundations</v>
          </cell>
          <cell r="E515" t="str">
            <v>sqm</v>
          </cell>
          <cell r="F515" t="str">
            <v>|</v>
          </cell>
          <cell r="G515">
            <v>0</v>
          </cell>
        </row>
        <row r="516">
          <cell r="C516">
            <v>1716.04</v>
          </cell>
          <cell r="D516" t="str">
            <v>Reinf.concrete paving thk 10cm</v>
          </cell>
          <cell r="E516" t="str">
            <v>sqm</v>
          </cell>
          <cell r="F516" t="str">
            <v>|</v>
          </cell>
          <cell r="G516">
            <v>0</v>
          </cell>
        </row>
        <row r="517">
          <cell r="C517">
            <v>1716.05</v>
          </cell>
          <cell r="D517" t="str">
            <v>Reinf.concrete paving thk 15cm</v>
          </cell>
          <cell r="E517" t="str">
            <v>sqm</v>
          </cell>
          <cell r="F517" t="str">
            <v>|</v>
          </cell>
          <cell r="G517">
            <v>0</v>
          </cell>
        </row>
        <row r="518">
          <cell r="C518">
            <v>1714.13</v>
          </cell>
          <cell r="D518" t="str">
            <v>Welded wire mesh</v>
          </cell>
          <cell r="E518" t="str">
            <v>Kg</v>
          </cell>
          <cell r="F518" t="str">
            <v>|</v>
          </cell>
          <cell r="G518">
            <v>0</v>
          </cell>
        </row>
        <row r="519">
          <cell r="C519">
            <v>1716.14</v>
          </cell>
          <cell r="D519" t="str">
            <v>Construction joint</v>
          </cell>
          <cell r="E519" t="str">
            <v>lm</v>
          </cell>
          <cell r="F519" t="str">
            <v>|</v>
          </cell>
          <cell r="G519">
            <v>0</v>
          </cell>
        </row>
        <row r="520">
          <cell r="C520">
            <v>2010.13</v>
          </cell>
          <cell r="D520" t="str">
            <v>Insulating mtl for cavity-wall</v>
          </cell>
          <cell r="E520" t="str">
            <v>sqm</v>
          </cell>
          <cell r="F520" t="str">
            <v>|</v>
          </cell>
          <cell r="G520">
            <v>0</v>
          </cell>
        </row>
        <row r="521">
          <cell r="C521">
            <v>1799.25</v>
          </cell>
          <cell r="D521" t="str">
            <v>Chipping of existing concrete surface</v>
          </cell>
          <cell r="E521" t="str">
            <v>sqm</v>
          </cell>
          <cell r="F521" t="str">
            <v>|</v>
          </cell>
          <cell r="G521">
            <v>0</v>
          </cell>
        </row>
        <row r="522">
          <cell r="C522">
            <v>1799.26</v>
          </cell>
          <cell r="D522" t="str">
            <v>Drilled Holes 2" on reinf. concrete</v>
          </cell>
          <cell r="E522" t="str">
            <v>lm</v>
          </cell>
          <cell r="F522" t="str">
            <v>|</v>
          </cell>
          <cell r="G522">
            <v>0</v>
          </cell>
        </row>
        <row r="523">
          <cell r="C523">
            <v>1799.27</v>
          </cell>
          <cell r="D523" t="str">
            <v>Sticking epoxy resin on concrete surface</v>
          </cell>
          <cell r="E523" t="str">
            <v>sqm</v>
          </cell>
          <cell r="F523" t="str">
            <v>|</v>
          </cell>
          <cell r="G523">
            <v>0</v>
          </cell>
        </row>
        <row r="524">
          <cell r="C524">
            <v>1799.28</v>
          </cell>
          <cell r="D524" t="str">
            <v>Injection of mortar Pagel in holes 2"</v>
          </cell>
          <cell r="E524" t="str">
            <v>cum</v>
          </cell>
          <cell r="F524" t="str">
            <v>|</v>
          </cell>
          <cell r="G524">
            <v>0</v>
          </cell>
        </row>
        <row r="525">
          <cell r="C525">
            <v>1799.29</v>
          </cell>
          <cell r="D525" t="str">
            <v>Remotion of precast concrete covers</v>
          </cell>
          <cell r="E525" t="str">
            <v>sqm</v>
          </cell>
          <cell r="F525" t="str">
            <v>|</v>
          </cell>
          <cell r="G525">
            <v>0</v>
          </cell>
        </row>
        <row r="526">
          <cell r="C526">
            <v>2010.01</v>
          </cell>
          <cell r="D526" t="str">
            <v>Hollow-block wall 20cm thk</v>
          </cell>
          <cell r="E526" t="str">
            <v>sqm</v>
          </cell>
          <cell r="F526" t="str">
            <v>|</v>
          </cell>
          <cell r="G526">
            <v>0</v>
          </cell>
        </row>
        <row r="527">
          <cell r="C527">
            <v>2010.02</v>
          </cell>
          <cell r="D527" t="str">
            <v>Hollow-block wall 10/12cm thk</v>
          </cell>
          <cell r="E527" t="str">
            <v>sqm</v>
          </cell>
          <cell r="F527" t="str">
            <v>|</v>
          </cell>
          <cell r="G527">
            <v>0</v>
          </cell>
        </row>
        <row r="528">
          <cell r="C528">
            <v>2116.0500000000002</v>
          </cell>
          <cell r="D528" t="str">
            <v>Side-walk pav. 10cm thk</v>
          </cell>
          <cell r="E528" t="str">
            <v>sqm</v>
          </cell>
          <cell r="F528" t="str">
            <v>|</v>
          </cell>
          <cell r="G528">
            <v>0</v>
          </cell>
        </row>
        <row r="529">
          <cell r="C529">
            <v>2116.0100000000002</v>
          </cell>
          <cell r="D529" t="str">
            <v>Sidewalk kerb</v>
          </cell>
          <cell r="E529" t="str">
            <v>lm</v>
          </cell>
          <cell r="F529" t="str">
            <v>|</v>
          </cell>
          <cell r="G529">
            <v>0</v>
          </cell>
        </row>
        <row r="530">
          <cell r="C530">
            <v>2116.02</v>
          </cell>
          <cell r="D530" t="str">
            <v>Sidewalk fndn w.matl from exc.</v>
          </cell>
          <cell r="E530" t="str">
            <v>cum</v>
          </cell>
          <cell r="F530" t="str">
            <v>|</v>
          </cell>
          <cell r="G530">
            <v>0</v>
          </cell>
        </row>
        <row r="531">
          <cell r="C531">
            <v>2010.15</v>
          </cell>
          <cell r="D531" t="str">
            <v>Rough plaster</v>
          </cell>
          <cell r="E531" t="str">
            <v>sqm</v>
          </cell>
          <cell r="F531" t="str">
            <v>|</v>
          </cell>
          <cell r="G531">
            <v>0</v>
          </cell>
        </row>
        <row r="532">
          <cell r="C532">
            <v>2010.16</v>
          </cell>
          <cell r="D532" t="str">
            <v>3-layers plastering</v>
          </cell>
          <cell r="E532" t="str">
            <v>sqm</v>
          </cell>
          <cell r="F532" t="str">
            <v>|</v>
          </cell>
          <cell r="G532">
            <v>0</v>
          </cell>
        </row>
        <row r="533">
          <cell r="C533">
            <v>2015.02</v>
          </cell>
          <cell r="D533" t="str">
            <v>Washable acrilic paint</v>
          </cell>
          <cell r="E533" t="str">
            <v>sqm</v>
          </cell>
          <cell r="F533" t="str">
            <v>|</v>
          </cell>
          <cell r="G533">
            <v>0</v>
          </cell>
        </row>
        <row r="534">
          <cell r="C534">
            <v>2015.05</v>
          </cell>
          <cell r="D534" t="str">
            <v>Quartz paint</v>
          </cell>
          <cell r="E534" t="str">
            <v>sqm</v>
          </cell>
          <cell r="F534" t="str">
            <v>|</v>
          </cell>
          <cell r="G534">
            <v>0</v>
          </cell>
        </row>
        <row r="535">
          <cell r="C535">
            <v>1716.09</v>
          </cell>
          <cell r="D535" t="str">
            <v>Hardener on paving (dust)</v>
          </cell>
          <cell r="E535" t="str">
            <v>sqm</v>
          </cell>
          <cell r="F535" t="str">
            <v>|</v>
          </cell>
          <cell r="G535">
            <v>0</v>
          </cell>
        </row>
        <row r="536">
          <cell r="C536">
            <v>1715.1</v>
          </cell>
          <cell r="D536" t="str">
            <v>Galvanized grating cover</v>
          </cell>
          <cell r="E536" t="str">
            <v>Kg</v>
          </cell>
          <cell r="F536" t="str">
            <v>|</v>
          </cell>
          <cell r="G536">
            <v>0</v>
          </cell>
        </row>
        <row r="537">
          <cell r="C537">
            <v>2012.02</v>
          </cell>
          <cell r="D537" t="str">
            <v>Quarry stone for caps, etc.</v>
          </cell>
          <cell r="E537" t="str">
            <v>sqm</v>
          </cell>
          <cell r="F537" t="str">
            <v>|</v>
          </cell>
          <cell r="G537">
            <v>0</v>
          </cell>
        </row>
        <row r="538">
          <cell r="C538">
            <v>2012.03</v>
          </cell>
          <cell r="D538" t="str">
            <v>Quarry stone for special tread</v>
          </cell>
          <cell r="E538" t="str">
            <v>sqm</v>
          </cell>
          <cell r="F538" t="str">
            <v>|</v>
          </cell>
          <cell r="G538">
            <v>0</v>
          </cell>
        </row>
        <row r="539">
          <cell r="F539" t="str">
            <v>|</v>
          </cell>
        </row>
        <row r="540">
          <cell r="D540" t="str">
            <v xml:space="preserve">Total Bldg.S ( Concrete &amp; Masonry Type ) </v>
          </cell>
          <cell r="E540" t="str">
            <v>cum</v>
          </cell>
          <cell r="F540" t="str">
            <v>|</v>
          </cell>
        </row>
        <row r="541">
          <cell r="F541" t="str">
            <v>|</v>
          </cell>
        </row>
        <row r="542">
          <cell r="D542" t="str">
            <v>DEMOLITIONS</v>
          </cell>
          <cell r="F542" t="str">
            <v>|</v>
          </cell>
        </row>
        <row r="543">
          <cell r="F543" t="str">
            <v>|</v>
          </cell>
        </row>
        <row r="544">
          <cell r="C544">
            <v>2199.0500000000002</v>
          </cell>
          <cell r="D544" t="str">
            <v>Existing Pad Tank Demolitions</v>
          </cell>
          <cell r="E544" t="str">
            <v>sqm</v>
          </cell>
          <cell r="F544" t="str">
            <v>|</v>
          </cell>
          <cell r="G544">
            <v>0</v>
          </cell>
        </row>
        <row r="545">
          <cell r="C545">
            <v>2111.3000000000002</v>
          </cell>
          <cell r="D545" t="str">
            <v>Soil sect.exc.by mach.up to 2m</v>
          </cell>
          <cell r="E545" t="str">
            <v>cum</v>
          </cell>
          <cell r="F545" t="str">
            <v>|</v>
          </cell>
          <cell r="G545">
            <v>0</v>
          </cell>
        </row>
        <row r="546">
          <cell r="C546">
            <v>2111.1</v>
          </cell>
          <cell r="D546" t="str">
            <v>Soil sect.exc.by hand up to 2m</v>
          </cell>
          <cell r="E546" t="str">
            <v>cum</v>
          </cell>
          <cell r="F546" t="str">
            <v>|</v>
          </cell>
          <cell r="G546">
            <v>120</v>
          </cell>
        </row>
        <row r="547">
          <cell r="C547">
            <v>2113.0100000000002</v>
          </cell>
          <cell r="D547" t="str">
            <v>Backfill w/ matl from exc.</v>
          </cell>
          <cell r="E547" t="str">
            <v>cum</v>
          </cell>
          <cell r="F547" t="str">
            <v>|</v>
          </cell>
          <cell r="G547">
            <v>180</v>
          </cell>
        </row>
        <row r="548">
          <cell r="C548">
            <v>2114.12</v>
          </cell>
          <cell r="D548" t="str">
            <v>Pipes dia. up to 300mm demol.</v>
          </cell>
          <cell r="E548" t="str">
            <v>lm</v>
          </cell>
          <cell r="F548" t="str">
            <v>|</v>
          </cell>
          <cell r="G548">
            <v>0</v>
          </cell>
        </row>
        <row r="549">
          <cell r="C549">
            <v>2114.0500000000002</v>
          </cell>
          <cell r="D549" t="str">
            <v>Reinforced concrete demol.</v>
          </cell>
          <cell r="E549" t="str">
            <v>cum</v>
          </cell>
          <cell r="F549" t="str">
            <v>|</v>
          </cell>
          <cell r="G549">
            <v>71</v>
          </cell>
        </row>
        <row r="550">
          <cell r="C550">
            <v>2114.15</v>
          </cell>
          <cell r="D550" t="str">
            <v>Sewer pit int.volume &gt; 1,5cum</v>
          </cell>
          <cell r="E550" t="str">
            <v>u</v>
          </cell>
          <cell r="F550" t="str">
            <v>|</v>
          </cell>
          <cell r="G550">
            <v>0</v>
          </cell>
        </row>
        <row r="551">
          <cell r="C551">
            <v>2199.02</v>
          </cell>
          <cell r="D551" t="str">
            <v>Exist. Binder &amp; W.course scarifying</v>
          </cell>
          <cell r="E551" t="str">
            <v>sqm</v>
          </cell>
          <cell r="F551" t="str">
            <v>|</v>
          </cell>
          <cell r="G551">
            <v>0</v>
          </cell>
        </row>
        <row r="552">
          <cell r="C552">
            <v>2114.11</v>
          </cell>
          <cell r="D552" t="str">
            <v>Road paving &amp; foundat. demol.</v>
          </cell>
          <cell r="E552" t="str">
            <v>sqm</v>
          </cell>
          <cell r="F552" t="str">
            <v>|</v>
          </cell>
          <cell r="G552">
            <v>0</v>
          </cell>
        </row>
        <row r="553">
          <cell r="C553">
            <v>2199.06</v>
          </cell>
          <cell r="D553" t="str">
            <v>Existing Earth Dykes Demolitions</v>
          </cell>
          <cell r="E553" t="str">
            <v>cum</v>
          </cell>
          <cell r="F553" t="str">
            <v>|</v>
          </cell>
          <cell r="G553">
            <v>0</v>
          </cell>
        </row>
        <row r="554">
          <cell r="C554">
            <v>2114.0700000000002</v>
          </cell>
          <cell r="D554" t="str">
            <v>Reinf. concrete paving demol.</v>
          </cell>
          <cell r="E554" t="str">
            <v>sqm</v>
          </cell>
          <cell r="F554" t="str">
            <v>|</v>
          </cell>
          <cell r="G554">
            <v>86</v>
          </cell>
        </row>
        <row r="555">
          <cell r="C555">
            <v>2114.0100000000002</v>
          </cell>
          <cell r="D555" t="str">
            <v>Whole building demolition</v>
          </cell>
          <cell r="E555" t="str">
            <v>cum</v>
          </cell>
          <cell r="F555" t="str">
            <v>|</v>
          </cell>
          <cell r="G555">
            <v>0</v>
          </cell>
        </row>
        <row r="556">
          <cell r="C556">
            <v>2114.02</v>
          </cell>
          <cell r="D556" t="str">
            <v>Masonry thk up to 20cm demol.</v>
          </cell>
          <cell r="E556" t="str">
            <v>cum</v>
          </cell>
          <cell r="F556" t="str">
            <v>|</v>
          </cell>
          <cell r="G556">
            <v>0</v>
          </cell>
        </row>
        <row r="557">
          <cell r="C557">
            <v>2114.1999999999998</v>
          </cell>
          <cell r="D557" t="str">
            <v>Exist. C.Room Shelter Azoto</v>
          </cell>
          <cell r="E557" t="str">
            <v>cum</v>
          </cell>
          <cell r="F557" t="str">
            <v>|</v>
          </cell>
          <cell r="G557">
            <v>0</v>
          </cell>
        </row>
        <row r="558">
          <cell r="F558" t="str">
            <v>|</v>
          </cell>
        </row>
        <row r="559">
          <cell r="F559" t="str">
            <v>|</v>
          </cell>
        </row>
        <row r="560">
          <cell r="F560" t="str">
            <v>|</v>
          </cell>
        </row>
        <row r="561">
          <cell r="D561" t="str">
            <v xml:space="preserve"> Total demolitions</v>
          </cell>
          <cell r="E561" t="str">
            <v>Lsp</v>
          </cell>
          <cell r="F561" t="str">
            <v>|</v>
          </cell>
        </row>
        <row r="562">
          <cell r="F562" t="str">
            <v>|</v>
          </cell>
        </row>
        <row r="563">
          <cell r="D563" t="str">
            <v>CONCRETE  OUTFALL CHAMBER</v>
          </cell>
          <cell r="F563" t="str">
            <v>|</v>
          </cell>
        </row>
        <row r="564">
          <cell r="F564" t="str">
            <v>|</v>
          </cell>
        </row>
        <row r="565">
          <cell r="C565">
            <v>2111.3000000000002</v>
          </cell>
          <cell r="D565" t="str">
            <v>Soil sect.exc.by mach.up to 2m</v>
          </cell>
          <cell r="E565" t="str">
            <v>cum</v>
          </cell>
          <cell r="F565" t="str">
            <v>|</v>
          </cell>
          <cell r="G565">
            <v>0</v>
          </cell>
        </row>
        <row r="566">
          <cell r="C566">
            <v>2111.31</v>
          </cell>
          <cell r="D566" t="str">
            <v>Sect.exc.mach.from 2to4m depth</v>
          </cell>
          <cell r="E566" t="str">
            <v>cum</v>
          </cell>
          <cell r="F566" t="str">
            <v>|</v>
          </cell>
          <cell r="G566">
            <v>0</v>
          </cell>
        </row>
        <row r="567">
          <cell r="C567">
            <v>2111.1</v>
          </cell>
          <cell r="D567" t="str">
            <v>Soil sect.exc.by hand up to 2m</v>
          </cell>
          <cell r="E567" t="str">
            <v>cum</v>
          </cell>
          <cell r="F567" t="str">
            <v>|</v>
          </cell>
          <cell r="G567">
            <v>0</v>
          </cell>
        </row>
        <row r="568">
          <cell r="C568">
            <v>2111.11</v>
          </cell>
          <cell r="D568" t="str">
            <v>Sect.exc.hand from 2to4m depth</v>
          </cell>
          <cell r="E568" t="str">
            <v>cum</v>
          </cell>
          <cell r="F568" t="str">
            <v>|</v>
          </cell>
          <cell r="G568">
            <v>0</v>
          </cell>
        </row>
        <row r="569">
          <cell r="C569">
            <v>2199.2399999999998</v>
          </cell>
          <cell r="D569" t="str">
            <v>Soil sect.exc.by mach.up to 2m (Betw. Larssen Piling)</v>
          </cell>
          <cell r="E569" t="str">
            <v>cum</v>
          </cell>
          <cell r="F569" t="str">
            <v>|</v>
          </cell>
          <cell r="G569">
            <v>0</v>
          </cell>
        </row>
        <row r="570">
          <cell r="C570">
            <v>2199.25</v>
          </cell>
          <cell r="D570" t="str">
            <v>Soil sect.exc.by hand up to 2m (Betw. Larssen Piling)</v>
          </cell>
          <cell r="E570" t="str">
            <v>cum</v>
          </cell>
          <cell r="F570" t="str">
            <v>|</v>
          </cell>
          <cell r="G570">
            <v>0</v>
          </cell>
        </row>
        <row r="571">
          <cell r="C571">
            <v>2199.2600000000002</v>
          </cell>
          <cell r="D571" t="str">
            <v>Sect.exc.mach.from 2to4m depth(Betw. Larssen Piling)</v>
          </cell>
          <cell r="E571" t="str">
            <v>cum</v>
          </cell>
          <cell r="F571" t="str">
            <v>|</v>
          </cell>
          <cell r="G571">
            <v>0</v>
          </cell>
        </row>
        <row r="572">
          <cell r="C572">
            <v>2199.27</v>
          </cell>
          <cell r="D572" t="str">
            <v>Sect.exc.hand from 2to4m depth(Betw. Larssen Piling)</v>
          </cell>
          <cell r="E572" t="str">
            <v>cum</v>
          </cell>
          <cell r="F572" t="str">
            <v>|</v>
          </cell>
          <cell r="G572">
            <v>0</v>
          </cell>
        </row>
        <row r="573">
          <cell r="C573">
            <v>2199.2800000000002</v>
          </cell>
          <cell r="D573" t="str">
            <v>Sect.exc.mach.exceed. 4m depth(Betw. Larssen Piling)</v>
          </cell>
          <cell r="E573" t="str">
            <v>cum</v>
          </cell>
          <cell r="F573" t="str">
            <v>|</v>
          </cell>
          <cell r="G573">
            <v>0</v>
          </cell>
        </row>
        <row r="574">
          <cell r="C574">
            <v>2199.29</v>
          </cell>
          <cell r="D574" t="str">
            <v>Sect.exc.hand exceed. 4m depth(Betw. Larssen Piling)</v>
          </cell>
          <cell r="E574" t="str">
            <v>cum</v>
          </cell>
          <cell r="F574" t="str">
            <v>|</v>
          </cell>
          <cell r="G574">
            <v>0</v>
          </cell>
        </row>
        <row r="575">
          <cell r="C575">
            <v>2111.4</v>
          </cell>
          <cell r="D575" t="str">
            <v>Extra price for water table by mach.</v>
          </cell>
          <cell r="E575" t="str">
            <v>cum</v>
          </cell>
          <cell r="F575" t="str">
            <v>|</v>
          </cell>
          <cell r="G575">
            <v>0</v>
          </cell>
        </row>
        <row r="576">
          <cell r="C576">
            <v>2111.1999999999998</v>
          </cell>
          <cell r="D576" t="str">
            <v>Extra price for water table by hand</v>
          </cell>
          <cell r="E576" t="str">
            <v>cum</v>
          </cell>
          <cell r="F576" t="str">
            <v>|</v>
          </cell>
          <cell r="G576">
            <v>0</v>
          </cell>
        </row>
        <row r="577">
          <cell r="C577">
            <v>2112.04</v>
          </cell>
          <cell r="D577" t="str">
            <v>Materials from excav.transport</v>
          </cell>
          <cell r="E577" t="str">
            <v>cum</v>
          </cell>
          <cell r="F577" t="str">
            <v>|</v>
          </cell>
          <cell r="G577">
            <v>0</v>
          </cell>
        </row>
        <row r="578">
          <cell r="C578">
            <v>2112.0500000000002</v>
          </cell>
          <cell r="D578" t="str">
            <v>Materials from demol.transport</v>
          </cell>
          <cell r="E578" t="str">
            <v>cum</v>
          </cell>
          <cell r="F578" t="str">
            <v>|</v>
          </cell>
          <cell r="G578">
            <v>0</v>
          </cell>
        </row>
        <row r="579">
          <cell r="C579">
            <v>2113.0100000000002</v>
          </cell>
          <cell r="D579" t="str">
            <v>Backfill w/ matl from exc.</v>
          </cell>
          <cell r="E579" t="str">
            <v>cum</v>
          </cell>
          <cell r="F579" t="str">
            <v>|</v>
          </cell>
          <cell r="G579">
            <v>0</v>
          </cell>
        </row>
        <row r="580">
          <cell r="C580">
            <v>2199.21</v>
          </cell>
          <cell r="D580" t="str">
            <v>Backfill with desert matl.</v>
          </cell>
          <cell r="E580" t="str">
            <v>cum</v>
          </cell>
          <cell r="F580" t="str">
            <v>|</v>
          </cell>
          <cell r="G580">
            <v>0</v>
          </cell>
        </row>
        <row r="581">
          <cell r="C581">
            <v>2199.13</v>
          </cell>
          <cell r="D581" t="str">
            <v>Soil improv.under found.granular matl.</v>
          </cell>
          <cell r="E581" t="str">
            <v>cum</v>
          </cell>
          <cell r="F581" t="str">
            <v>|</v>
          </cell>
          <cell r="G581">
            <v>0</v>
          </cell>
        </row>
        <row r="582">
          <cell r="C582">
            <v>2114.04</v>
          </cell>
          <cell r="D582" t="str">
            <v>Non reinforced concrete demol.</v>
          </cell>
          <cell r="E582" t="str">
            <v>cum</v>
          </cell>
          <cell r="F582" t="str">
            <v>|</v>
          </cell>
          <cell r="G582">
            <v>0</v>
          </cell>
        </row>
        <row r="583">
          <cell r="C583">
            <v>2114.0500000000002</v>
          </cell>
          <cell r="D583" t="str">
            <v>Reinforced concrete demol.</v>
          </cell>
          <cell r="E583" t="str">
            <v>cum</v>
          </cell>
          <cell r="F583" t="str">
            <v>|</v>
          </cell>
          <cell r="G583">
            <v>0</v>
          </cell>
        </row>
        <row r="584">
          <cell r="C584">
            <v>1711.02</v>
          </cell>
          <cell r="D584" t="str">
            <v>Bitumen coat for foundation</v>
          </cell>
          <cell r="E584" t="str">
            <v>sqm</v>
          </cell>
          <cell r="F584" t="str">
            <v>|</v>
          </cell>
          <cell r="G584">
            <v>0</v>
          </cell>
        </row>
        <row r="585">
          <cell r="C585">
            <v>1799.33</v>
          </cell>
          <cell r="D585" t="str">
            <v>Polyethylene sheet under foundations</v>
          </cell>
          <cell r="E585" t="str">
            <v>sqm</v>
          </cell>
          <cell r="F585" t="str">
            <v>|</v>
          </cell>
          <cell r="G585">
            <v>0</v>
          </cell>
        </row>
        <row r="586">
          <cell r="C586">
            <v>1710.01</v>
          </cell>
          <cell r="D586" t="str">
            <v>Lean concrete 5cm thk.</v>
          </cell>
          <cell r="E586" t="str">
            <v>sqm</v>
          </cell>
          <cell r="F586" t="str">
            <v>|</v>
          </cell>
          <cell r="G586">
            <v>0</v>
          </cell>
        </row>
        <row r="587">
          <cell r="C587">
            <v>1710.02</v>
          </cell>
          <cell r="D587" t="str">
            <v>Lean concrete 10cm thk.</v>
          </cell>
          <cell r="E587" t="str">
            <v>sqm</v>
          </cell>
          <cell r="F587" t="str">
            <v>|</v>
          </cell>
          <cell r="G587">
            <v>0</v>
          </cell>
        </row>
        <row r="588">
          <cell r="C588">
            <v>1711.01</v>
          </cell>
          <cell r="D588" t="str">
            <v>Concrete for foundation</v>
          </cell>
          <cell r="E588" t="str">
            <v>cum</v>
          </cell>
          <cell r="F588" t="str">
            <v>|</v>
          </cell>
          <cell r="G588">
            <v>0</v>
          </cell>
        </row>
        <row r="589">
          <cell r="C589">
            <v>1712.01</v>
          </cell>
          <cell r="D589" t="str">
            <v>Concrete elev. up to 10m</v>
          </cell>
          <cell r="E589" t="str">
            <v>cum</v>
          </cell>
          <cell r="F589" t="str">
            <v>|</v>
          </cell>
          <cell r="G589">
            <v>0</v>
          </cell>
        </row>
        <row r="590">
          <cell r="C590">
            <v>1714.01</v>
          </cell>
          <cell r="D590" t="str">
            <v>Formwork foundation</v>
          </cell>
          <cell r="E590" t="str">
            <v>sqm</v>
          </cell>
          <cell r="F590" t="str">
            <v>|</v>
          </cell>
          <cell r="G590">
            <v>0</v>
          </cell>
        </row>
        <row r="591">
          <cell r="C591">
            <v>1714.02</v>
          </cell>
          <cell r="D591" t="str">
            <v>Formwork elev. up to 10m</v>
          </cell>
          <cell r="E591" t="str">
            <v>sqm</v>
          </cell>
          <cell r="F591" t="str">
            <v>|</v>
          </cell>
          <cell r="G591">
            <v>0</v>
          </cell>
        </row>
        <row r="592">
          <cell r="C592">
            <v>1799.36</v>
          </cell>
          <cell r="D592" t="str">
            <v>Extra price for formworks easement made by fiberglass</v>
          </cell>
          <cell r="E592" t="str">
            <v>sqm</v>
          </cell>
          <cell r="F592" t="str">
            <v>|</v>
          </cell>
          <cell r="G592">
            <v>0</v>
          </cell>
        </row>
        <row r="593">
          <cell r="C593">
            <v>1714.05</v>
          </cell>
          <cell r="D593" t="str">
            <v>Circular formwork el. &lt;10m</v>
          </cell>
          <cell r="E593" t="str">
            <v>sqm</v>
          </cell>
          <cell r="F593" t="str">
            <v>|</v>
          </cell>
          <cell r="G593">
            <v>0</v>
          </cell>
        </row>
        <row r="594">
          <cell r="C594">
            <v>1714.12</v>
          </cell>
          <cell r="D594" t="str">
            <v>Improved bond reinf.steel</v>
          </cell>
          <cell r="E594" t="str">
            <v>Kg</v>
          </cell>
          <cell r="F594" t="str">
            <v>|</v>
          </cell>
          <cell r="G594">
            <v>0</v>
          </cell>
        </row>
        <row r="595">
          <cell r="C595">
            <v>1718.01</v>
          </cell>
          <cell r="D595" t="str">
            <v>Grout 25mm thk.</v>
          </cell>
          <cell r="E595" t="str">
            <v>sqm</v>
          </cell>
          <cell r="F595" t="str">
            <v>|</v>
          </cell>
          <cell r="G595">
            <v>0</v>
          </cell>
        </row>
        <row r="596">
          <cell r="C596">
            <v>1718.03</v>
          </cell>
          <cell r="D596" t="str">
            <v>Grout &gt;50mm thk.</v>
          </cell>
          <cell r="E596" t="str">
            <v>cum</v>
          </cell>
          <cell r="F596" t="str">
            <v>|</v>
          </cell>
          <cell r="G596">
            <v>0</v>
          </cell>
        </row>
        <row r="597">
          <cell r="C597">
            <v>1718.04</v>
          </cell>
          <cell r="D597" t="str">
            <v>Non-shrinking grout 25mm</v>
          </cell>
          <cell r="E597" t="str">
            <v>sqm</v>
          </cell>
          <cell r="F597" t="str">
            <v>|</v>
          </cell>
          <cell r="G597">
            <v>0</v>
          </cell>
        </row>
        <row r="598">
          <cell r="C598">
            <v>1718.05</v>
          </cell>
          <cell r="D598" t="str">
            <v>Non-shrinking grout 50mm</v>
          </cell>
          <cell r="E598" t="str">
            <v>sqm</v>
          </cell>
          <cell r="F598" t="str">
            <v>|</v>
          </cell>
          <cell r="G598">
            <v>0</v>
          </cell>
        </row>
        <row r="599">
          <cell r="C599">
            <v>1718.06</v>
          </cell>
          <cell r="D599" t="str">
            <v>Non-shrinking grout &gt;50mm</v>
          </cell>
          <cell r="E599" t="str">
            <v>cum</v>
          </cell>
          <cell r="F599" t="str">
            <v>|</v>
          </cell>
          <cell r="G599">
            <v>0</v>
          </cell>
        </row>
        <row r="600">
          <cell r="C600">
            <v>2199.23</v>
          </cell>
          <cell r="D600" t="str">
            <v>Formation of anchor bolts pockets</v>
          </cell>
          <cell r="E600" t="str">
            <v>cu.dm</v>
          </cell>
          <cell r="F600" t="str">
            <v>|</v>
          </cell>
          <cell r="G600">
            <v>0</v>
          </cell>
        </row>
        <row r="601">
          <cell r="C601">
            <v>1714.17</v>
          </cell>
          <cell r="D601" t="str">
            <v>Anchor bolts weight up to 20Kg</v>
          </cell>
          <cell r="E601" t="str">
            <v>Kg</v>
          </cell>
          <cell r="F601" t="str">
            <v>|</v>
          </cell>
          <cell r="G601">
            <v>0</v>
          </cell>
        </row>
        <row r="602">
          <cell r="C602">
            <v>1714.25</v>
          </cell>
          <cell r="D602" t="str">
            <v>Steel insert</v>
          </cell>
          <cell r="E602" t="str">
            <v>Kg</v>
          </cell>
          <cell r="F602" t="str">
            <v>|</v>
          </cell>
          <cell r="G602">
            <v>0</v>
          </cell>
        </row>
        <row r="603">
          <cell r="C603">
            <v>1714.26</v>
          </cell>
          <cell r="D603" t="str">
            <v>Steel insert inst. only</v>
          </cell>
          <cell r="E603" t="str">
            <v>Kg</v>
          </cell>
          <cell r="F603" t="str">
            <v>|</v>
          </cell>
          <cell r="G603">
            <v>0</v>
          </cell>
        </row>
        <row r="604">
          <cell r="C604">
            <v>1413.05</v>
          </cell>
          <cell r="D604" t="str">
            <v>PVC piping         dia. 315mm</v>
          </cell>
          <cell r="E604" t="str">
            <v>lm</v>
          </cell>
          <cell r="F604" t="str">
            <v>|</v>
          </cell>
          <cell r="G604">
            <v>0</v>
          </cell>
        </row>
        <row r="605">
          <cell r="C605">
            <v>1499.17</v>
          </cell>
          <cell r="D605" t="str">
            <v>PVC piping         dia. 600mm</v>
          </cell>
          <cell r="E605" t="str">
            <v>lm</v>
          </cell>
          <cell r="F605" t="str">
            <v>|</v>
          </cell>
          <cell r="G605">
            <v>0</v>
          </cell>
        </row>
        <row r="606">
          <cell r="C606">
            <v>1718.12</v>
          </cell>
          <cell r="D606" t="str">
            <v>PVC water-stop: 30cm wide</v>
          </cell>
          <cell r="E606" t="str">
            <v>lm</v>
          </cell>
          <cell r="F606" t="str">
            <v>|</v>
          </cell>
          <cell r="G606">
            <v>0</v>
          </cell>
        </row>
        <row r="607">
          <cell r="C607">
            <v>1799.02</v>
          </cell>
          <cell r="D607" t="str">
            <v>Waterproof cement additive</v>
          </cell>
          <cell r="E607" t="str">
            <v>kg</v>
          </cell>
          <cell r="F607" t="str">
            <v>|</v>
          </cell>
          <cell r="G607">
            <v>0</v>
          </cell>
        </row>
        <row r="608">
          <cell r="C608">
            <v>1715.12</v>
          </cell>
          <cell r="D608" t="str">
            <v>Checkered plate cover</v>
          </cell>
          <cell r="E608" t="str">
            <v>Kg</v>
          </cell>
          <cell r="F608" t="str">
            <v>|</v>
          </cell>
          <cell r="G608">
            <v>0</v>
          </cell>
        </row>
        <row r="609">
          <cell r="C609">
            <v>1715.14</v>
          </cell>
          <cell r="D609" t="str">
            <v>Steel frame</v>
          </cell>
          <cell r="E609" t="str">
            <v>Kg</v>
          </cell>
          <cell r="F609" t="str">
            <v>|</v>
          </cell>
          <cell r="G609">
            <v>0</v>
          </cell>
        </row>
        <row r="610">
          <cell r="C610">
            <v>1714.23</v>
          </cell>
          <cell r="D610" t="str">
            <v>Teflon/neoprene bearing/plate</v>
          </cell>
          <cell r="E610" t="str">
            <v>Kg</v>
          </cell>
          <cell r="F610" t="str">
            <v>|</v>
          </cell>
          <cell r="G610">
            <v>0</v>
          </cell>
        </row>
        <row r="611">
          <cell r="C611">
            <v>2016.5</v>
          </cell>
          <cell r="D611" t="str">
            <v>Steel manufactured material</v>
          </cell>
          <cell r="E611" t="str">
            <v>Kg</v>
          </cell>
          <cell r="F611" t="str">
            <v>|</v>
          </cell>
          <cell r="G611">
            <v>0</v>
          </cell>
        </row>
        <row r="612">
          <cell r="C612">
            <v>2799.05</v>
          </cell>
          <cell r="D612" t="str">
            <v>Supply install./removal C.S.Sheet Piling Type "LARSSEN"</v>
          </cell>
          <cell r="E612" t="str">
            <v>sqm</v>
          </cell>
          <cell r="F612" t="str">
            <v>|</v>
          </cell>
          <cell r="G612">
            <v>0</v>
          </cell>
        </row>
        <row r="613">
          <cell r="C613">
            <v>2799.06</v>
          </cell>
          <cell r="D613" t="str">
            <v>Tie of LARSSEN sh.pil.by tension rod /conc.anchor log</v>
          </cell>
          <cell r="E613" t="str">
            <v>u.</v>
          </cell>
          <cell r="F613" t="str">
            <v>|</v>
          </cell>
          <cell r="G613">
            <v>0</v>
          </cell>
        </row>
        <row r="614">
          <cell r="C614">
            <v>2799.07</v>
          </cell>
          <cell r="D614" t="str">
            <v>Stiffening by steel profile of LARSSEN sheet piling</v>
          </cell>
          <cell r="E614" t="str">
            <v>Kg</v>
          </cell>
          <cell r="F614" t="str">
            <v>|</v>
          </cell>
          <cell r="G614">
            <v>0</v>
          </cell>
        </row>
        <row r="615">
          <cell r="C615">
            <v>1799.31</v>
          </cell>
          <cell r="D615" t="str">
            <v>Supply installat./removal of temporary steel sluice gate</v>
          </cell>
          <cell r="E615" t="str">
            <v>Kg</v>
          </cell>
          <cell r="F615" t="str">
            <v>|</v>
          </cell>
          <cell r="G615">
            <v>0</v>
          </cell>
        </row>
        <row r="616">
          <cell r="C616">
            <v>1799.32</v>
          </cell>
          <cell r="D616" t="str">
            <v>Supply and driving in the soil of steel HEB 220÷240</v>
          </cell>
          <cell r="E616" t="str">
            <v>Kg</v>
          </cell>
          <cell r="F616" t="str">
            <v>|</v>
          </cell>
          <cell r="G616">
            <v>0</v>
          </cell>
        </row>
        <row r="617">
          <cell r="C617">
            <v>1799.39</v>
          </cell>
          <cell r="D617" t="str">
            <v>Tension rod w/screw coupling for HEB head anchoring</v>
          </cell>
          <cell r="E617" t="str">
            <v>u.</v>
          </cell>
          <cell r="F617" t="str">
            <v>|</v>
          </cell>
          <cell r="G617">
            <v>0</v>
          </cell>
        </row>
        <row r="618">
          <cell r="C618">
            <v>1799.4</v>
          </cell>
          <cell r="D618" t="str">
            <v>AISI Steel insert</v>
          </cell>
          <cell r="E618" t="str">
            <v>Kg</v>
          </cell>
          <cell r="F618" t="str">
            <v>|</v>
          </cell>
          <cell r="G618">
            <v>0</v>
          </cell>
        </row>
        <row r="619">
          <cell r="C619">
            <v>1799.41</v>
          </cell>
          <cell r="D619" t="str">
            <v>AISI Anchor bolts weight up to 20Kg</v>
          </cell>
          <cell r="E619" t="str">
            <v>Kg</v>
          </cell>
          <cell r="F619" t="str">
            <v>|</v>
          </cell>
          <cell r="G619">
            <v>0</v>
          </cell>
        </row>
        <row r="620">
          <cell r="C620">
            <v>1715.02</v>
          </cell>
          <cell r="D620" t="str">
            <v>Pit 0,91x0,91 to 1,5x1,5m</v>
          </cell>
          <cell r="E620" t="str">
            <v>cum</v>
          </cell>
          <cell r="F620" t="str">
            <v>|</v>
          </cell>
          <cell r="G620">
            <v>0</v>
          </cell>
        </row>
        <row r="621">
          <cell r="C621">
            <v>1799.37</v>
          </cell>
          <cell r="D621" t="str">
            <v>Precast concrete cover 30 cm thick</v>
          </cell>
          <cell r="E621" t="str">
            <v>sqm</v>
          </cell>
          <cell r="F621" t="str">
            <v>|</v>
          </cell>
          <cell r="G621">
            <v>0</v>
          </cell>
        </row>
        <row r="622">
          <cell r="C622">
            <v>1799.25</v>
          </cell>
          <cell r="D622" t="str">
            <v>Chipping of existing concrete surface</v>
          </cell>
          <cell r="E622" t="str">
            <v>sqm</v>
          </cell>
          <cell r="F622" t="str">
            <v>|</v>
          </cell>
          <cell r="G622">
            <v>0</v>
          </cell>
        </row>
        <row r="623">
          <cell r="C623">
            <v>1799.26</v>
          </cell>
          <cell r="D623" t="str">
            <v>Drilled Holes 2" on reinf. concrete</v>
          </cell>
          <cell r="E623" t="str">
            <v>lm</v>
          </cell>
          <cell r="F623" t="str">
            <v>|</v>
          </cell>
          <cell r="G623">
            <v>0</v>
          </cell>
        </row>
        <row r="624">
          <cell r="C624">
            <v>1799.27</v>
          </cell>
          <cell r="D624" t="str">
            <v>Sticking epoxy resin on concrete surface</v>
          </cell>
          <cell r="E624" t="str">
            <v>sqm</v>
          </cell>
          <cell r="F624" t="str">
            <v>|</v>
          </cell>
          <cell r="G624">
            <v>0</v>
          </cell>
        </row>
        <row r="625">
          <cell r="C625">
            <v>1799.28</v>
          </cell>
          <cell r="D625" t="str">
            <v>Injection of mortar Pagel in holes 2"</v>
          </cell>
          <cell r="E625" t="str">
            <v>cum</v>
          </cell>
          <cell r="F625" t="str">
            <v>|</v>
          </cell>
          <cell r="G625">
            <v>0</v>
          </cell>
        </row>
        <row r="626">
          <cell r="C626">
            <v>1799.38</v>
          </cell>
          <cell r="D626" t="str">
            <v>Protective Waterproof painting on cls surfaces</v>
          </cell>
          <cell r="E626" t="str">
            <v>sqm</v>
          </cell>
          <cell r="F626" t="str">
            <v>|</v>
          </cell>
          <cell r="G626">
            <v>0</v>
          </cell>
        </row>
        <row r="627">
          <cell r="C627">
            <v>1799.03</v>
          </cell>
          <cell r="D627" t="str">
            <v>Precast concrete covers 10 cm thick</v>
          </cell>
          <cell r="E627" t="str">
            <v>sqm</v>
          </cell>
          <cell r="F627" t="str">
            <v>|</v>
          </cell>
          <cell r="G627">
            <v>0</v>
          </cell>
        </row>
        <row r="628">
          <cell r="C628">
            <v>1715.08</v>
          </cell>
          <cell r="D628" t="str">
            <v>Supply of cast iron cover</v>
          </cell>
          <cell r="E628" t="str">
            <v>Kg</v>
          </cell>
          <cell r="F628" t="str">
            <v>|</v>
          </cell>
          <cell r="G628">
            <v>0</v>
          </cell>
        </row>
        <row r="629">
          <cell r="C629">
            <v>1715.09</v>
          </cell>
          <cell r="D629" t="str">
            <v>Laying of cast-iron cover</v>
          </cell>
          <cell r="E629" t="str">
            <v>Kg</v>
          </cell>
          <cell r="F629" t="str">
            <v>|</v>
          </cell>
          <cell r="G629">
            <v>0</v>
          </cell>
        </row>
        <row r="630">
          <cell r="C630">
            <v>2199.3000000000002</v>
          </cell>
          <cell r="D630" t="str">
            <v>Dewatering pumps diam. 100 mm w/ power &amp; check</v>
          </cell>
          <cell r="E630" t="str">
            <v>hour</v>
          </cell>
          <cell r="F630" t="str">
            <v>|</v>
          </cell>
          <cell r="G630">
            <v>0</v>
          </cell>
        </row>
        <row r="631">
          <cell r="C631">
            <v>2199.31</v>
          </cell>
          <cell r="D631" t="str">
            <v>Formation of granular base course for dewatering works</v>
          </cell>
          <cell r="E631" t="str">
            <v>cum</v>
          </cell>
          <cell r="F631" t="str">
            <v>|</v>
          </cell>
          <cell r="G631">
            <v>0</v>
          </cell>
        </row>
        <row r="632">
          <cell r="C632">
            <v>2199.3200000000002</v>
          </cell>
          <cell r="D632" t="str">
            <v>High Pressure water injection for cleaning slide guide</v>
          </cell>
          <cell r="E632" t="str">
            <v>lm</v>
          </cell>
          <cell r="F632" t="str">
            <v>|</v>
          </cell>
          <cell r="G632">
            <v>0</v>
          </cell>
        </row>
        <row r="633">
          <cell r="F633" t="str">
            <v>|</v>
          </cell>
        </row>
        <row r="634">
          <cell r="D634" t="str">
            <v>Total Concrete Outfall Chamber</v>
          </cell>
          <cell r="E634" t="str">
            <v>cum</v>
          </cell>
          <cell r="F634" t="str">
            <v>|</v>
          </cell>
        </row>
        <row r="635">
          <cell r="F635" t="str">
            <v>|</v>
          </cell>
        </row>
        <row r="636">
          <cell r="D636" t="str">
            <v>SEA WATER INTAKE CONCRETE BASIN &amp; CULVERTS</v>
          </cell>
          <cell r="F636" t="str">
            <v>|</v>
          </cell>
        </row>
        <row r="637">
          <cell r="F637" t="str">
            <v>|</v>
          </cell>
        </row>
        <row r="638">
          <cell r="C638">
            <v>2111.3000000000002</v>
          </cell>
          <cell r="D638" t="str">
            <v>Soil sect.exc.by mach.up to 2m</v>
          </cell>
          <cell r="E638" t="str">
            <v>cum</v>
          </cell>
          <cell r="F638" t="str">
            <v>|</v>
          </cell>
          <cell r="G638">
            <v>0</v>
          </cell>
        </row>
        <row r="639">
          <cell r="C639">
            <v>2111.31</v>
          </cell>
          <cell r="D639" t="str">
            <v>Sect.exc.mach.from 2to4m depth</v>
          </cell>
          <cell r="E639" t="str">
            <v>cum</v>
          </cell>
          <cell r="F639" t="str">
            <v>|</v>
          </cell>
          <cell r="G639">
            <v>0</v>
          </cell>
        </row>
        <row r="640">
          <cell r="C640">
            <v>2111.1</v>
          </cell>
          <cell r="D640" t="str">
            <v>Soil sect.exc.by hand up to 2m</v>
          </cell>
          <cell r="E640" t="str">
            <v>cum</v>
          </cell>
          <cell r="F640" t="str">
            <v>|</v>
          </cell>
          <cell r="G640">
            <v>0</v>
          </cell>
        </row>
        <row r="641">
          <cell r="C641">
            <v>2111.11</v>
          </cell>
          <cell r="D641" t="str">
            <v>Sect.exc.hand from 2to4m depth</v>
          </cell>
          <cell r="E641" t="str">
            <v>cum</v>
          </cell>
          <cell r="F641" t="str">
            <v>|</v>
          </cell>
          <cell r="G641">
            <v>0</v>
          </cell>
        </row>
        <row r="642">
          <cell r="C642">
            <v>2199.2399999999998</v>
          </cell>
          <cell r="D642" t="str">
            <v>Soil sect.exc.by mach.up to 2m (Betw. Larssen Piling)</v>
          </cell>
          <cell r="E642" t="str">
            <v>cum</v>
          </cell>
          <cell r="F642" t="str">
            <v>|</v>
          </cell>
          <cell r="G642">
            <v>0</v>
          </cell>
        </row>
        <row r="643">
          <cell r="C643">
            <v>2199.25</v>
          </cell>
          <cell r="D643" t="str">
            <v>Soil sect.exc.by hand up to 2m (Betw. Larssen Piling)</v>
          </cell>
          <cell r="E643" t="str">
            <v>cum</v>
          </cell>
          <cell r="F643" t="str">
            <v>|</v>
          </cell>
          <cell r="G643">
            <v>0</v>
          </cell>
        </row>
        <row r="644">
          <cell r="C644">
            <v>2199.2600000000002</v>
          </cell>
          <cell r="D644" t="str">
            <v>Sect.exc.mach.from 2to4m depth(Betw. Larssen Piling)</v>
          </cell>
          <cell r="E644" t="str">
            <v>cum</v>
          </cell>
          <cell r="F644" t="str">
            <v>|</v>
          </cell>
          <cell r="G644">
            <v>0</v>
          </cell>
        </row>
        <row r="645">
          <cell r="C645">
            <v>2199.27</v>
          </cell>
          <cell r="D645" t="str">
            <v>Sect.exc.hand from 2to4m depth(Betw. Larssen Piling)</v>
          </cell>
          <cell r="E645" t="str">
            <v>cum</v>
          </cell>
          <cell r="F645" t="str">
            <v>|</v>
          </cell>
          <cell r="G645">
            <v>0</v>
          </cell>
        </row>
        <row r="646">
          <cell r="C646">
            <v>2199.2800000000002</v>
          </cell>
          <cell r="D646" t="str">
            <v>Sect.exc.mach.exceed. 4m depth(Betw. Larssen Piling)</v>
          </cell>
          <cell r="E646" t="str">
            <v>cum</v>
          </cell>
          <cell r="F646" t="str">
            <v>|</v>
          </cell>
          <cell r="G646">
            <v>0</v>
          </cell>
        </row>
        <row r="647">
          <cell r="C647">
            <v>2199.29</v>
          </cell>
          <cell r="D647" t="str">
            <v>Sect.exc.hand exceed. 4m depth(Betw. Larssen Piling)</v>
          </cell>
          <cell r="E647" t="str">
            <v>cum</v>
          </cell>
          <cell r="F647" t="str">
            <v>|</v>
          </cell>
          <cell r="G647">
            <v>0</v>
          </cell>
        </row>
        <row r="648">
          <cell r="C648">
            <v>2111.4</v>
          </cell>
          <cell r="D648" t="str">
            <v>Extra price for water table by mach.</v>
          </cell>
          <cell r="E648" t="str">
            <v>cum</v>
          </cell>
          <cell r="F648" t="str">
            <v>|</v>
          </cell>
          <cell r="G648">
            <v>0</v>
          </cell>
        </row>
        <row r="649">
          <cell r="C649">
            <v>2111.1999999999998</v>
          </cell>
          <cell r="D649" t="str">
            <v>Extra price for water table by hand</v>
          </cell>
          <cell r="E649" t="str">
            <v>cum</v>
          </cell>
          <cell r="F649" t="str">
            <v>|</v>
          </cell>
          <cell r="G649">
            <v>0</v>
          </cell>
        </row>
        <row r="650">
          <cell r="C650">
            <v>2112.04</v>
          </cell>
          <cell r="D650" t="str">
            <v>Materials from excav.transport</v>
          </cell>
          <cell r="E650" t="str">
            <v>cum</v>
          </cell>
          <cell r="F650" t="str">
            <v>|</v>
          </cell>
          <cell r="G650">
            <v>0</v>
          </cell>
        </row>
        <row r="651">
          <cell r="C651">
            <v>2112.0500000000002</v>
          </cell>
          <cell r="D651" t="str">
            <v>Materials from demol.transport</v>
          </cell>
          <cell r="E651" t="str">
            <v>cum</v>
          </cell>
          <cell r="F651" t="str">
            <v>|</v>
          </cell>
          <cell r="G651">
            <v>0</v>
          </cell>
        </row>
        <row r="652">
          <cell r="C652">
            <v>2113.0100000000002</v>
          </cell>
          <cell r="D652" t="str">
            <v>Backfill w/ matl from exc.</v>
          </cell>
          <cell r="E652" t="str">
            <v>cum</v>
          </cell>
          <cell r="F652" t="str">
            <v>|</v>
          </cell>
          <cell r="G652">
            <v>0</v>
          </cell>
        </row>
        <row r="653">
          <cell r="C653">
            <v>2199.21</v>
          </cell>
          <cell r="D653" t="str">
            <v>Backfill with desert matl.</v>
          </cell>
          <cell r="E653" t="str">
            <v>cum</v>
          </cell>
          <cell r="F653" t="str">
            <v>|</v>
          </cell>
          <cell r="G653">
            <v>0</v>
          </cell>
        </row>
        <row r="654">
          <cell r="C654">
            <v>2199.13</v>
          </cell>
          <cell r="D654" t="str">
            <v>Soil improv.under found.granular matl.</v>
          </cell>
          <cell r="E654" t="str">
            <v>cum</v>
          </cell>
          <cell r="F654" t="str">
            <v>|</v>
          </cell>
          <cell r="G654">
            <v>0</v>
          </cell>
        </row>
        <row r="655">
          <cell r="C655">
            <v>2114.04</v>
          </cell>
          <cell r="D655" t="str">
            <v>Non reinforced concrete demol.</v>
          </cell>
          <cell r="E655" t="str">
            <v>cum</v>
          </cell>
          <cell r="F655" t="str">
            <v>|</v>
          </cell>
          <cell r="G655">
            <v>0</v>
          </cell>
        </row>
        <row r="656">
          <cell r="C656">
            <v>2114.0500000000002</v>
          </cell>
          <cell r="D656" t="str">
            <v>Reinforced concrete demol.</v>
          </cell>
          <cell r="E656" t="str">
            <v>cum</v>
          </cell>
          <cell r="F656" t="str">
            <v>|</v>
          </cell>
          <cell r="G656">
            <v>0</v>
          </cell>
        </row>
        <row r="657">
          <cell r="C657">
            <v>1711.02</v>
          </cell>
          <cell r="D657" t="str">
            <v>Bitumen coat for foundation</v>
          </cell>
          <cell r="E657" t="str">
            <v>sqm</v>
          </cell>
          <cell r="F657" t="str">
            <v>|</v>
          </cell>
          <cell r="G657">
            <v>0</v>
          </cell>
        </row>
        <row r="658">
          <cell r="C658">
            <v>1799.33</v>
          </cell>
          <cell r="D658" t="str">
            <v>Polyethylene sheet under foundations</v>
          </cell>
          <cell r="E658" t="str">
            <v>sqm</v>
          </cell>
          <cell r="F658" t="str">
            <v>|</v>
          </cell>
          <cell r="G658">
            <v>0</v>
          </cell>
        </row>
        <row r="659">
          <cell r="C659">
            <v>1710.01</v>
          </cell>
          <cell r="D659" t="str">
            <v>Lean concrete 5cm thk.</v>
          </cell>
          <cell r="E659" t="str">
            <v>sqm</v>
          </cell>
          <cell r="F659" t="str">
            <v>|</v>
          </cell>
          <cell r="G659">
            <v>0</v>
          </cell>
        </row>
        <row r="660">
          <cell r="C660">
            <v>1710.02</v>
          </cell>
          <cell r="D660" t="str">
            <v>Lean concrete 10cm thk.</v>
          </cell>
          <cell r="E660" t="str">
            <v>sqm</v>
          </cell>
          <cell r="F660" t="str">
            <v>|</v>
          </cell>
          <cell r="G660">
            <v>0</v>
          </cell>
        </row>
        <row r="661">
          <cell r="C661">
            <v>1711.01</v>
          </cell>
          <cell r="D661" t="str">
            <v>Concrete for foundation</v>
          </cell>
          <cell r="E661" t="str">
            <v>cum</v>
          </cell>
          <cell r="F661" t="str">
            <v>|</v>
          </cell>
          <cell r="G661">
            <v>0</v>
          </cell>
        </row>
        <row r="662">
          <cell r="C662">
            <v>1712.01</v>
          </cell>
          <cell r="D662" t="str">
            <v>Concrete elev. up to 10m</v>
          </cell>
          <cell r="E662" t="str">
            <v>cum</v>
          </cell>
          <cell r="F662" t="str">
            <v>|</v>
          </cell>
          <cell r="G662">
            <v>0</v>
          </cell>
        </row>
        <row r="663">
          <cell r="C663">
            <v>1714.01</v>
          </cell>
          <cell r="D663" t="str">
            <v>Formwork foundation</v>
          </cell>
          <cell r="E663" t="str">
            <v>sqm</v>
          </cell>
          <cell r="F663" t="str">
            <v>|</v>
          </cell>
          <cell r="G663">
            <v>0</v>
          </cell>
        </row>
        <row r="664">
          <cell r="C664">
            <v>1714.02</v>
          </cell>
          <cell r="D664" t="str">
            <v>Formwork elev. up to 10m</v>
          </cell>
          <cell r="E664" t="str">
            <v>sqm</v>
          </cell>
          <cell r="F664" t="str">
            <v>|</v>
          </cell>
          <cell r="G664">
            <v>0</v>
          </cell>
        </row>
        <row r="665">
          <cell r="C665">
            <v>1799.36</v>
          </cell>
          <cell r="D665" t="str">
            <v>Extra price for formworks easement made by fiberglass</v>
          </cell>
          <cell r="E665" t="str">
            <v>sqm</v>
          </cell>
          <cell r="F665" t="str">
            <v>|</v>
          </cell>
          <cell r="G665">
            <v>0</v>
          </cell>
        </row>
        <row r="666">
          <cell r="C666">
            <v>1714.05</v>
          </cell>
          <cell r="D666" t="str">
            <v>Circular formwork el. &lt;10m</v>
          </cell>
          <cell r="E666" t="str">
            <v>sqm</v>
          </cell>
          <cell r="F666" t="str">
            <v>|</v>
          </cell>
          <cell r="G666">
            <v>0</v>
          </cell>
        </row>
        <row r="667">
          <cell r="C667">
            <v>1714.12</v>
          </cell>
          <cell r="D667" t="str">
            <v>Improved bond reinf.steel</v>
          </cell>
          <cell r="E667" t="str">
            <v>Kg</v>
          </cell>
          <cell r="F667" t="str">
            <v>|</v>
          </cell>
          <cell r="G667">
            <v>0</v>
          </cell>
        </row>
        <row r="668">
          <cell r="C668">
            <v>1718.01</v>
          </cell>
          <cell r="D668" t="str">
            <v>Grout 25mm thk.</v>
          </cell>
          <cell r="E668" t="str">
            <v>sqm</v>
          </cell>
          <cell r="F668" t="str">
            <v>|</v>
          </cell>
          <cell r="G668">
            <v>0</v>
          </cell>
        </row>
        <row r="669">
          <cell r="C669">
            <v>1718.03</v>
          </cell>
          <cell r="D669" t="str">
            <v>Grout &gt;50mm thk.</v>
          </cell>
          <cell r="E669" t="str">
            <v>cum</v>
          </cell>
          <cell r="F669" t="str">
            <v>|</v>
          </cell>
          <cell r="G669">
            <v>0</v>
          </cell>
        </row>
        <row r="670">
          <cell r="C670">
            <v>1718.04</v>
          </cell>
          <cell r="D670" t="str">
            <v>Non-shrinking grout 25mm</v>
          </cell>
          <cell r="E670" t="str">
            <v>sqm</v>
          </cell>
          <cell r="F670" t="str">
            <v>|</v>
          </cell>
          <cell r="G670">
            <v>0</v>
          </cell>
        </row>
        <row r="671">
          <cell r="C671">
            <v>1718.05</v>
          </cell>
          <cell r="D671" t="str">
            <v>Non-shrinking grout 50mm</v>
          </cell>
          <cell r="E671" t="str">
            <v>sqm</v>
          </cell>
          <cell r="F671" t="str">
            <v>|</v>
          </cell>
          <cell r="G671">
            <v>0</v>
          </cell>
        </row>
        <row r="672">
          <cell r="C672">
            <v>1718.06</v>
          </cell>
          <cell r="D672" t="str">
            <v>Non-shrinking grout &gt;50mm</v>
          </cell>
          <cell r="E672" t="str">
            <v>cum</v>
          </cell>
          <cell r="F672" t="str">
            <v>|</v>
          </cell>
          <cell r="G672">
            <v>0</v>
          </cell>
        </row>
        <row r="673">
          <cell r="C673">
            <v>2199.23</v>
          </cell>
          <cell r="D673" t="str">
            <v>Formation of anchor bolts pockets</v>
          </cell>
          <cell r="E673" t="str">
            <v>cu.dm</v>
          </cell>
          <cell r="F673" t="str">
            <v>|</v>
          </cell>
          <cell r="G673">
            <v>0</v>
          </cell>
        </row>
        <row r="674">
          <cell r="C674">
            <v>1714.17</v>
          </cell>
          <cell r="D674" t="str">
            <v>Anchor bolts weight up to 20Kg</v>
          </cell>
          <cell r="E674" t="str">
            <v>Kg</v>
          </cell>
          <cell r="F674" t="str">
            <v>|</v>
          </cell>
          <cell r="G674">
            <v>0</v>
          </cell>
        </row>
        <row r="675">
          <cell r="C675">
            <v>1714.25</v>
          </cell>
          <cell r="D675" t="str">
            <v>Steel insert</v>
          </cell>
          <cell r="E675" t="str">
            <v>Kg</v>
          </cell>
          <cell r="F675" t="str">
            <v>|</v>
          </cell>
          <cell r="G675">
            <v>0</v>
          </cell>
        </row>
        <row r="676">
          <cell r="C676">
            <v>1714.26</v>
          </cell>
          <cell r="D676" t="str">
            <v>Steel insert inst. only</v>
          </cell>
          <cell r="E676" t="str">
            <v>Kg</v>
          </cell>
          <cell r="F676" t="str">
            <v>|</v>
          </cell>
          <cell r="G676">
            <v>0</v>
          </cell>
        </row>
        <row r="677">
          <cell r="C677">
            <v>1413.05</v>
          </cell>
          <cell r="D677" t="str">
            <v>PVC piping         dia. 315mm</v>
          </cell>
          <cell r="E677" t="str">
            <v>lm</v>
          </cell>
          <cell r="F677" t="str">
            <v>|</v>
          </cell>
          <cell r="G677">
            <v>0</v>
          </cell>
        </row>
        <row r="678">
          <cell r="C678">
            <v>1499.17</v>
          </cell>
          <cell r="D678" t="str">
            <v>PVC piping         dia. 600mm</v>
          </cell>
          <cell r="E678" t="str">
            <v>lm</v>
          </cell>
          <cell r="F678" t="str">
            <v>|</v>
          </cell>
          <cell r="G678">
            <v>0</v>
          </cell>
        </row>
        <row r="679">
          <cell r="C679">
            <v>1718.12</v>
          </cell>
          <cell r="D679" t="str">
            <v>PVC water-stop: 30cm wide</v>
          </cell>
          <cell r="E679" t="str">
            <v>lm</v>
          </cell>
          <cell r="F679" t="str">
            <v>|</v>
          </cell>
          <cell r="G679">
            <v>0</v>
          </cell>
        </row>
        <row r="680">
          <cell r="C680">
            <v>1799.02</v>
          </cell>
          <cell r="D680" t="str">
            <v>Waterproof cement additive</v>
          </cell>
          <cell r="E680" t="str">
            <v>kg</v>
          </cell>
          <cell r="F680" t="str">
            <v>|</v>
          </cell>
          <cell r="G680">
            <v>0</v>
          </cell>
        </row>
        <row r="681">
          <cell r="C681">
            <v>1715.12</v>
          </cell>
          <cell r="D681" t="str">
            <v>Checkered plate cover</v>
          </cell>
          <cell r="E681" t="str">
            <v>Kg</v>
          </cell>
          <cell r="F681" t="str">
            <v>|</v>
          </cell>
          <cell r="G681">
            <v>0</v>
          </cell>
        </row>
        <row r="682">
          <cell r="C682">
            <v>1715.14</v>
          </cell>
          <cell r="D682" t="str">
            <v>Steel frame</v>
          </cell>
          <cell r="E682" t="str">
            <v>Kg</v>
          </cell>
          <cell r="F682" t="str">
            <v>|</v>
          </cell>
          <cell r="G682">
            <v>0</v>
          </cell>
        </row>
        <row r="683">
          <cell r="C683">
            <v>1714.23</v>
          </cell>
          <cell r="D683" t="str">
            <v>Teflon/neoprene bearing/plate</v>
          </cell>
          <cell r="E683" t="str">
            <v>Kg</v>
          </cell>
          <cell r="F683" t="str">
            <v>|</v>
          </cell>
          <cell r="G683">
            <v>0</v>
          </cell>
        </row>
        <row r="684">
          <cell r="C684">
            <v>2016.5</v>
          </cell>
          <cell r="D684" t="str">
            <v>Steel manufactured material</v>
          </cell>
          <cell r="E684" t="str">
            <v>Kg</v>
          </cell>
          <cell r="F684" t="str">
            <v>|</v>
          </cell>
          <cell r="G684">
            <v>0</v>
          </cell>
        </row>
        <row r="685">
          <cell r="C685">
            <v>2799.05</v>
          </cell>
          <cell r="D685" t="str">
            <v>Supply install./removal C.S.Sheet Piling Type "LARSSEN"</v>
          </cell>
          <cell r="E685" t="str">
            <v>sqm</v>
          </cell>
          <cell r="F685" t="str">
            <v>|</v>
          </cell>
          <cell r="G685">
            <v>0</v>
          </cell>
        </row>
        <row r="686">
          <cell r="C686">
            <v>2799.06</v>
          </cell>
          <cell r="D686" t="str">
            <v>Tie of LARSSEN sh.pil.by tension rod /conc.anchor log</v>
          </cell>
          <cell r="E686" t="str">
            <v>u.</v>
          </cell>
          <cell r="F686" t="str">
            <v>|</v>
          </cell>
          <cell r="G686">
            <v>0</v>
          </cell>
        </row>
        <row r="687">
          <cell r="C687">
            <v>2799.07</v>
          </cell>
          <cell r="D687" t="str">
            <v>Stiffening by steel profile of LARSSEN sheet piling</v>
          </cell>
          <cell r="E687" t="str">
            <v>Kg</v>
          </cell>
          <cell r="F687" t="str">
            <v>|</v>
          </cell>
          <cell r="G687">
            <v>0</v>
          </cell>
        </row>
        <row r="688">
          <cell r="C688">
            <v>1799.31</v>
          </cell>
          <cell r="D688" t="str">
            <v>Supply installat./removal of temporary steel sluice gate</v>
          </cell>
          <cell r="E688" t="str">
            <v>Kg</v>
          </cell>
          <cell r="F688" t="str">
            <v>|</v>
          </cell>
          <cell r="G688">
            <v>0</v>
          </cell>
        </row>
        <row r="689">
          <cell r="C689">
            <v>1799.32</v>
          </cell>
          <cell r="D689" t="str">
            <v>Supply and driving in the soil of steel HEB 220÷240</v>
          </cell>
          <cell r="E689" t="str">
            <v>Kg</v>
          </cell>
          <cell r="F689" t="str">
            <v>|</v>
          </cell>
          <cell r="G689">
            <v>0</v>
          </cell>
        </row>
        <row r="690">
          <cell r="C690">
            <v>1799.39</v>
          </cell>
          <cell r="D690" t="str">
            <v>Tension rod w/screw coupling for HEB head anchoring</v>
          </cell>
          <cell r="E690" t="str">
            <v>u.</v>
          </cell>
          <cell r="F690" t="str">
            <v>|</v>
          </cell>
          <cell r="G690">
            <v>0</v>
          </cell>
        </row>
        <row r="691">
          <cell r="C691">
            <v>1799.4</v>
          </cell>
          <cell r="D691" t="str">
            <v>AISI Steel insert</v>
          </cell>
          <cell r="E691" t="str">
            <v>Kg</v>
          </cell>
          <cell r="F691" t="str">
            <v>|</v>
          </cell>
          <cell r="G691">
            <v>0</v>
          </cell>
        </row>
        <row r="692">
          <cell r="C692">
            <v>1799.41</v>
          </cell>
          <cell r="D692" t="str">
            <v>AISI Anchor bolts weight up to 20Kg</v>
          </cell>
          <cell r="E692" t="str">
            <v>Kg</v>
          </cell>
          <cell r="F692" t="str">
            <v>|</v>
          </cell>
          <cell r="G692">
            <v>0</v>
          </cell>
        </row>
        <row r="693">
          <cell r="C693">
            <v>1715.02</v>
          </cell>
          <cell r="D693" t="str">
            <v>Pit 0,91x0,91 to 1,5x1,5m</v>
          </cell>
          <cell r="E693" t="str">
            <v>cum</v>
          </cell>
          <cell r="F693" t="str">
            <v>|</v>
          </cell>
          <cell r="G693">
            <v>0</v>
          </cell>
        </row>
        <row r="694">
          <cell r="C694">
            <v>1799.37</v>
          </cell>
          <cell r="D694" t="str">
            <v>Precast concrete cover 30 cm thick</v>
          </cell>
          <cell r="E694" t="str">
            <v>sqm</v>
          </cell>
          <cell r="F694" t="str">
            <v>|</v>
          </cell>
          <cell r="G694">
            <v>0</v>
          </cell>
        </row>
        <row r="695">
          <cell r="C695">
            <v>1799.25</v>
          </cell>
          <cell r="D695" t="str">
            <v>Chipping of existing concrete surface</v>
          </cell>
          <cell r="E695" t="str">
            <v>sqm</v>
          </cell>
          <cell r="F695" t="str">
            <v>|</v>
          </cell>
          <cell r="G695">
            <v>0</v>
          </cell>
        </row>
        <row r="696">
          <cell r="C696">
            <v>1799.26</v>
          </cell>
          <cell r="D696" t="str">
            <v>Drilled Holes 2" on reinf. concrete</v>
          </cell>
          <cell r="E696" t="str">
            <v>lm</v>
          </cell>
          <cell r="F696" t="str">
            <v>|</v>
          </cell>
          <cell r="G696">
            <v>0</v>
          </cell>
        </row>
        <row r="697">
          <cell r="C697">
            <v>1799.27</v>
          </cell>
          <cell r="D697" t="str">
            <v>Sticking epoxy resin on concrete surface</v>
          </cell>
          <cell r="E697" t="str">
            <v>sqm</v>
          </cell>
          <cell r="F697" t="str">
            <v>|</v>
          </cell>
          <cell r="G697">
            <v>0</v>
          </cell>
        </row>
        <row r="698">
          <cell r="C698">
            <v>1799.28</v>
          </cell>
          <cell r="D698" t="str">
            <v>Injection of mortar Pagel in holes 2"</v>
          </cell>
          <cell r="E698" t="str">
            <v>cum</v>
          </cell>
          <cell r="F698" t="str">
            <v>|</v>
          </cell>
          <cell r="G698">
            <v>0</v>
          </cell>
        </row>
        <row r="699">
          <cell r="C699">
            <v>1799.38</v>
          </cell>
          <cell r="D699" t="str">
            <v>Protective Waterproof painting on cls surfaces</v>
          </cell>
          <cell r="E699" t="str">
            <v>sqm</v>
          </cell>
          <cell r="F699" t="str">
            <v>|</v>
          </cell>
          <cell r="G699">
            <v>0</v>
          </cell>
        </row>
        <row r="700">
          <cell r="C700">
            <v>1799.03</v>
          </cell>
          <cell r="D700" t="str">
            <v>Precast concrete covers 10 cm thick</v>
          </cell>
          <cell r="E700" t="str">
            <v>sqm</v>
          </cell>
          <cell r="F700" t="str">
            <v>|</v>
          </cell>
          <cell r="G700">
            <v>0</v>
          </cell>
        </row>
        <row r="701">
          <cell r="C701">
            <v>1715.08</v>
          </cell>
          <cell r="D701" t="str">
            <v>Supply of cast iron cover</v>
          </cell>
          <cell r="E701" t="str">
            <v>Kg</v>
          </cell>
          <cell r="F701" t="str">
            <v>|</v>
          </cell>
          <cell r="G701">
            <v>0</v>
          </cell>
        </row>
        <row r="702">
          <cell r="C702">
            <v>1715.09</v>
          </cell>
          <cell r="D702" t="str">
            <v>Laying of cast-iron cover</v>
          </cell>
          <cell r="E702" t="str">
            <v>Kg</v>
          </cell>
          <cell r="F702" t="str">
            <v>|</v>
          </cell>
          <cell r="G702">
            <v>0</v>
          </cell>
        </row>
        <row r="703">
          <cell r="C703">
            <v>2199.3000000000002</v>
          </cell>
          <cell r="D703" t="str">
            <v>Dewatering pumps diam. 100 mm w/ power &amp; check</v>
          </cell>
          <cell r="E703" t="str">
            <v>hour</v>
          </cell>
          <cell r="F703" t="str">
            <v>|</v>
          </cell>
          <cell r="G703">
            <v>0</v>
          </cell>
        </row>
        <row r="704">
          <cell r="C704">
            <v>2199.31</v>
          </cell>
          <cell r="D704" t="str">
            <v>Formation of granular base course for dewatering works</v>
          </cell>
          <cell r="E704" t="str">
            <v>cum</v>
          </cell>
          <cell r="F704" t="str">
            <v>|</v>
          </cell>
          <cell r="G704">
            <v>0</v>
          </cell>
        </row>
        <row r="705">
          <cell r="C705">
            <v>2199.3200000000002</v>
          </cell>
          <cell r="D705" t="str">
            <v>High Pressure water injection for cleaning slide guide</v>
          </cell>
          <cell r="E705" t="str">
            <v>lm</v>
          </cell>
          <cell r="F705" t="str">
            <v>|</v>
          </cell>
          <cell r="G705">
            <v>0</v>
          </cell>
        </row>
        <row r="706">
          <cell r="F706" t="str">
            <v>|</v>
          </cell>
        </row>
        <row r="707">
          <cell r="D707" t="str">
            <v>Total Sea Water Intake Concrete Basin &amp; Culverts</v>
          </cell>
          <cell r="E707" t="str">
            <v>cum</v>
          </cell>
          <cell r="F707" t="str">
            <v>|</v>
          </cell>
        </row>
        <row r="708">
          <cell r="F708" t="str">
            <v>|</v>
          </cell>
        </row>
        <row r="709">
          <cell r="D709" t="str">
            <v>INTERCEPTOR  CONCRETE BASIN</v>
          </cell>
          <cell r="F709" t="str">
            <v>|</v>
          </cell>
        </row>
        <row r="710">
          <cell r="F710" t="str">
            <v>|</v>
          </cell>
        </row>
        <row r="711">
          <cell r="C711">
            <v>2111.3000000000002</v>
          </cell>
          <cell r="D711" t="str">
            <v>Soil sect.exc.by mach.up to 2m</v>
          </cell>
          <cell r="E711" t="str">
            <v>cum</v>
          </cell>
          <cell r="F711" t="str">
            <v>|</v>
          </cell>
          <cell r="G711">
            <v>0</v>
          </cell>
        </row>
        <row r="712">
          <cell r="C712">
            <v>2111.31</v>
          </cell>
          <cell r="D712" t="str">
            <v>Sect.exc.mach.from 2to4m depth</v>
          </cell>
          <cell r="E712" t="str">
            <v>cum</v>
          </cell>
          <cell r="F712" t="str">
            <v>|</v>
          </cell>
          <cell r="G712">
            <v>0</v>
          </cell>
        </row>
        <row r="713">
          <cell r="C713">
            <v>2111.1</v>
          </cell>
          <cell r="D713" t="str">
            <v>Soil sect.exc.by hand up to 2m</v>
          </cell>
          <cell r="E713" t="str">
            <v>cum</v>
          </cell>
          <cell r="F713" t="str">
            <v>|</v>
          </cell>
          <cell r="G713">
            <v>0</v>
          </cell>
        </row>
        <row r="714">
          <cell r="C714">
            <v>2111.11</v>
          </cell>
          <cell r="D714" t="str">
            <v>Sect.exc.hand from 2to4m depth</v>
          </cell>
          <cell r="E714" t="str">
            <v>cum</v>
          </cell>
          <cell r="F714" t="str">
            <v>|</v>
          </cell>
          <cell r="G714">
            <v>0</v>
          </cell>
        </row>
        <row r="715">
          <cell r="C715">
            <v>2199.2399999999998</v>
          </cell>
          <cell r="D715" t="str">
            <v>Soil sect.exc.by mach.up to 2m (Betw. Larssen Piling)</v>
          </cell>
          <cell r="E715" t="str">
            <v>cum</v>
          </cell>
          <cell r="F715" t="str">
            <v>|</v>
          </cell>
          <cell r="G715">
            <v>0</v>
          </cell>
        </row>
        <row r="716">
          <cell r="C716">
            <v>2199.25</v>
          </cell>
          <cell r="D716" t="str">
            <v>Soil sect.exc.by hand up to 2m (Betw. Larssen Piling)</v>
          </cell>
          <cell r="E716" t="str">
            <v>cum</v>
          </cell>
          <cell r="F716" t="str">
            <v>|</v>
          </cell>
          <cell r="G716">
            <v>0</v>
          </cell>
        </row>
        <row r="717">
          <cell r="C717">
            <v>2199.2600000000002</v>
          </cell>
          <cell r="D717" t="str">
            <v>Sect.exc.mach.from 2to4m depth(Betw. Larssen Piling)</v>
          </cell>
          <cell r="E717" t="str">
            <v>cum</v>
          </cell>
          <cell r="F717" t="str">
            <v>|</v>
          </cell>
          <cell r="G717">
            <v>0</v>
          </cell>
        </row>
        <row r="718">
          <cell r="C718">
            <v>2199.27</v>
          </cell>
          <cell r="D718" t="str">
            <v>Sect.exc.hand from 2to4m depth(Betw. Larssen Piling)</v>
          </cell>
          <cell r="E718" t="str">
            <v>cum</v>
          </cell>
          <cell r="F718" t="str">
            <v>|</v>
          </cell>
          <cell r="G718">
            <v>0</v>
          </cell>
        </row>
        <row r="719">
          <cell r="C719">
            <v>2199.2800000000002</v>
          </cell>
          <cell r="D719" t="str">
            <v>Sect.exc.mach.exceed. 4m depth(Betw. Larssen Piling)</v>
          </cell>
          <cell r="E719" t="str">
            <v>cum</v>
          </cell>
          <cell r="F719" t="str">
            <v>|</v>
          </cell>
          <cell r="G719">
            <v>0</v>
          </cell>
        </row>
        <row r="720">
          <cell r="C720">
            <v>2199.29</v>
          </cell>
          <cell r="D720" t="str">
            <v>Sect.exc.hand exceed. 4m depth(Betw. Larssen Piling)</v>
          </cell>
          <cell r="E720" t="str">
            <v>cum</v>
          </cell>
          <cell r="F720" t="str">
            <v>|</v>
          </cell>
          <cell r="G720">
            <v>0</v>
          </cell>
        </row>
        <row r="721">
          <cell r="C721">
            <v>2111.4</v>
          </cell>
          <cell r="D721" t="str">
            <v>Extra price for water table by mach.</v>
          </cell>
          <cell r="E721" t="str">
            <v>cum</v>
          </cell>
          <cell r="F721" t="str">
            <v>|</v>
          </cell>
          <cell r="G721">
            <v>0</v>
          </cell>
        </row>
        <row r="722">
          <cell r="C722">
            <v>2111.1999999999998</v>
          </cell>
          <cell r="D722" t="str">
            <v>Extra price for water table by hand</v>
          </cell>
          <cell r="E722" t="str">
            <v>cum</v>
          </cell>
          <cell r="F722" t="str">
            <v>|</v>
          </cell>
          <cell r="G722">
            <v>0</v>
          </cell>
        </row>
        <row r="723">
          <cell r="C723">
            <v>2112.04</v>
          </cell>
          <cell r="D723" t="str">
            <v>Materials from excav.transport</v>
          </cell>
          <cell r="E723" t="str">
            <v>cum</v>
          </cell>
          <cell r="F723" t="str">
            <v>|</v>
          </cell>
          <cell r="G723">
            <v>0</v>
          </cell>
        </row>
        <row r="724">
          <cell r="C724">
            <v>2112.0500000000002</v>
          </cell>
          <cell r="D724" t="str">
            <v>Materials from demol.transport</v>
          </cell>
          <cell r="E724" t="str">
            <v>cum</v>
          </cell>
          <cell r="F724" t="str">
            <v>|</v>
          </cell>
          <cell r="G724">
            <v>0</v>
          </cell>
        </row>
        <row r="725">
          <cell r="C725">
            <v>2113.0100000000002</v>
          </cell>
          <cell r="D725" t="str">
            <v>Backfill w/ matl from exc.</v>
          </cell>
          <cell r="E725" t="str">
            <v>cum</v>
          </cell>
          <cell r="F725" t="str">
            <v>|</v>
          </cell>
          <cell r="G725">
            <v>0</v>
          </cell>
        </row>
        <row r="726">
          <cell r="C726">
            <v>2199.21</v>
          </cell>
          <cell r="D726" t="str">
            <v>Backfill with desert matl.</v>
          </cell>
          <cell r="E726" t="str">
            <v>cum</v>
          </cell>
          <cell r="F726" t="str">
            <v>|</v>
          </cell>
          <cell r="G726">
            <v>0</v>
          </cell>
        </row>
        <row r="727">
          <cell r="C727">
            <v>2199.13</v>
          </cell>
          <cell r="D727" t="str">
            <v>Soil improv.under found.granular matl.</v>
          </cell>
          <cell r="E727" t="str">
            <v>cum</v>
          </cell>
          <cell r="F727" t="str">
            <v>|</v>
          </cell>
          <cell r="G727">
            <v>0</v>
          </cell>
        </row>
        <row r="728">
          <cell r="C728">
            <v>2114.04</v>
          </cell>
          <cell r="D728" t="str">
            <v>Non reinforced concrete demol.</v>
          </cell>
          <cell r="E728" t="str">
            <v>cum</v>
          </cell>
          <cell r="F728" t="str">
            <v>|</v>
          </cell>
          <cell r="G728">
            <v>0</v>
          </cell>
        </row>
        <row r="729">
          <cell r="C729">
            <v>2114.0500000000002</v>
          </cell>
          <cell r="D729" t="str">
            <v>Reinforced concrete demol.</v>
          </cell>
          <cell r="E729" t="str">
            <v>cum</v>
          </cell>
          <cell r="F729" t="str">
            <v>|</v>
          </cell>
          <cell r="G729">
            <v>0</v>
          </cell>
        </row>
        <row r="730">
          <cell r="C730">
            <v>1711.02</v>
          </cell>
          <cell r="D730" t="str">
            <v>Bitumen coat for foundation</v>
          </cell>
          <cell r="E730" t="str">
            <v>sqm</v>
          </cell>
          <cell r="F730" t="str">
            <v>|</v>
          </cell>
          <cell r="G730">
            <v>0</v>
          </cell>
        </row>
        <row r="731">
          <cell r="C731">
            <v>1799.33</v>
          </cell>
          <cell r="D731" t="str">
            <v>Polyethylene sheet under foundations</v>
          </cell>
          <cell r="E731" t="str">
            <v>sqm</v>
          </cell>
          <cell r="F731" t="str">
            <v>|</v>
          </cell>
          <cell r="G731">
            <v>0</v>
          </cell>
        </row>
        <row r="732">
          <cell r="C732">
            <v>1710.01</v>
          </cell>
          <cell r="D732" t="str">
            <v>Lean concrete 5cm thk.</v>
          </cell>
          <cell r="E732" t="str">
            <v>sqm</v>
          </cell>
          <cell r="F732" t="str">
            <v>|</v>
          </cell>
          <cell r="G732">
            <v>0</v>
          </cell>
        </row>
        <row r="733">
          <cell r="C733">
            <v>1710.02</v>
          </cell>
          <cell r="D733" t="str">
            <v>Lean concrete 10cm thk.</v>
          </cell>
          <cell r="E733" t="str">
            <v>sqm</v>
          </cell>
          <cell r="F733" t="str">
            <v>|</v>
          </cell>
          <cell r="G733">
            <v>0</v>
          </cell>
        </row>
        <row r="734">
          <cell r="C734">
            <v>1711.01</v>
          </cell>
          <cell r="D734" t="str">
            <v>Concrete for foundation</v>
          </cell>
          <cell r="E734" t="str">
            <v>cum</v>
          </cell>
          <cell r="F734" t="str">
            <v>|</v>
          </cell>
          <cell r="G734">
            <v>0</v>
          </cell>
        </row>
        <row r="735">
          <cell r="C735">
            <v>1712.01</v>
          </cell>
          <cell r="D735" t="str">
            <v>Concrete elev. up to 10m</v>
          </cell>
          <cell r="E735" t="str">
            <v>cum</v>
          </cell>
          <cell r="F735" t="str">
            <v>|</v>
          </cell>
          <cell r="G735">
            <v>0</v>
          </cell>
        </row>
        <row r="736">
          <cell r="C736">
            <v>1714.01</v>
          </cell>
          <cell r="D736" t="str">
            <v>Formwork foundation</v>
          </cell>
          <cell r="E736" t="str">
            <v>sqm</v>
          </cell>
          <cell r="F736" t="str">
            <v>|</v>
          </cell>
          <cell r="G736">
            <v>0</v>
          </cell>
        </row>
        <row r="737">
          <cell r="C737">
            <v>1714.02</v>
          </cell>
          <cell r="D737" t="str">
            <v>Formwork elev. up to 10m</v>
          </cell>
          <cell r="E737" t="str">
            <v>sqm</v>
          </cell>
          <cell r="F737" t="str">
            <v>|</v>
          </cell>
          <cell r="G737">
            <v>0</v>
          </cell>
        </row>
        <row r="738">
          <cell r="C738">
            <v>1799.36</v>
          </cell>
          <cell r="D738" t="str">
            <v>Extra price for formworks easement made by fiberglass</v>
          </cell>
          <cell r="E738" t="str">
            <v>sqm</v>
          </cell>
          <cell r="F738" t="str">
            <v>|</v>
          </cell>
          <cell r="G738">
            <v>0</v>
          </cell>
        </row>
        <row r="739">
          <cell r="C739">
            <v>1714.05</v>
          </cell>
          <cell r="D739" t="str">
            <v>Circular formwork el. &lt;10m</v>
          </cell>
          <cell r="E739" t="str">
            <v>sqm</v>
          </cell>
          <cell r="F739" t="str">
            <v>|</v>
          </cell>
          <cell r="G739">
            <v>0</v>
          </cell>
        </row>
        <row r="740">
          <cell r="C740">
            <v>1714.12</v>
          </cell>
          <cell r="D740" t="str">
            <v>Improved bond reinf.steel</v>
          </cell>
          <cell r="E740" t="str">
            <v>Kg</v>
          </cell>
          <cell r="F740" t="str">
            <v>|</v>
          </cell>
          <cell r="G740">
            <v>0</v>
          </cell>
        </row>
        <row r="741">
          <cell r="C741">
            <v>1718.01</v>
          </cell>
          <cell r="D741" t="str">
            <v>Grout 25mm thk.</v>
          </cell>
          <cell r="E741" t="str">
            <v>sqm</v>
          </cell>
          <cell r="F741" t="str">
            <v>|</v>
          </cell>
          <cell r="G741">
            <v>0</v>
          </cell>
        </row>
        <row r="742">
          <cell r="C742">
            <v>1718.03</v>
          </cell>
          <cell r="D742" t="str">
            <v>Grout &gt;50mm thk.</v>
          </cell>
          <cell r="E742" t="str">
            <v>cum</v>
          </cell>
          <cell r="F742" t="str">
            <v>|</v>
          </cell>
          <cell r="G742">
            <v>0</v>
          </cell>
        </row>
        <row r="743">
          <cell r="C743">
            <v>1718.04</v>
          </cell>
          <cell r="D743" t="str">
            <v>Non-shrinking grout 25mm</v>
          </cell>
          <cell r="E743" t="str">
            <v>sqm</v>
          </cell>
          <cell r="F743" t="str">
            <v>|</v>
          </cell>
          <cell r="G743">
            <v>0</v>
          </cell>
        </row>
        <row r="744">
          <cell r="C744">
            <v>1718.05</v>
          </cell>
          <cell r="D744" t="str">
            <v>Non-shrinking grout 50mm</v>
          </cell>
          <cell r="E744" t="str">
            <v>sqm</v>
          </cell>
          <cell r="F744" t="str">
            <v>|</v>
          </cell>
          <cell r="G744">
            <v>0</v>
          </cell>
        </row>
        <row r="745">
          <cell r="C745">
            <v>1718.06</v>
          </cell>
          <cell r="D745" t="str">
            <v>Non-shrinking grout &gt;50mm</v>
          </cell>
          <cell r="E745" t="str">
            <v>cum</v>
          </cell>
          <cell r="F745" t="str">
            <v>|</v>
          </cell>
          <cell r="G745">
            <v>0</v>
          </cell>
        </row>
        <row r="746">
          <cell r="C746">
            <v>2199.23</v>
          </cell>
          <cell r="D746" t="str">
            <v>Formation of anchor bolts pockets</v>
          </cell>
          <cell r="E746" t="str">
            <v>cu.dm</v>
          </cell>
          <cell r="F746" t="str">
            <v>|</v>
          </cell>
          <cell r="G746">
            <v>0</v>
          </cell>
        </row>
        <row r="747">
          <cell r="C747">
            <v>1714.17</v>
          </cell>
          <cell r="D747" t="str">
            <v>Anchor bolts weight up to 20Kg</v>
          </cell>
          <cell r="E747" t="str">
            <v>Kg</v>
          </cell>
          <cell r="F747" t="str">
            <v>|</v>
          </cell>
          <cell r="G747">
            <v>0</v>
          </cell>
        </row>
        <row r="748">
          <cell r="C748">
            <v>1714.25</v>
          </cell>
          <cell r="D748" t="str">
            <v>Steel insert</v>
          </cell>
          <cell r="E748" t="str">
            <v>Kg</v>
          </cell>
          <cell r="F748" t="str">
            <v>|</v>
          </cell>
          <cell r="G748">
            <v>0</v>
          </cell>
        </row>
        <row r="749">
          <cell r="C749">
            <v>1714.26</v>
          </cell>
          <cell r="D749" t="str">
            <v>Steel insert inst. only</v>
          </cell>
          <cell r="E749" t="str">
            <v>Kg</v>
          </cell>
          <cell r="F749" t="str">
            <v>|</v>
          </cell>
          <cell r="G749">
            <v>0</v>
          </cell>
        </row>
        <row r="750">
          <cell r="C750">
            <v>1413.05</v>
          </cell>
          <cell r="D750" t="str">
            <v>PVC piping         dia. 315mm</v>
          </cell>
          <cell r="E750" t="str">
            <v>lm</v>
          </cell>
          <cell r="F750" t="str">
            <v>|</v>
          </cell>
          <cell r="G750">
            <v>0</v>
          </cell>
        </row>
        <row r="751">
          <cell r="C751">
            <v>1499.17</v>
          </cell>
          <cell r="D751" t="str">
            <v>PVC piping         dia. 600mm</v>
          </cell>
          <cell r="E751" t="str">
            <v>lm</v>
          </cell>
          <cell r="F751" t="str">
            <v>|</v>
          </cell>
          <cell r="G751">
            <v>0</v>
          </cell>
        </row>
        <row r="752">
          <cell r="C752">
            <v>1718.12</v>
          </cell>
          <cell r="D752" t="str">
            <v>PVC water-stop: 30cm wide</v>
          </cell>
          <cell r="E752" t="str">
            <v>lm</v>
          </cell>
          <cell r="F752" t="str">
            <v>|</v>
          </cell>
          <cell r="G752">
            <v>0</v>
          </cell>
        </row>
        <row r="753">
          <cell r="C753">
            <v>1799.02</v>
          </cell>
          <cell r="D753" t="str">
            <v>Waterproof cement additive</v>
          </cell>
          <cell r="E753" t="str">
            <v>kg</v>
          </cell>
          <cell r="F753" t="str">
            <v>|</v>
          </cell>
          <cell r="G753">
            <v>0</v>
          </cell>
        </row>
        <row r="754">
          <cell r="C754">
            <v>1715.12</v>
          </cell>
          <cell r="D754" t="str">
            <v>Checkered plate cover</v>
          </cell>
          <cell r="E754" t="str">
            <v>Kg</v>
          </cell>
          <cell r="F754" t="str">
            <v>|</v>
          </cell>
          <cell r="G754">
            <v>0</v>
          </cell>
        </row>
        <row r="755">
          <cell r="C755">
            <v>1715.14</v>
          </cell>
          <cell r="D755" t="str">
            <v>Steel frame</v>
          </cell>
          <cell r="E755" t="str">
            <v>Kg</v>
          </cell>
          <cell r="F755" t="str">
            <v>|</v>
          </cell>
          <cell r="G755">
            <v>0</v>
          </cell>
        </row>
        <row r="756">
          <cell r="C756">
            <v>1714.23</v>
          </cell>
          <cell r="D756" t="str">
            <v>Teflon/neoprene bearing/plate</v>
          </cell>
          <cell r="E756" t="str">
            <v>Kg</v>
          </cell>
          <cell r="F756" t="str">
            <v>|</v>
          </cell>
          <cell r="G756">
            <v>0</v>
          </cell>
        </row>
        <row r="757">
          <cell r="C757">
            <v>2016.5</v>
          </cell>
          <cell r="D757" t="str">
            <v>Steel manufactured material</v>
          </cell>
          <cell r="E757" t="str">
            <v>Kg</v>
          </cell>
          <cell r="F757" t="str">
            <v>|</v>
          </cell>
          <cell r="G757">
            <v>0</v>
          </cell>
        </row>
        <row r="758">
          <cell r="C758">
            <v>2799.05</v>
          </cell>
          <cell r="D758" t="str">
            <v>Supply install./removal C.S.Sheet Piling Type "LARSSEN"</v>
          </cell>
          <cell r="E758" t="str">
            <v>sqm</v>
          </cell>
          <cell r="F758" t="str">
            <v>|</v>
          </cell>
          <cell r="G758">
            <v>0</v>
          </cell>
        </row>
        <row r="759">
          <cell r="C759">
            <v>2799.06</v>
          </cell>
          <cell r="D759" t="str">
            <v>Tie of LARSSEN sh.pil.by tension rod /conc.anchor log</v>
          </cell>
          <cell r="E759" t="str">
            <v>u.</v>
          </cell>
          <cell r="F759" t="str">
            <v>|</v>
          </cell>
          <cell r="G759">
            <v>0</v>
          </cell>
        </row>
        <row r="760">
          <cell r="C760">
            <v>2799.07</v>
          </cell>
          <cell r="D760" t="str">
            <v>Stiffening by steel profile of LARSSEN sheet piling</v>
          </cell>
          <cell r="E760" t="str">
            <v>Kg</v>
          </cell>
          <cell r="F760" t="str">
            <v>|</v>
          </cell>
          <cell r="G760">
            <v>0</v>
          </cell>
        </row>
        <row r="761">
          <cell r="C761">
            <v>1799.31</v>
          </cell>
          <cell r="D761" t="str">
            <v>Supply installat./removal of temporary steel sluice gate</v>
          </cell>
          <cell r="E761" t="str">
            <v>Kg</v>
          </cell>
          <cell r="F761" t="str">
            <v>|</v>
          </cell>
          <cell r="G761">
            <v>0</v>
          </cell>
        </row>
        <row r="762">
          <cell r="C762">
            <v>1799.32</v>
          </cell>
          <cell r="D762" t="str">
            <v>Supply and driving in the soil of steel HEB 220÷240</v>
          </cell>
          <cell r="E762" t="str">
            <v>Kg</v>
          </cell>
          <cell r="F762" t="str">
            <v>|</v>
          </cell>
          <cell r="G762">
            <v>0</v>
          </cell>
        </row>
        <row r="763">
          <cell r="C763">
            <v>1799.39</v>
          </cell>
          <cell r="D763" t="str">
            <v>Tension rod w/screw coupling for HEB head anchoring</v>
          </cell>
          <cell r="E763" t="str">
            <v>u.</v>
          </cell>
          <cell r="F763" t="str">
            <v>|</v>
          </cell>
          <cell r="G763">
            <v>0</v>
          </cell>
        </row>
        <row r="764">
          <cell r="C764">
            <v>1799.4</v>
          </cell>
          <cell r="D764" t="str">
            <v>AISI Steel insert</v>
          </cell>
          <cell r="E764" t="str">
            <v>Kg</v>
          </cell>
          <cell r="F764" t="str">
            <v>|</v>
          </cell>
          <cell r="G764">
            <v>0</v>
          </cell>
        </row>
        <row r="765">
          <cell r="C765">
            <v>1799.41</v>
          </cell>
          <cell r="D765" t="str">
            <v>AISI Anchor bolts weight up to 20Kg</v>
          </cell>
          <cell r="E765" t="str">
            <v>Kg</v>
          </cell>
          <cell r="F765" t="str">
            <v>|</v>
          </cell>
          <cell r="G765">
            <v>0</v>
          </cell>
        </row>
        <row r="766">
          <cell r="C766">
            <v>1715.02</v>
          </cell>
          <cell r="D766" t="str">
            <v>Pit 0,91x0,91 to 1,5x1,5m</v>
          </cell>
          <cell r="E766" t="str">
            <v>cum</v>
          </cell>
          <cell r="F766" t="str">
            <v>|</v>
          </cell>
          <cell r="G766">
            <v>0</v>
          </cell>
        </row>
        <row r="767">
          <cell r="C767">
            <v>1799.37</v>
          </cell>
          <cell r="D767" t="str">
            <v>Precast concrete cover 30 cm thick</v>
          </cell>
          <cell r="E767" t="str">
            <v>sqm</v>
          </cell>
          <cell r="F767" t="str">
            <v>|</v>
          </cell>
          <cell r="G767">
            <v>0</v>
          </cell>
        </row>
        <row r="768">
          <cell r="C768">
            <v>1799.25</v>
          </cell>
          <cell r="D768" t="str">
            <v>Chipping of existing concrete surface</v>
          </cell>
          <cell r="E768" t="str">
            <v>sqm</v>
          </cell>
          <cell r="F768" t="str">
            <v>|</v>
          </cell>
          <cell r="G768">
            <v>0</v>
          </cell>
        </row>
        <row r="769">
          <cell r="C769">
            <v>1799.26</v>
          </cell>
          <cell r="D769" t="str">
            <v>Drilled Holes 2" on reinf. concrete</v>
          </cell>
          <cell r="E769" t="str">
            <v>lm</v>
          </cell>
          <cell r="F769" t="str">
            <v>|</v>
          </cell>
          <cell r="G769">
            <v>0</v>
          </cell>
        </row>
        <row r="770">
          <cell r="C770">
            <v>1799.27</v>
          </cell>
          <cell r="D770" t="str">
            <v>Sticking epoxy resin on concrete surface</v>
          </cell>
          <cell r="E770" t="str">
            <v>sqm</v>
          </cell>
          <cell r="F770" t="str">
            <v>|</v>
          </cell>
          <cell r="G770">
            <v>0</v>
          </cell>
        </row>
        <row r="771">
          <cell r="C771">
            <v>1799.28</v>
          </cell>
          <cell r="D771" t="str">
            <v>Injection of mortar Pagel in holes 2"</v>
          </cell>
          <cell r="E771" t="str">
            <v>cum</v>
          </cell>
          <cell r="F771" t="str">
            <v>|</v>
          </cell>
          <cell r="G771">
            <v>0</v>
          </cell>
        </row>
        <row r="772">
          <cell r="C772">
            <v>1799.38</v>
          </cell>
          <cell r="D772" t="str">
            <v>Protective Waterproof painting on cls surfaces</v>
          </cell>
          <cell r="E772" t="str">
            <v>sqm</v>
          </cell>
          <cell r="F772" t="str">
            <v>|</v>
          </cell>
          <cell r="G772">
            <v>0</v>
          </cell>
        </row>
        <row r="773">
          <cell r="C773">
            <v>1799.03</v>
          </cell>
          <cell r="D773" t="str">
            <v>Precast concrete covers 10 cm thick</v>
          </cell>
          <cell r="E773" t="str">
            <v>sqm</v>
          </cell>
          <cell r="F773" t="str">
            <v>|</v>
          </cell>
          <cell r="G773">
            <v>0</v>
          </cell>
        </row>
        <row r="774">
          <cell r="C774">
            <v>1715.08</v>
          </cell>
          <cell r="D774" t="str">
            <v>Supply of cast iron cover</v>
          </cell>
          <cell r="E774" t="str">
            <v>Kg</v>
          </cell>
          <cell r="F774" t="str">
            <v>|</v>
          </cell>
          <cell r="G774">
            <v>0</v>
          </cell>
        </row>
        <row r="775">
          <cell r="C775">
            <v>1715.09</v>
          </cell>
          <cell r="D775" t="str">
            <v>Laying of cast-iron cover</v>
          </cell>
          <cell r="E775" t="str">
            <v>Kg</v>
          </cell>
          <cell r="F775" t="str">
            <v>|</v>
          </cell>
          <cell r="G775">
            <v>0</v>
          </cell>
        </row>
        <row r="776">
          <cell r="C776">
            <v>2199.3000000000002</v>
          </cell>
          <cell r="D776" t="str">
            <v>Dewatering pumps diam. 100 mm w/ power &amp; check</v>
          </cell>
          <cell r="E776" t="str">
            <v>hour</v>
          </cell>
          <cell r="F776" t="str">
            <v>|</v>
          </cell>
          <cell r="G776">
            <v>0</v>
          </cell>
        </row>
        <row r="777">
          <cell r="C777">
            <v>2199.31</v>
          </cell>
          <cell r="D777" t="str">
            <v>Formation of granular base course for dewatering works</v>
          </cell>
          <cell r="E777" t="str">
            <v>cum</v>
          </cell>
          <cell r="F777" t="str">
            <v>|</v>
          </cell>
          <cell r="G777">
            <v>0</v>
          </cell>
        </row>
        <row r="778">
          <cell r="C778">
            <v>2199.3200000000002</v>
          </cell>
          <cell r="D778" t="str">
            <v>High Pressure water injection for cleaning slide guide</v>
          </cell>
          <cell r="E778" t="str">
            <v>lm</v>
          </cell>
          <cell r="F778" t="str">
            <v>|</v>
          </cell>
          <cell r="G778">
            <v>0</v>
          </cell>
        </row>
        <row r="779">
          <cell r="F779" t="str">
            <v>|</v>
          </cell>
        </row>
        <row r="780">
          <cell r="D780" t="str">
            <v>Total Interceptor Concrete Basin</v>
          </cell>
          <cell r="E780" t="str">
            <v>cum</v>
          </cell>
          <cell r="F780" t="str">
            <v>|</v>
          </cell>
        </row>
        <row r="781">
          <cell r="F781" t="str">
            <v>|</v>
          </cell>
        </row>
        <row r="782">
          <cell r="F782" t="str">
            <v>|</v>
          </cell>
        </row>
        <row r="783">
          <cell r="F783" t="str">
            <v>|</v>
          </cell>
        </row>
        <row r="784">
          <cell r="F784" t="str">
            <v>|</v>
          </cell>
        </row>
        <row r="785">
          <cell r="F785" t="str">
            <v>|</v>
          </cell>
        </row>
        <row r="786">
          <cell r="F786" t="str">
            <v>|</v>
          </cell>
        </row>
        <row r="787">
          <cell r="F787" t="str">
            <v>|</v>
          </cell>
        </row>
        <row r="788">
          <cell r="D788" t="str">
            <v>Total 25</v>
          </cell>
          <cell r="F788" t="str">
            <v>|</v>
          </cell>
        </row>
        <row r="789">
          <cell r="F789" t="str">
            <v>|</v>
          </cell>
        </row>
        <row r="790">
          <cell r="D790" t="str">
            <v xml:space="preserve">BUILDINGS ( CONCRETE BLAST PROOF TYPE - LSP) </v>
          </cell>
          <cell r="F790" t="str">
            <v>|</v>
          </cell>
        </row>
        <row r="791">
          <cell r="F791" t="str">
            <v>|</v>
          </cell>
        </row>
        <row r="792">
          <cell r="C792">
            <v>2099.19</v>
          </cell>
          <cell r="D792" t="str">
            <v>Control Room Blast Resistant type</v>
          </cell>
          <cell r="E792" t="str">
            <v>cum</v>
          </cell>
          <cell r="F792" t="str">
            <v>|</v>
          </cell>
          <cell r="G792">
            <v>0</v>
          </cell>
        </row>
        <row r="793">
          <cell r="F793" t="str">
            <v>|</v>
          </cell>
        </row>
        <row r="794">
          <cell r="F794" t="str">
            <v>|</v>
          </cell>
        </row>
        <row r="795">
          <cell r="F795" t="str">
            <v>|</v>
          </cell>
        </row>
        <row r="796">
          <cell r="F796" t="str">
            <v>|</v>
          </cell>
        </row>
        <row r="797">
          <cell r="D797" t="str">
            <v>Total Buildings (Conc. Blast Proof Type)</v>
          </cell>
          <cell r="E797" t="str">
            <v>cum</v>
          </cell>
          <cell r="F797" t="str">
            <v>|</v>
          </cell>
        </row>
        <row r="798">
          <cell r="F798" t="str">
            <v>|</v>
          </cell>
        </row>
        <row r="799">
          <cell r="C799" t="str">
            <v>_</v>
          </cell>
          <cell r="D799" t="str">
            <v>_</v>
          </cell>
          <cell r="E799" t="str">
            <v>_</v>
          </cell>
          <cell r="F799" t="str">
            <v>|</v>
          </cell>
          <cell r="G799" t="str">
            <v>_</v>
          </cell>
        </row>
        <row r="803">
          <cell r="C803" t="str">
            <v>ITEM</v>
          </cell>
        </row>
        <row r="804">
          <cell r="C804">
            <v>1799.36</v>
          </cell>
        </row>
      </sheetData>
      <sheetData sheetId="1"/>
      <sheetData sheetId="2"/>
      <sheetData sheetId="3"/>
      <sheetData sheetId="4"/>
      <sheetData sheetId="5"/>
      <sheetData sheetId="6"/>
      <sheetData sheetId="7"/>
      <sheetData sheetId="8"/>
      <sheetData sheetId="9"/>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sheetName val="SOLICITUD N"/>
      <sheetName val=" NIVEL DE CRITICIDAD"/>
      <sheetName val="REQUISITOS MINIMOS"/>
      <sheetName val=" FACTORES DE EVALUACION"/>
      <sheetName val="ANALISIS TIPO DE RIESGO"/>
      <sheetName val="MATRIZ RIESGO Y EXPOSICION"/>
    </sheetNames>
    <sheetDataSet>
      <sheetData sheetId="0">
        <row r="1">
          <cell r="A1" t="str">
            <v>Despreciable N</v>
          </cell>
          <cell r="B1" t="str">
            <v>ECP - PRESIDENCIA</v>
          </cell>
        </row>
        <row r="2">
          <cell r="A2" t="str">
            <v>Bajo L</v>
          </cell>
          <cell r="B2" t="str">
            <v>OCI - OFICINA DE CONTROL INTERNO</v>
          </cell>
        </row>
        <row r="3">
          <cell r="A3" t="str">
            <v>Medio M</v>
          </cell>
          <cell r="B3" t="str">
            <v>OCI - CPN - COORDINACIÓN PROCESOS NEGOCIO</v>
          </cell>
        </row>
        <row r="4">
          <cell r="A4" t="str">
            <v>Alto H</v>
          </cell>
          <cell r="B4" t="str">
            <v>OCI - CPS - COORDINACIÓN PROCESOS SOPORTE</v>
          </cell>
        </row>
        <row r="5">
          <cell r="A5" t="str">
            <v>Muy Alto VH</v>
          </cell>
          <cell r="B5" t="str">
            <v>OCI - CMS - COORDINACIÓN MANEJO ENTES EXTERNOS Y SOPORTE ADMINISTRATIVO</v>
          </cell>
        </row>
        <row r="6">
          <cell r="B6" t="str">
            <v>OCD - OFICINA DE CONTROL INTERNO DISCIPLINARIO</v>
          </cell>
        </row>
        <row r="7">
          <cell r="B7" t="str">
            <v>DSP - DIRECCIÓN DE SOPORTE A PRESIDENCIA Y JUNTA DIRECTIVA</v>
          </cell>
        </row>
        <row r="8">
          <cell r="B8" t="str">
            <v>DSP - DSP-1 - COORDINACIÓN COMUNICACIONES EXTERNAS</v>
          </cell>
        </row>
        <row r="9">
          <cell r="B9" t="str">
            <v>DSP - OPC - OFICINA DE PARTICIPACIÓN CIUDADANA</v>
          </cell>
        </row>
        <row r="10">
          <cell r="B10" t="str">
            <v>DSP - GIA - GRUPO INTERNO ANTI - TRÁMITES</v>
          </cell>
        </row>
        <row r="11">
          <cell r="B11" t="str">
            <v>DIJ - DIRECCIÓN JURÍDICA</v>
          </cell>
        </row>
        <row r="12">
          <cell r="B12" t="str">
            <v>DIJ - GJE - GRUPO ASESOR JURÍDICO VICEPRESIDENCIA DE EXPLORACIÓN</v>
          </cell>
        </row>
        <row r="13">
          <cell r="B13" t="str">
            <v>DIJ - GJP - GRUPO ASESOR JURÍDICO VICEPRESIDENCIA DE PRODUCCIÓN</v>
          </cell>
        </row>
        <row r="14">
          <cell r="B14" t="str">
            <v>DIJ - GJR - GRUPO ASESOR JURÍDICO VICEPRESIDENCIA DE REFINACIÓN Y PETROQUÍMICA</v>
          </cell>
        </row>
        <row r="15">
          <cell r="B15" t="str">
            <v>DIJ - GJT - GRUPO ASESOR JURÍDICO VICEPRESIDENCIA DE TRANSPORTE</v>
          </cell>
        </row>
        <row r="16">
          <cell r="B16" t="str">
            <v>DIJ - GJS - GRUPO ASESOR JURÍDICO VICEPRESIDENCIA DE SUMINISTRO Y MERCADEO</v>
          </cell>
        </row>
        <row r="17">
          <cell r="B17" t="str">
            <v>DIJ - RJM - REGIONAL JURÍDICA MAGDALENA MEDIO</v>
          </cell>
        </row>
        <row r="18">
          <cell r="B18" t="str">
            <v>DIJ - RJN - REGIONAL JURÍDICA NORTE</v>
          </cell>
        </row>
        <row r="19">
          <cell r="B19" t="str">
            <v>DIJ - UJE - UNIDAD JUDICIAL Y EXTRAJUDICIAL</v>
          </cell>
        </row>
        <row r="20">
          <cell r="B20" t="str">
            <v>DIJ - UCT - UNIDAD DE CONTRATACIÓN</v>
          </cell>
        </row>
        <row r="21">
          <cell r="B21" t="str">
            <v>DIJ - UDE - UNIDAD DE DERECHO ECONÓMICO Y ADMINISTRATIVO</v>
          </cell>
        </row>
        <row r="22">
          <cell r="B22" t="str">
            <v>DIJ - ULL - UNIDAD DE LITIGIO LABORAL</v>
          </cell>
        </row>
        <row r="23">
          <cell r="B23" t="str">
            <v>DLD - DIRECCIÓN DE RELACIONES LABORALES Y DESARROLLO</v>
          </cell>
        </row>
        <row r="24">
          <cell r="B24" t="str">
            <v>DLD - CCO - COORDINACIÓN COMUNICACIONES ORGANIZACIONALES</v>
          </cell>
        </row>
        <row r="25">
          <cell r="B25" t="str">
            <v>DLD - USS - UNIDAD DE SERVICIOS DE SALUD</v>
          </cell>
        </row>
        <row r="26">
          <cell r="B26" t="str">
            <v>DLD - RSM - REGIONAL SALUD MAGDALENA MEDIO</v>
          </cell>
        </row>
        <row r="27">
          <cell r="B27" t="str">
            <v>DLD - RSM-2 - COORDINACIÓN HOSPITAL BARRACABERMEJA</v>
          </cell>
        </row>
        <row r="28">
          <cell r="B28" t="str">
            <v>DLD - RSM-1 - COORDINACIÓN SERVICIOS AMBULATORIOS</v>
          </cell>
        </row>
        <row r="29">
          <cell r="B29" t="str">
            <v>DLD - RSC - REGIONAL SALUD CENTRAL</v>
          </cell>
        </row>
        <row r="30">
          <cell r="B30" t="str">
            <v>DLD - RSN - REGIONAL SALUD NORTE</v>
          </cell>
        </row>
        <row r="31">
          <cell r="B31" t="str">
            <v>DLD - RSR - REGIONAL SALUD ORIENTE</v>
          </cell>
        </row>
        <row r="32">
          <cell r="B32" t="str">
            <v>DLD - RSS - REGIONAL SALUD SUR OCCIDENTE</v>
          </cell>
        </row>
        <row r="33">
          <cell r="B33" t="str">
            <v>DLD - UGL - UNIDAD DE GESTIÓN LABORAL</v>
          </cell>
        </row>
        <row r="34">
          <cell r="B34" t="str">
            <v>DLD - CAL - COORDINACIÓN ASESORÍA Y AUDITORÍA LABORAL</v>
          </cell>
        </row>
        <row r="35">
          <cell r="B35" t="str">
            <v>DLD - CRS - COORDINACIÓN DE NEGOCIACIÓN Y RELACIONES SINDICALES</v>
          </cell>
        </row>
        <row r="36">
          <cell r="B36" t="str">
            <v>DLD - UGP - UNIDAD DE GESTIÓN DE PERSONAL</v>
          </cell>
        </row>
        <row r="37">
          <cell r="B37" t="str">
            <v>DLD - RPM - REGIONAL DE GESTIÓN Y DESARROLLO DE PERSONAL MAGDALENA MEDIO</v>
          </cell>
        </row>
        <row r="38">
          <cell r="B38" t="str">
            <v>DLD - RPM-1 - COORDINACIÓN SERVICIOS AL PERSONAL BARRANCABERMEJA</v>
          </cell>
        </row>
        <row r="39">
          <cell r="B39" t="str">
            <v>DLD - RPM-2 - COORDINACIÓN DESARROLLO HUMANO Y ORGANIZACIONAL BARRANCABERMEJA</v>
          </cell>
        </row>
        <row r="40">
          <cell r="B40" t="str">
            <v>DLD - RPC - REGIONAL DE GESTIÓN Y DESARROLLO DE PRESONAL CENTRAL</v>
          </cell>
        </row>
        <row r="41">
          <cell r="B41" t="str">
            <v>DLD - CPB - COORDINACIÓN SERVICIOS AL PERSONAL BOGOTÁ</v>
          </cell>
        </row>
        <row r="42">
          <cell r="B42" t="str">
            <v>DLD - RPN - REGIONAL DE GESTIÓN Y DESARROLLO DE PERSONAL NORTE</v>
          </cell>
        </row>
        <row r="43">
          <cell r="B43" t="str">
            <v>DLD - CDC - COORDINACIÓN DESARROLLO HUMANO Y ORGANIZACIONAL CARTAGENA</v>
          </cell>
        </row>
        <row r="44">
          <cell r="B44" t="str">
            <v>DLD - RPO - REGIONAL DE GESTIÓN Y DESARROLLO DE PERSONAL ORIENTE</v>
          </cell>
        </row>
        <row r="45">
          <cell r="B45" t="str">
            <v>DLD - UDH - UNIDAD DE DESARROLLO HUMANO</v>
          </cell>
        </row>
        <row r="46">
          <cell r="B46" t="str">
            <v>DLD - UDO - UNIDAD DE DESARROLLO ORGANIZACIONAL</v>
          </cell>
        </row>
        <row r="47">
          <cell r="B47" t="str">
            <v>DGP - DIRECCIÓN GENERAL DE PLANEACIÓN</v>
          </cell>
        </row>
        <row r="48">
          <cell r="B48" t="str">
            <v>DGP - UPF - UNIDAD DE PLANEACIÓN FINANCIERA</v>
          </cell>
        </row>
        <row r="49">
          <cell r="B49" t="str">
            <v>DGP - UPF-1 - COORDINACIÓN ANÁLISIS DE GESTIÓN FINANCIERA</v>
          </cell>
        </row>
        <row r="50">
          <cell r="B50" t="str">
            <v>DGP - UPF-2 - COORDINACIÓN DE COSTOS</v>
          </cell>
        </row>
        <row r="51">
          <cell r="B51" t="str">
            <v>DGP - UPF-3 - COORDINACIÓN DE PRESUPUESTO</v>
          </cell>
        </row>
        <row r="52">
          <cell r="B52" t="str">
            <v>DGP - UPE - UNIDAD DE PLANEACIÓN EMPRESARIAL</v>
          </cell>
        </row>
        <row r="53">
          <cell r="B53" t="str">
            <v>DGP - UGE - UNIDAD DE GESTIÓN EMPRESARIAL</v>
          </cell>
        </row>
        <row r="54">
          <cell r="B54" t="str">
            <v>VIF - VICEPRESIDENCIA FINANCIERA</v>
          </cell>
        </row>
        <row r="55">
          <cell r="B55" t="str">
            <v>VIF - GFI - GERENCIA FINANCIERA</v>
          </cell>
        </row>
        <row r="56">
          <cell r="B56" t="str">
            <v>VIF - CIP - COORDINACIÓN DE INVERSIONES PERMANENTES</v>
          </cell>
        </row>
        <row r="57">
          <cell r="B57" t="str">
            <v>VIF - UGR - UNIDAD DE GESTIÓN DE RIESGOS</v>
          </cell>
        </row>
        <row r="58">
          <cell r="B58" t="str">
            <v>VIF - UFC - UNIDAD DE FINANZAS CORPORATIVAS</v>
          </cell>
        </row>
        <row r="59">
          <cell r="B59" t="str">
            <v>VIF - UFT - UNIDAD DE FINANCIAMIENTO Y TESORERÍA</v>
          </cell>
        </row>
        <row r="60">
          <cell r="B60" t="str">
            <v>VIF - UFT-3 - COORDINACIÓN MESA DE DINERO</v>
          </cell>
        </row>
        <row r="61">
          <cell r="B61" t="str">
            <v>VIF - UFT-4 - COORDINACIÓN ANÁLISIS</v>
          </cell>
        </row>
        <row r="62">
          <cell r="B62" t="str">
            <v>VIF - UFT-1 - COORDINACIÓN CARTERA Y RECAUDO</v>
          </cell>
        </row>
        <row r="63">
          <cell r="B63" t="str">
            <v>VIF - UFT-2 - COORDINACIÓN PAGOS Y OPERACIONES BANCARIAS</v>
          </cell>
        </row>
        <row r="64">
          <cell r="B64" t="str">
            <v>VIF - GMA - GRUPO MAESTRA ACREEDORES</v>
          </cell>
        </row>
        <row r="65">
          <cell r="B65" t="str">
            <v>VIF - UIC - UNIDAD DE INFORMACIÓN CONTABLE Y TRIBUTARIA</v>
          </cell>
        </row>
        <row r="66">
          <cell r="B66" t="str">
            <v>VIF - CCG - COORDINACIÓN CONTABILIDAD GENERAL</v>
          </cell>
        </row>
        <row r="67">
          <cell r="B67" t="str">
            <v>VIF - CCG-1 - GRUPO OPERACIONES CONTABLES</v>
          </cell>
        </row>
        <row r="68">
          <cell r="B68" t="str">
            <v>VIF - CCG-2 - GRUPO OPERACIONES CON ASOCIADOS</v>
          </cell>
        </row>
        <row r="69">
          <cell r="B69" t="str">
            <v>VIF - CCG-3 - GRUPO DE REPORTES Y ANÁLISIS DE ESTADOS FINANCIEROS</v>
          </cell>
        </row>
        <row r="70">
          <cell r="B70" t="str">
            <v>VIF - CCP - COORDINACIÓN CUENTAS POR PAGAR</v>
          </cell>
        </row>
        <row r="71">
          <cell r="B71" t="str">
            <v>VIF - CCP-1 - GRUPO CUENTAS POR PAGAR NEIVA</v>
          </cell>
        </row>
        <row r="72">
          <cell r="B72" t="str">
            <v>VIF - CCP-2 - GRUPO CUENTAS POR PAGAR BARRANCABERMEJA</v>
          </cell>
        </row>
        <row r="73">
          <cell r="B73" t="str">
            <v>VIF - CCP-3 - GRUPO CUENTAS POR PAGAR CARTAGENA</v>
          </cell>
        </row>
        <row r="74">
          <cell r="B74" t="str">
            <v>VIF - CNP - COORDINACIÓN NORMAS Y TRIBUTARIO</v>
          </cell>
        </row>
        <row r="75">
          <cell r="B75" t="str">
            <v>VIF - CNP-1 - GRUPO DE ASUNTOS TRIBUTARIOS</v>
          </cell>
        </row>
        <row r="76">
          <cell r="B76" t="str">
            <v>VIF - CNP-2 - GRUPO DE NORMAS</v>
          </cell>
        </row>
        <row r="77">
          <cell r="B77" t="str">
            <v>VIF - CGA - COORDINACIÓN GESTIÓN ACTIVOS</v>
          </cell>
        </row>
        <row r="78">
          <cell r="B78" t="str">
            <v>DGO - DIRECCIÓN GENERAL DE OPERACIONES</v>
          </cell>
        </row>
        <row r="79">
          <cell r="B79" t="str">
            <v>DGO - JNN - JEFATURA DE NUEVOS NEGOCIOS</v>
          </cell>
        </row>
        <row r="80">
          <cell r="B80" t="str">
            <v>DGO - UOP - UNIDAD DE OPTIMIZACIÓN</v>
          </cell>
        </row>
        <row r="81">
          <cell r="B81" t="str">
            <v>ICP - DIRECCIÓN INSTITUTO COLOMBIANO DEL PETROLEO</v>
          </cell>
        </row>
        <row r="82">
          <cell r="B82" t="str">
            <v>ICP - ICP-1 - COORDINACIÓN DE GESTIÓN DE TECNOLOGÍA</v>
          </cell>
        </row>
        <row r="83">
          <cell r="B83" t="str">
            <v>ICP - UNI - UNIDAD DE INVESTIGACIÓN</v>
          </cell>
        </row>
        <row r="84">
          <cell r="B84" t="str">
            <v>ICP - UNI-1 - COORDINACIÓN INVESTIGACIÓN EXPLORACIÓN Y PRODUCCIÓN</v>
          </cell>
        </row>
        <row r="85">
          <cell r="B85" t="str">
            <v>ICP - UNI-2 - COORDINACIÓN INVESTIGACIÓN REFINACIÓN, PETROQUÍMICA Y TRANSPORTE</v>
          </cell>
        </row>
        <row r="86">
          <cell r="B86" t="str">
            <v>ICP - UDP - UNIDAD DE DISCIPLINAS ESPECIALIZADAS</v>
          </cell>
        </row>
        <row r="87">
          <cell r="B87" t="str">
            <v>ICP - UDP-1 - COORDINACIÓN DISCIPLINAS EXPLORACIÓN Y PRODUCCIÓN</v>
          </cell>
        </row>
        <row r="88">
          <cell r="B88" t="str">
            <v>ICP - UDP-2 - COORDINACIÓN DISCIPLINAS REFINACIÓN, PETROQUÍMICA Y TRANSPORTE</v>
          </cell>
        </row>
        <row r="89">
          <cell r="B89" t="str">
            <v>ICP - UST - UNIDAD DE SERVICIOS TÉCNICOS Y DE LABORATORIO</v>
          </cell>
        </row>
        <row r="90">
          <cell r="B90" t="str">
            <v>ICP - UST-1 - COORDINACIÓN LABORATORIOS EXPLORACIÓN Y PRODUCCIÓN</v>
          </cell>
        </row>
        <row r="91">
          <cell r="B91" t="str">
            <v>ICP - UST-2 - COORDINACIÓN LABORATORIOS REFINACIÓN, PETROQUÍMICA Y TRANSPORTE</v>
          </cell>
        </row>
        <row r="92">
          <cell r="B92" t="str">
            <v>DPY - DIRECCIÓN DE GESTIÓN DE PROYECTOS</v>
          </cell>
        </row>
        <row r="93">
          <cell r="B93" t="str">
            <v>DCI - DIRECCIÓN DE INFORMÁTICA</v>
          </cell>
        </row>
        <row r="94">
          <cell r="B94" t="str">
            <v>DCI - COORDINACIÓN GESTIÓN DOCUMENTAL</v>
          </cell>
        </row>
        <row r="95">
          <cell r="B95" t="str">
            <v>DCI - UNIDAD DE PLANEACIÓN INFORMÁTICA</v>
          </cell>
        </row>
        <row r="96">
          <cell r="B96" t="str">
            <v>DCI - UNIDAD DE INFRAESTRUCTURA Y SERVICIOS DE TECNOLOGÍA DE INFORMACIÓN</v>
          </cell>
        </row>
        <row r="97">
          <cell r="B97" t="str">
            <v>DCI - REGIONAL INFORMÁTICA CENTRAL</v>
          </cell>
        </row>
        <row r="98">
          <cell r="B98" t="str">
            <v>DCI - REGIONAL INFORMÁTICA ORIENTE</v>
          </cell>
        </row>
        <row r="99">
          <cell r="B99" t="str">
            <v>DCI - REGIONAL INFORMÁTICA NORTE</v>
          </cell>
        </row>
        <row r="100">
          <cell r="B100" t="str">
            <v>DCI - COORDINACIÓN TELECOMUNICACIONES</v>
          </cell>
        </row>
        <row r="101">
          <cell r="B101" t="str">
            <v>DCI - UNIDAD DE SOLUCIONES DE NEGOCIO</v>
          </cell>
        </row>
        <row r="102">
          <cell r="B102" t="str">
            <v>DCI - COORDINACIÓN SOLUCIONES UPSTREAM</v>
          </cell>
        </row>
        <row r="103">
          <cell r="B103" t="str">
            <v>DCI - COORDINACIÓN SOLUCIONES DOWNSTREAM</v>
          </cell>
        </row>
        <row r="104">
          <cell r="B104" t="str">
            <v>DCI - COORDINACIÓN SOLUCIONES CORPORATIVO</v>
          </cell>
        </row>
        <row r="105">
          <cell r="B105" t="str">
            <v>DCI - UNIDAD DE DESARROLLO SENSOR</v>
          </cell>
        </row>
        <row r="106">
          <cell r="B106" t="str">
            <v>DRI - DIRECCIÓN DE RESPONSABILIDAD INTEGRAL</v>
          </cell>
        </row>
        <row r="107">
          <cell r="B107" t="str">
            <v>DRI - CPR - COORDINACIÓN PROYECTOS</v>
          </cell>
        </row>
        <row r="108">
          <cell r="B108" t="str">
            <v>DRI - CAD - COORDINACIÓN ADMINISTRATIVA</v>
          </cell>
        </row>
        <row r="109">
          <cell r="B109" t="str">
            <v>DRI - URN - UNIDAD DE RESPONSABILIDAD INTEGRAL NORTE</v>
          </cell>
        </row>
        <row r="110">
          <cell r="B110" t="str">
            <v>DRI - RCA - REGIONAL CARIBE</v>
          </cell>
        </row>
        <row r="111">
          <cell r="B111" t="str">
            <v>DRI - RMG - REGIONAL MAGDALENA MEDIO</v>
          </cell>
        </row>
        <row r="112">
          <cell r="B112" t="str">
            <v>DRI - URS - UNIDAD DE RESPONSABILIDAD INTEGRAL SUR</v>
          </cell>
        </row>
        <row r="113">
          <cell r="B113" t="str">
            <v>DRI - RCE - REGIONAL CENTRAL</v>
          </cell>
        </row>
        <row r="114">
          <cell r="B114" t="str">
            <v>DRI - RSO - REGIONAL SUR OCCIDENTE</v>
          </cell>
        </row>
        <row r="115">
          <cell r="B115" t="str">
            <v>DRI - REO - REGIONAL ORIENTE</v>
          </cell>
        </row>
        <row r="116">
          <cell r="B116" t="str">
            <v>DRI - USE - UNIDAD DE SEGURIDAD</v>
          </cell>
        </row>
        <row r="117">
          <cell r="B117" t="str">
            <v>DRI - USE-1 - COORDINACIÓN SEGURIDAD DE INFRAESTRUCTURA</v>
          </cell>
        </row>
        <row r="118">
          <cell r="B118" t="str">
            <v>DRI - USE-2 - COORDINACIÓN SEGURIDAD DE FUNCIONARIOS</v>
          </cell>
        </row>
        <row r="119">
          <cell r="B119" t="str">
            <v>GEA - GERENCIA ADMINISTRATIVA</v>
          </cell>
        </row>
        <row r="120">
          <cell r="B120" t="str">
            <v>GEA - CGI - COORDINACIÓN GESTIÓN INMOBILIARIA</v>
          </cell>
        </row>
        <row r="121">
          <cell r="B121" t="str">
            <v>GEA - GSC - GRUPO GESTIÓN, CONTROL Y SERVICIO AL CLIENTE</v>
          </cell>
        </row>
        <row r="122">
          <cell r="B122" t="str">
            <v>GEA - GDP - GRUPO DESARROLLO DE PROVEEDORES</v>
          </cell>
        </row>
        <row r="123">
          <cell r="B123" t="str">
            <v>GEA - UIM - UNIDAD INTELIGENCIA DE MERCADO</v>
          </cell>
        </row>
        <row r="124">
          <cell r="B124" t="str">
            <v>GEA - GOI - GRUPO OPTIMIZACIÓN DE INVENTARIOS Y BODEGAS</v>
          </cell>
        </row>
        <row r="125">
          <cell r="B125" t="str">
            <v>GEA - UAB - UNIDAD DE ABASTECIMIENTO DE BIENES Y SERVICIOS</v>
          </cell>
        </row>
        <row r="126">
          <cell r="B126" t="str">
            <v>GEA - GCE - GRUPO COMPRAS INTERNACIONALES</v>
          </cell>
        </row>
        <row r="127">
          <cell r="B127" t="str">
            <v>GEA - GNE - GRUPO NEGOCIOS ESTRATÉGICOS</v>
          </cell>
        </row>
        <row r="128">
          <cell r="B128" t="str">
            <v>GEA - GPE - GRUPO ABASTECIMIENTO A PROYECTOS Y ACTIVIDADES ESPECIALES</v>
          </cell>
        </row>
        <row r="129">
          <cell r="B129" t="str">
            <v>GEA - RCM - REGIONAL COMPRAS Y CONTRATACIÓN MAGDALENA MEDIO</v>
          </cell>
        </row>
        <row r="130">
          <cell r="B130" t="str">
            <v>GEA - CTB - COORDINACIÓN CONTRATACIÓN BARRANCABERMEJA</v>
          </cell>
        </row>
        <row r="131">
          <cell r="B131" t="str">
            <v>GEA - CCB - COORDINACIÓN COMPRAS BARRANCABERMEJA</v>
          </cell>
        </row>
        <row r="132">
          <cell r="B132" t="str">
            <v>GEA - CCC - COORDINACIÓN COMPRAS Y CONTRATACIÓN EL CENTRO</v>
          </cell>
        </row>
        <row r="133">
          <cell r="B133" t="str">
            <v>GEA - CCI - COORDINACIÓN COMPRAS Y CONTRATACIÓN ICP</v>
          </cell>
        </row>
        <row r="134">
          <cell r="B134" t="str">
            <v>GEA - RCC - REGIONAL COMPRAS Y CONTRATACIÓN CENTRAL</v>
          </cell>
        </row>
        <row r="135">
          <cell r="B135" t="str">
            <v>GEA - CAO - COORDINACIÓN COMPRAS Y CONTRATACIÓN ÁREAS OPERATIVAS</v>
          </cell>
        </row>
        <row r="136">
          <cell r="B136" t="str">
            <v>GEA - CAS - COORDINACIÓN COMPRAS Y CONTRATACIÓN ÁREAS SOPORTE</v>
          </cell>
        </row>
        <row r="137">
          <cell r="B137" t="str">
            <v>GEA - CCA - COORDINACIÓN COMPRAS Y CONTRATACIÓN APIAY</v>
          </cell>
        </row>
        <row r="138">
          <cell r="B138" t="str">
            <v>GEA - CCS - COORDINACIÓN COMPRAS Y CONTRATACIÓN SUR</v>
          </cell>
        </row>
        <row r="139">
          <cell r="B139" t="str">
            <v>GEA - CCN - REGIONAL COMPRAS Y CONTRATACIÓN NORTE</v>
          </cell>
        </row>
        <row r="140">
          <cell r="B140" t="str">
            <v>GEA - CDS - COORDINACIÓN DE SERVICIOS</v>
          </cell>
        </row>
        <row r="141">
          <cell r="B141" t="str">
            <v>GEA - SMM - REGIONAL SERVICIOS MAGDALENA MEDIO</v>
          </cell>
        </row>
        <row r="142">
          <cell r="B142" t="str">
            <v>GEA - ATM - COORDINACIÓN SERVICIOS ALIMENTACIÓN Y TRANSPORTE</v>
          </cell>
        </row>
        <row r="143">
          <cell r="B143" t="str">
            <v>GEA - SAM - COORDINACIÓN SERVICIOS APOYO</v>
          </cell>
        </row>
        <row r="144">
          <cell r="B144" t="str">
            <v>GEA - CMM - COORDINACIÓN DE MANTENIMIENTO</v>
          </cell>
        </row>
        <row r="145">
          <cell r="B145" t="str">
            <v>GEA - RCS - REGIONAL SERVICIOS CENTRAL</v>
          </cell>
        </row>
        <row r="146">
          <cell r="B146" t="str">
            <v>GEA - ATC - COORDINACIÓN SERVICIOS ALIMENTACIÓN Y TRANSPORTE</v>
          </cell>
        </row>
        <row r="147">
          <cell r="B147" t="str">
            <v>GEA - CSA - COORDINACIÓN SERVICIOS APOYO</v>
          </cell>
        </row>
        <row r="148">
          <cell r="B148" t="str">
            <v>GEA - CMC - COORDINACIÓN MANTENIMIENTO</v>
          </cell>
        </row>
        <row r="149">
          <cell r="B149" t="str">
            <v>VEX - VICEPRESIDENCIA DE EXPLORACIÓN</v>
          </cell>
        </row>
        <row r="150">
          <cell r="B150" t="str">
            <v>VEX - VEX-1 - COORDINACIÓN DE SOPORTE DE INFORMACIÓN</v>
          </cell>
        </row>
        <row r="151">
          <cell r="B151" t="str">
            <v>VEX - VEX-2 - GRUPO DE EXCELENCIA TÉCNICA</v>
          </cell>
        </row>
        <row r="152">
          <cell r="B152" t="str">
            <v>VEX - VEX-3 - GRUPO DE GESTIÓN DE PROYECTOS</v>
          </cell>
        </row>
        <row r="153">
          <cell r="B153" t="str">
            <v>VEX - GPR - GERENCIA DE PROSPECCIÓN</v>
          </cell>
        </row>
        <row r="154">
          <cell r="B154" t="str">
            <v>VEX - SEE - SUPERINTENDENCIA DE EJECUCIÓN EXPLORATORIA</v>
          </cell>
        </row>
        <row r="155">
          <cell r="B155" t="str">
            <v>VEX - GPR-1 - GRUPO DE GEOLOGÍA REGIONAL</v>
          </cell>
        </row>
        <row r="156">
          <cell r="B156" t="str">
            <v>VEX - GPR-7 - GRUPO DE INGENIERÍA</v>
          </cell>
        </row>
        <row r="157">
          <cell r="B157" t="str">
            <v>VEX - GPR-8 - GRUPO DE ADMINISTRACIÓN DE CONTRATOS</v>
          </cell>
        </row>
        <row r="158">
          <cell r="B158" t="str">
            <v>VEX - GPR-2 - GRUPO DE PROYECTOS I</v>
          </cell>
        </row>
        <row r="159">
          <cell r="B159" t="str">
            <v>VEX - GPR-3 - GRUPO DE PROYECTOS II</v>
          </cell>
        </row>
        <row r="160">
          <cell r="B160" t="str">
            <v>VEX - GPR-4 - GRUPO DE PROYECTOS III</v>
          </cell>
        </row>
        <row r="161">
          <cell r="B161" t="str">
            <v>VEX - GPR-5 - GRUPO DE PROYECTOS IV</v>
          </cell>
        </row>
        <row r="162">
          <cell r="B162" t="str">
            <v>VEX - GPR-6 - GRUPO DE PROYECTOS V</v>
          </cell>
        </row>
        <row r="163">
          <cell r="B163" t="str">
            <v>VEX - VEX-4 - GERENCIA DE DESARROLLO DE NEGOCIOS</v>
          </cell>
        </row>
        <row r="164">
          <cell r="B164" t="str">
            <v>VPR - VICEPRESIDENCIA DE PRODUCCIÓN</v>
          </cell>
        </row>
        <row r="165">
          <cell r="B165" t="str">
            <v>VPR - GTP - GERENCIA TÉCNICA DE PRODUCCIÓN</v>
          </cell>
        </row>
        <row r="166">
          <cell r="B166" t="str">
            <v>VPR - DIP - DEPARTAMENTO INGENIERÍA DE PROYECTOS</v>
          </cell>
        </row>
        <row r="167">
          <cell r="B167" t="str">
            <v>VPR - DIO - DEPARTAMENTO INGENIERÍA DE OPERACIONES</v>
          </cell>
        </row>
        <row r="168">
          <cell r="B168" t="str">
            <v>VPR - DYP - DEPARTAMENTO DE YACIMIENTOS Y PRODUCCIÓN</v>
          </cell>
        </row>
        <row r="169">
          <cell r="B169" t="str">
            <v>VPR - GEC - GERENCIA REGIONAL CENTRAL</v>
          </cell>
        </row>
        <row r="170">
          <cell r="B170" t="str">
            <v>VPR - GNC - COORDINACIÓN GESTIÓN DE NEGOCIOS</v>
          </cell>
        </row>
        <row r="171">
          <cell r="B171" t="str">
            <v>VPR - SOA - SUPERINTENDENCIA DE OPERACIONES APIAY</v>
          </cell>
        </row>
        <row r="172">
          <cell r="B172" t="str">
            <v>VPR - PPL - DEPARTAMENTO PRODUCCIÓN LLANOS</v>
          </cell>
        </row>
        <row r="173">
          <cell r="B173" t="str">
            <v>VPR - PPL-1 - COORDINACIÓN PRODUCCIÓN APIAY</v>
          </cell>
        </row>
        <row r="174">
          <cell r="B174" t="str">
            <v>VPR - PPL-2 - COORDINACIÓN PRODUCCIÓN CASTILLA</v>
          </cell>
        </row>
        <row r="175">
          <cell r="B175" t="str">
            <v>VPR - PPL-3 - COORDINACIÓN PLANTA PROCESO APIAY</v>
          </cell>
        </row>
        <row r="176">
          <cell r="B176" t="str">
            <v>VPR - PML - DEPARTAMENTO MANTENIMIENTO LLANOS</v>
          </cell>
        </row>
        <row r="177">
          <cell r="B177" t="str">
            <v>VPR - PML-1 - COORDINACIÓN MANTENIMIENTO APIAY</v>
          </cell>
        </row>
        <row r="178">
          <cell r="B178" t="str">
            <v>VPR - PML-2 - COORDINACIÓN MANTENIMIENTO CASTILLA</v>
          </cell>
        </row>
        <row r="179">
          <cell r="B179" t="str">
            <v>VPR - SAA - SUPERINTENDENCIA ACTIVOS EN ASOCIACIÓN</v>
          </cell>
        </row>
        <row r="180">
          <cell r="B180" t="str">
            <v>VPR - GRN - GERENCIA REGIONAL NORTE</v>
          </cell>
        </row>
        <row r="181">
          <cell r="B181" t="str">
            <v>VPR - GNN - COORDINACIÓN GESTIÓN DE NEGOCIOS</v>
          </cell>
        </row>
        <row r="182">
          <cell r="B182" t="str">
            <v>VPR - POT - DEPARTAMENTO OPERACIONES TIBÚ</v>
          </cell>
        </row>
        <row r="183">
          <cell r="B183" t="str">
            <v>VPR - POT-1 - COORDINACIÓN PRODUCCIÓN CATATUMBO</v>
          </cell>
        </row>
        <row r="184">
          <cell r="B184" t="str">
            <v>VPR - POT-2 - COORDINACIÓN PRODUCCIÓN RÍO ZULIA</v>
          </cell>
        </row>
        <row r="185">
          <cell r="B185" t="str">
            <v>VPR - POT-3 - COORDINACIÓN PRODUCCIÓN CICUCO</v>
          </cell>
        </row>
        <row r="186">
          <cell r="B186" t="str">
            <v>VPR - POT-4 - COORDINACIÓN MANTENIMIENTO CATATUMBO - RÍO ZULIA - CICUCO</v>
          </cell>
        </row>
        <row r="187">
          <cell r="B187" t="str">
            <v>VPR - SAN - SUPERINTENDENCIA ACTIVOS EN ASOCIACIÓN</v>
          </cell>
        </row>
        <row r="188">
          <cell r="B188" t="str">
            <v>VPR - GRS - GERENCIA REGIONAL SUR</v>
          </cell>
        </row>
        <row r="189">
          <cell r="B189" t="str">
            <v>VPR - GNS - COORDINACIÓN GESTIÓN DE NEGOCIOS</v>
          </cell>
        </row>
        <row r="190">
          <cell r="B190" t="str">
            <v>VPR - SOR - SUPERINTENDENCIA DE OPERACIONES ORITO</v>
          </cell>
        </row>
        <row r="191">
          <cell r="B191" t="str">
            <v>VPR - PPP - DEPARTAMENTO PRODUCCIÓN PUTUMAYO</v>
          </cell>
        </row>
        <row r="192">
          <cell r="B192" t="str">
            <v>VPR - PPP-1 - COORDINACIÓN PRODUCCIÓN ORITO</v>
          </cell>
        </row>
        <row r="193">
          <cell r="B193" t="str">
            <v>VPR - PPP-2 - COORDINACIÓN PRODUCCIÓN SUR</v>
          </cell>
        </row>
        <row r="194">
          <cell r="B194" t="str">
            <v>VPR - PPP-3 - COORDINACIÓN PLANTA PROCESO Y OPERACIONES ORITO</v>
          </cell>
        </row>
        <row r="195">
          <cell r="B195" t="str">
            <v>VPR - PMP - DEPARTAMENTO MANTENIMIENTO PUTUMAYO</v>
          </cell>
        </row>
        <row r="196">
          <cell r="B196" t="str">
            <v>VPR - PMP-1 - COORDINACIÓN MANTENIMIENTO ORITO</v>
          </cell>
        </row>
        <row r="197">
          <cell r="B197" t="str">
            <v>VPR - PMP-2 - COORDINACIÓN MANTENIMIENTO SUR</v>
          </cell>
        </row>
        <row r="198">
          <cell r="B198" t="str">
            <v>VPR - SOH - SUPERINTENDENCIA OPERACIONES HUILA - TOLIMA</v>
          </cell>
        </row>
        <row r="199">
          <cell r="B199" t="str">
            <v>VPR - PPH - DEPARTAMENTO PRODUCCIÓN HUILA - TOLIMA</v>
          </cell>
        </row>
        <row r="200">
          <cell r="B200" t="str">
            <v>VPR - PPH-1 - COORDINACIÓN PRODUCCIÓN TOLIMA</v>
          </cell>
        </row>
        <row r="201">
          <cell r="B201" t="str">
            <v>VPR - PPH-2 - COORDINACIÓN PRODUCCIÓN HUILA</v>
          </cell>
        </row>
        <row r="202">
          <cell r="B202" t="str">
            <v>VPR - PPH-3 - COORDINACIÓN PRODUCCIÓN TELLO</v>
          </cell>
        </row>
        <row r="203">
          <cell r="B203" t="str">
            <v>VPR - PMH - DEPARTAMENTO MANTENIMIENTO HUILA - TOLIMA</v>
          </cell>
        </row>
        <row r="204">
          <cell r="B204" t="str">
            <v>VPR - PMH-1 - COORDINACIÓN MANTENIMIENTO HUILA - TOLIMA</v>
          </cell>
        </row>
        <row r="205">
          <cell r="B205" t="str">
            <v>VPR - PMH-2 - COORDINACIÓN MANTENIMIENTO TELLO</v>
          </cell>
        </row>
        <row r="206">
          <cell r="B206" t="str">
            <v>VPR - SAS - SUPERINTENDENCIA ACTIVOS EN ASOCIACIÓN</v>
          </cell>
        </row>
        <row r="207">
          <cell r="B207" t="str">
            <v>VPR - GRM - GERENCIA REGIONAL MAGDALENA MEDIO</v>
          </cell>
        </row>
        <row r="208">
          <cell r="B208" t="str">
            <v>VPR - GNM - COORDINACIÓN GESTIÓN DE NEGOCIOS</v>
          </cell>
        </row>
        <row r="209">
          <cell r="B209" t="str">
            <v>VPR - SAR - SUPERINTENDENCIA OPERACIONES DEL RÍO</v>
          </cell>
        </row>
        <row r="210">
          <cell r="B210" t="str">
            <v>VPR - PPR - DEPARTAMENTO PRODUCCIÓN DEL RÍO</v>
          </cell>
        </row>
        <row r="211">
          <cell r="B211" t="str">
            <v>VPR - PPR-1 - COORDINACIÓN PRODUCCIÓN CASABE</v>
          </cell>
        </row>
        <row r="212">
          <cell r="B212" t="str">
            <v>VPR - PPR-2 - COORDINACIÓN PRODUCCIÓN CANTAGALLO</v>
          </cell>
        </row>
        <row r="213">
          <cell r="B213" t="str">
            <v>VPR - PPR-3 - COORDINACIÓN MANTENIMIENTO SUBSUELO</v>
          </cell>
        </row>
        <row r="214">
          <cell r="B214" t="str">
            <v>VPR - PMR - DEPARTAMENTO MANTENIMIENTO DEL RÍO</v>
          </cell>
        </row>
        <row r="215">
          <cell r="B215" t="str">
            <v>VPR - PMR-1 - COORDINACIÓN MANTENIMIENTO CASABE</v>
          </cell>
        </row>
        <row r="216">
          <cell r="B216" t="str">
            <v>VPR - PMR-2 - COORDINACIÓN MANTENIMIENTO CANTAGALLO</v>
          </cell>
        </row>
        <row r="217">
          <cell r="B217" t="str">
            <v>VPR - SMA - SUPERINTENDENCIA OPERACIONES MARES</v>
          </cell>
        </row>
        <row r="218">
          <cell r="B218" t="str">
            <v>VPR - PPM - DEPARTAMENTO PRODUCCIÓN MARES</v>
          </cell>
        </row>
        <row r="219">
          <cell r="B219" t="str">
            <v>VPR - PPM-2 - COORDINACIÓN PRODUCCIÓN PERIFÉRICOS</v>
          </cell>
        </row>
        <row r="220">
          <cell r="B220" t="str">
            <v>VPR - PPM-3 - COORDINACIÓN MANTENIMIENTO SUBSUELO</v>
          </cell>
        </row>
        <row r="221">
          <cell r="B221" t="str">
            <v>VPR - PPM-4 - COORDINACIÓN PRODUCCIÓN PROVINCIA</v>
          </cell>
        </row>
        <row r="222">
          <cell r="B222" t="str">
            <v>VPR - PPM-5 - COORDINACIÓN PLANTAS PROCESO EL CENTRO - PROVINCIA</v>
          </cell>
        </row>
        <row r="223">
          <cell r="B223" t="str">
            <v>VPR - PMM - DEPARTAMENTO MANTENIMIENTO DE MARES</v>
          </cell>
        </row>
        <row r="224">
          <cell r="B224" t="str">
            <v>VPR - PMM-1 - COORDINACIÓN MANTENIMIENTO EL CENTRO</v>
          </cell>
        </row>
        <row r="225">
          <cell r="B225" t="str">
            <v>VPR - PMM-2 - COORDINACIÓN MANTENIMIENTO PERIFÉRICOS</v>
          </cell>
        </row>
        <row r="226">
          <cell r="B226" t="str">
            <v>VPR - PMM-3 - COORDINACIÓN MANTENIMIENTO PROVINCIA</v>
          </cell>
        </row>
        <row r="227">
          <cell r="B227" t="str">
            <v>VPR - COC - COORDINACIÓN OPERACIONES LA CIRA</v>
          </cell>
        </row>
        <row r="228">
          <cell r="B228" t="str">
            <v>VPR - SUA - SUPERINTENDENCIA ACTIVOS EN ASOCIACIÓN</v>
          </cell>
        </row>
        <row r="229">
          <cell r="B229" t="str">
            <v>VRP - VICEPRESIDENCIA DE REFINACIÓN Y PETROQUÍMICA</v>
          </cell>
        </row>
        <row r="230">
          <cell r="B230" t="str">
            <v>VRP - VRP-1 - COORDINACIÓN PROGRAMA DE OPTIMIZACIÓN</v>
          </cell>
        </row>
        <row r="231">
          <cell r="B231" t="str">
            <v>VRP - GDR - GERENCIA DESARROLLO REFINACIÓN</v>
          </cell>
        </row>
        <row r="232">
          <cell r="B232" t="str">
            <v>VRP - GDR-2 - COORDINACIÓN OPORTUNIDADES DE NEGOCIO</v>
          </cell>
        </row>
        <row r="233">
          <cell r="B233" t="str">
            <v>VRP - GDR-1 - COORDINACIÓN TÉCNICA</v>
          </cell>
        </row>
        <row r="234">
          <cell r="B234" t="str">
            <v>VRP - GDR-3 - COORDINACIÓN LOGÍSTICA</v>
          </cell>
        </row>
        <row r="235">
          <cell r="B235" t="str">
            <v>VRP - GDR-4 - COORDINACIÓN GENERAL DE PROYECTOS TIPO A</v>
          </cell>
        </row>
        <row r="236">
          <cell r="B236" t="str">
            <v>VRP - GDR-5 - COORDINACIÓN PROYECTOS TIPO B Y C GCB</v>
          </cell>
        </row>
        <row r="237">
          <cell r="B237" t="str">
            <v>VRP - GDR-6 - COORDINACIÓN PROYECTOS TIPO B Y C GCR</v>
          </cell>
        </row>
        <row r="238">
          <cell r="B238" t="str">
            <v>VRP - GCB - GERENCIA GENERAL COMPLEJO BARRANCABERMEJA</v>
          </cell>
        </row>
        <row r="239">
          <cell r="B239" t="str">
            <v>VRP - GCB-1 - COORDINACIÓN PROGRAMA DE OPTIMIZACIÓN</v>
          </cell>
        </row>
        <row r="240">
          <cell r="B240" t="str">
            <v>VRP - GCB-2 - COORDINACIÓN ECONOMÍA Y GESTIÓN OPERACIONAL</v>
          </cell>
        </row>
        <row r="241">
          <cell r="B241" t="str">
            <v>VRP - PPG - DEPARTAMENTO DE PROGRAMACIÓN DE LA PRODUCCIÓN</v>
          </cell>
        </row>
        <row r="242">
          <cell r="B242" t="str">
            <v>VRP - PPG-1 - COORDINACIÓN DE PROGRAMACIÓN DE OPERACIONES</v>
          </cell>
        </row>
        <row r="243">
          <cell r="B243" t="str">
            <v>VRP - PPG-2 - COORDINACIÓN DE PLANEACIÓN Y PROGRAMACIÓN DE MANTENIMIENTO</v>
          </cell>
        </row>
        <row r="244">
          <cell r="B244" t="str">
            <v>VRP - GPB - GERENCIA DE PRODUCCIÓN</v>
          </cell>
        </row>
        <row r="245">
          <cell r="B245" t="str">
            <v>VRP - GPB-1 - COORDINACIÓN CONTROL DE EMERGENCIAS</v>
          </cell>
        </row>
        <row r="246">
          <cell r="B246" t="str">
            <v>VRP - PRE - DEPARTAMENTO DE REFINACIÓN</v>
          </cell>
        </row>
        <row r="247">
          <cell r="B247" t="str">
            <v>VRP - PRE-1 - COORDINACIÓN TOPPING U200/2100 SODA Y ESPECIALIDADES</v>
          </cell>
        </row>
        <row r="248">
          <cell r="B248" t="str">
            <v>VRP - PRE-2 - COORDINACIÓN TOPPING U150/200/250 Y VISCORREDUCTORA I</v>
          </cell>
        </row>
        <row r="249">
          <cell r="B249" t="str">
            <v>VRP - PRE-3 - COORDINACIÓN DEMEX, UNIBÓN, HIDRÓGENO, VISCORREDUCTORA II</v>
          </cell>
        </row>
        <row r="250">
          <cell r="B250" t="str">
            <v>VRP - PCR - DEPARTAMENTO DE CRACKING</v>
          </cell>
        </row>
        <row r="251">
          <cell r="B251" t="str">
            <v>VRP - PCR-1 - COORDINACIÓN MODELO IV Y ÁCIDO</v>
          </cell>
        </row>
        <row r="252">
          <cell r="B252" t="str">
            <v>VRP - PCR-2 - COORDINACIÓN ORTHOFLOW</v>
          </cell>
        </row>
        <row r="253">
          <cell r="B253" t="str">
            <v>VRP - PCR-3 - COORDINACIÓN CRACKING UOP I</v>
          </cell>
        </row>
        <row r="254">
          <cell r="B254" t="str">
            <v>VRP - PCR-4 - COORDINACIÓN ALQUILACIÓN Y CRACKING UOP II</v>
          </cell>
        </row>
        <row r="255">
          <cell r="B255" t="str">
            <v>VRP - DPP - DEPARTAMENTO DE MATERIAS PRIMAS Y PRODUCTOS</v>
          </cell>
        </row>
        <row r="256">
          <cell r="B256" t="str">
            <v>VRP - DPP-1 - COORDINACIÓN AMBIENTAL Y GAS PROPANO</v>
          </cell>
        </row>
        <row r="257">
          <cell r="B257" t="str">
            <v>VRP - DPP-2 - COORDINACIÓN DE MATERIAS PRIMAS</v>
          </cell>
        </row>
        <row r="258">
          <cell r="B258" t="str">
            <v>VRP - DPP-3 - COORDINACIÓN DE PRODUCTOS</v>
          </cell>
        </row>
        <row r="259">
          <cell r="B259" t="str">
            <v>VRP - PPQ - DEPARTAMENTO DE PETROQUÍMICA</v>
          </cell>
        </row>
        <row r="260">
          <cell r="B260" t="str">
            <v>VRP - PPQ-1 - COORDINACIÓN POLIOLEOFINAS</v>
          </cell>
        </row>
        <row r="261">
          <cell r="B261" t="str">
            <v>VRP - PPQ-2 - COORDINACIÓN PARAFINAS Y FENOL</v>
          </cell>
        </row>
        <row r="262">
          <cell r="B262" t="str">
            <v>VRP - PPQ-3 - COORDINACIÓN AROMÁTICOS</v>
          </cell>
        </row>
        <row r="263">
          <cell r="B263" t="str">
            <v>VRP - PSI - DEPARTAMENTO DE SERVICIOS INDUSTRIALES</v>
          </cell>
        </row>
        <row r="264">
          <cell r="B264" t="str">
            <v>VRP - PSI-1 - COORDINACIÓN VAPOR Y ENERGÍA</v>
          </cell>
        </row>
        <row r="265">
          <cell r="B265" t="str">
            <v>VRP - PSI-2 - COORDINACIÓN SERVICIOS INDUSTRIALES BALANCE</v>
          </cell>
        </row>
        <row r="266">
          <cell r="B266" t="str">
            <v>VRP - PSI-3 - COORDINACIÓN TRATAMIENTO DE AGUAS REFINERÍA</v>
          </cell>
        </row>
        <row r="267">
          <cell r="B267" t="str">
            <v>VRP - PSI-4 - COORDINACIÓN ENERGÍA</v>
          </cell>
        </row>
        <row r="268">
          <cell r="B268" t="str">
            <v>VRP - DMP - DEPARTAMENTO DE MANTENIMIENTO PROACTIVO</v>
          </cell>
        </row>
        <row r="269">
          <cell r="B269" t="str">
            <v>VRP - DMP-1 - COORDINACIÓN ROTATIVO Y ESTÁTICO PROACTIVO</v>
          </cell>
        </row>
        <row r="270">
          <cell r="B270" t="str">
            <v>VRP - DMP-2 - COORDINACIÓN ELÉCTRICO E INSTRUMENTOS PROACTIVO</v>
          </cell>
        </row>
        <row r="271">
          <cell r="B271" t="str">
            <v>VRP - DMP-3 - COORDINACIÓN INGENIERÍA Y GESTIÓN</v>
          </cell>
        </row>
        <row r="272">
          <cell r="B272" t="str">
            <v>VRP - DMP-4 - COORDINACIÓN INVENTARIOS Y HERRAMIENTAS</v>
          </cell>
        </row>
        <row r="273">
          <cell r="B273" t="str">
            <v>VRP - DMP-5 - COORDINACIÓN TALLERES</v>
          </cell>
        </row>
        <row r="274">
          <cell r="B274" t="str">
            <v>VRP - DMR - DEPARTAMENTO DE MANTENIMIENTO REACTIVO</v>
          </cell>
        </row>
        <row r="275">
          <cell r="B275" t="str">
            <v>VRP - DMR-1 - COORDINACIÓN ROTATIVO Y ESTÁTICO CORRECTIVO</v>
          </cell>
        </row>
        <row r="276">
          <cell r="B276" t="str">
            <v>VRP - DMR-2 - COORDINACIÓN ELÉCTRICO E INSTRUMENTOS CORRECTIVO</v>
          </cell>
        </row>
        <row r="277">
          <cell r="B277" t="str">
            <v>VRP - DMR-3 - COORDINACIÓN METALMECÁNICA CORRECTIVO</v>
          </cell>
        </row>
        <row r="278">
          <cell r="B278" t="str">
            <v>VRP - DMR-4 - COORDINACIÓN PRIMERA LÍNEA</v>
          </cell>
        </row>
        <row r="279">
          <cell r="B279" t="str">
            <v>VRP - GTB - GERENCIA TÉCNICA</v>
          </cell>
        </row>
        <row r="280">
          <cell r="B280" t="str">
            <v>VRP - GTB-1 - COORDINACIÓN DE INSPECCIÓN DE CALIDAD</v>
          </cell>
        </row>
        <row r="281">
          <cell r="B281" t="str">
            <v>VRP - PTB - DEPARTAMENTO DE APOYO TÉCNICO A LA PRODUCCIÓN</v>
          </cell>
        </row>
        <row r="282">
          <cell r="B282" t="str">
            <v>VRP - PTB-1 - COORDINACIÓN ANÁLISIS OPERACIONAL REFINACIÓN, CRACKING Y MATERIAS PRIMAS</v>
          </cell>
        </row>
        <row r="283">
          <cell r="B283" t="str">
            <v>VRP - PTB-2 - COORDINACIÓN ANÁLISIS OPERACIONAL, PETROQUÍMICAS Y SERVICIOS INDUSTRIALES</v>
          </cell>
        </row>
        <row r="284">
          <cell r="B284" t="str">
            <v>VRP - PTB-3 - COORDINACIÓN SOPORTE INMEDIATO</v>
          </cell>
        </row>
        <row r="285">
          <cell r="B285" t="str">
            <v>VRP - PTB-4 - COORDINACIÓN MEJORAMIENTO CONFIABILIDAD</v>
          </cell>
        </row>
        <row r="286">
          <cell r="B286" t="str">
            <v>VRP - PTB-5 - COORDINACIÓN OPTIMIZACIÓN Y CONTROL AVANZADO</v>
          </cell>
        </row>
        <row r="287">
          <cell r="B287" t="str">
            <v>VRP - PPY - DEPARTAMENTO DE PARADAS DE PLANTA</v>
          </cell>
        </row>
        <row r="288">
          <cell r="B288" t="str">
            <v>VRP - PPY-1 - COORDINACIÓN PARADAS DE PLANTA</v>
          </cell>
        </row>
        <row r="289">
          <cell r="B289" t="str">
            <v>VRP - PPY-2 - COORDINACIÓN INGENIERÍA Y PROYECTOS DE MANTENIMIENTO</v>
          </cell>
        </row>
        <row r="290">
          <cell r="B290" t="str">
            <v>VRP - GRC - GERENCIA REFINERÍA CARTAGENA</v>
          </cell>
        </row>
        <row r="291">
          <cell r="B291" t="str">
            <v>VRP - GRC-1 - COORDINACIÓN PROGRAMA DE OPTIMIZACIÓN</v>
          </cell>
        </row>
        <row r="292">
          <cell r="B292" t="str">
            <v>VRP - PRP - DEPARTAMENTO DE PROGRAMACIÓN DE LA PRODUCCIÓN</v>
          </cell>
        </row>
        <row r="293">
          <cell r="B293" t="str">
            <v>VRP - PRP-1 - COORDINACIÓN PROGRAMACIÓN OPERACIONES</v>
          </cell>
        </row>
        <row r="294">
          <cell r="B294" t="str">
            <v>VRP - PRP-2 - COORDINACIÓN ECONOMÍA Y GESTIÓN OPERACIONAL</v>
          </cell>
        </row>
        <row r="295">
          <cell r="B295" t="str">
            <v>VRP - SPR - SUPERINTENDENCIA DE PRODUCCIÓN</v>
          </cell>
        </row>
        <row r="296">
          <cell r="B296" t="str">
            <v>VRP - SPR-1 - COORDINACIÓN CONTROL EMERGENCIAS</v>
          </cell>
        </row>
        <row r="297">
          <cell r="B297" t="str">
            <v>VRP - POP - DEPARTAMENTO DE OPERACIÓN DE PLANTAS</v>
          </cell>
        </row>
        <row r="298">
          <cell r="B298" t="str">
            <v>VRP - POP-1 - COORDINACIÓN CRACKING</v>
          </cell>
        </row>
        <row r="299">
          <cell r="B299" t="str">
            <v>VRP - POP-2 - COORDINACIÓN CRUDOS</v>
          </cell>
        </row>
        <row r="300">
          <cell r="B300" t="str">
            <v>VRP - POP-3 - COORDINACIÓN MATERIAS PRIMAS Y PRODUCTOS</v>
          </cell>
        </row>
        <row r="301">
          <cell r="B301" t="str">
            <v>VRP - POP-4 - COORDINACIÓN SERVICIOS INDUSTRIALES</v>
          </cell>
        </row>
        <row r="302">
          <cell r="B302" t="str">
            <v>VRP - PMT - DEPARTAMENTO DE MANTENIMIENTO DE PLANTAS</v>
          </cell>
        </row>
        <row r="303">
          <cell r="B303" t="str">
            <v>VRP - PMT-1 - COORDINACIÓN MANTENIMIENTO DÍA - DÍA</v>
          </cell>
        </row>
        <row r="304">
          <cell r="B304" t="str">
            <v>VRP - PMT-2 - COORDINACIÓN ADMINISTRACIÓN INVENTARIOS</v>
          </cell>
        </row>
        <row r="305">
          <cell r="B305" t="str">
            <v>VRP - SST - SUPERINTENDENCIA TÉCNICA</v>
          </cell>
        </row>
        <row r="306">
          <cell r="B306" t="str">
            <v>VRP - SST-1 - COORDINACIÓN INSPECCIÓN DE CALIDAD</v>
          </cell>
        </row>
        <row r="307">
          <cell r="B307" t="str">
            <v>VRP - PTC - DEPARTAMENTO DE APOYO TÉCNICO A LA PRODUCCIÓN</v>
          </cell>
        </row>
        <row r="308">
          <cell r="B308" t="str">
            <v>VRP - PTC-1 - COORDINACIÓN INGENIERÍA DE PROCESOS</v>
          </cell>
        </row>
        <row r="309">
          <cell r="B309" t="str">
            <v>VRP - PTC-2 - COORDINACIÓN CONFIABILIDAD</v>
          </cell>
        </row>
        <row r="310">
          <cell r="B310" t="str">
            <v>VRP - PTC-3 - COORDINACIÓN CONTROL ELÉCTRICO Y DE PROCESOS</v>
          </cell>
        </row>
        <row r="311">
          <cell r="B311" t="str">
            <v>VRP - PPC - DEPARTAMENTO DE PARADAS DE PLANTA</v>
          </cell>
        </row>
        <row r="312">
          <cell r="B312" t="str">
            <v>VRP - PPC-1 - COORDINACIÓN AUTOMATIZACIÓN Y DESARROLLO TECNOLÓGICO</v>
          </cell>
        </row>
        <row r="313">
          <cell r="B313" t="str">
            <v>VRP - PPC-2 - COORDINACIÓN PARADAS DE PLANTA Y PROYECTOS MANTENIMIENTO</v>
          </cell>
        </row>
        <row r="314">
          <cell r="B314" t="str">
            <v>VIT - VICEPRESIDENCIA DE TRANSPORTE</v>
          </cell>
        </row>
        <row r="315">
          <cell r="B315" t="str">
            <v>VIT - PPT - DEPARTAMENTO DE PROGRAMACIÓN Y CONTROL OPERACIONAL</v>
          </cell>
        </row>
        <row r="316">
          <cell r="B316" t="str">
            <v>VIT - CCMO - COORDINACIÓN CENTRO CONTROL MAESTRO DE OPERACIONES</v>
          </cell>
        </row>
        <row r="317">
          <cell r="B317" t="str">
            <v>VIT - CCT - COORDINACIÓN DE CARROTANQUES</v>
          </cell>
        </row>
        <row r="318">
          <cell r="B318" t="str">
            <v>VIT - GTE - GERENCIA TÉCNICA</v>
          </cell>
        </row>
        <row r="319">
          <cell r="B319" t="str">
            <v>VIT - PAT - DEPARTAMENTO TÉCNICO</v>
          </cell>
        </row>
        <row r="320">
          <cell r="B320" t="str">
            <v>VIT - PAT-1 - COORDINACIÓN DE TECNOLOGÍA</v>
          </cell>
        </row>
        <row r="321">
          <cell r="B321" t="str">
            <v>VIT - PAT-2 - COORDINACIÓN DE CONFIABILIDAD</v>
          </cell>
        </row>
        <row r="322">
          <cell r="B322" t="str">
            <v>VIT - PAP - DEPARTAMENTO DE PROYECTOS</v>
          </cell>
        </row>
        <row r="323">
          <cell r="B323" t="str">
            <v>VIT - GOT - GERENCIA DE OLEODUCTOS</v>
          </cell>
        </row>
        <row r="324">
          <cell r="B324" t="str">
            <v>VIT - GOT-1 - COORDINACIÓN TÉCNICA CAÑO LIMÓN</v>
          </cell>
        </row>
        <row r="325">
          <cell r="B325" t="str">
            <v>VIT - GOT-2 - COORDINACIÓN TÉCNICA COVEÑAS</v>
          </cell>
        </row>
        <row r="326">
          <cell r="B326" t="str">
            <v>VIT - GOT-3 - COORDINACIÓN TÉCNICA LLANOS</v>
          </cell>
        </row>
        <row r="327">
          <cell r="B327" t="str">
            <v>VIT - GOT-4 - COORDINACIÓN TÉCNICA SUR</v>
          </cell>
        </row>
        <row r="328">
          <cell r="B328" t="str">
            <v>VIT - POL - DEPARTAMENTO DE OPERACIONES CAÑO LIMON</v>
          </cell>
        </row>
        <row r="329">
          <cell r="B329" t="str">
            <v>VIT - POL-1 - COORDINACIÓN PLANTA BANADÍA</v>
          </cell>
        </row>
        <row r="330">
          <cell r="B330" t="str">
            <v>VIT - POL-2 - COORDINACIÓN PLANTA SAMORÉ</v>
          </cell>
        </row>
        <row r="331">
          <cell r="B331" t="str">
            <v>VIT - POL-3 - COORDINACIÓN PLANTA TOLEDO</v>
          </cell>
        </row>
        <row r="332">
          <cell r="B332" t="str">
            <v>VIT - POL-4 - COORDINACIÓN PLANTA ORÚ</v>
          </cell>
        </row>
        <row r="333">
          <cell r="B333" t="str">
            <v>VIT - POL-5 - COORDINACIÓN PLANTA AYACUCHO</v>
          </cell>
        </row>
        <row r="334">
          <cell r="B334" t="str">
            <v>VIT - POV - DEPARTAMENTO DE OPERACIONES COVEÑAS</v>
          </cell>
        </row>
        <row r="335">
          <cell r="B335" t="str">
            <v>VIT - POV-1 - COORDINACIÓN PLANTA RETIRO</v>
          </cell>
        </row>
        <row r="336">
          <cell r="B336" t="str">
            <v>VIT - POV-2 - COORDINACIÓN PLANTA COVEÑAS</v>
          </cell>
        </row>
        <row r="337">
          <cell r="B337" t="str">
            <v>VIT - POV-3 - COORDINACIÓN PLANTA OLEODUCTOS ODC-ACN</v>
          </cell>
        </row>
        <row r="338">
          <cell r="B338" t="str">
            <v>VIT - POV-4 - COORDINACIÓN PLANTA COSTA AFUERA</v>
          </cell>
        </row>
        <row r="339">
          <cell r="B339" t="str">
            <v>VIT - POS - DEPARTAMENTO DE OPERACIONES  LLANOS</v>
          </cell>
        </row>
        <row r="340">
          <cell r="B340" t="str">
            <v>VIT - POS-1 - COORDINACIÓN PLANTA ARAGUANEY</v>
          </cell>
        </row>
        <row r="341">
          <cell r="B341" t="str">
            <v>VIT - POS-2 - COORDINACIÓN PLANTA MIRAFLORES</v>
          </cell>
        </row>
        <row r="342">
          <cell r="B342" t="str">
            <v>VIT - POS-3 - COORDINACIÓN PLANTA PORVENIR</v>
          </cell>
        </row>
        <row r="343">
          <cell r="B343" t="str">
            <v>VIT - POS-4 - COORDINACIÓN PLANTA VASCONIA</v>
          </cell>
        </row>
        <row r="344">
          <cell r="B344" t="str">
            <v>VIT - POS-5 - COORDINACIÓN PLANTA MONTERREY</v>
          </cell>
        </row>
        <row r="345">
          <cell r="B345" t="str">
            <v>VIT - POR - DEPARTAMENTO DE OPERACIONES SUR</v>
          </cell>
        </row>
        <row r="346">
          <cell r="B346" t="str">
            <v>VIT - POR-1 - COORDINACIÓN PLANTA ORITO - GUAMUES</v>
          </cell>
        </row>
        <row r="347">
          <cell r="B347" t="str">
            <v>VIT - POR-2 - COORDINACIÓN PLANTA ALISALES</v>
          </cell>
        </row>
        <row r="348">
          <cell r="B348" t="str">
            <v>VIT - POR-3 - COORDINACIÓN PLANTA TUMACO</v>
          </cell>
        </row>
        <row r="349">
          <cell r="B349" t="str">
            <v>VIT - GPO - GERENCIA DE POLIDUCTOS</v>
          </cell>
        </row>
        <row r="350">
          <cell r="B350" t="str">
            <v>VIT - GPO-1 - COORDINACIÓN TÉCNICA ANDINA</v>
          </cell>
        </row>
        <row r="351">
          <cell r="B351" t="str">
            <v>VIT - GPO-2 - COORDINACIÓN TÉCNICA OCCIDENTE</v>
          </cell>
        </row>
        <row r="352">
          <cell r="B352" t="str">
            <v>VIT - GPO-3 - COORDINACIÓN TÉCNICA NORTE</v>
          </cell>
        </row>
        <row r="353">
          <cell r="B353" t="str">
            <v>VIT - GPO-4 - COORDINACIÓN DE TRANSPORTE FLUVIAL</v>
          </cell>
        </row>
        <row r="354">
          <cell r="B354" t="str">
            <v>VIT - POA - DEPARTAMENTO DE OPERACIONES ANDINA</v>
          </cell>
        </row>
        <row r="355">
          <cell r="B355" t="str">
            <v>VIT - POA-1 - COORDINACIÓN PLANTA PUERTO SALGAR</v>
          </cell>
        </row>
        <row r="356">
          <cell r="B356" t="str">
            <v>VIT - POA-2 - COORDINACIÓN PLANTA VILLETA</v>
          </cell>
        </row>
        <row r="357">
          <cell r="B357" t="str">
            <v>VIT - POA-3 - COORDINACIÓN PLANTA GUADUERO</v>
          </cell>
        </row>
        <row r="358">
          <cell r="B358" t="str">
            <v>VIT - POA-4 - COORDINACIÓN PLANTA ALBÁN</v>
          </cell>
        </row>
        <row r="359">
          <cell r="B359" t="str">
            <v>VIT - POA-5 - COORDINACIÓN PLANTA MANSILLA</v>
          </cell>
        </row>
        <row r="360">
          <cell r="B360" t="str">
            <v>VIT - POA-6 - COORDINACIÓN PLANTA PUENTE ARANDA</v>
          </cell>
        </row>
        <row r="361">
          <cell r="B361" t="str">
            <v>VIT - POA-7 - COORDINACIÓN PLANTA TOCANCIPÁ</v>
          </cell>
        </row>
        <row r="362">
          <cell r="B362" t="str">
            <v>VIT - POO - DEPARTAMENTO DE OPERACIONES OCCIDENTE</v>
          </cell>
        </row>
        <row r="363">
          <cell r="B363" t="str">
            <v>VIT - POO-1 - COORDINACIÓN PLANTA CISNEROS</v>
          </cell>
        </row>
        <row r="364">
          <cell r="B364" t="str">
            <v>VIT - POO-2 - COORDINACIÓN PLANTA MEDELLÍN</v>
          </cell>
        </row>
        <row r="365">
          <cell r="B365" t="str">
            <v>VIT - POO-3 - COORDINACIÓN PLANTA CARTAGO</v>
          </cell>
        </row>
        <row r="366">
          <cell r="B366" t="str">
            <v>VIT - POO-4 - COORDINACIÓN PLANTA YUMBO</v>
          </cell>
        </row>
        <row r="367">
          <cell r="B367" t="str">
            <v>VIT - POO-5 - COORDINACIÓN PLANTA  DAGUA</v>
          </cell>
        </row>
        <row r="368">
          <cell r="B368" t="str">
            <v>VIT - POO-6 - COORDINACIÓN PLANTA BUENAVENTURA</v>
          </cell>
        </row>
        <row r="369">
          <cell r="B369" t="str">
            <v>VIT - POO-7 - COORDINACIÓN PLANTA MARIQUITA</v>
          </cell>
        </row>
        <row r="370">
          <cell r="B370" t="str">
            <v>VIT - POO-8 - COORDINACIÓN PLANTA FRESNO</v>
          </cell>
        </row>
        <row r="371">
          <cell r="B371" t="str">
            <v>VIT - POO-9 - COORDINACIÓN PLANTA HERVEO</v>
          </cell>
        </row>
        <row r="372">
          <cell r="B372" t="str">
            <v>VIT - POO-10 - COORDINACIÓN PLANTA MANIZALES</v>
          </cell>
        </row>
        <row r="373">
          <cell r="B373" t="str">
            <v>VIT - PON - DEPARTAMENTO DE OPERACIONES NORTE</v>
          </cell>
        </row>
        <row r="374">
          <cell r="B374" t="str">
            <v>VIT - PON-1 - COORDINACIÓN PLANTA GALÁN</v>
          </cell>
        </row>
        <row r="375">
          <cell r="B375" t="str">
            <v>VIT - PON-2 - COORDINACIÓN PLANTA SEBASTOPOL</v>
          </cell>
        </row>
        <row r="376">
          <cell r="B376" t="str">
            <v>VIT - PON-3 - COORDINACIÓN PLANTA CHIMITÁ</v>
          </cell>
        </row>
        <row r="377">
          <cell r="B377" t="str">
            <v>VIT - PON-4 - COORDINACIÓN PLANTA POZOS COLORADOS</v>
          </cell>
        </row>
        <row r="378">
          <cell r="B378" t="str">
            <v>VIT - PON-5 - COORDINACIÓN PLANTA BARANOA</v>
          </cell>
        </row>
        <row r="379">
          <cell r="B379" t="str">
            <v>VIT - PON-6 - COORDINACIÓN PLANTA POLIDUCTOS SANTA ROSA</v>
          </cell>
        </row>
        <row r="380">
          <cell r="B380" t="str">
            <v>VIT - GCP - GERENCIA DE CONTROL DE PÉRDIDAS DE HIDROCARBUROS</v>
          </cell>
        </row>
        <row r="381">
          <cell r="B381" t="str">
            <v>VSM - VICEPRESIDENCIA DE SUMINISTRO Y MERCADEO</v>
          </cell>
        </row>
        <row r="382">
          <cell r="B382" t="str">
            <v>VSM - GPS - GERENCIA DE PLANEACIÓN Y SUMINISTRO</v>
          </cell>
        </row>
        <row r="383">
          <cell r="B383" t="str">
            <v>VSM - PPO - DEPARTAMENTO PLANEACIÓN OPERATIVA</v>
          </cell>
        </row>
        <row r="384">
          <cell r="B384" t="str">
            <v>VSM - GPS-1 - COORDINACIÓN DE MANEJO DE REGALÍAS E INVENTARIOS</v>
          </cell>
        </row>
        <row r="385">
          <cell r="B385" t="str">
            <v>VSM - PLO - DEPARTAMENTO DE LOGÍSTICA</v>
          </cell>
        </row>
        <row r="386">
          <cell r="B386" t="str">
            <v>VSM - GAS - GERENCIA DE GAS</v>
          </cell>
        </row>
        <row r="387">
          <cell r="B387" t="str">
            <v>VSM - GAS-1 - COORDINACIÓN DE GESTIÓN DE NEGOCIOS</v>
          </cell>
        </row>
        <row r="388">
          <cell r="B388" t="str">
            <v>VSM - GAS-2 - COORDINACIÓN DE VENTAS Y CONTRATACIÓN</v>
          </cell>
        </row>
        <row r="389">
          <cell r="B389" t="str">
            <v>VSM - GAS-3 - COORDINACIÓN DEL CENTRO DE COMERCIALIZACIÓN DE GAS</v>
          </cell>
        </row>
        <row r="390">
          <cell r="B390" t="str">
            <v>VSM - GCN - GERENCIA DE COMERCIALIZACIÓN NACIONAL</v>
          </cell>
        </row>
        <row r="391">
          <cell r="B391" t="str">
            <v>VSM - GCN-1 - COORDINACIÓN DE ADMINISTRACIÓN DE VENTAS</v>
          </cell>
        </row>
        <row r="392">
          <cell r="B392" t="str">
            <v>VSM - GCN-2 - COORDINACIÓN DE ZONAS DE FRONTERAS Y PLANTAS DE ABASTO</v>
          </cell>
        </row>
        <row r="393">
          <cell r="B393" t="str">
            <v>VSM - GCI - GERENCIA DE COMERCIALIZACIÓN INTERNACIONAL</v>
          </cell>
        </row>
        <row r="394">
          <cell r="B394" t="str">
            <v>VSM - GCI-1 - COORDINACIÓN DE NEGOCIACIÓN DE CRUDOS Y PRODUCTOS (TRADING)</v>
          </cell>
        </row>
        <row r="395">
          <cell r="B395" t="str">
            <v>VSM - GCI-2 - COORDINACIÓN DE OPERACIONES</v>
          </cell>
        </row>
        <row r="396">
          <cell r="B396" t="str">
            <v>VSM - GCI-3 - COORDINACIÓN DE ANÁLISIS DE MERCADOS Y COBERTURA DE RIESGOS</v>
          </cell>
        </row>
        <row r="397">
          <cell r="B397" t="str">
            <v>VSM - PME - DEPARTAMENTO DE MERCADEO</v>
          </cell>
        </row>
      </sheetData>
      <sheetData sheetId="1"/>
      <sheetData sheetId="2"/>
      <sheetData sheetId="3"/>
      <sheetData sheetId="4"/>
      <sheetData sheetId="5"/>
      <sheetData sheetId="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IU"/>
      <sheetName val="PRESTA"/>
      <sheetName val="BASE CTOS"/>
      <sheetName val="Gráfico1"/>
      <sheetName val="BASE"/>
      <sheetName val="1 PRESUP. COLECTOR PPAL"/>
      <sheetName val="APU COLECTOR PPAL"/>
      <sheetName val="2 PRESUP. INTERCEPTOR"/>
      <sheetName val="APU INTERCEPTOR"/>
      <sheetName val="3 PRESUP. TRAMOS OPTIMIZADOS"/>
      <sheetName val="APU TRAMOS OPTIMIZADOS"/>
      <sheetName val="4 PRESUP. TRAMOS PROYECTADOS"/>
      <sheetName val="APU TRAMOS PROYECTADOS"/>
      <sheetName val="5 PRESUP. TRAM PROY ZONA INUNDA"/>
      <sheetName val="APU TRAMOS PROY ZONA INUNDA"/>
      <sheetName val="6 PRESUP. IMPULSIÓN"/>
      <sheetName val="APU IMPULSIÓN"/>
      <sheetName val="7 PRESUP. OBRAS EBAR"/>
      <sheetName val="APU OBRAS EBAR"/>
      <sheetName val="8 ESTACION ELEVADORA"/>
      <sheetName val="APU ESTACION ELEVADORA"/>
      <sheetName val="9 ESTACI ELEVADORA ZONA INUNDA."/>
      <sheetName val="10 LAGUNA DE OXIDACIÓN"/>
      <sheetName val="APU LAGUNA DE OXIDACIÓN"/>
      <sheetName val="APU ESTACION ELEVADORA INUNDA"/>
      <sheetName val="LAGUNA DE OXIDACIÓN"/>
      <sheetName val="APU LAGUNA OXIDACION"/>
      <sheetName val="APU LAGUNA DE OXIDACIÓN 2"/>
      <sheetName val="OBRA CIVIL E INSTALACIÓN TOTAL"/>
      <sheetName val="SUMINISTRO TOTAL"/>
      <sheetName val="RESUMEN DE OBRAS"/>
      <sheetName val="RESUMEN "/>
      <sheetName val="CONSOLIDADO"/>
      <sheetName val="PLAN FINANCIERO"/>
    </sheetNames>
    <sheetDataSet>
      <sheetData sheetId="0"/>
      <sheetData sheetId="1"/>
      <sheetData sheetId="2">
        <row r="117">
          <cell r="B117">
            <v>443028.12030000001</v>
          </cell>
        </row>
      </sheetData>
      <sheetData sheetId="3" refreshError="1"/>
      <sheetData sheetId="4">
        <row r="524">
          <cell r="D524">
            <v>15000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0"/>
      <sheetName val="41"/>
      <sheetName val="42"/>
      <sheetName val="43"/>
      <sheetName val="44"/>
      <sheetName val="45"/>
      <sheetName val="46"/>
      <sheetName val="47"/>
      <sheetName val="48"/>
    </sheetNames>
    <sheetDataSet>
      <sheetData sheetId="0"/>
      <sheetData sheetId="1"/>
      <sheetData sheetId="2"/>
      <sheetData sheetId="3"/>
      <sheetData sheetId="4"/>
      <sheetData sheetId="5"/>
      <sheetData sheetId="6">
        <row r="3">
          <cell r="D3" t="str">
            <v>DOCUMENTO CDP</v>
          </cell>
          <cell r="I3" t="str">
            <v>DESCRIPCION ACTIVIDAD / DOCUMENTO</v>
          </cell>
          <cell r="J3" t="str">
            <v>Fecha inicio</v>
          </cell>
          <cell r="K3" t="str">
            <v>Emisión para comentarios</v>
          </cell>
          <cell r="L3" t="str">
            <v>Aprobado con comentarios</v>
          </cell>
          <cell r="M3" t="str">
            <v>Emisión para construcción</v>
          </cell>
          <cell r="N3" t="str">
            <v>Aprobado para construcción</v>
          </cell>
          <cell r="O3" t="str">
            <v>Emisión Libros Ingeniería</v>
          </cell>
          <cell r="P3" t="str">
            <v>HORAS HOMBRE</v>
          </cell>
        </row>
        <row r="4">
          <cell r="D4" t="str">
            <v>cod_sub</v>
          </cell>
          <cell r="E4" t="str">
            <v>Area</v>
          </cell>
          <cell r="F4" t="str">
            <v>cin</v>
          </cell>
          <cell r="G4" t="str">
            <v>cod_doc</v>
          </cell>
          <cell r="H4" t="str">
            <v>consec</v>
          </cell>
          <cell r="R4">
            <v>39101</v>
          </cell>
          <cell r="S4">
            <v>39108</v>
          </cell>
          <cell r="T4">
            <v>39115</v>
          </cell>
          <cell r="U4">
            <v>39122</v>
          </cell>
          <cell r="V4">
            <v>39129</v>
          </cell>
          <cell r="W4">
            <v>39136</v>
          </cell>
          <cell r="X4">
            <v>39143</v>
          </cell>
          <cell r="Y4">
            <v>39150</v>
          </cell>
          <cell r="Z4">
            <v>39157</v>
          </cell>
          <cell r="AA4">
            <v>39164</v>
          </cell>
          <cell r="AB4">
            <v>39171</v>
          </cell>
          <cell r="AC4">
            <v>39178</v>
          </cell>
          <cell r="AD4">
            <v>39185</v>
          </cell>
          <cell r="AE4">
            <v>39192</v>
          </cell>
          <cell r="AF4">
            <v>39199</v>
          </cell>
          <cell r="AG4">
            <v>39206</v>
          </cell>
          <cell r="AH4">
            <v>39213</v>
          </cell>
          <cell r="AI4">
            <v>39220</v>
          </cell>
          <cell r="AJ4">
            <v>39227</v>
          </cell>
          <cell r="AK4">
            <v>39234</v>
          </cell>
          <cell r="AL4">
            <v>39241</v>
          </cell>
          <cell r="AM4">
            <v>39248</v>
          </cell>
          <cell r="AN4">
            <v>39255</v>
          </cell>
          <cell r="AO4">
            <v>39262</v>
          </cell>
          <cell r="AP4">
            <v>39269</v>
          </cell>
          <cell r="AQ4">
            <v>39276</v>
          </cell>
          <cell r="AR4">
            <v>39283</v>
          </cell>
          <cell r="AS4">
            <v>39290</v>
          </cell>
          <cell r="AT4">
            <v>39297</v>
          </cell>
          <cell r="AU4">
            <v>39304</v>
          </cell>
          <cell r="AV4">
            <v>39311</v>
          </cell>
          <cell r="AW4">
            <v>39318</v>
          </cell>
          <cell r="AX4">
            <v>39325</v>
          </cell>
          <cell r="AY4">
            <v>39332</v>
          </cell>
          <cell r="AZ4">
            <v>39339</v>
          </cell>
          <cell r="BA4">
            <v>39346</v>
          </cell>
          <cell r="BB4">
            <v>39353</v>
          </cell>
          <cell r="BC4">
            <v>39360</v>
          </cell>
          <cell r="BD4">
            <v>39367</v>
          </cell>
          <cell r="BE4">
            <v>39374</v>
          </cell>
          <cell r="BF4">
            <v>39381</v>
          </cell>
          <cell r="BG4">
            <v>39388</v>
          </cell>
          <cell r="BH4">
            <v>39395</v>
          </cell>
          <cell r="BI4">
            <v>39402</v>
          </cell>
          <cell r="BJ4">
            <v>39409</v>
          </cell>
          <cell r="BK4">
            <v>39416</v>
          </cell>
          <cell r="BL4">
            <v>39423</v>
          </cell>
          <cell r="BM4">
            <v>39430</v>
          </cell>
          <cell r="BN4">
            <v>39437</v>
          </cell>
          <cell r="BO4">
            <v>39444</v>
          </cell>
          <cell r="BP4">
            <v>39451</v>
          </cell>
          <cell r="BQ4">
            <v>39458</v>
          </cell>
          <cell r="BR4">
            <v>39465</v>
          </cell>
          <cell r="BS4">
            <v>39472</v>
          </cell>
          <cell r="BT4">
            <v>39479</v>
          </cell>
          <cell r="BU4">
            <v>39486</v>
          </cell>
          <cell r="BV4">
            <v>39493</v>
          </cell>
          <cell r="BW4">
            <v>39500</v>
          </cell>
          <cell r="BX4">
            <v>39507</v>
          </cell>
          <cell r="BY4">
            <v>39514</v>
          </cell>
          <cell r="BZ4">
            <v>39521</v>
          </cell>
          <cell r="CA4">
            <v>39528</v>
          </cell>
          <cell r="CB4">
            <v>39535</v>
          </cell>
          <cell r="CC4">
            <v>39542</v>
          </cell>
          <cell r="CD4">
            <v>39549</v>
          </cell>
          <cell r="CE4">
            <v>39556</v>
          </cell>
          <cell r="CF4">
            <v>39563</v>
          </cell>
          <cell r="CG4">
            <v>39570</v>
          </cell>
          <cell r="CH4">
            <v>39577</v>
          </cell>
          <cell r="CI4">
            <v>39584</v>
          </cell>
          <cell r="CJ4">
            <v>39591</v>
          </cell>
          <cell r="CK4">
            <v>39598</v>
          </cell>
        </row>
        <row r="5">
          <cell r="D5" t="str">
            <v>01</v>
          </cell>
          <cell r="E5" t="str">
            <v>46</v>
          </cell>
          <cell r="F5" t="str">
            <v>P03</v>
          </cell>
          <cell r="H5" t="str">
            <v>001</v>
          </cell>
          <cell r="I5" t="str">
            <v>DIAGRAMAS DE FLUJO DE PROCESOS HIDROGENO DE BALANCE</v>
          </cell>
          <cell r="J5">
            <v>39156</v>
          </cell>
          <cell r="K5">
            <v>39185</v>
          </cell>
          <cell r="L5">
            <v>39199</v>
          </cell>
          <cell r="M5">
            <v>39261</v>
          </cell>
          <cell r="N5">
            <v>39275</v>
          </cell>
          <cell r="O5">
            <v>39476</v>
          </cell>
          <cell r="P5">
            <v>147.65506756756756</v>
          </cell>
          <cell r="Q5" t="str">
            <v>P</v>
          </cell>
          <cell r="R5">
            <v>0</v>
          </cell>
          <cell r="S5">
            <v>0</v>
          </cell>
          <cell r="T5">
            <v>0</v>
          </cell>
          <cell r="U5">
            <v>0</v>
          </cell>
          <cell r="V5">
            <v>0</v>
          </cell>
          <cell r="W5">
            <v>0</v>
          </cell>
          <cell r="X5">
            <v>0</v>
          </cell>
          <cell r="Y5">
            <v>0</v>
          </cell>
          <cell r="Z5">
            <v>0</v>
          </cell>
          <cell r="AA5">
            <v>0</v>
          </cell>
          <cell r="AB5">
            <v>0</v>
          </cell>
          <cell r="AC5">
            <v>0</v>
          </cell>
          <cell r="AD5">
            <v>0</v>
          </cell>
          <cell r="AE5">
            <v>0.5</v>
          </cell>
          <cell r="AF5">
            <v>0.5</v>
          </cell>
          <cell r="AG5">
            <v>0.7</v>
          </cell>
          <cell r="AH5">
            <v>0.7</v>
          </cell>
          <cell r="AI5">
            <v>0.7</v>
          </cell>
          <cell r="AJ5">
            <v>0.7</v>
          </cell>
          <cell r="AK5">
            <v>0.7</v>
          </cell>
          <cell r="AL5">
            <v>0.7</v>
          </cell>
          <cell r="AM5">
            <v>0.7</v>
          </cell>
          <cell r="AN5">
            <v>0.7</v>
          </cell>
          <cell r="AO5">
            <v>0.7</v>
          </cell>
          <cell r="AP5">
            <v>0.7</v>
          </cell>
          <cell r="AQ5">
            <v>0.95</v>
          </cell>
          <cell r="AR5">
            <v>0.95</v>
          </cell>
          <cell r="AS5">
            <v>0.95</v>
          </cell>
          <cell r="AT5">
            <v>0.95</v>
          </cell>
          <cell r="AU5">
            <v>0.95</v>
          </cell>
          <cell r="AV5">
            <v>0.95</v>
          </cell>
          <cell r="AW5">
            <v>0.95</v>
          </cell>
          <cell r="AX5">
            <v>0.95</v>
          </cell>
          <cell r="AY5">
            <v>0.95</v>
          </cell>
          <cell r="AZ5">
            <v>0.95</v>
          </cell>
          <cell r="BA5">
            <v>0.95</v>
          </cell>
          <cell r="BB5">
            <v>0.95</v>
          </cell>
          <cell r="BC5">
            <v>0.95</v>
          </cell>
          <cell r="BD5">
            <v>0.95</v>
          </cell>
          <cell r="BE5">
            <v>0.95</v>
          </cell>
          <cell r="BF5">
            <v>0.95</v>
          </cell>
          <cell r="BG5">
            <v>0.95</v>
          </cell>
          <cell r="BH5">
            <v>0.95</v>
          </cell>
          <cell r="BI5">
            <v>0.95</v>
          </cell>
          <cell r="BJ5">
            <v>0.95</v>
          </cell>
          <cell r="BK5">
            <v>0.95</v>
          </cell>
          <cell r="BL5">
            <v>0.95</v>
          </cell>
          <cell r="BM5">
            <v>0.95</v>
          </cell>
          <cell r="BN5">
            <v>0.95</v>
          </cell>
          <cell r="BO5">
            <v>0.95</v>
          </cell>
          <cell r="BP5">
            <v>0.95</v>
          </cell>
          <cell r="BQ5">
            <v>0.95</v>
          </cell>
          <cell r="BR5">
            <v>0.95</v>
          </cell>
          <cell r="BS5">
            <v>0.95</v>
          </cell>
          <cell r="BT5">
            <v>1</v>
          </cell>
          <cell r="BU5">
            <v>1</v>
          </cell>
          <cell r="BV5">
            <v>1</v>
          </cell>
          <cell r="BW5">
            <v>1</v>
          </cell>
          <cell r="BX5">
            <v>1</v>
          </cell>
          <cell r="BY5">
            <v>1</v>
          </cell>
          <cell r="BZ5">
            <v>1</v>
          </cell>
          <cell r="CA5">
            <v>1</v>
          </cell>
          <cell r="CB5">
            <v>1</v>
          </cell>
          <cell r="CC5">
            <v>1</v>
          </cell>
          <cell r="CD5">
            <v>1</v>
          </cell>
          <cell r="CE5">
            <v>1</v>
          </cell>
          <cell r="CF5">
            <v>1</v>
          </cell>
          <cell r="CG5">
            <v>1</v>
          </cell>
          <cell r="CH5">
            <v>1</v>
          </cell>
          <cell r="CI5">
            <v>1</v>
          </cell>
          <cell r="CJ5">
            <v>1</v>
          </cell>
          <cell r="CK5">
            <v>1</v>
          </cell>
        </row>
        <row r="6">
          <cell r="J6">
            <v>39156</v>
          </cell>
          <cell r="K6">
            <v>39185</v>
          </cell>
          <cell r="L6">
            <v>39330</v>
          </cell>
          <cell r="M6">
            <v>39485</v>
          </cell>
          <cell r="N6">
            <v>39499</v>
          </cell>
          <cell r="O6">
            <v>39642</v>
          </cell>
          <cell r="Q6" t="str">
            <v>R</v>
          </cell>
          <cell r="R6">
            <v>0</v>
          </cell>
          <cell r="S6">
            <v>0</v>
          </cell>
          <cell r="T6">
            <v>0</v>
          </cell>
          <cell r="U6">
            <v>0</v>
          </cell>
          <cell r="V6">
            <v>0</v>
          </cell>
          <cell r="W6">
            <v>0</v>
          </cell>
          <cell r="X6">
            <v>0</v>
          </cell>
          <cell r="Y6">
            <v>0</v>
          </cell>
          <cell r="Z6">
            <v>0</v>
          </cell>
          <cell r="AA6">
            <v>0</v>
          </cell>
          <cell r="AB6">
            <v>0</v>
          </cell>
          <cell r="AC6">
            <v>0</v>
          </cell>
          <cell r="AD6">
            <v>0</v>
          </cell>
          <cell r="AE6">
            <v>0.5</v>
          </cell>
          <cell r="AF6">
            <v>0.5</v>
          </cell>
          <cell r="AG6">
            <v>0.5</v>
          </cell>
          <cell r="AH6">
            <v>0.5</v>
          </cell>
          <cell r="AI6">
            <v>0.5</v>
          </cell>
          <cell r="AJ6">
            <v>0.5</v>
          </cell>
          <cell r="AK6">
            <v>0.5</v>
          </cell>
          <cell r="AL6">
            <v>0.5</v>
          </cell>
          <cell r="AM6">
            <v>0.5</v>
          </cell>
          <cell r="AN6">
            <v>0.5</v>
          </cell>
          <cell r="AO6">
            <v>0.5</v>
          </cell>
          <cell r="AP6">
            <v>0.5</v>
          </cell>
          <cell r="AQ6">
            <v>0.5</v>
          </cell>
          <cell r="AR6">
            <v>0.5</v>
          </cell>
          <cell r="AS6">
            <v>0.5</v>
          </cell>
          <cell r="AT6">
            <v>0.5</v>
          </cell>
          <cell r="AU6">
            <v>0.5</v>
          </cell>
          <cell r="AV6">
            <v>0.5</v>
          </cell>
          <cell r="AW6">
            <v>0.5</v>
          </cell>
          <cell r="AX6">
            <v>0.5</v>
          </cell>
          <cell r="AY6">
            <v>0.7</v>
          </cell>
          <cell r="AZ6">
            <v>0.7</v>
          </cell>
          <cell r="BA6">
            <v>0.7</v>
          </cell>
          <cell r="BB6">
            <v>0.7</v>
          </cell>
          <cell r="BC6">
            <v>0.7</v>
          </cell>
          <cell r="BD6">
            <v>0.7</v>
          </cell>
          <cell r="BE6">
            <v>0.7</v>
          </cell>
          <cell r="BF6">
            <v>0.7</v>
          </cell>
          <cell r="BG6">
            <v>0.7</v>
          </cell>
          <cell r="BH6">
            <v>0.7</v>
          </cell>
          <cell r="BI6">
            <v>0.7</v>
          </cell>
          <cell r="BJ6">
            <v>0.7</v>
          </cell>
          <cell r="BK6">
            <v>0.7</v>
          </cell>
          <cell r="BL6">
            <v>0.7</v>
          </cell>
          <cell r="BM6">
            <v>0.7</v>
          </cell>
          <cell r="BN6">
            <v>0.7</v>
          </cell>
          <cell r="BO6">
            <v>0.7</v>
          </cell>
          <cell r="BP6">
            <v>0.7</v>
          </cell>
          <cell r="BQ6">
            <v>0.7</v>
          </cell>
          <cell r="BR6">
            <v>0.7</v>
          </cell>
          <cell r="BS6">
            <v>0.7</v>
          </cell>
          <cell r="BT6">
            <v>0.7</v>
          </cell>
          <cell r="BU6">
            <v>0.7</v>
          </cell>
          <cell r="BV6">
            <v>0.7</v>
          </cell>
          <cell r="BW6">
            <v>0.95</v>
          </cell>
          <cell r="BX6">
            <v>0.95</v>
          </cell>
          <cell r="BY6">
            <v>0.95</v>
          </cell>
          <cell r="BZ6">
            <v>0.95</v>
          </cell>
          <cell r="CA6">
            <v>0.95</v>
          </cell>
          <cell r="CB6">
            <v>0.95</v>
          </cell>
          <cell r="CC6">
            <v>0.95</v>
          </cell>
          <cell r="CD6">
            <v>0.95</v>
          </cell>
          <cell r="CE6">
            <v>0.95</v>
          </cell>
          <cell r="CF6">
            <v>0.95</v>
          </cell>
          <cell r="CG6">
            <v>0.95</v>
          </cell>
          <cell r="CH6">
            <v>0.95</v>
          </cell>
          <cell r="CI6">
            <v>0.95</v>
          </cell>
          <cell r="CJ6">
            <v>0.95</v>
          </cell>
          <cell r="CK6">
            <v>0.95</v>
          </cell>
        </row>
        <row r="7">
          <cell r="Q7" t="str">
            <v>E</v>
          </cell>
          <cell r="AB7">
            <v>0.1</v>
          </cell>
          <cell r="AC7">
            <v>0.5</v>
          </cell>
          <cell r="AD7">
            <v>0.5</v>
          </cell>
          <cell r="AE7">
            <v>0.5</v>
          </cell>
          <cell r="AF7">
            <v>0.5</v>
          </cell>
          <cell r="AG7">
            <v>0.5</v>
          </cell>
          <cell r="AH7">
            <v>0.5</v>
          </cell>
          <cell r="AI7">
            <v>0.7</v>
          </cell>
          <cell r="AJ7">
            <v>0.7</v>
          </cell>
          <cell r="AK7">
            <v>0.7</v>
          </cell>
          <cell r="AL7">
            <v>0.7</v>
          </cell>
          <cell r="AM7">
            <v>0.7</v>
          </cell>
          <cell r="AN7">
            <v>0.7</v>
          </cell>
          <cell r="AO7">
            <v>0.7</v>
          </cell>
          <cell r="AP7">
            <v>0.7</v>
          </cell>
          <cell r="AQ7">
            <v>0.7</v>
          </cell>
          <cell r="AR7">
            <v>0.7</v>
          </cell>
          <cell r="AS7">
            <v>0.7</v>
          </cell>
          <cell r="AT7">
            <v>0.7</v>
          </cell>
          <cell r="AU7">
            <v>0.7</v>
          </cell>
          <cell r="AV7">
            <v>0.7</v>
          </cell>
          <cell r="AW7">
            <v>0.7</v>
          </cell>
          <cell r="AX7">
            <v>0.7</v>
          </cell>
          <cell r="AY7">
            <v>0.7</v>
          </cell>
          <cell r="AZ7">
            <v>0.7</v>
          </cell>
          <cell r="BA7">
            <v>0.7</v>
          </cell>
          <cell r="BB7">
            <v>0.7</v>
          </cell>
          <cell r="BC7">
            <v>0.7</v>
          </cell>
          <cell r="BD7">
            <v>0.7</v>
          </cell>
          <cell r="BE7">
            <v>0.7</v>
          </cell>
          <cell r="BF7">
            <v>0.7</v>
          </cell>
          <cell r="BG7">
            <v>0.7</v>
          </cell>
          <cell r="BH7">
            <v>0.7</v>
          </cell>
          <cell r="BI7">
            <v>0.7</v>
          </cell>
          <cell r="BJ7">
            <v>0.7</v>
          </cell>
          <cell r="BK7">
            <v>0.7</v>
          </cell>
          <cell r="BL7">
            <v>0.7</v>
          </cell>
          <cell r="BM7">
            <v>0.7</v>
          </cell>
          <cell r="BN7">
            <v>0.7</v>
          </cell>
          <cell r="BO7">
            <v>0.7</v>
          </cell>
          <cell r="BP7">
            <v>0.7</v>
          </cell>
          <cell r="BQ7">
            <v>0.7</v>
          </cell>
          <cell r="BR7">
            <v>0.7</v>
          </cell>
          <cell r="BS7">
            <v>0.7</v>
          </cell>
          <cell r="BT7">
            <v>0.7</v>
          </cell>
          <cell r="BU7">
            <v>0.7</v>
          </cell>
          <cell r="BV7">
            <v>0.7</v>
          </cell>
          <cell r="BW7">
            <v>0.7</v>
          </cell>
          <cell r="BX7">
            <v>0.7</v>
          </cell>
          <cell r="BY7">
            <v>0.7</v>
          </cell>
          <cell r="BZ7">
            <v>0.7</v>
          </cell>
          <cell r="CA7">
            <v>0.7</v>
          </cell>
          <cell r="CB7">
            <v>0.7</v>
          </cell>
          <cell r="CC7">
            <v>0.7</v>
          </cell>
          <cell r="CD7">
            <v>0</v>
          </cell>
          <cell r="CE7">
            <v>0</v>
          </cell>
          <cell r="CF7">
            <v>0</v>
          </cell>
          <cell r="CG7">
            <v>0</v>
          </cell>
          <cell r="CH7">
            <v>0</v>
          </cell>
          <cell r="CI7">
            <v>0</v>
          </cell>
          <cell r="CJ7">
            <v>0</v>
          </cell>
          <cell r="CK7">
            <v>0</v>
          </cell>
        </row>
        <row r="8">
          <cell r="D8" t="str">
            <v>01</v>
          </cell>
          <cell r="E8" t="str">
            <v>46</v>
          </cell>
          <cell r="F8" t="str">
            <v>P01</v>
          </cell>
          <cell r="G8" t="str">
            <v>TEC</v>
          </cell>
          <cell r="H8" t="str">
            <v>001</v>
          </cell>
          <cell r="I8" t="str">
            <v>BASES DE DISENO DE PROCESOS COMPRESOR DE HIDROGENO - ETILENO II</v>
          </cell>
          <cell r="J8">
            <v>39149</v>
          </cell>
          <cell r="K8">
            <v>39163</v>
          </cell>
          <cell r="L8">
            <v>39177</v>
          </cell>
          <cell r="M8">
            <v>39228</v>
          </cell>
          <cell r="N8">
            <v>39242</v>
          </cell>
          <cell r="O8">
            <v>39476</v>
          </cell>
          <cell r="P8">
            <v>147.65506756756756</v>
          </cell>
          <cell r="Q8" t="str">
            <v>P</v>
          </cell>
          <cell r="R8">
            <v>0</v>
          </cell>
          <cell r="S8">
            <v>0</v>
          </cell>
          <cell r="T8">
            <v>0</v>
          </cell>
          <cell r="U8">
            <v>0</v>
          </cell>
          <cell r="V8">
            <v>0</v>
          </cell>
          <cell r="W8">
            <v>0</v>
          </cell>
          <cell r="X8">
            <v>0</v>
          </cell>
          <cell r="Y8">
            <v>0</v>
          </cell>
          <cell r="Z8">
            <v>0</v>
          </cell>
          <cell r="AA8">
            <v>0.5</v>
          </cell>
          <cell r="AB8">
            <v>0.5</v>
          </cell>
          <cell r="AC8">
            <v>0.7</v>
          </cell>
          <cell r="AD8">
            <v>0.7</v>
          </cell>
          <cell r="AE8">
            <v>0.7</v>
          </cell>
          <cell r="AF8">
            <v>0.7</v>
          </cell>
          <cell r="AG8">
            <v>0.7</v>
          </cell>
          <cell r="AH8">
            <v>0.7</v>
          </cell>
          <cell r="AI8">
            <v>0.7</v>
          </cell>
          <cell r="AJ8">
            <v>0.7</v>
          </cell>
          <cell r="AK8">
            <v>0.7</v>
          </cell>
          <cell r="AL8">
            <v>0.7</v>
          </cell>
          <cell r="AM8">
            <v>0.95</v>
          </cell>
          <cell r="AN8">
            <v>0.95</v>
          </cell>
          <cell r="AO8">
            <v>0.95</v>
          </cell>
          <cell r="AP8">
            <v>0.95</v>
          </cell>
          <cell r="AQ8">
            <v>0.95</v>
          </cell>
          <cell r="AR8">
            <v>0.95</v>
          </cell>
          <cell r="AS8">
            <v>0.95</v>
          </cell>
          <cell r="AT8">
            <v>0.95</v>
          </cell>
          <cell r="AU8">
            <v>0.95</v>
          </cell>
          <cell r="AV8">
            <v>0.95</v>
          </cell>
          <cell r="AW8">
            <v>0.95</v>
          </cell>
          <cell r="AX8">
            <v>0.95</v>
          </cell>
          <cell r="AY8">
            <v>0.95</v>
          </cell>
          <cell r="AZ8">
            <v>0.95</v>
          </cell>
          <cell r="BA8">
            <v>0.95</v>
          </cell>
          <cell r="BB8">
            <v>0.95</v>
          </cell>
          <cell r="BC8">
            <v>0.95</v>
          </cell>
          <cell r="BD8">
            <v>0.95</v>
          </cell>
          <cell r="BE8">
            <v>0.95</v>
          </cell>
          <cell r="BF8">
            <v>0.95</v>
          </cell>
          <cell r="BG8">
            <v>0.95</v>
          </cell>
          <cell r="BH8">
            <v>0.95</v>
          </cell>
          <cell r="BI8">
            <v>0.95</v>
          </cell>
          <cell r="BJ8">
            <v>0.95</v>
          </cell>
          <cell r="BK8">
            <v>0.95</v>
          </cell>
          <cell r="BL8">
            <v>0.95</v>
          </cell>
          <cell r="BM8">
            <v>0.95</v>
          </cell>
          <cell r="BN8">
            <v>0.95</v>
          </cell>
          <cell r="BO8">
            <v>0.95</v>
          </cell>
          <cell r="BP8">
            <v>0.95</v>
          </cell>
          <cell r="BQ8">
            <v>0.95</v>
          </cell>
          <cell r="BR8">
            <v>0.95</v>
          </cell>
          <cell r="BS8">
            <v>0.95</v>
          </cell>
          <cell r="BT8">
            <v>1</v>
          </cell>
          <cell r="BU8">
            <v>1</v>
          </cell>
          <cell r="BV8">
            <v>1</v>
          </cell>
          <cell r="BW8">
            <v>1</v>
          </cell>
          <cell r="BX8">
            <v>1</v>
          </cell>
          <cell r="BY8">
            <v>1</v>
          </cell>
          <cell r="BZ8">
            <v>1</v>
          </cell>
          <cell r="CA8">
            <v>1</v>
          </cell>
          <cell r="CB8">
            <v>1</v>
          </cell>
          <cell r="CC8">
            <v>1</v>
          </cell>
          <cell r="CD8">
            <v>1</v>
          </cell>
          <cell r="CE8">
            <v>1</v>
          </cell>
          <cell r="CF8">
            <v>1</v>
          </cell>
          <cell r="CG8">
            <v>1</v>
          </cell>
          <cell r="CH8">
            <v>1</v>
          </cell>
          <cell r="CI8">
            <v>1</v>
          </cell>
          <cell r="CJ8">
            <v>1</v>
          </cell>
          <cell r="CK8">
            <v>1</v>
          </cell>
        </row>
        <row r="9">
          <cell r="J9">
            <v>39149</v>
          </cell>
          <cell r="K9">
            <v>39163</v>
          </cell>
          <cell r="L9">
            <v>39330</v>
          </cell>
          <cell r="M9">
            <v>39483</v>
          </cell>
          <cell r="N9">
            <v>39497</v>
          </cell>
          <cell r="O9">
            <v>39642</v>
          </cell>
          <cell r="Q9" t="str">
            <v>R</v>
          </cell>
          <cell r="R9">
            <v>0</v>
          </cell>
          <cell r="S9">
            <v>0</v>
          </cell>
          <cell r="T9">
            <v>0</v>
          </cell>
          <cell r="U9">
            <v>0</v>
          </cell>
          <cell r="V9">
            <v>0</v>
          </cell>
          <cell r="W9">
            <v>0</v>
          </cell>
          <cell r="X9">
            <v>0</v>
          </cell>
          <cell r="Y9">
            <v>0</v>
          </cell>
          <cell r="Z9">
            <v>0</v>
          </cell>
          <cell r="AA9">
            <v>0.5</v>
          </cell>
          <cell r="AB9">
            <v>0.5</v>
          </cell>
          <cell r="AC9">
            <v>0.5</v>
          </cell>
          <cell r="AD9">
            <v>0.5</v>
          </cell>
          <cell r="AE9">
            <v>0.5</v>
          </cell>
          <cell r="AF9">
            <v>0.5</v>
          </cell>
          <cell r="AG9">
            <v>0.5</v>
          </cell>
          <cell r="AH9">
            <v>0.5</v>
          </cell>
          <cell r="AI9">
            <v>0.5</v>
          </cell>
          <cell r="AJ9">
            <v>0.5</v>
          </cell>
          <cell r="AK9">
            <v>0.5</v>
          </cell>
          <cell r="AL9">
            <v>0.5</v>
          </cell>
          <cell r="AM9">
            <v>0.5</v>
          </cell>
          <cell r="AN9">
            <v>0.5</v>
          </cell>
          <cell r="AO9">
            <v>0.5</v>
          </cell>
          <cell r="AP9">
            <v>0.5</v>
          </cell>
          <cell r="AQ9">
            <v>0.5</v>
          </cell>
          <cell r="AR9">
            <v>0.5</v>
          </cell>
          <cell r="AS9">
            <v>0.5</v>
          </cell>
          <cell r="AT9">
            <v>0.5</v>
          </cell>
          <cell r="AU9">
            <v>0.5</v>
          </cell>
          <cell r="AV9">
            <v>0.5</v>
          </cell>
          <cell r="AW9">
            <v>0.5</v>
          </cell>
          <cell r="AX9">
            <v>0.5</v>
          </cell>
          <cell r="AY9">
            <v>0.7</v>
          </cell>
          <cell r="AZ9">
            <v>0.7</v>
          </cell>
          <cell r="BA9">
            <v>0.7</v>
          </cell>
          <cell r="BB9">
            <v>0.7</v>
          </cell>
          <cell r="BC9">
            <v>0.7</v>
          </cell>
          <cell r="BD9">
            <v>0.7</v>
          </cell>
          <cell r="BE9">
            <v>0.7</v>
          </cell>
          <cell r="BF9">
            <v>0.7</v>
          </cell>
          <cell r="BG9">
            <v>0.7</v>
          </cell>
          <cell r="BH9">
            <v>0.7</v>
          </cell>
          <cell r="BI9">
            <v>0.7</v>
          </cell>
          <cell r="BJ9">
            <v>0.7</v>
          </cell>
          <cell r="BK9">
            <v>0.7</v>
          </cell>
          <cell r="BL9">
            <v>0.7</v>
          </cell>
          <cell r="BM9">
            <v>0.7</v>
          </cell>
          <cell r="BN9">
            <v>0.7</v>
          </cell>
          <cell r="BO9">
            <v>0.7</v>
          </cell>
          <cell r="BP9">
            <v>0.7</v>
          </cell>
          <cell r="BQ9">
            <v>0.7</v>
          </cell>
          <cell r="BR9">
            <v>0.7</v>
          </cell>
          <cell r="BS9">
            <v>0.7</v>
          </cell>
          <cell r="BT9">
            <v>0.7</v>
          </cell>
          <cell r="BU9">
            <v>0.7</v>
          </cell>
          <cell r="BV9">
            <v>0.7</v>
          </cell>
          <cell r="BW9">
            <v>0.95</v>
          </cell>
          <cell r="BX9">
            <v>0.95</v>
          </cell>
          <cell r="BY9">
            <v>0.95</v>
          </cell>
          <cell r="BZ9">
            <v>0.95</v>
          </cell>
          <cell r="CA9">
            <v>0.95</v>
          </cell>
          <cell r="CB9">
            <v>0.95</v>
          </cell>
          <cell r="CC9">
            <v>0.95</v>
          </cell>
          <cell r="CD9">
            <v>0.95</v>
          </cell>
          <cell r="CE9">
            <v>0.95</v>
          </cell>
          <cell r="CF9">
            <v>0.95</v>
          </cell>
          <cell r="CG9">
            <v>0.95</v>
          </cell>
          <cell r="CH9">
            <v>0.95</v>
          </cell>
          <cell r="CI9">
            <v>0.95</v>
          </cell>
          <cell r="CJ9">
            <v>0.95</v>
          </cell>
          <cell r="CK9">
            <v>0.95</v>
          </cell>
        </row>
        <row r="10">
          <cell r="Q10" t="str">
            <v>E</v>
          </cell>
          <cell r="AB10">
            <v>0.45</v>
          </cell>
          <cell r="AC10">
            <v>0.5</v>
          </cell>
          <cell r="AD10">
            <v>0.5</v>
          </cell>
          <cell r="AE10">
            <v>0.5</v>
          </cell>
          <cell r="AF10">
            <v>0.5</v>
          </cell>
          <cell r="AG10">
            <v>0.5</v>
          </cell>
          <cell r="AH10">
            <v>0.5</v>
          </cell>
          <cell r="AI10">
            <v>0.5</v>
          </cell>
          <cell r="AJ10">
            <v>0.5</v>
          </cell>
          <cell r="AK10">
            <v>0.5</v>
          </cell>
          <cell r="AL10">
            <v>0.5</v>
          </cell>
          <cell r="AM10">
            <v>0.7</v>
          </cell>
          <cell r="AN10">
            <v>0.7</v>
          </cell>
          <cell r="AO10">
            <v>0.7</v>
          </cell>
          <cell r="AP10">
            <v>0.7</v>
          </cell>
          <cell r="AQ10">
            <v>0.7</v>
          </cell>
          <cell r="AR10">
            <v>0.7</v>
          </cell>
          <cell r="AS10">
            <v>0.7</v>
          </cell>
          <cell r="AT10">
            <v>0.7</v>
          </cell>
          <cell r="AU10">
            <v>0.7</v>
          </cell>
          <cell r="AV10">
            <v>0.7</v>
          </cell>
          <cell r="AW10">
            <v>0.7</v>
          </cell>
          <cell r="AX10">
            <v>0.7</v>
          </cell>
          <cell r="AY10">
            <v>0.7</v>
          </cell>
          <cell r="AZ10">
            <v>0.7</v>
          </cell>
          <cell r="BA10">
            <v>0.7</v>
          </cell>
          <cell r="BB10">
            <v>0.7</v>
          </cell>
          <cell r="BC10">
            <v>0.7</v>
          </cell>
          <cell r="BD10">
            <v>0.7</v>
          </cell>
          <cell r="BE10">
            <v>0.7</v>
          </cell>
          <cell r="BF10">
            <v>0.7</v>
          </cell>
          <cell r="BG10">
            <v>0.7</v>
          </cell>
          <cell r="BH10">
            <v>0.7</v>
          </cell>
          <cell r="BI10">
            <v>0.7</v>
          </cell>
          <cell r="BJ10">
            <v>0.7</v>
          </cell>
          <cell r="BK10">
            <v>0.7</v>
          </cell>
          <cell r="BL10">
            <v>0.7</v>
          </cell>
          <cell r="BM10">
            <v>0.7</v>
          </cell>
          <cell r="BN10">
            <v>0.7</v>
          </cell>
          <cell r="BO10">
            <v>0.7</v>
          </cell>
          <cell r="BP10">
            <v>0.7</v>
          </cell>
          <cell r="BQ10">
            <v>0.7</v>
          </cell>
          <cell r="BR10">
            <v>0.7</v>
          </cell>
          <cell r="BS10">
            <v>0.7</v>
          </cell>
          <cell r="BT10">
            <v>0.7</v>
          </cell>
          <cell r="BU10">
            <v>0.7</v>
          </cell>
          <cell r="BV10">
            <v>0.7</v>
          </cell>
          <cell r="BW10">
            <v>0.7</v>
          </cell>
          <cell r="BX10">
            <v>0.7</v>
          </cell>
          <cell r="BY10">
            <v>0.7</v>
          </cell>
          <cell r="BZ10">
            <v>0.7</v>
          </cell>
          <cell r="CA10">
            <v>0.95</v>
          </cell>
          <cell r="CB10">
            <v>0.95</v>
          </cell>
          <cell r="CC10">
            <v>0.95</v>
          </cell>
          <cell r="CD10">
            <v>0</v>
          </cell>
          <cell r="CE10">
            <v>0</v>
          </cell>
          <cell r="CF10">
            <v>0</v>
          </cell>
          <cell r="CG10">
            <v>0</v>
          </cell>
          <cell r="CH10">
            <v>0</v>
          </cell>
          <cell r="CI10">
            <v>0</v>
          </cell>
          <cell r="CJ10">
            <v>0</v>
          </cell>
          <cell r="CK10">
            <v>0</v>
          </cell>
        </row>
        <row r="11">
          <cell r="D11" t="str">
            <v>01</v>
          </cell>
          <cell r="E11" t="str">
            <v>46</v>
          </cell>
          <cell r="F11" t="str">
            <v>P01</v>
          </cell>
          <cell r="G11" t="str">
            <v>TEC</v>
          </cell>
          <cell r="H11" t="str">
            <v>010</v>
          </cell>
          <cell r="I11" t="str">
            <v>DESCRIPCION DEL PROCESO</v>
          </cell>
          <cell r="J11">
            <v>39167</v>
          </cell>
          <cell r="K11">
            <v>39195</v>
          </cell>
          <cell r="L11">
            <v>39209</v>
          </cell>
          <cell r="M11">
            <v>39309</v>
          </cell>
          <cell r="N11">
            <v>39323</v>
          </cell>
          <cell r="O11">
            <v>39476</v>
          </cell>
          <cell r="P11">
            <v>147.65506756756756</v>
          </cell>
          <cell r="Q11" t="str">
            <v>P</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0.5</v>
          </cell>
          <cell r="AG11">
            <v>0.5</v>
          </cell>
          <cell r="AH11">
            <v>0.7</v>
          </cell>
          <cell r="AI11">
            <v>0.7</v>
          </cell>
          <cell r="AJ11">
            <v>0.7</v>
          </cell>
          <cell r="AK11">
            <v>0.7</v>
          </cell>
          <cell r="AL11">
            <v>0.7</v>
          </cell>
          <cell r="AM11">
            <v>0.7</v>
          </cell>
          <cell r="AN11">
            <v>0.7</v>
          </cell>
          <cell r="AO11">
            <v>0.7</v>
          </cell>
          <cell r="AP11">
            <v>0.7</v>
          </cell>
          <cell r="AQ11">
            <v>0.7</v>
          </cell>
          <cell r="AR11">
            <v>0.7</v>
          </cell>
          <cell r="AS11">
            <v>0.7</v>
          </cell>
          <cell r="AT11">
            <v>0.7</v>
          </cell>
          <cell r="AU11">
            <v>0.7</v>
          </cell>
          <cell r="AV11">
            <v>0.7</v>
          </cell>
          <cell r="AW11">
            <v>0.7</v>
          </cell>
          <cell r="AX11">
            <v>0.95</v>
          </cell>
          <cell r="AY11">
            <v>0.95</v>
          </cell>
          <cell r="AZ11">
            <v>0.95</v>
          </cell>
          <cell r="BA11">
            <v>0.95</v>
          </cell>
          <cell r="BB11">
            <v>0.95</v>
          </cell>
          <cell r="BC11">
            <v>0.95</v>
          </cell>
          <cell r="BD11">
            <v>0.95</v>
          </cell>
          <cell r="BE11">
            <v>0.95</v>
          </cell>
          <cell r="BF11">
            <v>0.95</v>
          </cell>
          <cell r="BG11">
            <v>0.95</v>
          </cell>
          <cell r="BH11">
            <v>0.95</v>
          </cell>
          <cell r="BI11">
            <v>0.95</v>
          </cell>
          <cell r="BJ11">
            <v>0.95</v>
          </cell>
          <cell r="BK11">
            <v>0.95</v>
          </cell>
          <cell r="BL11">
            <v>0.95</v>
          </cell>
          <cell r="BM11">
            <v>0.95</v>
          </cell>
          <cell r="BN11">
            <v>0.95</v>
          </cell>
          <cell r="BO11">
            <v>0.95</v>
          </cell>
          <cell r="BP11">
            <v>0.95</v>
          </cell>
          <cell r="BQ11">
            <v>0.95</v>
          </cell>
          <cell r="BR11">
            <v>0.95</v>
          </cell>
          <cell r="BS11">
            <v>0.95</v>
          </cell>
          <cell r="BT11">
            <v>1</v>
          </cell>
          <cell r="BU11">
            <v>1</v>
          </cell>
          <cell r="BV11">
            <v>1</v>
          </cell>
          <cell r="BW11">
            <v>1</v>
          </cell>
          <cell r="BX11">
            <v>1</v>
          </cell>
          <cell r="BY11">
            <v>1</v>
          </cell>
          <cell r="BZ11">
            <v>1</v>
          </cell>
          <cell r="CA11">
            <v>1</v>
          </cell>
          <cell r="CB11">
            <v>1</v>
          </cell>
          <cell r="CC11">
            <v>1</v>
          </cell>
          <cell r="CD11">
            <v>1</v>
          </cell>
          <cell r="CE11">
            <v>1</v>
          </cell>
          <cell r="CF11">
            <v>1</v>
          </cell>
          <cell r="CG11">
            <v>1</v>
          </cell>
          <cell r="CH11">
            <v>1</v>
          </cell>
          <cell r="CI11">
            <v>1</v>
          </cell>
          <cell r="CJ11">
            <v>1</v>
          </cell>
          <cell r="CK11">
            <v>1</v>
          </cell>
        </row>
        <row r="12">
          <cell r="J12">
            <v>39167</v>
          </cell>
          <cell r="K12">
            <v>39195</v>
          </cell>
          <cell r="L12">
            <v>39330</v>
          </cell>
          <cell r="M12">
            <v>39485</v>
          </cell>
          <cell r="N12">
            <v>39499</v>
          </cell>
          <cell r="O12">
            <v>39642</v>
          </cell>
          <cell r="Q12" t="str">
            <v>R</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0.5</v>
          </cell>
          <cell r="AG12">
            <v>0.5</v>
          </cell>
          <cell r="AH12">
            <v>0.5</v>
          </cell>
          <cell r="AI12">
            <v>0.5</v>
          </cell>
          <cell r="AJ12">
            <v>0.5</v>
          </cell>
          <cell r="AK12">
            <v>0.5</v>
          </cell>
          <cell r="AL12">
            <v>0.5</v>
          </cell>
          <cell r="AM12">
            <v>0.5</v>
          </cell>
          <cell r="AN12">
            <v>0.5</v>
          </cell>
          <cell r="AO12">
            <v>0.5</v>
          </cell>
          <cell r="AP12">
            <v>0.5</v>
          </cell>
          <cell r="AQ12">
            <v>0.5</v>
          </cell>
          <cell r="AR12">
            <v>0.5</v>
          </cell>
          <cell r="AS12">
            <v>0.5</v>
          </cell>
          <cell r="AT12">
            <v>0.5</v>
          </cell>
          <cell r="AU12">
            <v>0.5</v>
          </cell>
          <cell r="AV12">
            <v>0.5</v>
          </cell>
          <cell r="AW12">
            <v>0.5</v>
          </cell>
          <cell r="AX12">
            <v>0.5</v>
          </cell>
          <cell r="AY12">
            <v>0.7</v>
          </cell>
          <cell r="AZ12">
            <v>0.7</v>
          </cell>
          <cell r="BA12">
            <v>0.7</v>
          </cell>
          <cell r="BB12">
            <v>0.7</v>
          </cell>
          <cell r="BC12">
            <v>0.7</v>
          </cell>
          <cell r="BD12">
            <v>0.7</v>
          </cell>
          <cell r="BE12">
            <v>0.7</v>
          </cell>
          <cell r="BF12">
            <v>0.7</v>
          </cell>
          <cell r="BG12">
            <v>0.7</v>
          </cell>
          <cell r="BH12">
            <v>0.7</v>
          </cell>
          <cell r="BI12">
            <v>0.7</v>
          </cell>
          <cell r="BJ12">
            <v>0.7</v>
          </cell>
          <cell r="BK12">
            <v>0.7</v>
          </cell>
          <cell r="BL12">
            <v>0.7</v>
          </cell>
          <cell r="BM12">
            <v>0.7</v>
          </cell>
          <cell r="BN12">
            <v>0.7</v>
          </cell>
          <cell r="BO12">
            <v>0.7</v>
          </cell>
          <cell r="BP12">
            <v>0.7</v>
          </cell>
          <cell r="BQ12">
            <v>0.7</v>
          </cell>
          <cell r="BR12">
            <v>0.7</v>
          </cell>
          <cell r="BS12">
            <v>0.7</v>
          </cell>
          <cell r="BT12">
            <v>0.7</v>
          </cell>
          <cell r="BU12">
            <v>0.7</v>
          </cell>
          <cell r="BV12">
            <v>0.7</v>
          </cell>
          <cell r="BW12">
            <v>0.95</v>
          </cell>
          <cell r="BX12">
            <v>0.95</v>
          </cell>
          <cell r="BY12">
            <v>0.95</v>
          </cell>
          <cell r="BZ12">
            <v>0.95</v>
          </cell>
          <cell r="CA12">
            <v>0.95</v>
          </cell>
          <cell r="CB12">
            <v>0.95</v>
          </cell>
          <cell r="CC12">
            <v>0.95</v>
          </cell>
          <cell r="CD12">
            <v>0.95</v>
          </cell>
          <cell r="CE12">
            <v>0.95</v>
          </cell>
          <cell r="CF12">
            <v>0.95</v>
          </cell>
          <cell r="CG12">
            <v>0.95</v>
          </cell>
          <cell r="CH12">
            <v>0.95</v>
          </cell>
          <cell r="CI12">
            <v>0.95</v>
          </cell>
          <cell r="CJ12">
            <v>0.95</v>
          </cell>
          <cell r="CK12">
            <v>0.95</v>
          </cell>
        </row>
        <row r="13">
          <cell r="Q13" t="str">
            <v>E</v>
          </cell>
          <cell r="AH13">
            <v>0.25</v>
          </cell>
          <cell r="AI13">
            <v>0.25</v>
          </cell>
          <cell r="AJ13">
            <v>0.25</v>
          </cell>
          <cell r="AK13">
            <v>0.25</v>
          </cell>
          <cell r="AL13">
            <v>0.25</v>
          </cell>
          <cell r="AM13">
            <v>0.25</v>
          </cell>
          <cell r="AN13">
            <v>0.25</v>
          </cell>
          <cell r="AO13">
            <v>0.25</v>
          </cell>
          <cell r="AP13">
            <v>0.25</v>
          </cell>
          <cell r="AQ13">
            <v>0.5</v>
          </cell>
          <cell r="AR13">
            <v>0.7</v>
          </cell>
          <cell r="AS13">
            <v>0.7</v>
          </cell>
          <cell r="AT13">
            <v>0.7</v>
          </cell>
          <cell r="AU13">
            <v>0.7</v>
          </cell>
          <cell r="AV13">
            <v>0.7</v>
          </cell>
          <cell r="AW13">
            <v>0.7</v>
          </cell>
          <cell r="AX13">
            <v>0.7</v>
          </cell>
          <cell r="AY13">
            <v>0.7</v>
          </cell>
          <cell r="AZ13">
            <v>0.7</v>
          </cell>
          <cell r="BA13">
            <v>0.7</v>
          </cell>
          <cell r="BB13">
            <v>0.7</v>
          </cell>
          <cell r="BC13">
            <v>0.7</v>
          </cell>
          <cell r="BD13">
            <v>0.7</v>
          </cell>
          <cell r="BE13">
            <v>0.7</v>
          </cell>
          <cell r="BF13">
            <v>0.7</v>
          </cell>
          <cell r="BG13">
            <v>0.7</v>
          </cell>
          <cell r="BH13">
            <v>0.7</v>
          </cell>
          <cell r="BI13">
            <v>0.7</v>
          </cell>
          <cell r="BJ13">
            <v>0.7</v>
          </cell>
          <cell r="BK13">
            <v>0.7</v>
          </cell>
          <cell r="BL13">
            <v>0.7</v>
          </cell>
          <cell r="BM13">
            <v>0.7</v>
          </cell>
          <cell r="BN13">
            <v>0.7</v>
          </cell>
          <cell r="BO13">
            <v>0.7</v>
          </cell>
          <cell r="BP13">
            <v>0.7</v>
          </cell>
          <cell r="BQ13">
            <v>0.7</v>
          </cell>
          <cell r="BR13">
            <v>0.7</v>
          </cell>
          <cell r="BS13">
            <v>0.7</v>
          </cell>
          <cell r="BT13">
            <v>0.7</v>
          </cell>
          <cell r="BU13">
            <v>0.7</v>
          </cell>
          <cell r="BV13">
            <v>0.7</v>
          </cell>
          <cell r="BW13">
            <v>0.7</v>
          </cell>
          <cell r="BX13">
            <v>0.7</v>
          </cell>
          <cell r="BY13">
            <v>0.7</v>
          </cell>
          <cell r="BZ13">
            <v>0.7</v>
          </cell>
          <cell r="CA13">
            <v>0.7</v>
          </cell>
          <cell r="CB13">
            <v>0.7</v>
          </cell>
          <cell r="CC13">
            <v>0.7</v>
          </cell>
          <cell r="CD13">
            <v>0</v>
          </cell>
          <cell r="CE13">
            <v>0</v>
          </cell>
          <cell r="CF13">
            <v>0</v>
          </cell>
          <cell r="CG13">
            <v>0</v>
          </cell>
          <cell r="CH13">
            <v>0</v>
          </cell>
          <cell r="CI13">
            <v>0</v>
          </cell>
          <cell r="CJ13">
            <v>0</v>
          </cell>
          <cell r="CK13">
            <v>0</v>
          </cell>
        </row>
        <row r="14">
          <cell r="D14" t="str">
            <v>01</v>
          </cell>
          <cell r="E14" t="str">
            <v>46</v>
          </cell>
          <cell r="F14" t="str">
            <v>I03</v>
          </cell>
          <cell r="H14" t="str">
            <v>007</v>
          </cell>
          <cell r="I14" t="str">
            <v>MATRIZ DE CAUSA/EFECTO</v>
          </cell>
          <cell r="J14">
            <v>39258</v>
          </cell>
          <cell r="K14">
            <v>39283</v>
          </cell>
          <cell r="L14">
            <v>39297</v>
          </cell>
          <cell r="M14">
            <v>39303</v>
          </cell>
          <cell r="N14">
            <v>39317</v>
          </cell>
          <cell r="O14">
            <v>39476</v>
          </cell>
          <cell r="P14">
            <v>116.4264168175353</v>
          </cell>
          <cell r="Q14" t="str">
            <v>P</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0.5</v>
          </cell>
          <cell r="AT14">
            <v>0.5</v>
          </cell>
          <cell r="AU14">
            <v>0.7</v>
          </cell>
          <cell r="AV14">
            <v>0.7</v>
          </cell>
          <cell r="AW14">
            <v>0.95</v>
          </cell>
          <cell r="AX14">
            <v>0.95</v>
          </cell>
          <cell r="AY14">
            <v>0.95</v>
          </cell>
          <cell r="AZ14">
            <v>0.95</v>
          </cell>
          <cell r="BA14">
            <v>0.95</v>
          </cell>
          <cell r="BB14">
            <v>0.95</v>
          </cell>
          <cell r="BC14">
            <v>0.95</v>
          </cell>
          <cell r="BD14">
            <v>0.95</v>
          </cell>
          <cell r="BE14">
            <v>0.95</v>
          </cell>
          <cell r="BF14">
            <v>0.95</v>
          </cell>
          <cell r="BG14">
            <v>0.95</v>
          </cell>
          <cell r="BH14">
            <v>0.95</v>
          </cell>
          <cell r="BI14">
            <v>0.95</v>
          </cell>
          <cell r="BJ14">
            <v>0.95</v>
          </cell>
          <cell r="BK14">
            <v>0.95</v>
          </cell>
          <cell r="BL14">
            <v>0.95</v>
          </cell>
          <cell r="BM14">
            <v>0.95</v>
          </cell>
          <cell r="BN14">
            <v>0.95</v>
          </cell>
          <cell r="BO14">
            <v>0.95</v>
          </cell>
          <cell r="BP14">
            <v>0.95</v>
          </cell>
          <cell r="BQ14">
            <v>0.95</v>
          </cell>
          <cell r="BR14">
            <v>0.95</v>
          </cell>
          <cell r="BS14">
            <v>0.95</v>
          </cell>
          <cell r="BT14">
            <v>1</v>
          </cell>
          <cell r="BU14">
            <v>1</v>
          </cell>
          <cell r="BV14">
            <v>1</v>
          </cell>
          <cell r="BW14">
            <v>1</v>
          </cell>
          <cell r="BX14">
            <v>1</v>
          </cell>
          <cell r="BY14">
            <v>1</v>
          </cell>
          <cell r="BZ14">
            <v>1</v>
          </cell>
          <cell r="CA14">
            <v>1</v>
          </cell>
          <cell r="CB14">
            <v>1</v>
          </cell>
          <cell r="CC14">
            <v>1</v>
          </cell>
          <cell r="CD14">
            <v>1</v>
          </cell>
          <cell r="CE14">
            <v>1</v>
          </cell>
          <cell r="CF14">
            <v>1</v>
          </cell>
          <cell r="CG14">
            <v>1</v>
          </cell>
          <cell r="CH14">
            <v>1</v>
          </cell>
          <cell r="CI14">
            <v>1</v>
          </cell>
          <cell r="CJ14">
            <v>1</v>
          </cell>
          <cell r="CK14">
            <v>1</v>
          </cell>
        </row>
        <row r="15">
          <cell r="J15">
            <v>39401</v>
          </cell>
          <cell r="K15">
            <v>39415</v>
          </cell>
          <cell r="L15">
            <v>39507</v>
          </cell>
          <cell r="M15">
            <v>39521</v>
          </cell>
          <cell r="N15">
            <v>39549</v>
          </cell>
          <cell r="O15">
            <v>39642</v>
          </cell>
          <cell r="Q15" t="str">
            <v>R</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0.5</v>
          </cell>
          <cell r="BL15">
            <v>0.5</v>
          </cell>
          <cell r="BM15">
            <v>0.5</v>
          </cell>
          <cell r="BN15">
            <v>0.5</v>
          </cell>
          <cell r="BO15">
            <v>0.5</v>
          </cell>
          <cell r="BP15">
            <v>0.5</v>
          </cell>
          <cell r="BQ15">
            <v>0.5</v>
          </cell>
          <cell r="BR15">
            <v>0.5</v>
          </cell>
          <cell r="BS15">
            <v>0.5</v>
          </cell>
          <cell r="BT15">
            <v>0.5</v>
          </cell>
          <cell r="BU15">
            <v>0.5</v>
          </cell>
          <cell r="BV15">
            <v>0.5</v>
          </cell>
          <cell r="BW15">
            <v>0.5</v>
          </cell>
          <cell r="BX15">
            <v>0.5</v>
          </cell>
          <cell r="BY15">
            <v>0.7</v>
          </cell>
          <cell r="BZ15">
            <v>0.7</v>
          </cell>
          <cell r="CA15">
            <v>0.7</v>
          </cell>
          <cell r="CB15">
            <v>0.7</v>
          </cell>
          <cell r="CC15">
            <v>0.7</v>
          </cell>
          <cell r="CD15">
            <v>0.7</v>
          </cell>
          <cell r="CE15">
            <v>0.95</v>
          </cell>
          <cell r="CF15">
            <v>0.95</v>
          </cell>
          <cell r="CG15">
            <v>0.95</v>
          </cell>
          <cell r="CH15">
            <v>0.95</v>
          </cell>
          <cell r="CI15">
            <v>0.95</v>
          </cell>
          <cell r="CJ15">
            <v>0.95</v>
          </cell>
          <cell r="CK15">
            <v>0.95</v>
          </cell>
        </row>
        <row r="16">
          <cell r="Q16" t="str">
            <v>E</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0.5</v>
          </cell>
          <cell r="BK16">
            <v>0.5</v>
          </cell>
          <cell r="BL16">
            <v>0.5</v>
          </cell>
          <cell r="BM16">
            <v>0.5</v>
          </cell>
          <cell r="BN16">
            <v>0.5</v>
          </cell>
          <cell r="BO16">
            <v>0.5</v>
          </cell>
          <cell r="BP16">
            <v>0.5</v>
          </cell>
          <cell r="BQ16">
            <v>0.5</v>
          </cell>
          <cell r="BR16">
            <v>0.5</v>
          </cell>
          <cell r="BS16">
            <v>0.5</v>
          </cell>
          <cell r="BT16">
            <v>0.5</v>
          </cell>
          <cell r="BU16">
            <v>0.5</v>
          </cell>
          <cell r="BV16">
            <v>0.5</v>
          </cell>
          <cell r="BW16">
            <v>0.5</v>
          </cell>
          <cell r="BX16">
            <v>0.5</v>
          </cell>
          <cell r="BY16">
            <v>0.5</v>
          </cell>
          <cell r="BZ16">
            <v>0.5</v>
          </cell>
          <cell r="CA16">
            <v>0.5</v>
          </cell>
          <cell r="CB16">
            <v>0.5</v>
          </cell>
          <cell r="CC16">
            <v>0.5</v>
          </cell>
          <cell r="CD16">
            <v>0</v>
          </cell>
          <cell r="CE16">
            <v>0</v>
          </cell>
          <cell r="CF16">
            <v>0</v>
          </cell>
          <cell r="CG16">
            <v>0</v>
          </cell>
          <cell r="CH16">
            <v>0</v>
          </cell>
          <cell r="CI16">
            <v>0</v>
          </cell>
          <cell r="CJ16">
            <v>0</v>
          </cell>
          <cell r="CK16">
            <v>0</v>
          </cell>
        </row>
        <row r="17">
          <cell r="D17" t="str">
            <v>01</v>
          </cell>
          <cell r="E17" t="str">
            <v>46</v>
          </cell>
          <cell r="F17" t="str">
            <v>P01</v>
          </cell>
          <cell r="G17" t="str">
            <v>CAL</v>
          </cell>
          <cell r="H17" t="str">
            <v>001</v>
          </cell>
          <cell r="I17" t="str">
            <v>MEMORIA DE CALCULOS HIDRÁULICOS AREA 46 PLANTA DE ETILENO II</v>
          </cell>
          <cell r="J17">
            <v>39155</v>
          </cell>
          <cell r="K17">
            <v>39183</v>
          </cell>
          <cell r="L17">
            <v>39197</v>
          </cell>
          <cell r="M17">
            <v>39289</v>
          </cell>
          <cell r="N17">
            <v>39303</v>
          </cell>
          <cell r="O17">
            <v>39476</v>
          </cell>
          <cell r="P17">
            <v>174.02204391891894</v>
          </cell>
          <cell r="Q17" t="str">
            <v>P</v>
          </cell>
          <cell r="R17">
            <v>0</v>
          </cell>
          <cell r="S17">
            <v>0</v>
          </cell>
          <cell r="T17">
            <v>0</v>
          </cell>
          <cell r="U17">
            <v>0</v>
          </cell>
          <cell r="V17">
            <v>0</v>
          </cell>
          <cell r="W17">
            <v>0</v>
          </cell>
          <cell r="X17">
            <v>0</v>
          </cell>
          <cell r="Y17">
            <v>0</v>
          </cell>
          <cell r="Z17">
            <v>0</v>
          </cell>
          <cell r="AA17">
            <v>0</v>
          </cell>
          <cell r="AB17">
            <v>0</v>
          </cell>
          <cell r="AC17">
            <v>0</v>
          </cell>
          <cell r="AD17">
            <v>0.5</v>
          </cell>
          <cell r="AE17">
            <v>0.5</v>
          </cell>
          <cell r="AF17">
            <v>0.7</v>
          </cell>
          <cell r="AG17">
            <v>0.7</v>
          </cell>
          <cell r="AH17">
            <v>0.7</v>
          </cell>
          <cell r="AI17">
            <v>0.7</v>
          </cell>
          <cell r="AJ17">
            <v>0.7</v>
          </cell>
          <cell r="AK17">
            <v>0.7</v>
          </cell>
          <cell r="AL17">
            <v>0.7</v>
          </cell>
          <cell r="AM17">
            <v>0.7</v>
          </cell>
          <cell r="AN17">
            <v>0.7</v>
          </cell>
          <cell r="AO17">
            <v>0.7</v>
          </cell>
          <cell r="AP17">
            <v>0.7</v>
          </cell>
          <cell r="AQ17">
            <v>0.7</v>
          </cell>
          <cell r="AR17">
            <v>0.7</v>
          </cell>
          <cell r="AS17">
            <v>0.7</v>
          </cell>
          <cell r="AT17">
            <v>0.7</v>
          </cell>
          <cell r="AU17">
            <v>0.95</v>
          </cell>
          <cell r="AV17">
            <v>0.95</v>
          </cell>
          <cell r="AW17">
            <v>0.95</v>
          </cell>
          <cell r="AX17">
            <v>0.95</v>
          </cell>
          <cell r="AY17">
            <v>0.95</v>
          </cell>
          <cell r="AZ17">
            <v>0.95</v>
          </cell>
          <cell r="BA17">
            <v>0.95</v>
          </cell>
          <cell r="BB17">
            <v>0.95</v>
          </cell>
          <cell r="BC17">
            <v>0.95</v>
          </cell>
          <cell r="BD17">
            <v>0.95</v>
          </cell>
          <cell r="BE17">
            <v>0.95</v>
          </cell>
          <cell r="BF17">
            <v>0.95</v>
          </cell>
          <cell r="BG17">
            <v>0.95</v>
          </cell>
          <cell r="BH17">
            <v>0.95</v>
          </cell>
          <cell r="BI17">
            <v>0.95</v>
          </cell>
          <cell r="BJ17">
            <v>0.95</v>
          </cell>
          <cell r="BK17">
            <v>0.95</v>
          </cell>
          <cell r="BL17">
            <v>0.95</v>
          </cell>
          <cell r="BM17">
            <v>0.95</v>
          </cell>
          <cell r="BN17">
            <v>0.95</v>
          </cell>
          <cell r="BO17">
            <v>0.95</v>
          </cell>
          <cell r="BP17">
            <v>0.95</v>
          </cell>
          <cell r="BQ17">
            <v>0.95</v>
          </cell>
          <cell r="BR17">
            <v>0.95</v>
          </cell>
          <cell r="BS17">
            <v>0.95</v>
          </cell>
          <cell r="BT17">
            <v>1</v>
          </cell>
          <cell r="BU17">
            <v>1</v>
          </cell>
          <cell r="BV17">
            <v>1</v>
          </cell>
          <cell r="BW17">
            <v>1</v>
          </cell>
          <cell r="BX17">
            <v>1</v>
          </cell>
          <cell r="BY17">
            <v>1</v>
          </cell>
          <cell r="BZ17">
            <v>1</v>
          </cell>
          <cell r="CA17">
            <v>1</v>
          </cell>
          <cell r="CB17">
            <v>1</v>
          </cell>
          <cell r="CC17">
            <v>1</v>
          </cell>
          <cell r="CD17">
            <v>1</v>
          </cell>
          <cell r="CE17">
            <v>1</v>
          </cell>
          <cell r="CF17">
            <v>1</v>
          </cell>
          <cell r="CG17">
            <v>1</v>
          </cell>
          <cell r="CH17">
            <v>1</v>
          </cell>
          <cell r="CI17">
            <v>1</v>
          </cell>
          <cell r="CJ17">
            <v>1</v>
          </cell>
          <cell r="CK17">
            <v>1</v>
          </cell>
        </row>
        <row r="18">
          <cell r="J18">
            <v>39155</v>
          </cell>
          <cell r="K18">
            <v>39183</v>
          </cell>
          <cell r="L18">
            <v>39318</v>
          </cell>
          <cell r="M18">
            <v>39484</v>
          </cell>
          <cell r="N18">
            <v>39498</v>
          </cell>
          <cell r="O18">
            <v>39642</v>
          </cell>
          <cell r="Q18" t="str">
            <v>R</v>
          </cell>
          <cell r="R18">
            <v>0</v>
          </cell>
          <cell r="S18">
            <v>0</v>
          </cell>
          <cell r="T18">
            <v>0</v>
          </cell>
          <cell r="U18">
            <v>0</v>
          </cell>
          <cell r="V18">
            <v>0</v>
          </cell>
          <cell r="W18">
            <v>0</v>
          </cell>
          <cell r="X18">
            <v>0</v>
          </cell>
          <cell r="Y18">
            <v>0</v>
          </cell>
          <cell r="Z18">
            <v>0</v>
          </cell>
          <cell r="AA18">
            <v>0</v>
          </cell>
          <cell r="AB18">
            <v>0</v>
          </cell>
          <cell r="AC18">
            <v>0</v>
          </cell>
          <cell r="AD18">
            <v>0.5</v>
          </cell>
          <cell r="AE18">
            <v>0.5</v>
          </cell>
          <cell r="AF18">
            <v>0.5</v>
          </cell>
          <cell r="AG18">
            <v>0.5</v>
          </cell>
          <cell r="AH18">
            <v>0.5</v>
          </cell>
          <cell r="AI18">
            <v>0.5</v>
          </cell>
          <cell r="AJ18">
            <v>0.5</v>
          </cell>
          <cell r="AK18">
            <v>0.5</v>
          </cell>
          <cell r="AL18">
            <v>0.5</v>
          </cell>
          <cell r="AM18">
            <v>0.5</v>
          </cell>
          <cell r="AN18">
            <v>0.5</v>
          </cell>
          <cell r="AO18">
            <v>0.5</v>
          </cell>
          <cell r="AP18">
            <v>0.5</v>
          </cell>
          <cell r="AQ18">
            <v>0.5</v>
          </cell>
          <cell r="AR18">
            <v>0.5</v>
          </cell>
          <cell r="AS18">
            <v>0.5</v>
          </cell>
          <cell r="AT18">
            <v>0.5</v>
          </cell>
          <cell r="AU18">
            <v>0.5</v>
          </cell>
          <cell r="AV18">
            <v>0.5</v>
          </cell>
          <cell r="AW18">
            <v>0.5</v>
          </cell>
          <cell r="AX18">
            <v>0.7</v>
          </cell>
          <cell r="AY18">
            <v>0.7</v>
          </cell>
          <cell r="AZ18">
            <v>0.7</v>
          </cell>
          <cell r="BA18">
            <v>0.7</v>
          </cell>
          <cell r="BB18">
            <v>0.7</v>
          </cell>
          <cell r="BC18">
            <v>0.7</v>
          </cell>
          <cell r="BD18">
            <v>0.7</v>
          </cell>
          <cell r="BE18">
            <v>0.7</v>
          </cell>
          <cell r="BF18">
            <v>0.7</v>
          </cell>
          <cell r="BG18">
            <v>0.7</v>
          </cell>
          <cell r="BH18">
            <v>0.7</v>
          </cell>
          <cell r="BI18">
            <v>0.7</v>
          </cell>
          <cell r="BJ18">
            <v>0.7</v>
          </cell>
          <cell r="BK18">
            <v>0.7</v>
          </cell>
          <cell r="BL18">
            <v>0.7</v>
          </cell>
          <cell r="BM18">
            <v>0.7</v>
          </cell>
          <cell r="BN18">
            <v>0.7</v>
          </cell>
          <cell r="BO18">
            <v>0.7</v>
          </cell>
          <cell r="BP18">
            <v>0.7</v>
          </cell>
          <cell r="BQ18">
            <v>0.7</v>
          </cell>
          <cell r="BR18">
            <v>0.7</v>
          </cell>
          <cell r="BS18">
            <v>0.7</v>
          </cell>
          <cell r="BT18">
            <v>0.7</v>
          </cell>
          <cell r="BU18">
            <v>0.7</v>
          </cell>
          <cell r="BV18">
            <v>0.7</v>
          </cell>
          <cell r="BW18">
            <v>0.95</v>
          </cell>
          <cell r="BX18">
            <v>0.95</v>
          </cell>
          <cell r="BY18">
            <v>0.95</v>
          </cell>
          <cell r="BZ18">
            <v>0.95</v>
          </cell>
          <cell r="CA18">
            <v>0.95</v>
          </cell>
          <cell r="CB18">
            <v>0.95</v>
          </cell>
          <cell r="CC18">
            <v>0.95</v>
          </cell>
          <cell r="CD18">
            <v>0.95</v>
          </cell>
          <cell r="CE18">
            <v>0.95</v>
          </cell>
          <cell r="CF18">
            <v>0.95</v>
          </cell>
          <cell r="CG18">
            <v>0.95</v>
          </cell>
          <cell r="CH18">
            <v>0.95</v>
          </cell>
          <cell r="CI18">
            <v>0.95</v>
          </cell>
          <cell r="CJ18">
            <v>0.95</v>
          </cell>
          <cell r="CK18">
            <v>0.95</v>
          </cell>
        </row>
        <row r="19">
          <cell r="Q19" t="str">
            <v>E</v>
          </cell>
          <cell r="AB19">
            <v>0.25</v>
          </cell>
          <cell r="AC19">
            <v>0.5</v>
          </cell>
          <cell r="AD19">
            <v>0.5</v>
          </cell>
          <cell r="AE19">
            <v>0.5</v>
          </cell>
          <cell r="AF19">
            <v>0.5</v>
          </cell>
          <cell r="AG19">
            <v>0.5</v>
          </cell>
          <cell r="AH19">
            <v>0.5</v>
          </cell>
          <cell r="AI19">
            <v>0.5</v>
          </cell>
          <cell r="AJ19">
            <v>0.5</v>
          </cell>
          <cell r="AK19">
            <v>0.7</v>
          </cell>
          <cell r="AL19">
            <v>0.7</v>
          </cell>
          <cell r="AM19">
            <v>0.7</v>
          </cell>
          <cell r="AN19">
            <v>0.7</v>
          </cell>
          <cell r="AO19">
            <v>0.7</v>
          </cell>
          <cell r="AP19">
            <v>0.7</v>
          </cell>
          <cell r="AQ19">
            <v>0.7</v>
          </cell>
          <cell r="AR19">
            <v>0.7</v>
          </cell>
          <cell r="AS19">
            <v>0.7</v>
          </cell>
          <cell r="AT19">
            <v>0.7</v>
          </cell>
          <cell r="AU19">
            <v>0.7</v>
          </cell>
          <cell r="AV19">
            <v>0.7</v>
          </cell>
          <cell r="AW19">
            <v>0.7</v>
          </cell>
          <cell r="AX19">
            <v>0.7</v>
          </cell>
          <cell r="AY19">
            <v>0.7</v>
          </cell>
          <cell r="AZ19">
            <v>0.7</v>
          </cell>
          <cell r="BA19">
            <v>0.7</v>
          </cell>
          <cell r="BB19">
            <v>0.7</v>
          </cell>
          <cell r="BC19">
            <v>0.7</v>
          </cell>
          <cell r="BD19">
            <v>0.7</v>
          </cell>
          <cell r="BE19">
            <v>0.7</v>
          </cell>
          <cell r="BF19">
            <v>0.7</v>
          </cell>
          <cell r="BG19">
            <v>0.7</v>
          </cell>
          <cell r="BH19">
            <v>0.7</v>
          </cell>
          <cell r="BI19">
            <v>0.7</v>
          </cell>
          <cell r="BJ19">
            <v>0.7</v>
          </cell>
          <cell r="BK19">
            <v>0.7</v>
          </cell>
          <cell r="BL19">
            <v>0.7</v>
          </cell>
          <cell r="BM19">
            <v>0.7</v>
          </cell>
          <cell r="BN19">
            <v>0.7</v>
          </cell>
          <cell r="BO19">
            <v>0.7</v>
          </cell>
          <cell r="BP19">
            <v>0.7</v>
          </cell>
          <cell r="BQ19">
            <v>0.7</v>
          </cell>
          <cell r="BR19">
            <v>0.7</v>
          </cell>
          <cell r="BS19">
            <v>0.7</v>
          </cell>
          <cell r="BT19">
            <v>0.7</v>
          </cell>
          <cell r="BU19">
            <v>0.7</v>
          </cell>
          <cell r="BV19">
            <v>0.7</v>
          </cell>
          <cell r="BW19">
            <v>0.7</v>
          </cell>
          <cell r="BX19">
            <v>0.7</v>
          </cell>
          <cell r="BY19">
            <v>0.7</v>
          </cell>
          <cell r="BZ19">
            <v>0.7</v>
          </cell>
          <cell r="CA19">
            <v>0.7</v>
          </cell>
          <cell r="CB19">
            <v>0.7</v>
          </cell>
          <cell r="CC19">
            <v>0.7</v>
          </cell>
          <cell r="CD19">
            <v>0</v>
          </cell>
          <cell r="CE19">
            <v>0</v>
          </cell>
          <cell r="CF19">
            <v>0</v>
          </cell>
          <cell r="CG19">
            <v>0</v>
          </cell>
          <cell r="CH19">
            <v>0</v>
          </cell>
          <cell r="CI19">
            <v>0</v>
          </cell>
          <cell r="CJ19">
            <v>0</v>
          </cell>
          <cell r="CK19">
            <v>0</v>
          </cell>
        </row>
        <row r="20">
          <cell r="I20" t="str">
            <v>PROCEDIMIENTOS PARA PRUEBAS DE DESEMPENO</v>
          </cell>
          <cell r="J20">
            <v>39258</v>
          </cell>
          <cell r="K20">
            <v>39310</v>
          </cell>
          <cell r="L20">
            <v>39324</v>
          </cell>
          <cell r="M20">
            <v>39373</v>
          </cell>
          <cell r="N20">
            <v>39387</v>
          </cell>
          <cell r="O20">
            <v>39476</v>
          </cell>
          <cell r="Q20" t="str">
            <v>P</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0.5</v>
          </cell>
          <cell r="AW20">
            <v>0.5</v>
          </cell>
          <cell r="AX20">
            <v>0.7</v>
          </cell>
          <cell r="AY20">
            <v>0.7</v>
          </cell>
          <cell r="AZ20">
            <v>0.7</v>
          </cell>
          <cell r="BA20">
            <v>0.7</v>
          </cell>
          <cell r="BB20">
            <v>0.7</v>
          </cell>
          <cell r="BC20">
            <v>0.7</v>
          </cell>
          <cell r="BD20">
            <v>0.7</v>
          </cell>
          <cell r="BE20">
            <v>0.7</v>
          </cell>
          <cell r="BF20">
            <v>0.7</v>
          </cell>
          <cell r="BG20">
            <v>0.95</v>
          </cell>
          <cell r="BH20">
            <v>0.95</v>
          </cell>
          <cell r="BI20">
            <v>0.95</v>
          </cell>
          <cell r="BJ20">
            <v>0.95</v>
          </cell>
          <cell r="BK20">
            <v>0.95</v>
          </cell>
          <cell r="BL20">
            <v>0.95</v>
          </cell>
          <cell r="BM20">
            <v>0.95</v>
          </cell>
          <cell r="BN20">
            <v>0.95</v>
          </cell>
          <cell r="BO20">
            <v>0.95</v>
          </cell>
          <cell r="BP20">
            <v>0.95</v>
          </cell>
          <cell r="BQ20">
            <v>0.95</v>
          </cell>
          <cell r="BR20">
            <v>0.95</v>
          </cell>
          <cell r="BS20">
            <v>0.95</v>
          </cell>
          <cell r="BT20">
            <v>1</v>
          </cell>
          <cell r="BU20">
            <v>1</v>
          </cell>
          <cell r="BV20">
            <v>1</v>
          </cell>
          <cell r="BW20">
            <v>1</v>
          </cell>
          <cell r="BX20">
            <v>1</v>
          </cell>
          <cell r="BY20">
            <v>1</v>
          </cell>
          <cell r="BZ20">
            <v>1</v>
          </cell>
          <cell r="CA20">
            <v>1</v>
          </cell>
          <cell r="CB20">
            <v>1</v>
          </cell>
          <cell r="CC20">
            <v>1</v>
          </cell>
          <cell r="CD20">
            <v>1</v>
          </cell>
          <cell r="CE20">
            <v>1</v>
          </cell>
          <cell r="CF20">
            <v>1</v>
          </cell>
          <cell r="CG20">
            <v>1</v>
          </cell>
          <cell r="CH20">
            <v>1</v>
          </cell>
          <cell r="CI20">
            <v>1</v>
          </cell>
          <cell r="CJ20">
            <v>1</v>
          </cell>
          <cell r="CK20">
            <v>1</v>
          </cell>
        </row>
        <row r="21">
          <cell r="J21">
            <v>39367</v>
          </cell>
          <cell r="K21">
            <v>39393</v>
          </cell>
          <cell r="L21">
            <v>39430</v>
          </cell>
          <cell r="M21">
            <v>39485</v>
          </cell>
          <cell r="N21">
            <v>39499</v>
          </cell>
          <cell r="O21">
            <v>39642</v>
          </cell>
          <cell r="Q21" t="str">
            <v>R</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0.5</v>
          </cell>
          <cell r="BI21">
            <v>0.5</v>
          </cell>
          <cell r="BJ21">
            <v>0.5</v>
          </cell>
          <cell r="BK21">
            <v>0.5</v>
          </cell>
          <cell r="BL21">
            <v>0.5</v>
          </cell>
          <cell r="BM21">
            <v>0.5</v>
          </cell>
          <cell r="BN21">
            <v>0.7</v>
          </cell>
          <cell r="BO21">
            <v>0.7</v>
          </cell>
          <cell r="BP21">
            <v>0.7</v>
          </cell>
          <cell r="BQ21">
            <v>0.7</v>
          </cell>
          <cell r="BR21">
            <v>0.7</v>
          </cell>
          <cell r="BS21">
            <v>0.7</v>
          </cell>
          <cell r="BT21">
            <v>0.7</v>
          </cell>
          <cell r="BU21">
            <v>0.7</v>
          </cell>
          <cell r="BV21">
            <v>0.7</v>
          </cell>
          <cell r="BW21">
            <v>0.95</v>
          </cell>
          <cell r="BX21">
            <v>0.95</v>
          </cell>
          <cell r="BY21">
            <v>0.95</v>
          </cell>
          <cell r="BZ21">
            <v>0.95</v>
          </cell>
          <cell r="CA21">
            <v>0.95</v>
          </cell>
          <cell r="CB21">
            <v>0.95</v>
          </cell>
          <cell r="CC21">
            <v>0.95</v>
          </cell>
          <cell r="CD21">
            <v>0.95</v>
          </cell>
          <cell r="CE21">
            <v>0.95</v>
          </cell>
          <cell r="CF21">
            <v>0.95</v>
          </cell>
          <cell r="CG21">
            <v>0.95</v>
          </cell>
          <cell r="CH21">
            <v>0.95</v>
          </cell>
          <cell r="CI21">
            <v>0.95</v>
          </cell>
          <cell r="CJ21">
            <v>0.95</v>
          </cell>
          <cell r="CK21">
            <v>0.95</v>
          </cell>
        </row>
        <row r="22">
          <cell r="I22" t="str">
            <v>0146P01TEC011</v>
          </cell>
          <cell r="Q22" t="str">
            <v>E</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0.5</v>
          </cell>
          <cell r="BP22" t="e">
            <v>#N/A</v>
          </cell>
          <cell r="BQ22" t="e">
            <v>#N/A</v>
          </cell>
          <cell r="BS22">
            <v>0</v>
          </cell>
          <cell r="BT22">
            <v>0</v>
          </cell>
          <cell r="BU22">
            <v>0</v>
          </cell>
          <cell r="BV22">
            <v>0</v>
          </cell>
          <cell r="CB22">
            <v>0</v>
          </cell>
          <cell r="CC22">
            <v>0</v>
          </cell>
          <cell r="CD22">
            <v>0</v>
          </cell>
          <cell r="CE22">
            <v>0</v>
          </cell>
          <cell r="CF22">
            <v>0</v>
          </cell>
          <cell r="CG22">
            <v>0</v>
          </cell>
          <cell r="CH22">
            <v>0</v>
          </cell>
          <cell r="CI22">
            <v>0</v>
          </cell>
          <cell r="CJ22">
            <v>0</v>
          </cell>
          <cell r="CK22">
            <v>0</v>
          </cell>
        </row>
        <row r="23">
          <cell r="D23" t="str">
            <v>01</v>
          </cell>
          <cell r="E23" t="str">
            <v>46</v>
          </cell>
          <cell r="F23" t="str">
            <v>P01</v>
          </cell>
          <cell r="G23" t="str">
            <v>CAL</v>
          </cell>
          <cell r="H23" t="str">
            <v>003</v>
          </cell>
          <cell r="I23" t="str">
            <v>MEMORIA DE CALCULOS DETALLADOS DE VENTEOS DE SEGURIDAD</v>
          </cell>
          <cell r="J23">
            <v>39209</v>
          </cell>
          <cell r="K23">
            <v>39254</v>
          </cell>
          <cell r="L23">
            <v>39268</v>
          </cell>
          <cell r="M23">
            <v>39288</v>
          </cell>
          <cell r="N23">
            <v>39302</v>
          </cell>
          <cell r="O23">
            <v>39476</v>
          </cell>
          <cell r="P23">
            <v>174.02204391891894</v>
          </cell>
          <cell r="Q23" t="str">
            <v>P</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0.5</v>
          </cell>
          <cell r="AO23">
            <v>0.5</v>
          </cell>
          <cell r="AP23">
            <v>0.7</v>
          </cell>
          <cell r="AQ23">
            <v>0.7</v>
          </cell>
          <cell r="AR23">
            <v>0.7</v>
          </cell>
          <cell r="AS23">
            <v>0.7</v>
          </cell>
          <cell r="AT23">
            <v>0.7</v>
          </cell>
          <cell r="AU23">
            <v>0.95</v>
          </cell>
          <cell r="AV23">
            <v>0.95</v>
          </cell>
          <cell r="AW23">
            <v>0.95</v>
          </cell>
          <cell r="AX23">
            <v>0.95</v>
          </cell>
          <cell r="AY23">
            <v>0.95</v>
          </cell>
          <cell r="AZ23">
            <v>0.95</v>
          </cell>
          <cell r="BA23">
            <v>0.95</v>
          </cell>
          <cell r="BB23">
            <v>0.95</v>
          </cell>
          <cell r="BC23">
            <v>0.95</v>
          </cell>
          <cell r="BD23">
            <v>0.95</v>
          </cell>
          <cell r="BE23">
            <v>0.95</v>
          </cell>
          <cell r="BF23">
            <v>0.95</v>
          </cell>
          <cell r="BG23">
            <v>0.95</v>
          </cell>
          <cell r="BH23">
            <v>0.95</v>
          </cell>
          <cell r="BI23">
            <v>0.95</v>
          </cell>
          <cell r="BJ23">
            <v>0.95</v>
          </cell>
          <cell r="BK23">
            <v>0.95</v>
          </cell>
          <cell r="BL23">
            <v>0.95</v>
          </cell>
          <cell r="BM23">
            <v>0.95</v>
          </cell>
          <cell r="BN23">
            <v>0.95</v>
          </cell>
          <cell r="BO23">
            <v>0.95</v>
          </cell>
          <cell r="BP23">
            <v>0.95</v>
          </cell>
          <cell r="BQ23">
            <v>0.95</v>
          </cell>
          <cell r="BR23">
            <v>0.95</v>
          </cell>
          <cell r="BS23">
            <v>0.95</v>
          </cell>
          <cell r="BT23">
            <v>1</v>
          </cell>
          <cell r="BU23">
            <v>1</v>
          </cell>
          <cell r="BV23">
            <v>1</v>
          </cell>
          <cell r="BW23">
            <v>1</v>
          </cell>
          <cell r="BX23">
            <v>1</v>
          </cell>
          <cell r="BY23">
            <v>1</v>
          </cell>
          <cell r="BZ23">
            <v>1</v>
          </cell>
          <cell r="CA23">
            <v>1</v>
          </cell>
          <cell r="CB23">
            <v>1</v>
          </cell>
          <cell r="CC23">
            <v>1</v>
          </cell>
          <cell r="CD23">
            <v>1</v>
          </cell>
          <cell r="CE23">
            <v>1</v>
          </cell>
          <cell r="CF23">
            <v>1</v>
          </cell>
          <cell r="CG23">
            <v>1</v>
          </cell>
          <cell r="CH23">
            <v>1</v>
          </cell>
          <cell r="CI23">
            <v>1</v>
          </cell>
          <cell r="CJ23">
            <v>1</v>
          </cell>
          <cell r="CK23">
            <v>1</v>
          </cell>
        </row>
        <row r="24">
          <cell r="J24">
            <v>39209</v>
          </cell>
          <cell r="K24">
            <v>39374</v>
          </cell>
          <cell r="L24">
            <v>39388</v>
          </cell>
          <cell r="M24">
            <v>39485</v>
          </cell>
          <cell r="N24">
            <v>39499</v>
          </cell>
          <cell r="O24">
            <v>39642</v>
          </cell>
          <cell r="Q24" t="str">
            <v>R</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0.5</v>
          </cell>
          <cell r="BG24">
            <v>0.5</v>
          </cell>
          <cell r="BH24">
            <v>0.7</v>
          </cell>
          <cell r="BI24">
            <v>0.7</v>
          </cell>
          <cell r="BJ24">
            <v>0.7</v>
          </cell>
          <cell r="BK24">
            <v>0.7</v>
          </cell>
          <cell r="BL24">
            <v>0.7</v>
          </cell>
          <cell r="BM24">
            <v>0.7</v>
          </cell>
          <cell r="BN24">
            <v>0.7</v>
          </cell>
          <cell r="BO24">
            <v>0.7</v>
          </cell>
          <cell r="BP24">
            <v>0.7</v>
          </cell>
          <cell r="BQ24">
            <v>0.7</v>
          </cell>
          <cell r="BR24">
            <v>0.7</v>
          </cell>
          <cell r="BS24">
            <v>0.7</v>
          </cell>
          <cell r="BT24">
            <v>0.7</v>
          </cell>
          <cell r="BU24">
            <v>0.7</v>
          </cell>
          <cell r="BV24">
            <v>0.7</v>
          </cell>
          <cell r="BW24">
            <v>0.95</v>
          </cell>
          <cell r="BX24">
            <v>0.95</v>
          </cell>
          <cell r="BY24">
            <v>0.95</v>
          </cell>
          <cell r="BZ24">
            <v>0.95</v>
          </cell>
          <cell r="CA24">
            <v>0.95</v>
          </cell>
          <cell r="CB24">
            <v>0.95</v>
          </cell>
          <cell r="CC24">
            <v>0.95</v>
          </cell>
          <cell r="CD24">
            <v>0.95</v>
          </cell>
          <cell r="CE24">
            <v>0.95</v>
          </cell>
          <cell r="CF24">
            <v>0.95</v>
          </cell>
          <cell r="CG24">
            <v>0.95</v>
          </cell>
          <cell r="CH24">
            <v>0.95</v>
          </cell>
          <cell r="CI24">
            <v>0.95</v>
          </cell>
          <cell r="CJ24">
            <v>0.95</v>
          </cell>
          <cell r="CK24">
            <v>0.95</v>
          </cell>
        </row>
        <row r="25">
          <cell r="Q25" t="str">
            <v>E</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0.5</v>
          </cell>
          <cell r="BF25">
            <v>0.5</v>
          </cell>
          <cell r="BG25">
            <v>0.5</v>
          </cell>
          <cell r="BH25">
            <v>0.5</v>
          </cell>
          <cell r="BI25">
            <v>0.5</v>
          </cell>
          <cell r="BJ25">
            <v>0.7</v>
          </cell>
          <cell r="BK25">
            <v>0.7</v>
          </cell>
          <cell r="BL25">
            <v>0.7</v>
          </cell>
          <cell r="BM25">
            <v>0.7</v>
          </cell>
          <cell r="BN25">
            <v>0.7</v>
          </cell>
          <cell r="BO25">
            <v>0.7</v>
          </cell>
          <cell r="BP25">
            <v>0.7</v>
          </cell>
          <cell r="BQ25">
            <v>0.7</v>
          </cell>
          <cell r="BR25">
            <v>0.7</v>
          </cell>
          <cell r="BS25">
            <v>0.7</v>
          </cell>
          <cell r="BT25">
            <v>0.7</v>
          </cell>
          <cell r="BU25">
            <v>0.7</v>
          </cell>
          <cell r="BV25">
            <v>0.7</v>
          </cell>
          <cell r="BW25">
            <v>0.7</v>
          </cell>
          <cell r="BX25">
            <v>0.7</v>
          </cell>
          <cell r="BY25">
            <v>0.7</v>
          </cell>
          <cell r="BZ25">
            <v>0.7</v>
          </cell>
          <cell r="CA25">
            <v>0.7</v>
          </cell>
          <cell r="CB25">
            <v>0.7</v>
          </cell>
          <cell r="CC25">
            <v>0.7</v>
          </cell>
          <cell r="CD25">
            <v>0</v>
          </cell>
          <cell r="CE25">
            <v>0</v>
          </cell>
          <cell r="CF25">
            <v>0</v>
          </cell>
          <cell r="CG25">
            <v>0</v>
          </cell>
          <cell r="CH25">
            <v>0</v>
          </cell>
          <cell r="CI25">
            <v>0</v>
          </cell>
          <cell r="CJ25">
            <v>0</v>
          </cell>
          <cell r="CK25">
            <v>0</v>
          </cell>
        </row>
        <row r="26">
          <cell r="E26">
            <v>46</v>
          </cell>
          <cell r="I26" t="str">
            <v xml:space="preserve">DTI's Desmantelamiento                           </v>
          </cell>
          <cell r="J26">
            <v>39181</v>
          </cell>
          <cell r="K26">
            <v>39365</v>
          </cell>
          <cell r="L26">
            <v>39379</v>
          </cell>
          <cell r="M26">
            <v>39393</v>
          </cell>
          <cell r="N26">
            <v>39407</v>
          </cell>
          <cell r="O26">
            <v>39537</v>
          </cell>
          <cell r="Q26" t="str">
            <v>P</v>
          </cell>
        </row>
        <row r="27">
          <cell r="D27" t="str">
            <v>01</v>
          </cell>
          <cell r="E27" t="str">
            <v>46</v>
          </cell>
          <cell r="F27" t="str">
            <v>P03</v>
          </cell>
          <cell r="H27">
            <v>300</v>
          </cell>
          <cell r="I27" t="str">
            <v>DIAGRAMA DE TUBERIA E INSTRUMENTACION PLANTA ETILENO II (U4100) P&amp;IDS INGENIERIA DE DETALLE</v>
          </cell>
          <cell r="J27">
            <v>39174</v>
          </cell>
          <cell r="K27">
            <v>39226</v>
          </cell>
          <cell r="L27">
            <v>39240</v>
          </cell>
          <cell r="M27">
            <v>39294</v>
          </cell>
          <cell r="N27">
            <v>39308</v>
          </cell>
          <cell r="O27">
            <v>39476</v>
          </cell>
          <cell r="P27">
            <v>207.92244208494239</v>
          </cell>
          <cell r="Q27" t="str">
            <v>P</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0.5</v>
          </cell>
          <cell r="AK27">
            <v>0.5</v>
          </cell>
          <cell r="AL27">
            <v>0.7</v>
          </cell>
          <cell r="AM27">
            <v>0.7</v>
          </cell>
          <cell r="AN27">
            <v>0.7</v>
          </cell>
          <cell r="AO27">
            <v>0.7</v>
          </cell>
          <cell r="AP27">
            <v>0.7</v>
          </cell>
          <cell r="AQ27">
            <v>0.7</v>
          </cell>
          <cell r="AR27">
            <v>0.7</v>
          </cell>
          <cell r="AS27">
            <v>0.7</v>
          </cell>
          <cell r="AT27">
            <v>0.7</v>
          </cell>
          <cell r="AU27">
            <v>0.7</v>
          </cell>
          <cell r="AV27">
            <v>0.95</v>
          </cell>
          <cell r="AW27">
            <v>0.95</v>
          </cell>
          <cell r="AX27">
            <v>0.95</v>
          </cell>
          <cell r="AY27">
            <v>0.95</v>
          </cell>
          <cell r="AZ27">
            <v>0.95</v>
          </cell>
          <cell r="BA27">
            <v>0.95</v>
          </cell>
          <cell r="BB27">
            <v>0.95</v>
          </cell>
          <cell r="BC27">
            <v>0.95</v>
          </cell>
          <cell r="BD27">
            <v>0.95</v>
          </cell>
          <cell r="BE27">
            <v>0.95</v>
          </cell>
          <cell r="BF27">
            <v>0.95</v>
          </cell>
          <cell r="BG27">
            <v>0.95</v>
          </cell>
          <cell r="BH27">
            <v>0.95</v>
          </cell>
          <cell r="BI27">
            <v>0.95</v>
          </cell>
          <cell r="BJ27">
            <v>0.95</v>
          </cell>
          <cell r="BK27">
            <v>0.95</v>
          </cell>
          <cell r="BL27">
            <v>0.95</v>
          </cell>
          <cell r="BM27">
            <v>0.95</v>
          </cell>
          <cell r="BN27">
            <v>0.95</v>
          </cell>
          <cell r="BO27">
            <v>0.95</v>
          </cell>
          <cell r="BP27">
            <v>0.95</v>
          </cell>
          <cell r="BQ27">
            <v>0.95</v>
          </cell>
          <cell r="BR27">
            <v>0.95</v>
          </cell>
          <cell r="BS27">
            <v>0.95</v>
          </cell>
          <cell r="BT27">
            <v>1</v>
          </cell>
          <cell r="BU27">
            <v>1</v>
          </cell>
          <cell r="BV27">
            <v>1</v>
          </cell>
          <cell r="BW27">
            <v>1</v>
          </cell>
          <cell r="BX27">
            <v>1</v>
          </cell>
          <cell r="BY27">
            <v>1</v>
          </cell>
          <cell r="BZ27">
            <v>1</v>
          </cell>
          <cell r="CA27">
            <v>1</v>
          </cell>
          <cell r="CB27">
            <v>1</v>
          </cell>
          <cell r="CC27">
            <v>1</v>
          </cell>
          <cell r="CD27">
            <v>1</v>
          </cell>
          <cell r="CE27">
            <v>1</v>
          </cell>
          <cell r="CF27">
            <v>1</v>
          </cell>
          <cell r="CG27">
            <v>1</v>
          </cell>
          <cell r="CH27">
            <v>1</v>
          </cell>
          <cell r="CI27">
            <v>1</v>
          </cell>
          <cell r="CJ27">
            <v>1</v>
          </cell>
          <cell r="CK27">
            <v>1</v>
          </cell>
        </row>
        <row r="28">
          <cell r="J28">
            <v>39174</v>
          </cell>
          <cell r="K28">
            <v>39338</v>
          </cell>
          <cell r="L28">
            <v>39399</v>
          </cell>
          <cell r="M28">
            <v>39486</v>
          </cell>
          <cell r="N28">
            <v>39500</v>
          </cell>
          <cell r="O28">
            <v>39642</v>
          </cell>
          <cell r="Q28" t="str">
            <v>R</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0.5</v>
          </cell>
          <cell r="BA28">
            <v>0.5</v>
          </cell>
          <cell r="BB28">
            <v>0.5</v>
          </cell>
          <cell r="BC28">
            <v>0.5</v>
          </cell>
          <cell r="BD28">
            <v>0.5</v>
          </cell>
          <cell r="BE28">
            <v>0.5</v>
          </cell>
          <cell r="BF28">
            <v>0.5</v>
          </cell>
          <cell r="BG28">
            <v>0.5</v>
          </cell>
          <cell r="BH28">
            <v>0.5</v>
          </cell>
          <cell r="BI28">
            <v>0.7</v>
          </cell>
          <cell r="BJ28">
            <v>0.7</v>
          </cell>
          <cell r="BK28">
            <v>0.7</v>
          </cell>
          <cell r="BL28">
            <v>0.7</v>
          </cell>
          <cell r="BM28">
            <v>0.7</v>
          </cell>
          <cell r="BN28">
            <v>0.7</v>
          </cell>
          <cell r="BO28">
            <v>0.7</v>
          </cell>
          <cell r="BP28">
            <v>0.7</v>
          </cell>
          <cell r="BQ28">
            <v>0.7</v>
          </cell>
          <cell r="BR28">
            <v>0.7</v>
          </cell>
          <cell r="BS28">
            <v>0.7</v>
          </cell>
          <cell r="BT28">
            <v>0.7</v>
          </cell>
          <cell r="BU28">
            <v>0.7</v>
          </cell>
          <cell r="BV28">
            <v>0.7</v>
          </cell>
          <cell r="BW28">
            <v>0.7</v>
          </cell>
          <cell r="BX28">
            <v>0.95</v>
          </cell>
          <cell r="BY28">
            <v>0.95</v>
          </cell>
          <cell r="BZ28">
            <v>0.95</v>
          </cell>
          <cell r="CA28">
            <v>0.95</v>
          </cell>
          <cell r="CB28">
            <v>0.95</v>
          </cell>
          <cell r="CC28">
            <v>0.95</v>
          </cell>
          <cell r="CD28">
            <v>0.95</v>
          </cell>
          <cell r="CE28">
            <v>0.95</v>
          </cell>
          <cell r="CF28">
            <v>0.95</v>
          </cell>
          <cell r="CG28">
            <v>0.95</v>
          </cell>
          <cell r="CH28">
            <v>0.95</v>
          </cell>
          <cell r="CI28">
            <v>0.95</v>
          </cell>
          <cell r="CJ28">
            <v>0.95</v>
          </cell>
          <cell r="CK28">
            <v>0.95</v>
          </cell>
        </row>
        <row r="29">
          <cell r="Q29" t="str">
            <v>E</v>
          </cell>
          <cell r="AJ29">
            <v>0</v>
          </cell>
          <cell r="AK29">
            <v>0</v>
          </cell>
          <cell r="AL29">
            <v>0.5</v>
          </cell>
          <cell r="AM29">
            <v>0.5</v>
          </cell>
          <cell r="AN29">
            <v>0.5</v>
          </cell>
          <cell r="AO29">
            <v>0.5</v>
          </cell>
          <cell r="AP29">
            <v>0.5</v>
          </cell>
          <cell r="AQ29">
            <v>0.5</v>
          </cell>
          <cell r="AR29">
            <v>0.5</v>
          </cell>
          <cell r="AS29">
            <v>0.5</v>
          </cell>
          <cell r="AT29">
            <v>0.5</v>
          </cell>
          <cell r="AU29">
            <v>0.5</v>
          </cell>
          <cell r="AV29">
            <v>0.5</v>
          </cell>
          <cell r="AW29">
            <v>0.5</v>
          </cell>
          <cell r="AX29">
            <v>0.5</v>
          </cell>
          <cell r="AY29">
            <v>0.5</v>
          </cell>
          <cell r="AZ29">
            <v>0.5</v>
          </cell>
          <cell r="BA29">
            <v>0.5</v>
          </cell>
          <cell r="BB29">
            <v>0.5</v>
          </cell>
          <cell r="BC29">
            <v>0.5</v>
          </cell>
          <cell r="BD29">
            <v>0.5</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0.95</v>
          </cell>
          <cell r="CB29">
            <v>0.95</v>
          </cell>
          <cell r="CC29">
            <v>0.95</v>
          </cell>
          <cell r="CD29">
            <v>0</v>
          </cell>
          <cell r="CE29">
            <v>0</v>
          </cell>
          <cell r="CF29">
            <v>0</v>
          </cell>
          <cell r="CG29">
            <v>0</v>
          </cell>
          <cell r="CH29">
            <v>0</v>
          </cell>
          <cell r="CI29">
            <v>0</v>
          </cell>
          <cell r="CJ29">
            <v>0</v>
          </cell>
          <cell r="CK29">
            <v>0</v>
          </cell>
        </row>
        <row r="30">
          <cell r="D30" t="str">
            <v>01</v>
          </cell>
          <cell r="E30" t="str">
            <v>46</v>
          </cell>
          <cell r="F30" t="str">
            <v>P03</v>
          </cell>
          <cell r="H30">
            <v>302</v>
          </cell>
          <cell r="I30" t="str">
            <v>DIAGRAMA DE TUBERIA E INSTRUMENTACION PLANTA ETILENO COMPRESOR C-4109 P&amp;IDS INGENIERIA DE DETALLE</v>
          </cell>
          <cell r="J30">
            <v>39174</v>
          </cell>
          <cell r="K30">
            <v>39226</v>
          </cell>
          <cell r="L30">
            <v>39240</v>
          </cell>
          <cell r="M30">
            <v>39294</v>
          </cell>
          <cell r="N30">
            <v>39308</v>
          </cell>
          <cell r="O30">
            <v>39476</v>
          </cell>
          <cell r="P30">
            <v>207.92244208494239</v>
          </cell>
          <cell r="Q30" t="str">
            <v>P</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0.5</v>
          </cell>
          <cell r="AK30">
            <v>0.5</v>
          </cell>
          <cell r="AL30">
            <v>0.7</v>
          </cell>
          <cell r="AM30">
            <v>0.7</v>
          </cell>
          <cell r="AN30">
            <v>0.7</v>
          </cell>
          <cell r="AO30">
            <v>0.7</v>
          </cell>
          <cell r="AP30">
            <v>0.7</v>
          </cell>
          <cell r="AQ30">
            <v>0.7</v>
          </cell>
          <cell r="AR30">
            <v>0.7</v>
          </cell>
          <cell r="AS30">
            <v>0.7</v>
          </cell>
          <cell r="AT30">
            <v>0.7</v>
          </cell>
          <cell r="AU30">
            <v>0.7</v>
          </cell>
          <cell r="AV30">
            <v>0.95</v>
          </cell>
          <cell r="AW30">
            <v>0.95</v>
          </cell>
          <cell r="AX30">
            <v>0.95</v>
          </cell>
          <cell r="AY30">
            <v>0.95</v>
          </cell>
          <cell r="AZ30">
            <v>0.95</v>
          </cell>
          <cell r="BA30">
            <v>0.95</v>
          </cell>
          <cell r="BB30">
            <v>0.95</v>
          </cell>
          <cell r="BC30">
            <v>0.95</v>
          </cell>
          <cell r="BD30">
            <v>0.95</v>
          </cell>
          <cell r="BE30">
            <v>0.95</v>
          </cell>
          <cell r="BF30">
            <v>0.95</v>
          </cell>
          <cell r="BG30">
            <v>0.95</v>
          </cell>
          <cell r="BH30">
            <v>0.95</v>
          </cell>
          <cell r="BI30">
            <v>0.95</v>
          </cell>
          <cell r="BJ30">
            <v>0.95</v>
          </cell>
          <cell r="BK30">
            <v>0.95</v>
          </cell>
          <cell r="BL30">
            <v>0.95</v>
          </cell>
          <cell r="BM30">
            <v>0.95</v>
          </cell>
          <cell r="BN30">
            <v>0.95</v>
          </cell>
          <cell r="BO30">
            <v>0.95</v>
          </cell>
          <cell r="BP30">
            <v>0.95</v>
          </cell>
          <cell r="BQ30">
            <v>0.95</v>
          </cell>
          <cell r="BR30">
            <v>0.95</v>
          </cell>
          <cell r="BS30">
            <v>0.95</v>
          </cell>
          <cell r="BT30">
            <v>1</v>
          </cell>
          <cell r="BU30">
            <v>1</v>
          </cell>
          <cell r="BV30">
            <v>1</v>
          </cell>
          <cell r="BW30">
            <v>1</v>
          </cell>
          <cell r="BX30">
            <v>1</v>
          </cell>
          <cell r="BY30">
            <v>1</v>
          </cell>
          <cell r="BZ30">
            <v>1</v>
          </cell>
          <cell r="CA30">
            <v>1</v>
          </cell>
          <cell r="CB30">
            <v>1</v>
          </cell>
          <cell r="CC30">
            <v>1</v>
          </cell>
          <cell r="CD30">
            <v>1</v>
          </cell>
          <cell r="CE30">
            <v>1</v>
          </cell>
          <cell r="CF30">
            <v>1</v>
          </cell>
          <cell r="CG30">
            <v>1</v>
          </cell>
          <cell r="CH30">
            <v>1</v>
          </cell>
          <cell r="CI30">
            <v>1</v>
          </cell>
          <cell r="CJ30">
            <v>1</v>
          </cell>
          <cell r="CK30">
            <v>1</v>
          </cell>
        </row>
        <row r="31">
          <cell r="J31">
            <v>39174</v>
          </cell>
          <cell r="K31">
            <v>39338</v>
          </cell>
          <cell r="L31">
            <v>39399</v>
          </cell>
          <cell r="M31">
            <v>39416</v>
          </cell>
          <cell r="N31">
            <v>39430</v>
          </cell>
          <cell r="O31">
            <v>39642</v>
          </cell>
          <cell r="Q31" t="str">
            <v>R</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0.5</v>
          </cell>
          <cell r="BA31">
            <v>0.5</v>
          </cell>
          <cell r="BB31">
            <v>0.5</v>
          </cell>
          <cell r="BC31">
            <v>0.5</v>
          </cell>
          <cell r="BD31">
            <v>0.5</v>
          </cell>
          <cell r="BE31">
            <v>0.5</v>
          </cell>
          <cell r="BF31">
            <v>0.5</v>
          </cell>
          <cell r="BG31">
            <v>0.5</v>
          </cell>
          <cell r="BH31">
            <v>0.5</v>
          </cell>
          <cell r="BI31">
            <v>0.7</v>
          </cell>
          <cell r="BJ31">
            <v>0.7</v>
          </cell>
          <cell r="BK31">
            <v>0.7</v>
          </cell>
          <cell r="BL31">
            <v>0.7</v>
          </cell>
          <cell r="BM31">
            <v>0.7</v>
          </cell>
          <cell r="BN31">
            <v>0.95</v>
          </cell>
          <cell r="BO31">
            <v>0.95</v>
          </cell>
          <cell r="BP31">
            <v>0.95</v>
          </cell>
          <cell r="BQ31">
            <v>0.95</v>
          </cell>
          <cell r="BR31">
            <v>0.95</v>
          </cell>
          <cell r="BS31">
            <v>0.95</v>
          </cell>
          <cell r="BT31">
            <v>0.95</v>
          </cell>
          <cell r="BU31">
            <v>0.95</v>
          </cell>
          <cell r="BV31">
            <v>0.95</v>
          </cell>
          <cell r="BW31">
            <v>0.95</v>
          </cell>
          <cell r="BX31">
            <v>0.95</v>
          </cell>
          <cell r="BY31">
            <v>0.95</v>
          </cell>
          <cell r="BZ31">
            <v>0.95</v>
          </cell>
          <cell r="CA31">
            <v>0.95</v>
          </cell>
          <cell r="CB31">
            <v>0.95</v>
          </cell>
          <cell r="CC31">
            <v>0.95</v>
          </cell>
          <cell r="CD31">
            <v>0.95</v>
          </cell>
          <cell r="CE31">
            <v>0.95</v>
          </cell>
          <cell r="CF31">
            <v>0.95</v>
          </cell>
          <cell r="CG31">
            <v>0.95</v>
          </cell>
          <cell r="CH31">
            <v>0.95</v>
          </cell>
          <cell r="CI31">
            <v>0.95</v>
          </cell>
          <cell r="CJ31">
            <v>0.95</v>
          </cell>
          <cell r="CK31">
            <v>0.95</v>
          </cell>
        </row>
        <row r="32">
          <cell r="Q32" t="str">
            <v>E</v>
          </cell>
          <cell r="AJ32">
            <v>0</v>
          </cell>
          <cell r="AK32">
            <v>0</v>
          </cell>
          <cell r="AL32">
            <v>0</v>
          </cell>
          <cell r="AM32">
            <v>0</v>
          </cell>
          <cell r="AN32">
            <v>0.5</v>
          </cell>
          <cell r="AO32">
            <v>0.5</v>
          </cell>
          <cell r="AP32">
            <v>0.5</v>
          </cell>
          <cell r="AQ32">
            <v>0.5</v>
          </cell>
          <cell r="AR32">
            <v>0.5</v>
          </cell>
          <cell r="AS32">
            <v>0.5</v>
          </cell>
          <cell r="AT32">
            <v>0.5</v>
          </cell>
          <cell r="AU32">
            <v>0.5</v>
          </cell>
          <cell r="AV32">
            <v>0.5</v>
          </cell>
          <cell r="AW32">
            <v>0.5</v>
          </cell>
          <cell r="AX32">
            <v>0.5</v>
          </cell>
          <cell r="AY32">
            <v>0.5</v>
          </cell>
          <cell r="AZ32">
            <v>0.5</v>
          </cell>
          <cell r="BA32">
            <v>0.5</v>
          </cell>
          <cell r="BB32">
            <v>0.5</v>
          </cell>
          <cell r="BC32">
            <v>0.5</v>
          </cell>
          <cell r="BD32">
            <v>0.5</v>
          </cell>
          <cell r="BE32">
            <v>0.5</v>
          </cell>
          <cell r="BF32">
            <v>0.5</v>
          </cell>
          <cell r="BG32">
            <v>0.5</v>
          </cell>
          <cell r="BH32">
            <v>0.5</v>
          </cell>
          <cell r="BI32">
            <v>0.5</v>
          </cell>
          <cell r="BJ32">
            <v>0.7</v>
          </cell>
          <cell r="BK32">
            <v>0.7</v>
          </cell>
          <cell r="BL32">
            <v>0.7</v>
          </cell>
          <cell r="BM32">
            <v>0.7</v>
          </cell>
          <cell r="BN32">
            <v>0.7</v>
          </cell>
          <cell r="BO32">
            <v>0.7</v>
          </cell>
          <cell r="BP32">
            <v>0.7</v>
          </cell>
          <cell r="BQ32">
            <v>0.7</v>
          </cell>
          <cell r="BR32">
            <v>0.7</v>
          </cell>
          <cell r="BS32">
            <v>0.7</v>
          </cell>
          <cell r="BT32">
            <v>0.7</v>
          </cell>
          <cell r="BU32">
            <v>0.7</v>
          </cell>
          <cell r="BV32">
            <v>0.7</v>
          </cell>
          <cell r="BW32">
            <v>0.7</v>
          </cell>
          <cell r="BX32">
            <v>0.7</v>
          </cell>
          <cell r="BY32">
            <v>0.7</v>
          </cell>
          <cell r="BZ32">
            <v>0.7</v>
          </cell>
          <cell r="CA32">
            <v>0.7</v>
          </cell>
          <cell r="CB32">
            <v>0.7</v>
          </cell>
          <cell r="CC32">
            <v>0.7</v>
          </cell>
          <cell r="CD32">
            <v>0</v>
          </cell>
          <cell r="CE32">
            <v>0</v>
          </cell>
          <cell r="CF32">
            <v>0</v>
          </cell>
          <cell r="CG32">
            <v>0</v>
          </cell>
          <cell r="CH32">
            <v>0</v>
          </cell>
          <cell r="CI32">
            <v>0</v>
          </cell>
          <cell r="CJ32">
            <v>0</v>
          </cell>
          <cell r="CK32">
            <v>0</v>
          </cell>
        </row>
        <row r="33">
          <cell r="D33" t="str">
            <v>01</v>
          </cell>
          <cell r="E33" t="str">
            <v>46</v>
          </cell>
          <cell r="F33" t="str">
            <v>P03</v>
          </cell>
          <cell r="H33">
            <v>303</v>
          </cell>
          <cell r="I33" t="str">
            <v>DIAGRAMA DE TUBERIA E INSTRUMENTACION RCB UNIBON COLD FLASH DRUM P&amp;ID INGENIERIA DE DETALLE</v>
          </cell>
          <cell r="J33">
            <v>39438</v>
          </cell>
          <cell r="K33">
            <v>39454</v>
          </cell>
          <cell r="L33">
            <v>39470</v>
          </cell>
          <cell r="M33">
            <v>39486</v>
          </cell>
          <cell r="N33">
            <v>39500</v>
          </cell>
          <cell r="O33">
            <v>39568</v>
          </cell>
          <cell r="P33">
            <v>14.31350144787646</v>
          </cell>
          <cell r="Q33" t="str">
            <v>P</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0.5</v>
          </cell>
          <cell r="BR33">
            <v>0.5</v>
          </cell>
          <cell r="BS33">
            <v>0.7</v>
          </cell>
          <cell r="BT33">
            <v>0.7</v>
          </cell>
          <cell r="BU33">
            <v>0.7</v>
          </cell>
          <cell r="BV33">
            <v>0.7</v>
          </cell>
          <cell r="BW33">
            <v>0.7</v>
          </cell>
          <cell r="BX33">
            <v>0.95</v>
          </cell>
          <cell r="BY33">
            <v>0.95</v>
          </cell>
          <cell r="BZ33">
            <v>0.95</v>
          </cell>
          <cell r="CA33">
            <v>0.95</v>
          </cell>
          <cell r="CB33">
            <v>0.95</v>
          </cell>
          <cell r="CC33">
            <v>0.95</v>
          </cell>
          <cell r="CD33">
            <v>0.95</v>
          </cell>
          <cell r="CE33">
            <v>0.95</v>
          </cell>
          <cell r="CF33">
            <v>0.95</v>
          </cell>
          <cell r="CG33">
            <v>1</v>
          </cell>
          <cell r="CH33">
            <v>1</v>
          </cell>
          <cell r="CI33">
            <v>1</v>
          </cell>
          <cell r="CJ33">
            <v>1</v>
          </cell>
          <cell r="CK33">
            <v>1</v>
          </cell>
        </row>
        <row r="34">
          <cell r="J34">
            <v>39438</v>
          </cell>
          <cell r="K34">
            <v>39454</v>
          </cell>
          <cell r="L34">
            <v>39470</v>
          </cell>
          <cell r="M34">
            <v>39486</v>
          </cell>
          <cell r="N34">
            <v>39500</v>
          </cell>
          <cell r="O34">
            <v>39642</v>
          </cell>
          <cell r="Q34" t="str">
            <v>R</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0.5</v>
          </cell>
          <cell r="BR34">
            <v>0.5</v>
          </cell>
          <cell r="BS34">
            <v>0.7</v>
          </cell>
          <cell r="BT34">
            <v>0.7</v>
          </cell>
          <cell r="BU34">
            <v>0.7</v>
          </cell>
          <cell r="BV34">
            <v>0.7</v>
          </cell>
          <cell r="BW34">
            <v>0.7</v>
          </cell>
          <cell r="BX34">
            <v>0.95</v>
          </cell>
          <cell r="BY34">
            <v>0.95</v>
          </cell>
          <cell r="BZ34">
            <v>0.95</v>
          </cell>
          <cell r="CA34">
            <v>0.95</v>
          </cell>
          <cell r="CB34">
            <v>0.95</v>
          </cell>
          <cell r="CC34">
            <v>0.95</v>
          </cell>
          <cell r="CD34">
            <v>0.95</v>
          </cell>
          <cell r="CE34">
            <v>0.95</v>
          </cell>
          <cell r="CF34">
            <v>0.95</v>
          </cell>
          <cell r="CG34">
            <v>0.95</v>
          </cell>
          <cell r="CH34">
            <v>0.95</v>
          </cell>
          <cell r="CI34">
            <v>0.95</v>
          </cell>
          <cell r="CJ34">
            <v>0.95</v>
          </cell>
          <cell r="CK34">
            <v>0.95</v>
          </cell>
        </row>
        <row r="35">
          <cell r="Q35" t="str">
            <v>E</v>
          </cell>
          <cell r="BS35">
            <v>0</v>
          </cell>
          <cell r="BT35">
            <v>0</v>
          </cell>
          <cell r="BU35">
            <v>0</v>
          </cell>
          <cell r="BV35">
            <v>0</v>
          </cell>
          <cell r="BW35">
            <v>0.7</v>
          </cell>
          <cell r="BX35">
            <v>0.7</v>
          </cell>
          <cell r="BY35">
            <v>0.7</v>
          </cell>
          <cell r="BZ35">
            <v>0.7</v>
          </cell>
          <cell r="CA35">
            <v>0.95</v>
          </cell>
          <cell r="CB35">
            <v>0.95</v>
          </cell>
          <cell r="CC35">
            <v>0.95</v>
          </cell>
          <cell r="CD35">
            <v>0</v>
          </cell>
          <cell r="CE35">
            <v>0</v>
          </cell>
          <cell r="CF35">
            <v>0</v>
          </cell>
          <cell r="CG35">
            <v>0</v>
          </cell>
          <cell r="CH35">
            <v>0</v>
          </cell>
          <cell r="CI35">
            <v>0</v>
          </cell>
          <cell r="CJ35">
            <v>0</v>
          </cell>
          <cell r="CK35">
            <v>0</v>
          </cell>
        </row>
        <row r="36">
          <cell r="D36" t="str">
            <v>01</v>
          </cell>
          <cell r="E36" t="str">
            <v>46</v>
          </cell>
          <cell r="F36" t="str">
            <v>P03</v>
          </cell>
          <cell r="H36">
            <v>304</v>
          </cell>
          <cell r="I36" t="str">
            <v>DIAGRAMA DE TUBERIA E INSTRUMENTACION FACILIDADES EXISTENTES EN LÍNEA DE H2 HACIA AROMATICOS P&amp;ID INGENIERIA DE DETALLE</v>
          </cell>
          <cell r="J36">
            <v>39463</v>
          </cell>
          <cell r="K36">
            <v>39484</v>
          </cell>
          <cell r="L36">
            <v>39498</v>
          </cell>
          <cell r="M36">
            <v>39507</v>
          </cell>
          <cell r="N36">
            <v>39521</v>
          </cell>
          <cell r="O36">
            <v>39568</v>
          </cell>
          <cell r="P36">
            <v>14.31350144787646</v>
          </cell>
          <cell r="Q36" t="str">
            <v>P</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0.5</v>
          </cell>
          <cell r="BV36">
            <v>0.5</v>
          </cell>
          <cell r="BW36">
            <v>0.7</v>
          </cell>
          <cell r="BX36">
            <v>0.7</v>
          </cell>
          <cell r="BY36">
            <v>0.7</v>
          </cell>
          <cell r="BZ36">
            <v>0.7</v>
          </cell>
          <cell r="CA36">
            <v>0.95</v>
          </cell>
          <cell r="CB36">
            <v>0.95</v>
          </cell>
          <cell r="CC36">
            <v>0.95</v>
          </cell>
          <cell r="CD36">
            <v>0.95</v>
          </cell>
          <cell r="CE36">
            <v>0.95</v>
          </cell>
          <cell r="CF36">
            <v>0.95</v>
          </cell>
          <cell r="CG36">
            <v>1</v>
          </cell>
          <cell r="CH36">
            <v>1</v>
          </cell>
          <cell r="CI36">
            <v>1</v>
          </cell>
          <cell r="CJ36">
            <v>1</v>
          </cell>
          <cell r="CK36">
            <v>1</v>
          </cell>
        </row>
        <row r="37">
          <cell r="J37">
            <v>39463</v>
          </cell>
          <cell r="K37">
            <v>39484</v>
          </cell>
          <cell r="L37">
            <v>39498</v>
          </cell>
          <cell r="M37">
            <v>39507</v>
          </cell>
          <cell r="N37">
            <v>39521</v>
          </cell>
          <cell r="O37">
            <v>39642</v>
          </cell>
          <cell r="Q37" t="str">
            <v>R</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0.5</v>
          </cell>
          <cell r="BV37">
            <v>0.5</v>
          </cell>
          <cell r="BW37">
            <v>0.7</v>
          </cell>
          <cell r="BX37">
            <v>0.7</v>
          </cell>
          <cell r="BY37">
            <v>0.7</v>
          </cell>
          <cell r="BZ37">
            <v>0.7</v>
          </cell>
          <cell r="CA37">
            <v>0.95</v>
          </cell>
          <cell r="CB37">
            <v>0.95</v>
          </cell>
          <cell r="CC37">
            <v>0.95</v>
          </cell>
          <cell r="CD37">
            <v>0.95</v>
          </cell>
          <cell r="CE37">
            <v>0.95</v>
          </cell>
          <cell r="CF37">
            <v>0.95</v>
          </cell>
          <cell r="CG37">
            <v>0.95</v>
          </cell>
          <cell r="CH37">
            <v>0.95</v>
          </cell>
          <cell r="CI37">
            <v>0.95</v>
          </cell>
          <cell r="CJ37">
            <v>0.95</v>
          </cell>
          <cell r="CK37">
            <v>0.95</v>
          </cell>
        </row>
        <row r="38">
          <cell r="Q38" t="str">
            <v>E</v>
          </cell>
          <cell r="BS38">
            <v>0</v>
          </cell>
          <cell r="BT38">
            <v>0</v>
          </cell>
          <cell r="BU38">
            <v>0</v>
          </cell>
          <cell r="BV38">
            <v>0</v>
          </cell>
          <cell r="BW38">
            <v>0.5</v>
          </cell>
          <cell r="BX38">
            <v>0.5</v>
          </cell>
          <cell r="BY38">
            <v>0.5</v>
          </cell>
          <cell r="BZ38">
            <v>0.5</v>
          </cell>
          <cell r="CA38">
            <v>0.5</v>
          </cell>
          <cell r="CB38">
            <v>0.5</v>
          </cell>
          <cell r="CC38">
            <v>0.5</v>
          </cell>
          <cell r="CD38">
            <v>0</v>
          </cell>
          <cell r="CE38">
            <v>0</v>
          </cell>
          <cell r="CF38">
            <v>0</v>
          </cell>
          <cell r="CG38">
            <v>0</v>
          </cell>
          <cell r="CH38">
            <v>0</v>
          </cell>
          <cell r="CI38">
            <v>0</v>
          </cell>
          <cell r="CJ38">
            <v>0</v>
          </cell>
          <cell r="CK38">
            <v>0</v>
          </cell>
        </row>
        <row r="39">
          <cell r="D39" t="str">
            <v>01</v>
          </cell>
          <cell r="E39" t="str">
            <v>46</v>
          </cell>
          <cell r="F39" t="str">
            <v>P03</v>
          </cell>
          <cell r="H39">
            <v>402</v>
          </cell>
          <cell r="I39" t="str">
            <v>DIAGRAMA DE TUBERIA E INSTRUMENTACION PLANTA DE ETILENO II FUEL GAS, NITROGEN, PLANT AIR &amp; INSTRUMEN AIR P&amp;ID INGENIERIA DE DETALLE</v>
          </cell>
          <cell r="J39">
            <v>39438</v>
          </cell>
          <cell r="K39">
            <v>39454</v>
          </cell>
          <cell r="L39">
            <v>39470</v>
          </cell>
          <cell r="M39">
            <v>39486</v>
          </cell>
          <cell r="N39">
            <v>39500</v>
          </cell>
          <cell r="O39">
            <v>39568</v>
          </cell>
          <cell r="P39">
            <v>14.31350144787646</v>
          </cell>
          <cell r="Q39" t="str">
            <v>P</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0.5</v>
          </cell>
          <cell r="BR39">
            <v>0.5</v>
          </cell>
          <cell r="BS39">
            <v>0.7</v>
          </cell>
          <cell r="BT39">
            <v>0.7</v>
          </cell>
          <cell r="BU39">
            <v>0.7</v>
          </cell>
          <cell r="BV39">
            <v>0.7</v>
          </cell>
          <cell r="BW39">
            <v>0.7</v>
          </cell>
          <cell r="BX39">
            <v>0.95</v>
          </cell>
          <cell r="BY39">
            <v>0.95</v>
          </cell>
          <cell r="BZ39">
            <v>0.95</v>
          </cell>
          <cell r="CA39">
            <v>0.95</v>
          </cell>
          <cell r="CB39">
            <v>0.95</v>
          </cell>
          <cell r="CC39">
            <v>0.95</v>
          </cell>
          <cell r="CD39">
            <v>0.95</v>
          </cell>
          <cell r="CE39">
            <v>0.95</v>
          </cell>
          <cell r="CF39">
            <v>0.95</v>
          </cell>
          <cell r="CG39">
            <v>1</v>
          </cell>
          <cell r="CH39">
            <v>1</v>
          </cell>
          <cell r="CI39">
            <v>1</v>
          </cell>
          <cell r="CJ39">
            <v>1</v>
          </cell>
          <cell r="CK39">
            <v>1</v>
          </cell>
        </row>
        <row r="40">
          <cell r="J40">
            <v>39438</v>
          </cell>
          <cell r="K40">
            <v>39454</v>
          </cell>
          <cell r="L40">
            <v>39470</v>
          </cell>
          <cell r="M40">
            <v>39486</v>
          </cell>
          <cell r="N40">
            <v>39500</v>
          </cell>
          <cell r="O40">
            <v>39642</v>
          </cell>
          <cell r="Q40" t="str">
            <v>R</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0.5</v>
          </cell>
          <cell r="BR40">
            <v>0.5</v>
          </cell>
          <cell r="BS40">
            <v>0.7</v>
          </cell>
          <cell r="BT40">
            <v>0.7</v>
          </cell>
          <cell r="BU40">
            <v>0.7</v>
          </cell>
          <cell r="BV40">
            <v>0.7</v>
          </cell>
          <cell r="BW40">
            <v>0.7</v>
          </cell>
          <cell r="BX40">
            <v>0.95</v>
          </cell>
          <cell r="BY40">
            <v>0.95</v>
          </cell>
          <cell r="BZ40">
            <v>0.95</v>
          </cell>
          <cell r="CA40">
            <v>0.95</v>
          </cell>
          <cell r="CB40">
            <v>0.95</v>
          </cell>
          <cell r="CC40">
            <v>0.95</v>
          </cell>
          <cell r="CD40">
            <v>0.95</v>
          </cell>
          <cell r="CE40">
            <v>0.95</v>
          </cell>
          <cell r="CF40">
            <v>0.95</v>
          </cell>
          <cell r="CG40">
            <v>0.95</v>
          </cell>
          <cell r="CH40">
            <v>0.95</v>
          </cell>
          <cell r="CI40">
            <v>0.95</v>
          </cell>
          <cell r="CJ40">
            <v>0.95</v>
          </cell>
          <cell r="CK40">
            <v>0.95</v>
          </cell>
        </row>
        <row r="41">
          <cell r="Q41" t="str">
            <v>E</v>
          </cell>
          <cell r="BS41">
            <v>0</v>
          </cell>
          <cell r="BT41">
            <v>0</v>
          </cell>
          <cell r="BU41">
            <v>0</v>
          </cell>
          <cell r="BV41">
            <v>0</v>
          </cell>
          <cell r="BW41">
            <v>0.7</v>
          </cell>
          <cell r="BX41">
            <v>0.7</v>
          </cell>
          <cell r="BY41">
            <v>0.7</v>
          </cell>
          <cell r="BZ41">
            <v>0.7</v>
          </cell>
          <cell r="CA41">
            <v>0.95</v>
          </cell>
          <cell r="CB41">
            <v>0.95</v>
          </cell>
          <cell r="CC41">
            <v>0.95</v>
          </cell>
          <cell r="CD41">
            <v>0</v>
          </cell>
          <cell r="CE41">
            <v>0</v>
          </cell>
          <cell r="CF41">
            <v>0</v>
          </cell>
          <cell r="CG41">
            <v>0</v>
          </cell>
          <cell r="CH41">
            <v>0</v>
          </cell>
          <cell r="CI41">
            <v>0</v>
          </cell>
          <cell r="CJ41">
            <v>0</v>
          </cell>
          <cell r="CK41">
            <v>0</v>
          </cell>
        </row>
        <row r="42">
          <cell r="D42" t="str">
            <v>01</v>
          </cell>
          <cell r="E42" t="str">
            <v>46</v>
          </cell>
          <cell r="F42" t="str">
            <v>P03</v>
          </cell>
          <cell r="H42">
            <v>403</v>
          </cell>
          <cell r="I42" t="str">
            <v>DIAGRAMA DE TUBERIA E INSTRUMENTACION PLANTA DE ETILENO COOLING WATER-RAW WATER - DRINK WATER P&amp;ID INGENIERIA DE DETALLE</v>
          </cell>
          <cell r="J42">
            <v>39438</v>
          </cell>
          <cell r="K42">
            <v>39454</v>
          </cell>
          <cell r="L42">
            <v>39470</v>
          </cell>
          <cell r="M42">
            <v>39486</v>
          </cell>
          <cell r="N42">
            <v>39500</v>
          </cell>
          <cell r="O42">
            <v>39568</v>
          </cell>
          <cell r="P42">
            <v>14.31350144787646</v>
          </cell>
          <cell r="Q42" t="str">
            <v>P</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0.5</v>
          </cell>
          <cell r="BR42">
            <v>0.5</v>
          </cell>
          <cell r="BS42">
            <v>0.7</v>
          </cell>
          <cell r="BT42">
            <v>0.7</v>
          </cell>
          <cell r="BU42">
            <v>0.7</v>
          </cell>
          <cell r="BV42">
            <v>0.7</v>
          </cell>
          <cell r="BW42">
            <v>0.7</v>
          </cell>
          <cell r="BX42">
            <v>0.95</v>
          </cell>
          <cell r="BY42">
            <v>0.95</v>
          </cell>
          <cell r="BZ42">
            <v>0.95</v>
          </cell>
          <cell r="CA42">
            <v>0.95</v>
          </cell>
          <cell r="CB42">
            <v>0.95</v>
          </cell>
          <cell r="CC42">
            <v>0.95</v>
          </cell>
          <cell r="CD42">
            <v>0.95</v>
          </cell>
          <cell r="CE42">
            <v>0.95</v>
          </cell>
          <cell r="CF42">
            <v>0.95</v>
          </cell>
          <cell r="CG42">
            <v>1</v>
          </cell>
          <cell r="CH42">
            <v>1</v>
          </cell>
          <cell r="CI42">
            <v>1</v>
          </cell>
          <cell r="CJ42">
            <v>1</v>
          </cell>
          <cell r="CK42">
            <v>1</v>
          </cell>
        </row>
        <row r="43">
          <cell r="J43">
            <v>39438</v>
          </cell>
          <cell r="K43">
            <v>39454</v>
          </cell>
          <cell r="L43">
            <v>39470</v>
          </cell>
          <cell r="M43">
            <v>39486</v>
          </cell>
          <cell r="N43">
            <v>39500</v>
          </cell>
          <cell r="O43">
            <v>39642</v>
          </cell>
          <cell r="Q43" t="str">
            <v>R</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0.5</v>
          </cell>
          <cell r="BR43">
            <v>0.5</v>
          </cell>
          <cell r="BS43">
            <v>0.7</v>
          </cell>
          <cell r="BT43">
            <v>0.7</v>
          </cell>
          <cell r="BU43">
            <v>0.7</v>
          </cell>
          <cell r="BV43">
            <v>0.7</v>
          </cell>
          <cell r="BW43">
            <v>0.7</v>
          </cell>
          <cell r="BX43">
            <v>0.95</v>
          </cell>
          <cell r="BY43">
            <v>0.95</v>
          </cell>
          <cell r="BZ43">
            <v>0.95</v>
          </cell>
          <cell r="CA43">
            <v>0.95</v>
          </cell>
          <cell r="CB43">
            <v>0.95</v>
          </cell>
          <cell r="CC43">
            <v>0.95</v>
          </cell>
          <cell r="CD43">
            <v>0.95</v>
          </cell>
          <cell r="CE43">
            <v>0.95</v>
          </cell>
          <cell r="CF43">
            <v>0.95</v>
          </cell>
          <cell r="CG43">
            <v>0.95</v>
          </cell>
          <cell r="CH43">
            <v>0.95</v>
          </cell>
          <cell r="CI43">
            <v>0.95</v>
          </cell>
          <cell r="CJ43">
            <v>0.95</v>
          </cell>
          <cell r="CK43">
            <v>0.95</v>
          </cell>
        </row>
        <row r="44">
          <cell r="Q44" t="str">
            <v>E</v>
          </cell>
          <cell r="BS44">
            <v>0</v>
          </cell>
          <cell r="BT44">
            <v>0</v>
          </cell>
          <cell r="BU44">
            <v>0</v>
          </cell>
          <cell r="BV44">
            <v>0</v>
          </cell>
          <cell r="BW44">
            <v>0.7</v>
          </cell>
          <cell r="BX44">
            <v>0.7</v>
          </cell>
          <cell r="BY44">
            <v>0.7</v>
          </cell>
          <cell r="BZ44">
            <v>0.7</v>
          </cell>
          <cell r="CA44">
            <v>0.7</v>
          </cell>
          <cell r="CB44">
            <v>0.7</v>
          </cell>
          <cell r="CC44">
            <v>0.7</v>
          </cell>
          <cell r="CD44">
            <v>0</v>
          </cell>
          <cell r="CE44">
            <v>0</v>
          </cell>
          <cell r="CF44">
            <v>0</v>
          </cell>
          <cell r="CG44">
            <v>0</v>
          </cell>
          <cell r="CH44">
            <v>0</v>
          </cell>
          <cell r="CI44">
            <v>0</v>
          </cell>
          <cell r="CJ44">
            <v>0</v>
          </cell>
          <cell r="CK44">
            <v>0</v>
          </cell>
        </row>
        <row r="45">
          <cell r="D45" t="str">
            <v>01</v>
          </cell>
          <cell r="E45" t="str">
            <v>46</v>
          </cell>
          <cell r="F45" t="str">
            <v>P03</v>
          </cell>
          <cell r="H45">
            <v>404</v>
          </cell>
          <cell r="I45" t="str">
            <v>DIAGRAMA DE TUBERIA E INSTRUMENTACION PLANTA DE ETILENO II (U-4100) FLARE P&amp;ID INGENIERIA DE DETALLE</v>
          </cell>
          <cell r="J45">
            <v>39438</v>
          </cell>
          <cell r="K45">
            <v>39454</v>
          </cell>
          <cell r="L45">
            <v>39470</v>
          </cell>
          <cell r="M45">
            <v>39486</v>
          </cell>
          <cell r="N45">
            <v>39500</v>
          </cell>
          <cell r="O45">
            <v>39568</v>
          </cell>
          <cell r="P45">
            <v>14.31350144787646</v>
          </cell>
          <cell r="Q45" t="str">
            <v>P</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0.5</v>
          </cell>
          <cell r="BR45">
            <v>0.5</v>
          </cell>
          <cell r="BS45">
            <v>0.7</v>
          </cell>
          <cell r="BT45">
            <v>0.7</v>
          </cell>
          <cell r="BU45">
            <v>0.7</v>
          </cell>
          <cell r="BV45">
            <v>0.7</v>
          </cell>
          <cell r="BW45">
            <v>0.7</v>
          </cell>
          <cell r="BX45">
            <v>0.95</v>
          </cell>
          <cell r="BY45">
            <v>0.95</v>
          </cell>
          <cell r="BZ45">
            <v>0.95</v>
          </cell>
          <cell r="CA45">
            <v>0.95</v>
          </cell>
          <cell r="CB45">
            <v>0.95</v>
          </cell>
          <cell r="CC45">
            <v>0.95</v>
          </cell>
          <cell r="CD45">
            <v>0.95</v>
          </cell>
          <cell r="CE45">
            <v>0.95</v>
          </cell>
          <cell r="CF45">
            <v>0.95</v>
          </cell>
          <cell r="CG45">
            <v>1</v>
          </cell>
          <cell r="CH45">
            <v>1</v>
          </cell>
          <cell r="CI45">
            <v>1</v>
          </cell>
          <cell r="CJ45">
            <v>1</v>
          </cell>
          <cell r="CK45">
            <v>1</v>
          </cell>
        </row>
        <row r="46">
          <cell r="J46">
            <v>39438</v>
          </cell>
          <cell r="K46">
            <v>39454</v>
          </cell>
          <cell r="L46">
            <v>39470</v>
          </cell>
          <cell r="M46">
            <v>39486</v>
          </cell>
          <cell r="N46">
            <v>39500</v>
          </cell>
          <cell r="O46">
            <v>39642</v>
          </cell>
          <cell r="Q46" t="str">
            <v>R</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0.5</v>
          </cell>
          <cell r="BR46">
            <v>0.5</v>
          </cell>
          <cell r="BS46">
            <v>0.7</v>
          </cell>
          <cell r="BT46">
            <v>0.7</v>
          </cell>
          <cell r="BU46">
            <v>0.7</v>
          </cell>
          <cell r="BV46">
            <v>0.7</v>
          </cell>
          <cell r="BW46">
            <v>0.7</v>
          </cell>
          <cell r="BX46">
            <v>0.95</v>
          </cell>
          <cell r="BY46">
            <v>0.95</v>
          </cell>
          <cell r="BZ46">
            <v>0.95</v>
          </cell>
          <cell r="CA46">
            <v>0.95</v>
          </cell>
          <cell r="CB46">
            <v>0.95</v>
          </cell>
          <cell r="CC46">
            <v>0.95</v>
          </cell>
          <cell r="CD46">
            <v>0.95</v>
          </cell>
          <cell r="CE46">
            <v>0.95</v>
          </cell>
          <cell r="CF46">
            <v>0.95</v>
          </cell>
          <cell r="CG46">
            <v>0.95</v>
          </cell>
          <cell r="CH46">
            <v>0.95</v>
          </cell>
          <cell r="CI46">
            <v>0.95</v>
          </cell>
          <cell r="CJ46">
            <v>0.95</v>
          </cell>
          <cell r="CK46">
            <v>0.95</v>
          </cell>
        </row>
        <row r="47">
          <cell r="Q47" t="str">
            <v>E</v>
          </cell>
          <cell r="BS47">
            <v>0</v>
          </cell>
          <cell r="BT47">
            <v>0</v>
          </cell>
          <cell r="BU47">
            <v>0</v>
          </cell>
          <cell r="BV47">
            <v>0</v>
          </cell>
          <cell r="BW47">
            <v>0.7</v>
          </cell>
          <cell r="BX47">
            <v>0.7</v>
          </cell>
          <cell r="BY47">
            <v>0.7</v>
          </cell>
          <cell r="BZ47">
            <v>0.7</v>
          </cell>
          <cell r="CA47">
            <v>0.7</v>
          </cell>
          <cell r="CB47">
            <v>0.7</v>
          </cell>
          <cell r="CC47">
            <v>0.7</v>
          </cell>
          <cell r="CD47">
            <v>0</v>
          </cell>
          <cell r="CE47">
            <v>0</v>
          </cell>
          <cell r="CF47">
            <v>0</v>
          </cell>
          <cell r="CG47">
            <v>0</v>
          </cell>
          <cell r="CH47">
            <v>0</v>
          </cell>
          <cell r="CI47">
            <v>0</v>
          </cell>
          <cell r="CJ47">
            <v>0</v>
          </cell>
          <cell r="CK47">
            <v>0</v>
          </cell>
        </row>
        <row r="48">
          <cell r="D48" t="str">
            <v>01</v>
          </cell>
          <cell r="E48" t="str">
            <v>46</v>
          </cell>
          <cell r="F48" t="str">
            <v>P03</v>
          </cell>
          <cell r="H48">
            <v>405</v>
          </cell>
          <cell r="I48" t="str">
            <v>DIAGRAMA DE TUBERIA E INSTRUMENTACION PLANTA DE ETILENO II HP-LP-MP STEAM &amp; CONDENSATE P&amp;ID INGENIERIA DE DETALLE</v>
          </cell>
          <cell r="J48">
            <v>39438</v>
          </cell>
          <cell r="K48">
            <v>39454</v>
          </cell>
          <cell r="L48">
            <v>39470</v>
          </cell>
          <cell r="M48">
            <v>39486</v>
          </cell>
          <cell r="N48">
            <v>39500</v>
          </cell>
          <cell r="O48">
            <v>39568</v>
          </cell>
          <cell r="P48">
            <v>14.31350144787646</v>
          </cell>
          <cell r="Q48" t="str">
            <v>P</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0.5</v>
          </cell>
          <cell r="BR48">
            <v>0.5</v>
          </cell>
          <cell r="BS48">
            <v>0.7</v>
          </cell>
          <cell r="BT48">
            <v>0.7</v>
          </cell>
          <cell r="BU48">
            <v>0.7</v>
          </cell>
          <cell r="BV48">
            <v>0.7</v>
          </cell>
          <cell r="BW48">
            <v>0.7</v>
          </cell>
          <cell r="BX48">
            <v>0.95</v>
          </cell>
          <cell r="BY48">
            <v>0.95</v>
          </cell>
          <cell r="BZ48">
            <v>0.95</v>
          </cell>
          <cell r="CA48">
            <v>0.95</v>
          </cell>
          <cell r="CB48">
            <v>0.95</v>
          </cell>
          <cell r="CC48">
            <v>0.95</v>
          </cell>
          <cell r="CD48">
            <v>0.95</v>
          </cell>
          <cell r="CE48">
            <v>0.95</v>
          </cell>
          <cell r="CF48">
            <v>0.95</v>
          </cell>
          <cell r="CG48">
            <v>1</v>
          </cell>
          <cell r="CH48">
            <v>1</v>
          </cell>
          <cell r="CI48">
            <v>1</v>
          </cell>
          <cell r="CJ48">
            <v>1</v>
          </cell>
          <cell r="CK48">
            <v>1</v>
          </cell>
        </row>
        <row r="49">
          <cell r="J49">
            <v>39438</v>
          </cell>
          <cell r="K49">
            <v>39454</v>
          </cell>
          <cell r="L49">
            <v>39470</v>
          </cell>
          <cell r="M49">
            <v>39486</v>
          </cell>
          <cell r="N49">
            <v>39500</v>
          </cell>
          <cell r="O49">
            <v>39642</v>
          </cell>
          <cell r="Q49" t="str">
            <v>R</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0.5</v>
          </cell>
          <cell r="BR49">
            <v>0.5</v>
          </cell>
          <cell r="BS49">
            <v>0.7</v>
          </cell>
          <cell r="BT49">
            <v>0.7</v>
          </cell>
          <cell r="BU49">
            <v>0.7</v>
          </cell>
          <cell r="BV49">
            <v>0.7</v>
          </cell>
          <cell r="BW49">
            <v>0.7</v>
          </cell>
          <cell r="BX49">
            <v>0.95</v>
          </cell>
          <cell r="BY49">
            <v>0.95</v>
          </cell>
          <cell r="BZ49">
            <v>0.95</v>
          </cell>
          <cell r="CA49">
            <v>0.95</v>
          </cell>
          <cell r="CB49">
            <v>0.95</v>
          </cell>
          <cell r="CC49">
            <v>0.95</v>
          </cell>
          <cell r="CD49">
            <v>0.95</v>
          </cell>
          <cell r="CE49">
            <v>0.95</v>
          </cell>
          <cell r="CF49">
            <v>0.95</v>
          </cell>
          <cell r="CG49">
            <v>0.95</v>
          </cell>
          <cell r="CH49">
            <v>0.95</v>
          </cell>
          <cell r="CI49">
            <v>0.95</v>
          </cell>
          <cell r="CJ49">
            <v>0.95</v>
          </cell>
          <cell r="CK49">
            <v>0.95</v>
          </cell>
        </row>
        <row r="50">
          <cell r="Q50" t="str">
            <v>E</v>
          </cell>
          <cell r="BS50">
            <v>0</v>
          </cell>
          <cell r="BT50">
            <v>0</v>
          </cell>
          <cell r="BU50">
            <v>0</v>
          </cell>
          <cell r="BV50">
            <v>0</v>
          </cell>
          <cell r="BW50">
            <v>0.7</v>
          </cell>
          <cell r="BX50">
            <v>0.7</v>
          </cell>
          <cell r="BY50">
            <v>0.7</v>
          </cell>
          <cell r="BZ50">
            <v>0.7</v>
          </cell>
          <cell r="CA50">
            <v>0.95</v>
          </cell>
          <cell r="CB50">
            <v>0.95</v>
          </cell>
          <cell r="CC50">
            <v>0.95</v>
          </cell>
          <cell r="CD50">
            <v>0</v>
          </cell>
          <cell r="CE50">
            <v>0</v>
          </cell>
          <cell r="CF50">
            <v>0</v>
          </cell>
          <cell r="CG50">
            <v>0</v>
          </cell>
          <cell r="CH50">
            <v>0</v>
          </cell>
          <cell r="CI50">
            <v>0</v>
          </cell>
          <cell r="CJ50">
            <v>0</v>
          </cell>
          <cell r="CK50">
            <v>0</v>
          </cell>
        </row>
        <row r="51">
          <cell r="D51" t="str">
            <v>01</v>
          </cell>
          <cell r="E51" t="str">
            <v>46</v>
          </cell>
          <cell r="F51" t="str">
            <v>P01</v>
          </cell>
          <cell r="G51" t="str">
            <v>TEC</v>
          </cell>
          <cell r="H51" t="str">
            <v>002</v>
          </cell>
          <cell r="I51" t="str">
            <v>LISTADO DE LINEAS</v>
          </cell>
          <cell r="J51">
            <v>39174</v>
          </cell>
          <cell r="K51">
            <v>39226</v>
          </cell>
          <cell r="L51">
            <v>39240</v>
          </cell>
          <cell r="M51">
            <v>39294</v>
          </cell>
          <cell r="N51">
            <v>39308</v>
          </cell>
          <cell r="O51">
            <v>39476</v>
          </cell>
          <cell r="P51">
            <v>63.280743243243244</v>
          </cell>
          <cell r="Q51" t="str">
            <v>P</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0.5</v>
          </cell>
          <cell r="AK51">
            <v>0.5</v>
          </cell>
          <cell r="AL51">
            <v>0.7</v>
          </cell>
          <cell r="AM51">
            <v>0.7</v>
          </cell>
          <cell r="AN51">
            <v>0.7</v>
          </cell>
          <cell r="AO51">
            <v>0.7</v>
          </cell>
          <cell r="AP51">
            <v>0.7</v>
          </cell>
          <cell r="AQ51">
            <v>0.7</v>
          </cell>
          <cell r="AR51">
            <v>0.7</v>
          </cell>
          <cell r="AS51">
            <v>0.7</v>
          </cell>
          <cell r="AT51">
            <v>0.7</v>
          </cell>
          <cell r="AU51">
            <v>0.7</v>
          </cell>
          <cell r="AV51">
            <v>0.95</v>
          </cell>
          <cell r="AW51">
            <v>0.95</v>
          </cell>
          <cell r="AX51">
            <v>0.95</v>
          </cell>
          <cell r="AY51">
            <v>0.95</v>
          </cell>
          <cell r="AZ51">
            <v>0.95</v>
          </cell>
          <cell r="BA51">
            <v>0.95</v>
          </cell>
          <cell r="BB51">
            <v>0.95</v>
          </cell>
          <cell r="BC51">
            <v>0.95</v>
          </cell>
          <cell r="BD51">
            <v>0.95</v>
          </cell>
          <cell r="BE51">
            <v>0.95</v>
          </cell>
          <cell r="BF51">
            <v>0.95</v>
          </cell>
          <cell r="BG51">
            <v>0.95</v>
          </cell>
          <cell r="BH51">
            <v>0.95</v>
          </cell>
          <cell r="BI51">
            <v>0.95</v>
          </cell>
          <cell r="BJ51">
            <v>0.95</v>
          </cell>
          <cell r="BK51">
            <v>0.95</v>
          </cell>
          <cell r="BL51">
            <v>0.95</v>
          </cell>
          <cell r="BM51">
            <v>0.95</v>
          </cell>
          <cell r="BN51">
            <v>0.95</v>
          </cell>
          <cell r="BO51">
            <v>0.95</v>
          </cell>
          <cell r="BP51">
            <v>0.95</v>
          </cell>
          <cell r="BQ51">
            <v>0.95</v>
          </cell>
          <cell r="BR51">
            <v>0.95</v>
          </cell>
          <cell r="BS51">
            <v>0.95</v>
          </cell>
          <cell r="BT51">
            <v>1</v>
          </cell>
          <cell r="BU51">
            <v>1</v>
          </cell>
          <cell r="BV51">
            <v>1</v>
          </cell>
          <cell r="BW51">
            <v>1</v>
          </cell>
          <cell r="BX51">
            <v>1</v>
          </cell>
          <cell r="BY51">
            <v>1</v>
          </cell>
          <cell r="BZ51">
            <v>1</v>
          </cell>
          <cell r="CA51">
            <v>1</v>
          </cell>
          <cell r="CB51">
            <v>1</v>
          </cell>
          <cell r="CC51">
            <v>1</v>
          </cell>
          <cell r="CD51">
            <v>1</v>
          </cell>
          <cell r="CE51">
            <v>1</v>
          </cell>
          <cell r="CF51">
            <v>1</v>
          </cell>
          <cell r="CG51">
            <v>1</v>
          </cell>
          <cell r="CH51">
            <v>1</v>
          </cell>
          <cell r="CI51">
            <v>1</v>
          </cell>
          <cell r="CJ51">
            <v>1</v>
          </cell>
          <cell r="CK51">
            <v>1</v>
          </cell>
        </row>
        <row r="52">
          <cell r="J52">
            <v>39174</v>
          </cell>
          <cell r="K52">
            <v>39226</v>
          </cell>
          <cell r="L52">
            <v>39374</v>
          </cell>
          <cell r="M52">
            <v>39486</v>
          </cell>
          <cell r="N52">
            <v>39500</v>
          </cell>
          <cell r="O52">
            <v>39642</v>
          </cell>
          <cell r="Q52" t="str">
            <v>R</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0.5</v>
          </cell>
          <cell r="AK52">
            <v>0.5</v>
          </cell>
          <cell r="AL52">
            <v>0.5</v>
          </cell>
          <cell r="AM52">
            <v>0.5</v>
          </cell>
          <cell r="AN52">
            <v>0.5</v>
          </cell>
          <cell r="AO52">
            <v>0.5</v>
          </cell>
          <cell r="AP52">
            <v>0.5</v>
          </cell>
          <cell r="AQ52">
            <v>0.5</v>
          </cell>
          <cell r="AR52">
            <v>0.5</v>
          </cell>
          <cell r="AS52">
            <v>0.5</v>
          </cell>
          <cell r="AT52">
            <v>0.5</v>
          </cell>
          <cell r="AU52">
            <v>0.5</v>
          </cell>
          <cell r="AV52">
            <v>0.5</v>
          </cell>
          <cell r="AW52">
            <v>0.5</v>
          </cell>
          <cell r="AX52">
            <v>0.5</v>
          </cell>
          <cell r="AY52">
            <v>0.5</v>
          </cell>
          <cell r="AZ52">
            <v>0.5</v>
          </cell>
          <cell r="BA52">
            <v>0.5</v>
          </cell>
          <cell r="BB52">
            <v>0.5</v>
          </cell>
          <cell r="BC52">
            <v>0.5</v>
          </cell>
          <cell r="BD52">
            <v>0.5</v>
          </cell>
          <cell r="BE52">
            <v>0.5</v>
          </cell>
          <cell r="BF52">
            <v>0.7</v>
          </cell>
          <cell r="BG52">
            <v>0.7</v>
          </cell>
          <cell r="BH52">
            <v>0.7</v>
          </cell>
          <cell r="BI52">
            <v>0.7</v>
          </cell>
          <cell r="BJ52">
            <v>0.7</v>
          </cell>
          <cell r="BK52">
            <v>0.7</v>
          </cell>
          <cell r="BL52">
            <v>0.7</v>
          </cell>
          <cell r="BM52">
            <v>0.7</v>
          </cell>
          <cell r="BN52">
            <v>0.7</v>
          </cell>
          <cell r="BO52">
            <v>0.7</v>
          </cell>
          <cell r="BP52">
            <v>0.7</v>
          </cell>
          <cell r="BQ52">
            <v>0.7</v>
          </cell>
          <cell r="BR52">
            <v>0.7</v>
          </cell>
          <cell r="BS52">
            <v>0.7</v>
          </cell>
          <cell r="BT52">
            <v>0.7</v>
          </cell>
          <cell r="BU52">
            <v>0.7</v>
          </cell>
          <cell r="BV52">
            <v>0.7</v>
          </cell>
          <cell r="BW52">
            <v>0.7</v>
          </cell>
          <cell r="BX52">
            <v>0.95</v>
          </cell>
          <cell r="BY52">
            <v>0.95</v>
          </cell>
          <cell r="BZ52">
            <v>0.95</v>
          </cell>
          <cell r="CA52">
            <v>0.95</v>
          </cell>
          <cell r="CB52">
            <v>0.95</v>
          </cell>
          <cell r="CC52">
            <v>0.95</v>
          </cell>
          <cell r="CD52">
            <v>0.95</v>
          </cell>
          <cell r="CE52">
            <v>0.95</v>
          </cell>
          <cell r="CF52">
            <v>0.95</v>
          </cell>
          <cell r="CG52">
            <v>0.95</v>
          </cell>
          <cell r="CH52">
            <v>0.95</v>
          </cell>
          <cell r="CI52">
            <v>0.95</v>
          </cell>
          <cell r="CJ52">
            <v>0.95</v>
          </cell>
          <cell r="CK52">
            <v>0.95</v>
          </cell>
        </row>
        <row r="53">
          <cell r="Q53" t="str">
            <v>E</v>
          </cell>
          <cell r="AB53">
            <v>0.1</v>
          </cell>
          <cell r="AC53">
            <v>0.1</v>
          </cell>
          <cell r="AD53">
            <v>0.1</v>
          </cell>
          <cell r="AE53">
            <v>0.1</v>
          </cell>
          <cell r="AF53">
            <v>0.1</v>
          </cell>
          <cell r="AG53">
            <v>0.25</v>
          </cell>
          <cell r="AH53">
            <v>0.25</v>
          </cell>
          <cell r="AI53">
            <v>0.45</v>
          </cell>
          <cell r="AJ53">
            <v>0.45</v>
          </cell>
          <cell r="AK53">
            <v>0.45</v>
          </cell>
          <cell r="AL53">
            <v>0.45</v>
          </cell>
          <cell r="AM53">
            <v>0.45</v>
          </cell>
          <cell r="AN53">
            <v>0.5</v>
          </cell>
          <cell r="AO53">
            <v>0.5</v>
          </cell>
          <cell r="AP53">
            <v>0.5</v>
          </cell>
          <cell r="AQ53">
            <v>0.5</v>
          </cell>
          <cell r="AR53">
            <v>0.5</v>
          </cell>
          <cell r="AS53">
            <v>0.5</v>
          </cell>
          <cell r="AT53">
            <v>0.5</v>
          </cell>
          <cell r="AU53">
            <v>0.5</v>
          </cell>
          <cell r="AV53">
            <v>0.5</v>
          </cell>
          <cell r="AW53">
            <v>0.5</v>
          </cell>
          <cell r="AX53">
            <v>0.5</v>
          </cell>
          <cell r="AY53">
            <v>0.5</v>
          </cell>
          <cell r="AZ53">
            <v>0.5</v>
          </cell>
          <cell r="BA53">
            <v>0.5</v>
          </cell>
          <cell r="BB53">
            <v>0.5</v>
          </cell>
          <cell r="BC53">
            <v>0.5</v>
          </cell>
          <cell r="BD53">
            <v>0.5</v>
          </cell>
          <cell r="BE53">
            <v>0.5</v>
          </cell>
          <cell r="BF53">
            <v>0.5</v>
          </cell>
          <cell r="BG53">
            <v>0.5</v>
          </cell>
          <cell r="BH53">
            <v>0.5</v>
          </cell>
          <cell r="BI53">
            <v>0.5</v>
          </cell>
          <cell r="BJ53">
            <v>0.5</v>
          </cell>
          <cell r="BK53">
            <v>0.5</v>
          </cell>
          <cell r="BL53">
            <v>0.5</v>
          </cell>
          <cell r="BM53">
            <v>0.5</v>
          </cell>
          <cell r="BN53">
            <v>0.5</v>
          </cell>
          <cell r="BO53">
            <v>0.5</v>
          </cell>
          <cell r="BP53">
            <v>0.5</v>
          </cell>
          <cell r="BQ53">
            <v>0.5</v>
          </cell>
          <cell r="BR53">
            <v>0.5</v>
          </cell>
          <cell r="BS53">
            <v>0.5</v>
          </cell>
          <cell r="BT53">
            <v>0.5</v>
          </cell>
          <cell r="BU53">
            <v>0.5</v>
          </cell>
          <cell r="BV53">
            <v>0.5</v>
          </cell>
          <cell r="BW53">
            <v>0.7</v>
          </cell>
          <cell r="BX53">
            <v>0.7</v>
          </cell>
          <cell r="BY53">
            <v>0.7</v>
          </cell>
          <cell r="BZ53">
            <v>0.7</v>
          </cell>
          <cell r="CA53">
            <v>0.7</v>
          </cell>
          <cell r="CB53">
            <v>0.7</v>
          </cell>
          <cell r="CC53">
            <v>0.7</v>
          </cell>
          <cell r="CD53">
            <v>0</v>
          </cell>
          <cell r="CE53">
            <v>0</v>
          </cell>
          <cell r="CF53">
            <v>0</v>
          </cell>
          <cell r="CG53">
            <v>0</v>
          </cell>
          <cell r="CH53">
            <v>0</v>
          </cell>
          <cell r="CI53">
            <v>0</v>
          </cell>
          <cell r="CJ53">
            <v>0</v>
          </cell>
          <cell r="CK53">
            <v>0</v>
          </cell>
        </row>
        <row r="54">
          <cell r="D54" t="str">
            <v>01</v>
          </cell>
          <cell r="E54" t="str">
            <v>46</v>
          </cell>
          <cell r="F54" t="str">
            <v>P01</v>
          </cell>
          <cell r="G54" t="str">
            <v>TEC</v>
          </cell>
          <cell r="H54" t="str">
            <v>003</v>
          </cell>
          <cell r="I54" t="str">
            <v>LISTA DE PUNTOS DE INTERCONEXION</v>
          </cell>
          <cell r="J54">
            <v>39174</v>
          </cell>
          <cell r="K54">
            <v>39226</v>
          </cell>
          <cell r="L54">
            <v>39240</v>
          </cell>
          <cell r="M54">
            <v>39294</v>
          </cell>
          <cell r="N54">
            <v>39308</v>
          </cell>
          <cell r="O54">
            <v>39476</v>
          </cell>
          <cell r="P54">
            <v>31.640371621621622</v>
          </cell>
          <cell r="Q54" t="str">
            <v>P</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0.5</v>
          </cell>
          <cell r="AK54">
            <v>0.5</v>
          </cell>
          <cell r="AL54">
            <v>0.7</v>
          </cell>
          <cell r="AM54">
            <v>0.7</v>
          </cell>
          <cell r="AN54">
            <v>0.7</v>
          </cell>
          <cell r="AO54">
            <v>0.7</v>
          </cell>
          <cell r="AP54">
            <v>0.7</v>
          </cell>
          <cell r="AQ54">
            <v>0.7</v>
          </cell>
          <cell r="AR54">
            <v>0.7</v>
          </cell>
          <cell r="AS54">
            <v>0.7</v>
          </cell>
          <cell r="AT54">
            <v>0.7</v>
          </cell>
          <cell r="AU54">
            <v>0.7</v>
          </cell>
          <cell r="AV54">
            <v>0.95</v>
          </cell>
          <cell r="AW54">
            <v>0.95</v>
          </cell>
          <cell r="AX54">
            <v>0.95</v>
          </cell>
          <cell r="AY54">
            <v>0.95</v>
          </cell>
          <cell r="AZ54">
            <v>0.95</v>
          </cell>
          <cell r="BA54">
            <v>0.95</v>
          </cell>
          <cell r="BB54">
            <v>0.95</v>
          </cell>
          <cell r="BC54">
            <v>0.95</v>
          </cell>
          <cell r="BD54">
            <v>0.95</v>
          </cell>
          <cell r="BE54">
            <v>0.95</v>
          </cell>
          <cell r="BF54">
            <v>0.95</v>
          </cell>
          <cell r="BG54">
            <v>0.95</v>
          </cell>
          <cell r="BH54">
            <v>0.95</v>
          </cell>
          <cell r="BI54">
            <v>0.95</v>
          </cell>
          <cell r="BJ54">
            <v>0.95</v>
          </cell>
          <cell r="BK54">
            <v>0.95</v>
          </cell>
          <cell r="BL54">
            <v>0.95</v>
          </cell>
          <cell r="BM54">
            <v>0.95</v>
          </cell>
          <cell r="BN54">
            <v>0.95</v>
          </cell>
          <cell r="BO54">
            <v>0.95</v>
          </cell>
          <cell r="BP54">
            <v>0.95</v>
          </cell>
          <cell r="BQ54">
            <v>0.95</v>
          </cell>
          <cell r="BR54">
            <v>0.95</v>
          </cell>
          <cell r="BS54">
            <v>0.95</v>
          </cell>
          <cell r="BT54">
            <v>1</v>
          </cell>
          <cell r="BU54">
            <v>1</v>
          </cell>
          <cell r="BV54">
            <v>1</v>
          </cell>
          <cell r="BW54">
            <v>1</v>
          </cell>
          <cell r="BX54">
            <v>1</v>
          </cell>
          <cell r="BY54">
            <v>1</v>
          </cell>
          <cell r="BZ54">
            <v>1</v>
          </cell>
          <cell r="CA54">
            <v>1</v>
          </cell>
          <cell r="CB54">
            <v>1</v>
          </cell>
          <cell r="CC54">
            <v>1</v>
          </cell>
          <cell r="CD54">
            <v>1</v>
          </cell>
          <cell r="CE54">
            <v>1</v>
          </cell>
          <cell r="CF54">
            <v>1</v>
          </cell>
          <cell r="CG54">
            <v>1</v>
          </cell>
          <cell r="CH54">
            <v>1</v>
          </cell>
          <cell r="CI54">
            <v>1</v>
          </cell>
          <cell r="CJ54">
            <v>1</v>
          </cell>
          <cell r="CK54">
            <v>1</v>
          </cell>
        </row>
        <row r="55">
          <cell r="J55">
            <v>39174</v>
          </cell>
          <cell r="K55">
            <v>39226</v>
          </cell>
          <cell r="L55">
            <v>39374</v>
          </cell>
          <cell r="M55">
            <v>39486</v>
          </cell>
          <cell r="N55">
            <v>39500</v>
          </cell>
          <cell r="O55">
            <v>39642</v>
          </cell>
          <cell r="Q55" t="str">
            <v>R</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0.5</v>
          </cell>
          <cell r="AK55">
            <v>0.5</v>
          </cell>
          <cell r="AL55">
            <v>0.5</v>
          </cell>
          <cell r="AM55">
            <v>0.5</v>
          </cell>
          <cell r="AN55">
            <v>0.5</v>
          </cell>
          <cell r="AO55">
            <v>0.5</v>
          </cell>
          <cell r="AP55">
            <v>0.5</v>
          </cell>
          <cell r="AQ55">
            <v>0.5</v>
          </cell>
          <cell r="AR55">
            <v>0.5</v>
          </cell>
          <cell r="AS55">
            <v>0.5</v>
          </cell>
          <cell r="AT55">
            <v>0.5</v>
          </cell>
          <cell r="AU55">
            <v>0.5</v>
          </cell>
          <cell r="AV55">
            <v>0.5</v>
          </cell>
          <cell r="AW55">
            <v>0.5</v>
          </cell>
          <cell r="AX55">
            <v>0.5</v>
          </cell>
          <cell r="AY55">
            <v>0.5</v>
          </cell>
          <cell r="AZ55">
            <v>0.5</v>
          </cell>
          <cell r="BA55">
            <v>0.5</v>
          </cell>
          <cell r="BB55">
            <v>0.5</v>
          </cell>
          <cell r="BC55">
            <v>0.5</v>
          </cell>
          <cell r="BD55">
            <v>0.5</v>
          </cell>
          <cell r="BE55">
            <v>0.5</v>
          </cell>
          <cell r="BF55">
            <v>0.7</v>
          </cell>
          <cell r="BG55">
            <v>0.7</v>
          </cell>
          <cell r="BH55">
            <v>0.7</v>
          </cell>
          <cell r="BI55">
            <v>0.7</v>
          </cell>
          <cell r="BJ55">
            <v>0.7</v>
          </cell>
          <cell r="BK55">
            <v>0.7</v>
          </cell>
          <cell r="BL55">
            <v>0.7</v>
          </cell>
          <cell r="BM55">
            <v>0.7</v>
          </cell>
          <cell r="BN55">
            <v>0.7</v>
          </cell>
          <cell r="BO55">
            <v>0.7</v>
          </cell>
          <cell r="BP55">
            <v>0.7</v>
          </cell>
          <cell r="BQ55">
            <v>0.7</v>
          </cell>
          <cell r="BR55">
            <v>0.7</v>
          </cell>
          <cell r="BS55">
            <v>0.7</v>
          </cell>
          <cell r="BT55">
            <v>0.7</v>
          </cell>
          <cell r="BU55">
            <v>0.7</v>
          </cell>
          <cell r="BV55">
            <v>0.7</v>
          </cell>
          <cell r="BW55">
            <v>0.7</v>
          </cell>
          <cell r="BX55">
            <v>0.95</v>
          </cell>
          <cell r="BY55">
            <v>0.95</v>
          </cell>
          <cell r="BZ55">
            <v>0.95</v>
          </cell>
          <cell r="CA55">
            <v>0.95</v>
          </cell>
          <cell r="CB55">
            <v>0.95</v>
          </cell>
          <cell r="CC55">
            <v>0.95</v>
          </cell>
          <cell r="CD55">
            <v>0.95</v>
          </cell>
          <cell r="CE55">
            <v>0.95</v>
          </cell>
          <cell r="CF55">
            <v>0.95</v>
          </cell>
          <cell r="CG55">
            <v>0.95</v>
          </cell>
          <cell r="CH55">
            <v>0.95</v>
          </cell>
          <cell r="CI55">
            <v>0.95</v>
          </cell>
          <cell r="CJ55">
            <v>0.95</v>
          </cell>
          <cell r="CK55">
            <v>0.95</v>
          </cell>
        </row>
        <row r="56">
          <cell r="Q56" t="str">
            <v>E</v>
          </cell>
          <cell r="AB56">
            <v>0.1</v>
          </cell>
          <cell r="AC56">
            <v>0.1</v>
          </cell>
          <cell r="AD56">
            <v>0.1</v>
          </cell>
          <cell r="AE56">
            <v>0.1</v>
          </cell>
          <cell r="AF56">
            <v>0.1</v>
          </cell>
          <cell r="AG56">
            <v>0.25</v>
          </cell>
          <cell r="AH56">
            <v>0.25</v>
          </cell>
          <cell r="AI56">
            <v>0.45</v>
          </cell>
          <cell r="AJ56">
            <v>0.45</v>
          </cell>
          <cell r="AK56">
            <v>0.45</v>
          </cell>
          <cell r="AL56">
            <v>0.5</v>
          </cell>
          <cell r="AM56">
            <v>0.7</v>
          </cell>
          <cell r="AN56">
            <v>0.7</v>
          </cell>
          <cell r="AO56">
            <v>0.7</v>
          </cell>
          <cell r="AP56">
            <v>0.7</v>
          </cell>
          <cell r="AQ56">
            <v>0.7</v>
          </cell>
          <cell r="AR56">
            <v>0.7</v>
          </cell>
          <cell r="AS56">
            <v>0.7</v>
          </cell>
          <cell r="AT56">
            <v>0.7</v>
          </cell>
          <cell r="AU56">
            <v>0.7</v>
          </cell>
          <cell r="AV56">
            <v>0.7</v>
          </cell>
          <cell r="AW56">
            <v>0.7</v>
          </cell>
          <cell r="AX56">
            <v>0.7</v>
          </cell>
          <cell r="AY56">
            <v>0.7</v>
          </cell>
          <cell r="AZ56">
            <v>0.7</v>
          </cell>
          <cell r="BA56">
            <v>0.7</v>
          </cell>
          <cell r="BB56">
            <v>0.7</v>
          </cell>
          <cell r="BC56">
            <v>0.7</v>
          </cell>
          <cell r="BD56">
            <v>0.7</v>
          </cell>
          <cell r="BE56">
            <v>0.7</v>
          </cell>
          <cell r="BF56">
            <v>0.7</v>
          </cell>
          <cell r="BG56">
            <v>0.7</v>
          </cell>
          <cell r="BH56">
            <v>0.7</v>
          </cell>
          <cell r="BI56">
            <v>0.7</v>
          </cell>
          <cell r="BJ56">
            <v>0.7</v>
          </cell>
          <cell r="BK56">
            <v>0.7</v>
          </cell>
          <cell r="BL56">
            <v>0.7</v>
          </cell>
          <cell r="BM56">
            <v>0.7</v>
          </cell>
          <cell r="BN56">
            <v>0.7</v>
          </cell>
          <cell r="BO56">
            <v>0.7</v>
          </cell>
          <cell r="BP56">
            <v>0.7</v>
          </cell>
          <cell r="BQ56">
            <v>0.7</v>
          </cell>
          <cell r="BR56">
            <v>0.7</v>
          </cell>
          <cell r="BS56">
            <v>0.7</v>
          </cell>
          <cell r="BT56">
            <v>0.7</v>
          </cell>
          <cell r="BU56">
            <v>0.7</v>
          </cell>
          <cell r="BV56">
            <v>0.7</v>
          </cell>
          <cell r="BW56">
            <v>0.7</v>
          </cell>
          <cell r="BX56">
            <v>0.7</v>
          </cell>
          <cell r="BY56">
            <v>0.7</v>
          </cell>
          <cell r="BZ56">
            <v>0.7</v>
          </cell>
          <cell r="CA56">
            <v>0.7</v>
          </cell>
          <cell r="CB56">
            <v>0.7</v>
          </cell>
          <cell r="CC56">
            <v>0.7</v>
          </cell>
          <cell r="CD56">
            <v>0</v>
          </cell>
          <cell r="CE56">
            <v>0</v>
          </cell>
          <cell r="CF56">
            <v>0</v>
          </cell>
          <cell r="CG56">
            <v>0</v>
          </cell>
          <cell r="CH56">
            <v>0</v>
          </cell>
          <cell r="CI56">
            <v>0</v>
          </cell>
          <cell r="CJ56">
            <v>0</v>
          </cell>
          <cell r="CK56">
            <v>0</v>
          </cell>
        </row>
        <row r="57">
          <cell r="D57" t="str">
            <v>01</v>
          </cell>
          <cell r="E57" t="str">
            <v>46</v>
          </cell>
          <cell r="F57" t="str">
            <v>P01</v>
          </cell>
          <cell r="G57" t="str">
            <v>TEC</v>
          </cell>
          <cell r="H57" t="str">
            <v>012</v>
          </cell>
          <cell r="I57" t="str">
            <v>FILOSOFIA DE OPERACIÓN Y CONTROL</v>
          </cell>
          <cell r="J57">
            <v>39198</v>
          </cell>
          <cell r="K57">
            <v>39247</v>
          </cell>
          <cell r="L57">
            <v>39261</v>
          </cell>
          <cell r="M57">
            <v>39316</v>
          </cell>
          <cell r="N57">
            <v>39330</v>
          </cell>
          <cell r="O57">
            <v>39476</v>
          </cell>
          <cell r="P57">
            <v>916.06409266409298</v>
          </cell>
          <cell r="Q57" t="str">
            <v>P</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0.5</v>
          </cell>
          <cell r="AN57">
            <v>0.5</v>
          </cell>
          <cell r="AO57">
            <v>0.7</v>
          </cell>
          <cell r="AP57">
            <v>0.7</v>
          </cell>
          <cell r="AQ57">
            <v>0.7</v>
          </cell>
          <cell r="AR57">
            <v>0.7</v>
          </cell>
          <cell r="AS57">
            <v>0.7</v>
          </cell>
          <cell r="AT57">
            <v>0.7</v>
          </cell>
          <cell r="AU57">
            <v>0.7</v>
          </cell>
          <cell r="AV57">
            <v>0.7</v>
          </cell>
          <cell r="AW57">
            <v>0.7</v>
          </cell>
          <cell r="AX57">
            <v>0.7</v>
          </cell>
          <cell r="AY57">
            <v>0.95</v>
          </cell>
          <cell r="AZ57">
            <v>0.95</v>
          </cell>
          <cell r="BA57">
            <v>0.95</v>
          </cell>
          <cell r="BB57">
            <v>0.95</v>
          </cell>
          <cell r="BC57">
            <v>0.95</v>
          </cell>
          <cell r="BD57">
            <v>0.95</v>
          </cell>
          <cell r="BE57">
            <v>0.95</v>
          </cell>
          <cell r="BF57">
            <v>0.95</v>
          </cell>
          <cell r="BG57">
            <v>0.95</v>
          </cell>
          <cell r="BH57">
            <v>0.95</v>
          </cell>
          <cell r="BI57">
            <v>0.95</v>
          </cell>
          <cell r="BJ57">
            <v>0.95</v>
          </cell>
          <cell r="BK57">
            <v>0.95</v>
          </cell>
          <cell r="BL57">
            <v>0.95</v>
          </cell>
          <cell r="BM57">
            <v>0.95</v>
          </cell>
          <cell r="BN57">
            <v>0.95</v>
          </cell>
          <cell r="BO57">
            <v>0.95</v>
          </cell>
          <cell r="BP57">
            <v>0.95</v>
          </cell>
          <cell r="BQ57">
            <v>0.95</v>
          </cell>
          <cell r="BR57">
            <v>0.95</v>
          </cell>
          <cell r="BS57">
            <v>0.95</v>
          </cell>
          <cell r="BT57">
            <v>1</v>
          </cell>
          <cell r="BU57">
            <v>1</v>
          </cell>
          <cell r="BV57">
            <v>1</v>
          </cell>
          <cell r="BW57">
            <v>1</v>
          </cell>
          <cell r="BX57">
            <v>1</v>
          </cell>
          <cell r="BY57">
            <v>1</v>
          </cell>
          <cell r="BZ57">
            <v>1</v>
          </cell>
          <cell r="CA57">
            <v>1</v>
          </cell>
          <cell r="CB57">
            <v>1</v>
          </cell>
          <cell r="CC57">
            <v>1</v>
          </cell>
          <cell r="CD57">
            <v>1</v>
          </cell>
          <cell r="CE57">
            <v>1</v>
          </cell>
          <cell r="CF57">
            <v>1</v>
          </cell>
          <cell r="CG57">
            <v>1</v>
          </cell>
          <cell r="CH57">
            <v>1</v>
          </cell>
          <cell r="CI57">
            <v>1</v>
          </cell>
          <cell r="CJ57">
            <v>1</v>
          </cell>
          <cell r="CK57">
            <v>1</v>
          </cell>
        </row>
        <row r="58">
          <cell r="J58">
            <v>39198</v>
          </cell>
          <cell r="K58">
            <v>39345</v>
          </cell>
          <cell r="L58">
            <v>39416</v>
          </cell>
          <cell r="M58">
            <v>39485</v>
          </cell>
          <cell r="N58">
            <v>39499</v>
          </cell>
          <cell r="O58">
            <v>39642</v>
          </cell>
          <cell r="Q58" t="str">
            <v>R</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0.5</v>
          </cell>
          <cell r="BB58">
            <v>0.5</v>
          </cell>
          <cell r="BC58">
            <v>0.5</v>
          </cell>
          <cell r="BD58">
            <v>0.5</v>
          </cell>
          <cell r="BE58">
            <v>0.5</v>
          </cell>
          <cell r="BF58">
            <v>0.5</v>
          </cell>
          <cell r="BG58">
            <v>0.5</v>
          </cell>
          <cell r="BH58">
            <v>0.5</v>
          </cell>
          <cell r="BI58">
            <v>0.5</v>
          </cell>
          <cell r="BJ58">
            <v>0.5</v>
          </cell>
          <cell r="BK58">
            <v>0.5</v>
          </cell>
          <cell r="BL58">
            <v>0.7</v>
          </cell>
          <cell r="BM58">
            <v>0.7</v>
          </cell>
          <cell r="BN58">
            <v>0.7</v>
          </cell>
          <cell r="BO58">
            <v>0.7</v>
          </cell>
          <cell r="BP58">
            <v>0.7</v>
          </cell>
          <cell r="BQ58">
            <v>0.7</v>
          </cell>
          <cell r="BR58">
            <v>0.7</v>
          </cell>
          <cell r="BS58">
            <v>0.7</v>
          </cell>
          <cell r="BT58">
            <v>0.7</v>
          </cell>
          <cell r="BU58">
            <v>0.7</v>
          </cell>
          <cell r="BV58">
            <v>0.7</v>
          </cell>
          <cell r="BW58">
            <v>0.95</v>
          </cell>
          <cell r="BX58">
            <v>0.95</v>
          </cell>
          <cell r="BY58">
            <v>0.95</v>
          </cell>
          <cell r="BZ58">
            <v>0.95</v>
          </cell>
          <cell r="CA58">
            <v>0.95</v>
          </cell>
          <cell r="CB58">
            <v>0.95</v>
          </cell>
          <cell r="CC58">
            <v>0.95</v>
          </cell>
          <cell r="CD58">
            <v>0.95</v>
          </cell>
          <cell r="CE58">
            <v>0.95</v>
          </cell>
          <cell r="CF58">
            <v>0.95</v>
          </cell>
          <cell r="CG58">
            <v>0.95</v>
          </cell>
          <cell r="CH58">
            <v>0.95</v>
          </cell>
          <cell r="CI58">
            <v>0.95</v>
          </cell>
          <cell r="CJ58">
            <v>0.95</v>
          </cell>
          <cell r="CK58">
            <v>0.95</v>
          </cell>
        </row>
        <row r="59">
          <cell r="Q59" t="str">
            <v>E</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0.5</v>
          </cell>
          <cell r="BF59">
            <v>0.5</v>
          </cell>
          <cell r="BG59">
            <v>0.5</v>
          </cell>
          <cell r="BH59">
            <v>0.5</v>
          </cell>
          <cell r="BI59">
            <v>0.5</v>
          </cell>
          <cell r="BJ59">
            <v>0.5</v>
          </cell>
          <cell r="BK59">
            <v>0.5</v>
          </cell>
          <cell r="BL59">
            <v>0.5</v>
          </cell>
          <cell r="BM59">
            <v>0.5</v>
          </cell>
          <cell r="BN59">
            <v>0.5</v>
          </cell>
          <cell r="BO59">
            <v>0.5</v>
          </cell>
          <cell r="BP59">
            <v>0.5</v>
          </cell>
          <cell r="BQ59">
            <v>0.5</v>
          </cell>
          <cell r="BR59">
            <v>0.5</v>
          </cell>
          <cell r="BS59">
            <v>0.5</v>
          </cell>
          <cell r="BT59">
            <v>0.5</v>
          </cell>
          <cell r="BU59">
            <v>0.5</v>
          </cell>
          <cell r="BV59">
            <v>0.5</v>
          </cell>
          <cell r="BW59">
            <v>0.7</v>
          </cell>
          <cell r="BX59">
            <v>0.7</v>
          </cell>
          <cell r="BY59">
            <v>0.7</v>
          </cell>
          <cell r="BZ59">
            <v>0.7</v>
          </cell>
          <cell r="CA59">
            <v>0.7</v>
          </cell>
          <cell r="CB59">
            <v>0.7</v>
          </cell>
          <cell r="CC59">
            <v>0.7</v>
          </cell>
          <cell r="CD59">
            <v>0</v>
          </cell>
          <cell r="CE59">
            <v>0</v>
          </cell>
          <cell r="CF59">
            <v>0</v>
          </cell>
          <cell r="CG59">
            <v>0</v>
          </cell>
          <cell r="CH59">
            <v>0</v>
          </cell>
          <cell r="CI59">
            <v>0</v>
          </cell>
          <cell r="CJ59">
            <v>0</v>
          </cell>
          <cell r="CK59">
            <v>0</v>
          </cell>
        </row>
        <row r="60">
          <cell r="I60" t="str">
            <v>MANUAL DE OPERACION</v>
          </cell>
          <cell r="J60">
            <v>39258</v>
          </cell>
          <cell r="K60">
            <v>39331</v>
          </cell>
          <cell r="L60">
            <v>39345</v>
          </cell>
          <cell r="M60">
            <v>39373</v>
          </cell>
          <cell r="N60">
            <v>39387</v>
          </cell>
          <cell r="O60">
            <v>39476</v>
          </cell>
          <cell r="Q60" t="str">
            <v>P</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0.5</v>
          </cell>
          <cell r="AZ60">
            <v>0.5</v>
          </cell>
          <cell r="BA60">
            <v>0.7</v>
          </cell>
          <cell r="BB60">
            <v>0.7</v>
          </cell>
          <cell r="BC60">
            <v>0.7</v>
          </cell>
          <cell r="BD60">
            <v>0.7</v>
          </cell>
          <cell r="BE60">
            <v>0.7</v>
          </cell>
          <cell r="BF60">
            <v>0.7</v>
          </cell>
          <cell r="BG60">
            <v>0.95</v>
          </cell>
          <cell r="BH60">
            <v>0.95</v>
          </cell>
          <cell r="BI60">
            <v>0.95</v>
          </cell>
          <cell r="BJ60">
            <v>0.95</v>
          </cell>
          <cell r="BK60">
            <v>0.95</v>
          </cell>
          <cell r="BL60">
            <v>0.95</v>
          </cell>
          <cell r="BM60">
            <v>0.95</v>
          </cell>
          <cell r="BN60">
            <v>0.95</v>
          </cell>
          <cell r="BO60">
            <v>0.95</v>
          </cell>
          <cell r="BP60">
            <v>0.95</v>
          </cell>
          <cell r="BQ60">
            <v>0.95</v>
          </cell>
          <cell r="BR60">
            <v>0.95</v>
          </cell>
          <cell r="BS60">
            <v>0.95</v>
          </cell>
          <cell r="BT60">
            <v>1</v>
          </cell>
          <cell r="BU60">
            <v>1</v>
          </cell>
          <cell r="BV60">
            <v>1</v>
          </cell>
          <cell r="BW60">
            <v>1</v>
          </cell>
          <cell r="BX60">
            <v>1</v>
          </cell>
          <cell r="BY60">
            <v>1</v>
          </cell>
          <cell r="BZ60">
            <v>1</v>
          </cell>
          <cell r="CA60">
            <v>1</v>
          </cell>
          <cell r="CB60">
            <v>1</v>
          </cell>
          <cell r="CC60">
            <v>1</v>
          </cell>
          <cell r="CD60">
            <v>1</v>
          </cell>
          <cell r="CE60">
            <v>1</v>
          </cell>
          <cell r="CF60">
            <v>1</v>
          </cell>
          <cell r="CG60">
            <v>1</v>
          </cell>
          <cell r="CH60">
            <v>1</v>
          </cell>
          <cell r="CI60">
            <v>1</v>
          </cell>
          <cell r="CJ60">
            <v>1</v>
          </cell>
          <cell r="CK60">
            <v>1</v>
          </cell>
        </row>
        <row r="61">
          <cell r="J61">
            <v>39417</v>
          </cell>
          <cell r="K61">
            <v>39458</v>
          </cell>
          <cell r="L61">
            <v>39477</v>
          </cell>
          <cell r="M61">
            <v>39497</v>
          </cell>
          <cell r="N61">
            <v>39511</v>
          </cell>
          <cell r="O61">
            <v>39642</v>
          </cell>
          <cell r="Q61" t="str">
            <v>R</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0.5</v>
          </cell>
          <cell r="BS61">
            <v>0.5</v>
          </cell>
          <cell r="BT61">
            <v>0.7</v>
          </cell>
          <cell r="BU61">
            <v>0.7</v>
          </cell>
          <cell r="BV61">
            <v>0.7</v>
          </cell>
          <cell r="BW61">
            <v>0.7</v>
          </cell>
          <cell r="BX61">
            <v>0.7</v>
          </cell>
          <cell r="BY61">
            <v>0.95</v>
          </cell>
          <cell r="BZ61">
            <v>0.95</v>
          </cell>
          <cell r="CA61">
            <v>0.95</v>
          </cell>
          <cell r="CB61">
            <v>0.95</v>
          </cell>
          <cell r="CC61">
            <v>0.95</v>
          </cell>
          <cell r="CD61">
            <v>0.95</v>
          </cell>
          <cell r="CE61">
            <v>0.95</v>
          </cell>
          <cell r="CF61">
            <v>0.95</v>
          </cell>
          <cell r="CG61">
            <v>0.95</v>
          </cell>
          <cell r="CH61">
            <v>0.95</v>
          </cell>
          <cell r="CI61">
            <v>0.95</v>
          </cell>
          <cell r="CJ61">
            <v>0.95</v>
          </cell>
          <cell r="CK61">
            <v>0.95</v>
          </cell>
        </row>
        <row r="62">
          <cell r="I62" t="str">
            <v>0146P51TEC001</v>
          </cell>
          <cell r="Q62" t="str">
            <v>E</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0.5</v>
          </cell>
          <cell r="BO62">
            <v>0.5</v>
          </cell>
          <cell r="BP62" t="e">
            <v>#N/A</v>
          </cell>
          <cell r="BQ62" t="e">
            <v>#N/A</v>
          </cell>
          <cell r="BS62">
            <v>0</v>
          </cell>
          <cell r="BT62">
            <v>0</v>
          </cell>
          <cell r="BU62">
            <v>0</v>
          </cell>
          <cell r="BV62">
            <v>0</v>
          </cell>
          <cell r="CB62">
            <v>0</v>
          </cell>
          <cell r="CC62">
            <v>0</v>
          </cell>
          <cell r="CD62">
            <v>0</v>
          </cell>
          <cell r="CE62">
            <v>0</v>
          </cell>
          <cell r="CF62">
            <v>0</v>
          </cell>
          <cell r="CG62">
            <v>0</v>
          </cell>
          <cell r="CH62">
            <v>0</v>
          </cell>
          <cell r="CI62">
            <v>0</v>
          </cell>
          <cell r="CJ62">
            <v>0</v>
          </cell>
          <cell r="CK62">
            <v>0</v>
          </cell>
        </row>
        <row r="63">
          <cell r="D63" t="str">
            <v>01</v>
          </cell>
          <cell r="E63" t="str">
            <v>46</v>
          </cell>
          <cell r="F63" t="str">
            <v>P01</v>
          </cell>
          <cell r="G63" t="str">
            <v>TEC</v>
          </cell>
          <cell r="H63" t="str">
            <v>007</v>
          </cell>
          <cell r="I63" t="str">
            <v>LISTADO DE REQUERIMIENTOS INDUSTRIALES</v>
          </cell>
          <cell r="J63">
            <v>39182</v>
          </cell>
          <cell r="K63">
            <v>39218</v>
          </cell>
          <cell r="L63">
            <v>39232</v>
          </cell>
          <cell r="M63">
            <v>39282</v>
          </cell>
          <cell r="N63">
            <v>39296</v>
          </cell>
          <cell r="O63">
            <v>39476</v>
          </cell>
          <cell r="P63">
            <v>18.0093569015444</v>
          </cell>
          <cell r="Q63" t="str">
            <v>P</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0.5</v>
          </cell>
          <cell r="AJ63">
            <v>0.5</v>
          </cell>
          <cell r="AK63">
            <v>0.7</v>
          </cell>
          <cell r="AL63">
            <v>0.7</v>
          </cell>
          <cell r="AM63">
            <v>0.7</v>
          </cell>
          <cell r="AN63">
            <v>0.7</v>
          </cell>
          <cell r="AO63">
            <v>0.7</v>
          </cell>
          <cell r="AP63">
            <v>0.7</v>
          </cell>
          <cell r="AQ63">
            <v>0.7</v>
          </cell>
          <cell r="AR63">
            <v>0.7</v>
          </cell>
          <cell r="AS63">
            <v>0.7</v>
          </cell>
          <cell r="AT63">
            <v>0.95</v>
          </cell>
          <cell r="AU63">
            <v>0.95</v>
          </cell>
          <cell r="AV63">
            <v>0.95</v>
          </cell>
          <cell r="AW63">
            <v>0.95</v>
          </cell>
          <cell r="AX63">
            <v>0.95</v>
          </cell>
          <cell r="AY63">
            <v>0.95</v>
          </cell>
          <cell r="AZ63">
            <v>0.95</v>
          </cell>
          <cell r="BA63">
            <v>0.95</v>
          </cell>
          <cell r="BB63">
            <v>0.95</v>
          </cell>
          <cell r="BC63">
            <v>0.95</v>
          </cell>
          <cell r="BD63">
            <v>0.95</v>
          </cell>
          <cell r="BE63">
            <v>0.95</v>
          </cell>
          <cell r="BF63">
            <v>0.95</v>
          </cell>
          <cell r="BG63">
            <v>0.95</v>
          </cell>
          <cell r="BH63">
            <v>0.95</v>
          </cell>
          <cell r="BI63">
            <v>0.95</v>
          </cell>
          <cell r="BJ63">
            <v>0.95</v>
          </cell>
          <cell r="BK63">
            <v>0.95</v>
          </cell>
          <cell r="BL63">
            <v>0.95</v>
          </cell>
          <cell r="BM63">
            <v>0.95</v>
          </cell>
          <cell r="BN63">
            <v>0.95</v>
          </cell>
          <cell r="BO63">
            <v>0.95</v>
          </cell>
          <cell r="BP63">
            <v>0.95</v>
          </cell>
          <cell r="BQ63">
            <v>0.95</v>
          </cell>
          <cell r="BR63">
            <v>0.95</v>
          </cell>
          <cell r="BS63">
            <v>0.95</v>
          </cell>
          <cell r="BT63">
            <v>1</v>
          </cell>
          <cell r="BU63">
            <v>1</v>
          </cell>
          <cell r="BV63">
            <v>1</v>
          </cell>
          <cell r="BW63">
            <v>1</v>
          </cell>
          <cell r="BX63">
            <v>1</v>
          </cell>
          <cell r="BY63">
            <v>1</v>
          </cell>
          <cell r="BZ63">
            <v>1</v>
          </cell>
          <cell r="CA63">
            <v>1</v>
          </cell>
          <cell r="CB63">
            <v>1</v>
          </cell>
          <cell r="CC63">
            <v>1</v>
          </cell>
          <cell r="CD63">
            <v>1</v>
          </cell>
          <cell r="CE63">
            <v>1</v>
          </cell>
          <cell r="CF63">
            <v>1</v>
          </cell>
          <cell r="CG63">
            <v>1</v>
          </cell>
          <cell r="CH63">
            <v>1</v>
          </cell>
          <cell r="CI63">
            <v>1</v>
          </cell>
          <cell r="CJ63">
            <v>1</v>
          </cell>
          <cell r="CK63">
            <v>1</v>
          </cell>
        </row>
        <row r="64">
          <cell r="J64">
            <v>39182</v>
          </cell>
          <cell r="K64">
            <v>39218</v>
          </cell>
          <cell r="L64">
            <v>39402</v>
          </cell>
          <cell r="M64">
            <v>39485</v>
          </cell>
          <cell r="N64">
            <v>39499</v>
          </cell>
          <cell r="O64">
            <v>39642</v>
          </cell>
          <cell r="Q64" t="str">
            <v>R</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0.5</v>
          </cell>
          <cell r="AJ64">
            <v>0.5</v>
          </cell>
          <cell r="AK64">
            <v>0.5</v>
          </cell>
          <cell r="AL64">
            <v>0.5</v>
          </cell>
          <cell r="AM64">
            <v>0.5</v>
          </cell>
          <cell r="AN64">
            <v>0.5</v>
          </cell>
          <cell r="AO64">
            <v>0.5</v>
          </cell>
          <cell r="AP64">
            <v>0.5</v>
          </cell>
          <cell r="AQ64">
            <v>0.5</v>
          </cell>
          <cell r="AR64">
            <v>0.5</v>
          </cell>
          <cell r="AS64">
            <v>0.5</v>
          </cell>
          <cell r="AT64">
            <v>0.5</v>
          </cell>
          <cell r="AU64">
            <v>0.5</v>
          </cell>
          <cell r="AV64">
            <v>0.5</v>
          </cell>
          <cell r="AW64">
            <v>0.5</v>
          </cell>
          <cell r="AX64">
            <v>0.5</v>
          </cell>
          <cell r="AY64">
            <v>0.5</v>
          </cell>
          <cell r="AZ64">
            <v>0.5</v>
          </cell>
          <cell r="BA64">
            <v>0.5</v>
          </cell>
          <cell r="BB64">
            <v>0.5</v>
          </cell>
          <cell r="BC64">
            <v>0.5</v>
          </cell>
          <cell r="BD64">
            <v>0.5</v>
          </cell>
          <cell r="BE64">
            <v>0.5</v>
          </cell>
          <cell r="BF64">
            <v>0.5</v>
          </cell>
          <cell r="BG64">
            <v>0.5</v>
          </cell>
          <cell r="BH64">
            <v>0.5</v>
          </cell>
          <cell r="BI64">
            <v>0.5</v>
          </cell>
          <cell r="BJ64">
            <v>0.7</v>
          </cell>
          <cell r="BK64">
            <v>0.7</v>
          </cell>
          <cell r="BL64">
            <v>0.7</v>
          </cell>
          <cell r="BM64">
            <v>0.7</v>
          </cell>
          <cell r="BN64">
            <v>0.7</v>
          </cell>
          <cell r="BO64">
            <v>0.7</v>
          </cell>
          <cell r="BP64">
            <v>0.7</v>
          </cell>
          <cell r="BQ64">
            <v>0.7</v>
          </cell>
          <cell r="BR64">
            <v>0.7</v>
          </cell>
          <cell r="BS64">
            <v>0.7</v>
          </cell>
          <cell r="BT64">
            <v>0.7</v>
          </cell>
          <cell r="BU64">
            <v>0.7</v>
          </cell>
          <cell r="BV64">
            <v>0.7</v>
          </cell>
          <cell r="BW64">
            <v>0.95</v>
          </cell>
          <cell r="BX64">
            <v>0.95</v>
          </cell>
          <cell r="BY64">
            <v>0.95</v>
          </cell>
          <cell r="BZ64">
            <v>0.95</v>
          </cell>
          <cell r="CA64">
            <v>0.95</v>
          </cell>
          <cell r="CB64">
            <v>0.95</v>
          </cell>
          <cell r="CC64">
            <v>0.95</v>
          </cell>
          <cell r="CD64">
            <v>0.95</v>
          </cell>
          <cell r="CE64">
            <v>0.95</v>
          </cell>
          <cell r="CF64">
            <v>0.95</v>
          </cell>
          <cell r="CG64">
            <v>0.95</v>
          </cell>
          <cell r="CH64">
            <v>0.95</v>
          </cell>
          <cell r="CI64">
            <v>0.95</v>
          </cell>
          <cell r="CJ64">
            <v>0.95</v>
          </cell>
          <cell r="CK64">
            <v>0.95</v>
          </cell>
        </row>
        <row r="65">
          <cell r="Q65" t="str">
            <v>E</v>
          </cell>
          <cell r="AH65">
            <v>0.1</v>
          </cell>
          <cell r="AI65">
            <v>0.1</v>
          </cell>
          <cell r="AJ65">
            <v>0.1</v>
          </cell>
          <cell r="AK65">
            <v>0.1</v>
          </cell>
          <cell r="AL65">
            <v>0.1</v>
          </cell>
          <cell r="AM65">
            <v>0.1</v>
          </cell>
          <cell r="AN65">
            <v>0.5</v>
          </cell>
          <cell r="AO65">
            <v>0.5</v>
          </cell>
          <cell r="AP65">
            <v>0.5</v>
          </cell>
          <cell r="AQ65">
            <v>0.5</v>
          </cell>
          <cell r="AR65">
            <v>0.5</v>
          </cell>
          <cell r="AS65">
            <v>0.5</v>
          </cell>
          <cell r="AT65">
            <v>0.5</v>
          </cell>
          <cell r="AU65">
            <v>0.5</v>
          </cell>
          <cell r="AV65">
            <v>0.5</v>
          </cell>
          <cell r="AW65">
            <v>0.5</v>
          </cell>
          <cell r="AX65">
            <v>0.5</v>
          </cell>
          <cell r="AY65">
            <v>0.5</v>
          </cell>
          <cell r="AZ65">
            <v>0.5</v>
          </cell>
          <cell r="BA65">
            <v>0.5</v>
          </cell>
          <cell r="BB65">
            <v>0.5</v>
          </cell>
          <cell r="BC65">
            <v>0.5</v>
          </cell>
          <cell r="BD65">
            <v>0.5</v>
          </cell>
          <cell r="BE65">
            <v>0.5</v>
          </cell>
          <cell r="BF65">
            <v>0.7</v>
          </cell>
          <cell r="BG65">
            <v>0.7</v>
          </cell>
          <cell r="BH65">
            <v>0.7</v>
          </cell>
          <cell r="BI65">
            <v>0.7</v>
          </cell>
          <cell r="BJ65">
            <v>0.7</v>
          </cell>
          <cell r="BK65">
            <v>0.7</v>
          </cell>
          <cell r="BL65">
            <v>0.7</v>
          </cell>
          <cell r="BM65">
            <v>0.7</v>
          </cell>
          <cell r="BN65">
            <v>0.7</v>
          </cell>
          <cell r="BO65">
            <v>0.7</v>
          </cell>
          <cell r="BP65">
            <v>0.7</v>
          </cell>
          <cell r="BQ65">
            <v>0.7</v>
          </cell>
          <cell r="BR65">
            <v>0.7</v>
          </cell>
          <cell r="BS65">
            <v>0.7</v>
          </cell>
          <cell r="BT65">
            <v>0.7</v>
          </cell>
          <cell r="BU65">
            <v>0.7</v>
          </cell>
          <cell r="BV65">
            <v>0.7</v>
          </cell>
          <cell r="BW65">
            <v>0.7</v>
          </cell>
          <cell r="BX65">
            <v>0.7</v>
          </cell>
          <cell r="BY65">
            <v>0.7</v>
          </cell>
          <cell r="BZ65">
            <v>0.7</v>
          </cell>
          <cell r="CA65">
            <v>0.7</v>
          </cell>
          <cell r="CB65">
            <v>0.7</v>
          </cell>
          <cell r="CC65">
            <v>0.7</v>
          </cell>
          <cell r="CD65">
            <v>0</v>
          </cell>
          <cell r="CE65">
            <v>0</v>
          </cell>
          <cell r="CF65">
            <v>0</v>
          </cell>
          <cell r="CG65">
            <v>0</v>
          </cell>
          <cell r="CH65">
            <v>0</v>
          </cell>
          <cell r="CI65">
            <v>0</v>
          </cell>
          <cell r="CJ65">
            <v>0</v>
          </cell>
          <cell r="CK65">
            <v>0</v>
          </cell>
        </row>
        <row r="66">
          <cell r="D66" t="str">
            <v>01</v>
          </cell>
          <cell r="E66" t="str">
            <v>46</v>
          </cell>
          <cell r="F66" t="str">
            <v>M01</v>
          </cell>
          <cell r="G66" t="str">
            <v>TEC</v>
          </cell>
          <cell r="H66" t="str">
            <v>002</v>
          </cell>
          <cell r="I66" t="str">
            <v>LISTA DE EQUIPOS</v>
          </cell>
          <cell r="J66">
            <v>39223</v>
          </cell>
          <cell r="K66">
            <v>39325</v>
          </cell>
          <cell r="L66">
            <v>39339</v>
          </cell>
          <cell r="M66">
            <v>39434</v>
          </cell>
          <cell r="N66">
            <v>39448</v>
          </cell>
          <cell r="O66">
            <v>39476</v>
          </cell>
          <cell r="P66">
            <v>18.0093569015444</v>
          </cell>
          <cell r="Q66" t="str">
            <v>P</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0.5</v>
          </cell>
          <cell r="AZ66">
            <v>0.5</v>
          </cell>
          <cell r="BA66">
            <v>0.7</v>
          </cell>
          <cell r="BB66">
            <v>0.7</v>
          </cell>
          <cell r="BC66">
            <v>0.7</v>
          </cell>
          <cell r="BD66">
            <v>0.7</v>
          </cell>
          <cell r="BE66">
            <v>0.7</v>
          </cell>
          <cell r="BF66">
            <v>0.7</v>
          </cell>
          <cell r="BG66">
            <v>0.7</v>
          </cell>
          <cell r="BH66">
            <v>0.7</v>
          </cell>
          <cell r="BI66">
            <v>0.7</v>
          </cell>
          <cell r="BJ66">
            <v>0.7</v>
          </cell>
          <cell r="BK66">
            <v>0.7</v>
          </cell>
          <cell r="BL66">
            <v>0.7</v>
          </cell>
          <cell r="BM66">
            <v>0.7</v>
          </cell>
          <cell r="BN66">
            <v>0.7</v>
          </cell>
          <cell r="BO66">
            <v>0.7</v>
          </cell>
          <cell r="BP66">
            <v>0.95</v>
          </cell>
          <cell r="BQ66">
            <v>0.95</v>
          </cell>
          <cell r="BR66">
            <v>0.95</v>
          </cell>
          <cell r="BS66">
            <v>0.95</v>
          </cell>
          <cell r="BT66">
            <v>1</v>
          </cell>
          <cell r="BU66">
            <v>1</v>
          </cell>
          <cell r="BV66">
            <v>1</v>
          </cell>
          <cell r="BW66">
            <v>1</v>
          </cell>
          <cell r="BX66">
            <v>1</v>
          </cell>
          <cell r="BY66">
            <v>1</v>
          </cell>
          <cell r="BZ66">
            <v>1</v>
          </cell>
          <cell r="CA66">
            <v>1</v>
          </cell>
          <cell r="CB66">
            <v>1</v>
          </cell>
          <cell r="CC66">
            <v>1</v>
          </cell>
          <cell r="CD66">
            <v>1</v>
          </cell>
          <cell r="CE66">
            <v>1</v>
          </cell>
          <cell r="CF66">
            <v>1</v>
          </cell>
          <cell r="CG66">
            <v>1</v>
          </cell>
          <cell r="CH66">
            <v>1</v>
          </cell>
          <cell r="CI66">
            <v>1</v>
          </cell>
          <cell r="CJ66">
            <v>1</v>
          </cell>
          <cell r="CK66">
            <v>1</v>
          </cell>
        </row>
        <row r="67">
          <cell r="J67">
            <v>39223</v>
          </cell>
          <cell r="K67">
            <v>39325</v>
          </cell>
          <cell r="L67">
            <v>39339</v>
          </cell>
          <cell r="M67">
            <v>39401</v>
          </cell>
          <cell r="N67">
            <v>39417</v>
          </cell>
          <cell r="O67">
            <v>39642</v>
          </cell>
          <cell r="Q67" t="str">
            <v>R</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0.5</v>
          </cell>
          <cell r="AZ67">
            <v>0.5</v>
          </cell>
          <cell r="BA67">
            <v>0.7</v>
          </cell>
          <cell r="BB67">
            <v>0.7</v>
          </cell>
          <cell r="BC67">
            <v>0.7</v>
          </cell>
          <cell r="BD67">
            <v>0.7</v>
          </cell>
          <cell r="BE67">
            <v>0.7</v>
          </cell>
          <cell r="BF67">
            <v>0.7</v>
          </cell>
          <cell r="BG67">
            <v>0.7</v>
          </cell>
          <cell r="BH67">
            <v>0.7</v>
          </cell>
          <cell r="BI67">
            <v>0.7</v>
          </cell>
          <cell r="BJ67">
            <v>0.7</v>
          </cell>
          <cell r="BK67">
            <v>0.7</v>
          </cell>
          <cell r="BL67">
            <v>0.95</v>
          </cell>
          <cell r="BM67">
            <v>0.95</v>
          </cell>
          <cell r="BN67">
            <v>0.95</v>
          </cell>
          <cell r="BO67">
            <v>0.95</v>
          </cell>
          <cell r="BP67">
            <v>0.95</v>
          </cell>
          <cell r="BQ67">
            <v>0.95</v>
          </cell>
          <cell r="BR67">
            <v>0.95</v>
          </cell>
          <cell r="BS67">
            <v>0.95</v>
          </cell>
          <cell r="BT67">
            <v>0.95</v>
          </cell>
          <cell r="BU67">
            <v>0.95</v>
          </cell>
          <cell r="BV67">
            <v>0.95</v>
          </cell>
          <cell r="BW67">
            <v>0.95</v>
          </cell>
          <cell r="BX67">
            <v>0.95</v>
          </cell>
          <cell r="BY67">
            <v>0.95</v>
          </cell>
          <cell r="BZ67">
            <v>0.95</v>
          </cell>
          <cell r="CA67">
            <v>0.95</v>
          </cell>
          <cell r="CB67">
            <v>0.95</v>
          </cell>
          <cell r="CC67">
            <v>0.95</v>
          </cell>
          <cell r="CD67">
            <v>0.95</v>
          </cell>
          <cell r="CE67">
            <v>0.95</v>
          </cell>
          <cell r="CF67">
            <v>0.95</v>
          </cell>
          <cell r="CG67">
            <v>0.95</v>
          </cell>
          <cell r="CH67">
            <v>0.95</v>
          </cell>
          <cell r="CI67">
            <v>0.95</v>
          </cell>
          <cell r="CJ67">
            <v>0.95</v>
          </cell>
          <cell r="CK67">
            <v>0.95</v>
          </cell>
        </row>
        <row r="68">
          <cell r="Q68" t="str">
            <v>E</v>
          </cell>
          <cell r="AE68">
            <v>0.1</v>
          </cell>
          <cell r="AF68">
            <v>0.1</v>
          </cell>
          <cell r="AG68">
            <v>0.25</v>
          </cell>
          <cell r="AH68">
            <v>0.25</v>
          </cell>
          <cell r="AI68">
            <v>0.25</v>
          </cell>
          <cell r="AJ68">
            <v>0.25</v>
          </cell>
          <cell r="AK68">
            <v>0.25</v>
          </cell>
          <cell r="AL68">
            <v>0.5</v>
          </cell>
          <cell r="AM68">
            <v>0.5</v>
          </cell>
          <cell r="AN68">
            <v>0.5</v>
          </cell>
          <cell r="AO68">
            <v>0.5</v>
          </cell>
          <cell r="AP68">
            <v>0.5</v>
          </cell>
          <cell r="AQ68">
            <v>0.5</v>
          </cell>
          <cell r="AR68">
            <v>0.5</v>
          </cell>
          <cell r="AS68">
            <v>0.5</v>
          </cell>
          <cell r="AT68">
            <v>0.5</v>
          </cell>
          <cell r="AU68">
            <v>0.5</v>
          </cell>
          <cell r="AV68">
            <v>0.5</v>
          </cell>
          <cell r="AW68">
            <v>0.5</v>
          </cell>
          <cell r="AX68">
            <v>0.5</v>
          </cell>
          <cell r="AY68">
            <v>0.5</v>
          </cell>
          <cell r="AZ68">
            <v>0.5</v>
          </cell>
          <cell r="BA68">
            <v>0.5</v>
          </cell>
          <cell r="BB68">
            <v>0.5</v>
          </cell>
          <cell r="BC68">
            <v>0.5</v>
          </cell>
          <cell r="BD68">
            <v>0.5</v>
          </cell>
          <cell r="BE68">
            <v>0.5</v>
          </cell>
          <cell r="BF68">
            <v>0.5</v>
          </cell>
          <cell r="BG68">
            <v>0.5</v>
          </cell>
          <cell r="BH68">
            <v>0.5</v>
          </cell>
          <cell r="BI68">
            <v>0.5</v>
          </cell>
          <cell r="BJ68">
            <v>0.5</v>
          </cell>
          <cell r="BK68">
            <v>0.5</v>
          </cell>
          <cell r="BL68">
            <v>0.5</v>
          </cell>
          <cell r="BM68">
            <v>0.5</v>
          </cell>
          <cell r="BN68">
            <v>0.5</v>
          </cell>
          <cell r="BO68">
            <v>0.5</v>
          </cell>
          <cell r="BP68">
            <v>0.5</v>
          </cell>
          <cell r="BQ68">
            <v>0.5</v>
          </cell>
          <cell r="BR68">
            <v>0.5</v>
          </cell>
          <cell r="BS68">
            <v>0.5</v>
          </cell>
          <cell r="BT68">
            <v>0.5</v>
          </cell>
          <cell r="BU68">
            <v>0.5</v>
          </cell>
          <cell r="BV68">
            <v>0.5</v>
          </cell>
          <cell r="BW68">
            <v>0.5</v>
          </cell>
          <cell r="BX68">
            <v>0.5</v>
          </cell>
          <cell r="BY68">
            <v>0.5</v>
          </cell>
          <cell r="BZ68">
            <v>0.5</v>
          </cell>
          <cell r="CA68">
            <v>0.5</v>
          </cell>
          <cell r="CB68">
            <v>0.5</v>
          </cell>
          <cell r="CC68">
            <v>0.5</v>
          </cell>
          <cell r="CD68">
            <v>0</v>
          </cell>
          <cell r="CE68">
            <v>0</v>
          </cell>
          <cell r="CF68">
            <v>0</v>
          </cell>
          <cell r="CG68">
            <v>0</v>
          </cell>
          <cell r="CH68">
            <v>0</v>
          </cell>
          <cell r="CI68">
            <v>0</v>
          </cell>
          <cell r="CJ68">
            <v>0</v>
          </cell>
          <cell r="CK68">
            <v>0</v>
          </cell>
        </row>
        <row r="69">
          <cell r="D69" t="str">
            <v>01</v>
          </cell>
          <cell r="E69" t="str">
            <v>46</v>
          </cell>
          <cell r="F69" t="str">
            <v>P01</v>
          </cell>
          <cell r="G69" t="str">
            <v>TEC</v>
          </cell>
          <cell r="H69" t="str">
            <v>004</v>
          </cell>
          <cell r="I69" t="str">
            <v>LISTA DE EQUIPOS</v>
          </cell>
          <cell r="J69">
            <v>39188</v>
          </cell>
          <cell r="K69">
            <v>39240</v>
          </cell>
          <cell r="L69">
            <v>39254</v>
          </cell>
          <cell r="M69">
            <v>39276</v>
          </cell>
          <cell r="N69">
            <v>39290</v>
          </cell>
          <cell r="O69">
            <v>39476</v>
          </cell>
          <cell r="P69">
            <v>18.0093569015444</v>
          </cell>
          <cell r="Q69" t="str">
            <v>P</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0.5</v>
          </cell>
          <cell r="AM69">
            <v>0.5</v>
          </cell>
          <cell r="AN69">
            <v>0.7</v>
          </cell>
          <cell r="AO69">
            <v>0.7</v>
          </cell>
          <cell r="AP69">
            <v>0.7</v>
          </cell>
          <cell r="AQ69">
            <v>0.7</v>
          </cell>
          <cell r="AR69">
            <v>0.7</v>
          </cell>
          <cell r="AS69">
            <v>0.7</v>
          </cell>
          <cell r="AT69">
            <v>0.95</v>
          </cell>
          <cell r="AU69">
            <v>0.95</v>
          </cell>
          <cell r="AV69">
            <v>0.95</v>
          </cell>
          <cell r="AW69">
            <v>0.95</v>
          </cell>
          <cell r="AX69">
            <v>0.95</v>
          </cell>
          <cell r="AY69">
            <v>0.95</v>
          </cell>
          <cell r="AZ69">
            <v>0.95</v>
          </cell>
          <cell r="BA69">
            <v>0.95</v>
          </cell>
          <cell r="BB69">
            <v>0.95</v>
          </cell>
          <cell r="BC69">
            <v>0.95</v>
          </cell>
          <cell r="BD69">
            <v>0.95</v>
          </cell>
          <cell r="BE69">
            <v>0.95</v>
          </cell>
          <cell r="BF69">
            <v>0.95</v>
          </cell>
          <cell r="BG69">
            <v>0.95</v>
          </cell>
          <cell r="BH69">
            <v>0.95</v>
          </cell>
          <cell r="BI69">
            <v>0.95</v>
          </cell>
          <cell r="BJ69">
            <v>0.95</v>
          </cell>
          <cell r="BK69">
            <v>0.95</v>
          </cell>
          <cell r="BL69">
            <v>0.95</v>
          </cell>
          <cell r="BM69">
            <v>0.95</v>
          </cell>
          <cell r="BN69">
            <v>0.95</v>
          </cell>
          <cell r="BO69">
            <v>0.95</v>
          </cell>
          <cell r="BP69">
            <v>0.95</v>
          </cell>
          <cell r="BQ69">
            <v>0.95</v>
          </cell>
          <cell r="BR69">
            <v>0.95</v>
          </cell>
          <cell r="BS69">
            <v>0.95</v>
          </cell>
          <cell r="BT69">
            <v>1</v>
          </cell>
          <cell r="BU69">
            <v>1</v>
          </cell>
          <cell r="BV69">
            <v>1</v>
          </cell>
          <cell r="BW69">
            <v>1</v>
          </cell>
          <cell r="BX69">
            <v>1</v>
          </cell>
          <cell r="BY69">
            <v>1</v>
          </cell>
          <cell r="BZ69">
            <v>1</v>
          </cell>
          <cell r="CA69">
            <v>1</v>
          </cell>
          <cell r="CB69">
            <v>1</v>
          </cell>
          <cell r="CC69">
            <v>1</v>
          </cell>
          <cell r="CD69">
            <v>1</v>
          </cell>
          <cell r="CE69">
            <v>1</v>
          </cell>
          <cell r="CF69">
            <v>1</v>
          </cell>
          <cell r="CG69">
            <v>1</v>
          </cell>
          <cell r="CH69">
            <v>1</v>
          </cell>
          <cell r="CI69">
            <v>1</v>
          </cell>
          <cell r="CJ69">
            <v>1</v>
          </cell>
          <cell r="CK69">
            <v>1</v>
          </cell>
        </row>
        <row r="70">
          <cell r="J70">
            <v>39188</v>
          </cell>
          <cell r="K70">
            <v>39240</v>
          </cell>
          <cell r="L70">
            <v>39402</v>
          </cell>
          <cell r="M70">
            <v>39416</v>
          </cell>
          <cell r="N70">
            <v>39430</v>
          </cell>
          <cell r="O70">
            <v>39642</v>
          </cell>
          <cell r="Q70" t="str">
            <v>R</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0.5</v>
          </cell>
          <cell r="AM70">
            <v>0.5</v>
          </cell>
          <cell r="AN70">
            <v>0.5</v>
          </cell>
          <cell r="AO70">
            <v>0.5</v>
          </cell>
          <cell r="AP70">
            <v>0.5</v>
          </cell>
          <cell r="AQ70">
            <v>0.5</v>
          </cell>
          <cell r="AR70">
            <v>0.5</v>
          </cell>
          <cell r="AS70">
            <v>0.5</v>
          </cell>
          <cell r="AT70">
            <v>0.5</v>
          </cell>
          <cell r="AU70">
            <v>0.5</v>
          </cell>
          <cell r="AV70">
            <v>0.5</v>
          </cell>
          <cell r="AW70">
            <v>0.5</v>
          </cell>
          <cell r="AX70">
            <v>0.5</v>
          </cell>
          <cell r="AY70">
            <v>0.5</v>
          </cell>
          <cell r="AZ70">
            <v>0.5</v>
          </cell>
          <cell r="BA70">
            <v>0.5</v>
          </cell>
          <cell r="BB70">
            <v>0.5</v>
          </cell>
          <cell r="BC70">
            <v>0.5</v>
          </cell>
          <cell r="BD70">
            <v>0.5</v>
          </cell>
          <cell r="BE70">
            <v>0.5</v>
          </cell>
          <cell r="BF70">
            <v>0.5</v>
          </cell>
          <cell r="BG70">
            <v>0.5</v>
          </cell>
          <cell r="BH70">
            <v>0.5</v>
          </cell>
          <cell r="BI70">
            <v>0.5</v>
          </cell>
          <cell r="BJ70">
            <v>0.7</v>
          </cell>
          <cell r="BK70">
            <v>0.7</v>
          </cell>
          <cell r="BL70">
            <v>0.7</v>
          </cell>
          <cell r="BM70">
            <v>0.7</v>
          </cell>
          <cell r="BN70">
            <v>0.95</v>
          </cell>
          <cell r="BO70">
            <v>0.95</v>
          </cell>
          <cell r="BP70">
            <v>0.95</v>
          </cell>
          <cell r="BQ70">
            <v>0.95</v>
          </cell>
          <cell r="BR70">
            <v>0.95</v>
          </cell>
          <cell r="BS70">
            <v>0.95</v>
          </cell>
          <cell r="BT70">
            <v>0.95</v>
          </cell>
          <cell r="BU70">
            <v>0.95</v>
          </cell>
          <cell r="BV70">
            <v>0.95</v>
          </cell>
          <cell r="BW70">
            <v>0.95</v>
          </cell>
          <cell r="BX70">
            <v>0.95</v>
          </cell>
          <cell r="BY70">
            <v>0.95</v>
          </cell>
          <cell r="BZ70">
            <v>0.95</v>
          </cell>
          <cell r="CA70">
            <v>0.95</v>
          </cell>
          <cell r="CB70">
            <v>0.95</v>
          </cell>
          <cell r="CC70">
            <v>0.95</v>
          </cell>
          <cell r="CD70">
            <v>0.95</v>
          </cell>
          <cell r="CE70">
            <v>0.95</v>
          </cell>
          <cell r="CF70">
            <v>0.95</v>
          </cell>
          <cell r="CG70">
            <v>0.95</v>
          </cell>
          <cell r="CH70">
            <v>0.95</v>
          </cell>
          <cell r="CI70">
            <v>0.95</v>
          </cell>
          <cell r="CJ70">
            <v>0.95</v>
          </cell>
          <cell r="CK70">
            <v>0.95</v>
          </cell>
        </row>
        <row r="71">
          <cell r="Q71" t="str">
            <v>E</v>
          </cell>
          <cell r="BQ71">
            <v>0.7</v>
          </cell>
          <cell r="BR71">
            <v>0.7</v>
          </cell>
          <cell r="BS71">
            <v>0.7</v>
          </cell>
          <cell r="BT71">
            <v>0.7</v>
          </cell>
          <cell r="BU71">
            <v>0.7</v>
          </cell>
          <cell r="BV71">
            <v>0.7</v>
          </cell>
          <cell r="BW71">
            <v>0.7</v>
          </cell>
          <cell r="BX71">
            <v>0.7</v>
          </cell>
          <cell r="BY71">
            <v>0.7</v>
          </cell>
          <cell r="BZ71">
            <v>0.7</v>
          </cell>
          <cell r="CA71">
            <v>0.7</v>
          </cell>
          <cell r="CB71">
            <v>0.7</v>
          </cell>
          <cell r="CC71">
            <v>0.7</v>
          </cell>
          <cell r="CD71">
            <v>0</v>
          </cell>
          <cell r="CE71">
            <v>0</v>
          </cell>
          <cell r="CF71">
            <v>0</v>
          </cell>
          <cell r="CG71">
            <v>0</v>
          </cell>
          <cell r="CH71">
            <v>0</v>
          </cell>
          <cell r="CI71">
            <v>0</v>
          </cell>
          <cell r="CJ71">
            <v>0</v>
          </cell>
          <cell r="CK71">
            <v>0</v>
          </cell>
        </row>
        <row r="72">
          <cell r="D72" t="str">
            <v>01</v>
          </cell>
          <cell r="E72" t="str">
            <v>46</v>
          </cell>
          <cell r="F72" t="str">
            <v>P01</v>
          </cell>
          <cell r="G72" t="str">
            <v>TEC</v>
          </cell>
          <cell r="H72" t="str">
            <v>005</v>
          </cell>
          <cell r="I72" t="str">
            <v>LISTADO DE EQUIPOS A DESMANTELAR/REUTILIZAR/MODIFICAR UNIDAD 4100 - PLANTA ETILENO II</v>
          </cell>
          <cell r="J72">
            <v>39182</v>
          </cell>
          <cell r="K72">
            <v>39218</v>
          </cell>
          <cell r="L72">
            <v>39232</v>
          </cell>
          <cell r="M72">
            <v>39282</v>
          </cell>
          <cell r="N72">
            <v>39296</v>
          </cell>
          <cell r="O72">
            <v>39476</v>
          </cell>
          <cell r="P72">
            <v>18.0093569015444</v>
          </cell>
          <cell r="Q72" t="str">
            <v>P</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0.5</v>
          </cell>
          <cell r="AJ72">
            <v>0.5</v>
          </cell>
          <cell r="AK72">
            <v>0.7</v>
          </cell>
          <cell r="AL72">
            <v>0.7</v>
          </cell>
          <cell r="AM72">
            <v>0.7</v>
          </cell>
          <cell r="AN72">
            <v>0.7</v>
          </cell>
          <cell r="AO72">
            <v>0.7</v>
          </cell>
          <cell r="AP72">
            <v>0.7</v>
          </cell>
          <cell r="AQ72">
            <v>0.7</v>
          </cell>
          <cell r="AR72">
            <v>0.7</v>
          </cell>
          <cell r="AS72">
            <v>0.7</v>
          </cell>
          <cell r="AT72">
            <v>0.95</v>
          </cell>
          <cell r="AU72">
            <v>0.95</v>
          </cell>
          <cell r="AV72">
            <v>0.95</v>
          </cell>
          <cell r="AW72">
            <v>0.95</v>
          </cell>
          <cell r="AX72">
            <v>0.95</v>
          </cell>
          <cell r="AY72">
            <v>0.95</v>
          </cell>
          <cell r="AZ72">
            <v>0.95</v>
          </cell>
          <cell r="BA72">
            <v>0.95</v>
          </cell>
          <cell r="BB72">
            <v>0.95</v>
          </cell>
          <cell r="BC72">
            <v>0.95</v>
          </cell>
          <cell r="BD72">
            <v>0.95</v>
          </cell>
          <cell r="BE72">
            <v>0.95</v>
          </cell>
          <cell r="BF72">
            <v>0.95</v>
          </cell>
          <cell r="BG72">
            <v>0.95</v>
          </cell>
          <cell r="BH72">
            <v>0.95</v>
          </cell>
          <cell r="BI72">
            <v>0.95</v>
          </cell>
          <cell r="BJ72">
            <v>0.95</v>
          </cell>
          <cell r="BK72">
            <v>0.95</v>
          </cell>
          <cell r="BL72">
            <v>0.95</v>
          </cell>
          <cell r="BM72">
            <v>0.95</v>
          </cell>
          <cell r="BN72">
            <v>0.95</v>
          </cell>
          <cell r="BO72">
            <v>0.95</v>
          </cell>
          <cell r="BP72">
            <v>0.95</v>
          </cell>
          <cell r="BQ72">
            <v>0.95</v>
          </cell>
          <cell r="BR72">
            <v>0.95</v>
          </cell>
          <cell r="BS72">
            <v>0.95</v>
          </cell>
          <cell r="BT72">
            <v>1</v>
          </cell>
          <cell r="BU72">
            <v>1</v>
          </cell>
          <cell r="BV72">
            <v>1</v>
          </cell>
          <cell r="BW72">
            <v>1</v>
          </cell>
          <cell r="BX72">
            <v>1</v>
          </cell>
          <cell r="BY72">
            <v>1</v>
          </cell>
          <cell r="BZ72">
            <v>1</v>
          </cell>
          <cell r="CA72">
            <v>1</v>
          </cell>
          <cell r="CB72">
            <v>1</v>
          </cell>
          <cell r="CC72">
            <v>1</v>
          </cell>
          <cell r="CD72">
            <v>1</v>
          </cell>
          <cell r="CE72">
            <v>1</v>
          </cell>
          <cell r="CF72">
            <v>1</v>
          </cell>
          <cell r="CG72">
            <v>1</v>
          </cell>
          <cell r="CH72">
            <v>1</v>
          </cell>
          <cell r="CI72">
            <v>1</v>
          </cell>
          <cell r="CJ72">
            <v>1</v>
          </cell>
          <cell r="CK72">
            <v>1</v>
          </cell>
        </row>
        <row r="73">
          <cell r="J73">
            <v>39182</v>
          </cell>
          <cell r="K73">
            <v>39218</v>
          </cell>
          <cell r="L73">
            <v>39402</v>
          </cell>
          <cell r="M73">
            <v>39485</v>
          </cell>
          <cell r="N73">
            <v>39499</v>
          </cell>
          <cell r="O73">
            <v>39642</v>
          </cell>
          <cell r="Q73" t="str">
            <v>R</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0.5</v>
          </cell>
          <cell r="AJ73">
            <v>0.5</v>
          </cell>
          <cell r="AK73">
            <v>0.5</v>
          </cell>
          <cell r="AL73">
            <v>0.5</v>
          </cell>
          <cell r="AM73">
            <v>0.5</v>
          </cell>
          <cell r="AN73">
            <v>0.5</v>
          </cell>
          <cell r="AO73">
            <v>0.5</v>
          </cell>
          <cell r="AP73">
            <v>0.5</v>
          </cell>
          <cell r="AQ73">
            <v>0.5</v>
          </cell>
          <cell r="AR73">
            <v>0.5</v>
          </cell>
          <cell r="AS73">
            <v>0.5</v>
          </cell>
          <cell r="AT73">
            <v>0.5</v>
          </cell>
          <cell r="AU73">
            <v>0.5</v>
          </cell>
          <cell r="AV73">
            <v>0.5</v>
          </cell>
          <cell r="AW73">
            <v>0.5</v>
          </cell>
          <cell r="AX73">
            <v>0.5</v>
          </cell>
          <cell r="AY73">
            <v>0.5</v>
          </cell>
          <cell r="AZ73">
            <v>0.5</v>
          </cell>
          <cell r="BA73">
            <v>0.5</v>
          </cell>
          <cell r="BB73">
            <v>0.5</v>
          </cell>
          <cell r="BC73">
            <v>0.5</v>
          </cell>
          <cell r="BD73">
            <v>0.5</v>
          </cell>
          <cell r="BE73">
            <v>0.5</v>
          </cell>
          <cell r="BF73">
            <v>0.5</v>
          </cell>
          <cell r="BG73">
            <v>0.5</v>
          </cell>
          <cell r="BH73">
            <v>0.5</v>
          </cell>
          <cell r="BI73">
            <v>0.5</v>
          </cell>
          <cell r="BJ73">
            <v>0.7</v>
          </cell>
          <cell r="BK73">
            <v>0.7</v>
          </cell>
          <cell r="BL73">
            <v>0.7</v>
          </cell>
          <cell r="BM73">
            <v>0.7</v>
          </cell>
          <cell r="BN73">
            <v>0.7</v>
          </cell>
          <cell r="BO73">
            <v>0.7</v>
          </cell>
          <cell r="BP73">
            <v>0.7</v>
          </cell>
          <cell r="BQ73">
            <v>0.7</v>
          </cell>
          <cell r="BR73">
            <v>0.7</v>
          </cell>
          <cell r="BS73">
            <v>0.7</v>
          </cell>
          <cell r="BT73">
            <v>0.7</v>
          </cell>
          <cell r="BU73">
            <v>0.7</v>
          </cell>
          <cell r="BV73">
            <v>0.7</v>
          </cell>
          <cell r="BW73">
            <v>0.95</v>
          </cell>
          <cell r="BX73">
            <v>0.95</v>
          </cell>
          <cell r="BY73">
            <v>0.95</v>
          </cell>
          <cell r="BZ73">
            <v>0.95</v>
          </cell>
          <cell r="CA73">
            <v>0.95</v>
          </cell>
          <cell r="CB73">
            <v>0.95</v>
          </cell>
          <cell r="CC73">
            <v>0.95</v>
          </cell>
          <cell r="CD73">
            <v>0.95</v>
          </cell>
          <cell r="CE73">
            <v>0.95</v>
          </cell>
          <cell r="CF73">
            <v>0.95</v>
          </cell>
          <cell r="CG73">
            <v>0.95</v>
          </cell>
          <cell r="CH73">
            <v>0.95</v>
          </cell>
          <cell r="CI73">
            <v>0.95</v>
          </cell>
          <cell r="CJ73">
            <v>0.95</v>
          </cell>
          <cell r="CK73">
            <v>0.95</v>
          </cell>
        </row>
        <row r="74">
          <cell r="Q74" t="str">
            <v>E</v>
          </cell>
          <cell r="AH74">
            <v>0.1</v>
          </cell>
          <cell r="AI74">
            <v>0.1</v>
          </cell>
          <cell r="AJ74">
            <v>0.1</v>
          </cell>
          <cell r="AK74">
            <v>0.1</v>
          </cell>
          <cell r="AL74">
            <v>0.1</v>
          </cell>
          <cell r="AM74">
            <v>0.1</v>
          </cell>
          <cell r="AN74">
            <v>0.5</v>
          </cell>
          <cell r="AO74">
            <v>0.5</v>
          </cell>
          <cell r="AP74">
            <v>0.5</v>
          </cell>
          <cell r="AQ74">
            <v>0.5</v>
          </cell>
          <cell r="AR74">
            <v>0.5</v>
          </cell>
          <cell r="AS74">
            <v>0.5</v>
          </cell>
          <cell r="AT74">
            <v>0.5</v>
          </cell>
          <cell r="AU74">
            <v>0.5</v>
          </cell>
          <cell r="AV74">
            <v>0.5</v>
          </cell>
          <cell r="AW74">
            <v>0.5</v>
          </cell>
          <cell r="AX74">
            <v>0.5</v>
          </cell>
          <cell r="AY74">
            <v>0.5</v>
          </cell>
          <cell r="AZ74">
            <v>0.5</v>
          </cell>
          <cell r="BA74">
            <v>0.5</v>
          </cell>
          <cell r="BB74">
            <v>0.5</v>
          </cell>
          <cell r="BC74">
            <v>0.5</v>
          </cell>
          <cell r="BD74">
            <v>0.5</v>
          </cell>
          <cell r="BE74">
            <v>0.5</v>
          </cell>
          <cell r="BF74">
            <v>0.7</v>
          </cell>
          <cell r="BG74">
            <v>0.7</v>
          </cell>
          <cell r="BH74">
            <v>0.7</v>
          </cell>
          <cell r="BI74">
            <v>0.7</v>
          </cell>
          <cell r="BJ74">
            <v>0.7</v>
          </cell>
          <cell r="BK74">
            <v>0.7</v>
          </cell>
          <cell r="BL74">
            <v>0.7</v>
          </cell>
          <cell r="BM74">
            <v>0.7</v>
          </cell>
          <cell r="BN74">
            <v>0.7</v>
          </cell>
          <cell r="BO74">
            <v>0.7</v>
          </cell>
          <cell r="BP74">
            <v>0.7</v>
          </cell>
          <cell r="BQ74">
            <v>0.7</v>
          </cell>
          <cell r="BR74">
            <v>0.7</v>
          </cell>
          <cell r="BS74">
            <v>0.7</v>
          </cell>
          <cell r="BT74">
            <v>0.7</v>
          </cell>
          <cell r="BU74">
            <v>0.7</v>
          </cell>
          <cell r="BV74">
            <v>0.7</v>
          </cell>
          <cell r="BW74">
            <v>0.7</v>
          </cell>
          <cell r="BX74">
            <v>0.7</v>
          </cell>
          <cell r="BY74">
            <v>0.7</v>
          </cell>
          <cell r="BZ74">
            <v>0.7</v>
          </cell>
          <cell r="CA74">
            <v>0.7</v>
          </cell>
          <cell r="CB74">
            <v>0.7</v>
          </cell>
          <cell r="CC74">
            <v>0.7</v>
          </cell>
          <cell r="CD74">
            <v>0</v>
          </cell>
          <cell r="CE74">
            <v>0</v>
          </cell>
          <cell r="CF74">
            <v>0</v>
          </cell>
          <cell r="CG74">
            <v>0</v>
          </cell>
          <cell r="CH74">
            <v>0</v>
          </cell>
          <cell r="CI74">
            <v>0</v>
          </cell>
          <cell r="CJ74">
            <v>0</v>
          </cell>
          <cell r="CK74">
            <v>0</v>
          </cell>
        </row>
        <row r="75">
          <cell r="D75" t="str">
            <v>01</v>
          </cell>
          <cell r="E75" t="str">
            <v>46</v>
          </cell>
          <cell r="F75" t="str">
            <v>E01</v>
          </cell>
          <cell r="G75" t="str">
            <v>ESP</v>
          </cell>
          <cell r="H75" t="str">
            <v>001</v>
          </cell>
          <cell r="I75" t="str">
            <v>ESPECIFICACION DESMONTAJE Y CONSTRUCCION -AREA 46</v>
          </cell>
          <cell r="J75">
            <v>39258</v>
          </cell>
          <cell r="K75">
            <v>39304</v>
          </cell>
          <cell r="L75">
            <v>39318</v>
          </cell>
          <cell r="M75">
            <v>39319</v>
          </cell>
          <cell r="N75">
            <v>39333</v>
          </cell>
          <cell r="O75">
            <v>39476</v>
          </cell>
          <cell r="P75">
            <v>179.79999999999998</v>
          </cell>
          <cell r="Q75" t="str">
            <v>P</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0.5</v>
          </cell>
          <cell r="AW75">
            <v>0.5</v>
          </cell>
          <cell r="AX75">
            <v>0.7</v>
          </cell>
          <cell r="AY75">
            <v>0.7</v>
          </cell>
          <cell r="AZ75">
            <v>0.95</v>
          </cell>
          <cell r="BA75">
            <v>0.95</v>
          </cell>
          <cell r="BB75">
            <v>0.95</v>
          </cell>
          <cell r="BC75">
            <v>0.95</v>
          </cell>
          <cell r="BD75">
            <v>0.95</v>
          </cell>
          <cell r="BE75">
            <v>0.95</v>
          </cell>
          <cell r="BF75">
            <v>0.95</v>
          </cell>
          <cell r="BG75">
            <v>0.95</v>
          </cell>
          <cell r="BH75">
            <v>0.95</v>
          </cell>
          <cell r="BI75">
            <v>0.95</v>
          </cell>
          <cell r="BJ75">
            <v>0.95</v>
          </cell>
          <cell r="BK75">
            <v>0.95</v>
          </cell>
          <cell r="BL75">
            <v>0.95</v>
          </cell>
          <cell r="BM75">
            <v>0.95</v>
          </cell>
          <cell r="BN75">
            <v>0.95</v>
          </cell>
          <cell r="BO75">
            <v>0.95</v>
          </cell>
          <cell r="BP75">
            <v>0.95</v>
          </cell>
          <cell r="BQ75">
            <v>0.95</v>
          </cell>
          <cell r="BR75">
            <v>0.95</v>
          </cell>
          <cell r="BS75">
            <v>0.95</v>
          </cell>
          <cell r="BT75">
            <v>1</v>
          </cell>
          <cell r="BU75">
            <v>1</v>
          </cell>
          <cell r="BV75">
            <v>1</v>
          </cell>
          <cell r="BW75">
            <v>1</v>
          </cell>
          <cell r="BX75">
            <v>1</v>
          </cell>
          <cell r="BY75">
            <v>1</v>
          </cell>
          <cell r="BZ75">
            <v>1</v>
          </cell>
          <cell r="CA75">
            <v>1</v>
          </cell>
          <cell r="CB75">
            <v>1</v>
          </cell>
          <cell r="CC75">
            <v>1</v>
          </cell>
          <cell r="CD75">
            <v>1</v>
          </cell>
          <cell r="CE75">
            <v>1</v>
          </cell>
          <cell r="CF75">
            <v>1</v>
          </cell>
          <cell r="CG75">
            <v>1</v>
          </cell>
          <cell r="CH75">
            <v>1</v>
          </cell>
          <cell r="CI75">
            <v>1</v>
          </cell>
          <cell r="CJ75">
            <v>1</v>
          </cell>
          <cell r="CK75">
            <v>1</v>
          </cell>
        </row>
        <row r="76">
          <cell r="J76">
            <v>39258</v>
          </cell>
          <cell r="K76">
            <v>39304</v>
          </cell>
          <cell r="L76">
            <v>39318</v>
          </cell>
          <cell r="M76">
            <v>39472</v>
          </cell>
          <cell r="N76">
            <v>39500</v>
          </cell>
          <cell r="O76">
            <v>39642</v>
          </cell>
          <cell r="Q76" t="str">
            <v>R</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0.5</v>
          </cell>
          <cell r="AW76">
            <v>0.5</v>
          </cell>
          <cell r="AX76">
            <v>0.7</v>
          </cell>
          <cell r="AY76">
            <v>0.7</v>
          </cell>
          <cell r="AZ76">
            <v>0.7</v>
          </cell>
          <cell r="BA76">
            <v>0.7</v>
          </cell>
          <cell r="BB76">
            <v>0.7</v>
          </cell>
          <cell r="BC76">
            <v>0.7</v>
          </cell>
          <cell r="BD76">
            <v>0.7</v>
          </cell>
          <cell r="BE76">
            <v>0.7</v>
          </cell>
          <cell r="BF76">
            <v>0.7</v>
          </cell>
          <cell r="BG76">
            <v>0.7</v>
          </cell>
          <cell r="BH76">
            <v>0.7</v>
          </cell>
          <cell r="BI76">
            <v>0.7</v>
          </cell>
          <cell r="BJ76">
            <v>0.7</v>
          </cell>
          <cell r="BK76">
            <v>0.7</v>
          </cell>
          <cell r="BL76">
            <v>0.7</v>
          </cell>
          <cell r="BM76">
            <v>0.7</v>
          </cell>
          <cell r="BN76">
            <v>0.7</v>
          </cell>
          <cell r="BO76">
            <v>0.7</v>
          </cell>
          <cell r="BP76">
            <v>0.7</v>
          </cell>
          <cell r="BQ76">
            <v>0.7</v>
          </cell>
          <cell r="BR76">
            <v>0.7</v>
          </cell>
          <cell r="BS76">
            <v>0.7</v>
          </cell>
          <cell r="BT76">
            <v>0.7</v>
          </cell>
          <cell r="BU76">
            <v>0.7</v>
          </cell>
          <cell r="BV76">
            <v>0.7</v>
          </cell>
          <cell r="BW76">
            <v>0.7</v>
          </cell>
          <cell r="BX76">
            <v>0.95</v>
          </cell>
          <cell r="BY76">
            <v>0.95</v>
          </cell>
          <cell r="BZ76">
            <v>0.95</v>
          </cell>
          <cell r="CA76">
            <v>0.95</v>
          </cell>
          <cell r="CB76">
            <v>0.95</v>
          </cell>
          <cell r="CC76">
            <v>0.95</v>
          </cell>
          <cell r="CD76">
            <v>0.95</v>
          </cell>
          <cell r="CE76">
            <v>0.95</v>
          </cell>
          <cell r="CF76">
            <v>0.95</v>
          </cell>
          <cell r="CG76">
            <v>0.95</v>
          </cell>
          <cell r="CH76">
            <v>0.95</v>
          </cell>
          <cell r="CI76">
            <v>0.95</v>
          </cell>
          <cell r="CJ76">
            <v>0.95</v>
          </cell>
          <cell r="CK76">
            <v>0.95</v>
          </cell>
        </row>
        <row r="77">
          <cell r="Q77" t="str">
            <v>E</v>
          </cell>
          <cell r="AJ77">
            <v>0</v>
          </cell>
          <cell r="AK77">
            <v>0</v>
          </cell>
          <cell r="AL77">
            <v>0</v>
          </cell>
          <cell r="AM77">
            <v>0</v>
          </cell>
          <cell r="AN77">
            <v>0</v>
          </cell>
          <cell r="AO77">
            <v>0</v>
          </cell>
          <cell r="AP77">
            <v>0</v>
          </cell>
          <cell r="AQ77">
            <v>0</v>
          </cell>
          <cell r="AR77">
            <v>0</v>
          </cell>
          <cell r="AS77">
            <v>0</v>
          </cell>
          <cell r="AT77">
            <v>0</v>
          </cell>
          <cell r="AU77">
            <v>0.5</v>
          </cell>
          <cell r="AV77">
            <v>0.7</v>
          </cell>
          <cell r="AW77">
            <v>0.7</v>
          </cell>
          <cell r="AX77">
            <v>0.7</v>
          </cell>
          <cell r="AY77">
            <v>0.7</v>
          </cell>
          <cell r="AZ77">
            <v>0.7</v>
          </cell>
          <cell r="BA77">
            <v>0.7</v>
          </cell>
          <cell r="BB77">
            <v>0.7</v>
          </cell>
          <cell r="BC77">
            <v>0.7</v>
          </cell>
          <cell r="BD77">
            <v>0.7</v>
          </cell>
          <cell r="BE77">
            <v>0.7</v>
          </cell>
          <cell r="BF77">
            <v>0.7</v>
          </cell>
          <cell r="BG77">
            <v>0.7</v>
          </cell>
          <cell r="BH77">
            <v>0.7</v>
          </cell>
          <cell r="BI77">
            <v>0.7</v>
          </cell>
          <cell r="BJ77">
            <v>0.7</v>
          </cell>
          <cell r="BK77">
            <v>0.7</v>
          </cell>
          <cell r="BL77">
            <v>0.7</v>
          </cell>
          <cell r="BM77">
            <v>0.7</v>
          </cell>
          <cell r="BN77">
            <v>0.7</v>
          </cell>
          <cell r="BO77">
            <v>0.7</v>
          </cell>
          <cell r="BP77">
            <v>0.7</v>
          </cell>
          <cell r="BQ77">
            <v>0.7</v>
          </cell>
          <cell r="BR77">
            <v>0.7</v>
          </cell>
          <cell r="BS77">
            <v>0.7</v>
          </cell>
          <cell r="BT77">
            <v>0.7</v>
          </cell>
          <cell r="BU77">
            <v>0.7</v>
          </cell>
          <cell r="BV77">
            <v>0.7</v>
          </cell>
          <cell r="BW77">
            <v>0.7</v>
          </cell>
          <cell r="BX77">
            <v>0.7</v>
          </cell>
          <cell r="BY77">
            <v>0.95</v>
          </cell>
          <cell r="BZ77">
            <v>0.95</v>
          </cell>
          <cell r="CA77">
            <v>0.95</v>
          </cell>
          <cell r="CB77">
            <v>0.95</v>
          </cell>
          <cell r="CC77">
            <v>0.95</v>
          </cell>
          <cell r="CD77">
            <v>0</v>
          </cell>
          <cell r="CE77">
            <v>0</v>
          </cell>
          <cell r="CF77">
            <v>0</v>
          </cell>
          <cell r="CG77">
            <v>0</v>
          </cell>
          <cell r="CH77">
            <v>0</v>
          </cell>
          <cell r="CI77">
            <v>0</v>
          </cell>
          <cell r="CJ77">
            <v>0</v>
          </cell>
          <cell r="CK77">
            <v>0</v>
          </cell>
        </row>
        <row r="78">
          <cell r="E78">
            <v>46</v>
          </cell>
          <cell r="I78" t="str">
            <v xml:space="preserve">Modelaje Fundaciones                             </v>
          </cell>
          <cell r="Q78" t="str">
            <v>P</v>
          </cell>
        </row>
        <row r="79">
          <cell r="D79" t="str">
            <v>01</v>
          </cell>
          <cell r="E79" t="str">
            <v>46</v>
          </cell>
          <cell r="F79" t="str">
            <v>C33</v>
          </cell>
          <cell r="H79" t="str">
            <v>005</v>
          </cell>
          <cell r="I79" t="str">
            <v>PLANIMETRIA Y SECCIONES DE DEMOLICIONES Y DESMANTELAMIENTO</v>
          </cell>
          <cell r="J79">
            <v>39300</v>
          </cell>
          <cell r="K79">
            <v>39353</v>
          </cell>
          <cell r="L79">
            <v>39367</v>
          </cell>
          <cell r="M79">
            <v>39374</v>
          </cell>
          <cell r="N79">
            <v>39388</v>
          </cell>
          <cell r="O79">
            <v>39476</v>
          </cell>
          <cell r="P79">
            <v>407.15733333333327</v>
          </cell>
          <cell r="Q79" t="str">
            <v>P</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0.5</v>
          </cell>
          <cell r="BD79">
            <v>0.5</v>
          </cell>
          <cell r="BE79">
            <v>0.7</v>
          </cell>
          <cell r="BF79">
            <v>0.7</v>
          </cell>
          <cell r="BG79">
            <v>0.7</v>
          </cell>
          <cell r="BH79">
            <v>0.95</v>
          </cell>
          <cell r="BI79">
            <v>0.95</v>
          </cell>
          <cell r="BJ79">
            <v>0.95</v>
          </cell>
          <cell r="BK79">
            <v>0.95</v>
          </cell>
          <cell r="BL79">
            <v>0.95</v>
          </cell>
          <cell r="BM79">
            <v>0.95</v>
          </cell>
          <cell r="BN79">
            <v>0.95</v>
          </cell>
          <cell r="BO79">
            <v>0.95</v>
          </cell>
          <cell r="BP79">
            <v>0.95</v>
          </cell>
          <cell r="BQ79">
            <v>0.95</v>
          </cell>
          <cell r="BR79">
            <v>0.95</v>
          </cell>
          <cell r="BS79">
            <v>0.95</v>
          </cell>
          <cell r="BT79">
            <v>1</v>
          </cell>
          <cell r="BU79">
            <v>1</v>
          </cell>
          <cell r="BV79">
            <v>1</v>
          </cell>
          <cell r="BW79">
            <v>1</v>
          </cell>
          <cell r="BX79">
            <v>1</v>
          </cell>
          <cell r="BY79">
            <v>1</v>
          </cell>
          <cell r="BZ79">
            <v>1</v>
          </cell>
          <cell r="CA79">
            <v>1</v>
          </cell>
          <cell r="CB79">
            <v>1</v>
          </cell>
          <cell r="CC79">
            <v>1</v>
          </cell>
          <cell r="CD79">
            <v>1</v>
          </cell>
          <cell r="CE79">
            <v>1</v>
          </cell>
          <cell r="CF79">
            <v>1</v>
          </cell>
          <cell r="CG79">
            <v>1</v>
          </cell>
          <cell r="CH79">
            <v>1</v>
          </cell>
          <cell r="CI79">
            <v>1</v>
          </cell>
          <cell r="CJ79">
            <v>1</v>
          </cell>
          <cell r="CK79">
            <v>1</v>
          </cell>
        </row>
        <row r="80">
          <cell r="J80">
            <v>39371</v>
          </cell>
          <cell r="K80">
            <v>39437</v>
          </cell>
          <cell r="L80">
            <v>39472</v>
          </cell>
          <cell r="M80">
            <v>39521</v>
          </cell>
          <cell r="N80">
            <v>39535</v>
          </cell>
          <cell r="O80">
            <v>39642</v>
          </cell>
          <cell r="Q80" t="str">
            <v>R</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0.5</v>
          </cell>
          <cell r="BP80">
            <v>0.5</v>
          </cell>
          <cell r="BQ80">
            <v>0.5</v>
          </cell>
          <cell r="BR80">
            <v>0.5</v>
          </cell>
          <cell r="BS80">
            <v>0.5</v>
          </cell>
          <cell r="BT80">
            <v>0.7</v>
          </cell>
          <cell r="BU80">
            <v>0.7</v>
          </cell>
          <cell r="BV80">
            <v>0.7</v>
          </cell>
          <cell r="BW80">
            <v>0.7</v>
          </cell>
          <cell r="BX80">
            <v>0.7</v>
          </cell>
          <cell r="BY80">
            <v>0.7</v>
          </cell>
          <cell r="BZ80">
            <v>0.7</v>
          </cell>
          <cell r="CA80">
            <v>0.7</v>
          </cell>
          <cell r="CB80">
            <v>0.7</v>
          </cell>
          <cell r="CC80">
            <v>0.95</v>
          </cell>
          <cell r="CD80">
            <v>0.95</v>
          </cell>
          <cell r="CE80">
            <v>0.95</v>
          </cell>
          <cell r="CF80">
            <v>0.95</v>
          </cell>
          <cell r="CG80">
            <v>0.95</v>
          </cell>
          <cell r="CH80">
            <v>0.95</v>
          </cell>
          <cell r="CI80">
            <v>0.95</v>
          </cell>
          <cell r="CJ80">
            <v>0.95</v>
          </cell>
          <cell r="CK80">
            <v>0.95</v>
          </cell>
        </row>
        <row r="81">
          <cell r="L81">
            <v>0</v>
          </cell>
          <cell r="M81">
            <v>0</v>
          </cell>
          <cell r="N81">
            <v>0</v>
          </cell>
          <cell r="Q81" t="str">
            <v>E</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0.5</v>
          </cell>
          <cell r="BN81">
            <v>0.5</v>
          </cell>
          <cell r="BO81">
            <v>0.5</v>
          </cell>
          <cell r="BP81">
            <v>0.5</v>
          </cell>
          <cell r="BQ81">
            <v>0.5</v>
          </cell>
          <cell r="BR81">
            <v>0.7</v>
          </cell>
          <cell r="BS81">
            <v>0.7</v>
          </cell>
          <cell r="BT81">
            <v>0.7</v>
          </cell>
          <cell r="BU81">
            <v>0.7</v>
          </cell>
          <cell r="BV81">
            <v>0.7</v>
          </cell>
          <cell r="BW81">
            <v>0.7</v>
          </cell>
          <cell r="BX81">
            <v>0.7</v>
          </cell>
          <cell r="BY81">
            <v>0.7</v>
          </cell>
          <cell r="BZ81">
            <v>0.7</v>
          </cell>
          <cell r="CA81">
            <v>0.7</v>
          </cell>
          <cell r="CB81">
            <v>0.7</v>
          </cell>
          <cell r="CC81">
            <v>0.7</v>
          </cell>
          <cell r="CD81">
            <v>0</v>
          </cell>
          <cell r="CE81">
            <v>0</v>
          </cell>
          <cell r="CF81">
            <v>0</v>
          </cell>
          <cell r="CG81">
            <v>0</v>
          </cell>
          <cell r="CH81">
            <v>0</v>
          </cell>
          <cell r="CI81">
            <v>0</v>
          </cell>
          <cell r="CJ81">
            <v>0</v>
          </cell>
          <cell r="CK81">
            <v>0</v>
          </cell>
        </row>
        <row r="82">
          <cell r="D82" t="str">
            <v>01</v>
          </cell>
          <cell r="E82" t="str">
            <v>46</v>
          </cell>
          <cell r="F82" t="str">
            <v>C33</v>
          </cell>
          <cell r="H82" t="str">
            <v>001</v>
          </cell>
          <cell r="I82" t="str">
            <v>PLANIMETRIA DE FUNDACIONES Y SISTEMAS ENTERRADOS.</v>
          </cell>
          <cell r="J82">
            <v>39300</v>
          </cell>
          <cell r="K82">
            <v>39360</v>
          </cell>
          <cell r="L82">
            <v>39374</v>
          </cell>
          <cell r="M82">
            <v>39381</v>
          </cell>
          <cell r="N82">
            <v>39395</v>
          </cell>
          <cell r="O82">
            <v>39476</v>
          </cell>
          <cell r="P82">
            <v>116.33066666666667</v>
          </cell>
          <cell r="Q82" t="str">
            <v>P</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0.5</v>
          </cell>
          <cell r="BE82">
            <v>0.5</v>
          </cell>
          <cell r="BF82">
            <v>0.7</v>
          </cell>
          <cell r="BG82">
            <v>0.7</v>
          </cell>
          <cell r="BH82">
            <v>0.7</v>
          </cell>
          <cell r="BI82">
            <v>0.95</v>
          </cell>
          <cell r="BJ82">
            <v>0.95</v>
          </cell>
          <cell r="BK82">
            <v>0.95</v>
          </cell>
          <cell r="BL82">
            <v>0.95</v>
          </cell>
          <cell r="BM82">
            <v>0.95</v>
          </cell>
          <cell r="BN82">
            <v>0.95</v>
          </cell>
          <cell r="BO82">
            <v>0.95</v>
          </cell>
          <cell r="BP82">
            <v>0.95</v>
          </cell>
          <cell r="BQ82">
            <v>0.95</v>
          </cell>
          <cell r="BR82">
            <v>0.95</v>
          </cell>
          <cell r="BS82">
            <v>0.95</v>
          </cell>
          <cell r="BT82">
            <v>1</v>
          </cell>
          <cell r="BU82">
            <v>1</v>
          </cell>
          <cell r="BV82">
            <v>1</v>
          </cell>
          <cell r="BW82">
            <v>1</v>
          </cell>
          <cell r="BX82">
            <v>1</v>
          </cell>
          <cell r="BY82">
            <v>1</v>
          </cell>
          <cell r="BZ82">
            <v>1</v>
          </cell>
          <cell r="CA82">
            <v>1</v>
          </cell>
          <cell r="CB82">
            <v>1</v>
          </cell>
          <cell r="CC82">
            <v>1</v>
          </cell>
          <cell r="CD82">
            <v>1</v>
          </cell>
          <cell r="CE82">
            <v>1</v>
          </cell>
          <cell r="CF82">
            <v>1</v>
          </cell>
          <cell r="CG82">
            <v>1</v>
          </cell>
          <cell r="CH82">
            <v>1</v>
          </cell>
          <cell r="CI82">
            <v>1</v>
          </cell>
          <cell r="CJ82">
            <v>1</v>
          </cell>
          <cell r="CK82">
            <v>1</v>
          </cell>
        </row>
        <row r="83">
          <cell r="J83">
            <v>39384</v>
          </cell>
          <cell r="K83">
            <v>39472</v>
          </cell>
          <cell r="L83">
            <v>39535</v>
          </cell>
          <cell r="M83">
            <v>39550</v>
          </cell>
          <cell r="N83">
            <v>39564</v>
          </cell>
          <cell r="O83">
            <v>39642</v>
          </cell>
          <cell r="Q83" t="str">
            <v>R</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0.5</v>
          </cell>
          <cell r="BU83">
            <v>0.5</v>
          </cell>
          <cell r="BV83">
            <v>0.5</v>
          </cell>
          <cell r="BW83">
            <v>0.5</v>
          </cell>
          <cell r="BX83">
            <v>0.5</v>
          </cell>
          <cell r="BY83">
            <v>0.5</v>
          </cell>
          <cell r="BZ83">
            <v>0.5</v>
          </cell>
          <cell r="CA83">
            <v>0.5</v>
          </cell>
          <cell r="CB83">
            <v>0.5</v>
          </cell>
          <cell r="CC83">
            <v>0.7</v>
          </cell>
          <cell r="CD83">
            <v>0.7</v>
          </cell>
          <cell r="CE83">
            <v>0.7</v>
          </cell>
          <cell r="CF83">
            <v>0.7</v>
          </cell>
          <cell r="CG83">
            <v>0.95</v>
          </cell>
          <cell r="CH83">
            <v>0.95</v>
          </cell>
          <cell r="CI83">
            <v>0.95</v>
          </cell>
          <cell r="CJ83">
            <v>0.95</v>
          </cell>
          <cell r="CK83">
            <v>0.95</v>
          </cell>
        </row>
        <row r="84">
          <cell r="Q84" t="str">
            <v>E</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S84">
            <v>0</v>
          </cell>
          <cell r="BT84">
            <v>0</v>
          </cell>
          <cell r="BU84">
            <v>0</v>
          </cell>
          <cell r="BV84">
            <v>0</v>
          </cell>
          <cell r="BW84">
            <v>0.5</v>
          </cell>
          <cell r="BX84">
            <v>0.7</v>
          </cell>
          <cell r="BY84">
            <v>0.7</v>
          </cell>
          <cell r="BZ84">
            <v>0.7</v>
          </cell>
          <cell r="CA84">
            <v>0.7</v>
          </cell>
          <cell r="CB84">
            <v>0.7</v>
          </cell>
          <cell r="CC84">
            <v>0.7</v>
          </cell>
          <cell r="CD84">
            <v>0</v>
          </cell>
          <cell r="CE84">
            <v>0</v>
          </cell>
          <cell r="CF84">
            <v>0</v>
          </cell>
          <cell r="CG84">
            <v>0</v>
          </cell>
          <cell r="CH84">
            <v>0</v>
          </cell>
          <cell r="CI84">
            <v>0</v>
          </cell>
          <cell r="CJ84">
            <v>0</v>
          </cell>
          <cell r="CK84">
            <v>0</v>
          </cell>
        </row>
        <row r="85">
          <cell r="D85" t="str">
            <v>01</v>
          </cell>
          <cell r="E85" t="str">
            <v>46</v>
          </cell>
          <cell r="F85" t="str">
            <v>C31</v>
          </cell>
          <cell r="G85" t="str">
            <v>CAL</v>
          </cell>
          <cell r="H85" t="str">
            <v>003</v>
          </cell>
          <cell r="I85" t="str">
            <v>MEMORIAS DE CALCULO FUNDACION COMPRESOR</v>
          </cell>
          <cell r="J85">
            <v>39266</v>
          </cell>
          <cell r="K85">
            <v>39311</v>
          </cell>
          <cell r="L85">
            <v>39325</v>
          </cell>
          <cell r="M85">
            <v>39332</v>
          </cell>
          <cell r="N85">
            <v>39346</v>
          </cell>
          <cell r="O85">
            <v>39476</v>
          </cell>
          <cell r="P85">
            <v>116.33066666666667</v>
          </cell>
          <cell r="Q85" t="str">
            <v>P</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0.5</v>
          </cell>
          <cell r="AX85">
            <v>0.5</v>
          </cell>
          <cell r="AY85">
            <v>0.7</v>
          </cell>
          <cell r="AZ85">
            <v>0.7</v>
          </cell>
          <cell r="BA85">
            <v>0.7</v>
          </cell>
          <cell r="BB85">
            <v>0.95</v>
          </cell>
          <cell r="BC85">
            <v>0.95</v>
          </cell>
          <cell r="BD85">
            <v>0.95</v>
          </cell>
          <cell r="BE85">
            <v>0.95</v>
          </cell>
          <cell r="BF85">
            <v>0.95</v>
          </cell>
          <cell r="BG85">
            <v>0.95</v>
          </cell>
          <cell r="BH85">
            <v>0.95</v>
          </cell>
          <cell r="BI85">
            <v>0.95</v>
          </cell>
          <cell r="BJ85">
            <v>0.95</v>
          </cell>
          <cell r="BK85">
            <v>0.95</v>
          </cell>
          <cell r="BL85">
            <v>0.95</v>
          </cell>
          <cell r="BM85">
            <v>0.95</v>
          </cell>
          <cell r="BN85">
            <v>0.95</v>
          </cell>
          <cell r="BO85">
            <v>0.95</v>
          </cell>
          <cell r="BP85">
            <v>0.95</v>
          </cell>
          <cell r="BQ85">
            <v>0.95</v>
          </cell>
          <cell r="BR85">
            <v>0.95</v>
          </cell>
          <cell r="BS85">
            <v>0.95</v>
          </cell>
          <cell r="BT85">
            <v>1</v>
          </cell>
          <cell r="BU85">
            <v>1</v>
          </cell>
          <cell r="BV85">
            <v>1</v>
          </cell>
          <cell r="BW85">
            <v>1</v>
          </cell>
          <cell r="BX85">
            <v>1</v>
          </cell>
          <cell r="BY85">
            <v>1</v>
          </cell>
          <cell r="BZ85">
            <v>1</v>
          </cell>
          <cell r="CA85">
            <v>1</v>
          </cell>
          <cell r="CB85">
            <v>1</v>
          </cell>
          <cell r="CC85">
            <v>1</v>
          </cell>
          <cell r="CD85">
            <v>1</v>
          </cell>
          <cell r="CE85">
            <v>1</v>
          </cell>
          <cell r="CF85">
            <v>1</v>
          </cell>
          <cell r="CG85">
            <v>1</v>
          </cell>
          <cell r="CH85">
            <v>1</v>
          </cell>
          <cell r="CI85">
            <v>1</v>
          </cell>
          <cell r="CJ85">
            <v>1</v>
          </cell>
          <cell r="CK85">
            <v>1</v>
          </cell>
        </row>
        <row r="86">
          <cell r="J86">
            <v>39335</v>
          </cell>
          <cell r="K86">
            <v>39472</v>
          </cell>
          <cell r="L86">
            <v>39535</v>
          </cell>
          <cell r="M86">
            <v>39550</v>
          </cell>
          <cell r="N86">
            <v>39564</v>
          </cell>
          <cell r="O86">
            <v>39642</v>
          </cell>
          <cell r="Q86" t="str">
            <v>R</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0.5</v>
          </cell>
          <cell r="BU86">
            <v>0.5</v>
          </cell>
          <cell r="BV86">
            <v>0.5</v>
          </cell>
          <cell r="BW86">
            <v>0.5</v>
          </cell>
          <cell r="BX86">
            <v>0.5</v>
          </cell>
          <cell r="BY86">
            <v>0.5</v>
          </cell>
          <cell r="BZ86">
            <v>0.5</v>
          </cell>
          <cell r="CA86">
            <v>0.5</v>
          </cell>
          <cell r="CB86">
            <v>0.5</v>
          </cell>
          <cell r="CC86">
            <v>0.7</v>
          </cell>
          <cell r="CD86">
            <v>0.7</v>
          </cell>
          <cell r="CE86">
            <v>0.7</v>
          </cell>
          <cell r="CF86">
            <v>0.7</v>
          </cell>
          <cell r="CG86">
            <v>0.95</v>
          </cell>
          <cell r="CH86">
            <v>0.95</v>
          </cell>
          <cell r="CI86">
            <v>0.95</v>
          </cell>
          <cell r="CJ86">
            <v>0.95</v>
          </cell>
          <cell r="CK86">
            <v>0.95</v>
          </cell>
        </row>
        <row r="87">
          <cell r="Q87" t="str">
            <v>E</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S87">
            <v>0</v>
          </cell>
          <cell r="BT87">
            <v>0</v>
          </cell>
          <cell r="BU87">
            <v>0</v>
          </cell>
          <cell r="BV87">
            <v>0</v>
          </cell>
          <cell r="BW87">
            <v>0</v>
          </cell>
          <cell r="BX87">
            <v>0.5</v>
          </cell>
          <cell r="BY87">
            <v>0.5</v>
          </cell>
          <cell r="BZ87">
            <v>0.5</v>
          </cell>
          <cell r="CA87">
            <v>0.5</v>
          </cell>
          <cell r="CB87">
            <v>0.5</v>
          </cell>
          <cell r="CC87">
            <v>0.5</v>
          </cell>
          <cell r="CD87">
            <v>0</v>
          </cell>
          <cell r="CE87">
            <v>0</v>
          </cell>
          <cell r="CF87">
            <v>0</v>
          </cell>
          <cell r="CG87">
            <v>0</v>
          </cell>
          <cell r="CH87">
            <v>0</v>
          </cell>
          <cell r="CI87">
            <v>0</v>
          </cell>
          <cell r="CJ87">
            <v>0</v>
          </cell>
          <cell r="CK87">
            <v>0</v>
          </cell>
        </row>
        <row r="88">
          <cell r="D88" t="str">
            <v>01</v>
          </cell>
          <cell r="E88" t="str">
            <v>46</v>
          </cell>
          <cell r="F88" t="str">
            <v>C33</v>
          </cell>
          <cell r="H88" t="str">
            <v>003</v>
          </cell>
          <cell r="I88" t="str">
            <v>FUNDACION DE ESTRUCTURA METALICA CUBIERTA COMPRESOR</v>
          </cell>
          <cell r="J88">
            <v>39279</v>
          </cell>
          <cell r="K88">
            <v>39360</v>
          </cell>
          <cell r="L88">
            <v>39374</v>
          </cell>
          <cell r="M88">
            <v>39381</v>
          </cell>
          <cell r="N88">
            <v>39395</v>
          </cell>
          <cell r="O88">
            <v>39476</v>
          </cell>
          <cell r="P88">
            <v>203.57866666666649</v>
          </cell>
          <cell r="Q88" t="str">
            <v>P</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0.5</v>
          </cell>
          <cell r="BE88">
            <v>0.5</v>
          </cell>
          <cell r="BF88">
            <v>0.7</v>
          </cell>
          <cell r="BG88">
            <v>0.7</v>
          </cell>
          <cell r="BH88">
            <v>0.7</v>
          </cell>
          <cell r="BI88">
            <v>0.95</v>
          </cell>
          <cell r="BJ88">
            <v>0.95</v>
          </cell>
          <cell r="BK88">
            <v>0.95</v>
          </cell>
          <cell r="BL88">
            <v>0.95</v>
          </cell>
          <cell r="BM88">
            <v>0.95</v>
          </cell>
          <cell r="BN88">
            <v>0.95</v>
          </cell>
          <cell r="BO88">
            <v>0.95</v>
          </cell>
          <cell r="BP88">
            <v>0.95</v>
          </cell>
          <cell r="BQ88">
            <v>0.95</v>
          </cell>
          <cell r="BR88">
            <v>0.95</v>
          </cell>
          <cell r="BS88">
            <v>0.95</v>
          </cell>
          <cell r="BT88">
            <v>1</v>
          </cell>
          <cell r="BU88">
            <v>1</v>
          </cell>
          <cell r="BV88">
            <v>1</v>
          </cell>
          <cell r="BW88">
            <v>1</v>
          </cell>
          <cell r="BX88">
            <v>1</v>
          </cell>
          <cell r="BY88">
            <v>1</v>
          </cell>
          <cell r="BZ88">
            <v>1</v>
          </cell>
          <cell r="CA88">
            <v>1</v>
          </cell>
          <cell r="CB88">
            <v>1</v>
          </cell>
          <cell r="CC88">
            <v>1</v>
          </cell>
          <cell r="CD88">
            <v>1</v>
          </cell>
          <cell r="CE88">
            <v>1</v>
          </cell>
          <cell r="CF88">
            <v>1</v>
          </cell>
          <cell r="CG88">
            <v>1</v>
          </cell>
          <cell r="CH88">
            <v>1</v>
          </cell>
          <cell r="CI88">
            <v>1</v>
          </cell>
          <cell r="CJ88">
            <v>1</v>
          </cell>
          <cell r="CK88">
            <v>1</v>
          </cell>
        </row>
        <row r="89">
          <cell r="I89" t="str">
            <v xml:space="preserve"> - (Nombre anteririor: FUNDACION DE BOMBAS)</v>
          </cell>
          <cell r="J89">
            <v>39365</v>
          </cell>
          <cell r="K89">
            <v>39437</v>
          </cell>
          <cell r="L89">
            <v>39500</v>
          </cell>
          <cell r="M89">
            <v>39521</v>
          </cell>
          <cell r="N89">
            <v>39533</v>
          </cell>
          <cell r="O89">
            <v>39642</v>
          </cell>
          <cell r="Q89" t="str">
            <v>R</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0.5</v>
          </cell>
          <cell r="BP89">
            <v>0.5</v>
          </cell>
          <cell r="BQ89">
            <v>0.5</v>
          </cell>
          <cell r="BR89">
            <v>0.95</v>
          </cell>
          <cell r="BS89">
            <v>0.5</v>
          </cell>
          <cell r="BT89">
            <v>0.5</v>
          </cell>
          <cell r="BU89">
            <v>0.5</v>
          </cell>
          <cell r="BV89">
            <v>0.5</v>
          </cell>
          <cell r="BW89">
            <v>0.95</v>
          </cell>
          <cell r="BX89">
            <v>0.7</v>
          </cell>
          <cell r="BY89">
            <v>0.7</v>
          </cell>
          <cell r="BZ89">
            <v>0.7</v>
          </cell>
          <cell r="CA89">
            <v>0.7</v>
          </cell>
          <cell r="CB89">
            <v>0.95</v>
          </cell>
          <cell r="CC89">
            <v>0.95</v>
          </cell>
          <cell r="CD89">
            <v>0.95</v>
          </cell>
          <cell r="CE89">
            <v>0.95</v>
          </cell>
          <cell r="CF89">
            <v>0.95</v>
          </cell>
          <cell r="CG89">
            <v>0.95</v>
          </cell>
          <cell r="CH89">
            <v>0.95</v>
          </cell>
          <cell r="CI89">
            <v>0.95</v>
          </cell>
          <cell r="CJ89">
            <v>0.95</v>
          </cell>
          <cell r="CK89">
            <v>0.95</v>
          </cell>
        </row>
        <row r="90">
          <cell r="L90">
            <v>0</v>
          </cell>
          <cell r="M90">
            <v>0</v>
          </cell>
          <cell r="N90">
            <v>0</v>
          </cell>
          <cell r="Q90" t="str">
            <v>E</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0.5</v>
          </cell>
          <cell r="BN90">
            <v>0.5</v>
          </cell>
          <cell r="BO90">
            <v>0.5</v>
          </cell>
          <cell r="BP90">
            <v>0.5</v>
          </cell>
          <cell r="BQ90">
            <v>0.5</v>
          </cell>
          <cell r="BR90">
            <v>0.5</v>
          </cell>
          <cell r="BS90">
            <v>0.5</v>
          </cell>
          <cell r="BT90">
            <v>0.5</v>
          </cell>
          <cell r="BU90">
            <v>0.5</v>
          </cell>
          <cell r="BV90">
            <v>0.5</v>
          </cell>
          <cell r="BW90">
            <v>0.5</v>
          </cell>
          <cell r="BX90">
            <v>0.5</v>
          </cell>
          <cell r="BY90">
            <v>0.5</v>
          </cell>
          <cell r="BZ90">
            <v>0.5</v>
          </cell>
          <cell r="CA90">
            <v>0.5</v>
          </cell>
          <cell r="CB90">
            <v>0.5</v>
          </cell>
          <cell r="CC90">
            <v>0.5</v>
          </cell>
          <cell r="CD90">
            <v>0</v>
          </cell>
          <cell r="CE90">
            <v>0</v>
          </cell>
          <cell r="CF90">
            <v>0</v>
          </cell>
          <cell r="CG90">
            <v>0</v>
          </cell>
          <cell r="CH90">
            <v>0</v>
          </cell>
          <cell r="CI90">
            <v>0</v>
          </cell>
          <cell r="CJ90">
            <v>0</v>
          </cell>
          <cell r="CK90">
            <v>0</v>
          </cell>
        </row>
        <row r="91">
          <cell r="D91" t="str">
            <v>01</v>
          </cell>
          <cell r="E91" t="str">
            <v>46</v>
          </cell>
          <cell r="F91" t="str">
            <v>C33</v>
          </cell>
          <cell r="H91" t="str">
            <v>004</v>
          </cell>
          <cell r="I91" t="str">
            <v>FUNDACION COMPRESOR RECIPROCANTE C-4109</v>
          </cell>
          <cell r="J91">
            <v>39279</v>
          </cell>
          <cell r="K91">
            <v>39360</v>
          </cell>
          <cell r="L91">
            <v>39374</v>
          </cell>
          <cell r="M91">
            <v>39381</v>
          </cell>
          <cell r="N91">
            <v>39395</v>
          </cell>
          <cell r="O91">
            <v>39476</v>
          </cell>
          <cell r="P91">
            <v>203.57866666666649</v>
          </cell>
          <cell r="Q91" t="str">
            <v>P</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0.5</v>
          </cell>
          <cell r="BE91">
            <v>0.5</v>
          </cell>
          <cell r="BF91">
            <v>0.7</v>
          </cell>
          <cell r="BG91">
            <v>0.7</v>
          </cell>
          <cell r="BH91">
            <v>0.7</v>
          </cell>
          <cell r="BI91">
            <v>0.95</v>
          </cell>
          <cell r="BJ91">
            <v>0.95</v>
          </cell>
          <cell r="BK91">
            <v>0.95</v>
          </cell>
          <cell r="BL91">
            <v>0.95</v>
          </cell>
          <cell r="BM91">
            <v>0.95</v>
          </cell>
          <cell r="BN91">
            <v>0.95</v>
          </cell>
          <cell r="BO91">
            <v>0.95</v>
          </cell>
          <cell r="BP91">
            <v>0.95</v>
          </cell>
          <cell r="BQ91">
            <v>0.95</v>
          </cell>
          <cell r="BR91">
            <v>0.95</v>
          </cell>
          <cell r="BS91">
            <v>0.95</v>
          </cell>
          <cell r="BT91">
            <v>1</v>
          </cell>
          <cell r="BU91">
            <v>1</v>
          </cell>
          <cell r="BV91">
            <v>1</v>
          </cell>
          <cell r="BW91">
            <v>1</v>
          </cell>
          <cell r="BX91">
            <v>1</v>
          </cell>
          <cell r="BY91">
            <v>1</v>
          </cell>
          <cell r="BZ91">
            <v>1</v>
          </cell>
          <cell r="CA91">
            <v>1</v>
          </cell>
          <cell r="CB91">
            <v>1</v>
          </cell>
          <cell r="CC91">
            <v>1</v>
          </cell>
          <cell r="CD91">
            <v>1</v>
          </cell>
          <cell r="CE91">
            <v>1</v>
          </cell>
          <cell r="CF91">
            <v>1</v>
          </cell>
          <cell r="CG91">
            <v>1</v>
          </cell>
          <cell r="CH91">
            <v>1</v>
          </cell>
          <cell r="CI91">
            <v>1</v>
          </cell>
          <cell r="CJ91">
            <v>1</v>
          </cell>
          <cell r="CK91">
            <v>1</v>
          </cell>
        </row>
        <row r="92">
          <cell r="J92">
            <v>39365</v>
          </cell>
          <cell r="K92">
            <v>39437</v>
          </cell>
          <cell r="L92">
            <v>39500</v>
          </cell>
          <cell r="M92">
            <v>39521</v>
          </cell>
          <cell r="N92">
            <v>39533</v>
          </cell>
          <cell r="O92">
            <v>39642</v>
          </cell>
          <cell r="Q92" t="str">
            <v>R</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0.5</v>
          </cell>
          <cell r="BP92">
            <v>0.5</v>
          </cell>
          <cell r="BQ92">
            <v>0.5</v>
          </cell>
          <cell r="BR92">
            <v>0.5</v>
          </cell>
          <cell r="BS92">
            <v>0.5</v>
          </cell>
          <cell r="BT92">
            <v>0.5</v>
          </cell>
          <cell r="BU92">
            <v>0.5</v>
          </cell>
          <cell r="BV92">
            <v>0.5</v>
          </cell>
          <cell r="BW92">
            <v>0.5</v>
          </cell>
          <cell r="BX92">
            <v>0.7</v>
          </cell>
          <cell r="BY92">
            <v>0.7</v>
          </cell>
          <cell r="BZ92">
            <v>0.7</v>
          </cell>
          <cell r="CA92">
            <v>0.7</v>
          </cell>
          <cell r="CB92">
            <v>0.95</v>
          </cell>
          <cell r="CC92">
            <v>0.95</v>
          </cell>
          <cell r="CD92">
            <v>0.95</v>
          </cell>
          <cell r="CE92">
            <v>0.95</v>
          </cell>
          <cell r="CF92">
            <v>0.95</v>
          </cell>
          <cell r="CG92">
            <v>0.95</v>
          </cell>
          <cell r="CH92">
            <v>0.95</v>
          </cell>
          <cell r="CI92">
            <v>0.95</v>
          </cell>
          <cell r="CJ92">
            <v>0.95</v>
          </cell>
          <cell r="CK92">
            <v>0.95</v>
          </cell>
        </row>
        <row r="93">
          <cell r="L93">
            <v>0</v>
          </cell>
          <cell r="M93">
            <v>0</v>
          </cell>
          <cell r="N93">
            <v>0</v>
          </cell>
          <cell r="Q93" t="str">
            <v>E</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0.5</v>
          </cell>
          <cell r="BN93">
            <v>0.5</v>
          </cell>
          <cell r="BO93">
            <v>0.5</v>
          </cell>
          <cell r="BP93">
            <v>0.5</v>
          </cell>
          <cell r="BQ93">
            <v>0.5</v>
          </cell>
          <cell r="BR93">
            <v>0.5</v>
          </cell>
          <cell r="BS93">
            <v>0.5</v>
          </cell>
          <cell r="BT93">
            <v>0.5</v>
          </cell>
          <cell r="BU93">
            <v>0.5</v>
          </cell>
          <cell r="BV93">
            <v>0.5</v>
          </cell>
          <cell r="BW93">
            <v>0.5</v>
          </cell>
          <cell r="BX93">
            <v>0.5</v>
          </cell>
          <cell r="BY93">
            <v>0.5</v>
          </cell>
          <cell r="BZ93">
            <v>0.5</v>
          </cell>
          <cell r="CA93">
            <v>0.5</v>
          </cell>
          <cell r="CB93">
            <v>0.5</v>
          </cell>
          <cell r="CC93">
            <v>0.5</v>
          </cell>
          <cell r="CD93">
            <v>0</v>
          </cell>
          <cell r="CE93">
            <v>0</v>
          </cell>
          <cell r="CF93">
            <v>0</v>
          </cell>
          <cell r="CG93">
            <v>0</v>
          </cell>
          <cell r="CH93">
            <v>0</v>
          </cell>
          <cell r="CI93">
            <v>0</v>
          </cell>
          <cell r="CJ93">
            <v>0</v>
          </cell>
          <cell r="CK93">
            <v>0</v>
          </cell>
        </row>
        <row r="94">
          <cell r="D94" t="str">
            <v>01</v>
          </cell>
          <cell r="E94" t="str">
            <v>46</v>
          </cell>
          <cell r="F94" t="str">
            <v>C33</v>
          </cell>
          <cell r="H94" t="str">
            <v>002</v>
          </cell>
          <cell r="I94" t="str">
            <v>PLANO DE RECONSTRUCCION DE PLACA DE PISO</v>
          </cell>
          <cell r="J94">
            <v>39349</v>
          </cell>
          <cell r="K94">
            <v>39367</v>
          </cell>
          <cell r="L94">
            <v>39381</v>
          </cell>
          <cell r="M94">
            <v>39386</v>
          </cell>
          <cell r="N94">
            <v>39400</v>
          </cell>
          <cell r="O94">
            <v>39476</v>
          </cell>
          <cell r="P94">
            <v>116.33066666666667</v>
          </cell>
          <cell r="Q94" t="str">
            <v>P</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0.5</v>
          </cell>
          <cell r="BF94">
            <v>0.5</v>
          </cell>
          <cell r="BG94">
            <v>0.7</v>
          </cell>
          <cell r="BH94">
            <v>0.7</v>
          </cell>
          <cell r="BI94">
            <v>0.95</v>
          </cell>
          <cell r="BJ94">
            <v>0.95</v>
          </cell>
          <cell r="BK94">
            <v>0.95</v>
          </cell>
          <cell r="BL94">
            <v>0.95</v>
          </cell>
          <cell r="BM94">
            <v>0.95</v>
          </cell>
          <cell r="BN94">
            <v>0.95</v>
          </cell>
          <cell r="BO94">
            <v>0.95</v>
          </cell>
          <cell r="BP94">
            <v>0.95</v>
          </cell>
          <cell r="BQ94">
            <v>0.95</v>
          </cell>
          <cell r="BR94">
            <v>0.95</v>
          </cell>
          <cell r="BS94">
            <v>0.95</v>
          </cell>
          <cell r="BT94">
            <v>1</v>
          </cell>
          <cell r="BU94">
            <v>1</v>
          </cell>
          <cell r="BV94">
            <v>1</v>
          </cell>
          <cell r="BW94">
            <v>1</v>
          </cell>
          <cell r="BX94">
            <v>1</v>
          </cell>
          <cell r="BY94">
            <v>1</v>
          </cell>
          <cell r="BZ94">
            <v>1</v>
          </cell>
          <cell r="CA94">
            <v>1</v>
          </cell>
          <cell r="CB94">
            <v>1</v>
          </cell>
          <cell r="CC94">
            <v>1</v>
          </cell>
          <cell r="CD94">
            <v>1</v>
          </cell>
          <cell r="CE94">
            <v>1</v>
          </cell>
          <cell r="CF94">
            <v>1</v>
          </cell>
          <cell r="CG94">
            <v>1</v>
          </cell>
          <cell r="CH94">
            <v>1</v>
          </cell>
          <cell r="CI94">
            <v>1</v>
          </cell>
          <cell r="CJ94">
            <v>1</v>
          </cell>
          <cell r="CK94">
            <v>1</v>
          </cell>
        </row>
        <row r="95">
          <cell r="J95">
            <v>39399</v>
          </cell>
          <cell r="K95">
            <v>39491</v>
          </cell>
          <cell r="L95">
            <v>39505</v>
          </cell>
          <cell r="M95">
            <v>39536</v>
          </cell>
          <cell r="N95">
            <v>39550</v>
          </cell>
          <cell r="O95">
            <v>39642</v>
          </cell>
          <cell r="Q95" t="str">
            <v>R</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0.5</v>
          </cell>
          <cell r="BW95">
            <v>0.5</v>
          </cell>
          <cell r="BX95">
            <v>0.7</v>
          </cell>
          <cell r="BY95">
            <v>0.7</v>
          </cell>
          <cell r="BZ95">
            <v>0.7</v>
          </cell>
          <cell r="CA95">
            <v>0.7</v>
          </cell>
          <cell r="CB95">
            <v>0.7</v>
          </cell>
          <cell r="CC95">
            <v>0.7</v>
          </cell>
          <cell r="CD95">
            <v>0.7</v>
          </cell>
          <cell r="CE95">
            <v>0.95</v>
          </cell>
          <cell r="CF95">
            <v>0.95</v>
          </cell>
          <cell r="CG95">
            <v>0.95</v>
          </cell>
          <cell r="CH95">
            <v>0.95</v>
          </cell>
          <cell r="CI95">
            <v>0.95</v>
          </cell>
          <cell r="CJ95">
            <v>0.95</v>
          </cell>
          <cell r="CK95">
            <v>0.95</v>
          </cell>
        </row>
        <row r="96">
          <cell r="Q96" t="str">
            <v>E</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S96">
            <v>0</v>
          </cell>
          <cell r="BT96">
            <v>0</v>
          </cell>
          <cell r="BU96">
            <v>0</v>
          </cell>
          <cell r="BV96">
            <v>0</v>
          </cell>
          <cell r="BW96">
            <v>0</v>
          </cell>
          <cell r="BX96">
            <v>0.5</v>
          </cell>
          <cell r="BY96">
            <v>0.5</v>
          </cell>
          <cell r="BZ96">
            <v>0.5</v>
          </cell>
          <cell r="CA96">
            <v>0.5</v>
          </cell>
          <cell r="CB96">
            <v>0.5</v>
          </cell>
          <cell r="CC96">
            <v>0.5</v>
          </cell>
          <cell r="CD96">
            <v>0</v>
          </cell>
          <cell r="CE96">
            <v>0</v>
          </cell>
          <cell r="CF96">
            <v>0</v>
          </cell>
          <cell r="CG96">
            <v>0</v>
          </cell>
          <cell r="CH96">
            <v>0</v>
          </cell>
          <cell r="CI96">
            <v>0</v>
          </cell>
          <cell r="CJ96">
            <v>0</v>
          </cell>
          <cell r="CK96">
            <v>0</v>
          </cell>
        </row>
        <row r="97">
          <cell r="D97" t="str">
            <v>01</v>
          </cell>
          <cell r="E97" t="str">
            <v>46</v>
          </cell>
          <cell r="F97" t="str">
            <v>C01</v>
          </cell>
          <cell r="G97" t="str">
            <v>TEC</v>
          </cell>
          <cell r="H97" t="str">
            <v>001</v>
          </cell>
          <cell r="I97" t="str">
            <v>LISTA DE PARTIDAS Y CANTIDADES DE OBRA CIVIL</v>
          </cell>
          <cell r="J97">
            <v>39318</v>
          </cell>
          <cell r="K97">
            <v>39388</v>
          </cell>
          <cell r="L97">
            <v>39402</v>
          </cell>
          <cell r="M97">
            <v>39402</v>
          </cell>
          <cell r="N97">
            <v>39416</v>
          </cell>
          <cell r="O97">
            <v>39476</v>
          </cell>
          <cell r="P97">
            <v>53.199999999999996</v>
          </cell>
          <cell r="Q97" t="str">
            <v>P</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0.5</v>
          </cell>
          <cell r="BI97">
            <v>0.5</v>
          </cell>
          <cell r="BJ97">
            <v>0.7</v>
          </cell>
          <cell r="BK97">
            <v>0.7</v>
          </cell>
          <cell r="BL97">
            <v>0.95</v>
          </cell>
          <cell r="BM97">
            <v>0.95</v>
          </cell>
          <cell r="BN97">
            <v>0.95</v>
          </cell>
          <cell r="BO97">
            <v>0.95</v>
          </cell>
          <cell r="BP97">
            <v>0.95</v>
          </cell>
          <cell r="BQ97">
            <v>0.95</v>
          </cell>
          <cell r="BR97">
            <v>0.95</v>
          </cell>
          <cell r="BS97">
            <v>0.95</v>
          </cell>
          <cell r="BT97">
            <v>1</v>
          </cell>
          <cell r="BU97">
            <v>1</v>
          </cell>
          <cell r="BV97">
            <v>1</v>
          </cell>
          <cell r="BW97">
            <v>1</v>
          </cell>
          <cell r="BX97">
            <v>1</v>
          </cell>
          <cell r="BY97">
            <v>1</v>
          </cell>
          <cell r="BZ97">
            <v>1</v>
          </cell>
          <cell r="CA97">
            <v>1</v>
          </cell>
          <cell r="CB97">
            <v>1</v>
          </cell>
          <cell r="CC97">
            <v>1</v>
          </cell>
          <cell r="CD97">
            <v>1</v>
          </cell>
          <cell r="CE97">
            <v>1</v>
          </cell>
          <cell r="CF97">
            <v>1</v>
          </cell>
          <cell r="CG97">
            <v>1</v>
          </cell>
          <cell r="CH97">
            <v>1</v>
          </cell>
          <cell r="CI97">
            <v>1</v>
          </cell>
          <cell r="CJ97">
            <v>1</v>
          </cell>
          <cell r="CK97">
            <v>1</v>
          </cell>
        </row>
        <row r="98">
          <cell r="J98">
            <v>39405</v>
          </cell>
          <cell r="K98">
            <v>39507</v>
          </cell>
          <cell r="L98">
            <v>39521</v>
          </cell>
          <cell r="M98">
            <v>39539</v>
          </cell>
          <cell r="N98">
            <v>39553</v>
          </cell>
          <cell r="O98">
            <v>39642</v>
          </cell>
          <cell r="Q98" t="str">
            <v>R</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0.5</v>
          </cell>
          <cell r="BZ98">
            <v>0.5</v>
          </cell>
          <cell r="CA98">
            <v>0.7</v>
          </cell>
          <cell r="CB98">
            <v>0.7</v>
          </cell>
          <cell r="CC98">
            <v>0.7</v>
          </cell>
          <cell r="CD98">
            <v>0.7</v>
          </cell>
          <cell r="CE98">
            <v>0.95</v>
          </cell>
          <cell r="CF98">
            <v>0.95</v>
          </cell>
          <cell r="CG98">
            <v>0.95</v>
          </cell>
          <cell r="CH98">
            <v>0.95</v>
          </cell>
          <cell r="CI98">
            <v>0.95</v>
          </cell>
          <cell r="CJ98">
            <v>0.95</v>
          </cell>
          <cell r="CK98">
            <v>0.95</v>
          </cell>
        </row>
        <row r="99">
          <cell r="Q99" t="str">
            <v>E</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row>
        <row r="100">
          <cell r="D100" t="str">
            <v>01</v>
          </cell>
          <cell r="E100" t="str">
            <v>46</v>
          </cell>
          <cell r="F100" t="str">
            <v>C43</v>
          </cell>
          <cell r="H100" t="str">
            <v>001</v>
          </cell>
          <cell r="I100" t="str">
            <v>ESTRUCT. METALICAS SOPORTES ESPECIALES DE TUBERIAS</v>
          </cell>
          <cell r="J100">
            <v>39363</v>
          </cell>
          <cell r="K100">
            <v>39388</v>
          </cell>
          <cell r="L100">
            <v>39402</v>
          </cell>
          <cell r="M100">
            <v>39409</v>
          </cell>
          <cell r="N100">
            <v>39423</v>
          </cell>
          <cell r="O100">
            <v>39476</v>
          </cell>
          <cell r="P100">
            <v>153.69999999999999</v>
          </cell>
          <cell r="Q100" t="str">
            <v>P</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0.5</v>
          </cell>
          <cell r="BI100">
            <v>0.5</v>
          </cell>
          <cell r="BJ100">
            <v>0.7</v>
          </cell>
          <cell r="BK100">
            <v>0.7</v>
          </cell>
          <cell r="BL100">
            <v>0.7</v>
          </cell>
          <cell r="BM100">
            <v>0.95</v>
          </cell>
          <cell r="BN100">
            <v>0.95</v>
          </cell>
          <cell r="BO100">
            <v>0.95</v>
          </cell>
          <cell r="BP100">
            <v>0.95</v>
          </cell>
          <cell r="BQ100">
            <v>0.95</v>
          </cell>
          <cell r="BR100">
            <v>0.95</v>
          </cell>
          <cell r="BS100">
            <v>0.95</v>
          </cell>
          <cell r="BT100">
            <v>1</v>
          </cell>
          <cell r="BU100">
            <v>1</v>
          </cell>
          <cell r="BV100">
            <v>1</v>
          </cell>
          <cell r="BW100">
            <v>1</v>
          </cell>
          <cell r="BX100">
            <v>1</v>
          </cell>
          <cell r="BY100">
            <v>1</v>
          </cell>
          <cell r="BZ100">
            <v>1</v>
          </cell>
          <cell r="CA100">
            <v>1</v>
          </cell>
          <cell r="CB100">
            <v>1</v>
          </cell>
          <cell r="CC100">
            <v>1</v>
          </cell>
          <cell r="CD100">
            <v>1</v>
          </cell>
          <cell r="CE100">
            <v>1</v>
          </cell>
          <cell r="CF100">
            <v>1</v>
          </cell>
          <cell r="CG100">
            <v>1</v>
          </cell>
          <cell r="CH100">
            <v>1</v>
          </cell>
          <cell r="CI100">
            <v>1</v>
          </cell>
          <cell r="CJ100">
            <v>1</v>
          </cell>
          <cell r="CK100">
            <v>1</v>
          </cell>
        </row>
        <row r="101">
          <cell r="J101">
            <v>39508</v>
          </cell>
          <cell r="K101">
            <v>39517</v>
          </cell>
          <cell r="L101">
            <v>39536</v>
          </cell>
          <cell r="M101">
            <v>39550</v>
          </cell>
          <cell r="N101">
            <v>39564</v>
          </cell>
          <cell r="O101">
            <v>39642</v>
          </cell>
          <cell r="Q101" t="str">
            <v>R</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0.5</v>
          </cell>
          <cell r="CA101">
            <v>0.5</v>
          </cell>
          <cell r="CB101">
            <v>0.5</v>
          </cell>
          <cell r="CC101">
            <v>0.7</v>
          </cell>
          <cell r="CD101">
            <v>0.7</v>
          </cell>
          <cell r="CE101">
            <v>0.7</v>
          </cell>
          <cell r="CF101">
            <v>0.7</v>
          </cell>
          <cell r="CG101">
            <v>0.95</v>
          </cell>
          <cell r="CH101">
            <v>0.95</v>
          </cell>
          <cell r="CI101">
            <v>0.95</v>
          </cell>
          <cell r="CJ101">
            <v>0.95</v>
          </cell>
          <cell r="CK101">
            <v>0.95</v>
          </cell>
        </row>
        <row r="102">
          <cell r="Q102" t="str">
            <v>E</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row>
        <row r="103">
          <cell r="D103" t="str">
            <v>01</v>
          </cell>
          <cell r="E103" t="str">
            <v>46</v>
          </cell>
          <cell r="F103" t="str">
            <v>C43</v>
          </cell>
          <cell r="H103" t="str">
            <v>002</v>
          </cell>
          <cell r="I103" t="str">
            <v>ESTRUCTURA METALICA SHELTER DE COMPRESORES Y PUENTE GRUA</v>
          </cell>
          <cell r="J103">
            <v>39300</v>
          </cell>
          <cell r="K103">
            <v>39339</v>
          </cell>
          <cell r="L103">
            <v>39353</v>
          </cell>
          <cell r="M103">
            <v>39360</v>
          </cell>
          <cell r="N103">
            <v>39374</v>
          </cell>
          <cell r="O103">
            <v>39476</v>
          </cell>
          <cell r="P103">
            <v>263.89999999999998</v>
          </cell>
          <cell r="Q103" t="str">
            <v>P</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0.5</v>
          </cell>
          <cell r="BB103">
            <v>0.5</v>
          </cell>
          <cell r="BC103">
            <v>0.7</v>
          </cell>
          <cell r="BD103">
            <v>0.7</v>
          </cell>
          <cell r="BE103">
            <v>0.7</v>
          </cell>
          <cell r="BF103">
            <v>0.95</v>
          </cell>
          <cell r="BG103">
            <v>0.95</v>
          </cell>
          <cell r="BH103">
            <v>0.95</v>
          </cell>
          <cell r="BI103">
            <v>0.95</v>
          </cell>
          <cell r="BJ103">
            <v>0.95</v>
          </cell>
          <cell r="BK103">
            <v>0.95</v>
          </cell>
          <cell r="BL103">
            <v>0.95</v>
          </cell>
          <cell r="BM103">
            <v>0.95</v>
          </cell>
          <cell r="BN103">
            <v>0.95</v>
          </cell>
          <cell r="BO103">
            <v>0.95</v>
          </cell>
          <cell r="BP103">
            <v>0.95</v>
          </cell>
          <cell r="BQ103">
            <v>0.95</v>
          </cell>
          <cell r="BR103">
            <v>0.95</v>
          </cell>
          <cell r="BS103">
            <v>0.95</v>
          </cell>
          <cell r="BT103">
            <v>1</v>
          </cell>
          <cell r="BU103">
            <v>1</v>
          </cell>
          <cell r="BV103">
            <v>1</v>
          </cell>
          <cell r="BW103">
            <v>1</v>
          </cell>
          <cell r="BX103">
            <v>1</v>
          </cell>
          <cell r="BY103">
            <v>1</v>
          </cell>
          <cell r="BZ103">
            <v>1</v>
          </cell>
          <cell r="CA103">
            <v>1</v>
          </cell>
          <cell r="CB103">
            <v>1</v>
          </cell>
          <cell r="CC103">
            <v>1</v>
          </cell>
          <cell r="CD103">
            <v>1</v>
          </cell>
          <cell r="CE103">
            <v>1</v>
          </cell>
          <cell r="CF103">
            <v>1</v>
          </cell>
          <cell r="CG103">
            <v>1</v>
          </cell>
          <cell r="CH103">
            <v>1</v>
          </cell>
          <cell r="CI103">
            <v>1</v>
          </cell>
          <cell r="CJ103">
            <v>1</v>
          </cell>
          <cell r="CK103">
            <v>1</v>
          </cell>
        </row>
        <row r="104">
          <cell r="J104">
            <v>39363</v>
          </cell>
          <cell r="K104">
            <v>39409</v>
          </cell>
          <cell r="L104">
            <v>39536</v>
          </cell>
          <cell r="M104">
            <v>39550</v>
          </cell>
          <cell r="N104">
            <v>39564</v>
          </cell>
          <cell r="O104">
            <v>39642</v>
          </cell>
          <cell r="Q104" t="str">
            <v>R</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0.5</v>
          </cell>
          <cell r="BL104">
            <v>0.5</v>
          </cell>
          <cell r="BM104">
            <v>0.5</v>
          </cell>
          <cell r="BN104">
            <v>0.5</v>
          </cell>
          <cell r="BO104">
            <v>0.5</v>
          </cell>
          <cell r="BP104">
            <v>0.5</v>
          </cell>
          <cell r="BQ104">
            <v>0.5</v>
          </cell>
          <cell r="BR104">
            <v>0.5</v>
          </cell>
          <cell r="BS104">
            <v>0.5</v>
          </cell>
          <cell r="BT104">
            <v>0.5</v>
          </cell>
          <cell r="BU104">
            <v>0.5</v>
          </cell>
          <cell r="BV104">
            <v>0.5</v>
          </cell>
          <cell r="BW104">
            <v>0.5</v>
          </cell>
          <cell r="BX104">
            <v>0.5</v>
          </cell>
          <cell r="BY104">
            <v>0.5</v>
          </cell>
          <cell r="BZ104">
            <v>0.5</v>
          </cell>
          <cell r="CA104">
            <v>0.5</v>
          </cell>
          <cell r="CB104">
            <v>0.5</v>
          </cell>
          <cell r="CC104">
            <v>0.7</v>
          </cell>
          <cell r="CD104">
            <v>0.7</v>
          </cell>
          <cell r="CE104">
            <v>0.7</v>
          </cell>
          <cell r="CF104">
            <v>0.7</v>
          </cell>
          <cell r="CG104">
            <v>0.95</v>
          </cell>
          <cell r="CH104">
            <v>0.95</v>
          </cell>
          <cell r="CI104">
            <v>0.95</v>
          </cell>
          <cell r="CJ104">
            <v>0.95</v>
          </cell>
          <cell r="CK104">
            <v>0.95</v>
          </cell>
        </row>
        <row r="105">
          <cell r="L105">
            <v>0</v>
          </cell>
          <cell r="M105">
            <v>0</v>
          </cell>
          <cell r="N105">
            <v>0</v>
          </cell>
          <cell r="Q105" t="str">
            <v>E</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0.5</v>
          </cell>
          <cell r="BJ105">
            <v>0.5</v>
          </cell>
          <cell r="BK105">
            <v>0.5</v>
          </cell>
          <cell r="BL105">
            <v>0.5</v>
          </cell>
          <cell r="BM105">
            <v>0.5</v>
          </cell>
          <cell r="BN105">
            <v>0.5</v>
          </cell>
          <cell r="BO105">
            <v>0.5</v>
          </cell>
          <cell r="BP105">
            <v>0.5</v>
          </cell>
          <cell r="BQ105">
            <v>0.5</v>
          </cell>
          <cell r="BR105">
            <v>0.5</v>
          </cell>
          <cell r="BS105">
            <v>0.5</v>
          </cell>
          <cell r="BT105">
            <v>0.5</v>
          </cell>
          <cell r="BU105">
            <v>0.5</v>
          </cell>
          <cell r="BV105">
            <v>0.5</v>
          </cell>
          <cell r="BW105">
            <v>0.5</v>
          </cell>
          <cell r="BX105">
            <v>0.5</v>
          </cell>
          <cell r="BY105">
            <v>0.5</v>
          </cell>
          <cell r="BZ105">
            <v>0.5</v>
          </cell>
          <cell r="CA105">
            <v>0.5</v>
          </cell>
          <cell r="CB105">
            <v>0.5</v>
          </cell>
          <cell r="CC105">
            <v>0.5</v>
          </cell>
          <cell r="CD105">
            <v>0</v>
          </cell>
          <cell r="CE105">
            <v>0</v>
          </cell>
          <cell r="CF105">
            <v>0</v>
          </cell>
          <cell r="CG105">
            <v>0</v>
          </cell>
          <cell r="CH105">
            <v>0</v>
          </cell>
          <cell r="CI105">
            <v>0</v>
          </cell>
          <cell r="CJ105">
            <v>0</v>
          </cell>
          <cell r="CK105">
            <v>0</v>
          </cell>
        </row>
        <row r="106">
          <cell r="D106" t="str">
            <v>01</v>
          </cell>
          <cell r="E106" t="str">
            <v>46</v>
          </cell>
          <cell r="F106" t="str">
            <v>C41</v>
          </cell>
          <cell r="G106" t="str">
            <v>CAL</v>
          </cell>
          <cell r="H106" t="str">
            <v>002</v>
          </cell>
          <cell r="I106" t="str">
            <v>MEMORIAS DE CALCULO ESTRUCTURAS METALICAS DE SHELTER DE COMPRESORS Y PUENTE GRUA</v>
          </cell>
          <cell r="J106">
            <v>39290</v>
          </cell>
          <cell r="K106">
            <v>39306</v>
          </cell>
          <cell r="L106">
            <v>39320</v>
          </cell>
          <cell r="M106">
            <v>39327</v>
          </cell>
          <cell r="N106">
            <v>39341</v>
          </cell>
          <cell r="O106">
            <v>39476</v>
          </cell>
          <cell r="P106">
            <v>142.1</v>
          </cell>
          <cell r="Q106" t="str">
            <v>P</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0.5</v>
          </cell>
          <cell r="AW106">
            <v>0.5</v>
          </cell>
          <cell r="AX106">
            <v>0.7</v>
          </cell>
          <cell r="AY106">
            <v>0.7</v>
          </cell>
          <cell r="AZ106">
            <v>0.7</v>
          </cell>
          <cell r="BA106">
            <v>0.95</v>
          </cell>
          <cell r="BB106">
            <v>0.95</v>
          </cell>
          <cell r="BC106">
            <v>0.95</v>
          </cell>
          <cell r="BD106">
            <v>0.95</v>
          </cell>
          <cell r="BE106">
            <v>0.95</v>
          </cell>
          <cell r="BF106">
            <v>0.95</v>
          </cell>
          <cell r="BG106">
            <v>0.95</v>
          </cell>
          <cell r="BH106">
            <v>0.95</v>
          </cell>
          <cell r="BI106">
            <v>0.95</v>
          </cell>
          <cell r="BJ106">
            <v>0.95</v>
          </cell>
          <cell r="BK106">
            <v>0.95</v>
          </cell>
          <cell r="BL106">
            <v>0.95</v>
          </cell>
          <cell r="BM106">
            <v>0.95</v>
          </cell>
          <cell r="BN106">
            <v>0.95</v>
          </cell>
          <cell r="BO106">
            <v>0.95</v>
          </cell>
          <cell r="BP106">
            <v>0.95</v>
          </cell>
          <cell r="BQ106">
            <v>0.95</v>
          </cell>
          <cell r="BR106">
            <v>0.95</v>
          </cell>
          <cell r="BS106">
            <v>0.95</v>
          </cell>
          <cell r="BT106">
            <v>1</v>
          </cell>
          <cell r="BU106">
            <v>1</v>
          </cell>
          <cell r="BV106">
            <v>1</v>
          </cell>
          <cell r="BW106">
            <v>1</v>
          </cell>
          <cell r="BX106">
            <v>1</v>
          </cell>
          <cell r="BY106">
            <v>1</v>
          </cell>
          <cell r="BZ106">
            <v>1</v>
          </cell>
          <cell r="CA106">
            <v>1</v>
          </cell>
          <cell r="CB106">
            <v>1</v>
          </cell>
          <cell r="CC106">
            <v>1</v>
          </cell>
          <cell r="CD106">
            <v>1</v>
          </cell>
          <cell r="CE106">
            <v>1</v>
          </cell>
          <cell r="CF106">
            <v>1</v>
          </cell>
          <cell r="CG106">
            <v>1</v>
          </cell>
          <cell r="CH106">
            <v>1</v>
          </cell>
          <cell r="CI106">
            <v>1</v>
          </cell>
          <cell r="CJ106">
            <v>1</v>
          </cell>
          <cell r="CK106">
            <v>1</v>
          </cell>
        </row>
        <row r="107">
          <cell r="J107">
            <v>39356</v>
          </cell>
          <cell r="K107">
            <v>39409</v>
          </cell>
          <cell r="L107">
            <v>39536</v>
          </cell>
          <cell r="M107">
            <v>39550</v>
          </cell>
          <cell r="N107">
            <v>39564</v>
          </cell>
          <cell r="O107">
            <v>39642</v>
          </cell>
          <cell r="Q107" t="str">
            <v>R</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0.5</v>
          </cell>
          <cell r="BL107">
            <v>0.5</v>
          </cell>
          <cell r="BM107">
            <v>0.5</v>
          </cell>
          <cell r="BN107">
            <v>0.5</v>
          </cell>
          <cell r="BO107">
            <v>0.5</v>
          </cell>
          <cell r="BP107">
            <v>0.5</v>
          </cell>
          <cell r="BQ107">
            <v>0.5</v>
          </cell>
          <cell r="BR107">
            <v>0.5</v>
          </cell>
          <cell r="BS107">
            <v>0.5</v>
          </cell>
          <cell r="BT107">
            <v>0.5</v>
          </cell>
          <cell r="BU107">
            <v>0.5</v>
          </cell>
          <cell r="BV107">
            <v>0.5</v>
          </cell>
          <cell r="BW107">
            <v>0.5</v>
          </cell>
          <cell r="BX107">
            <v>0.5</v>
          </cell>
          <cell r="BY107">
            <v>0.5</v>
          </cell>
          <cell r="BZ107">
            <v>0.5</v>
          </cell>
          <cell r="CA107">
            <v>0.5</v>
          </cell>
          <cell r="CB107">
            <v>0.5</v>
          </cell>
          <cell r="CC107">
            <v>0.7</v>
          </cell>
          <cell r="CD107">
            <v>0.7</v>
          </cell>
          <cell r="CE107">
            <v>0.7</v>
          </cell>
          <cell r="CF107">
            <v>0.7</v>
          </cell>
          <cell r="CG107">
            <v>0.95</v>
          </cell>
          <cell r="CH107">
            <v>0.95</v>
          </cell>
          <cell r="CI107">
            <v>0.95</v>
          </cell>
          <cell r="CJ107">
            <v>0.95</v>
          </cell>
          <cell r="CK107">
            <v>0.95</v>
          </cell>
        </row>
        <row r="108">
          <cell r="L108">
            <v>0</v>
          </cell>
          <cell r="M108">
            <v>0</v>
          </cell>
          <cell r="N108">
            <v>0</v>
          </cell>
          <cell r="Q108" t="str">
            <v>E</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0.5</v>
          </cell>
          <cell r="BJ108">
            <v>0.5</v>
          </cell>
          <cell r="BK108">
            <v>0.5</v>
          </cell>
          <cell r="BL108">
            <v>0.5</v>
          </cell>
          <cell r="BM108">
            <v>0.5</v>
          </cell>
          <cell r="BN108">
            <v>0.5</v>
          </cell>
          <cell r="BO108">
            <v>0.5</v>
          </cell>
          <cell r="BP108">
            <v>0.5</v>
          </cell>
          <cell r="BQ108">
            <v>0.5</v>
          </cell>
          <cell r="BR108">
            <v>0.5</v>
          </cell>
          <cell r="BS108">
            <v>0.5</v>
          </cell>
          <cell r="BT108">
            <v>0.5</v>
          </cell>
          <cell r="BU108">
            <v>0.5</v>
          </cell>
          <cell r="BV108">
            <v>0.5</v>
          </cell>
          <cell r="BW108">
            <v>0.5</v>
          </cell>
          <cell r="BX108">
            <v>0.5</v>
          </cell>
          <cell r="BY108">
            <v>0.5</v>
          </cell>
          <cell r="BZ108">
            <v>0.5</v>
          </cell>
          <cell r="CA108">
            <v>0.5</v>
          </cell>
          <cell r="CB108">
            <v>0.5</v>
          </cell>
          <cell r="CC108">
            <v>0.5</v>
          </cell>
          <cell r="CD108">
            <v>0</v>
          </cell>
          <cell r="CE108">
            <v>0</v>
          </cell>
          <cell r="CF108">
            <v>0</v>
          </cell>
          <cell r="CG108">
            <v>0</v>
          </cell>
          <cell r="CH108">
            <v>0</v>
          </cell>
          <cell r="CI108">
            <v>0</v>
          </cell>
          <cell r="CJ108">
            <v>0</v>
          </cell>
          <cell r="CK108">
            <v>0</v>
          </cell>
        </row>
        <row r="109">
          <cell r="D109" t="str">
            <v>01</v>
          </cell>
          <cell r="E109" t="str">
            <v>46</v>
          </cell>
          <cell r="F109" t="str">
            <v>C41</v>
          </cell>
          <cell r="G109" t="str">
            <v>CAL</v>
          </cell>
          <cell r="H109" t="str">
            <v>003</v>
          </cell>
          <cell r="I109" t="str">
            <v>MEMORIAS DE CALCULO ESTRUCTURA METALICA PARA  PLATAFORMAS DE OPERACIÓN Y MANTENIMIENTO</v>
          </cell>
          <cell r="J109">
            <v>39279</v>
          </cell>
          <cell r="K109">
            <v>39318</v>
          </cell>
          <cell r="L109">
            <v>39332</v>
          </cell>
          <cell r="M109">
            <v>39339</v>
          </cell>
          <cell r="N109">
            <v>39353</v>
          </cell>
          <cell r="O109">
            <v>39476</v>
          </cell>
          <cell r="P109">
            <v>84.1</v>
          </cell>
          <cell r="Q109" t="str">
            <v>P</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0.5</v>
          </cell>
          <cell r="AY109">
            <v>0.5</v>
          </cell>
          <cell r="AZ109">
            <v>0.7</v>
          </cell>
          <cell r="BA109">
            <v>0.7</v>
          </cell>
          <cell r="BB109">
            <v>0.7</v>
          </cell>
          <cell r="BC109">
            <v>0.95</v>
          </cell>
          <cell r="BD109">
            <v>0.95</v>
          </cell>
          <cell r="BE109">
            <v>0.95</v>
          </cell>
          <cell r="BF109">
            <v>0.95</v>
          </cell>
          <cell r="BG109">
            <v>0.95</v>
          </cell>
          <cell r="BH109">
            <v>0.95</v>
          </cell>
          <cell r="BI109">
            <v>0.95</v>
          </cell>
          <cell r="BJ109">
            <v>0.95</v>
          </cell>
          <cell r="BK109">
            <v>0.95</v>
          </cell>
          <cell r="BL109">
            <v>0.95</v>
          </cell>
          <cell r="BM109">
            <v>0.95</v>
          </cell>
          <cell r="BN109">
            <v>0.95</v>
          </cell>
          <cell r="BO109">
            <v>0.95</v>
          </cell>
          <cell r="BP109">
            <v>0.95</v>
          </cell>
          <cell r="BQ109">
            <v>0.95</v>
          </cell>
          <cell r="BR109">
            <v>0.95</v>
          </cell>
          <cell r="BS109">
            <v>0.95</v>
          </cell>
          <cell r="BT109">
            <v>1</v>
          </cell>
          <cell r="BU109">
            <v>1</v>
          </cell>
          <cell r="BV109">
            <v>1</v>
          </cell>
          <cell r="BW109">
            <v>1</v>
          </cell>
          <cell r="BX109">
            <v>1</v>
          </cell>
          <cell r="BY109">
            <v>1</v>
          </cell>
          <cell r="BZ109">
            <v>1</v>
          </cell>
          <cell r="CA109">
            <v>1</v>
          </cell>
          <cell r="CB109">
            <v>1</v>
          </cell>
          <cell r="CC109">
            <v>1</v>
          </cell>
          <cell r="CD109">
            <v>1</v>
          </cell>
          <cell r="CE109">
            <v>1</v>
          </cell>
          <cell r="CF109">
            <v>1</v>
          </cell>
          <cell r="CG109">
            <v>1</v>
          </cell>
          <cell r="CH109">
            <v>1</v>
          </cell>
          <cell r="CI109">
            <v>1</v>
          </cell>
          <cell r="CJ109">
            <v>1</v>
          </cell>
          <cell r="CK109">
            <v>1</v>
          </cell>
        </row>
        <row r="110">
          <cell r="J110">
            <v>39508</v>
          </cell>
          <cell r="K110">
            <v>39517</v>
          </cell>
          <cell r="L110">
            <v>39536</v>
          </cell>
          <cell r="M110">
            <v>39550</v>
          </cell>
          <cell r="N110">
            <v>39564</v>
          </cell>
          <cell r="O110">
            <v>39642</v>
          </cell>
          <cell r="Q110" t="str">
            <v>R</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0.5</v>
          </cell>
          <cell r="CA110">
            <v>0.5</v>
          </cell>
          <cell r="CB110">
            <v>0.5</v>
          </cell>
          <cell r="CC110">
            <v>0.7</v>
          </cell>
          <cell r="CD110">
            <v>0.7</v>
          </cell>
          <cell r="CE110">
            <v>0.7</v>
          </cell>
          <cell r="CF110">
            <v>0.7</v>
          </cell>
          <cell r="CG110">
            <v>0.95</v>
          </cell>
          <cell r="CH110">
            <v>0.95</v>
          </cell>
          <cell r="CI110">
            <v>0.95</v>
          </cell>
          <cell r="CJ110">
            <v>0.95</v>
          </cell>
          <cell r="CK110">
            <v>0.95</v>
          </cell>
        </row>
        <row r="111">
          <cell r="Q111" t="str">
            <v>E</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row>
        <row r="112">
          <cell r="D112" t="str">
            <v>01</v>
          </cell>
          <cell r="E112" t="str">
            <v>46</v>
          </cell>
          <cell r="F112" t="str">
            <v>C41</v>
          </cell>
          <cell r="G112" t="str">
            <v>CAL</v>
          </cell>
          <cell r="H112" t="str">
            <v>001</v>
          </cell>
          <cell r="I112" t="str">
            <v>MEMORIAS DE CALCULO SOPORTES METALICOS ESPECIALES PARA TUBERÍAS</v>
          </cell>
          <cell r="J112">
            <v>39349</v>
          </cell>
          <cell r="K112">
            <v>39374</v>
          </cell>
          <cell r="L112">
            <v>39388</v>
          </cell>
          <cell r="M112">
            <v>39395</v>
          </cell>
          <cell r="N112">
            <v>39409</v>
          </cell>
          <cell r="O112">
            <v>39476</v>
          </cell>
          <cell r="P112">
            <v>33.627391666650254</v>
          </cell>
          <cell r="Q112" t="str">
            <v>P</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0.5</v>
          </cell>
          <cell r="BG112">
            <v>0.5</v>
          </cell>
          <cell r="BH112">
            <v>0.7</v>
          </cell>
          <cell r="BI112">
            <v>0.7</v>
          </cell>
          <cell r="BJ112">
            <v>0.7</v>
          </cell>
          <cell r="BK112">
            <v>0.95</v>
          </cell>
          <cell r="BL112">
            <v>0.95</v>
          </cell>
          <cell r="BM112">
            <v>0.95</v>
          </cell>
          <cell r="BN112">
            <v>0.95</v>
          </cell>
          <cell r="BO112">
            <v>0.95</v>
          </cell>
          <cell r="BP112">
            <v>0.95</v>
          </cell>
          <cell r="BQ112">
            <v>0.95</v>
          </cell>
          <cell r="BR112">
            <v>0.95</v>
          </cell>
          <cell r="BS112">
            <v>0.95</v>
          </cell>
          <cell r="BT112">
            <v>1</v>
          </cell>
          <cell r="BU112">
            <v>1</v>
          </cell>
          <cell r="BV112">
            <v>1</v>
          </cell>
          <cell r="BW112">
            <v>1</v>
          </cell>
          <cell r="BX112">
            <v>1</v>
          </cell>
          <cell r="BY112">
            <v>1</v>
          </cell>
          <cell r="BZ112">
            <v>1</v>
          </cell>
          <cell r="CA112">
            <v>1</v>
          </cell>
          <cell r="CB112">
            <v>1</v>
          </cell>
          <cell r="CC112">
            <v>1</v>
          </cell>
          <cell r="CD112">
            <v>1</v>
          </cell>
          <cell r="CE112">
            <v>1</v>
          </cell>
          <cell r="CF112">
            <v>1</v>
          </cell>
          <cell r="CG112">
            <v>1</v>
          </cell>
          <cell r="CH112">
            <v>1</v>
          </cell>
          <cell r="CI112">
            <v>1</v>
          </cell>
          <cell r="CJ112">
            <v>1</v>
          </cell>
          <cell r="CK112">
            <v>1</v>
          </cell>
        </row>
        <row r="113">
          <cell r="I113" t="str">
            <v>POR CONFIRMAR</v>
          </cell>
          <cell r="J113">
            <v>39508</v>
          </cell>
          <cell r="K113">
            <v>39517</v>
          </cell>
          <cell r="L113">
            <v>39536</v>
          </cell>
          <cell r="M113">
            <v>39550</v>
          </cell>
          <cell r="N113">
            <v>39564</v>
          </cell>
          <cell r="O113">
            <v>39642</v>
          </cell>
          <cell r="Q113" t="str">
            <v>R</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0.5</v>
          </cell>
          <cell r="CA113">
            <v>0.5</v>
          </cell>
          <cell r="CB113">
            <v>0.5</v>
          </cell>
          <cell r="CC113">
            <v>0.7</v>
          </cell>
          <cell r="CD113">
            <v>0.7</v>
          </cell>
          <cell r="CE113">
            <v>0.7</v>
          </cell>
          <cell r="CF113">
            <v>0.7</v>
          </cell>
          <cell r="CG113">
            <v>0.95</v>
          </cell>
          <cell r="CH113">
            <v>0.95</v>
          </cell>
          <cell r="CI113">
            <v>0.95</v>
          </cell>
          <cell r="CJ113">
            <v>0.95</v>
          </cell>
          <cell r="CK113">
            <v>0.95</v>
          </cell>
        </row>
        <row r="114">
          <cell r="Q114" t="str">
            <v>E</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row>
        <row r="115">
          <cell r="E115">
            <v>46</v>
          </cell>
          <cell r="I115" t="str">
            <v xml:space="preserve">Modelaje Estructura Metálica                     </v>
          </cell>
          <cell r="Q115" t="str">
            <v>P</v>
          </cell>
        </row>
        <row r="116">
          <cell r="E116">
            <v>46</v>
          </cell>
          <cell r="I116" t="str">
            <v>Reporte bombas a reutilizar</v>
          </cell>
          <cell r="Q116" t="str">
            <v>P</v>
          </cell>
          <cell r="R116">
            <v>1</v>
          </cell>
          <cell r="S116">
            <v>1</v>
          </cell>
          <cell r="T116">
            <v>1</v>
          </cell>
          <cell r="U116">
            <v>1</v>
          </cell>
          <cell r="V116">
            <v>1</v>
          </cell>
          <cell r="W116">
            <v>1</v>
          </cell>
          <cell r="X116">
            <v>1</v>
          </cell>
          <cell r="Y116">
            <v>1</v>
          </cell>
          <cell r="Z116">
            <v>1</v>
          </cell>
          <cell r="AA116">
            <v>1</v>
          </cell>
          <cell r="AB116">
            <v>1</v>
          </cell>
          <cell r="AC116">
            <v>1</v>
          </cell>
          <cell r="AD116">
            <v>1</v>
          </cell>
          <cell r="AE116">
            <v>1</v>
          </cell>
          <cell r="AF116">
            <v>1</v>
          </cell>
          <cell r="AG116">
            <v>1</v>
          </cell>
          <cell r="AH116">
            <v>1</v>
          </cell>
          <cell r="AI116">
            <v>1</v>
          </cell>
          <cell r="AJ116">
            <v>1</v>
          </cell>
          <cell r="AK116">
            <v>1</v>
          </cell>
          <cell r="AL116">
            <v>1</v>
          </cell>
          <cell r="AM116">
            <v>1</v>
          </cell>
          <cell r="AN116">
            <v>1</v>
          </cell>
          <cell r="AO116">
            <v>1</v>
          </cell>
          <cell r="AP116">
            <v>1</v>
          </cell>
          <cell r="AQ116">
            <v>1</v>
          </cell>
          <cell r="AR116">
            <v>1</v>
          </cell>
          <cell r="AS116">
            <v>1</v>
          </cell>
          <cell r="AT116">
            <v>1</v>
          </cell>
          <cell r="AU116">
            <v>1</v>
          </cell>
          <cell r="AV116">
            <v>1</v>
          </cell>
          <cell r="AW116">
            <v>1</v>
          </cell>
          <cell r="AX116">
            <v>1</v>
          </cell>
          <cell r="AY116">
            <v>1</v>
          </cell>
          <cell r="AZ116">
            <v>1</v>
          </cell>
          <cell r="BA116">
            <v>1</v>
          </cell>
          <cell r="BB116">
            <v>1</v>
          </cell>
          <cell r="BC116">
            <v>1</v>
          </cell>
          <cell r="BD116">
            <v>1</v>
          </cell>
          <cell r="BE116">
            <v>1</v>
          </cell>
          <cell r="BF116">
            <v>1</v>
          </cell>
          <cell r="BG116">
            <v>1</v>
          </cell>
          <cell r="BH116">
            <v>1</v>
          </cell>
          <cell r="BI116">
            <v>1</v>
          </cell>
          <cell r="BJ116">
            <v>1</v>
          </cell>
          <cell r="BK116">
            <v>1</v>
          </cell>
          <cell r="BL116">
            <v>1</v>
          </cell>
          <cell r="BM116">
            <v>1</v>
          </cell>
          <cell r="BN116">
            <v>1</v>
          </cell>
          <cell r="BO116">
            <v>1</v>
          </cell>
          <cell r="BP116">
            <v>1</v>
          </cell>
          <cell r="BQ116">
            <v>1</v>
          </cell>
          <cell r="BX116">
            <v>1</v>
          </cell>
          <cell r="BY116">
            <v>1</v>
          </cell>
          <cell r="BZ116">
            <v>1</v>
          </cell>
        </row>
        <row r="117">
          <cell r="D117" t="str">
            <v>01</v>
          </cell>
          <cell r="E117" t="str">
            <v>46</v>
          </cell>
          <cell r="F117" t="str">
            <v>M01</v>
          </cell>
          <cell r="G117" t="str">
            <v>ESP</v>
          </cell>
          <cell r="H117" t="str">
            <v>001</v>
          </cell>
          <cell r="I117" t="str">
            <v>INTEGRATING SPECIFICATION FOR ROG COMPRESSOR, TAG:C-4109</v>
          </cell>
          <cell r="J117">
            <v>39181</v>
          </cell>
          <cell r="K117">
            <v>39202</v>
          </cell>
          <cell r="L117">
            <v>39216</v>
          </cell>
          <cell r="M117">
            <v>39223</v>
          </cell>
          <cell r="N117">
            <v>39237</v>
          </cell>
          <cell r="O117">
            <v>39476</v>
          </cell>
          <cell r="P117">
            <v>304.5</v>
          </cell>
          <cell r="Q117" t="str">
            <v>P</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0.5</v>
          </cell>
          <cell r="AH117">
            <v>0.5</v>
          </cell>
          <cell r="AI117">
            <v>0.7</v>
          </cell>
          <cell r="AJ117">
            <v>0.7</v>
          </cell>
          <cell r="AK117">
            <v>0.7</v>
          </cell>
          <cell r="AL117">
            <v>0.95</v>
          </cell>
          <cell r="AM117">
            <v>0.95</v>
          </cell>
          <cell r="AN117">
            <v>0.95</v>
          </cell>
          <cell r="AO117">
            <v>0.95</v>
          </cell>
          <cell r="AP117">
            <v>0.95</v>
          </cell>
          <cell r="AQ117">
            <v>0.95</v>
          </cell>
          <cell r="AR117">
            <v>0.95</v>
          </cell>
          <cell r="AS117">
            <v>0.95</v>
          </cell>
          <cell r="AT117">
            <v>0.95</v>
          </cell>
          <cell r="AU117">
            <v>0.95</v>
          </cell>
          <cell r="AV117">
            <v>0.95</v>
          </cell>
          <cell r="AW117">
            <v>0.95</v>
          </cell>
          <cell r="AX117">
            <v>0.95</v>
          </cell>
          <cell r="AY117">
            <v>0.95</v>
          </cell>
          <cell r="AZ117">
            <v>0.95</v>
          </cell>
          <cell r="BA117">
            <v>0.95</v>
          </cell>
          <cell r="BB117">
            <v>0.95</v>
          </cell>
          <cell r="BC117">
            <v>0.95</v>
          </cell>
          <cell r="BD117">
            <v>0.95</v>
          </cell>
          <cell r="BE117">
            <v>0.95</v>
          </cell>
          <cell r="BF117">
            <v>0.95</v>
          </cell>
          <cell r="BG117">
            <v>0.95</v>
          </cell>
          <cell r="BH117">
            <v>0.95</v>
          </cell>
          <cell r="BI117">
            <v>0.95</v>
          </cell>
          <cell r="BJ117">
            <v>0.95</v>
          </cell>
          <cell r="BK117">
            <v>0.95</v>
          </cell>
          <cell r="BL117">
            <v>0.95</v>
          </cell>
          <cell r="BM117">
            <v>0.95</v>
          </cell>
          <cell r="BN117">
            <v>0.95</v>
          </cell>
          <cell r="BO117">
            <v>0.95</v>
          </cell>
          <cell r="BP117">
            <v>0.95</v>
          </cell>
          <cell r="BQ117">
            <v>0.95</v>
          </cell>
          <cell r="BR117">
            <v>0.95</v>
          </cell>
          <cell r="BS117">
            <v>0.95</v>
          </cell>
          <cell r="BT117">
            <v>1</v>
          </cell>
          <cell r="BU117">
            <v>1</v>
          </cell>
          <cell r="BV117">
            <v>1</v>
          </cell>
          <cell r="BW117">
            <v>1</v>
          </cell>
          <cell r="BX117">
            <v>1</v>
          </cell>
          <cell r="BY117">
            <v>1</v>
          </cell>
          <cell r="BZ117">
            <v>1</v>
          </cell>
          <cell r="CA117">
            <v>1</v>
          </cell>
          <cell r="CB117">
            <v>1</v>
          </cell>
          <cell r="CC117">
            <v>1</v>
          </cell>
          <cell r="CD117">
            <v>1</v>
          </cell>
          <cell r="CE117">
            <v>1</v>
          </cell>
          <cell r="CF117">
            <v>1</v>
          </cell>
          <cell r="CG117">
            <v>1</v>
          </cell>
          <cell r="CH117">
            <v>1</v>
          </cell>
          <cell r="CI117">
            <v>1</v>
          </cell>
          <cell r="CJ117">
            <v>1</v>
          </cell>
          <cell r="CK117">
            <v>1</v>
          </cell>
        </row>
        <row r="118">
          <cell r="J118">
            <v>39181</v>
          </cell>
          <cell r="K118">
            <v>39327</v>
          </cell>
          <cell r="L118">
            <v>39341</v>
          </cell>
          <cell r="M118">
            <v>39355</v>
          </cell>
          <cell r="N118">
            <v>39374</v>
          </cell>
          <cell r="O118">
            <v>39642</v>
          </cell>
          <cell r="Q118" t="str">
            <v>R</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0.5</v>
          </cell>
          <cell r="AZ118">
            <v>0.5</v>
          </cell>
          <cell r="BA118">
            <v>0.7</v>
          </cell>
          <cell r="BB118">
            <v>0.7</v>
          </cell>
          <cell r="BC118">
            <v>0.7</v>
          </cell>
          <cell r="BD118">
            <v>0.7</v>
          </cell>
          <cell r="BE118">
            <v>0.7</v>
          </cell>
          <cell r="BF118">
            <v>0.95</v>
          </cell>
          <cell r="BG118">
            <v>0.95</v>
          </cell>
          <cell r="BH118">
            <v>0.95</v>
          </cell>
          <cell r="BI118">
            <v>0.95</v>
          </cell>
          <cell r="BJ118">
            <v>0.95</v>
          </cell>
          <cell r="BK118">
            <v>0.95</v>
          </cell>
          <cell r="BL118">
            <v>0.95</v>
          </cell>
          <cell r="BM118">
            <v>0.95</v>
          </cell>
          <cell r="BN118">
            <v>0.95</v>
          </cell>
          <cell r="BO118">
            <v>0.95</v>
          </cell>
          <cell r="BP118">
            <v>0.95</v>
          </cell>
          <cell r="BQ118">
            <v>0.95</v>
          </cell>
          <cell r="BR118">
            <v>0.95</v>
          </cell>
          <cell r="BS118">
            <v>0.95</v>
          </cell>
          <cell r="BT118">
            <v>0.95</v>
          </cell>
          <cell r="BU118">
            <v>0.95</v>
          </cell>
          <cell r="BV118">
            <v>0.95</v>
          </cell>
          <cell r="BW118">
            <v>0.95</v>
          </cell>
          <cell r="BX118">
            <v>0.95</v>
          </cell>
          <cell r="BY118">
            <v>0.95</v>
          </cell>
          <cell r="BZ118">
            <v>0.95</v>
          </cell>
          <cell r="CA118">
            <v>0.95</v>
          </cell>
          <cell r="CB118">
            <v>0.95</v>
          </cell>
          <cell r="CC118">
            <v>0.95</v>
          </cell>
          <cell r="CD118">
            <v>0.95</v>
          </cell>
          <cell r="CE118">
            <v>0.95</v>
          </cell>
          <cell r="CF118">
            <v>0.95</v>
          </cell>
          <cell r="CG118">
            <v>0.95</v>
          </cell>
          <cell r="CH118">
            <v>0.95</v>
          </cell>
          <cell r="CI118">
            <v>0.95</v>
          </cell>
          <cell r="CJ118">
            <v>0.95</v>
          </cell>
          <cell r="CK118">
            <v>0.95</v>
          </cell>
        </row>
        <row r="119">
          <cell r="Q119" t="str">
            <v>E</v>
          </cell>
          <cell r="AA119">
            <v>0.25</v>
          </cell>
          <cell r="AB119">
            <v>0.25</v>
          </cell>
          <cell r="AC119">
            <v>0.25</v>
          </cell>
          <cell r="AD119">
            <v>0.25</v>
          </cell>
          <cell r="AE119">
            <v>0.25</v>
          </cell>
          <cell r="AF119">
            <v>0.45</v>
          </cell>
          <cell r="AG119">
            <v>0.45</v>
          </cell>
          <cell r="AH119">
            <v>0.5</v>
          </cell>
          <cell r="AI119">
            <v>0.5</v>
          </cell>
          <cell r="AJ119">
            <v>0.5</v>
          </cell>
          <cell r="AK119">
            <v>0.5</v>
          </cell>
          <cell r="AL119">
            <v>0.5</v>
          </cell>
          <cell r="AM119">
            <v>0.5</v>
          </cell>
          <cell r="AN119">
            <v>0.5</v>
          </cell>
          <cell r="AO119">
            <v>0.5</v>
          </cell>
          <cell r="AP119">
            <v>0.5</v>
          </cell>
          <cell r="AQ119">
            <v>0.5</v>
          </cell>
          <cell r="AR119">
            <v>0.5</v>
          </cell>
          <cell r="AS119">
            <v>0.5</v>
          </cell>
          <cell r="AT119">
            <v>0.5</v>
          </cell>
          <cell r="AU119">
            <v>0.7</v>
          </cell>
          <cell r="AV119">
            <v>0.7</v>
          </cell>
          <cell r="AW119">
            <v>0.7</v>
          </cell>
          <cell r="AX119">
            <v>0.7</v>
          </cell>
          <cell r="AY119">
            <v>0.7</v>
          </cell>
          <cell r="AZ119">
            <v>0.7</v>
          </cell>
          <cell r="BA119">
            <v>0.7</v>
          </cell>
          <cell r="BB119">
            <v>0.7</v>
          </cell>
          <cell r="BC119">
            <v>0.7</v>
          </cell>
          <cell r="BD119">
            <v>0.7</v>
          </cell>
          <cell r="BE119">
            <v>0.95</v>
          </cell>
          <cell r="BF119">
            <v>0.95</v>
          </cell>
          <cell r="BG119">
            <v>0.95</v>
          </cell>
          <cell r="BH119">
            <v>0.95</v>
          </cell>
          <cell r="BI119">
            <v>0.95</v>
          </cell>
          <cell r="BJ119">
            <v>0.95</v>
          </cell>
          <cell r="BK119">
            <v>0.95</v>
          </cell>
          <cell r="BL119">
            <v>0.95</v>
          </cell>
          <cell r="BM119">
            <v>0.95</v>
          </cell>
          <cell r="BN119">
            <v>0.95</v>
          </cell>
          <cell r="BO119">
            <v>0.95</v>
          </cell>
          <cell r="BP119">
            <v>0.95</v>
          </cell>
          <cell r="BQ119">
            <v>0.95</v>
          </cell>
          <cell r="BR119">
            <v>0.95</v>
          </cell>
          <cell r="BS119">
            <v>0.95</v>
          </cell>
          <cell r="BT119">
            <v>0.95</v>
          </cell>
          <cell r="BU119">
            <v>0.95</v>
          </cell>
          <cell r="BV119">
            <v>0.95</v>
          </cell>
          <cell r="BW119">
            <v>0.95</v>
          </cell>
          <cell r="BX119">
            <v>0.95</v>
          </cell>
          <cell r="BY119">
            <v>0.95</v>
          </cell>
          <cell r="BZ119">
            <v>0.95</v>
          </cell>
          <cell r="CA119">
            <v>0.95</v>
          </cell>
          <cell r="CB119">
            <v>0.95</v>
          </cell>
          <cell r="CC119">
            <v>0.95</v>
          </cell>
          <cell r="CD119">
            <v>0</v>
          </cell>
          <cell r="CE119">
            <v>0</v>
          </cell>
          <cell r="CF119">
            <v>0</v>
          </cell>
          <cell r="CG119">
            <v>0</v>
          </cell>
          <cell r="CH119">
            <v>0</v>
          </cell>
          <cell r="CI119">
            <v>0</v>
          </cell>
          <cell r="CJ119">
            <v>0</v>
          </cell>
          <cell r="CK119">
            <v>0</v>
          </cell>
        </row>
        <row r="120">
          <cell r="D120" t="str">
            <v>01</v>
          </cell>
          <cell r="E120" t="str">
            <v>46</v>
          </cell>
          <cell r="F120" t="str">
            <v>M01</v>
          </cell>
          <cell r="G120" t="str">
            <v>ESP</v>
          </cell>
          <cell r="H120" t="str">
            <v>002</v>
          </cell>
          <cell r="I120" t="str">
            <v>ESPECIFICACION TECNICA DE PUENTE GRUAS</v>
          </cell>
          <cell r="J120">
            <v>39181</v>
          </cell>
          <cell r="K120">
            <v>39202</v>
          </cell>
          <cell r="L120">
            <v>39216</v>
          </cell>
          <cell r="M120">
            <v>39223</v>
          </cell>
          <cell r="N120">
            <v>39237</v>
          </cell>
          <cell r="O120">
            <v>39476</v>
          </cell>
          <cell r="P120">
            <v>174</v>
          </cell>
          <cell r="Q120" t="str">
            <v>P</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0.5</v>
          </cell>
          <cell r="AH120">
            <v>0.5</v>
          </cell>
          <cell r="AI120">
            <v>0.7</v>
          </cell>
          <cell r="AJ120">
            <v>0.7</v>
          </cell>
          <cell r="AK120">
            <v>0.7</v>
          </cell>
          <cell r="AL120">
            <v>0.95</v>
          </cell>
          <cell r="AM120">
            <v>0.95</v>
          </cell>
          <cell r="AN120">
            <v>0.95</v>
          </cell>
          <cell r="AO120">
            <v>0.95</v>
          </cell>
          <cell r="AP120">
            <v>0.95</v>
          </cell>
          <cell r="AQ120">
            <v>0.95</v>
          </cell>
          <cell r="AR120">
            <v>0.95</v>
          </cell>
          <cell r="AS120">
            <v>0.95</v>
          </cell>
          <cell r="AT120">
            <v>0.95</v>
          </cell>
          <cell r="AU120">
            <v>0.95</v>
          </cell>
          <cell r="AV120">
            <v>0.95</v>
          </cell>
          <cell r="AW120">
            <v>0.95</v>
          </cell>
          <cell r="AX120">
            <v>0.95</v>
          </cell>
          <cell r="AY120">
            <v>0.95</v>
          </cell>
          <cell r="AZ120">
            <v>0.95</v>
          </cell>
          <cell r="BA120">
            <v>0.95</v>
          </cell>
          <cell r="BB120">
            <v>0.95</v>
          </cell>
          <cell r="BC120">
            <v>0.95</v>
          </cell>
          <cell r="BD120">
            <v>0.95</v>
          </cell>
          <cell r="BE120">
            <v>0.95</v>
          </cell>
          <cell r="BF120">
            <v>0.95</v>
          </cell>
          <cell r="BG120">
            <v>0.95</v>
          </cell>
          <cell r="BH120">
            <v>0.95</v>
          </cell>
          <cell r="BI120">
            <v>0.95</v>
          </cell>
          <cell r="BJ120">
            <v>0.95</v>
          </cell>
          <cell r="BK120">
            <v>0.95</v>
          </cell>
          <cell r="BL120">
            <v>0.95</v>
          </cell>
          <cell r="BM120">
            <v>0.95</v>
          </cell>
          <cell r="BN120">
            <v>0.95</v>
          </cell>
          <cell r="BO120">
            <v>0.95</v>
          </cell>
          <cell r="BP120">
            <v>0.95</v>
          </cell>
          <cell r="BQ120">
            <v>0.95</v>
          </cell>
          <cell r="BR120">
            <v>0.95</v>
          </cell>
          <cell r="BS120">
            <v>0.95</v>
          </cell>
          <cell r="BT120">
            <v>1</v>
          </cell>
          <cell r="BU120">
            <v>1</v>
          </cell>
          <cell r="BV120">
            <v>1</v>
          </cell>
          <cell r="BW120">
            <v>1</v>
          </cell>
          <cell r="BX120">
            <v>1</v>
          </cell>
          <cell r="BY120">
            <v>1</v>
          </cell>
          <cell r="BZ120">
            <v>1</v>
          </cell>
          <cell r="CA120">
            <v>1</v>
          </cell>
          <cell r="CB120">
            <v>1</v>
          </cell>
          <cell r="CC120">
            <v>1</v>
          </cell>
          <cell r="CD120">
            <v>1</v>
          </cell>
          <cell r="CE120">
            <v>1</v>
          </cell>
          <cell r="CF120">
            <v>1</v>
          </cell>
          <cell r="CG120">
            <v>1</v>
          </cell>
          <cell r="CH120">
            <v>1</v>
          </cell>
          <cell r="CI120">
            <v>1</v>
          </cell>
          <cell r="CJ120">
            <v>1</v>
          </cell>
          <cell r="CK120">
            <v>1</v>
          </cell>
        </row>
        <row r="121">
          <cell r="J121">
            <v>39181</v>
          </cell>
          <cell r="K121">
            <v>39227</v>
          </cell>
          <cell r="L121">
            <v>39258</v>
          </cell>
          <cell r="M121">
            <v>39302</v>
          </cell>
          <cell r="N121">
            <v>39322</v>
          </cell>
          <cell r="O121">
            <v>39642</v>
          </cell>
          <cell r="Q121" t="str">
            <v>R</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0.5</v>
          </cell>
          <cell r="AL121">
            <v>0.5</v>
          </cell>
          <cell r="AM121">
            <v>0.5</v>
          </cell>
          <cell r="AN121">
            <v>0.5</v>
          </cell>
          <cell r="AO121">
            <v>0.7</v>
          </cell>
          <cell r="AP121">
            <v>0.7</v>
          </cell>
          <cell r="AQ121">
            <v>0.7</v>
          </cell>
          <cell r="AR121">
            <v>0.7</v>
          </cell>
          <cell r="AS121">
            <v>0.7</v>
          </cell>
          <cell r="AT121">
            <v>0.7</v>
          </cell>
          <cell r="AU121">
            <v>0.7</v>
          </cell>
          <cell r="AV121">
            <v>0.7</v>
          </cell>
          <cell r="AW121">
            <v>0.7</v>
          </cell>
          <cell r="AX121">
            <v>0.95</v>
          </cell>
          <cell r="AY121">
            <v>0.95</v>
          </cell>
          <cell r="AZ121">
            <v>0.95</v>
          </cell>
          <cell r="BA121">
            <v>0.95</v>
          </cell>
          <cell r="BB121">
            <v>0.95</v>
          </cell>
          <cell r="BC121">
            <v>0.95</v>
          </cell>
          <cell r="BD121">
            <v>0.95</v>
          </cell>
          <cell r="BE121">
            <v>0.95</v>
          </cell>
          <cell r="BF121">
            <v>0.95</v>
          </cell>
          <cell r="BG121">
            <v>0.95</v>
          </cell>
          <cell r="BH121">
            <v>0.95</v>
          </cell>
          <cell r="BI121">
            <v>0.95</v>
          </cell>
          <cell r="BJ121">
            <v>0.95</v>
          </cell>
          <cell r="BK121">
            <v>0.95</v>
          </cell>
          <cell r="BL121">
            <v>0.95</v>
          </cell>
          <cell r="BM121">
            <v>0.95</v>
          </cell>
          <cell r="BN121">
            <v>0.95</v>
          </cell>
          <cell r="BO121">
            <v>0.95</v>
          </cell>
          <cell r="BP121">
            <v>0.95</v>
          </cell>
          <cell r="BQ121">
            <v>0.95</v>
          </cell>
          <cell r="BR121">
            <v>0.95</v>
          </cell>
          <cell r="BS121">
            <v>0.95</v>
          </cell>
          <cell r="BT121">
            <v>0.95</v>
          </cell>
          <cell r="BU121">
            <v>0.95</v>
          </cell>
          <cell r="BV121">
            <v>0.95</v>
          </cell>
          <cell r="BW121">
            <v>0.95</v>
          </cell>
          <cell r="BX121">
            <v>0.95</v>
          </cell>
          <cell r="BY121">
            <v>0.95</v>
          </cell>
          <cell r="BZ121">
            <v>0.95</v>
          </cell>
          <cell r="CA121">
            <v>0.95</v>
          </cell>
          <cell r="CB121">
            <v>0.95</v>
          </cell>
          <cell r="CC121">
            <v>0.95</v>
          </cell>
          <cell r="CD121">
            <v>0.95</v>
          </cell>
          <cell r="CE121">
            <v>0.95</v>
          </cell>
          <cell r="CF121">
            <v>0.95</v>
          </cell>
          <cell r="CG121">
            <v>0.95</v>
          </cell>
          <cell r="CH121">
            <v>0.95</v>
          </cell>
          <cell r="CI121">
            <v>0.95</v>
          </cell>
          <cell r="CJ121">
            <v>0.95</v>
          </cell>
          <cell r="CK121">
            <v>0.95</v>
          </cell>
        </row>
        <row r="122">
          <cell r="Q122" t="str">
            <v>E</v>
          </cell>
          <cell r="AA122">
            <v>0.1</v>
          </cell>
          <cell r="AB122">
            <v>0.1</v>
          </cell>
          <cell r="AC122">
            <v>0.1</v>
          </cell>
          <cell r="AD122">
            <v>0.1</v>
          </cell>
          <cell r="AE122">
            <v>0.1</v>
          </cell>
          <cell r="AF122">
            <v>0.25</v>
          </cell>
          <cell r="AG122">
            <v>0.25</v>
          </cell>
          <cell r="AH122">
            <v>0.25</v>
          </cell>
          <cell r="AI122">
            <v>0.5</v>
          </cell>
          <cell r="AJ122">
            <v>0.5</v>
          </cell>
          <cell r="AK122">
            <v>0.5</v>
          </cell>
          <cell r="AL122">
            <v>0.5</v>
          </cell>
          <cell r="AM122">
            <v>0.5</v>
          </cell>
          <cell r="AN122">
            <v>0.5</v>
          </cell>
          <cell r="AO122">
            <v>0.7</v>
          </cell>
          <cell r="AP122">
            <v>0.7</v>
          </cell>
          <cell r="AQ122">
            <v>0.7</v>
          </cell>
          <cell r="AR122">
            <v>0.7</v>
          </cell>
          <cell r="AS122">
            <v>0.7</v>
          </cell>
          <cell r="AT122">
            <v>0.7</v>
          </cell>
          <cell r="AU122">
            <v>0.7</v>
          </cell>
          <cell r="AV122">
            <v>0.7</v>
          </cell>
          <cell r="AW122">
            <v>0.7</v>
          </cell>
          <cell r="AX122">
            <v>0.95</v>
          </cell>
          <cell r="AY122">
            <v>0.95</v>
          </cell>
          <cell r="AZ122">
            <v>0.95</v>
          </cell>
          <cell r="BA122">
            <v>0.95</v>
          </cell>
          <cell r="BB122">
            <v>0.95</v>
          </cell>
          <cell r="BC122">
            <v>0.95</v>
          </cell>
          <cell r="BD122">
            <v>0.95</v>
          </cell>
          <cell r="BE122">
            <v>0.95</v>
          </cell>
          <cell r="BF122">
            <v>0.95</v>
          </cell>
          <cell r="BG122">
            <v>0.95</v>
          </cell>
          <cell r="BH122">
            <v>0.95</v>
          </cell>
          <cell r="BI122">
            <v>0.95</v>
          </cell>
          <cell r="BJ122">
            <v>0.95</v>
          </cell>
          <cell r="BK122">
            <v>0.95</v>
          </cell>
          <cell r="BL122">
            <v>0.95</v>
          </cell>
          <cell r="BM122">
            <v>0.95</v>
          </cell>
          <cell r="BN122">
            <v>0.95</v>
          </cell>
          <cell r="BO122">
            <v>0.95</v>
          </cell>
          <cell r="BP122">
            <v>0.95</v>
          </cell>
          <cell r="BQ122">
            <v>0.95</v>
          </cell>
          <cell r="BR122">
            <v>0.95</v>
          </cell>
          <cell r="BS122">
            <v>0.95</v>
          </cell>
          <cell r="BT122">
            <v>0.95</v>
          </cell>
          <cell r="BU122">
            <v>0.95</v>
          </cell>
          <cell r="BV122">
            <v>0.95</v>
          </cell>
          <cell r="BW122">
            <v>0.95</v>
          </cell>
          <cell r="BX122">
            <v>0.95</v>
          </cell>
          <cell r="BY122">
            <v>0.95</v>
          </cell>
          <cell r="BZ122">
            <v>0.95</v>
          </cell>
          <cell r="CA122">
            <v>0.95</v>
          </cell>
          <cell r="CB122">
            <v>0.95</v>
          </cell>
          <cell r="CC122">
            <v>0.95</v>
          </cell>
          <cell r="CD122">
            <v>0</v>
          </cell>
          <cell r="CE122">
            <v>0</v>
          </cell>
          <cell r="CF122">
            <v>0</v>
          </cell>
          <cell r="CG122">
            <v>0</v>
          </cell>
          <cell r="CH122">
            <v>0</v>
          </cell>
          <cell r="CI122">
            <v>0</v>
          </cell>
          <cell r="CJ122">
            <v>0</v>
          </cell>
          <cell r="CK122">
            <v>0</v>
          </cell>
        </row>
        <row r="123">
          <cell r="D123" t="str">
            <v>01</v>
          </cell>
          <cell r="E123" t="str">
            <v>46</v>
          </cell>
          <cell r="F123" t="str">
            <v>M01</v>
          </cell>
          <cell r="G123" t="str">
            <v>ESP</v>
          </cell>
          <cell r="H123" t="str">
            <v>003</v>
          </cell>
          <cell r="I123" t="str">
            <v>DATA SHEET FOR ROG COMPRESSOR TAG: C-4109</v>
          </cell>
          <cell r="J123">
            <v>39195</v>
          </cell>
          <cell r="K123">
            <v>39212</v>
          </cell>
          <cell r="L123">
            <v>39226</v>
          </cell>
          <cell r="M123">
            <v>39241</v>
          </cell>
          <cell r="N123">
            <v>39255</v>
          </cell>
          <cell r="O123">
            <v>39476</v>
          </cell>
          <cell r="P123">
            <v>100.97316584480136</v>
          </cell>
          <cell r="Q123" t="str">
            <v>P</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0.5</v>
          </cell>
          <cell r="AI123">
            <v>0.5</v>
          </cell>
          <cell r="AJ123">
            <v>0.7</v>
          </cell>
          <cell r="AK123">
            <v>0.7</v>
          </cell>
          <cell r="AL123">
            <v>0.7</v>
          </cell>
          <cell r="AM123">
            <v>0.7</v>
          </cell>
          <cell r="AN123">
            <v>0.7</v>
          </cell>
          <cell r="AO123">
            <v>0.95</v>
          </cell>
          <cell r="AP123">
            <v>0.95</v>
          </cell>
          <cell r="AQ123">
            <v>0.95</v>
          </cell>
          <cell r="AR123">
            <v>0.95</v>
          </cell>
          <cell r="AS123">
            <v>0.95</v>
          </cell>
          <cell r="AT123">
            <v>0.95</v>
          </cell>
          <cell r="AU123">
            <v>0.95</v>
          </cell>
          <cell r="AV123">
            <v>0.95</v>
          </cell>
          <cell r="AW123">
            <v>0.95</v>
          </cell>
          <cell r="AX123">
            <v>0.95</v>
          </cell>
          <cell r="AY123">
            <v>0.95</v>
          </cell>
          <cell r="AZ123">
            <v>0.95</v>
          </cell>
          <cell r="BA123">
            <v>0.95</v>
          </cell>
          <cell r="BB123">
            <v>0.95</v>
          </cell>
          <cell r="BC123">
            <v>0.95</v>
          </cell>
          <cell r="BD123">
            <v>0.95</v>
          </cell>
          <cell r="BE123">
            <v>0.95</v>
          </cell>
          <cell r="BF123">
            <v>0.95</v>
          </cell>
          <cell r="BG123">
            <v>0.95</v>
          </cell>
          <cell r="BH123">
            <v>0.95</v>
          </cell>
          <cell r="BI123">
            <v>0.95</v>
          </cell>
          <cell r="BJ123">
            <v>0.95</v>
          </cell>
          <cell r="BK123">
            <v>0.95</v>
          </cell>
          <cell r="BL123">
            <v>0.95</v>
          </cell>
          <cell r="BM123">
            <v>0.95</v>
          </cell>
          <cell r="BN123">
            <v>0.95</v>
          </cell>
          <cell r="BO123">
            <v>0.95</v>
          </cell>
          <cell r="BP123">
            <v>0.95</v>
          </cell>
          <cell r="BQ123">
            <v>0.95</v>
          </cell>
          <cell r="BR123">
            <v>0.95</v>
          </cell>
          <cell r="BS123">
            <v>0.95</v>
          </cell>
          <cell r="BT123">
            <v>1</v>
          </cell>
          <cell r="BU123">
            <v>1</v>
          </cell>
          <cell r="BV123">
            <v>1</v>
          </cell>
          <cell r="BW123">
            <v>1</v>
          </cell>
          <cell r="BX123">
            <v>1</v>
          </cell>
          <cell r="BY123">
            <v>1</v>
          </cell>
          <cell r="BZ123">
            <v>1</v>
          </cell>
          <cell r="CA123">
            <v>1</v>
          </cell>
          <cell r="CB123">
            <v>1</v>
          </cell>
          <cell r="CC123">
            <v>1</v>
          </cell>
          <cell r="CD123">
            <v>1</v>
          </cell>
          <cell r="CE123">
            <v>1</v>
          </cell>
          <cell r="CF123">
            <v>1</v>
          </cell>
          <cell r="CG123">
            <v>1</v>
          </cell>
          <cell r="CH123">
            <v>1</v>
          </cell>
          <cell r="CI123">
            <v>1</v>
          </cell>
          <cell r="CJ123">
            <v>1</v>
          </cell>
          <cell r="CK123">
            <v>1</v>
          </cell>
        </row>
        <row r="124">
          <cell r="J124">
            <v>39195</v>
          </cell>
          <cell r="K124">
            <v>39205</v>
          </cell>
          <cell r="L124">
            <v>39262</v>
          </cell>
          <cell r="M124">
            <v>39281</v>
          </cell>
          <cell r="N124">
            <v>39300</v>
          </cell>
          <cell r="O124">
            <v>39642</v>
          </cell>
          <cell r="Q124" t="str">
            <v>R</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0.5</v>
          </cell>
          <cell r="AH124">
            <v>0.5</v>
          </cell>
          <cell r="AI124">
            <v>0.5</v>
          </cell>
          <cell r="AJ124">
            <v>0.5</v>
          </cell>
          <cell r="AK124">
            <v>0.5</v>
          </cell>
          <cell r="AL124">
            <v>0.5</v>
          </cell>
          <cell r="AM124">
            <v>0.5</v>
          </cell>
          <cell r="AN124">
            <v>0.5</v>
          </cell>
          <cell r="AO124">
            <v>0.5</v>
          </cell>
          <cell r="AP124">
            <v>0.7</v>
          </cell>
          <cell r="AQ124">
            <v>0.7</v>
          </cell>
          <cell r="AR124">
            <v>0.7</v>
          </cell>
          <cell r="AS124">
            <v>0.7</v>
          </cell>
          <cell r="AT124">
            <v>0.7</v>
          </cell>
          <cell r="AU124">
            <v>0.95</v>
          </cell>
          <cell r="AV124">
            <v>0.95</v>
          </cell>
          <cell r="AW124">
            <v>0.95</v>
          </cell>
          <cell r="AX124">
            <v>0.95</v>
          </cell>
          <cell r="AY124">
            <v>0.95</v>
          </cell>
          <cell r="AZ124">
            <v>0.95</v>
          </cell>
          <cell r="BA124">
            <v>0.95</v>
          </cell>
          <cell r="BB124">
            <v>0.95</v>
          </cell>
          <cell r="BC124">
            <v>0.95</v>
          </cell>
          <cell r="BD124">
            <v>0.95</v>
          </cell>
          <cell r="BE124">
            <v>0.95</v>
          </cell>
          <cell r="BF124">
            <v>0.95</v>
          </cell>
          <cell r="BG124">
            <v>0.95</v>
          </cell>
          <cell r="BH124">
            <v>0.95</v>
          </cell>
          <cell r="BI124">
            <v>0.95</v>
          </cell>
          <cell r="BJ124">
            <v>0.95</v>
          </cell>
          <cell r="BK124">
            <v>0.95</v>
          </cell>
          <cell r="BL124">
            <v>0.95</v>
          </cell>
          <cell r="BM124">
            <v>0.95</v>
          </cell>
          <cell r="BN124">
            <v>0.95</v>
          </cell>
          <cell r="BO124">
            <v>0.95</v>
          </cell>
          <cell r="BP124">
            <v>0.95</v>
          </cell>
          <cell r="BQ124">
            <v>0.95</v>
          </cell>
          <cell r="BR124">
            <v>0.95</v>
          </cell>
          <cell r="BS124">
            <v>0.95</v>
          </cell>
          <cell r="BT124">
            <v>0.95</v>
          </cell>
          <cell r="BU124">
            <v>0.95</v>
          </cell>
          <cell r="BV124">
            <v>0.95</v>
          </cell>
          <cell r="BW124">
            <v>0.95</v>
          </cell>
          <cell r="BX124">
            <v>0.95</v>
          </cell>
          <cell r="BY124">
            <v>0.95</v>
          </cell>
          <cell r="BZ124">
            <v>0.95</v>
          </cell>
          <cell r="CA124">
            <v>0.95</v>
          </cell>
          <cell r="CB124">
            <v>0.95</v>
          </cell>
          <cell r="CC124">
            <v>0.95</v>
          </cell>
          <cell r="CD124">
            <v>0.95</v>
          </cell>
          <cell r="CE124">
            <v>0.95</v>
          </cell>
          <cell r="CF124">
            <v>0.95</v>
          </cell>
          <cell r="CG124">
            <v>0.95</v>
          </cell>
          <cell r="CH124">
            <v>0.95</v>
          </cell>
          <cell r="CI124">
            <v>0.95</v>
          </cell>
          <cell r="CJ124">
            <v>0.95</v>
          </cell>
          <cell r="CK124">
            <v>0.95</v>
          </cell>
        </row>
        <row r="125">
          <cell r="Q125" t="str">
            <v>E</v>
          </cell>
          <cell r="AA125">
            <v>0.1</v>
          </cell>
          <cell r="AB125">
            <v>0.1</v>
          </cell>
          <cell r="AC125">
            <v>0.1</v>
          </cell>
          <cell r="AD125">
            <v>0.1</v>
          </cell>
          <cell r="AE125">
            <v>0.1</v>
          </cell>
          <cell r="AF125">
            <v>0.25</v>
          </cell>
          <cell r="AG125">
            <v>0.25</v>
          </cell>
          <cell r="AH125">
            <v>0.5</v>
          </cell>
          <cell r="AI125">
            <v>0.5</v>
          </cell>
          <cell r="AJ125">
            <v>0.5</v>
          </cell>
          <cell r="AK125">
            <v>0.5</v>
          </cell>
          <cell r="AL125">
            <v>0.5</v>
          </cell>
          <cell r="AM125">
            <v>0.5</v>
          </cell>
          <cell r="AN125">
            <v>0.5</v>
          </cell>
          <cell r="AO125">
            <v>0.5</v>
          </cell>
          <cell r="AP125">
            <v>0.7</v>
          </cell>
          <cell r="AQ125">
            <v>0.7</v>
          </cell>
          <cell r="AR125">
            <v>0.7</v>
          </cell>
          <cell r="AS125">
            <v>0.7</v>
          </cell>
          <cell r="AT125">
            <v>0.7</v>
          </cell>
          <cell r="AU125">
            <v>0.95</v>
          </cell>
          <cell r="AV125">
            <v>0.95</v>
          </cell>
          <cell r="AW125">
            <v>0.95</v>
          </cell>
          <cell r="AX125">
            <v>0.95</v>
          </cell>
          <cell r="AY125">
            <v>0.95</v>
          </cell>
          <cell r="AZ125">
            <v>0.95</v>
          </cell>
          <cell r="BA125">
            <v>0.95</v>
          </cell>
          <cell r="BB125">
            <v>0.95</v>
          </cell>
          <cell r="BC125">
            <v>0.95</v>
          </cell>
          <cell r="BD125">
            <v>0.95</v>
          </cell>
          <cell r="BE125">
            <v>0.95</v>
          </cell>
          <cell r="BF125">
            <v>0.95</v>
          </cell>
          <cell r="BG125">
            <v>0.95</v>
          </cell>
          <cell r="BH125">
            <v>0.95</v>
          </cell>
          <cell r="BI125">
            <v>0.95</v>
          </cell>
          <cell r="BJ125">
            <v>0.95</v>
          </cell>
          <cell r="BK125">
            <v>0.95</v>
          </cell>
          <cell r="BL125">
            <v>0.95</v>
          </cell>
          <cell r="BM125">
            <v>0.95</v>
          </cell>
          <cell r="BN125">
            <v>0.95</v>
          </cell>
          <cell r="BO125">
            <v>0.95</v>
          </cell>
          <cell r="BP125">
            <v>0.95</v>
          </cell>
          <cell r="BQ125">
            <v>0.95</v>
          </cell>
          <cell r="BR125">
            <v>0.95</v>
          </cell>
          <cell r="BS125">
            <v>0.95</v>
          </cell>
          <cell r="BT125">
            <v>0.95</v>
          </cell>
          <cell r="BU125">
            <v>0.95</v>
          </cell>
          <cell r="BV125">
            <v>0.95</v>
          </cell>
          <cell r="BW125">
            <v>0.95</v>
          </cell>
          <cell r="BX125">
            <v>0.95</v>
          </cell>
          <cell r="BY125">
            <v>0.95</v>
          </cell>
          <cell r="BZ125">
            <v>0.95</v>
          </cell>
          <cell r="CA125">
            <v>0.95</v>
          </cell>
          <cell r="CB125">
            <v>0.95</v>
          </cell>
          <cell r="CC125">
            <v>0.95</v>
          </cell>
          <cell r="CD125">
            <v>0</v>
          </cell>
          <cell r="CE125">
            <v>0</v>
          </cell>
          <cell r="CF125">
            <v>0</v>
          </cell>
          <cell r="CG125">
            <v>0</v>
          </cell>
          <cell r="CH125">
            <v>0</v>
          </cell>
          <cell r="CI125">
            <v>0</v>
          </cell>
          <cell r="CJ125">
            <v>0</v>
          </cell>
          <cell r="CK125">
            <v>0</v>
          </cell>
        </row>
        <row r="126">
          <cell r="D126" t="str">
            <v>01</v>
          </cell>
          <cell r="E126" t="str">
            <v>46</v>
          </cell>
          <cell r="F126" t="str">
            <v>M01</v>
          </cell>
          <cell r="G126" t="str">
            <v>ESP</v>
          </cell>
          <cell r="H126" t="str">
            <v>004</v>
          </cell>
          <cell r="I126" t="str">
            <v>HOJA DE DATOS DEL PUENTE GRUA DEL COMPRESOR C-4109</v>
          </cell>
          <cell r="J126">
            <v>39195</v>
          </cell>
          <cell r="K126">
            <v>39212</v>
          </cell>
          <cell r="L126">
            <v>39226</v>
          </cell>
          <cell r="M126">
            <v>39233</v>
          </cell>
          <cell r="N126">
            <v>39247</v>
          </cell>
          <cell r="O126">
            <v>39476</v>
          </cell>
          <cell r="P126">
            <v>89.899999999999991</v>
          </cell>
          <cell r="Q126" t="str">
            <v>P</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0.5</v>
          </cell>
          <cell r="AI126">
            <v>0.5</v>
          </cell>
          <cell r="AJ126">
            <v>0.7</v>
          </cell>
          <cell r="AK126">
            <v>0.7</v>
          </cell>
          <cell r="AL126">
            <v>0.7</v>
          </cell>
          <cell r="AM126">
            <v>0.95</v>
          </cell>
          <cell r="AN126">
            <v>0.95</v>
          </cell>
          <cell r="AO126">
            <v>0.95</v>
          </cell>
          <cell r="AP126">
            <v>0.95</v>
          </cell>
          <cell r="AQ126">
            <v>0.95</v>
          </cell>
          <cell r="AR126">
            <v>0.95</v>
          </cell>
          <cell r="AS126">
            <v>0.95</v>
          </cell>
          <cell r="AT126">
            <v>0.95</v>
          </cell>
          <cell r="AU126">
            <v>0.95</v>
          </cell>
          <cell r="AV126">
            <v>0.95</v>
          </cell>
          <cell r="AW126">
            <v>0.95</v>
          </cell>
          <cell r="AX126">
            <v>0.95</v>
          </cell>
          <cell r="AY126">
            <v>0.95</v>
          </cell>
          <cell r="AZ126">
            <v>0.95</v>
          </cell>
          <cell r="BA126">
            <v>0.95</v>
          </cell>
          <cell r="BB126">
            <v>0.95</v>
          </cell>
          <cell r="BC126">
            <v>0.95</v>
          </cell>
          <cell r="BD126">
            <v>0.95</v>
          </cell>
          <cell r="BE126">
            <v>0.95</v>
          </cell>
          <cell r="BF126">
            <v>0.95</v>
          </cell>
          <cell r="BG126">
            <v>0.95</v>
          </cell>
          <cell r="BH126">
            <v>0.95</v>
          </cell>
          <cell r="BI126">
            <v>0.95</v>
          </cell>
          <cell r="BJ126">
            <v>0.95</v>
          </cell>
          <cell r="BK126">
            <v>0.95</v>
          </cell>
          <cell r="BL126">
            <v>0.95</v>
          </cell>
          <cell r="BM126">
            <v>0.95</v>
          </cell>
          <cell r="BN126">
            <v>0.95</v>
          </cell>
          <cell r="BO126">
            <v>0.95</v>
          </cell>
          <cell r="BP126">
            <v>0.95</v>
          </cell>
          <cell r="BQ126">
            <v>0.95</v>
          </cell>
          <cell r="BR126">
            <v>0.95</v>
          </cell>
          <cell r="BS126">
            <v>0.95</v>
          </cell>
          <cell r="BT126">
            <v>1</v>
          </cell>
          <cell r="BU126">
            <v>1</v>
          </cell>
          <cell r="BV126">
            <v>1</v>
          </cell>
          <cell r="BW126">
            <v>1</v>
          </cell>
          <cell r="BX126">
            <v>1</v>
          </cell>
          <cell r="BY126">
            <v>1</v>
          </cell>
          <cell r="BZ126">
            <v>1</v>
          </cell>
          <cell r="CA126">
            <v>1</v>
          </cell>
          <cell r="CB126">
            <v>1</v>
          </cell>
          <cell r="CC126">
            <v>1</v>
          </cell>
          <cell r="CD126">
            <v>1</v>
          </cell>
          <cell r="CE126">
            <v>1</v>
          </cell>
          <cell r="CF126">
            <v>1</v>
          </cell>
          <cell r="CG126">
            <v>1</v>
          </cell>
          <cell r="CH126">
            <v>1</v>
          </cell>
          <cell r="CI126">
            <v>1</v>
          </cell>
          <cell r="CJ126">
            <v>1</v>
          </cell>
          <cell r="CK126">
            <v>1</v>
          </cell>
        </row>
        <row r="127">
          <cell r="J127">
            <v>39195</v>
          </cell>
          <cell r="K127">
            <v>39302</v>
          </cell>
          <cell r="L127">
            <v>39379</v>
          </cell>
          <cell r="M127">
            <v>39388</v>
          </cell>
          <cell r="N127">
            <v>39394</v>
          </cell>
          <cell r="O127">
            <v>39642</v>
          </cell>
          <cell r="Q127" t="str">
            <v>R</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0.5</v>
          </cell>
          <cell r="AV127">
            <v>0.5</v>
          </cell>
          <cell r="AW127">
            <v>0.5</v>
          </cell>
          <cell r="AX127">
            <v>0.5</v>
          </cell>
          <cell r="AY127">
            <v>0.5</v>
          </cell>
          <cell r="AZ127">
            <v>0.5</v>
          </cell>
          <cell r="BA127">
            <v>0.5</v>
          </cell>
          <cell r="BB127">
            <v>0.5</v>
          </cell>
          <cell r="BC127">
            <v>0.5</v>
          </cell>
          <cell r="BD127">
            <v>0.5</v>
          </cell>
          <cell r="BE127">
            <v>0.5</v>
          </cell>
          <cell r="BF127">
            <v>0.7</v>
          </cell>
          <cell r="BG127">
            <v>0.7</v>
          </cell>
          <cell r="BH127">
            <v>0.95</v>
          </cell>
          <cell r="BI127">
            <v>0.95</v>
          </cell>
          <cell r="BJ127">
            <v>0.95</v>
          </cell>
          <cell r="BK127">
            <v>0.95</v>
          </cell>
          <cell r="BL127">
            <v>0.95</v>
          </cell>
          <cell r="BM127">
            <v>0.95</v>
          </cell>
          <cell r="BN127">
            <v>0.95</v>
          </cell>
          <cell r="BO127">
            <v>0.95</v>
          </cell>
          <cell r="BP127">
            <v>0.95</v>
          </cell>
          <cell r="BQ127">
            <v>0.95</v>
          </cell>
          <cell r="BR127">
            <v>0.95</v>
          </cell>
          <cell r="BS127">
            <v>0.95</v>
          </cell>
          <cell r="BT127">
            <v>0.95</v>
          </cell>
          <cell r="BU127">
            <v>0.95</v>
          </cell>
          <cell r="BV127">
            <v>0.95</v>
          </cell>
          <cell r="BW127">
            <v>0.95</v>
          </cell>
          <cell r="BX127">
            <v>0.95</v>
          </cell>
          <cell r="BY127">
            <v>0.95</v>
          </cell>
          <cell r="BZ127">
            <v>0.95</v>
          </cell>
          <cell r="CA127">
            <v>0.95</v>
          </cell>
          <cell r="CB127">
            <v>0.95</v>
          </cell>
          <cell r="CC127">
            <v>0.95</v>
          </cell>
          <cell r="CD127">
            <v>0.95</v>
          </cell>
          <cell r="CE127">
            <v>0.95</v>
          </cell>
          <cell r="CF127">
            <v>0.95</v>
          </cell>
          <cell r="CG127">
            <v>0.95</v>
          </cell>
          <cell r="CH127">
            <v>0.95</v>
          </cell>
          <cell r="CI127">
            <v>0.95</v>
          </cell>
          <cell r="CJ127">
            <v>0.95</v>
          </cell>
          <cell r="CK127">
            <v>0.95</v>
          </cell>
        </row>
        <row r="128">
          <cell r="Q128" t="str">
            <v>E</v>
          </cell>
          <cell r="AA128">
            <v>0.1</v>
          </cell>
          <cell r="AB128">
            <v>0.1</v>
          </cell>
          <cell r="AC128">
            <v>0.1</v>
          </cell>
          <cell r="AD128">
            <v>0.1</v>
          </cell>
          <cell r="AE128">
            <v>0.1</v>
          </cell>
          <cell r="AF128">
            <v>0.1</v>
          </cell>
          <cell r="AG128">
            <v>0.1</v>
          </cell>
          <cell r="AH128">
            <v>0.1</v>
          </cell>
          <cell r="AI128">
            <v>0.1</v>
          </cell>
          <cell r="AJ128">
            <v>0.1</v>
          </cell>
          <cell r="AK128">
            <v>0.1</v>
          </cell>
          <cell r="AL128">
            <v>0.1</v>
          </cell>
          <cell r="AM128">
            <v>0.1</v>
          </cell>
          <cell r="AN128">
            <v>0.1</v>
          </cell>
          <cell r="AO128">
            <v>0.1</v>
          </cell>
          <cell r="AP128">
            <v>0.1</v>
          </cell>
          <cell r="AQ128">
            <v>0.1</v>
          </cell>
          <cell r="AR128">
            <v>0.1</v>
          </cell>
          <cell r="AS128">
            <v>0.1</v>
          </cell>
          <cell r="AT128">
            <v>0.1</v>
          </cell>
          <cell r="AU128">
            <v>0.5</v>
          </cell>
          <cell r="AV128">
            <v>0.5</v>
          </cell>
          <cell r="AW128">
            <v>0.5</v>
          </cell>
          <cell r="AX128">
            <v>0.5</v>
          </cell>
          <cell r="AY128">
            <v>0.5</v>
          </cell>
          <cell r="AZ128">
            <v>0.5</v>
          </cell>
          <cell r="BA128">
            <v>0.5</v>
          </cell>
          <cell r="BB128">
            <v>0.5</v>
          </cell>
          <cell r="BC128">
            <v>0.5</v>
          </cell>
          <cell r="BD128">
            <v>0.5</v>
          </cell>
          <cell r="BE128">
            <v>0.5</v>
          </cell>
          <cell r="BF128">
            <v>0.95</v>
          </cell>
          <cell r="BG128">
            <v>0.95</v>
          </cell>
          <cell r="BH128">
            <v>0.95</v>
          </cell>
          <cell r="BI128">
            <v>0.95</v>
          </cell>
          <cell r="BJ128">
            <v>0.95</v>
          </cell>
          <cell r="BK128">
            <v>0.95</v>
          </cell>
          <cell r="BL128">
            <v>0.95</v>
          </cell>
          <cell r="BM128">
            <v>0.95</v>
          </cell>
          <cell r="BN128">
            <v>0.95</v>
          </cell>
          <cell r="BO128">
            <v>0.95</v>
          </cell>
          <cell r="BP128">
            <v>0.95</v>
          </cell>
          <cell r="BQ128">
            <v>0.95</v>
          </cell>
          <cell r="BR128">
            <v>0.95</v>
          </cell>
          <cell r="BS128">
            <v>0.95</v>
          </cell>
          <cell r="BT128">
            <v>0.95</v>
          </cell>
          <cell r="BU128">
            <v>0.95</v>
          </cell>
          <cell r="BV128">
            <v>0.95</v>
          </cell>
          <cell r="BW128">
            <v>0.95</v>
          </cell>
          <cell r="BX128">
            <v>0.95</v>
          </cell>
          <cell r="BY128">
            <v>0.95</v>
          </cell>
          <cell r="BZ128">
            <v>0.95</v>
          </cell>
          <cell r="CA128">
            <v>0.95</v>
          </cell>
          <cell r="CB128">
            <v>0.95</v>
          </cell>
          <cell r="CC128">
            <v>0.95</v>
          </cell>
          <cell r="CD128">
            <v>0</v>
          </cell>
          <cell r="CE128">
            <v>0</v>
          </cell>
          <cell r="CF128">
            <v>0</v>
          </cell>
          <cell r="CG128">
            <v>0</v>
          </cell>
          <cell r="CH128">
            <v>0</v>
          </cell>
          <cell r="CI128">
            <v>0</v>
          </cell>
          <cell r="CJ128">
            <v>0</v>
          </cell>
          <cell r="CK128">
            <v>0</v>
          </cell>
        </row>
        <row r="129">
          <cell r="D129" t="str">
            <v>01</v>
          </cell>
          <cell r="E129" t="str">
            <v>46</v>
          </cell>
          <cell r="F129" t="str">
            <v>M01</v>
          </cell>
          <cell r="G129" t="str">
            <v>ESP</v>
          </cell>
          <cell r="H129" t="str">
            <v>005</v>
          </cell>
          <cell r="I129" t="str">
            <v>ESPECIFICACION MONTAJE DE COMPRESORES RECIPROCANTES</v>
          </cell>
          <cell r="J129">
            <v>39198</v>
          </cell>
          <cell r="K129">
            <v>39213</v>
          </cell>
          <cell r="L129">
            <v>39227</v>
          </cell>
          <cell r="M129">
            <v>39241</v>
          </cell>
          <cell r="N129">
            <v>39255</v>
          </cell>
          <cell r="O129">
            <v>39476</v>
          </cell>
          <cell r="P129">
            <v>60.9</v>
          </cell>
          <cell r="Q129" t="str">
            <v>P</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0.5</v>
          </cell>
          <cell r="AJ129">
            <v>0.5</v>
          </cell>
          <cell r="AK129">
            <v>0.7</v>
          </cell>
          <cell r="AL129">
            <v>0.7</v>
          </cell>
          <cell r="AM129">
            <v>0.7</v>
          </cell>
          <cell r="AN129">
            <v>0.7</v>
          </cell>
          <cell r="AO129">
            <v>0.95</v>
          </cell>
          <cell r="AP129">
            <v>0.95</v>
          </cell>
          <cell r="AQ129">
            <v>0.95</v>
          </cell>
          <cell r="AR129">
            <v>0.95</v>
          </cell>
          <cell r="AS129">
            <v>0.95</v>
          </cell>
          <cell r="AT129">
            <v>0.95</v>
          </cell>
          <cell r="AU129">
            <v>0.95</v>
          </cell>
          <cell r="AV129">
            <v>0.95</v>
          </cell>
          <cell r="AW129">
            <v>0.95</v>
          </cell>
          <cell r="AX129">
            <v>0.95</v>
          </cell>
          <cell r="AY129">
            <v>0.95</v>
          </cell>
          <cell r="AZ129">
            <v>0.95</v>
          </cell>
          <cell r="BA129">
            <v>0.95</v>
          </cell>
          <cell r="BB129">
            <v>0.95</v>
          </cell>
          <cell r="BC129">
            <v>0.95</v>
          </cell>
          <cell r="BD129">
            <v>0.95</v>
          </cell>
          <cell r="BE129">
            <v>0.95</v>
          </cell>
          <cell r="BF129">
            <v>0.95</v>
          </cell>
          <cell r="BG129">
            <v>0.95</v>
          </cell>
          <cell r="BH129">
            <v>0.95</v>
          </cell>
          <cell r="BI129">
            <v>0.95</v>
          </cell>
          <cell r="BJ129">
            <v>0.95</v>
          </cell>
          <cell r="BK129">
            <v>0.95</v>
          </cell>
          <cell r="BL129">
            <v>0.95</v>
          </cell>
          <cell r="BM129">
            <v>0.95</v>
          </cell>
          <cell r="BN129">
            <v>0.95</v>
          </cell>
          <cell r="BO129">
            <v>0.95</v>
          </cell>
          <cell r="BP129">
            <v>0.95</v>
          </cell>
          <cell r="BQ129">
            <v>0.95</v>
          </cell>
          <cell r="BR129">
            <v>0.95</v>
          </cell>
          <cell r="BS129">
            <v>0.95</v>
          </cell>
          <cell r="BT129">
            <v>1</v>
          </cell>
          <cell r="BU129">
            <v>1</v>
          </cell>
          <cell r="BV129">
            <v>1</v>
          </cell>
          <cell r="BW129">
            <v>1</v>
          </cell>
          <cell r="BX129">
            <v>1</v>
          </cell>
          <cell r="BY129">
            <v>1</v>
          </cell>
          <cell r="BZ129">
            <v>1</v>
          </cell>
          <cell r="CA129">
            <v>1</v>
          </cell>
          <cell r="CB129">
            <v>1</v>
          </cell>
          <cell r="CC129">
            <v>1</v>
          </cell>
          <cell r="CD129">
            <v>1</v>
          </cell>
          <cell r="CE129">
            <v>1</v>
          </cell>
          <cell r="CF129">
            <v>1</v>
          </cell>
          <cell r="CG129">
            <v>1</v>
          </cell>
          <cell r="CH129">
            <v>1</v>
          </cell>
          <cell r="CI129">
            <v>1</v>
          </cell>
          <cell r="CJ129">
            <v>1</v>
          </cell>
          <cell r="CK129">
            <v>1</v>
          </cell>
        </row>
        <row r="130">
          <cell r="J130">
            <v>39198</v>
          </cell>
          <cell r="K130">
            <v>39430</v>
          </cell>
          <cell r="L130">
            <v>39507</v>
          </cell>
          <cell r="M130">
            <v>39511</v>
          </cell>
          <cell r="N130">
            <v>39525</v>
          </cell>
          <cell r="O130">
            <v>39642</v>
          </cell>
          <cell r="Q130" t="str">
            <v>R</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0.5</v>
          </cell>
          <cell r="BO130">
            <v>0.5</v>
          </cell>
          <cell r="BP130">
            <v>0.5</v>
          </cell>
          <cell r="BQ130">
            <v>0.5</v>
          </cell>
          <cell r="BR130">
            <v>0.5</v>
          </cell>
          <cell r="BS130">
            <v>0.5</v>
          </cell>
          <cell r="BT130">
            <v>0.5</v>
          </cell>
          <cell r="BU130">
            <v>0.5</v>
          </cell>
          <cell r="BV130">
            <v>0.5</v>
          </cell>
          <cell r="BW130">
            <v>0.5</v>
          </cell>
          <cell r="BX130">
            <v>0.5</v>
          </cell>
          <cell r="BY130">
            <v>0.7</v>
          </cell>
          <cell r="BZ130">
            <v>0.7</v>
          </cell>
          <cell r="CA130">
            <v>0.95</v>
          </cell>
          <cell r="CB130">
            <v>0.95</v>
          </cell>
          <cell r="CC130">
            <v>0.95</v>
          </cell>
          <cell r="CD130">
            <v>0.95</v>
          </cell>
          <cell r="CE130">
            <v>0.95</v>
          </cell>
          <cell r="CF130">
            <v>0.95</v>
          </cell>
          <cell r="CG130">
            <v>0.95</v>
          </cell>
          <cell r="CH130">
            <v>0.95</v>
          </cell>
          <cell r="CI130">
            <v>0.95</v>
          </cell>
          <cell r="CJ130">
            <v>0.95</v>
          </cell>
          <cell r="CK130">
            <v>0.95</v>
          </cell>
        </row>
        <row r="131">
          <cell r="Q131" t="str">
            <v>E</v>
          </cell>
          <cell r="AA131">
            <v>0.1</v>
          </cell>
          <cell r="AB131">
            <v>0.1</v>
          </cell>
          <cell r="AC131">
            <v>0.1</v>
          </cell>
          <cell r="AD131">
            <v>0.1</v>
          </cell>
          <cell r="AE131">
            <v>0.1</v>
          </cell>
          <cell r="AF131">
            <v>0.1</v>
          </cell>
          <cell r="AG131">
            <v>0.1</v>
          </cell>
          <cell r="AH131">
            <v>0.1</v>
          </cell>
          <cell r="AI131">
            <v>0.1</v>
          </cell>
          <cell r="AJ131">
            <v>0.1</v>
          </cell>
          <cell r="AK131">
            <v>0.1</v>
          </cell>
          <cell r="AL131">
            <v>0.1</v>
          </cell>
          <cell r="AM131">
            <v>0.1</v>
          </cell>
          <cell r="AN131">
            <v>0.1</v>
          </cell>
          <cell r="AO131">
            <v>0.1</v>
          </cell>
          <cell r="AP131">
            <v>0.1</v>
          </cell>
          <cell r="AQ131">
            <v>0.1</v>
          </cell>
          <cell r="AR131">
            <v>0.1</v>
          </cell>
          <cell r="AS131">
            <v>0.1</v>
          </cell>
          <cell r="AT131">
            <v>0.1</v>
          </cell>
          <cell r="AU131">
            <v>0.1</v>
          </cell>
          <cell r="AV131">
            <v>0.1</v>
          </cell>
          <cell r="AW131">
            <v>0.1</v>
          </cell>
          <cell r="AX131">
            <v>0.1</v>
          </cell>
          <cell r="AY131">
            <v>0.1</v>
          </cell>
          <cell r="AZ131">
            <v>0.1</v>
          </cell>
          <cell r="BA131">
            <v>0.1</v>
          </cell>
          <cell r="BB131">
            <v>0.1</v>
          </cell>
          <cell r="BC131">
            <v>0.1</v>
          </cell>
          <cell r="BD131">
            <v>0.1</v>
          </cell>
          <cell r="BE131">
            <v>0.1</v>
          </cell>
          <cell r="BF131">
            <v>0.95</v>
          </cell>
          <cell r="BG131">
            <v>0.95</v>
          </cell>
          <cell r="BH131">
            <v>0.95</v>
          </cell>
          <cell r="BI131">
            <v>0.5</v>
          </cell>
          <cell r="BJ131">
            <v>0.5</v>
          </cell>
          <cell r="BK131">
            <v>0.5</v>
          </cell>
          <cell r="BL131">
            <v>0.5</v>
          </cell>
          <cell r="BM131">
            <v>0.5</v>
          </cell>
          <cell r="BN131">
            <v>0.5</v>
          </cell>
          <cell r="BO131">
            <v>0.5</v>
          </cell>
          <cell r="BP131">
            <v>0.5</v>
          </cell>
          <cell r="BQ131">
            <v>0.5</v>
          </cell>
          <cell r="BR131">
            <v>0.7</v>
          </cell>
          <cell r="BS131">
            <v>0.7</v>
          </cell>
          <cell r="BT131">
            <v>0.7</v>
          </cell>
          <cell r="BU131">
            <v>0.7</v>
          </cell>
          <cell r="BV131">
            <v>0.7</v>
          </cell>
          <cell r="BW131">
            <v>0.95</v>
          </cell>
          <cell r="BX131">
            <v>0.95</v>
          </cell>
          <cell r="BY131">
            <v>0.95</v>
          </cell>
          <cell r="BZ131">
            <v>0.95</v>
          </cell>
          <cell r="CA131">
            <v>0.95</v>
          </cell>
          <cell r="CB131">
            <v>0.95</v>
          </cell>
          <cell r="CC131">
            <v>0.95</v>
          </cell>
          <cell r="CD131">
            <v>0</v>
          </cell>
          <cell r="CE131">
            <v>0</v>
          </cell>
          <cell r="CF131">
            <v>0</v>
          </cell>
          <cell r="CG131">
            <v>0</v>
          </cell>
          <cell r="CH131">
            <v>0</v>
          </cell>
          <cell r="CI131">
            <v>0</v>
          </cell>
          <cell r="CJ131">
            <v>0</v>
          </cell>
          <cell r="CK131">
            <v>0</v>
          </cell>
        </row>
        <row r="132">
          <cell r="D132" t="str">
            <v>01</v>
          </cell>
          <cell r="E132" t="str">
            <v>46</v>
          </cell>
          <cell r="F132" t="str">
            <v>M04</v>
          </cell>
          <cell r="G132" t="str">
            <v>REQ</v>
          </cell>
          <cell r="H132" t="str">
            <v>1220-01</v>
          </cell>
          <cell r="I132" t="str">
            <v>REQUISICION DEL COMPRESOR C-4109</v>
          </cell>
          <cell r="J132">
            <v>39198</v>
          </cell>
          <cell r="K132">
            <v>39213</v>
          </cell>
          <cell r="L132">
            <v>39227</v>
          </cell>
          <cell r="M132">
            <v>39241</v>
          </cell>
          <cell r="N132">
            <v>39255</v>
          </cell>
          <cell r="O132">
            <v>39476</v>
          </cell>
          <cell r="P132">
            <v>43.5</v>
          </cell>
          <cell r="Q132" t="str">
            <v>P</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0.5</v>
          </cell>
          <cell r="AJ132">
            <v>0.5</v>
          </cell>
          <cell r="AK132">
            <v>0.7</v>
          </cell>
          <cell r="AL132">
            <v>0.7</v>
          </cell>
          <cell r="AM132">
            <v>0.7</v>
          </cell>
          <cell r="AN132">
            <v>0.7</v>
          </cell>
          <cell r="AO132">
            <v>0.95</v>
          </cell>
          <cell r="AP132">
            <v>0.95</v>
          </cell>
          <cell r="AQ132">
            <v>0.95</v>
          </cell>
          <cell r="AR132">
            <v>0.95</v>
          </cell>
          <cell r="AS132">
            <v>0.95</v>
          </cell>
          <cell r="AT132">
            <v>0.95</v>
          </cell>
          <cell r="AU132">
            <v>0.95</v>
          </cell>
          <cell r="AV132">
            <v>0.95</v>
          </cell>
          <cell r="AW132">
            <v>0.95</v>
          </cell>
          <cell r="AX132">
            <v>0.95</v>
          </cell>
          <cell r="AY132">
            <v>0.95</v>
          </cell>
          <cell r="AZ132">
            <v>0.95</v>
          </cell>
          <cell r="BA132">
            <v>0.95</v>
          </cell>
          <cell r="BB132">
            <v>0.95</v>
          </cell>
          <cell r="BC132">
            <v>0.95</v>
          </cell>
          <cell r="BD132">
            <v>0.95</v>
          </cell>
          <cell r="BE132">
            <v>0.95</v>
          </cell>
          <cell r="BF132">
            <v>0.95</v>
          </cell>
          <cell r="BG132">
            <v>0.95</v>
          </cell>
          <cell r="BH132">
            <v>0.95</v>
          </cell>
          <cell r="BI132">
            <v>0.95</v>
          </cell>
          <cell r="BJ132">
            <v>0.95</v>
          </cell>
          <cell r="BK132">
            <v>0.95</v>
          </cell>
          <cell r="BL132">
            <v>0.95</v>
          </cell>
          <cell r="BM132">
            <v>0.95</v>
          </cell>
          <cell r="BN132">
            <v>0.95</v>
          </cell>
          <cell r="BO132">
            <v>0.95</v>
          </cell>
          <cell r="BP132">
            <v>0.95</v>
          </cell>
          <cell r="BQ132">
            <v>0.95</v>
          </cell>
          <cell r="BR132">
            <v>0.95</v>
          </cell>
          <cell r="BS132">
            <v>0.95</v>
          </cell>
          <cell r="BT132">
            <v>1</v>
          </cell>
          <cell r="BU132">
            <v>1</v>
          </cell>
          <cell r="BV132">
            <v>1</v>
          </cell>
          <cell r="BW132">
            <v>1</v>
          </cell>
          <cell r="BX132">
            <v>1</v>
          </cell>
          <cell r="BY132">
            <v>1</v>
          </cell>
          <cell r="BZ132">
            <v>1</v>
          </cell>
          <cell r="CA132">
            <v>1</v>
          </cell>
          <cell r="CB132">
            <v>1</v>
          </cell>
          <cell r="CC132">
            <v>1</v>
          </cell>
          <cell r="CD132">
            <v>1</v>
          </cell>
          <cell r="CE132">
            <v>1</v>
          </cell>
          <cell r="CF132">
            <v>1</v>
          </cell>
          <cell r="CG132">
            <v>1</v>
          </cell>
          <cell r="CH132">
            <v>1</v>
          </cell>
          <cell r="CI132">
            <v>1</v>
          </cell>
          <cell r="CJ132">
            <v>1</v>
          </cell>
          <cell r="CK132">
            <v>1</v>
          </cell>
        </row>
        <row r="133">
          <cell r="J133">
            <v>39198</v>
          </cell>
          <cell r="K133">
            <v>39220</v>
          </cell>
          <cell r="L133">
            <v>39394</v>
          </cell>
          <cell r="M133">
            <v>39512</v>
          </cell>
          <cell r="N133">
            <v>39553</v>
          </cell>
          <cell r="O133">
            <v>39642</v>
          </cell>
          <cell r="Q133" t="str">
            <v>R</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0.5</v>
          </cell>
          <cell r="AK133">
            <v>0.5</v>
          </cell>
          <cell r="AL133">
            <v>0.5</v>
          </cell>
          <cell r="AM133">
            <v>0.5</v>
          </cell>
          <cell r="AN133">
            <v>0.5</v>
          </cell>
          <cell r="AO133">
            <v>0.5</v>
          </cell>
          <cell r="AP133">
            <v>0.5</v>
          </cell>
          <cell r="AQ133">
            <v>0.5</v>
          </cell>
          <cell r="AR133">
            <v>0.5</v>
          </cell>
          <cell r="AS133">
            <v>0.5</v>
          </cell>
          <cell r="AT133">
            <v>0.5</v>
          </cell>
          <cell r="AU133">
            <v>0.5</v>
          </cell>
          <cell r="AV133">
            <v>0.5</v>
          </cell>
          <cell r="AW133">
            <v>0.5</v>
          </cell>
          <cell r="AX133">
            <v>0.5</v>
          </cell>
          <cell r="AY133">
            <v>0.5</v>
          </cell>
          <cell r="AZ133">
            <v>0.5</v>
          </cell>
          <cell r="BA133">
            <v>0.5</v>
          </cell>
          <cell r="BB133">
            <v>0.5</v>
          </cell>
          <cell r="BC133">
            <v>0.5</v>
          </cell>
          <cell r="BD133">
            <v>0.5</v>
          </cell>
          <cell r="BE133">
            <v>0.5</v>
          </cell>
          <cell r="BF133">
            <v>0.5</v>
          </cell>
          <cell r="BG133">
            <v>0.5</v>
          </cell>
          <cell r="BH133">
            <v>0.7</v>
          </cell>
          <cell r="BI133">
            <v>0.7</v>
          </cell>
          <cell r="BJ133">
            <v>0.7</v>
          </cell>
          <cell r="BK133">
            <v>0.7</v>
          </cell>
          <cell r="BL133">
            <v>0.7</v>
          </cell>
          <cell r="BM133">
            <v>0.7</v>
          </cell>
          <cell r="BN133">
            <v>0.7</v>
          </cell>
          <cell r="BO133">
            <v>0.7</v>
          </cell>
          <cell r="BP133">
            <v>0.7</v>
          </cell>
          <cell r="BQ133">
            <v>0.7</v>
          </cell>
          <cell r="BR133">
            <v>0.7</v>
          </cell>
          <cell r="BS133">
            <v>0.7</v>
          </cell>
          <cell r="BT133">
            <v>0.7</v>
          </cell>
          <cell r="BU133">
            <v>0.7</v>
          </cell>
          <cell r="BV133">
            <v>0.7</v>
          </cell>
          <cell r="BW133">
            <v>0.7</v>
          </cell>
          <cell r="BX133">
            <v>0.7</v>
          </cell>
          <cell r="BY133">
            <v>0.7</v>
          </cell>
          <cell r="BZ133">
            <v>0.7</v>
          </cell>
          <cell r="CA133">
            <v>0.7</v>
          </cell>
          <cell r="CB133">
            <v>0.7</v>
          </cell>
          <cell r="CC133">
            <v>0.7</v>
          </cell>
          <cell r="CD133">
            <v>0.7</v>
          </cell>
          <cell r="CE133">
            <v>0.95</v>
          </cell>
          <cell r="CF133">
            <v>0.95</v>
          </cell>
          <cell r="CG133">
            <v>0.95</v>
          </cell>
          <cell r="CH133">
            <v>0.95</v>
          </cell>
          <cell r="CI133">
            <v>0.95</v>
          </cell>
          <cell r="CJ133">
            <v>0.95</v>
          </cell>
          <cell r="CK133">
            <v>0.95</v>
          </cell>
        </row>
        <row r="134">
          <cell r="Q134" t="str">
            <v>E</v>
          </cell>
          <cell r="AF134">
            <v>0.25</v>
          </cell>
          <cell r="AG134">
            <v>0.25</v>
          </cell>
          <cell r="AH134">
            <v>0.45</v>
          </cell>
          <cell r="AI134">
            <v>0.5</v>
          </cell>
          <cell r="AJ134">
            <v>0.5</v>
          </cell>
          <cell r="AK134">
            <v>0.5</v>
          </cell>
          <cell r="AL134">
            <v>0.5</v>
          </cell>
          <cell r="AM134">
            <v>0.5</v>
          </cell>
          <cell r="AN134">
            <v>0.5</v>
          </cell>
          <cell r="AO134">
            <v>0.5</v>
          </cell>
          <cell r="AP134">
            <v>0.5</v>
          </cell>
          <cell r="AQ134">
            <v>0.5</v>
          </cell>
          <cell r="AR134">
            <v>0.5</v>
          </cell>
          <cell r="AS134">
            <v>0.5</v>
          </cell>
          <cell r="AT134">
            <v>0.5</v>
          </cell>
          <cell r="AU134">
            <v>0.5</v>
          </cell>
          <cell r="AV134">
            <v>0.5</v>
          </cell>
          <cell r="AW134">
            <v>0.5</v>
          </cell>
          <cell r="AX134">
            <v>0.5</v>
          </cell>
          <cell r="AY134">
            <v>0.5</v>
          </cell>
          <cell r="AZ134">
            <v>0.5</v>
          </cell>
          <cell r="BA134">
            <v>0.5</v>
          </cell>
          <cell r="BB134">
            <v>0.5</v>
          </cell>
          <cell r="BC134">
            <v>0.5</v>
          </cell>
          <cell r="BD134">
            <v>0.5</v>
          </cell>
          <cell r="BE134">
            <v>0.5</v>
          </cell>
          <cell r="BF134">
            <v>0.95</v>
          </cell>
          <cell r="BG134">
            <v>0.95</v>
          </cell>
          <cell r="BH134">
            <v>0.95</v>
          </cell>
          <cell r="BI134">
            <v>0.5</v>
          </cell>
          <cell r="BJ134">
            <v>0.7</v>
          </cell>
          <cell r="BK134">
            <v>0.7</v>
          </cell>
          <cell r="BL134">
            <v>0.7</v>
          </cell>
          <cell r="BM134">
            <v>0.7</v>
          </cell>
          <cell r="BN134">
            <v>0.7</v>
          </cell>
          <cell r="BO134">
            <v>0.7</v>
          </cell>
          <cell r="BP134">
            <v>0.7</v>
          </cell>
          <cell r="BQ134">
            <v>0.7</v>
          </cell>
          <cell r="BR134">
            <v>0.7</v>
          </cell>
          <cell r="BS134">
            <v>0.7</v>
          </cell>
          <cell r="BT134">
            <v>0.7</v>
          </cell>
          <cell r="BU134">
            <v>0.7</v>
          </cell>
          <cell r="BV134">
            <v>0.7</v>
          </cell>
          <cell r="BW134">
            <v>0.7</v>
          </cell>
          <cell r="BX134">
            <v>0.7</v>
          </cell>
          <cell r="BY134">
            <v>0.7</v>
          </cell>
          <cell r="BZ134">
            <v>0.7</v>
          </cell>
          <cell r="CA134">
            <v>0.7</v>
          </cell>
          <cell r="CB134">
            <v>0.7</v>
          </cell>
          <cell r="CC134">
            <v>0.7</v>
          </cell>
          <cell r="CD134">
            <v>0</v>
          </cell>
          <cell r="CE134">
            <v>0</v>
          </cell>
          <cell r="CF134">
            <v>0</v>
          </cell>
          <cell r="CG134">
            <v>0</v>
          </cell>
          <cell r="CH134">
            <v>0</v>
          </cell>
          <cell r="CI134">
            <v>0</v>
          </cell>
          <cell r="CJ134">
            <v>0</v>
          </cell>
          <cell r="CK134">
            <v>0</v>
          </cell>
        </row>
        <row r="135">
          <cell r="D135" t="str">
            <v>01</v>
          </cell>
          <cell r="E135" t="str">
            <v>46</v>
          </cell>
          <cell r="F135" t="str">
            <v>M01</v>
          </cell>
          <cell r="G135" t="str">
            <v>TEC</v>
          </cell>
          <cell r="H135" t="str">
            <v>010</v>
          </cell>
          <cell r="I135" t="str">
            <v>FILOSOFIA DE MANTENIMIENTO Y CONFIABILIDAD DE LOS EQUIPOS DE LA TORRE DE ENFRIAMENTO</v>
          </cell>
          <cell r="J135">
            <v>39195</v>
          </cell>
          <cell r="K135">
            <v>39212</v>
          </cell>
          <cell r="L135">
            <v>39226</v>
          </cell>
          <cell r="M135">
            <v>39241</v>
          </cell>
          <cell r="N135">
            <v>39255</v>
          </cell>
          <cell r="O135">
            <v>39476</v>
          </cell>
          <cell r="P135">
            <v>29</v>
          </cell>
          <cell r="Q135" t="str">
            <v>P</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0.5</v>
          </cell>
          <cell r="AI135">
            <v>0.5</v>
          </cell>
          <cell r="AJ135">
            <v>0.7</v>
          </cell>
          <cell r="AK135">
            <v>0.7</v>
          </cell>
          <cell r="AL135">
            <v>0.7</v>
          </cell>
          <cell r="AM135">
            <v>0.7</v>
          </cell>
          <cell r="AN135">
            <v>0.7</v>
          </cell>
          <cell r="AO135">
            <v>0.95</v>
          </cell>
          <cell r="AP135">
            <v>0.95</v>
          </cell>
          <cell r="AQ135">
            <v>0.95</v>
          </cell>
          <cell r="AR135">
            <v>0.95</v>
          </cell>
          <cell r="AS135">
            <v>0.95</v>
          </cell>
          <cell r="AT135">
            <v>0.95</v>
          </cell>
          <cell r="AU135">
            <v>0.95</v>
          </cell>
          <cell r="AV135">
            <v>0.95</v>
          </cell>
          <cell r="AW135">
            <v>0.95</v>
          </cell>
          <cell r="AX135">
            <v>0.95</v>
          </cell>
          <cell r="AY135">
            <v>0.95</v>
          </cell>
          <cell r="AZ135">
            <v>0.95</v>
          </cell>
          <cell r="BA135">
            <v>0.95</v>
          </cell>
          <cell r="BB135">
            <v>0.95</v>
          </cell>
          <cell r="BC135">
            <v>0.95</v>
          </cell>
          <cell r="BD135">
            <v>0.95</v>
          </cell>
          <cell r="BE135">
            <v>0.95</v>
          </cell>
          <cell r="BF135">
            <v>0.95</v>
          </cell>
          <cell r="BG135">
            <v>0.95</v>
          </cell>
          <cell r="BH135">
            <v>0.95</v>
          </cell>
          <cell r="BI135">
            <v>0.95</v>
          </cell>
          <cell r="BJ135">
            <v>0.95</v>
          </cell>
          <cell r="BK135">
            <v>0.95</v>
          </cell>
          <cell r="BL135">
            <v>0.95</v>
          </cell>
          <cell r="BM135">
            <v>0.95</v>
          </cell>
          <cell r="BN135">
            <v>0.95</v>
          </cell>
          <cell r="BO135">
            <v>0.95</v>
          </cell>
          <cell r="BP135">
            <v>0.95</v>
          </cell>
          <cell r="BQ135">
            <v>0.95</v>
          </cell>
          <cell r="BR135">
            <v>0.95</v>
          </cell>
          <cell r="BS135">
            <v>0.95</v>
          </cell>
          <cell r="BT135">
            <v>1</v>
          </cell>
          <cell r="BU135">
            <v>1</v>
          </cell>
          <cell r="BV135">
            <v>1</v>
          </cell>
          <cell r="BW135">
            <v>1</v>
          </cell>
          <cell r="BX135">
            <v>1</v>
          </cell>
          <cell r="BY135">
            <v>1</v>
          </cell>
          <cell r="BZ135">
            <v>1</v>
          </cell>
          <cell r="CA135">
            <v>1</v>
          </cell>
          <cell r="CB135">
            <v>1</v>
          </cell>
          <cell r="CC135">
            <v>1</v>
          </cell>
          <cell r="CD135">
            <v>1</v>
          </cell>
          <cell r="CE135">
            <v>1</v>
          </cell>
          <cell r="CF135">
            <v>1</v>
          </cell>
          <cell r="CG135">
            <v>1</v>
          </cell>
          <cell r="CH135">
            <v>1</v>
          </cell>
          <cell r="CI135">
            <v>1</v>
          </cell>
          <cell r="CJ135">
            <v>1</v>
          </cell>
          <cell r="CK135">
            <v>1</v>
          </cell>
        </row>
        <row r="136">
          <cell r="J136">
            <v>39401</v>
          </cell>
          <cell r="K136">
            <v>39430</v>
          </cell>
          <cell r="L136">
            <v>39477</v>
          </cell>
          <cell r="M136">
            <v>39492</v>
          </cell>
          <cell r="N136">
            <v>39506</v>
          </cell>
          <cell r="O136">
            <v>39642</v>
          </cell>
          <cell r="Q136" t="str">
            <v>R</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0.5</v>
          </cell>
          <cell r="BO136">
            <v>0.5</v>
          </cell>
          <cell r="BP136">
            <v>0.5</v>
          </cell>
          <cell r="BQ136">
            <v>0.5</v>
          </cell>
          <cell r="BR136">
            <v>0.5</v>
          </cell>
          <cell r="BS136">
            <v>0.5</v>
          </cell>
          <cell r="BT136">
            <v>0.7</v>
          </cell>
          <cell r="BU136">
            <v>0.7</v>
          </cell>
          <cell r="BV136">
            <v>0.7</v>
          </cell>
          <cell r="BW136">
            <v>0.7</v>
          </cell>
          <cell r="BX136">
            <v>0.95</v>
          </cell>
          <cell r="BY136">
            <v>0.95</v>
          </cell>
          <cell r="BZ136">
            <v>0.95</v>
          </cell>
          <cell r="CA136">
            <v>0.95</v>
          </cell>
          <cell r="CB136">
            <v>0.95</v>
          </cell>
          <cell r="CC136">
            <v>0.95</v>
          </cell>
          <cell r="CD136">
            <v>0.95</v>
          </cell>
          <cell r="CE136">
            <v>0.95</v>
          </cell>
          <cell r="CF136">
            <v>0.95</v>
          </cell>
          <cell r="CG136">
            <v>0.95</v>
          </cell>
          <cell r="CH136">
            <v>0.95</v>
          </cell>
          <cell r="CI136">
            <v>0.95</v>
          </cell>
          <cell r="CJ136">
            <v>0.95</v>
          </cell>
          <cell r="CK136">
            <v>0.95</v>
          </cell>
        </row>
        <row r="137">
          <cell r="Q137" t="str">
            <v>E</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row>
        <row r="138">
          <cell r="E138">
            <v>46</v>
          </cell>
          <cell r="I138" t="str">
            <v xml:space="preserve">Revisión Planos del Fabricante Compresor         </v>
          </cell>
          <cell r="Q138" t="str">
            <v>P</v>
          </cell>
        </row>
        <row r="139">
          <cell r="D139" t="str">
            <v>01</v>
          </cell>
          <cell r="E139" t="str">
            <v>46</v>
          </cell>
          <cell r="F139" t="str">
            <v>M01</v>
          </cell>
          <cell r="G139" t="str">
            <v>COF</v>
          </cell>
          <cell r="H139" t="str">
            <v>001</v>
          </cell>
          <cell r="I139" t="str">
            <v>EVALUACION TECNICA DEL   COMPRESOR C-4109</v>
          </cell>
          <cell r="J139">
            <v>39237</v>
          </cell>
          <cell r="K139">
            <v>39257</v>
          </cell>
          <cell r="L139">
            <v>39271</v>
          </cell>
          <cell r="M139">
            <v>39278</v>
          </cell>
          <cell r="N139">
            <v>39292</v>
          </cell>
          <cell r="O139">
            <v>39476</v>
          </cell>
          <cell r="P139">
            <v>508.34311336215751</v>
          </cell>
          <cell r="Q139" t="str">
            <v>P</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0.5</v>
          </cell>
          <cell r="AP139">
            <v>0.5</v>
          </cell>
          <cell r="AQ139">
            <v>0.7</v>
          </cell>
          <cell r="AR139">
            <v>0.7</v>
          </cell>
          <cell r="AS139">
            <v>0.7</v>
          </cell>
          <cell r="AT139">
            <v>0.95</v>
          </cell>
          <cell r="AU139">
            <v>0.95</v>
          </cell>
          <cell r="AV139">
            <v>0.95</v>
          </cell>
          <cell r="AW139">
            <v>0.95</v>
          </cell>
          <cell r="AX139">
            <v>0.95</v>
          </cell>
          <cell r="AY139">
            <v>0.95</v>
          </cell>
          <cell r="AZ139">
            <v>0.95</v>
          </cell>
          <cell r="BA139">
            <v>0.95</v>
          </cell>
          <cell r="BB139">
            <v>0.95</v>
          </cell>
          <cell r="BC139">
            <v>0.95</v>
          </cell>
          <cell r="BD139">
            <v>0.95</v>
          </cell>
          <cell r="BE139">
            <v>0.95</v>
          </cell>
          <cell r="BF139">
            <v>0.95</v>
          </cell>
          <cell r="BG139">
            <v>0.95</v>
          </cell>
          <cell r="BH139">
            <v>0.95</v>
          </cell>
          <cell r="BI139">
            <v>0.95</v>
          </cell>
          <cell r="BJ139">
            <v>0.95</v>
          </cell>
          <cell r="BK139">
            <v>0.95</v>
          </cell>
          <cell r="BL139">
            <v>0.95</v>
          </cell>
          <cell r="BM139">
            <v>0.95</v>
          </cell>
          <cell r="BN139">
            <v>0.95</v>
          </cell>
          <cell r="BO139">
            <v>0.95</v>
          </cell>
          <cell r="BP139">
            <v>0.95</v>
          </cell>
          <cell r="BQ139">
            <v>0.95</v>
          </cell>
          <cell r="BR139">
            <v>0.95</v>
          </cell>
          <cell r="BS139">
            <v>0.95</v>
          </cell>
          <cell r="BT139">
            <v>1</v>
          </cell>
          <cell r="BU139">
            <v>1</v>
          </cell>
          <cell r="BV139">
            <v>1</v>
          </cell>
          <cell r="BW139">
            <v>1</v>
          </cell>
          <cell r="BX139">
            <v>1</v>
          </cell>
          <cell r="BY139">
            <v>1</v>
          </cell>
          <cell r="BZ139">
            <v>1</v>
          </cell>
          <cell r="CA139">
            <v>1</v>
          </cell>
          <cell r="CB139">
            <v>1</v>
          </cell>
          <cell r="CC139">
            <v>1</v>
          </cell>
          <cell r="CD139">
            <v>1</v>
          </cell>
          <cell r="CE139">
            <v>1</v>
          </cell>
          <cell r="CF139">
            <v>1</v>
          </cell>
          <cell r="CG139">
            <v>1</v>
          </cell>
          <cell r="CH139">
            <v>1</v>
          </cell>
          <cell r="CI139">
            <v>1</v>
          </cell>
          <cell r="CJ139">
            <v>1</v>
          </cell>
          <cell r="CK139">
            <v>1</v>
          </cell>
        </row>
        <row r="140">
          <cell r="J140">
            <v>39237</v>
          </cell>
          <cell r="K140">
            <v>39353</v>
          </cell>
          <cell r="L140">
            <v>39358</v>
          </cell>
          <cell r="M140">
            <v>39493</v>
          </cell>
          <cell r="N140">
            <v>39507</v>
          </cell>
          <cell r="O140">
            <v>39642</v>
          </cell>
          <cell r="Q140" t="str">
            <v>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0.7</v>
          </cell>
          <cell r="BD140">
            <v>0.7</v>
          </cell>
          <cell r="BE140">
            <v>0.7</v>
          </cell>
          <cell r="BF140">
            <v>0.7</v>
          </cell>
          <cell r="BG140">
            <v>0.7</v>
          </cell>
          <cell r="BH140">
            <v>0.7</v>
          </cell>
          <cell r="BI140">
            <v>0.7</v>
          </cell>
          <cell r="BJ140">
            <v>0.7</v>
          </cell>
          <cell r="BK140">
            <v>0.7</v>
          </cell>
          <cell r="BL140">
            <v>0.7</v>
          </cell>
          <cell r="BM140">
            <v>0.7</v>
          </cell>
          <cell r="BN140">
            <v>0.7</v>
          </cell>
          <cell r="BO140">
            <v>0.7</v>
          </cell>
          <cell r="BP140">
            <v>0.7</v>
          </cell>
          <cell r="BQ140">
            <v>0.7</v>
          </cell>
          <cell r="BR140">
            <v>0.7</v>
          </cell>
          <cell r="BS140">
            <v>0.7</v>
          </cell>
          <cell r="BT140">
            <v>0.7</v>
          </cell>
          <cell r="BU140">
            <v>0.7</v>
          </cell>
          <cell r="BV140">
            <v>0.7</v>
          </cell>
          <cell r="BW140">
            <v>0.7</v>
          </cell>
          <cell r="BX140">
            <v>0.7</v>
          </cell>
          <cell r="BY140">
            <v>0.95</v>
          </cell>
          <cell r="BZ140">
            <v>0.95</v>
          </cell>
          <cell r="CA140">
            <v>0.95</v>
          </cell>
          <cell r="CB140">
            <v>0.95</v>
          </cell>
          <cell r="CC140">
            <v>0.95</v>
          </cell>
          <cell r="CD140">
            <v>0.95</v>
          </cell>
          <cell r="CE140">
            <v>0.95</v>
          </cell>
          <cell r="CF140">
            <v>0.95</v>
          </cell>
          <cell r="CG140">
            <v>0.95</v>
          </cell>
          <cell r="CH140">
            <v>0.95</v>
          </cell>
          <cell r="CI140">
            <v>0.95</v>
          </cell>
          <cell r="CJ140">
            <v>0.95</v>
          </cell>
          <cell r="CK140">
            <v>0.95</v>
          </cell>
        </row>
        <row r="141">
          <cell r="Q141" t="str">
            <v>E</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0.7</v>
          </cell>
          <cell r="BF141">
            <v>0.7</v>
          </cell>
          <cell r="BG141">
            <v>0.7</v>
          </cell>
          <cell r="BH141">
            <v>0.7</v>
          </cell>
          <cell r="BI141">
            <v>0.7</v>
          </cell>
          <cell r="BJ141">
            <v>0.7</v>
          </cell>
          <cell r="BK141">
            <v>0.7</v>
          </cell>
          <cell r="BL141">
            <v>0.7</v>
          </cell>
          <cell r="BM141">
            <v>0.7</v>
          </cell>
          <cell r="BN141">
            <v>0.7</v>
          </cell>
          <cell r="BO141">
            <v>0.7</v>
          </cell>
          <cell r="BP141">
            <v>0.7</v>
          </cell>
          <cell r="BQ141">
            <v>0.7</v>
          </cell>
          <cell r="BR141">
            <v>0.7</v>
          </cell>
          <cell r="BS141">
            <v>0.7</v>
          </cell>
          <cell r="BT141">
            <v>0.7</v>
          </cell>
          <cell r="BU141">
            <v>0.7</v>
          </cell>
          <cell r="BV141">
            <v>0.7</v>
          </cell>
          <cell r="BW141">
            <v>0.95</v>
          </cell>
          <cell r="BX141">
            <v>0.95</v>
          </cell>
          <cell r="BY141">
            <v>0.95</v>
          </cell>
          <cell r="BZ141">
            <v>0.95</v>
          </cell>
          <cell r="CA141">
            <v>0.95</v>
          </cell>
          <cell r="CB141">
            <v>0.95</v>
          </cell>
          <cell r="CC141">
            <v>0.95</v>
          </cell>
          <cell r="CD141">
            <v>0</v>
          </cell>
          <cell r="CE141">
            <v>0</v>
          </cell>
          <cell r="CF141">
            <v>0</v>
          </cell>
          <cell r="CG141">
            <v>0</v>
          </cell>
          <cell r="CH141">
            <v>0</v>
          </cell>
          <cell r="CI141">
            <v>0</v>
          </cell>
          <cell r="CJ141">
            <v>0</v>
          </cell>
          <cell r="CK141">
            <v>0</v>
          </cell>
        </row>
        <row r="142">
          <cell r="D142" t="str">
            <v>01</v>
          </cell>
          <cell r="E142" t="str">
            <v>46</v>
          </cell>
          <cell r="F142" t="str">
            <v>M05</v>
          </cell>
          <cell r="G142" t="str">
            <v>REQ</v>
          </cell>
          <cell r="H142" t="str">
            <v>2405-01</v>
          </cell>
          <cell r="I142" t="str">
            <v>REQUISICION DEL PUENTE GRUA DEL COMPRESOR C-4109</v>
          </cell>
          <cell r="J142">
            <v>39198</v>
          </cell>
          <cell r="K142">
            <v>39213</v>
          </cell>
          <cell r="L142">
            <v>39227</v>
          </cell>
          <cell r="M142">
            <v>39234</v>
          </cell>
          <cell r="N142">
            <v>39248</v>
          </cell>
          <cell r="O142">
            <v>39476</v>
          </cell>
          <cell r="P142">
            <v>89.743106457242575</v>
          </cell>
          <cell r="Q142" t="str">
            <v>P</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0.5</v>
          </cell>
          <cell r="AJ142">
            <v>0.5</v>
          </cell>
          <cell r="AK142">
            <v>0.7</v>
          </cell>
          <cell r="AL142">
            <v>0.7</v>
          </cell>
          <cell r="AM142">
            <v>0.7</v>
          </cell>
          <cell r="AN142">
            <v>0.95</v>
          </cell>
          <cell r="AO142">
            <v>0.95</v>
          </cell>
          <cell r="AP142">
            <v>0.95</v>
          </cell>
          <cell r="AQ142">
            <v>0.95</v>
          </cell>
          <cell r="AR142">
            <v>0.95</v>
          </cell>
          <cell r="AS142">
            <v>0.95</v>
          </cell>
          <cell r="AT142">
            <v>0.95</v>
          </cell>
          <cell r="AU142">
            <v>0.95</v>
          </cell>
          <cell r="AV142">
            <v>0.95</v>
          </cell>
          <cell r="AW142">
            <v>0.95</v>
          </cell>
          <cell r="AX142">
            <v>0.95</v>
          </cell>
          <cell r="AY142">
            <v>0.95</v>
          </cell>
          <cell r="AZ142">
            <v>0.95</v>
          </cell>
          <cell r="BA142">
            <v>0.95</v>
          </cell>
          <cell r="BB142">
            <v>0.95</v>
          </cell>
          <cell r="BC142">
            <v>0.95</v>
          </cell>
          <cell r="BD142">
            <v>0.95</v>
          </cell>
          <cell r="BE142">
            <v>0.95</v>
          </cell>
          <cell r="BF142">
            <v>0.95</v>
          </cell>
          <cell r="BG142">
            <v>0.95</v>
          </cell>
          <cell r="BH142">
            <v>0.95</v>
          </cell>
          <cell r="BI142">
            <v>0.95</v>
          </cell>
          <cell r="BJ142">
            <v>0.95</v>
          </cell>
          <cell r="BK142">
            <v>0.95</v>
          </cell>
          <cell r="BL142">
            <v>0.95</v>
          </cell>
          <cell r="BM142">
            <v>0.95</v>
          </cell>
          <cell r="BN142">
            <v>0.95</v>
          </cell>
          <cell r="BO142">
            <v>0.95</v>
          </cell>
          <cell r="BP142">
            <v>0.95</v>
          </cell>
          <cell r="BQ142">
            <v>0.95</v>
          </cell>
          <cell r="BR142">
            <v>0.95</v>
          </cell>
          <cell r="BS142">
            <v>0.95</v>
          </cell>
          <cell r="BT142">
            <v>1</v>
          </cell>
          <cell r="BU142">
            <v>1</v>
          </cell>
          <cell r="BV142">
            <v>1</v>
          </cell>
          <cell r="BW142">
            <v>1</v>
          </cell>
          <cell r="BX142">
            <v>1</v>
          </cell>
          <cell r="BY142">
            <v>1</v>
          </cell>
          <cell r="BZ142">
            <v>1</v>
          </cell>
          <cell r="CA142">
            <v>1</v>
          </cell>
          <cell r="CB142">
            <v>1</v>
          </cell>
          <cell r="CC142">
            <v>1</v>
          </cell>
          <cell r="CD142">
            <v>1</v>
          </cell>
          <cell r="CE142">
            <v>1</v>
          </cell>
          <cell r="CF142">
            <v>1</v>
          </cell>
          <cell r="CG142">
            <v>1</v>
          </cell>
          <cell r="CH142">
            <v>1</v>
          </cell>
          <cell r="CI142">
            <v>1</v>
          </cell>
          <cell r="CJ142">
            <v>1</v>
          </cell>
          <cell r="CK142">
            <v>1</v>
          </cell>
        </row>
        <row r="143">
          <cell r="J143">
            <v>39198</v>
          </cell>
          <cell r="K143">
            <v>39310</v>
          </cell>
          <cell r="L143">
            <v>39507</v>
          </cell>
          <cell r="M143">
            <v>39521</v>
          </cell>
          <cell r="N143">
            <v>39535</v>
          </cell>
          <cell r="O143">
            <v>39642</v>
          </cell>
          <cell r="Q143" t="str">
            <v>R</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0.5</v>
          </cell>
          <cell r="AW143">
            <v>0.5</v>
          </cell>
          <cell r="AX143">
            <v>0.5</v>
          </cell>
          <cell r="AY143">
            <v>0.5</v>
          </cell>
          <cell r="AZ143">
            <v>0.5</v>
          </cell>
          <cell r="BA143">
            <v>0.5</v>
          </cell>
          <cell r="BB143">
            <v>0.5</v>
          </cell>
          <cell r="BC143">
            <v>0.5</v>
          </cell>
          <cell r="BD143">
            <v>0.5</v>
          </cell>
          <cell r="BE143">
            <v>0.5</v>
          </cell>
          <cell r="BF143">
            <v>0.5</v>
          </cell>
          <cell r="BG143">
            <v>0.5</v>
          </cell>
          <cell r="BH143">
            <v>0.5</v>
          </cell>
          <cell r="BI143">
            <v>0.5</v>
          </cell>
          <cell r="BJ143">
            <v>0.5</v>
          </cell>
          <cell r="BK143">
            <v>0.5</v>
          </cell>
          <cell r="BL143">
            <v>0.5</v>
          </cell>
          <cell r="BM143">
            <v>0.5</v>
          </cell>
          <cell r="BN143">
            <v>0.5</v>
          </cell>
          <cell r="BO143">
            <v>0.5</v>
          </cell>
          <cell r="BP143">
            <v>0.5</v>
          </cell>
          <cell r="BQ143">
            <v>0.5</v>
          </cell>
          <cell r="BR143">
            <v>0.5</v>
          </cell>
          <cell r="BS143">
            <v>0.5</v>
          </cell>
          <cell r="BT143">
            <v>0.5</v>
          </cell>
          <cell r="BU143">
            <v>0.5</v>
          </cell>
          <cell r="BV143">
            <v>0.5</v>
          </cell>
          <cell r="BW143">
            <v>0.5</v>
          </cell>
          <cell r="BX143">
            <v>0.5</v>
          </cell>
          <cell r="BY143">
            <v>0.7</v>
          </cell>
          <cell r="BZ143">
            <v>0.7</v>
          </cell>
          <cell r="CA143">
            <v>0.7</v>
          </cell>
          <cell r="CB143">
            <v>0.7</v>
          </cell>
          <cell r="CC143">
            <v>0.95</v>
          </cell>
          <cell r="CD143">
            <v>0.95</v>
          </cell>
          <cell r="CE143">
            <v>0.95</v>
          </cell>
          <cell r="CF143">
            <v>0.95</v>
          </cell>
          <cell r="CG143">
            <v>0.95</v>
          </cell>
          <cell r="CH143">
            <v>0.95</v>
          </cell>
          <cell r="CI143">
            <v>0.95</v>
          </cell>
          <cell r="CJ143">
            <v>0.95</v>
          </cell>
          <cell r="CK143">
            <v>0.95</v>
          </cell>
        </row>
        <row r="144">
          <cell r="Q144" t="str">
            <v>E</v>
          </cell>
          <cell r="AJ144">
            <v>0</v>
          </cell>
          <cell r="AK144">
            <v>0</v>
          </cell>
          <cell r="AL144">
            <v>0</v>
          </cell>
          <cell r="AM144">
            <v>0</v>
          </cell>
          <cell r="AN144">
            <v>0.45</v>
          </cell>
          <cell r="AO144">
            <v>0.45</v>
          </cell>
          <cell r="AP144">
            <v>0.45</v>
          </cell>
          <cell r="AQ144">
            <v>0.45</v>
          </cell>
          <cell r="AR144">
            <v>0.45</v>
          </cell>
          <cell r="AS144">
            <v>0.45</v>
          </cell>
          <cell r="AT144">
            <v>0.45</v>
          </cell>
          <cell r="AU144">
            <v>0.45</v>
          </cell>
          <cell r="AV144">
            <v>0.45</v>
          </cell>
          <cell r="AW144">
            <v>0.5</v>
          </cell>
          <cell r="AX144">
            <v>0.5</v>
          </cell>
          <cell r="AY144">
            <v>0.5</v>
          </cell>
          <cell r="AZ144">
            <v>0.5</v>
          </cell>
          <cell r="BA144">
            <v>0.5</v>
          </cell>
          <cell r="BB144">
            <v>0.5</v>
          </cell>
          <cell r="BC144">
            <v>0.5</v>
          </cell>
          <cell r="BD144">
            <v>0.5</v>
          </cell>
          <cell r="BE144">
            <v>0.5</v>
          </cell>
          <cell r="BF144">
            <v>0.5</v>
          </cell>
          <cell r="BG144">
            <v>0.5</v>
          </cell>
          <cell r="BH144">
            <v>0.5</v>
          </cell>
          <cell r="BI144">
            <v>0.5</v>
          </cell>
          <cell r="BJ144">
            <v>0.5</v>
          </cell>
          <cell r="BK144">
            <v>0.5</v>
          </cell>
          <cell r="BL144">
            <v>0.5</v>
          </cell>
          <cell r="BM144">
            <v>0.5</v>
          </cell>
          <cell r="BN144">
            <v>0.5</v>
          </cell>
          <cell r="BO144">
            <v>0.5</v>
          </cell>
          <cell r="BP144">
            <v>0.5</v>
          </cell>
          <cell r="BQ144">
            <v>0.5</v>
          </cell>
          <cell r="BR144">
            <v>0.5</v>
          </cell>
          <cell r="BS144">
            <v>0.5</v>
          </cell>
          <cell r="BT144">
            <v>0.5</v>
          </cell>
          <cell r="BU144">
            <v>0.5</v>
          </cell>
          <cell r="BV144">
            <v>0.5</v>
          </cell>
          <cell r="BW144">
            <v>0.95</v>
          </cell>
          <cell r="BX144">
            <v>0.95</v>
          </cell>
          <cell r="BY144">
            <v>0.95</v>
          </cell>
          <cell r="BZ144">
            <v>0.95</v>
          </cell>
          <cell r="CA144">
            <v>0.95</v>
          </cell>
          <cell r="CB144">
            <v>0.95</v>
          </cell>
          <cell r="CC144">
            <v>0.95</v>
          </cell>
          <cell r="CD144">
            <v>0</v>
          </cell>
          <cell r="CE144">
            <v>0</v>
          </cell>
          <cell r="CF144">
            <v>0</v>
          </cell>
          <cell r="CG144">
            <v>0</v>
          </cell>
          <cell r="CH144">
            <v>0</v>
          </cell>
          <cell r="CI144">
            <v>0</v>
          </cell>
          <cell r="CJ144">
            <v>0</v>
          </cell>
          <cell r="CK144">
            <v>0</v>
          </cell>
        </row>
        <row r="145">
          <cell r="D145" t="str">
            <v>01</v>
          </cell>
          <cell r="E145" t="str">
            <v>46</v>
          </cell>
          <cell r="F145" t="str">
            <v>M01</v>
          </cell>
          <cell r="G145" t="str">
            <v>COF</v>
          </cell>
          <cell r="H145" t="str">
            <v>002</v>
          </cell>
          <cell r="I145" t="str">
            <v>EVALUACION TECNICA DEL PUENTE GRUA, TAG: M-4109</v>
          </cell>
          <cell r="J145">
            <v>39237</v>
          </cell>
          <cell r="K145">
            <v>39257</v>
          </cell>
          <cell r="L145">
            <v>39271</v>
          </cell>
          <cell r="M145">
            <v>39278</v>
          </cell>
          <cell r="N145">
            <v>39292</v>
          </cell>
          <cell r="O145">
            <v>39476</v>
          </cell>
          <cell r="P145">
            <v>239.15928983756206</v>
          </cell>
          <cell r="Q145" t="str">
            <v>P</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0.5</v>
          </cell>
          <cell r="AP145">
            <v>0.5</v>
          </cell>
          <cell r="AQ145">
            <v>0.7</v>
          </cell>
          <cell r="AR145">
            <v>0.7</v>
          </cell>
          <cell r="AS145">
            <v>0.7</v>
          </cell>
          <cell r="AT145">
            <v>0.95</v>
          </cell>
          <cell r="AU145">
            <v>0.95</v>
          </cell>
          <cell r="AV145">
            <v>0.95</v>
          </cell>
          <cell r="AW145">
            <v>0.95</v>
          </cell>
          <cell r="AX145">
            <v>0.95</v>
          </cell>
          <cell r="AY145">
            <v>0.95</v>
          </cell>
          <cell r="AZ145">
            <v>0.95</v>
          </cell>
          <cell r="BA145">
            <v>0.95</v>
          </cell>
          <cell r="BB145">
            <v>0.95</v>
          </cell>
          <cell r="BC145">
            <v>0.95</v>
          </cell>
          <cell r="BD145">
            <v>0.95</v>
          </cell>
          <cell r="BE145">
            <v>0.95</v>
          </cell>
          <cell r="BF145">
            <v>0.95</v>
          </cell>
          <cell r="BG145">
            <v>0.95</v>
          </cell>
          <cell r="BH145">
            <v>0.95</v>
          </cell>
          <cell r="BI145">
            <v>0.95</v>
          </cell>
          <cell r="BJ145">
            <v>0.95</v>
          </cell>
          <cell r="BK145">
            <v>0.95</v>
          </cell>
          <cell r="BL145">
            <v>0.95</v>
          </cell>
          <cell r="BM145">
            <v>0.95</v>
          </cell>
          <cell r="BN145">
            <v>0.95</v>
          </cell>
          <cell r="BO145">
            <v>0.95</v>
          </cell>
          <cell r="BP145">
            <v>0.95</v>
          </cell>
          <cell r="BQ145">
            <v>0.95</v>
          </cell>
          <cell r="BR145">
            <v>0.95</v>
          </cell>
          <cell r="BS145">
            <v>0.95</v>
          </cell>
          <cell r="BT145">
            <v>1</v>
          </cell>
          <cell r="BU145">
            <v>1</v>
          </cell>
          <cell r="BV145">
            <v>1</v>
          </cell>
          <cell r="BW145">
            <v>1</v>
          </cell>
          <cell r="BX145">
            <v>1</v>
          </cell>
          <cell r="BY145">
            <v>1</v>
          </cell>
          <cell r="BZ145">
            <v>1</v>
          </cell>
          <cell r="CA145">
            <v>1</v>
          </cell>
          <cell r="CB145">
            <v>1</v>
          </cell>
          <cell r="CC145">
            <v>1</v>
          </cell>
          <cell r="CD145">
            <v>1</v>
          </cell>
          <cell r="CE145">
            <v>1</v>
          </cell>
          <cell r="CF145">
            <v>1</v>
          </cell>
          <cell r="CG145">
            <v>1</v>
          </cell>
          <cell r="CH145">
            <v>1</v>
          </cell>
          <cell r="CI145">
            <v>1</v>
          </cell>
          <cell r="CJ145">
            <v>1</v>
          </cell>
          <cell r="CK145">
            <v>1</v>
          </cell>
        </row>
        <row r="146">
          <cell r="J146">
            <v>39237</v>
          </cell>
          <cell r="K146">
            <v>39500</v>
          </cell>
          <cell r="L146">
            <v>39514</v>
          </cell>
          <cell r="M146">
            <v>39535</v>
          </cell>
          <cell r="N146">
            <v>39549</v>
          </cell>
          <cell r="O146">
            <v>39642</v>
          </cell>
          <cell r="Q146" t="str">
            <v>R</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0.5</v>
          </cell>
          <cell r="BY146">
            <v>0.5</v>
          </cell>
          <cell r="BZ146">
            <v>0.7</v>
          </cell>
          <cell r="CA146">
            <v>0.7</v>
          </cell>
          <cell r="CB146">
            <v>0.7</v>
          </cell>
          <cell r="CC146">
            <v>0.7</v>
          </cell>
          <cell r="CD146">
            <v>0.7</v>
          </cell>
          <cell r="CE146">
            <v>0.95</v>
          </cell>
          <cell r="CF146">
            <v>0.95</v>
          </cell>
          <cell r="CG146">
            <v>0.95</v>
          </cell>
          <cell r="CH146">
            <v>0.95</v>
          </cell>
          <cell r="CI146">
            <v>0.95</v>
          </cell>
          <cell r="CJ146">
            <v>0.95</v>
          </cell>
          <cell r="CK146">
            <v>0.95</v>
          </cell>
        </row>
        <row r="147">
          <cell r="Q147" t="str">
            <v>E</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0.5</v>
          </cell>
          <cell r="BX147">
            <v>0.7</v>
          </cell>
          <cell r="BY147">
            <v>0.7</v>
          </cell>
          <cell r="BZ147">
            <v>0.7</v>
          </cell>
          <cell r="CA147">
            <v>0.7</v>
          </cell>
          <cell r="CB147">
            <v>0.7</v>
          </cell>
          <cell r="CC147">
            <v>0.7</v>
          </cell>
          <cell r="CD147">
            <v>0</v>
          </cell>
          <cell r="CE147">
            <v>0</v>
          </cell>
          <cell r="CF147">
            <v>0</v>
          </cell>
          <cell r="CG147">
            <v>0</v>
          </cell>
          <cell r="CH147">
            <v>0</v>
          </cell>
          <cell r="CI147">
            <v>0</v>
          </cell>
          <cell r="CJ147">
            <v>0</v>
          </cell>
          <cell r="CK147">
            <v>0</v>
          </cell>
        </row>
        <row r="148">
          <cell r="D148" t="str">
            <v>01</v>
          </cell>
          <cell r="E148">
            <v>46</v>
          </cell>
          <cell r="F148" t="str">
            <v>T03</v>
          </cell>
          <cell r="H148" t="str">
            <v>002</v>
          </cell>
          <cell r="I148" t="str">
            <v>PLOT PLAN PLANTA DE ETILENO II</v>
          </cell>
          <cell r="J148">
            <v>39266</v>
          </cell>
          <cell r="K148">
            <v>39290</v>
          </cell>
          <cell r="L148">
            <v>39304</v>
          </cell>
          <cell r="M148">
            <v>39328</v>
          </cell>
          <cell r="N148">
            <v>39342</v>
          </cell>
          <cell r="O148">
            <v>39476</v>
          </cell>
          <cell r="P148">
            <v>25.613634169884168</v>
          </cell>
          <cell r="Q148" t="str">
            <v>P</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0.5</v>
          </cell>
          <cell r="AU148">
            <v>0.5</v>
          </cell>
          <cell r="AV148">
            <v>0.7</v>
          </cell>
          <cell r="AW148">
            <v>0.7</v>
          </cell>
          <cell r="AX148">
            <v>0.7</v>
          </cell>
          <cell r="AY148">
            <v>0.7</v>
          </cell>
          <cell r="AZ148">
            <v>0.7</v>
          </cell>
          <cell r="BA148">
            <v>0.95</v>
          </cell>
          <cell r="BB148">
            <v>0.95</v>
          </cell>
          <cell r="BC148">
            <v>0.95</v>
          </cell>
          <cell r="BD148">
            <v>0.95</v>
          </cell>
          <cell r="BE148">
            <v>0.95</v>
          </cell>
          <cell r="BF148">
            <v>0.95</v>
          </cell>
          <cell r="BG148">
            <v>0.95</v>
          </cell>
          <cell r="BH148">
            <v>0.95</v>
          </cell>
          <cell r="BI148">
            <v>0.95</v>
          </cell>
          <cell r="BJ148">
            <v>0.95</v>
          </cell>
          <cell r="BK148">
            <v>0.95</v>
          </cell>
          <cell r="BL148">
            <v>0.95</v>
          </cell>
          <cell r="BM148">
            <v>0.95</v>
          </cell>
          <cell r="BN148">
            <v>0.95</v>
          </cell>
          <cell r="BO148">
            <v>0.95</v>
          </cell>
          <cell r="BP148">
            <v>0.95</v>
          </cell>
          <cell r="BQ148">
            <v>0.95</v>
          </cell>
          <cell r="BR148">
            <v>0.95</v>
          </cell>
          <cell r="BS148">
            <v>0.95</v>
          </cell>
          <cell r="BT148">
            <v>1</v>
          </cell>
          <cell r="BU148">
            <v>1</v>
          </cell>
          <cell r="BV148">
            <v>1</v>
          </cell>
          <cell r="BW148">
            <v>1</v>
          </cell>
          <cell r="BX148">
            <v>1</v>
          </cell>
          <cell r="BY148">
            <v>1</v>
          </cell>
          <cell r="BZ148">
            <v>1</v>
          </cell>
          <cell r="CA148">
            <v>1</v>
          </cell>
          <cell r="CB148">
            <v>1</v>
          </cell>
          <cell r="CC148">
            <v>1</v>
          </cell>
          <cell r="CD148">
            <v>1</v>
          </cell>
          <cell r="CE148">
            <v>1</v>
          </cell>
          <cell r="CF148">
            <v>1</v>
          </cell>
          <cell r="CG148">
            <v>1</v>
          </cell>
          <cell r="CH148">
            <v>1</v>
          </cell>
          <cell r="CI148">
            <v>1</v>
          </cell>
          <cell r="CJ148">
            <v>1</v>
          </cell>
          <cell r="CK148">
            <v>1</v>
          </cell>
        </row>
        <row r="149">
          <cell r="J149">
            <v>39266</v>
          </cell>
          <cell r="K149">
            <v>39503</v>
          </cell>
          <cell r="L149">
            <v>39517</v>
          </cell>
          <cell r="M149">
            <v>39524</v>
          </cell>
          <cell r="N149">
            <v>39538</v>
          </cell>
          <cell r="O149">
            <v>39642</v>
          </cell>
          <cell r="Q149" t="str">
            <v>R</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0.5</v>
          </cell>
          <cell r="BY149">
            <v>0.5</v>
          </cell>
          <cell r="BZ149">
            <v>0.7</v>
          </cell>
          <cell r="CA149">
            <v>0.7</v>
          </cell>
          <cell r="CB149">
            <v>0.7</v>
          </cell>
          <cell r="CC149">
            <v>0.95</v>
          </cell>
          <cell r="CD149">
            <v>0.95</v>
          </cell>
          <cell r="CE149">
            <v>0.95</v>
          </cell>
          <cell r="CF149">
            <v>0.95</v>
          </cell>
          <cell r="CG149">
            <v>0.95</v>
          </cell>
          <cell r="CH149">
            <v>0.95</v>
          </cell>
          <cell r="CI149">
            <v>0.95</v>
          </cell>
          <cell r="CJ149">
            <v>0.95</v>
          </cell>
          <cell r="CK149">
            <v>0.95</v>
          </cell>
        </row>
        <row r="150">
          <cell r="Q150" t="str">
            <v>E</v>
          </cell>
          <cell r="AH150">
            <v>0.45</v>
          </cell>
          <cell r="AI150">
            <v>0.45</v>
          </cell>
          <cell r="AJ150">
            <v>0.45</v>
          </cell>
          <cell r="AK150">
            <v>0.45</v>
          </cell>
          <cell r="AL150">
            <v>0.45</v>
          </cell>
          <cell r="AM150">
            <v>0.45</v>
          </cell>
          <cell r="AN150">
            <v>0.45</v>
          </cell>
          <cell r="AO150">
            <v>0.45</v>
          </cell>
          <cell r="AP150">
            <v>0.45</v>
          </cell>
          <cell r="AQ150">
            <v>0.45</v>
          </cell>
          <cell r="AR150">
            <v>0.45</v>
          </cell>
          <cell r="AS150">
            <v>0.45</v>
          </cell>
          <cell r="AT150">
            <v>0.45</v>
          </cell>
          <cell r="AU150">
            <v>0.45</v>
          </cell>
          <cell r="AV150">
            <v>0.45</v>
          </cell>
          <cell r="AW150">
            <v>0.45</v>
          </cell>
          <cell r="AX150">
            <v>0.45</v>
          </cell>
          <cell r="AY150">
            <v>0.45</v>
          </cell>
          <cell r="AZ150">
            <v>0.45</v>
          </cell>
          <cell r="BA150">
            <v>0.45</v>
          </cell>
          <cell r="BB150">
            <v>0.45</v>
          </cell>
          <cell r="BC150">
            <v>0.45</v>
          </cell>
          <cell r="BD150">
            <v>0.45</v>
          </cell>
          <cell r="BE150">
            <v>0.45</v>
          </cell>
          <cell r="BF150">
            <v>0.45</v>
          </cell>
          <cell r="BG150">
            <v>0.45</v>
          </cell>
          <cell r="BH150">
            <v>0.45</v>
          </cell>
          <cell r="BI150">
            <v>0.45</v>
          </cell>
          <cell r="BJ150">
            <v>0.45</v>
          </cell>
          <cell r="BK150">
            <v>0.5</v>
          </cell>
          <cell r="BL150">
            <v>0.5</v>
          </cell>
          <cell r="BM150">
            <v>0.5</v>
          </cell>
          <cell r="BN150">
            <v>0.5</v>
          </cell>
          <cell r="BO150">
            <v>0.5</v>
          </cell>
          <cell r="BP150">
            <v>0.5</v>
          </cell>
          <cell r="BQ150">
            <v>0.5</v>
          </cell>
          <cell r="BR150">
            <v>0.5</v>
          </cell>
          <cell r="BS150">
            <v>0.5</v>
          </cell>
          <cell r="BT150">
            <v>0.5</v>
          </cell>
          <cell r="BU150">
            <v>0.5</v>
          </cell>
          <cell r="BV150">
            <v>0.5</v>
          </cell>
          <cell r="BW150">
            <v>0.5</v>
          </cell>
          <cell r="BX150">
            <v>0.5</v>
          </cell>
          <cell r="BY150">
            <v>0.5</v>
          </cell>
          <cell r="BZ150">
            <v>0.5</v>
          </cell>
          <cell r="CA150">
            <v>0.5</v>
          </cell>
          <cell r="CB150">
            <v>0.5</v>
          </cell>
          <cell r="CC150">
            <v>0.5</v>
          </cell>
          <cell r="CD150">
            <v>0</v>
          </cell>
          <cell r="CE150">
            <v>0</v>
          </cell>
          <cell r="CF150">
            <v>0</v>
          </cell>
          <cell r="CG150">
            <v>0</v>
          </cell>
          <cell r="CH150">
            <v>0</v>
          </cell>
          <cell r="CI150">
            <v>0</v>
          </cell>
          <cell r="CJ150">
            <v>0</v>
          </cell>
          <cell r="CK150">
            <v>0</v>
          </cell>
        </row>
        <row r="151">
          <cell r="D151" t="str">
            <v>01</v>
          </cell>
          <cell r="E151" t="str">
            <v>46</v>
          </cell>
          <cell r="F151" t="str">
            <v>T03</v>
          </cell>
          <cell r="H151" t="str">
            <v>001</v>
          </cell>
          <cell r="I151" t="str">
            <v>PLANOS DE RUTAS DE TUBERIAS</v>
          </cell>
          <cell r="J151">
            <v>39315</v>
          </cell>
          <cell r="K151">
            <v>39360</v>
          </cell>
          <cell r="L151">
            <v>39374</v>
          </cell>
          <cell r="M151">
            <v>39409</v>
          </cell>
          <cell r="N151">
            <v>39423</v>
          </cell>
          <cell r="O151">
            <v>39476</v>
          </cell>
          <cell r="P151">
            <v>261</v>
          </cell>
          <cell r="Q151" t="str">
            <v>P</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0.5</v>
          </cell>
          <cell r="BE151">
            <v>0.5</v>
          </cell>
          <cell r="BF151">
            <v>0.7</v>
          </cell>
          <cell r="BG151">
            <v>0.7</v>
          </cell>
          <cell r="BH151">
            <v>0.7</v>
          </cell>
          <cell r="BI151">
            <v>0.7</v>
          </cell>
          <cell r="BJ151">
            <v>0.7</v>
          </cell>
          <cell r="BK151">
            <v>0.7</v>
          </cell>
          <cell r="BL151">
            <v>0.7</v>
          </cell>
          <cell r="BM151">
            <v>0.95</v>
          </cell>
          <cell r="BN151">
            <v>0.95</v>
          </cell>
          <cell r="BO151">
            <v>0.95</v>
          </cell>
          <cell r="BP151">
            <v>0.95</v>
          </cell>
          <cell r="BQ151">
            <v>0.95</v>
          </cell>
          <cell r="BR151">
            <v>0.95</v>
          </cell>
          <cell r="BS151">
            <v>0.95</v>
          </cell>
          <cell r="BT151">
            <v>1</v>
          </cell>
          <cell r="BU151">
            <v>1</v>
          </cell>
          <cell r="BV151">
            <v>1</v>
          </cell>
          <cell r="BW151">
            <v>1</v>
          </cell>
          <cell r="BX151">
            <v>1</v>
          </cell>
          <cell r="BY151">
            <v>1</v>
          </cell>
          <cell r="BZ151">
            <v>1</v>
          </cell>
          <cell r="CA151">
            <v>1</v>
          </cell>
          <cell r="CB151">
            <v>1</v>
          </cell>
          <cell r="CC151">
            <v>1</v>
          </cell>
          <cell r="CD151">
            <v>1</v>
          </cell>
          <cell r="CE151">
            <v>1</v>
          </cell>
          <cell r="CF151">
            <v>1</v>
          </cell>
          <cell r="CG151">
            <v>1</v>
          </cell>
          <cell r="CH151">
            <v>1</v>
          </cell>
          <cell r="CI151">
            <v>1</v>
          </cell>
          <cell r="CJ151">
            <v>1</v>
          </cell>
          <cell r="CK151">
            <v>1</v>
          </cell>
        </row>
        <row r="152">
          <cell r="J152">
            <v>39315</v>
          </cell>
          <cell r="K152">
            <v>39512</v>
          </cell>
          <cell r="L152">
            <v>39526</v>
          </cell>
          <cell r="M152">
            <v>39536</v>
          </cell>
          <cell r="N152">
            <v>39550</v>
          </cell>
          <cell r="O152">
            <v>39642</v>
          </cell>
          <cell r="Q152" t="str">
            <v>R</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0.5</v>
          </cell>
          <cell r="BZ152">
            <v>0.5</v>
          </cell>
          <cell r="CA152">
            <v>0.7</v>
          </cell>
          <cell r="CB152">
            <v>0.7</v>
          </cell>
          <cell r="CC152">
            <v>0.7</v>
          </cell>
          <cell r="CD152">
            <v>0.7</v>
          </cell>
          <cell r="CE152">
            <v>0.95</v>
          </cell>
          <cell r="CF152">
            <v>0.95</v>
          </cell>
          <cell r="CG152">
            <v>0.95</v>
          </cell>
          <cell r="CH152">
            <v>0.95</v>
          </cell>
          <cell r="CI152">
            <v>0.95</v>
          </cell>
          <cell r="CJ152">
            <v>0.95</v>
          </cell>
          <cell r="CK152">
            <v>0.95</v>
          </cell>
        </row>
        <row r="153">
          <cell r="I153" t="str">
            <v>% PONDERADO 4 planos)</v>
          </cell>
          <cell r="Q153" t="str">
            <v>E</v>
          </cell>
          <cell r="AH153">
            <v>0.1</v>
          </cell>
          <cell r="AI153">
            <v>0.1</v>
          </cell>
          <cell r="AJ153">
            <v>0.1</v>
          </cell>
          <cell r="AK153">
            <v>0.1</v>
          </cell>
          <cell r="AL153">
            <v>0.1</v>
          </cell>
          <cell r="AM153">
            <v>0.1</v>
          </cell>
          <cell r="AN153">
            <v>0.1</v>
          </cell>
          <cell r="AO153">
            <v>0.1</v>
          </cell>
          <cell r="AP153">
            <v>0.1</v>
          </cell>
          <cell r="AQ153">
            <v>0.1</v>
          </cell>
          <cell r="AR153">
            <v>0.1</v>
          </cell>
          <cell r="AS153">
            <v>0.1</v>
          </cell>
          <cell r="AT153">
            <v>0.1</v>
          </cell>
          <cell r="AU153">
            <v>0.1</v>
          </cell>
          <cell r="AV153">
            <v>0.1</v>
          </cell>
          <cell r="AW153">
            <v>0.1</v>
          </cell>
          <cell r="AX153">
            <v>0.1</v>
          </cell>
          <cell r="AY153">
            <v>0.5</v>
          </cell>
          <cell r="AZ153">
            <v>0.5</v>
          </cell>
          <cell r="BA153">
            <v>0.6</v>
          </cell>
          <cell r="BB153">
            <v>0.6</v>
          </cell>
          <cell r="BC153">
            <v>0.6</v>
          </cell>
          <cell r="BD153">
            <v>0.6</v>
          </cell>
          <cell r="BE153">
            <v>0.6</v>
          </cell>
          <cell r="BF153">
            <v>0.6</v>
          </cell>
          <cell r="BG153">
            <v>0.6</v>
          </cell>
          <cell r="BH153">
            <v>0.6</v>
          </cell>
          <cell r="BI153">
            <v>0.6</v>
          </cell>
          <cell r="BJ153">
            <v>0.6</v>
          </cell>
          <cell r="BK153">
            <v>0.6</v>
          </cell>
          <cell r="BL153">
            <v>0.7</v>
          </cell>
          <cell r="BM153">
            <v>0.7</v>
          </cell>
          <cell r="BN153">
            <v>0.7</v>
          </cell>
          <cell r="BO153">
            <v>0.7</v>
          </cell>
          <cell r="BP153">
            <v>0.7</v>
          </cell>
          <cell r="BQ153">
            <v>0.7</v>
          </cell>
          <cell r="BR153">
            <v>0.6</v>
          </cell>
          <cell r="BS153">
            <v>0.6</v>
          </cell>
          <cell r="BT153">
            <v>0.6</v>
          </cell>
          <cell r="BU153">
            <v>0.6</v>
          </cell>
          <cell r="BV153">
            <v>0.6</v>
          </cell>
          <cell r="BW153">
            <v>0.6</v>
          </cell>
          <cell r="BX153">
            <v>0.6</v>
          </cell>
          <cell r="BY153">
            <v>0.6</v>
          </cell>
          <cell r="BZ153">
            <v>0.6</v>
          </cell>
          <cell r="CA153">
            <v>0.6</v>
          </cell>
          <cell r="CB153">
            <v>0.6</v>
          </cell>
          <cell r="CC153">
            <v>0.6</v>
          </cell>
          <cell r="CD153">
            <v>0</v>
          </cell>
          <cell r="CE153">
            <v>0</v>
          </cell>
          <cell r="CF153">
            <v>0</v>
          </cell>
          <cell r="CG153">
            <v>0</v>
          </cell>
          <cell r="CH153">
            <v>0</v>
          </cell>
          <cell r="CI153">
            <v>0</v>
          </cell>
          <cell r="CJ153">
            <v>0</v>
          </cell>
          <cell r="CK153">
            <v>0</v>
          </cell>
        </row>
        <row r="154">
          <cell r="E154">
            <v>46</v>
          </cell>
          <cell r="I154" t="str">
            <v xml:space="preserve">Modelaje Equipos                                 </v>
          </cell>
          <cell r="J154">
            <v>39295</v>
          </cell>
          <cell r="K154">
            <v>39360</v>
          </cell>
          <cell r="L154">
            <v>39374</v>
          </cell>
          <cell r="M154">
            <v>39409</v>
          </cell>
          <cell r="N154">
            <v>39423</v>
          </cell>
          <cell r="O154">
            <v>39476</v>
          </cell>
          <cell r="Q154" t="str">
            <v>P</v>
          </cell>
          <cell r="AI154">
            <v>0</v>
          </cell>
        </row>
        <row r="155">
          <cell r="E155">
            <v>46</v>
          </cell>
          <cell r="I155" t="str">
            <v xml:space="preserve">Modelaje Equipos IFC                             </v>
          </cell>
          <cell r="Q155" t="str">
            <v>P</v>
          </cell>
        </row>
        <row r="156">
          <cell r="E156">
            <v>46</v>
          </cell>
          <cell r="I156" t="str">
            <v xml:space="preserve">Primera Revisión Modelo                          </v>
          </cell>
          <cell r="Q156" t="str">
            <v>P</v>
          </cell>
        </row>
        <row r="157">
          <cell r="D157" t="str">
            <v>01</v>
          </cell>
          <cell r="E157" t="str">
            <v>46</v>
          </cell>
          <cell r="F157" t="str">
            <v>T31</v>
          </cell>
          <cell r="G157" t="str">
            <v>CAL</v>
          </cell>
          <cell r="H157" t="str">
            <v>001</v>
          </cell>
          <cell r="I157" t="str">
            <v>ANALISIS DE FLEXIBILIDAD</v>
          </cell>
          <cell r="J157">
            <v>39328</v>
          </cell>
          <cell r="K157">
            <v>39386</v>
          </cell>
          <cell r="L157">
            <v>39400</v>
          </cell>
          <cell r="M157">
            <v>39424</v>
          </cell>
          <cell r="N157">
            <v>39438</v>
          </cell>
          <cell r="O157">
            <v>39476</v>
          </cell>
          <cell r="P157">
            <v>181.25</v>
          </cell>
          <cell r="Q157" t="str">
            <v>P</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0.5</v>
          </cell>
          <cell r="BH157">
            <v>0.5</v>
          </cell>
          <cell r="BI157">
            <v>0.7</v>
          </cell>
          <cell r="BJ157">
            <v>0.7</v>
          </cell>
          <cell r="BK157">
            <v>0.7</v>
          </cell>
          <cell r="BL157">
            <v>0.7</v>
          </cell>
          <cell r="BM157">
            <v>0.7</v>
          </cell>
          <cell r="BN157">
            <v>0.7</v>
          </cell>
          <cell r="BO157">
            <v>0.95</v>
          </cell>
          <cell r="BP157">
            <v>0.95</v>
          </cell>
          <cell r="BQ157">
            <v>0.95</v>
          </cell>
          <cell r="BR157">
            <v>0.95</v>
          </cell>
          <cell r="BS157">
            <v>0.95</v>
          </cell>
          <cell r="BT157">
            <v>1</v>
          </cell>
          <cell r="BU157">
            <v>1</v>
          </cell>
          <cell r="BV157">
            <v>1</v>
          </cell>
          <cell r="BW157">
            <v>1</v>
          </cell>
          <cell r="BX157">
            <v>1</v>
          </cell>
          <cell r="BY157">
            <v>1</v>
          </cell>
          <cell r="BZ157">
            <v>1</v>
          </cell>
          <cell r="CA157">
            <v>1</v>
          </cell>
          <cell r="CB157">
            <v>1</v>
          </cell>
          <cell r="CC157">
            <v>1</v>
          </cell>
          <cell r="CD157">
            <v>1</v>
          </cell>
          <cell r="CE157">
            <v>1</v>
          </cell>
          <cell r="CF157">
            <v>1</v>
          </cell>
          <cell r="CG157">
            <v>1</v>
          </cell>
          <cell r="CH157">
            <v>1</v>
          </cell>
          <cell r="CI157">
            <v>1</v>
          </cell>
          <cell r="CJ157">
            <v>1</v>
          </cell>
          <cell r="CK157">
            <v>1</v>
          </cell>
        </row>
        <row r="158">
          <cell r="J158">
            <v>39493</v>
          </cell>
          <cell r="K158">
            <v>39517</v>
          </cell>
          <cell r="L158">
            <v>39531</v>
          </cell>
          <cell r="M158">
            <v>39536</v>
          </cell>
          <cell r="N158">
            <v>39550</v>
          </cell>
          <cell r="O158">
            <v>39642</v>
          </cell>
          <cell r="Q158" t="str">
            <v>R</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0.5</v>
          </cell>
          <cell r="CA158">
            <v>0.5</v>
          </cell>
          <cell r="CB158">
            <v>0.7</v>
          </cell>
          <cell r="CC158">
            <v>0.7</v>
          </cell>
          <cell r="CD158">
            <v>0.7</v>
          </cell>
          <cell r="CE158">
            <v>0.95</v>
          </cell>
          <cell r="CF158">
            <v>0.95</v>
          </cell>
          <cell r="CG158">
            <v>0.95</v>
          </cell>
          <cell r="CH158">
            <v>0.95</v>
          </cell>
          <cell r="CI158">
            <v>0.95</v>
          </cell>
          <cell r="CJ158">
            <v>0.95</v>
          </cell>
          <cell r="CK158">
            <v>0.95</v>
          </cell>
        </row>
        <row r="159">
          <cell r="Q159" t="str">
            <v>E</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S159">
            <v>0</v>
          </cell>
          <cell r="BT159">
            <v>0</v>
          </cell>
          <cell r="BU159">
            <v>0</v>
          </cell>
          <cell r="BV159">
            <v>0</v>
          </cell>
          <cell r="BW159">
            <v>0.5</v>
          </cell>
          <cell r="BX159">
            <v>0.5</v>
          </cell>
          <cell r="BY159">
            <v>0.5</v>
          </cell>
          <cell r="BZ159">
            <v>0.5</v>
          </cell>
          <cell r="CA159">
            <v>0.7</v>
          </cell>
          <cell r="CB159">
            <v>0.7</v>
          </cell>
          <cell r="CC159">
            <v>0.7</v>
          </cell>
          <cell r="CD159">
            <v>0</v>
          </cell>
          <cell r="CE159">
            <v>0</v>
          </cell>
          <cell r="CF159">
            <v>0</v>
          </cell>
          <cell r="CG159">
            <v>0</v>
          </cell>
          <cell r="CH159">
            <v>0</v>
          </cell>
          <cell r="CI159">
            <v>0</v>
          </cell>
          <cell r="CJ159">
            <v>0</v>
          </cell>
          <cell r="CK159">
            <v>0</v>
          </cell>
        </row>
        <row r="160">
          <cell r="E160">
            <v>46</v>
          </cell>
          <cell r="I160" t="str">
            <v xml:space="preserve">Segunda Revisión Modelo                          </v>
          </cell>
          <cell r="Q160" t="str">
            <v>P</v>
          </cell>
        </row>
        <row r="161">
          <cell r="E161">
            <v>46</v>
          </cell>
          <cell r="I161" t="str">
            <v xml:space="preserve">Tercera Revisión Modelo                          </v>
          </cell>
          <cell r="Q161" t="str">
            <v>P</v>
          </cell>
        </row>
        <row r="162">
          <cell r="D162" t="str">
            <v>01</v>
          </cell>
          <cell r="E162" t="str">
            <v>46</v>
          </cell>
          <cell r="F162" t="str">
            <v>T03</v>
          </cell>
          <cell r="H162">
            <v>100</v>
          </cell>
          <cell r="I162" t="str">
            <v>ISOMETRICOS DESMANTELAMIENTO</v>
          </cell>
          <cell r="J162">
            <v>39328</v>
          </cell>
          <cell r="K162">
            <v>39381</v>
          </cell>
          <cell r="L162">
            <v>39395</v>
          </cell>
          <cell r="M162">
            <v>39431</v>
          </cell>
          <cell r="N162">
            <v>39445</v>
          </cell>
          <cell r="O162">
            <v>39476</v>
          </cell>
          <cell r="P162">
            <v>543.86585304054051</v>
          </cell>
          <cell r="Q162" t="str">
            <v>P</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0.5</v>
          </cell>
          <cell r="BH162">
            <v>0.5</v>
          </cell>
          <cell r="BI162">
            <v>0.7</v>
          </cell>
          <cell r="BJ162">
            <v>0.7</v>
          </cell>
          <cell r="BK162">
            <v>0.7</v>
          </cell>
          <cell r="BL162">
            <v>0.7</v>
          </cell>
          <cell r="BM162">
            <v>0.7</v>
          </cell>
          <cell r="BN162">
            <v>0.7</v>
          </cell>
          <cell r="BO162">
            <v>0.7</v>
          </cell>
          <cell r="BP162">
            <v>0.95</v>
          </cell>
          <cell r="BQ162">
            <v>0.95</v>
          </cell>
          <cell r="BR162">
            <v>0.95</v>
          </cell>
          <cell r="BS162">
            <v>0.95</v>
          </cell>
          <cell r="BT162">
            <v>1</v>
          </cell>
          <cell r="BU162">
            <v>1</v>
          </cell>
          <cell r="BV162">
            <v>1</v>
          </cell>
          <cell r="BW162">
            <v>1</v>
          </cell>
          <cell r="BX162">
            <v>1</v>
          </cell>
          <cell r="BY162">
            <v>1</v>
          </cell>
          <cell r="BZ162">
            <v>1</v>
          </cell>
          <cell r="CA162">
            <v>1</v>
          </cell>
          <cell r="CB162">
            <v>1</v>
          </cell>
          <cell r="CC162">
            <v>1</v>
          </cell>
          <cell r="CD162">
            <v>1</v>
          </cell>
          <cell r="CE162">
            <v>1</v>
          </cell>
          <cell r="CF162">
            <v>1</v>
          </cell>
          <cell r="CG162">
            <v>1</v>
          </cell>
          <cell r="CH162">
            <v>1</v>
          </cell>
          <cell r="CI162">
            <v>1</v>
          </cell>
          <cell r="CJ162">
            <v>1</v>
          </cell>
          <cell r="CK162">
            <v>1</v>
          </cell>
        </row>
        <row r="163">
          <cell r="J163">
            <v>39328</v>
          </cell>
          <cell r="K163">
            <v>39381</v>
          </cell>
          <cell r="L163">
            <v>39248</v>
          </cell>
          <cell r="M163">
            <v>39536</v>
          </cell>
          <cell r="N163">
            <v>39550</v>
          </cell>
          <cell r="O163">
            <v>39642</v>
          </cell>
          <cell r="Q163" t="str">
            <v>R</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0.7</v>
          </cell>
          <cell r="AO163">
            <v>0.7</v>
          </cell>
          <cell r="AP163">
            <v>0.7</v>
          </cell>
          <cell r="AQ163">
            <v>0.7</v>
          </cell>
          <cell r="AR163">
            <v>0.7</v>
          </cell>
          <cell r="AS163">
            <v>0.7</v>
          </cell>
          <cell r="AT163">
            <v>0.7</v>
          </cell>
          <cell r="AU163">
            <v>0.7</v>
          </cell>
          <cell r="AV163">
            <v>0.7</v>
          </cell>
          <cell r="AW163">
            <v>0.7</v>
          </cell>
          <cell r="AX163">
            <v>0.7</v>
          </cell>
          <cell r="AY163">
            <v>0.7</v>
          </cell>
          <cell r="AZ163">
            <v>0.7</v>
          </cell>
          <cell r="BA163">
            <v>0.7</v>
          </cell>
          <cell r="BB163">
            <v>0.7</v>
          </cell>
          <cell r="BC163">
            <v>0.7</v>
          </cell>
          <cell r="BD163">
            <v>0.7</v>
          </cell>
          <cell r="BE163">
            <v>0.7</v>
          </cell>
          <cell r="BF163">
            <v>0.7</v>
          </cell>
          <cell r="BG163">
            <v>0.7</v>
          </cell>
          <cell r="BH163">
            <v>0.7</v>
          </cell>
          <cell r="BI163">
            <v>0.7</v>
          </cell>
          <cell r="BJ163">
            <v>0.7</v>
          </cell>
          <cell r="BK163">
            <v>0.7</v>
          </cell>
          <cell r="BL163">
            <v>0.7</v>
          </cell>
          <cell r="BM163">
            <v>0.7</v>
          </cell>
          <cell r="BN163">
            <v>0.7</v>
          </cell>
          <cell r="BO163">
            <v>0.7</v>
          </cell>
          <cell r="BP163">
            <v>0.7</v>
          </cell>
          <cell r="BQ163">
            <v>0.7</v>
          </cell>
          <cell r="BR163">
            <v>0.95</v>
          </cell>
          <cell r="BS163">
            <v>0.7</v>
          </cell>
          <cell r="BT163">
            <v>0.7</v>
          </cell>
          <cell r="BU163">
            <v>0.7</v>
          </cell>
          <cell r="BV163">
            <v>0.7</v>
          </cell>
          <cell r="BW163">
            <v>0.95</v>
          </cell>
          <cell r="BX163">
            <v>0.7</v>
          </cell>
          <cell r="BY163">
            <v>0.7</v>
          </cell>
          <cell r="BZ163">
            <v>0.7</v>
          </cell>
          <cell r="CA163">
            <v>0.7</v>
          </cell>
          <cell r="CB163">
            <v>0.7</v>
          </cell>
          <cell r="CC163">
            <v>0.7</v>
          </cell>
          <cell r="CD163">
            <v>0.7</v>
          </cell>
          <cell r="CE163">
            <v>0.95</v>
          </cell>
          <cell r="CF163">
            <v>0.95</v>
          </cell>
          <cell r="CG163">
            <v>0.95</v>
          </cell>
          <cell r="CH163">
            <v>0.95</v>
          </cell>
          <cell r="CI163">
            <v>0.95</v>
          </cell>
          <cell r="CJ163">
            <v>0.95</v>
          </cell>
          <cell r="CK163">
            <v>0.95</v>
          </cell>
        </row>
        <row r="164">
          <cell r="I164" t="str">
            <v>% PONDERADO 13</v>
          </cell>
          <cell r="Q164" t="str">
            <v>E</v>
          </cell>
          <cell r="AH164">
            <v>0.16500000000000001</v>
          </cell>
          <cell r="AI164">
            <v>0.16500000000000001</v>
          </cell>
          <cell r="AJ164">
            <v>0.16500000000000001</v>
          </cell>
          <cell r="AK164">
            <v>0.16500000000000001</v>
          </cell>
          <cell r="AL164">
            <v>0.16500000000000001</v>
          </cell>
          <cell r="AM164">
            <v>0.16500000000000001</v>
          </cell>
          <cell r="AN164">
            <v>0.16500000000000001</v>
          </cell>
          <cell r="AO164">
            <v>0.16500000000000001</v>
          </cell>
          <cell r="AP164">
            <v>0.16500000000000001</v>
          </cell>
          <cell r="AQ164">
            <v>0.16500000000000001</v>
          </cell>
          <cell r="AR164">
            <v>0.16500000000000001</v>
          </cell>
          <cell r="AS164">
            <v>0.16500000000000001</v>
          </cell>
          <cell r="AT164">
            <v>0.16500000000000001</v>
          </cell>
          <cell r="AU164">
            <v>0.16500000000000001</v>
          </cell>
          <cell r="AV164">
            <v>0.16500000000000001</v>
          </cell>
          <cell r="AW164">
            <v>0.16500000000000001</v>
          </cell>
          <cell r="AX164">
            <v>0.16500000000000001</v>
          </cell>
          <cell r="AY164">
            <v>0.16500000000000001</v>
          </cell>
          <cell r="AZ164">
            <v>0.16500000000000001</v>
          </cell>
          <cell r="BA164">
            <v>0.16500000000000001</v>
          </cell>
          <cell r="BB164">
            <v>0.16500000000000001</v>
          </cell>
          <cell r="BC164">
            <v>0.16500000000000001</v>
          </cell>
          <cell r="BD164">
            <v>0.16500000000000001</v>
          </cell>
          <cell r="BE164">
            <v>0.16500000000000001</v>
          </cell>
          <cell r="BF164">
            <v>0.16500000000000001</v>
          </cell>
          <cell r="BG164">
            <v>0.16500000000000001</v>
          </cell>
          <cell r="BH164">
            <v>0.16500000000000001</v>
          </cell>
          <cell r="BI164">
            <v>0.28289999999999998</v>
          </cell>
          <cell r="BJ164">
            <v>0.28289999999999998</v>
          </cell>
          <cell r="BK164">
            <v>0.28289999999999998</v>
          </cell>
          <cell r="BL164">
            <v>0.28289999999999998</v>
          </cell>
          <cell r="BM164">
            <v>0.28289999999999998</v>
          </cell>
          <cell r="BN164">
            <v>0.28289999999999998</v>
          </cell>
          <cell r="BO164">
            <v>0.28289999999999998</v>
          </cell>
          <cell r="BP164">
            <v>0.28289999999999998</v>
          </cell>
          <cell r="BQ164">
            <v>0.67930000000000001</v>
          </cell>
          <cell r="BR164">
            <v>0.7</v>
          </cell>
          <cell r="BS164">
            <v>0.7</v>
          </cell>
          <cell r="BT164">
            <v>0.7</v>
          </cell>
          <cell r="BU164">
            <v>0.7</v>
          </cell>
          <cell r="BV164">
            <v>0.7</v>
          </cell>
          <cell r="BW164">
            <v>0.7</v>
          </cell>
          <cell r="BX164">
            <v>0.7</v>
          </cell>
          <cell r="BY164">
            <v>0.7</v>
          </cell>
          <cell r="BZ164">
            <v>0.7</v>
          </cell>
          <cell r="CA164">
            <v>0.7</v>
          </cell>
          <cell r="CB164">
            <v>0.7</v>
          </cell>
          <cell r="CC164">
            <v>0.7</v>
          </cell>
          <cell r="CD164">
            <v>0</v>
          </cell>
          <cell r="CE164">
            <v>0</v>
          </cell>
          <cell r="CF164">
            <v>0</v>
          </cell>
          <cell r="CG164">
            <v>0</v>
          </cell>
          <cell r="CH164">
            <v>0</v>
          </cell>
          <cell r="CI164">
            <v>0</v>
          </cell>
          <cell r="CJ164">
            <v>0</v>
          </cell>
          <cell r="CK164">
            <v>0</v>
          </cell>
        </row>
        <row r="165">
          <cell r="D165" t="str">
            <v>01</v>
          </cell>
          <cell r="E165" t="str">
            <v>46</v>
          </cell>
          <cell r="F165" t="str">
            <v>T23</v>
          </cell>
          <cell r="H165" t="str">
            <v>001</v>
          </cell>
          <cell r="I165" t="str">
            <v>ISOMETRICOS</v>
          </cell>
          <cell r="J165">
            <v>39328</v>
          </cell>
          <cell r="K165">
            <v>39381</v>
          </cell>
          <cell r="L165">
            <v>39395</v>
          </cell>
          <cell r="M165">
            <v>39431</v>
          </cell>
          <cell r="N165">
            <v>39445</v>
          </cell>
          <cell r="O165">
            <v>39476</v>
          </cell>
          <cell r="P165">
            <v>543.86585304054051</v>
          </cell>
          <cell r="Q165" t="str">
            <v>P</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0.5</v>
          </cell>
          <cell r="BH165">
            <v>0.5</v>
          </cell>
          <cell r="BI165">
            <v>0.7</v>
          </cell>
          <cell r="BJ165">
            <v>0.7</v>
          </cell>
          <cell r="BK165">
            <v>0.7</v>
          </cell>
          <cell r="BL165">
            <v>0.7</v>
          </cell>
          <cell r="BM165">
            <v>0.7</v>
          </cell>
          <cell r="BN165">
            <v>0.7</v>
          </cell>
          <cell r="BO165">
            <v>0.7</v>
          </cell>
          <cell r="BP165">
            <v>0.95</v>
          </cell>
          <cell r="BQ165">
            <v>0.95</v>
          </cell>
          <cell r="BR165">
            <v>0.95</v>
          </cell>
          <cell r="BS165">
            <v>0.95</v>
          </cell>
          <cell r="BT165">
            <v>1</v>
          </cell>
          <cell r="BU165">
            <v>1</v>
          </cell>
          <cell r="BV165">
            <v>1</v>
          </cell>
          <cell r="BW165">
            <v>1</v>
          </cell>
          <cell r="BX165">
            <v>1</v>
          </cell>
          <cell r="BY165">
            <v>1</v>
          </cell>
          <cell r="BZ165">
            <v>1</v>
          </cell>
          <cell r="CA165">
            <v>1</v>
          </cell>
          <cell r="CB165">
            <v>1</v>
          </cell>
          <cell r="CC165">
            <v>1</v>
          </cell>
          <cell r="CD165">
            <v>1</v>
          </cell>
          <cell r="CE165">
            <v>1</v>
          </cell>
          <cell r="CF165">
            <v>1</v>
          </cell>
          <cell r="CG165">
            <v>1</v>
          </cell>
          <cell r="CH165">
            <v>1</v>
          </cell>
          <cell r="CI165">
            <v>1</v>
          </cell>
          <cell r="CJ165">
            <v>1</v>
          </cell>
          <cell r="CK165">
            <v>1</v>
          </cell>
        </row>
        <row r="166">
          <cell r="J166">
            <v>39328</v>
          </cell>
          <cell r="K166">
            <v>39381</v>
          </cell>
          <cell r="L166">
            <v>39248</v>
          </cell>
          <cell r="M166">
            <v>39536</v>
          </cell>
          <cell r="N166">
            <v>39550</v>
          </cell>
          <cell r="O166">
            <v>39642</v>
          </cell>
          <cell r="Q166" t="str">
            <v>R</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0.7</v>
          </cell>
          <cell r="AO166">
            <v>0.7</v>
          </cell>
          <cell r="AP166">
            <v>0.7</v>
          </cell>
          <cell r="AQ166">
            <v>0.7</v>
          </cell>
          <cell r="AR166">
            <v>0.7</v>
          </cell>
          <cell r="AS166">
            <v>0.7</v>
          </cell>
          <cell r="AT166">
            <v>0.7</v>
          </cell>
          <cell r="AU166">
            <v>0.7</v>
          </cell>
          <cell r="AV166">
            <v>0.7</v>
          </cell>
          <cell r="AW166">
            <v>0.7</v>
          </cell>
          <cell r="AX166">
            <v>0.7</v>
          </cell>
          <cell r="AY166">
            <v>0.7</v>
          </cell>
          <cell r="AZ166">
            <v>0.7</v>
          </cell>
          <cell r="BA166">
            <v>0.7</v>
          </cell>
          <cell r="BB166">
            <v>0.7</v>
          </cell>
          <cell r="BC166">
            <v>0.7</v>
          </cell>
          <cell r="BD166">
            <v>0.7</v>
          </cell>
          <cell r="BE166">
            <v>0.7</v>
          </cell>
          <cell r="BF166">
            <v>0.7</v>
          </cell>
          <cell r="BG166">
            <v>0.7</v>
          </cell>
          <cell r="BH166">
            <v>0.7</v>
          </cell>
          <cell r="BI166">
            <v>0.7</v>
          </cell>
          <cell r="BJ166">
            <v>0.7</v>
          </cell>
          <cell r="BK166">
            <v>0.7</v>
          </cell>
          <cell r="BL166">
            <v>0.7</v>
          </cell>
          <cell r="BM166">
            <v>0.7</v>
          </cell>
          <cell r="BN166">
            <v>0.7</v>
          </cell>
          <cell r="BO166">
            <v>0.7</v>
          </cell>
          <cell r="BP166">
            <v>0.7</v>
          </cell>
          <cell r="BQ166">
            <v>0.7</v>
          </cell>
          <cell r="BR166">
            <v>0.7</v>
          </cell>
          <cell r="BS166">
            <v>0.7</v>
          </cell>
          <cell r="BT166">
            <v>0.7</v>
          </cell>
          <cell r="BU166">
            <v>0.7</v>
          </cell>
          <cell r="BV166">
            <v>0.7</v>
          </cell>
          <cell r="BW166">
            <v>0.7</v>
          </cell>
          <cell r="BX166">
            <v>0.7</v>
          </cell>
          <cell r="BY166">
            <v>0.7</v>
          </cell>
          <cell r="BZ166">
            <v>0.7</v>
          </cell>
          <cell r="CA166">
            <v>0.7</v>
          </cell>
          <cell r="CB166">
            <v>0.7</v>
          </cell>
          <cell r="CC166">
            <v>0.7</v>
          </cell>
          <cell r="CD166">
            <v>0.7</v>
          </cell>
          <cell r="CE166">
            <v>0.95</v>
          </cell>
          <cell r="CF166">
            <v>0.95</v>
          </cell>
          <cell r="CG166">
            <v>0.95</v>
          </cell>
          <cell r="CH166">
            <v>0.95</v>
          </cell>
          <cell r="CI166">
            <v>0.95</v>
          </cell>
          <cell r="CJ166">
            <v>0.95</v>
          </cell>
          <cell r="CK166">
            <v>0.95</v>
          </cell>
        </row>
        <row r="167">
          <cell r="I167" t="str">
            <v>% PONDERADO 13</v>
          </cell>
          <cell r="Q167" t="str">
            <v>E</v>
          </cell>
          <cell r="AH167">
            <v>0.45</v>
          </cell>
          <cell r="AI167">
            <v>0.45</v>
          </cell>
          <cell r="AJ167">
            <v>0.45</v>
          </cell>
          <cell r="AK167">
            <v>0.45</v>
          </cell>
          <cell r="AL167">
            <v>0.45</v>
          </cell>
          <cell r="AM167">
            <v>0.45</v>
          </cell>
          <cell r="AN167">
            <v>0.45</v>
          </cell>
          <cell r="AO167">
            <v>0.45</v>
          </cell>
          <cell r="AP167">
            <v>0.45</v>
          </cell>
          <cell r="AQ167">
            <v>0.45</v>
          </cell>
          <cell r="AR167">
            <v>0.45</v>
          </cell>
          <cell r="AS167">
            <v>0.45</v>
          </cell>
          <cell r="AT167">
            <v>0.45</v>
          </cell>
          <cell r="AU167">
            <v>0.45</v>
          </cell>
          <cell r="AV167">
            <v>0.45</v>
          </cell>
          <cell r="AW167">
            <v>0.45</v>
          </cell>
          <cell r="AX167">
            <v>0.45</v>
          </cell>
          <cell r="AY167">
            <v>0.45</v>
          </cell>
          <cell r="AZ167">
            <v>0.45</v>
          </cell>
          <cell r="BA167">
            <v>0.16500000000000001</v>
          </cell>
          <cell r="BB167">
            <v>0.45</v>
          </cell>
          <cell r="BC167">
            <v>0.45</v>
          </cell>
          <cell r="BD167">
            <v>0.45</v>
          </cell>
          <cell r="BE167">
            <v>0.16500000000000001</v>
          </cell>
          <cell r="BF167">
            <v>0.16500000000000001</v>
          </cell>
          <cell r="BG167">
            <v>0.16500000000000001</v>
          </cell>
          <cell r="BH167">
            <v>0.16500000000000001</v>
          </cell>
          <cell r="BI167">
            <v>0.28289999999999998</v>
          </cell>
          <cell r="BJ167">
            <v>0.28289999999999998</v>
          </cell>
          <cell r="BK167">
            <v>0.28289999999999998</v>
          </cell>
          <cell r="BL167">
            <v>0.28289999999999998</v>
          </cell>
          <cell r="BM167">
            <v>0.28289999999999998</v>
          </cell>
          <cell r="BN167">
            <v>0.28289999999999998</v>
          </cell>
          <cell r="BO167">
            <v>0.28289999999999998</v>
          </cell>
          <cell r="BP167">
            <v>0.28289999999999998</v>
          </cell>
          <cell r="BQ167">
            <v>0.67930000000000001</v>
          </cell>
          <cell r="BR167">
            <v>0.66</v>
          </cell>
          <cell r="BS167">
            <v>0.66</v>
          </cell>
          <cell r="BT167">
            <v>0.66</v>
          </cell>
          <cell r="BU167">
            <v>0.66</v>
          </cell>
          <cell r="BV167">
            <v>0.66</v>
          </cell>
          <cell r="BW167">
            <v>0.6714</v>
          </cell>
          <cell r="BX167">
            <v>0.68459999999999999</v>
          </cell>
          <cell r="BY167">
            <v>0.68459999999999999</v>
          </cell>
          <cell r="BZ167">
            <v>0.68459999999999999</v>
          </cell>
          <cell r="CA167">
            <v>0.68459999999999999</v>
          </cell>
          <cell r="CB167">
            <v>0.68459999999999999</v>
          </cell>
          <cell r="CC167">
            <v>0.68459999999999999</v>
          </cell>
          <cell r="CD167">
            <v>0</v>
          </cell>
          <cell r="CE167">
            <v>0</v>
          </cell>
          <cell r="CF167">
            <v>0</v>
          </cell>
          <cell r="CG167">
            <v>0</v>
          </cell>
          <cell r="CH167">
            <v>0</v>
          </cell>
          <cell r="CI167">
            <v>0</v>
          </cell>
          <cell r="CJ167">
            <v>0</v>
          </cell>
          <cell r="CK167">
            <v>0</v>
          </cell>
        </row>
        <row r="168">
          <cell r="E168">
            <v>46</v>
          </cell>
          <cell r="I168" t="str">
            <v xml:space="preserve">Emisión Isometricos Plantas de Desmantelamiento  </v>
          </cell>
          <cell r="Q168" t="str">
            <v>P</v>
          </cell>
        </row>
        <row r="169">
          <cell r="D169" t="str">
            <v>01</v>
          </cell>
          <cell r="E169" t="str">
            <v>46</v>
          </cell>
          <cell r="F169" t="str">
            <v>T01</v>
          </cell>
          <cell r="G169" t="str">
            <v>TEC</v>
          </cell>
          <cell r="H169" t="str">
            <v>001</v>
          </cell>
          <cell r="I169" t="str">
            <v>CARPETAS DE TIE-INS</v>
          </cell>
          <cell r="J169">
            <v>39300</v>
          </cell>
          <cell r="K169">
            <v>39363</v>
          </cell>
          <cell r="L169">
            <v>39377</v>
          </cell>
          <cell r="M169">
            <v>39431</v>
          </cell>
          <cell r="N169">
            <v>39445</v>
          </cell>
          <cell r="O169">
            <v>39476</v>
          </cell>
          <cell r="P169">
            <v>81.2</v>
          </cell>
          <cell r="Q169" t="str">
            <v>P</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0.5</v>
          </cell>
          <cell r="BE169">
            <v>0.5</v>
          </cell>
          <cell r="BF169">
            <v>0.7</v>
          </cell>
          <cell r="BG169">
            <v>0.7</v>
          </cell>
          <cell r="BH169">
            <v>0.7</v>
          </cell>
          <cell r="BI169">
            <v>0.7</v>
          </cell>
          <cell r="BJ169">
            <v>0.7</v>
          </cell>
          <cell r="BK169">
            <v>0.7</v>
          </cell>
          <cell r="BL169">
            <v>0.7</v>
          </cell>
          <cell r="BM169">
            <v>0.7</v>
          </cell>
          <cell r="BN169">
            <v>0.7</v>
          </cell>
          <cell r="BO169">
            <v>0.7</v>
          </cell>
          <cell r="BP169">
            <v>0.95</v>
          </cell>
          <cell r="BQ169">
            <v>0.95</v>
          </cell>
          <cell r="BR169">
            <v>0.95</v>
          </cell>
          <cell r="BS169">
            <v>0.95</v>
          </cell>
          <cell r="BT169">
            <v>1</v>
          </cell>
          <cell r="BU169">
            <v>1</v>
          </cell>
          <cell r="BV169">
            <v>1</v>
          </cell>
          <cell r="BW169">
            <v>1</v>
          </cell>
          <cell r="BX169">
            <v>1</v>
          </cell>
          <cell r="BY169">
            <v>1</v>
          </cell>
          <cell r="BZ169">
            <v>1</v>
          </cell>
          <cell r="CA169">
            <v>1</v>
          </cell>
          <cell r="CB169">
            <v>1</v>
          </cell>
          <cell r="CC169">
            <v>1</v>
          </cell>
          <cell r="CD169">
            <v>1</v>
          </cell>
          <cell r="CE169">
            <v>1</v>
          </cell>
          <cell r="CF169">
            <v>1</v>
          </cell>
          <cell r="CG169">
            <v>1</v>
          </cell>
          <cell r="CH169">
            <v>1</v>
          </cell>
          <cell r="CI169">
            <v>1</v>
          </cell>
          <cell r="CJ169">
            <v>1</v>
          </cell>
          <cell r="CK169">
            <v>1</v>
          </cell>
        </row>
        <row r="170">
          <cell r="J170">
            <v>39497</v>
          </cell>
          <cell r="K170">
            <v>39514</v>
          </cell>
          <cell r="L170">
            <v>39528</v>
          </cell>
          <cell r="M170">
            <v>39536</v>
          </cell>
          <cell r="N170">
            <v>39550</v>
          </cell>
          <cell r="O170">
            <v>39642</v>
          </cell>
          <cell r="Q170" t="str">
            <v>R</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0.5</v>
          </cell>
          <cell r="CA170">
            <v>0.5</v>
          </cell>
          <cell r="CB170">
            <v>0.7</v>
          </cell>
          <cell r="CC170">
            <v>0.7</v>
          </cell>
          <cell r="CD170">
            <v>0.7</v>
          </cell>
          <cell r="CE170">
            <v>0.95</v>
          </cell>
          <cell r="CF170">
            <v>0.95</v>
          </cell>
          <cell r="CG170">
            <v>0.95</v>
          </cell>
          <cell r="CH170">
            <v>0.95</v>
          </cell>
          <cell r="CI170">
            <v>0.95</v>
          </cell>
          <cell r="CJ170">
            <v>0.95</v>
          </cell>
          <cell r="CK170">
            <v>0.95</v>
          </cell>
        </row>
        <row r="171">
          <cell r="Q171" t="str">
            <v>E</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S171">
            <v>0</v>
          </cell>
          <cell r="BT171">
            <v>0</v>
          </cell>
          <cell r="BU171">
            <v>0</v>
          </cell>
          <cell r="BV171">
            <v>0</v>
          </cell>
          <cell r="BW171">
            <v>0.5</v>
          </cell>
          <cell r="BX171">
            <v>0.5</v>
          </cell>
          <cell r="BY171">
            <v>0.5</v>
          </cell>
          <cell r="BZ171">
            <v>0.5</v>
          </cell>
          <cell r="CA171">
            <v>0.7</v>
          </cell>
          <cell r="CB171">
            <v>0.7</v>
          </cell>
          <cell r="CC171">
            <v>0.7</v>
          </cell>
          <cell r="CD171">
            <v>0</v>
          </cell>
          <cell r="CE171">
            <v>0</v>
          </cell>
          <cell r="CF171">
            <v>0</v>
          </cell>
          <cell r="CG171">
            <v>0</v>
          </cell>
          <cell r="CH171">
            <v>0</v>
          </cell>
          <cell r="CI171">
            <v>0</v>
          </cell>
          <cell r="CJ171">
            <v>0</v>
          </cell>
          <cell r="CK171">
            <v>0</v>
          </cell>
        </row>
        <row r="172">
          <cell r="D172" t="str">
            <v>01</v>
          </cell>
          <cell r="E172">
            <v>46</v>
          </cell>
          <cell r="F172" t="str">
            <v>T01</v>
          </cell>
          <cell r="G172" t="str">
            <v>TEC</v>
          </cell>
          <cell r="H172" t="str">
            <v>002</v>
          </cell>
          <cell r="I172" t="str">
            <v>LISTA DE PARTIDAS Y CANTIDADES DE OBRA,DESMONTAJE, PREFAB., MONTAJE, SOPORT., PINTURA Y AISLAMIENTO TERMICO DE TUBERIA</v>
          </cell>
          <cell r="J172">
            <v>39328</v>
          </cell>
          <cell r="K172">
            <v>39381</v>
          </cell>
          <cell r="L172">
            <v>39395</v>
          </cell>
          <cell r="M172">
            <v>39431</v>
          </cell>
          <cell r="N172">
            <v>39445</v>
          </cell>
          <cell r="O172">
            <v>39476</v>
          </cell>
          <cell r="P172">
            <v>57.249037162162168</v>
          </cell>
          <cell r="Q172" t="str">
            <v>P</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0.5</v>
          </cell>
          <cell r="BH172">
            <v>0.5</v>
          </cell>
          <cell r="BI172">
            <v>0.7</v>
          </cell>
          <cell r="BJ172">
            <v>0.7</v>
          </cell>
          <cell r="BK172">
            <v>0.7</v>
          </cell>
          <cell r="BL172">
            <v>0.7</v>
          </cell>
          <cell r="BM172">
            <v>0.7</v>
          </cell>
          <cell r="BN172">
            <v>0.7</v>
          </cell>
          <cell r="BO172">
            <v>0.7</v>
          </cell>
          <cell r="BP172">
            <v>0.95</v>
          </cell>
          <cell r="BQ172">
            <v>0.95</v>
          </cell>
          <cell r="BR172">
            <v>0.95</v>
          </cell>
          <cell r="BS172">
            <v>0.95</v>
          </cell>
          <cell r="BT172">
            <v>1</v>
          </cell>
          <cell r="BU172">
            <v>1</v>
          </cell>
          <cell r="BV172">
            <v>1</v>
          </cell>
          <cell r="BW172">
            <v>1</v>
          </cell>
          <cell r="BX172">
            <v>1</v>
          </cell>
          <cell r="BY172">
            <v>1</v>
          </cell>
          <cell r="BZ172">
            <v>1</v>
          </cell>
          <cell r="CA172">
            <v>1</v>
          </cell>
          <cell r="CB172">
            <v>1</v>
          </cell>
          <cell r="CC172">
            <v>1</v>
          </cell>
          <cell r="CD172">
            <v>1</v>
          </cell>
          <cell r="CE172">
            <v>1</v>
          </cell>
          <cell r="CF172">
            <v>1</v>
          </cell>
          <cell r="CG172">
            <v>1</v>
          </cell>
          <cell r="CH172">
            <v>1</v>
          </cell>
          <cell r="CI172">
            <v>1</v>
          </cell>
          <cell r="CJ172">
            <v>1</v>
          </cell>
          <cell r="CK172">
            <v>1</v>
          </cell>
        </row>
        <row r="173">
          <cell r="J173">
            <v>39508</v>
          </cell>
          <cell r="K173">
            <v>39517</v>
          </cell>
          <cell r="L173">
            <v>39531</v>
          </cell>
          <cell r="M173">
            <v>39536</v>
          </cell>
          <cell r="N173">
            <v>39550</v>
          </cell>
          <cell r="O173">
            <v>39642</v>
          </cell>
          <cell r="Q173" t="str">
            <v>R</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0.5</v>
          </cell>
          <cell r="CA173">
            <v>0.5</v>
          </cell>
          <cell r="CB173">
            <v>0.7</v>
          </cell>
          <cell r="CC173">
            <v>0.7</v>
          </cell>
          <cell r="CD173">
            <v>0.7</v>
          </cell>
          <cell r="CE173">
            <v>0.95</v>
          </cell>
          <cell r="CF173">
            <v>0.95</v>
          </cell>
          <cell r="CG173">
            <v>0.95</v>
          </cell>
          <cell r="CH173">
            <v>0.95</v>
          </cell>
          <cell r="CI173">
            <v>0.95</v>
          </cell>
          <cell r="CJ173">
            <v>0.95</v>
          </cell>
          <cell r="CK173">
            <v>0.95</v>
          </cell>
        </row>
        <row r="174">
          <cell r="Q174" t="str">
            <v>E</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0.5</v>
          </cell>
          <cell r="BX174">
            <v>0.7</v>
          </cell>
          <cell r="BY174">
            <v>0.7</v>
          </cell>
          <cell r="BZ174">
            <v>0.7</v>
          </cell>
          <cell r="CA174">
            <v>0.7</v>
          </cell>
          <cell r="CB174">
            <v>0.7</v>
          </cell>
          <cell r="CC174">
            <v>0.95</v>
          </cell>
          <cell r="CD174">
            <v>0</v>
          </cell>
          <cell r="CE174">
            <v>0</v>
          </cell>
          <cell r="CF174">
            <v>0</v>
          </cell>
          <cell r="CG174">
            <v>0</v>
          </cell>
          <cell r="CH174">
            <v>0</v>
          </cell>
          <cell r="CI174">
            <v>0</v>
          </cell>
          <cell r="CJ174">
            <v>0</v>
          </cell>
          <cell r="CK174">
            <v>0</v>
          </cell>
        </row>
        <row r="175">
          <cell r="D175" t="str">
            <v>01</v>
          </cell>
          <cell r="E175" t="str">
            <v>46</v>
          </cell>
          <cell r="F175" t="str">
            <v>E23</v>
          </cell>
          <cell r="H175">
            <v>101</v>
          </cell>
          <cell r="I175" t="str">
            <v>PLANO DE CLASIFICACION DE AREAS PELIGROSAS - AREA 46</v>
          </cell>
          <cell r="J175">
            <v>39235</v>
          </cell>
          <cell r="K175">
            <v>39273</v>
          </cell>
          <cell r="L175">
            <v>39287</v>
          </cell>
          <cell r="M175">
            <v>39288</v>
          </cell>
          <cell r="N175">
            <v>39302</v>
          </cell>
          <cell r="O175">
            <v>39476</v>
          </cell>
          <cell r="P175">
            <v>113.60738798431184</v>
          </cell>
          <cell r="Q175" t="str">
            <v>P</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0.5</v>
          </cell>
          <cell r="AR175">
            <v>0.5</v>
          </cell>
          <cell r="AS175">
            <v>0.7</v>
          </cell>
          <cell r="AT175">
            <v>0.7</v>
          </cell>
          <cell r="AU175">
            <v>0.95</v>
          </cell>
          <cell r="AV175">
            <v>0.95</v>
          </cell>
          <cell r="AW175">
            <v>0.95</v>
          </cell>
          <cell r="AX175">
            <v>0.95</v>
          </cell>
          <cell r="AY175">
            <v>0.95</v>
          </cell>
          <cell r="AZ175">
            <v>0.95</v>
          </cell>
          <cell r="BA175">
            <v>0.95</v>
          </cell>
          <cell r="BB175">
            <v>0.95</v>
          </cell>
          <cell r="BC175">
            <v>0.95</v>
          </cell>
          <cell r="BD175">
            <v>0.95</v>
          </cell>
          <cell r="BE175">
            <v>0.95</v>
          </cell>
          <cell r="BF175">
            <v>0.95</v>
          </cell>
          <cell r="BG175">
            <v>0.95</v>
          </cell>
          <cell r="BH175">
            <v>0.95</v>
          </cell>
          <cell r="BI175">
            <v>0.95</v>
          </cell>
          <cell r="BJ175">
            <v>0.95</v>
          </cell>
          <cell r="BK175">
            <v>0.95</v>
          </cell>
          <cell r="BL175">
            <v>0.95</v>
          </cell>
          <cell r="BM175">
            <v>0.95</v>
          </cell>
          <cell r="BN175">
            <v>0.95</v>
          </cell>
          <cell r="BO175">
            <v>0.95</v>
          </cell>
          <cell r="BP175">
            <v>0.95</v>
          </cell>
          <cell r="BQ175">
            <v>0.95</v>
          </cell>
          <cell r="BR175">
            <v>0.95</v>
          </cell>
          <cell r="BS175">
            <v>0.95</v>
          </cell>
          <cell r="BT175">
            <v>1</v>
          </cell>
          <cell r="BU175">
            <v>1</v>
          </cell>
          <cell r="BV175">
            <v>1</v>
          </cell>
          <cell r="BW175">
            <v>1</v>
          </cell>
          <cell r="BX175">
            <v>1</v>
          </cell>
          <cell r="BY175">
            <v>1</v>
          </cell>
          <cell r="BZ175">
            <v>1</v>
          </cell>
          <cell r="CA175">
            <v>1</v>
          </cell>
          <cell r="CB175">
            <v>1</v>
          </cell>
          <cell r="CC175">
            <v>1</v>
          </cell>
          <cell r="CD175">
            <v>1</v>
          </cell>
          <cell r="CE175">
            <v>1</v>
          </cell>
          <cell r="CF175">
            <v>1</v>
          </cell>
          <cell r="CG175">
            <v>1</v>
          </cell>
          <cell r="CH175">
            <v>1</v>
          </cell>
          <cell r="CI175">
            <v>1</v>
          </cell>
          <cell r="CJ175">
            <v>1</v>
          </cell>
          <cell r="CK175">
            <v>1</v>
          </cell>
        </row>
        <row r="176">
          <cell r="J176">
            <v>39235</v>
          </cell>
          <cell r="K176">
            <v>39273</v>
          </cell>
          <cell r="L176">
            <v>39401</v>
          </cell>
          <cell r="M176">
            <v>39472</v>
          </cell>
          <cell r="N176">
            <v>39500</v>
          </cell>
          <cell r="O176">
            <v>39642</v>
          </cell>
          <cell r="Q176" t="str">
            <v>R</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0.5</v>
          </cell>
          <cell r="AR176">
            <v>0.5</v>
          </cell>
          <cell r="AS176">
            <v>0.5</v>
          </cell>
          <cell r="AT176">
            <v>0.5</v>
          </cell>
          <cell r="AU176">
            <v>0.5</v>
          </cell>
          <cell r="AV176">
            <v>0.5</v>
          </cell>
          <cell r="AW176">
            <v>0.5</v>
          </cell>
          <cell r="AX176">
            <v>0.5</v>
          </cell>
          <cell r="AY176">
            <v>0.5</v>
          </cell>
          <cell r="AZ176">
            <v>0.5</v>
          </cell>
          <cell r="BA176">
            <v>0.5</v>
          </cell>
          <cell r="BB176">
            <v>0.5</v>
          </cell>
          <cell r="BC176">
            <v>0.5</v>
          </cell>
          <cell r="BD176">
            <v>0.5</v>
          </cell>
          <cell r="BE176">
            <v>0.5</v>
          </cell>
          <cell r="BF176">
            <v>0.5</v>
          </cell>
          <cell r="BG176">
            <v>0.5</v>
          </cell>
          <cell r="BH176">
            <v>0.5</v>
          </cell>
          <cell r="BI176">
            <v>0.7</v>
          </cell>
          <cell r="BJ176">
            <v>0.7</v>
          </cell>
          <cell r="BK176">
            <v>0.7</v>
          </cell>
          <cell r="BL176">
            <v>0.7</v>
          </cell>
          <cell r="BM176">
            <v>0.7</v>
          </cell>
          <cell r="BN176">
            <v>0.7</v>
          </cell>
          <cell r="BO176">
            <v>0.7</v>
          </cell>
          <cell r="BP176">
            <v>0.7</v>
          </cell>
          <cell r="BQ176">
            <v>0.7</v>
          </cell>
          <cell r="BR176">
            <v>0.7</v>
          </cell>
          <cell r="BS176">
            <v>0.7</v>
          </cell>
          <cell r="BT176">
            <v>0.7</v>
          </cell>
          <cell r="BU176">
            <v>0.7</v>
          </cell>
          <cell r="BV176">
            <v>0.7</v>
          </cell>
          <cell r="BW176">
            <v>0.7</v>
          </cell>
          <cell r="BX176">
            <v>0.95</v>
          </cell>
          <cell r="BY176">
            <v>0.95</v>
          </cell>
          <cell r="BZ176">
            <v>0.95</v>
          </cell>
          <cell r="CA176">
            <v>0.95</v>
          </cell>
          <cell r="CB176">
            <v>0.95</v>
          </cell>
          <cell r="CC176">
            <v>0.95</v>
          </cell>
          <cell r="CD176">
            <v>0.95</v>
          </cell>
          <cell r="CE176">
            <v>0.95</v>
          </cell>
          <cell r="CF176">
            <v>0.95</v>
          </cell>
          <cell r="CG176">
            <v>0.95</v>
          </cell>
          <cell r="CH176">
            <v>0.95</v>
          </cell>
          <cell r="CI176">
            <v>0.95</v>
          </cell>
          <cell r="CJ176">
            <v>0.95</v>
          </cell>
          <cell r="CK176">
            <v>0.95</v>
          </cell>
        </row>
        <row r="177">
          <cell r="Q177" t="str">
            <v>E</v>
          </cell>
          <cell r="AJ177">
            <v>0</v>
          </cell>
          <cell r="AK177">
            <v>0</v>
          </cell>
          <cell r="AL177">
            <v>0</v>
          </cell>
          <cell r="AM177">
            <v>0.5</v>
          </cell>
          <cell r="AN177">
            <v>0.5</v>
          </cell>
          <cell r="AO177">
            <v>0.5</v>
          </cell>
          <cell r="AP177">
            <v>0.5</v>
          </cell>
          <cell r="AQ177">
            <v>0.5</v>
          </cell>
          <cell r="AR177">
            <v>0.5</v>
          </cell>
          <cell r="AS177">
            <v>0.5</v>
          </cell>
          <cell r="AT177">
            <v>0.5</v>
          </cell>
          <cell r="AU177">
            <v>0.5</v>
          </cell>
          <cell r="AV177">
            <v>0.5</v>
          </cell>
          <cell r="AW177">
            <v>0.5</v>
          </cell>
          <cell r="AX177">
            <v>0.5</v>
          </cell>
          <cell r="AY177">
            <v>0.5</v>
          </cell>
          <cell r="AZ177">
            <v>0.5</v>
          </cell>
          <cell r="BA177">
            <v>0.5</v>
          </cell>
          <cell r="BB177">
            <v>0.5</v>
          </cell>
          <cell r="BC177">
            <v>0.5</v>
          </cell>
          <cell r="BD177">
            <v>0.5</v>
          </cell>
          <cell r="BE177">
            <v>0.5</v>
          </cell>
          <cell r="BF177">
            <v>0.5</v>
          </cell>
          <cell r="BG177">
            <v>0.5</v>
          </cell>
          <cell r="BH177">
            <v>0.5</v>
          </cell>
          <cell r="BI177">
            <v>0.5</v>
          </cell>
          <cell r="BJ177">
            <v>0.5</v>
          </cell>
          <cell r="BK177">
            <v>0.5</v>
          </cell>
          <cell r="BL177">
            <v>0.5</v>
          </cell>
          <cell r="BM177">
            <v>0.5</v>
          </cell>
          <cell r="BN177">
            <v>0.7</v>
          </cell>
          <cell r="BO177">
            <v>0.7</v>
          </cell>
          <cell r="BP177">
            <v>0.7</v>
          </cell>
          <cell r="BQ177">
            <v>0.7</v>
          </cell>
          <cell r="BR177">
            <v>0.7</v>
          </cell>
          <cell r="BS177">
            <v>0.7</v>
          </cell>
          <cell r="BT177">
            <v>0.7</v>
          </cell>
          <cell r="BU177">
            <v>0.7</v>
          </cell>
          <cell r="BV177">
            <v>0.7</v>
          </cell>
          <cell r="BW177">
            <v>0.7</v>
          </cell>
          <cell r="BX177">
            <v>0.7</v>
          </cell>
          <cell r="BY177">
            <v>0.7</v>
          </cell>
          <cell r="BZ177">
            <v>0.7</v>
          </cell>
          <cell r="CA177">
            <v>0.7</v>
          </cell>
          <cell r="CB177">
            <v>0.7</v>
          </cell>
          <cell r="CC177">
            <v>0.7</v>
          </cell>
          <cell r="CD177">
            <v>0</v>
          </cell>
          <cell r="CE177">
            <v>0</v>
          </cell>
          <cell r="CF177">
            <v>0</v>
          </cell>
          <cell r="CG177">
            <v>0</v>
          </cell>
          <cell r="CH177">
            <v>0</v>
          </cell>
          <cell r="CI177">
            <v>0</v>
          </cell>
          <cell r="CJ177">
            <v>0</v>
          </cell>
          <cell r="CK177">
            <v>0</v>
          </cell>
        </row>
        <row r="178">
          <cell r="D178" t="str">
            <v>01</v>
          </cell>
          <cell r="E178" t="str">
            <v>46</v>
          </cell>
          <cell r="F178" t="str">
            <v>E01</v>
          </cell>
          <cell r="G178" t="str">
            <v>TEC</v>
          </cell>
          <cell r="H178" t="str">
            <v>004</v>
          </cell>
          <cell r="I178" t="str">
            <v>REVISION Y ACTUAL. ANALISIS Y RESUMEN CARGAS ELECTRICAS AREA 46</v>
          </cell>
          <cell r="J178">
            <v>39237</v>
          </cell>
          <cell r="K178">
            <v>39248</v>
          </cell>
          <cell r="L178">
            <v>39262</v>
          </cell>
          <cell r="M178">
            <v>39269</v>
          </cell>
          <cell r="N178">
            <v>39283</v>
          </cell>
          <cell r="O178">
            <v>39476</v>
          </cell>
          <cell r="P178">
            <v>31.704575707154795</v>
          </cell>
          <cell r="Q178" t="str">
            <v>P</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0.5</v>
          </cell>
          <cell r="AO178">
            <v>0.5</v>
          </cell>
          <cell r="AP178">
            <v>0.7</v>
          </cell>
          <cell r="AQ178">
            <v>0.7</v>
          </cell>
          <cell r="AR178">
            <v>0.7</v>
          </cell>
          <cell r="AS178">
            <v>0.95</v>
          </cell>
          <cell r="AT178">
            <v>0.95</v>
          </cell>
          <cell r="AU178">
            <v>0.95</v>
          </cell>
          <cell r="AV178">
            <v>0.95</v>
          </cell>
          <cell r="AW178">
            <v>0.95</v>
          </cell>
          <cell r="AX178">
            <v>0.95</v>
          </cell>
          <cell r="AY178">
            <v>0.95</v>
          </cell>
          <cell r="AZ178">
            <v>0.95</v>
          </cell>
          <cell r="BA178">
            <v>0.95</v>
          </cell>
          <cell r="BB178">
            <v>0.95</v>
          </cell>
          <cell r="BC178">
            <v>0.95</v>
          </cell>
          <cell r="BD178">
            <v>0.95</v>
          </cell>
          <cell r="BE178">
            <v>0.95</v>
          </cell>
          <cell r="BF178">
            <v>0.95</v>
          </cell>
          <cell r="BG178">
            <v>0.95</v>
          </cell>
          <cell r="BH178">
            <v>0.95</v>
          </cell>
          <cell r="BI178">
            <v>0.95</v>
          </cell>
          <cell r="BJ178">
            <v>0.95</v>
          </cell>
          <cell r="BK178">
            <v>0.95</v>
          </cell>
          <cell r="BL178">
            <v>0.95</v>
          </cell>
          <cell r="BM178">
            <v>0.95</v>
          </cell>
          <cell r="BN178">
            <v>0.95</v>
          </cell>
          <cell r="BO178">
            <v>0.95</v>
          </cell>
          <cell r="BP178">
            <v>0.95</v>
          </cell>
          <cell r="BQ178">
            <v>0.95</v>
          </cell>
          <cell r="BR178">
            <v>0.95</v>
          </cell>
          <cell r="BS178">
            <v>0.95</v>
          </cell>
          <cell r="BT178">
            <v>1</v>
          </cell>
          <cell r="BU178">
            <v>1</v>
          </cell>
          <cell r="BV178">
            <v>1</v>
          </cell>
          <cell r="BW178">
            <v>1</v>
          </cell>
          <cell r="BX178">
            <v>1</v>
          </cell>
          <cell r="BY178">
            <v>1</v>
          </cell>
          <cell r="BZ178">
            <v>1</v>
          </cell>
          <cell r="CA178">
            <v>1</v>
          </cell>
          <cell r="CB178">
            <v>1</v>
          </cell>
          <cell r="CC178">
            <v>1</v>
          </cell>
          <cell r="CD178">
            <v>1</v>
          </cell>
          <cell r="CE178">
            <v>1</v>
          </cell>
          <cell r="CF178">
            <v>1</v>
          </cell>
          <cell r="CG178">
            <v>1</v>
          </cell>
          <cell r="CH178">
            <v>1</v>
          </cell>
          <cell r="CI178">
            <v>1</v>
          </cell>
          <cell r="CJ178">
            <v>1</v>
          </cell>
          <cell r="CK178">
            <v>1</v>
          </cell>
        </row>
        <row r="179">
          <cell r="J179">
            <v>39237</v>
          </cell>
          <cell r="K179">
            <v>39248</v>
          </cell>
          <cell r="L179">
            <v>39386</v>
          </cell>
          <cell r="M179">
            <v>39402</v>
          </cell>
          <cell r="N179">
            <v>39416</v>
          </cell>
          <cell r="O179">
            <v>39642</v>
          </cell>
          <cell r="Q179" t="str">
            <v>R</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0.5</v>
          </cell>
          <cell r="AO179">
            <v>0.5</v>
          </cell>
          <cell r="AP179">
            <v>0.5</v>
          </cell>
          <cell r="AQ179">
            <v>0.5</v>
          </cell>
          <cell r="AR179">
            <v>0.5</v>
          </cell>
          <cell r="AS179">
            <v>0.5</v>
          </cell>
          <cell r="AT179">
            <v>0.5</v>
          </cell>
          <cell r="AU179">
            <v>0.5</v>
          </cell>
          <cell r="AV179">
            <v>0.5</v>
          </cell>
          <cell r="AW179">
            <v>0.5</v>
          </cell>
          <cell r="AX179">
            <v>0.5</v>
          </cell>
          <cell r="AY179">
            <v>0.5</v>
          </cell>
          <cell r="AZ179">
            <v>0.5</v>
          </cell>
          <cell r="BA179">
            <v>0.5</v>
          </cell>
          <cell r="BB179">
            <v>0.5</v>
          </cell>
          <cell r="BC179">
            <v>0.5</v>
          </cell>
          <cell r="BD179">
            <v>0.5</v>
          </cell>
          <cell r="BE179">
            <v>0.5</v>
          </cell>
          <cell r="BF179">
            <v>0.5</v>
          </cell>
          <cell r="BG179">
            <v>0.7</v>
          </cell>
          <cell r="BH179">
            <v>0.7</v>
          </cell>
          <cell r="BI179">
            <v>0.7</v>
          </cell>
          <cell r="BJ179">
            <v>0.7</v>
          </cell>
          <cell r="BK179">
            <v>0.7</v>
          </cell>
          <cell r="BL179">
            <v>0.95</v>
          </cell>
          <cell r="BM179">
            <v>0.95</v>
          </cell>
          <cell r="BN179">
            <v>0.95</v>
          </cell>
          <cell r="BO179">
            <v>0.95</v>
          </cell>
          <cell r="BP179">
            <v>0.95</v>
          </cell>
          <cell r="BQ179">
            <v>0.95</v>
          </cell>
          <cell r="BR179">
            <v>0.95</v>
          </cell>
          <cell r="BS179">
            <v>0.95</v>
          </cell>
          <cell r="BT179">
            <v>0.95</v>
          </cell>
          <cell r="BU179">
            <v>0.95</v>
          </cell>
          <cell r="BV179">
            <v>0.95</v>
          </cell>
          <cell r="BW179">
            <v>0.95</v>
          </cell>
          <cell r="BX179">
            <v>0.95</v>
          </cell>
          <cell r="BY179">
            <v>0.95</v>
          </cell>
          <cell r="BZ179">
            <v>0.95</v>
          </cell>
          <cell r="CA179">
            <v>0.95</v>
          </cell>
          <cell r="CB179">
            <v>0.95</v>
          </cell>
          <cell r="CC179">
            <v>0.95</v>
          </cell>
          <cell r="CD179">
            <v>0.95</v>
          </cell>
          <cell r="CE179">
            <v>0.95</v>
          </cell>
          <cell r="CF179">
            <v>0.95</v>
          </cell>
          <cell r="CG179">
            <v>0.95</v>
          </cell>
          <cell r="CH179">
            <v>0.95</v>
          </cell>
          <cell r="CI179">
            <v>0.95</v>
          </cell>
          <cell r="CJ179">
            <v>0.95</v>
          </cell>
          <cell r="CK179">
            <v>0.95</v>
          </cell>
        </row>
        <row r="180">
          <cell r="Q180" t="str">
            <v>E</v>
          </cell>
          <cell r="AH180">
            <v>0.25</v>
          </cell>
          <cell r="AI180">
            <v>0.45</v>
          </cell>
          <cell r="AJ180">
            <v>0.45</v>
          </cell>
          <cell r="AK180">
            <v>0.45</v>
          </cell>
          <cell r="AL180">
            <v>0.45</v>
          </cell>
          <cell r="AM180">
            <v>0.5</v>
          </cell>
          <cell r="AN180">
            <v>0.5</v>
          </cell>
          <cell r="AO180">
            <v>0.5</v>
          </cell>
          <cell r="AP180">
            <v>0.5</v>
          </cell>
          <cell r="AQ180">
            <v>0.5</v>
          </cell>
          <cell r="AR180">
            <v>0.5</v>
          </cell>
          <cell r="AS180">
            <v>0.5</v>
          </cell>
          <cell r="AT180">
            <v>0.5</v>
          </cell>
          <cell r="AU180">
            <v>0.5</v>
          </cell>
          <cell r="AV180">
            <v>0.5</v>
          </cell>
          <cell r="AW180">
            <v>0.5</v>
          </cell>
          <cell r="AX180">
            <v>0.5</v>
          </cell>
          <cell r="AY180">
            <v>0.5</v>
          </cell>
          <cell r="AZ180">
            <v>0.5</v>
          </cell>
          <cell r="BA180">
            <v>0.5</v>
          </cell>
          <cell r="BB180">
            <v>0.5</v>
          </cell>
          <cell r="BC180">
            <v>0.5</v>
          </cell>
          <cell r="BD180">
            <v>0.5</v>
          </cell>
          <cell r="BE180">
            <v>0.7</v>
          </cell>
          <cell r="BF180">
            <v>0.7</v>
          </cell>
          <cell r="BG180">
            <v>0.7</v>
          </cell>
          <cell r="BH180">
            <v>0.7</v>
          </cell>
          <cell r="BI180">
            <v>0.7</v>
          </cell>
          <cell r="BJ180">
            <v>0.7</v>
          </cell>
          <cell r="BK180">
            <v>0.95</v>
          </cell>
          <cell r="BL180">
            <v>0.95</v>
          </cell>
          <cell r="BM180">
            <v>0.95</v>
          </cell>
          <cell r="BN180">
            <v>0.95</v>
          </cell>
          <cell r="BO180">
            <v>0.95</v>
          </cell>
          <cell r="BP180">
            <v>0.95</v>
          </cell>
          <cell r="BQ180">
            <v>0.95</v>
          </cell>
          <cell r="BR180">
            <v>0.95</v>
          </cell>
          <cell r="BS180">
            <v>0.95</v>
          </cell>
          <cell r="BT180">
            <v>0.95</v>
          </cell>
          <cell r="BU180">
            <v>0.95</v>
          </cell>
          <cell r="BV180">
            <v>0.95</v>
          </cell>
          <cell r="BW180">
            <v>0.95</v>
          </cell>
          <cell r="BX180">
            <v>0.95</v>
          </cell>
          <cell r="BY180">
            <v>0.95</v>
          </cell>
          <cell r="BZ180">
            <v>0.95</v>
          </cell>
          <cell r="CA180">
            <v>0.95</v>
          </cell>
          <cell r="CB180">
            <v>0.95</v>
          </cell>
          <cell r="CC180">
            <v>0.95</v>
          </cell>
          <cell r="CD180">
            <v>0</v>
          </cell>
          <cell r="CE180">
            <v>0</v>
          </cell>
          <cell r="CF180">
            <v>0</v>
          </cell>
          <cell r="CG180">
            <v>0</v>
          </cell>
          <cell r="CH180">
            <v>0</v>
          </cell>
          <cell r="CI180">
            <v>0</v>
          </cell>
          <cell r="CJ180">
            <v>0</v>
          </cell>
          <cell r="CK180">
            <v>0</v>
          </cell>
        </row>
        <row r="181">
          <cell r="D181" t="str">
            <v>01</v>
          </cell>
          <cell r="E181" t="str">
            <v>46</v>
          </cell>
          <cell r="F181" t="str">
            <v>E01</v>
          </cell>
          <cell r="G181" t="str">
            <v>CAL</v>
          </cell>
          <cell r="H181" t="str">
            <v>004</v>
          </cell>
          <cell r="I181" t="str">
            <v>ESTUDIO ARRANQUE MOTORES - AREA 46</v>
          </cell>
          <cell r="J181">
            <v>39266</v>
          </cell>
          <cell r="K181">
            <v>39297</v>
          </cell>
          <cell r="L181">
            <v>39311</v>
          </cell>
          <cell r="M181">
            <v>39385</v>
          </cell>
          <cell r="N181">
            <v>39399</v>
          </cell>
          <cell r="O181">
            <v>39476</v>
          </cell>
          <cell r="P181">
            <v>58.180948419301238</v>
          </cell>
          <cell r="Q181" t="str">
            <v>P</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0.5</v>
          </cell>
          <cell r="AV181">
            <v>0.5</v>
          </cell>
          <cell r="AW181">
            <v>0.7</v>
          </cell>
          <cell r="AX181">
            <v>0.7</v>
          </cell>
          <cell r="AY181">
            <v>0.7</v>
          </cell>
          <cell r="AZ181">
            <v>0.7</v>
          </cell>
          <cell r="BA181">
            <v>0.7</v>
          </cell>
          <cell r="BB181">
            <v>0.7</v>
          </cell>
          <cell r="BC181">
            <v>0.7</v>
          </cell>
          <cell r="BD181">
            <v>0.7</v>
          </cell>
          <cell r="BE181">
            <v>0.7</v>
          </cell>
          <cell r="BF181">
            <v>0.7</v>
          </cell>
          <cell r="BG181">
            <v>0.7</v>
          </cell>
          <cell r="BH181">
            <v>0.7</v>
          </cell>
          <cell r="BI181">
            <v>0.95</v>
          </cell>
          <cell r="BJ181">
            <v>0.95</v>
          </cell>
          <cell r="BK181">
            <v>0.95</v>
          </cell>
          <cell r="BL181">
            <v>0.95</v>
          </cell>
          <cell r="BM181">
            <v>0.95</v>
          </cell>
          <cell r="BN181">
            <v>0.95</v>
          </cell>
          <cell r="BO181">
            <v>0.95</v>
          </cell>
          <cell r="BP181">
            <v>0.95</v>
          </cell>
          <cell r="BQ181">
            <v>0.95</v>
          </cell>
          <cell r="BR181">
            <v>0.95</v>
          </cell>
          <cell r="BS181">
            <v>0.95</v>
          </cell>
          <cell r="BT181">
            <v>1</v>
          </cell>
          <cell r="BU181">
            <v>1</v>
          </cell>
          <cell r="BV181">
            <v>1</v>
          </cell>
          <cell r="BW181">
            <v>1</v>
          </cell>
          <cell r="BX181">
            <v>1</v>
          </cell>
          <cell r="BY181">
            <v>1</v>
          </cell>
          <cell r="BZ181">
            <v>1</v>
          </cell>
          <cell r="CA181">
            <v>1</v>
          </cell>
          <cell r="CB181">
            <v>1</v>
          </cell>
          <cell r="CC181">
            <v>1</v>
          </cell>
          <cell r="CD181">
            <v>1</v>
          </cell>
          <cell r="CE181">
            <v>1</v>
          </cell>
          <cell r="CF181">
            <v>1</v>
          </cell>
          <cell r="CG181">
            <v>1</v>
          </cell>
          <cell r="CH181">
            <v>1</v>
          </cell>
          <cell r="CI181">
            <v>1</v>
          </cell>
          <cell r="CJ181">
            <v>1</v>
          </cell>
          <cell r="CK181">
            <v>1</v>
          </cell>
        </row>
        <row r="182">
          <cell r="J182">
            <v>39266</v>
          </cell>
          <cell r="K182">
            <v>39297</v>
          </cell>
          <cell r="L182">
            <v>39512</v>
          </cell>
          <cell r="M182">
            <v>39521</v>
          </cell>
          <cell r="N182">
            <v>39556</v>
          </cell>
          <cell r="O182">
            <v>39642</v>
          </cell>
          <cell r="Q182" t="str">
            <v>R</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0.5</v>
          </cell>
          <cell r="AV182">
            <v>0.5</v>
          </cell>
          <cell r="AW182">
            <v>0.5</v>
          </cell>
          <cell r="AX182">
            <v>0.5</v>
          </cell>
          <cell r="AY182">
            <v>0.5</v>
          </cell>
          <cell r="AZ182">
            <v>0.5</v>
          </cell>
          <cell r="BA182">
            <v>0.5</v>
          </cell>
          <cell r="BB182">
            <v>0.5</v>
          </cell>
          <cell r="BC182">
            <v>0.5</v>
          </cell>
          <cell r="BD182">
            <v>0.5</v>
          </cell>
          <cell r="BE182">
            <v>0.5</v>
          </cell>
          <cell r="BF182">
            <v>0.5</v>
          </cell>
          <cell r="BG182">
            <v>0.5</v>
          </cell>
          <cell r="BH182">
            <v>0.5</v>
          </cell>
          <cell r="BI182">
            <v>0.5</v>
          </cell>
          <cell r="BJ182">
            <v>0.5</v>
          </cell>
          <cell r="BK182">
            <v>0.5</v>
          </cell>
          <cell r="BL182">
            <v>0.5</v>
          </cell>
          <cell r="BM182">
            <v>0.5</v>
          </cell>
          <cell r="BN182">
            <v>0.5</v>
          </cell>
          <cell r="BO182">
            <v>0.5</v>
          </cell>
          <cell r="BP182">
            <v>0.5</v>
          </cell>
          <cell r="BQ182">
            <v>0.5</v>
          </cell>
          <cell r="BR182">
            <v>0.5</v>
          </cell>
          <cell r="BS182">
            <v>0.5</v>
          </cell>
          <cell r="BT182">
            <v>0.5</v>
          </cell>
          <cell r="BU182">
            <v>0.5</v>
          </cell>
          <cell r="BV182">
            <v>0.5</v>
          </cell>
          <cell r="BW182">
            <v>0.5</v>
          </cell>
          <cell r="BX182">
            <v>0.5</v>
          </cell>
          <cell r="BY182">
            <v>0.7</v>
          </cell>
          <cell r="BZ182">
            <v>0.7</v>
          </cell>
          <cell r="CA182">
            <v>0.7</v>
          </cell>
          <cell r="CB182">
            <v>0.7</v>
          </cell>
          <cell r="CC182">
            <v>0.7</v>
          </cell>
          <cell r="CD182">
            <v>0.7</v>
          </cell>
          <cell r="CE182">
            <v>0.7</v>
          </cell>
          <cell r="CF182">
            <v>0.95</v>
          </cell>
          <cell r="CG182">
            <v>0.95</v>
          </cell>
          <cell r="CH182">
            <v>0.95</v>
          </cell>
          <cell r="CI182">
            <v>0.95</v>
          </cell>
          <cell r="CJ182">
            <v>0.95</v>
          </cell>
          <cell r="CK182">
            <v>0.95</v>
          </cell>
        </row>
        <row r="183">
          <cell r="Q183" t="str">
            <v>E</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0.5</v>
          </cell>
          <cell r="BA183">
            <v>0.5</v>
          </cell>
          <cell r="BB183">
            <v>0.5</v>
          </cell>
          <cell r="BC183">
            <v>0.5</v>
          </cell>
          <cell r="BD183">
            <v>0.5</v>
          </cell>
          <cell r="BE183">
            <v>0.5</v>
          </cell>
          <cell r="BF183">
            <v>0.5</v>
          </cell>
          <cell r="BG183">
            <v>0.5</v>
          </cell>
          <cell r="BH183">
            <v>0.5</v>
          </cell>
          <cell r="BI183">
            <v>0.5</v>
          </cell>
          <cell r="BJ183">
            <v>0.5</v>
          </cell>
          <cell r="BK183">
            <v>0.5</v>
          </cell>
          <cell r="BL183">
            <v>0.5</v>
          </cell>
          <cell r="BM183">
            <v>0.5</v>
          </cell>
          <cell r="BN183">
            <v>0.5</v>
          </cell>
          <cell r="BO183">
            <v>0.5</v>
          </cell>
          <cell r="BP183">
            <v>0.5</v>
          </cell>
          <cell r="BQ183">
            <v>0.5</v>
          </cell>
          <cell r="BR183">
            <v>0.5</v>
          </cell>
          <cell r="BS183">
            <v>0.5</v>
          </cell>
          <cell r="BT183">
            <v>0.5</v>
          </cell>
          <cell r="BU183">
            <v>0.5</v>
          </cell>
          <cell r="BV183">
            <v>0.5</v>
          </cell>
          <cell r="BW183">
            <v>0.5</v>
          </cell>
          <cell r="BX183">
            <v>0.5</v>
          </cell>
          <cell r="BY183">
            <v>0.5</v>
          </cell>
          <cell r="BZ183">
            <v>0.5</v>
          </cell>
          <cell r="CA183">
            <v>0.5</v>
          </cell>
          <cell r="CB183">
            <v>0.5</v>
          </cell>
          <cell r="CC183">
            <v>0.5</v>
          </cell>
          <cell r="CD183">
            <v>0</v>
          </cell>
          <cell r="CE183">
            <v>0</v>
          </cell>
          <cell r="CF183">
            <v>0</v>
          </cell>
          <cell r="CG183">
            <v>0</v>
          </cell>
          <cell r="CH183">
            <v>0</v>
          </cell>
          <cell r="CI183">
            <v>0</v>
          </cell>
          <cell r="CJ183">
            <v>0</v>
          </cell>
          <cell r="CK183">
            <v>0</v>
          </cell>
        </row>
        <row r="184">
          <cell r="D184" t="str">
            <v>01</v>
          </cell>
          <cell r="E184" t="str">
            <v>46</v>
          </cell>
          <cell r="F184" t="str">
            <v>E01</v>
          </cell>
          <cell r="G184" t="str">
            <v>CAL</v>
          </cell>
          <cell r="H184" t="str">
            <v>005</v>
          </cell>
          <cell r="I184" t="str">
            <v>ESTUDIO FLUJO DE CARGAS - AREA 46</v>
          </cell>
          <cell r="J184">
            <v>39266</v>
          </cell>
          <cell r="K184">
            <v>39297</v>
          </cell>
          <cell r="L184">
            <v>39311</v>
          </cell>
          <cell r="M184">
            <v>39385</v>
          </cell>
          <cell r="N184">
            <v>39399</v>
          </cell>
          <cell r="O184">
            <v>39476</v>
          </cell>
          <cell r="P184">
            <v>38.633693843593967</v>
          </cell>
          <cell r="Q184" t="str">
            <v>P</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0.5</v>
          </cell>
          <cell r="AV184">
            <v>0.5</v>
          </cell>
          <cell r="AW184">
            <v>0.7</v>
          </cell>
          <cell r="AX184">
            <v>0.7</v>
          </cell>
          <cell r="AY184">
            <v>0.7</v>
          </cell>
          <cell r="AZ184">
            <v>0.7</v>
          </cell>
          <cell r="BA184">
            <v>0.7</v>
          </cell>
          <cell r="BB184">
            <v>0.7</v>
          </cell>
          <cell r="BC184">
            <v>0.7</v>
          </cell>
          <cell r="BD184">
            <v>0.7</v>
          </cell>
          <cell r="BE184">
            <v>0.7</v>
          </cell>
          <cell r="BF184">
            <v>0.7</v>
          </cell>
          <cell r="BG184">
            <v>0.7</v>
          </cell>
          <cell r="BH184">
            <v>0.7</v>
          </cell>
          <cell r="BI184">
            <v>0.95</v>
          </cell>
          <cell r="BJ184">
            <v>0.95</v>
          </cell>
          <cell r="BK184">
            <v>0.95</v>
          </cell>
          <cell r="BL184">
            <v>0.95</v>
          </cell>
          <cell r="BM184">
            <v>0.95</v>
          </cell>
          <cell r="BN184">
            <v>0.95</v>
          </cell>
          <cell r="BO184">
            <v>0.95</v>
          </cell>
          <cell r="BP184">
            <v>0.95</v>
          </cell>
          <cell r="BQ184">
            <v>0.95</v>
          </cell>
          <cell r="BR184">
            <v>0.95</v>
          </cell>
          <cell r="BS184">
            <v>0.95</v>
          </cell>
          <cell r="BT184">
            <v>1</v>
          </cell>
          <cell r="BU184">
            <v>1</v>
          </cell>
          <cell r="BV184">
            <v>1</v>
          </cell>
          <cell r="BW184">
            <v>1</v>
          </cell>
          <cell r="BX184">
            <v>1</v>
          </cell>
          <cell r="BY184">
            <v>1</v>
          </cell>
          <cell r="BZ184">
            <v>1</v>
          </cell>
          <cell r="CA184">
            <v>1</v>
          </cell>
          <cell r="CB184">
            <v>1</v>
          </cell>
          <cell r="CC184">
            <v>1</v>
          </cell>
          <cell r="CD184">
            <v>1</v>
          </cell>
          <cell r="CE184">
            <v>1</v>
          </cell>
          <cell r="CF184">
            <v>1</v>
          </cell>
          <cell r="CG184">
            <v>1</v>
          </cell>
          <cell r="CH184">
            <v>1</v>
          </cell>
          <cell r="CI184">
            <v>1</v>
          </cell>
          <cell r="CJ184">
            <v>1</v>
          </cell>
          <cell r="CK184">
            <v>1</v>
          </cell>
        </row>
        <row r="185">
          <cell r="J185">
            <v>39266</v>
          </cell>
          <cell r="K185">
            <v>39297</v>
          </cell>
          <cell r="L185">
            <v>39512</v>
          </cell>
          <cell r="M185">
            <v>39521</v>
          </cell>
          <cell r="N185">
            <v>39556</v>
          </cell>
          <cell r="O185">
            <v>39642</v>
          </cell>
          <cell r="Q185" t="str">
            <v>R</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0.5</v>
          </cell>
          <cell r="AV185">
            <v>0.5</v>
          </cell>
          <cell r="AW185">
            <v>0.5</v>
          </cell>
          <cell r="AX185">
            <v>0.5</v>
          </cell>
          <cell r="AY185">
            <v>0.5</v>
          </cell>
          <cell r="AZ185">
            <v>0.5</v>
          </cell>
          <cell r="BA185">
            <v>0.5</v>
          </cell>
          <cell r="BB185">
            <v>0.5</v>
          </cell>
          <cell r="BC185">
            <v>0.5</v>
          </cell>
          <cell r="BD185">
            <v>0.5</v>
          </cell>
          <cell r="BE185">
            <v>0.5</v>
          </cell>
          <cell r="BF185">
            <v>0.5</v>
          </cell>
          <cell r="BG185">
            <v>0.5</v>
          </cell>
          <cell r="BH185">
            <v>0.5</v>
          </cell>
          <cell r="BI185">
            <v>0.5</v>
          </cell>
          <cell r="BJ185">
            <v>0.5</v>
          </cell>
          <cell r="BK185">
            <v>0.5</v>
          </cell>
          <cell r="BL185">
            <v>0.5</v>
          </cell>
          <cell r="BM185">
            <v>0.5</v>
          </cell>
          <cell r="BN185">
            <v>0.5</v>
          </cell>
          <cell r="BO185">
            <v>0.5</v>
          </cell>
          <cell r="BP185">
            <v>0.5</v>
          </cell>
          <cell r="BQ185">
            <v>0.5</v>
          </cell>
          <cell r="BR185">
            <v>0.5</v>
          </cell>
          <cell r="BS185">
            <v>0.5</v>
          </cell>
          <cell r="BT185">
            <v>0.5</v>
          </cell>
          <cell r="BU185">
            <v>0.5</v>
          </cell>
          <cell r="BV185">
            <v>0.5</v>
          </cell>
          <cell r="BW185">
            <v>0.5</v>
          </cell>
          <cell r="BX185">
            <v>0.5</v>
          </cell>
          <cell r="BY185">
            <v>0.7</v>
          </cell>
          <cell r="BZ185">
            <v>0.7</v>
          </cell>
          <cell r="CA185">
            <v>0.7</v>
          </cell>
          <cell r="CB185">
            <v>0.7</v>
          </cell>
          <cell r="CC185">
            <v>0.7</v>
          </cell>
          <cell r="CD185">
            <v>0.7</v>
          </cell>
          <cell r="CE185">
            <v>0.7</v>
          </cell>
          <cell r="CF185">
            <v>0.95</v>
          </cell>
          <cell r="CG185">
            <v>0.95</v>
          </cell>
          <cell r="CH185">
            <v>0.95</v>
          </cell>
          <cell r="CI185">
            <v>0.95</v>
          </cell>
          <cell r="CJ185">
            <v>0.95</v>
          </cell>
          <cell r="CK185">
            <v>0.95</v>
          </cell>
        </row>
        <row r="186">
          <cell r="Q186" t="str">
            <v>E</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0.5</v>
          </cell>
          <cell r="BA186">
            <v>0.5</v>
          </cell>
          <cell r="BB186">
            <v>0.5</v>
          </cell>
          <cell r="BC186">
            <v>0.5</v>
          </cell>
          <cell r="BD186">
            <v>0.5</v>
          </cell>
          <cell r="BE186">
            <v>0.5</v>
          </cell>
          <cell r="BF186">
            <v>0.5</v>
          </cell>
          <cell r="BG186">
            <v>0.5</v>
          </cell>
          <cell r="BH186">
            <v>0.5</v>
          </cell>
          <cell r="BI186">
            <v>0.5</v>
          </cell>
          <cell r="BJ186">
            <v>0.5</v>
          </cell>
          <cell r="BK186">
            <v>0.5</v>
          </cell>
          <cell r="BL186">
            <v>0.5</v>
          </cell>
          <cell r="BM186">
            <v>0.5</v>
          </cell>
          <cell r="BN186">
            <v>0.5</v>
          </cell>
          <cell r="BO186">
            <v>0.5</v>
          </cell>
          <cell r="BP186">
            <v>0.5</v>
          </cell>
          <cell r="BQ186">
            <v>0.5</v>
          </cell>
          <cell r="BR186">
            <v>0.5</v>
          </cell>
          <cell r="BS186">
            <v>0.5</v>
          </cell>
          <cell r="BT186">
            <v>0.5</v>
          </cell>
          <cell r="BU186">
            <v>0.5</v>
          </cell>
          <cell r="BV186">
            <v>0.5</v>
          </cell>
          <cell r="BW186">
            <v>0.5</v>
          </cell>
          <cell r="BX186">
            <v>0.5</v>
          </cell>
          <cell r="BY186">
            <v>0.5</v>
          </cell>
          <cell r="BZ186">
            <v>0.7</v>
          </cell>
          <cell r="CA186">
            <v>0.7</v>
          </cell>
          <cell r="CB186">
            <v>0.7</v>
          </cell>
          <cell r="CC186">
            <v>0.7</v>
          </cell>
          <cell r="CD186">
            <v>0</v>
          </cell>
          <cell r="CE186">
            <v>0</v>
          </cell>
          <cell r="CF186">
            <v>0</v>
          </cell>
          <cell r="CG186">
            <v>0</v>
          </cell>
          <cell r="CH186">
            <v>0</v>
          </cell>
          <cell r="CI186">
            <v>0</v>
          </cell>
          <cell r="CJ186">
            <v>0</v>
          </cell>
          <cell r="CK186">
            <v>0</v>
          </cell>
        </row>
        <row r="187">
          <cell r="D187" t="str">
            <v>01</v>
          </cell>
          <cell r="E187" t="str">
            <v>46</v>
          </cell>
          <cell r="F187" t="str">
            <v>E23</v>
          </cell>
          <cell r="H187" t="str">
            <v>001</v>
          </cell>
          <cell r="I187" t="str">
            <v>DISPOSICION EQUIPOS ELECTRICOS - AREA 46</v>
          </cell>
          <cell r="J187">
            <v>39244</v>
          </cell>
          <cell r="K187">
            <v>39282</v>
          </cell>
          <cell r="L187">
            <v>39296</v>
          </cell>
          <cell r="M187">
            <v>39297</v>
          </cell>
          <cell r="N187">
            <v>39311</v>
          </cell>
          <cell r="O187">
            <v>39476</v>
          </cell>
          <cell r="P187">
            <v>113.80690515807004</v>
          </cell>
          <cell r="Q187" t="str">
            <v>P</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0.5</v>
          </cell>
          <cell r="AS187">
            <v>0.5</v>
          </cell>
          <cell r="AT187">
            <v>0.7</v>
          </cell>
          <cell r="AU187">
            <v>0.7</v>
          </cell>
          <cell r="AV187">
            <v>0.7</v>
          </cell>
          <cell r="AW187">
            <v>0.95</v>
          </cell>
          <cell r="AX187">
            <v>0.95</v>
          </cell>
          <cell r="AY187">
            <v>0.95</v>
          </cell>
          <cell r="AZ187">
            <v>0.95</v>
          </cell>
          <cell r="BA187">
            <v>0.95</v>
          </cell>
          <cell r="BB187">
            <v>0.95</v>
          </cell>
          <cell r="BC187">
            <v>0.95</v>
          </cell>
          <cell r="BD187">
            <v>0.95</v>
          </cell>
          <cell r="BE187">
            <v>0.95</v>
          </cell>
          <cell r="BF187">
            <v>0.95</v>
          </cell>
          <cell r="BG187">
            <v>0.95</v>
          </cell>
          <cell r="BH187">
            <v>0.95</v>
          </cell>
          <cell r="BI187">
            <v>0.95</v>
          </cell>
          <cell r="BJ187">
            <v>0.95</v>
          </cell>
          <cell r="BK187">
            <v>0.95</v>
          </cell>
          <cell r="BL187">
            <v>0.95</v>
          </cell>
          <cell r="BM187">
            <v>0.95</v>
          </cell>
          <cell r="BN187">
            <v>0.95</v>
          </cell>
          <cell r="BO187">
            <v>0.95</v>
          </cell>
          <cell r="BP187">
            <v>0.95</v>
          </cell>
          <cell r="BQ187">
            <v>0.95</v>
          </cell>
          <cell r="BR187">
            <v>0.95</v>
          </cell>
          <cell r="BS187">
            <v>0.95</v>
          </cell>
          <cell r="BT187">
            <v>1</v>
          </cell>
          <cell r="BU187">
            <v>1</v>
          </cell>
          <cell r="BV187">
            <v>1</v>
          </cell>
          <cell r="BW187">
            <v>1</v>
          </cell>
          <cell r="BX187">
            <v>1</v>
          </cell>
          <cell r="BY187">
            <v>1</v>
          </cell>
          <cell r="BZ187">
            <v>1</v>
          </cell>
          <cell r="CA187">
            <v>1</v>
          </cell>
          <cell r="CB187">
            <v>1</v>
          </cell>
          <cell r="CC187">
            <v>1</v>
          </cell>
          <cell r="CD187">
            <v>1</v>
          </cell>
          <cell r="CE187">
            <v>1</v>
          </cell>
          <cell r="CF187">
            <v>1</v>
          </cell>
          <cell r="CG187">
            <v>1</v>
          </cell>
          <cell r="CH187">
            <v>1</v>
          </cell>
          <cell r="CI187">
            <v>1</v>
          </cell>
          <cell r="CJ187">
            <v>1</v>
          </cell>
          <cell r="CK187">
            <v>1</v>
          </cell>
        </row>
        <row r="188">
          <cell r="J188">
            <v>39244</v>
          </cell>
          <cell r="K188">
            <v>39367</v>
          </cell>
          <cell r="L188">
            <v>39401</v>
          </cell>
          <cell r="M188">
            <v>39465</v>
          </cell>
          <cell r="N188">
            <v>39493</v>
          </cell>
          <cell r="O188">
            <v>39642</v>
          </cell>
          <cell r="Q188" t="str">
            <v>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0.5</v>
          </cell>
          <cell r="BF188">
            <v>0.5</v>
          </cell>
          <cell r="BG188">
            <v>0.5</v>
          </cell>
          <cell r="BH188">
            <v>0.5</v>
          </cell>
          <cell r="BI188">
            <v>0.7</v>
          </cell>
          <cell r="BJ188">
            <v>0.7</v>
          </cell>
          <cell r="BK188">
            <v>0.7</v>
          </cell>
          <cell r="BL188">
            <v>0.7</v>
          </cell>
          <cell r="BM188">
            <v>0.7</v>
          </cell>
          <cell r="BN188">
            <v>0.7</v>
          </cell>
          <cell r="BO188">
            <v>0.7</v>
          </cell>
          <cell r="BP188">
            <v>0.7</v>
          </cell>
          <cell r="BQ188">
            <v>0.7</v>
          </cell>
          <cell r="BR188">
            <v>0.7</v>
          </cell>
          <cell r="BS188">
            <v>0.7</v>
          </cell>
          <cell r="BT188">
            <v>0.7</v>
          </cell>
          <cell r="BU188">
            <v>0.7</v>
          </cell>
          <cell r="BV188">
            <v>0.7</v>
          </cell>
          <cell r="BW188">
            <v>0.95</v>
          </cell>
          <cell r="BX188">
            <v>0.95</v>
          </cell>
          <cell r="BY188">
            <v>0.95</v>
          </cell>
          <cell r="BZ188">
            <v>0.95</v>
          </cell>
          <cell r="CA188">
            <v>0.95</v>
          </cell>
          <cell r="CB188">
            <v>0.95</v>
          </cell>
          <cell r="CC188">
            <v>0.95</v>
          </cell>
          <cell r="CD188">
            <v>0.95</v>
          </cell>
          <cell r="CE188">
            <v>0.95</v>
          </cell>
          <cell r="CF188">
            <v>0.95</v>
          </cell>
          <cell r="CG188">
            <v>0.95</v>
          </cell>
          <cell r="CH188">
            <v>0.95</v>
          </cell>
          <cell r="CI188">
            <v>0.95</v>
          </cell>
          <cell r="CJ188">
            <v>0.95</v>
          </cell>
          <cell r="CK188">
            <v>0.95</v>
          </cell>
        </row>
        <row r="189">
          <cell r="Q189" t="str">
            <v>E</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0.5</v>
          </cell>
          <cell r="BF189">
            <v>0.7</v>
          </cell>
          <cell r="BG189">
            <v>0.7</v>
          </cell>
          <cell r="BH189">
            <v>0.7</v>
          </cell>
          <cell r="BI189">
            <v>0.7</v>
          </cell>
          <cell r="BJ189">
            <v>0.7</v>
          </cell>
          <cell r="BK189">
            <v>0.7</v>
          </cell>
          <cell r="BL189">
            <v>0.7</v>
          </cell>
          <cell r="BM189">
            <v>0.7</v>
          </cell>
          <cell r="BN189">
            <v>0.7</v>
          </cell>
          <cell r="BO189">
            <v>0.7</v>
          </cell>
          <cell r="BP189">
            <v>0.7</v>
          </cell>
          <cell r="BQ189">
            <v>0.7</v>
          </cell>
          <cell r="BR189">
            <v>0.95</v>
          </cell>
          <cell r="BS189">
            <v>0.95</v>
          </cell>
          <cell r="BT189">
            <v>0.95</v>
          </cell>
          <cell r="BU189">
            <v>0.95</v>
          </cell>
          <cell r="BV189">
            <v>0.95</v>
          </cell>
          <cell r="BW189">
            <v>0.95</v>
          </cell>
          <cell r="BX189">
            <v>0.95</v>
          </cell>
          <cell r="BY189">
            <v>0.95</v>
          </cell>
          <cell r="BZ189">
            <v>0.95</v>
          </cell>
          <cell r="CA189">
            <v>0.95</v>
          </cell>
          <cell r="CB189">
            <v>0.95</v>
          </cell>
          <cell r="CC189">
            <v>0.95</v>
          </cell>
          <cell r="CD189">
            <v>0</v>
          </cell>
          <cell r="CE189">
            <v>0</v>
          </cell>
          <cell r="CF189">
            <v>0</v>
          </cell>
          <cell r="CG189">
            <v>0</v>
          </cell>
          <cell r="CH189">
            <v>0</v>
          </cell>
          <cell r="CI189">
            <v>0</v>
          </cell>
          <cell r="CJ189">
            <v>0</v>
          </cell>
          <cell r="CK189">
            <v>0</v>
          </cell>
        </row>
        <row r="190">
          <cell r="D190" t="str">
            <v>01</v>
          </cell>
          <cell r="E190" t="str">
            <v>46</v>
          </cell>
          <cell r="F190" t="str">
            <v>E13</v>
          </cell>
          <cell r="H190" t="str">
            <v>001</v>
          </cell>
          <cell r="I190" t="str">
            <v>ACTUALIZACION DIAGRAMAS UNIFILARES - AREA 46</v>
          </cell>
          <cell r="J190">
            <v>39223</v>
          </cell>
          <cell r="K190">
            <v>39289</v>
          </cell>
          <cell r="L190">
            <v>39303</v>
          </cell>
          <cell r="M190">
            <v>39304</v>
          </cell>
          <cell r="N190">
            <v>39318</v>
          </cell>
          <cell r="O190">
            <v>39476</v>
          </cell>
          <cell r="P190">
            <v>87.730066555740436</v>
          </cell>
          <cell r="Q190" t="str">
            <v>P</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0.5</v>
          </cell>
          <cell r="AT190">
            <v>0.5</v>
          </cell>
          <cell r="AU190">
            <v>0.7</v>
          </cell>
          <cell r="AV190">
            <v>0.7</v>
          </cell>
          <cell r="AW190">
            <v>0.7</v>
          </cell>
          <cell r="AX190">
            <v>0.95</v>
          </cell>
          <cell r="AY190">
            <v>0.95</v>
          </cell>
          <cell r="AZ190">
            <v>0.95</v>
          </cell>
          <cell r="BA190">
            <v>0.95</v>
          </cell>
          <cell r="BB190">
            <v>0.95</v>
          </cell>
          <cell r="BC190">
            <v>0.95</v>
          </cell>
          <cell r="BD190">
            <v>0.95</v>
          </cell>
          <cell r="BE190">
            <v>0.95</v>
          </cell>
          <cell r="BF190">
            <v>0.95</v>
          </cell>
          <cell r="BG190">
            <v>0.95</v>
          </cell>
          <cell r="BH190">
            <v>0.95</v>
          </cell>
          <cell r="BI190">
            <v>0.95</v>
          </cell>
          <cell r="BJ190">
            <v>0.95</v>
          </cell>
          <cell r="BK190">
            <v>0.95</v>
          </cell>
          <cell r="BL190">
            <v>0.95</v>
          </cell>
          <cell r="BM190">
            <v>0.95</v>
          </cell>
          <cell r="BN190">
            <v>0.95</v>
          </cell>
          <cell r="BO190">
            <v>0.95</v>
          </cell>
          <cell r="BP190">
            <v>0.95</v>
          </cell>
          <cell r="BQ190">
            <v>0.95</v>
          </cell>
          <cell r="BR190">
            <v>0.95</v>
          </cell>
          <cell r="BS190">
            <v>0.95</v>
          </cell>
          <cell r="BT190">
            <v>1</v>
          </cell>
          <cell r="BU190">
            <v>1</v>
          </cell>
          <cell r="BV190">
            <v>1</v>
          </cell>
          <cell r="BW190">
            <v>1</v>
          </cell>
          <cell r="BX190">
            <v>1</v>
          </cell>
          <cell r="BY190">
            <v>1</v>
          </cell>
          <cell r="BZ190">
            <v>1</v>
          </cell>
          <cell r="CA190">
            <v>1</v>
          </cell>
          <cell r="CB190">
            <v>1</v>
          </cell>
          <cell r="CC190">
            <v>1</v>
          </cell>
          <cell r="CD190">
            <v>1</v>
          </cell>
          <cell r="CE190">
            <v>1</v>
          </cell>
          <cell r="CF190">
            <v>1</v>
          </cell>
          <cell r="CG190">
            <v>1</v>
          </cell>
          <cell r="CH190">
            <v>1</v>
          </cell>
          <cell r="CI190">
            <v>1</v>
          </cell>
          <cell r="CJ190">
            <v>1</v>
          </cell>
          <cell r="CK190">
            <v>1</v>
          </cell>
        </row>
        <row r="191">
          <cell r="J191">
            <v>39223</v>
          </cell>
          <cell r="K191">
            <v>39289</v>
          </cell>
          <cell r="L191">
            <v>39303</v>
          </cell>
          <cell r="M191">
            <v>39472</v>
          </cell>
          <cell r="N191">
            <v>39500</v>
          </cell>
          <cell r="O191">
            <v>39642</v>
          </cell>
          <cell r="Q191" t="str">
            <v>R</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0.5</v>
          </cell>
          <cell r="AT191">
            <v>0.5</v>
          </cell>
          <cell r="AU191">
            <v>0.7</v>
          </cell>
          <cell r="AV191">
            <v>0.7</v>
          </cell>
          <cell r="AW191">
            <v>0.7</v>
          </cell>
          <cell r="AX191">
            <v>0.7</v>
          </cell>
          <cell r="AY191">
            <v>0.7</v>
          </cell>
          <cell r="AZ191">
            <v>0.7</v>
          </cell>
          <cell r="BA191">
            <v>0.7</v>
          </cell>
          <cell r="BB191">
            <v>0.7</v>
          </cell>
          <cell r="BC191">
            <v>0.7</v>
          </cell>
          <cell r="BD191">
            <v>0.7</v>
          </cell>
          <cell r="BE191">
            <v>0.7</v>
          </cell>
          <cell r="BF191">
            <v>0.7</v>
          </cell>
          <cell r="BG191">
            <v>0.7</v>
          </cell>
          <cell r="BH191">
            <v>0.7</v>
          </cell>
          <cell r="BI191">
            <v>0.7</v>
          </cell>
          <cell r="BJ191">
            <v>0.7</v>
          </cell>
          <cell r="BK191">
            <v>0.7</v>
          </cell>
          <cell r="BL191">
            <v>0.7</v>
          </cell>
          <cell r="BM191">
            <v>0.7</v>
          </cell>
          <cell r="BN191">
            <v>0.7</v>
          </cell>
          <cell r="BO191">
            <v>0.7</v>
          </cell>
          <cell r="BP191">
            <v>0.7</v>
          </cell>
          <cell r="BQ191">
            <v>0.7</v>
          </cell>
          <cell r="BR191">
            <v>0.7</v>
          </cell>
          <cell r="BS191">
            <v>0.7</v>
          </cell>
          <cell r="BT191">
            <v>0.7</v>
          </cell>
          <cell r="BU191">
            <v>0.7</v>
          </cell>
          <cell r="BV191">
            <v>0.7</v>
          </cell>
          <cell r="BW191">
            <v>0.7</v>
          </cell>
          <cell r="BX191">
            <v>0.95</v>
          </cell>
          <cell r="BY191">
            <v>0.95</v>
          </cell>
          <cell r="BZ191">
            <v>0.95</v>
          </cell>
          <cell r="CA191">
            <v>0.95</v>
          </cell>
          <cell r="CB191">
            <v>0.95</v>
          </cell>
          <cell r="CC191">
            <v>0.95</v>
          </cell>
          <cell r="CD191">
            <v>0.95</v>
          </cell>
          <cell r="CE191">
            <v>0.95</v>
          </cell>
          <cell r="CF191">
            <v>0.95</v>
          </cell>
          <cell r="CG191">
            <v>0.95</v>
          </cell>
          <cell r="CH191">
            <v>0.95</v>
          </cell>
          <cell r="CI191">
            <v>0.95</v>
          </cell>
          <cell r="CJ191">
            <v>0.95</v>
          </cell>
          <cell r="CK191">
            <v>0.95</v>
          </cell>
        </row>
        <row r="192">
          <cell r="Q192" t="str">
            <v>E</v>
          </cell>
          <cell r="AH192">
            <v>0.1</v>
          </cell>
          <cell r="AI192">
            <v>0.25</v>
          </cell>
          <cell r="AJ192">
            <v>0.25</v>
          </cell>
          <cell r="AK192">
            <v>0.25</v>
          </cell>
          <cell r="AL192">
            <v>0.25</v>
          </cell>
          <cell r="AM192">
            <v>0.25</v>
          </cell>
          <cell r="AN192">
            <v>0.5</v>
          </cell>
          <cell r="AO192">
            <v>0.5</v>
          </cell>
          <cell r="AP192">
            <v>0.7</v>
          </cell>
          <cell r="AQ192">
            <v>0.7</v>
          </cell>
          <cell r="AR192">
            <v>0.7</v>
          </cell>
          <cell r="AS192">
            <v>0.7</v>
          </cell>
          <cell r="AT192">
            <v>0.7</v>
          </cell>
          <cell r="AU192">
            <v>0.7</v>
          </cell>
          <cell r="AV192">
            <v>0.7</v>
          </cell>
          <cell r="AW192">
            <v>0.7</v>
          </cell>
          <cell r="AX192">
            <v>0.7</v>
          </cell>
          <cell r="AY192">
            <v>0.7</v>
          </cell>
          <cell r="AZ192">
            <v>0.7</v>
          </cell>
          <cell r="BA192">
            <v>0.7</v>
          </cell>
          <cell r="BB192">
            <v>0.7</v>
          </cell>
          <cell r="BC192">
            <v>0.7</v>
          </cell>
          <cell r="BD192">
            <v>0.7</v>
          </cell>
          <cell r="BE192">
            <v>0.7</v>
          </cell>
          <cell r="BF192">
            <v>0.7</v>
          </cell>
          <cell r="BG192">
            <v>0.7</v>
          </cell>
          <cell r="BH192">
            <v>0.7</v>
          </cell>
          <cell r="BI192">
            <v>0.7</v>
          </cell>
          <cell r="BJ192">
            <v>0.7</v>
          </cell>
          <cell r="BK192">
            <v>0.7</v>
          </cell>
          <cell r="BL192">
            <v>0.7</v>
          </cell>
          <cell r="BM192">
            <v>0.7</v>
          </cell>
          <cell r="BN192">
            <v>0.7</v>
          </cell>
          <cell r="BO192">
            <v>0.7</v>
          </cell>
          <cell r="BP192">
            <v>0.7</v>
          </cell>
          <cell r="BQ192">
            <v>0.7</v>
          </cell>
          <cell r="BR192">
            <v>0.7</v>
          </cell>
          <cell r="BS192">
            <v>0.7</v>
          </cell>
          <cell r="BT192">
            <v>0.7</v>
          </cell>
          <cell r="BU192">
            <v>0.7</v>
          </cell>
          <cell r="BV192">
            <v>0.7</v>
          </cell>
          <cell r="BW192">
            <v>0.95</v>
          </cell>
          <cell r="BX192">
            <v>0.95</v>
          </cell>
          <cell r="BY192">
            <v>0.95</v>
          </cell>
          <cell r="BZ192">
            <v>0.95</v>
          </cell>
          <cell r="CA192">
            <v>0.95</v>
          </cell>
          <cell r="CB192">
            <v>0.95</v>
          </cell>
          <cell r="CC192">
            <v>0.95</v>
          </cell>
          <cell r="CD192">
            <v>0</v>
          </cell>
          <cell r="CE192">
            <v>0</v>
          </cell>
          <cell r="CF192">
            <v>0</v>
          </cell>
          <cell r="CG192">
            <v>0</v>
          </cell>
          <cell r="CH192">
            <v>0</v>
          </cell>
          <cell r="CI192">
            <v>0</v>
          </cell>
          <cell r="CJ192">
            <v>0</v>
          </cell>
          <cell r="CK192">
            <v>0</v>
          </cell>
        </row>
        <row r="193">
          <cell r="D193" t="str">
            <v>01</v>
          </cell>
          <cell r="E193" t="str">
            <v>46</v>
          </cell>
          <cell r="F193" t="str">
            <v>E13</v>
          </cell>
          <cell r="H193">
            <v>101</v>
          </cell>
          <cell r="I193" t="str">
            <v>DIAGRAMAS TRIFILARES (ILUMINACION Y SERVICIOS) - AREA 46</v>
          </cell>
          <cell r="J193">
            <v>39307</v>
          </cell>
          <cell r="K193">
            <v>39362</v>
          </cell>
          <cell r="L193">
            <v>39376</v>
          </cell>
          <cell r="M193">
            <v>39377</v>
          </cell>
          <cell r="N193">
            <v>39391</v>
          </cell>
          <cell r="O193">
            <v>39476</v>
          </cell>
          <cell r="P193">
            <v>87.730066555740436</v>
          </cell>
          <cell r="Q193" t="str">
            <v>P</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0.5</v>
          </cell>
          <cell r="BE193">
            <v>0.5</v>
          </cell>
          <cell r="BF193">
            <v>0.7</v>
          </cell>
          <cell r="BG193">
            <v>0.7</v>
          </cell>
          <cell r="BH193">
            <v>0.95</v>
          </cell>
          <cell r="BI193">
            <v>0.95</v>
          </cell>
          <cell r="BJ193">
            <v>0.95</v>
          </cell>
          <cell r="BK193">
            <v>0.95</v>
          </cell>
          <cell r="BL193">
            <v>0.95</v>
          </cell>
          <cell r="BM193">
            <v>0.95</v>
          </cell>
          <cell r="BN193">
            <v>0.95</v>
          </cell>
          <cell r="BO193">
            <v>0.95</v>
          </cell>
          <cell r="BP193">
            <v>0.95</v>
          </cell>
          <cell r="BQ193">
            <v>0.95</v>
          </cell>
          <cell r="BR193">
            <v>0.95</v>
          </cell>
          <cell r="BS193">
            <v>0.95</v>
          </cell>
          <cell r="BT193">
            <v>1</v>
          </cell>
          <cell r="BU193">
            <v>1</v>
          </cell>
          <cell r="BV193">
            <v>1</v>
          </cell>
          <cell r="BW193">
            <v>1</v>
          </cell>
          <cell r="BX193">
            <v>1</v>
          </cell>
          <cell r="BY193">
            <v>1</v>
          </cell>
          <cell r="BZ193">
            <v>1</v>
          </cell>
          <cell r="CA193">
            <v>1</v>
          </cell>
          <cell r="CB193">
            <v>1</v>
          </cell>
          <cell r="CC193">
            <v>1</v>
          </cell>
          <cell r="CD193">
            <v>1</v>
          </cell>
          <cell r="CE193">
            <v>1</v>
          </cell>
          <cell r="CF193">
            <v>1</v>
          </cell>
          <cell r="CG193">
            <v>1</v>
          </cell>
          <cell r="CH193">
            <v>1</v>
          </cell>
          <cell r="CI193">
            <v>1</v>
          </cell>
          <cell r="CJ193">
            <v>1</v>
          </cell>
          <cell r="CK193">
            <v>1</v>
          </cell>
        </row>
        <row r="194">
          <cell r="J194">
            <v>39307</v>
          </cell>
          <cell r="K194">
            <v>39465</v>
          </cell>
          <cell r="L194">
            <v>39500</v>
          </cell>
          <cell r="M194">
            <v>39521</v>
          </cell>
          <cell r="N194">
            <v>39563</v>
          </cell>
          <cell r="O194">
            <v>39642</v>
          </cell>
          <cell r="Q194" t="str">
            <v>R</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0.5</v>
          </cell>
          <cell r="BT194">
            <v>0.5</v>
          </cell>
          <cell r="BU194">
            <v>0.5</v>
          </cell>
          <cell r="BV194">
            <v>0.5</v>
          </cell>
          <cell r="BW194">
            <v>0.5</v>
          </cell>
          <cell r="BX194">
            <v>0.7</v>
          </cell>
          <cell r="BY194">
            <v>0.7</v>
          </cell>
          <cell r="BZ194">
            <v>0.7</v>
          </cell>
          <cell r="CA194">
            <v>0.7</v>
          </cell>
          <cell r="CB194">
            <v>0.7</v>
          </cell>
          <cell r="CC194">
            <v>0.7</v>
          </cell>
          <cell r="CD194">
            <v>0.7</v>
          </cell>
          <cell r="CE194">
            <v>0.7</v>
          </cell>
          <cell r="CF194">
            <v>0.7</v>
          </cell>
          <cell r="CG194">
            <v>0.95</v>
          </cell>
          <cell r="CH194">
            <v>0.95</v>
          </cell>
          <cell r="CI194">
            <v>0.95</v>
          </cell>
          <cell r="CJ194">
            <v>0.95</v>
          </cell>
          <cell r="CK194">
            <v>0.95</v>
          </cell>
        </row>
        <row r="195">
          <cell r="Q195" t="str">
            <v>E</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0.5</v>
          </cell>
          <cell r="BR195">
            <v>0.5</v>
          </cell>
          <cell r="BS195">
            <v>0.5</v>
          </cell>
          <cell r="BT195">
            <v>0.5</v>
          </cell>
          <cell r="BU195">
            <v>0.5</v>
          </cell>
          <cell r="BV195">
            <v>0.5</v>
          </cell>
          <cell r="BW195">
            <v>0.5</v>
          </cell>
          <cell r="BX195">
            <v>0.95</v>
          </cell>
          <cell r="BY195">
            <v>0.95</v>
          </cell>
          <cell r="BZ195">
            <v>0.95</v>
          </cell>
          <cell r="CA195">
            <v>0.95</v>
          </cell>
          <cell r="CB195">
            <v>0.95</v>
          </cell>
          <cell r="CC195">
            <v>0.95</v>
          </cell>
          <cell r="CD195">
            <v>0</v>
          </cell>
          <cell r="CE195">
            <v>0</v>
          </cell>
          <cell r="CF195">
            <v>0</v>
          </cell>
          <cell r="CG195">
            <v>0</v>
          </cell>
          <cell r="CH195">
            <v>0</v>
          </cell>
          <cell r="CI195">
            <v>0</v>
          </cell>
          <cell r="CJ195">
            <v>0</v>
          </cell>
          <cell r="CK195">
            <v>0</v>
          </cell>
        </row>
        <row r="196">
          <cell r="D196" t="str">
            <v>01</v>
          </cell>
          <cell r="E196" t="str">
            <v>46</v>
          </cell>
          <cell r="F196" t="str">
            <v>E01</v>
          </cell>
          <cell r="G196" t="str">
            <v>CAL</v>
          </cell>
          <cell r="H196" t="str">
            <v>003</v>
          </cell>
          <cell r="I196" t="str">
            <v>ESTUDIO COORDINACION PROTECCIONES AREA 46</v>
          </cell>
          <cell r="J196">
            <v>39377</v>
          </cell>
          <cell r="K196">
            <v>39402</v>
          </cell>
          <cell r="L196">
            <v>39416</v>
          </cell>
          <cell r="M196">
            <v>39417</v>
          </cell>
          <cell r="N196">
            <v>39431</v>
          </cell>
          <cell r="O196">
            <v>39476</v>
          </cell>
          <cell r="P196">
            <v>87.730066555740436</v>
          </cell>
          <cell r="Q196" t="str">
            <v>P</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0.5</v>
          </cell>
          <cell r="BK196">
            <v>0.5</v>
          </cell>
          <cell r="BL196">
            <v>0.7</v>
          </cell>
          <cell r="BM196">
            <v>0.7</v>
          </cell>
          <cell r="BN196">
            <v>0.95</v>
          </cell>
          <cell r="BO196">
            <v>0.95</v>
          </cell>
          <cell r="BP196">
            <v>0.95</v>
          </cell>
          <cell r="BQ196">
            <v>0.95</v>
          </cell>
          <cell r="BR196">
            <v>0.95</v>
          </cell>
          <cell r="BS196">
            <v>0.95</v>
          </cell>
          <cell r="BT196">
            <v>1</v>
          </cell>
          <cell r="BU196">
            <v>1</v>
          </cell>
          <cell r="BV196">
            <v>1</v>
          </cell>
          <cell r="BW196">
            <v>1</v>
          </cell>
          <cell r="BX196">
            <v>1</v>
          </cell>
          <cell r="BY196">
            <v>1</v>
          </cell>
          <cell r="BZ196">
            <v>1</v>
          </cell>
          <cell r="CA196">
            <v>1</v>
          </cell>
          <cell r="CB196">
            <v>1</v>
          </cell>
          <cell r="CC196">
            <v>1</v>
          </cell>
          <cell r="CD196">
            <v>1</v>
          </cell>
          <cell r="CE196">
            <v>1</v>
          </cell>
          <cell r="CF196">
            <v>1</v>
          </cell>
          <cell r="CG196">
            <v>1</v>
          </cell>
          <cell r="CH196">
            <v>1</v>
          </cell>
          <cell r="CI196">
            <v>1</v>
          </cell>
          <cell r="CJ196">
            <v>1</v>
          </cell>
          <cell r="CK196">
            <v>1</v>
          </cell>
        </row>
        <row r="197">
          <cell r="J197">
            <v>39377</v>
          </cell>
          <cell r="K197">
            <v>39402</v>
          </cell>
          <cell r="L197">
            <v>39374</v>
          </cell>
          <cell r="M197">
            <v>39521</v>
          </cell>
          <cell r="N197">
            <v>39563</v>
          </cell>
          <cell r="O197">
            <v>39642</v>
          </cell>
          <cell r="Q197" t="str">
            <v>R</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0.7</v>
          </cell>
          <cell r="BG197">
            <v>0.7</v>
          </cell>
          <cell r="BH197">
            <v>0.7</v>
          </cell>
          <cell r="BI197">
            <v>0.7</v>
          </cell>
          <cell r="BJ197">
            <v>0.7</v>
          </cell>
          <cell r="BK197">
            <v>0.7</v>
          </cell>
          <cell r="BL197">
            <v>0.7</v>
          </cell>
          <cell r="BM197">
            <v>0.7</v>
          </cell>
          <cell r="BN197">
            <v>0.7</v>
          </cell>
          <cell r="BO197">
            <v>0.7</v>
          </cell>
          <cell r="BP197">
            <v>0.7</v>
          </cell>
          <cell r="BQ197">
            <v>0.7</v>
          </cell>
          <cell r="BR197">
            <v>0.7</v>
          </cell>
          <cell r="BS197">
            <v>0.7</v>
          </cell>
          <cell r="BT197">
            <v>0.7</v>
          </cell>
          <cell r="BU197">
            <v>0.7</v>
          </cell>
          <cell r="BV197">
            <v>0.7</v>
          </cell>
          <cell r="BW197">
            <v>0.7</v>
          </cell>
          <cell r="BX197">
            <v>0.7</v>
          </cell>
          <cell r="BY197">
            <v>0.7</v>
          </cell>
          <cell r="BZ197">
            <v>0.7</v>
          </cell>
          <cell r="CA197">
            <v>0.7</v>
          </cell>
          <cell r="CB197">
            <v>0.7</v>
          </cell>
          <cell r="CC197">
            <v>0.7</v>
          </cell>
          <cell r="CD197">
            <v>0.7</v>
          </cell>
          <cell r="CE197">
            <v>0.7</v>
          </cell>
          <cell r="CF197">
            <v>0.7</v>
          </cell>
          <cell r="CG197">
            <v>0.95</v>
          </cell>
          <cell r="CH197">
            <v>0.95</v>
          </cell>
          <cell r="CI197">
            <v>0.95</v>
          </cell>
          <cell r="CJ197">
            <v>0.95</v>
          </cell>
          <cell r="CK197">
            <v>0.95</v>
          </cell>
        </row>
        <row r="198">
          <cell r="Q198" t="str">
            <v>E</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0.5</v>
          </cell>
          <cell r="BA198">
            <v>0.5</v>
          </cell>
          <cell r="BB198">
            <v>0.5</v>
          </cell>
          <cell r="BC198">
            <v>0.7</v>
          </cell>
          <cell r="BD198">
            <v>0.7</v>
          </cell>
          <cell r="BE198">
            <v>0.7</v>
          </cell>
          <cell r="BF198">
            <v>0.7</v>
          </cell>
          <cell r="BG198">
            <v>0.7</v>
          </cell>
          <cell r="BH198">
            <v>0.7</v>
          </cell>
          <cell r="BI198">
            <v>0.7</v>
          </cell>
          <cell r="BJ198">
            <v>0.7</v>
          </cell>
          <cell r="BK198">
            <v>0.7</v>
          </cell>
          <cell r="BL198">
            <v>0.7</v>
          </cell>
          <cell r="BM198">
            <v>0.7</v>
          </cell>
          <cell r="BN198">
            <v>0.7</v>
          </cell>
          <cell r="BO198">
            <v>0.7</v>
          </cell>
          <cell r="BP198">
            <v>0.7</v>
          </cell>
          <cell r="BQ198">
            <v>0.7</v>
          </cell>
          <cell r="BR198">
            <v>0.7</v>
          </cell>
          <cell r="BS198">
            <v>0.7</v>
          </cell>
          <cell r="BT198">
            <v>0.7</v>
          </cell>
          <cell r="BU198">
            <v>0.7</v>
          </cell>
          <cell r="BV198">
            <v>0.7</v>
          </cell>
          <cell r="BW198">
            <v>0.7</v>
          </cell>
          <cell r="BX198">
            <v>0.7</v>
          </cell>
          <cell r="BY198">
            <v>0.7</v>
          </cell>
          <cell r="BZ198">
            <v>0.7</v>
          </cell>
          <cell r="CA198">
            <v>0.7</v>
          </cell>
          <cell r="CB198">
            <v>0.7</v>
          </cell>
          <cell r="CC198">
            <v>0.7</v>
          </cell>
          <cell r="CD198">
            <v>0</v>
          </cell>
          <cell r="CE198">
            <v>0</v>
          </cell>
          <cell r="CF198">
            <v>0</v>
          </cell>
          <cell r="CG198">
            <v>0</v>
          </cell>
          <cell r="CH198">
            <v>0</v>
          </cell>
          <cell r="CI198">
            <v>0</v>
          </cell>
          <cell r="CJ198">
            <v>0</v>
          </cell>
          <cell r="CK198">
            <v>0</v>
          </cell>
        </row>
        <row r="199">
          <cell r="D199" t="str">
            <v>01</v>
          </cell>
          <cell r="E199" t="str">
            <v>46</v>
          </cell>
          <cell r="F199" t="str">
            <v>E13</v>
          </cell>
          <cell r="H199">
            <v>201</v>
          </cell>
          <cell r="I199" t="str">
            <v>ESQUEMATICOS DE CONTROL DE MOTORES - AREA 46</v>
          </cell>
          <cell r="J199">
            <v>39286</v>
          </cell>
          <cell r="K199">
            <v>39325</v>
          </cell>
          <cell r="L199">
            <v>39339</v>
          </cell>
          <cell r="M199">
            <v>39340</v>
          </cell>
          <cell r="N199">
            <v>39354</v>
          </cell>
          <cell r="O199">
            <v>39476</v>
          </cell>
          <cell r="P199">
            <v>87.730066555740436</v>
          </cell>
          <cell r="Q199" t="str">
            <v>P</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0.5</v>
          </cell>
          <cell r="AZ199">
            <v>0.5</v>
          </cell>
          <cell r="BA199">
            <v>0.7</v>
          </cell>
          <cell r="BB199">
            <v>0.7</v>
          </cell>
          <cell r="BC199">
            <v>0.95</v>
          </cell>
          <cell r="BD199">
            <v>0.95</v>
          </cell>
          <cell r="BE199">
            <v>0.95</v>
          </cell>
          <cell r="BF199">
            <v>0.95</v>
          </cell>
          <cell r="BG199">
            <v>0.95</v>
          </cell>
          <cell r="BH199">
            <v>0.95</v>
          </cell>
          <cell r="BI199">
            <v>0.95</v>
          </cell>
          <cell r="BJ199">
            <v>0.95</v>
          </cell>
          <cell r="BK199">
            <v>0.95</v>
          </cell>
          <cell r="BL199">
            <v>0.95</v>
          </cell>
          <cell r="BM199">
            <v>0.95</v>
          </cell>
          <cell r="BN199">
            <v>0.95</v>
          </cell>
          <cell r="BO199">
            <v>0.95</v>
          </cell>
          <cell r="BP199">
            <v>0.95</v>
          </cell>
          <cell r="BQ199">
            <v>0.95</v>
          </cell>
          <cell r="BR199">
            <v>0.95</v>
          </cell>
          <cell r="BS199">
            <v>0.95</v>
          </cell>
          <cell r="BT199">
            <v>1</v>
          </cell>
          <cell r="BU199">
            <v>1</v>
          </cell>
          <cell r="BV199">
            <v>1</v>
          </cell>
          <cell r="BW199">
            <v>1</v>
          </cell>
          <cell r="BX199">
            <v>1</v>
          </cell>
          <cell r="BY199">
            <v>1</v>
          </cell>
          <cell r="BZ199">
            <v>1</v>
          </cell>
          <cell r="CA199">
            <v>1</v>
          </cell>
          <cell r="CB199">
            <v>1</v>
          </cell>
          <cell r="CC199">
            <v>1</v>
          </cell>
          <cell r="CD199">
            <v>1</v>
          </cell>
          <cell r="CE199">
            <v>1</v>
          </cell>
          <cell r="CF199">
            <v>1</v>
          </cell>
          <cell r="CG199">
            <v>1</v>
          </cell>
          <cell r="CH199">
            <v>1</v>
          </cell>
          <cell r="CI199">
            <v>1</v>
          </cell>
          <cell r="CJ199">
            <v>1</v>
          </cell>
          <cell r="CK199">
            <v>1</v>
          </cell>
        </row>
        <row r="200">
          <cell r="J200">
            <v>39373</v>
          </cell>
          <cell r="K200">
            <v>39381</v>
          </cell>
          <cell r="L200">
            <v>39416</v>
          </cell>
          <cell r="M200">
            <v>39521</v>
          </cell>
          <cell r="N200">
            <v>39563</v>
          </cell>
          <cell r="O200">
            <v>39642</v>
          </cell>
          <cell r="Q200" t="str">
            <v>R</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0.5</v>
          </cell>
          <cell r="BH200">
            <v>0.5</v>
          </cell>
          <cell r="BI200">
            <v>0.5</v>
          </cell>
          <cell r="BJ200">
            <v>0.5</v>
          </cell>
          <cell r="BK200">
            <v>0.5</v>
          </cell>
          <cell r="BL200">
            <v>0.7</v>
          </cell>
          <cell r="BM200">
            <v>0.7</v>
          </cell>
          <cell r="BN200">
            <v>0.7</v>
          </cell>
          <cell r="BO200">
            <v>0.7</v>
          </cell>
          <cell r="BP200">
            <v>0.7</v>
          </cell>
          <cell r="BQ200">
            <v>0.7</v>
          </cell>
          <cell r="BR200">
            <v>0.7</v>
          </cell>
          <cell r="BS200">
            <v>0.7</v>
          </cell>
          <cell r="BT200">
            <v>0.7</v>
          </cell>
          <cell r="BU200">
            <v>0.7</v>
          </cell>
          <cell r="BV200">
            <v>0.7</v>
          </cell>
          <cell r="BW200">
            <v>0.7</v>
          </cell>
          <cell r="BX200">
            <v>0.7</v>
          </cell>
          <cell r="BY200">
            <v>0.7</v>
          </cell>
          <cell r="BZ200">
            <v>0.7</v>
          </cell>
          <cell r="CA200">
            <v>0.7</v>
          </cell>
          <cell r="CB200">
            <v>0.7</v>
          </cell>
          <cell r="CC200">
            <v>0.7</v>
          </cell>
          <cell r="CD200">
            <v>0.7</v>
          </cell>
          <cell r="CE200">
            <v>0.7</v>
          </cell>
          <cell r="CF200">
            <v>0.7</v>
          </cell>
          <cell r="CG200">
            <v>0.95</v>
          </cell>
          <cell r="CH200">
            <v>0.95</v>
          </cell>
          <cell r="CI200">
            <v>0.95</v>
          </cell>
          <cell r="CJ200">
            <v>0.95</v>
          </cell>
          <cell r="CK200">
            <v>0.95</v>
          </cell>
        </row>
        <row r="201">
          <cell r="Q201" t="str">
            <v>E</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0.5</v>
          </cell>
          <cell r="BJ201">
            <v>0.5</v>
          </cell>
          <cell r="BK201">
            <v>0.5</v>
          </cell>
          <cell r="BL201">
            <v>0.5</v>
          </cell>
          <cell r="BM201">
            <v>0.5</v>
          </cell>
          <cell r="BN201">
            <v>0.7</v>
          </cell>
          <cell r="BO201">
            <v>0.7</v>
          </cell>
          <cell r="BP201">
            <v>0.7</v>
          </cell>
          <cell r="BQ201">
            <v>0.7</v>
          </cell>
          <cell r="BR201">
            <v>0.7</v>
          </cell>
          <cell r="BS201">
            <v>0.7</v>
          </cell>
          <cell r="BT201">
            <v>0.7</v>
          </cell>
          <cell r="BU201">
            <v>0.7</v>
          </cell>
          <cell r="BV201">
            <v>0.7</v>
          </cell>
          <cell r="BW201">
            <v>0.7</v>
          </cell>
          <cell r="BX201">
            <v>0.7</v>
          </cell>
          <cell r="BY201">
            <v>0.7</v>
          </cell>
          <cell r="BZ201">
            <v>0.7</v>
          </cell>
          <cell r="CA201">
            <v>0.7</v>
          </cell>
          <cell r="CB201">
            <v>0.7</v>
          </cell>
          <cell r="CC201">
            <v>0.7</v>
          </cell>
          <cell r="CD201">
            <v>0</v>
          </cell>
          <cell r="CE201">
            <v>0</v>
          </cell>
          <cell r="CF201">
            <v>0</v>
          </cell>
          <cell r="CG201">
            <v>0</v>
          </cell>
          <cell r="CH201">
            <v>0</v>
          </cell>
          <cell r="CI201">
            <v>0</v>
          </cell>
          <cell r="CJ201">
            <v>0</v>
          </cell>
          <cell r="CK201">
            <v>0</v>
          </cell>
        </row>
        <row r="202">
          <cell r="D202" t="str">
            <v>01</v>
          </cell>
          <cell r="E202" t="str">
            <v>46</v>
          </cell>
          <cell r="F202" t="str">
            <v>E01</v>
          </cell>
          <cell r="G202" t="str">
            <v>CAL</v>
          </cell>
          <cell r="H202" t="str">
            <v>006</v>
          </cell>
          <cell r="I202" t="str">
            <v>ESTUDIO FLUJO DE CORTO CIRCUITO - AREA 46</v>
          </cell>
          <cell r="J202">
            <v>39266</v>
          </cell>
          <cell r="K202">
            <v>39297</v>
          </cell>
          <cell r="L202">
            <v>39311</v>
          </cell>
          <cell r="M202">
            <v>39385</v>
          </cell>
          <cell r="N202">
            <v>39399</v>
          </cell>
          <cell r="O202">
            <v>39476</v>
          </cell>
          <cell r="P202">
            <v>87.730066555740436</v>
          </cell>
          <cell r="Q202" t="str">
            <v>P</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0.5</v>
          </cell>
          <cell r="AV202">
            <v>0.5</v>
          </cell>
          <cell r="AW202">
            <v>0.7</v>
          </cell>
          <cell r="AX202">
            <v>0.7</v>
          </cell>
          <cell r="AY202">
            <v>0.7</v>
          </cell>
          <cell r="AZ202">
            <v>0.7</v>
          </cell>
          <cell r="BA202">
            <v>0.7</v>
          </cell>
          <cell r="BB202">
            <v>0.7</v>
          </cell>
          <cell r="BC202">
            <v>0.7</v>
          </cell>
          <cell r="BD202">
            <v>0.7</v>
          </cell>
          <cell r="BE202">
            <v>0.7</v>
          </cell>
          <cell r="BF202">
            <v>0.7</v>
          </cell>
          <cell r="BG202">
            <v>0.7</v>
          </cell>
          <cell r="BH202">
            <v>0.7</v>
          </cell>
          <cell r="BI202">
            <v>0.95</v>
          </cell>
          <cell r="BJ202">
            <v>0.95</v>
          </cell>
          <cell r="BK202">
            <v>0.95</v>
          </cell>
          <cell r="BL202">
            <v>0.95</v>
          </cell>
          <cell r="BM202">
            <v>0.95</v>
          </cell>
          <cell r="BN202">
            <v>0.95</v>
          </cell>
          <cell r="BO202">
            <v>0.95</v>
          </cell>
          <cell r="BP202">
            <v>0.95</v>
          </cell>
          <cell r="BQ202">
            <v>0.95</v>
          </cell>
          <cell r="BR202">
            <v>0.95</v>
          </cell>
          <cell r="BS202">
            <v>0.95</v>
          </cell>
          <cell r="BT202">
            <v>1</v>
          </cell>
          <cell r="BU202">
            <v>1</v>
          </cell>
          <cell r="BV202">
            <v>1</v>
          </cell>
          <cell r="BW202">
            <v>1</v>
          </cell>
          <cell r="BX202">
            <v>1</v>
          </cell>
          <cell r="BY202">
            <v>1</v>
          </cell>
          <cell r="BZ202">
            <v>1</v>
          </cell>
          <cell r="CA202">
            <v>1</v>
          </cell>
          <cell r="CB202">
            <v>1</v>
          </cell>
          <cell r="CC202">
            <v>1</v>
          </cell>
          <cell r="CD202">
            <v>1</v>
          </cell>
          <cell r="CE202">
            <v>1</v>
          </cell>
          <cell r="CF202">
            <v>1</v>
          </cell>
          <cell r="CG202">
            <v>1</v>
          </cell>
          <cell r="CH202">
            <v>1</v>
          </cell>
          <cell r="CI202">
            <v>1</v>
          </cell>
          <cell r="CJ202">
            <v>1</v>
          </cell>
          <cell r="CK202">
            <v>1</v>
          </cell>
        </row>
        <row r="203">
          <cell r="J203">
            <v>39286</v>
          </cell>
          <cell r="K203">
            <v>39297</v>
          </cell>
          <cell r="L203">
            <v>39512</v>
          </cell>
          <cell r="M203">
            <v>39521</v>
          </cell>
          <cell r="N203">
            <v>39563</v>
          </cell>
          <cell r="O203">
            <v>39642</v>
          </cell>
          <cell r="Q203" t="str">
            <v>R</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0.5</v>
          </cell>
          <cell r="AV203">
            <v>0.5</v>
          </cell>
          <cell r="AW203">
            <v>0.5</v>
          </cell>
          <cell r="AX203">
            <v>0.5</v>
          </cell>
          <cell r="AY203">
            <v>0.5</v>
          </cell>
          <cell r="AZ203">
            <v>0.5</v>
          </cell>
          <cell r="BA203">
            <v>0.5</v>
          </cell>
          <cell r="BB203">
            <v>0.5</v>
          </cell>
          <cell r="BC203">
            <v>0.5</v>
          </cell>
          <cell r="BD203">
            <v>0.5</v>
          </cell>
          <cell r="BE203">
            <v>0.5</v>
          </cell>
          <cell r="BF203">
            <v>0.5</v>
          </cell>
          <cell r="BG203">
            <v>0.5</v>
          </cell>
          <cell r="BH203">
            <v>0.5</v>
          </cell>
          <cell r="BI203">
            <v>0.5</v>
          </cell>
          <cell r="BJ203">
            <v>0.5</v>
          </cell>
          <cell r="BK203">
            <v>0.5</v>
          </cell>
          <cell r="BL203">
            <v>0.5</v>
          </cell>
          <cell r="BM203">
            <v>0.5</v>
          </cell>
          <cell r="BN203">
            <v>0.5</v>
          </cell>
          <cell r="BO203">
            <v>0.5</v>
          </cell>
          <cell r="BP203">
            <v>0.5</v>
          </cell>
          <cell r="BQ203">
            <v>0.5</v>
          </cell>
          <cell r="BR203">
            <v>0.5</v>
          </cell>
          <cell r="BS203">
            <v>0.5</v>
          </cell>
          <cell r="BT203">
            <v>0.5</v>
          </cell>
          <cell r="BU203">
            <v>0.5</v>
          </cell>
          <cell r="BV203">
            <v>0.5</v>
          </cell>
          <cell r="BW203">
            <v>0.5</v>
          </cell>
          <cell r="BX203">
            <v>0.5</v>
          </cell>
          <cell r="BY203">
            <v>0.7</v>
          </cell>
          <cell r="BZ203">
            <v>0.7</v>
          </cell>
          <cell r="CA203">
            <v>0.7</v>
          </cell>
          <cell r="CB203">
            <v>0.7</v>
          </cell>
          <cell r="CC203">
            <v>0.7</v>
          </cell>
          <cell r="CD203">
            <v>0.7</v>
          </cell>
          <cell r="CE203">
            <v>0.7</v>
          </cell>
          <cell r="CF203">
            <v>0.7</v>
          </cell>
          <cell r="CG203">
            <v>0.95</v>
          </cell>
          <cell r="CH203">
            <v>0.95</v>
          </cell>
          <cell r="CI203">
            <v>0.95</v>
          </cell>
          <cell r="CJ203">
            <v>0.95</v>
          </cell>
          <cell r="CK203">
            <v>0.95</v>
          </cell>
        </row>
        <row r="204">
          <cell r="Q204" t="str">
            <v>E</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0.5</v>
          </cell>
          <cell r="BA204">
            <v>0.5</v>
          </cell>
          <cell r="BB204">
            <v>0.5</v>
          </cell>
          <cell r="BC204">
            <v>0.5</v>
          </cell>
          <cell r="BD204">
            <v>0.5</v>
          </cell>
          <cell r="BE204">
            <v>0.5</v>
          </cell>
          <cell r="BF204">
            <v>0.5</v>
          </cell>
          <cell r="BG204">
            <v>0.5</v>
          </cell>
          <cell r="BH204">
            <v>0.5</v>
          </cell>
          <cell r="BI204">
            <v>0.5</v>
          </cell>
          <cell r="BJ204">
            <v>0.5</v>
          </cell>
          <cell r="BK204">
            <v>0.5</v>
          </cell>
          <cell r="BL204">
            <v>0.5</v>
          </cell>
          <cell r="BM204">
            <v>0.5</v>
          </cell>
          <cell r="BN204">
            <v>0.5</v>
          </cell>
          <cell r="BO204">
            <v>0.5</v>
          </cell>
          <cell r="BP204">
            <v>0.5</v>
          </cell>
          <cell r="BQ204">
            <v>0.5</v>
          </cell>
          <cell r="BR204">
            <v>0.5</v>
          </cell>
          <cell r="BS204">
            <v>0.5</v>
          </cell>
          <cell r="BT204">
            <v>0.5</v>
          </cell>
          <cell r="BU204">
            <v>0.5</v>
          </cell>
          <cell r="BV204">
            <v>0.5</v>
          </cell>
          <cell r="BW204">
            <v>0.5</v>
          </cell>
          <cell r="BX204">
            <v>0.5</v>
          </cell>
          <cell r="BY204">
            <v>0.5</v>
          </cell>
          <cell r="BZ204">
            <v>0.5</v>
          </cell>
          <cell r="CA204">
            <v>0.5</v>
          </cell>
          <cell r="CB204">
            <v>0.7</v>
          </cell>
          <cell r="CC204">
            <v>0.7</v>
          </cell>
          <cell r="CD204">
            <v>0</v>
          </cell>
          <cell r="CE204">
            <v>0</v>
          </cell>
          <cell r="CF204">
            <v>0</v>
          </cell>
          <cell r="CG204">
            <v>0</v>
          </cell>
          <cell r="CH204">
            <v>0</v>
          </cell>
          <cell r="CI204">
            <v>0</v>
          </cell>
          <cell r="CJ204">
            <v>0</v>
          </cell>
          <cell r="CK204">
            <v>0</v>
          </cell>
        </row>
        <row r="205">
          <cell r="D205" t="str">
            <v>01</v>
          </cell>
          <cell r="E205" t="str">
            <v>46</v>
          </cell>
          <cell r="F205" t="str">
            <v>E33</v>
          </cell>
          <cell r="H205">
            <v>201</v>
          </cell>
          <cell r="I205" t="str">
            <v>PLANO DE CANALIZACIONES ELECTRICAS  SUBTERRANEAS - AREA 46</v>
          </cell>
          <cell r="J205">
            <v>39272</v>
          </cell>
          <cell r="K205">
            <v>39317</v>
          </cell>
          <cell r="L205">
            <v>39331</v>
          </cell>
          <cell r="M205">
            <v>39332</v>
          </cell>
          <cell r="N205">
            <v>39346</v>
          </cell>
          <cell r="O205">
            <v>39476</v>
          </cell>
          <cell r="P205">
            <v>63.011257903494155</v>
          </cell>
          <cell r="Q205" t="str">
            <v>P</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0.5</v>
          </cell>
          <cell r="AX205">
            <v>0.5</v>
          </cell>
          <cell r="AY205">
            <v>0.7</v>
          </cell>
          <cell r="AZ205">
            <v>0.7</v>
          </cell>
          <cell r="BA205">
            <v>0.7</v>
          </cell>
          <cell r="BB205">
            <v>0.95</v>
          </cell>
          <cell r="BC205">
            <v>0.95</v>
          </cell>
          <cell r="BD205">
            <v>0.95</v>
          </cell>
          <cell r="BE205">
            <v>0.95</v>
          </cell>
          <cell r="BF205">
            <v>0.95</v>
          </cell>
          <cell r="BG205">
            <v>0.95</v>
          </cell>
          <cell r="BH205">
            <v>0.95</v>
          </cell>
          <cell r="BI205">
            <v>0.95</v>
          </cell>
          <cell r="BJ205">
            <v>0.95</v>
          </cell>
          <cell r="BK205">
            <v>0.95</v>
          </cell>
          <cell r="BL205">
            <v>0.95</v>
          </cell>
          <cell r="BM205">
            <v>0.95</v>
          </cell>
          <cell r="BN205">
            <v>0.95</v>
          </cell>
          <cell r="BO205">
            <v>0.95</v>
          </cell>
          <cell r="BP205">
            <v>0.95</v>
          </cell>
          <cell r="BQ205">
            <v>0.95</v>
          </cell>
          <cell r="BR205">
            <v>0.95</v>
          </cell>
          <cell r="BS205">
            <v>0.95</v>
          </cell>
          <cell r="BT205">
            <v>1</v>
          </cell>
          <cell r="BU205">
            <v>1</v>
          </cell>
          <cell r="BV205">
            <v>1</v>
          </cell>
          <cell r="BW205">
            <v>1</v>
          </cell>
          <cell r="BX205">
            <v>1</v>
          </cell>
          <cell r="BY205">
            <v>1</v>
          </cell>
          <cell r="BZ205">
            <v>1</v>
          </cell>
          <cell r="CA205">
            <v>1</v>
          </cell>
          <cell r="CB205">
            <v>1</v>
          </cell>
          <cell r="CC205">
            <v>1</v>
          </cell>
          <cell r="CD205">
            <v>1</v>
          </cell>
          <cell r="CE205">
            <v>1</v>
          </cell>
          <cell r="CF205">
            <v>1</v>
          </cell>
          <cell r="CG205">
            <v>1</v>
          </cell>
          <cell r="CH205">
            <v>1</v>
          </cell>
          <cell r="CI205">
            <v>1</v>
          </cell>
          <cell r="CJ205">
            <v>1</v>
          </cell>
          <cell r="CK205">
            <v>1</v>
          </cell>
        </row>
        <row r="206">
          <cell r="J206">
            <v>39272</v>
          </cell>
          <cell r="K206">
            <v>39353</v>
          </cell>
          <cell r="L206">
            <v>39381</v>
          </cell>
          <cell r="M206">
            <v>39521</v>
          </cell>
          <cell r="N206">
            <v>39563</v>
          </cell>
          <cell r="O206">
            <v>39642</v>
          </cell>
          <cell r="Q206" t="str">
            <v>R</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0.5</v>
          </cell>
          <cell r="BD206">
            <v>0.5</v>
          </cell>
          <cell r="BE206">
            <v>0.5</v>
          </cell>
          <cell r="BF206">
            <v>0.5</v>
          </cell>
          <cell r="BG206">
            <v>0.7</v>
          </cell>
          <cell r="BH206">
            <v>0.7</v>
          </cell>
          <cell r="BI206">
            <v>0.7</v>
          </cell>
          <cell r="BJ206">
            <v>0.7</v>
          </cell>
          <cell r="BK206">
            <v>0.7</v>
          </cell>
          <cell r="BL206">
            <v>0.7</v>
          </cell>
          <cell r="BM206">
            <v>0.7</v>
          </cell>
          <cell r="BN206">
            <v>0.7</v>
          </cell>
          <cell r="BO206">
            <v>0.7</v>
          </cell>
          <cell r="BP206">
            <v>0.7</v>
          </cell>
          <cell r="BQ206">
            <v>0.7</v>
          </cell>
          <cell r="BR206">
            <v>0.7</v>
          </cell>
          <cell r="BS206">
            <v>0.7</v>
          </cell>
          <cell r="BT206">
            <v>0.7</v>
          </cell>
          <cell r="BU206">
            <v>0.7</v>
          </cell>
          <cell r="BV206">
            <v>0.7</v>
          </cell>
          <cell r="BW206">
            <v>0.7</v>
          </cell>
          <cell r="BX206">
            <v>0.7</v>
          </cell>
          <cell r="BY206">
            <v>0.7</v>
          </cell>
          <cell r="BZ206">
            <v>0.7</v>
          </cell>
          <cell r="CA206">
            <v>0.7</v>
          </cell>
          <cell r="CB206">
            <v>0.7</v>
          </cell>
          <cell r="CC206">
            <v>0.7</v>
          </cell>
          <cell r="CD206">
            <v>0.7</v>
          </cell>
          <cell r="CE206">
            <v>0.7</v>
          </cell>
          <cell r="CF206">
            <v>0.7</v>
          </cell>
          <cell r="CG206">
            <v>0.95</v>
          </cell>
          <cell r="CH206">
            <v>0.95</v>
          </cell>
          <cell r="CI206">
            <v>0.95</v>
          </cell>
          <cell r="CJ206">
            <v>0.95</v>
          </cell>
          <cell r="CK206">
            <v>0.95</v>
          </cell>
        </row>
        <row r="207">
          <cell r="Q207" t="str">
            <v>E</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0.7</v>
          </cell>
          <cell r="BF207">
            <v>0.7</v>
          </cell>
          <cell r="BG207">
            <v>0.7</v>
          </cell>
          <cell r="BH207">
            <v>0.7</v>
          </cell>
          <cell r="BI207">
            <v>0.7</v>
          </cell>
          <cell r="BJ207">
            <v>0.7</v>
          </cell>
          <cell r="BK207">
            <v>0.7</v>
          </cell>
          <cell r="BL207">
            <v>0.7</v>
          </cell>
          <cell r="BM207">
            <v>0.7</v>
          </cell>
          <cell r="BN207">
            <v>0.7</v>
          </cell>
          <cell r="BO207">
            <v>0.7</v>
          </cell>
          <cell r="BP207">
            <v>0.7</v>
          </cell>
          <cell r="BQ207">
            <v>0.7</v>
          </cell>
          <cell r="BR207">
            <v>0.7</v>
          </cell>
          <cell r="BS207">
            <v>0.7</v>
          </cell>
          <cell r="BT207">
            <v>0.7</v>
          </cell>
          <cell r="BU207">
            <v>0.7</v>
          </cell>
          <cell r="BV207">
            <v>0.7</v>
          </cell>
          <cell r="BW207">
            <v>0.7</v>
          </cell>
          <cell r="BX207">
            <v>0.7</v>
          </cell>
          <cell r="BY207">
            <v>0.7</v>
          </cell>
          <cell r="BZ207">
            <v>0.7</v>
          </cell>
          <cell r="CA207">
            <v>0.7</v>
          </cell>
          <cell r="CB207">
            <v>0.7</v>
          </cell>
          <cell r="CC207">
            <v>0.7</v>
          </cell>
          <cell r="CD207">
            <v>0</v>
          </cell>
          <cell r="CE207">
            <v>0</v>
          </cell>
          <cell r="CF207">
            <v>0</v>
          </cell>
          <cell r="CG207">
            <v>0</v>
          </cell>
          <cell r="CH207">
            <v>0</v>
          </cell>
          <cell r="CI207">
            <v>0</v>
          </cell>
          <cell r="CJ207">
            <v>0</v>
          </cell>
          <cell r="CK207">
            <v>0</v>
          </cell>
        </row>
        <row r="208">
          <cell r="D208" t="str">
            <v>01</v>
          </cell>
          <cell r="E208" t="str">
            <v>46</v>
          </cell>
          <cell r="F208" t="str">
            <v>E33</v>
          </cell>
          <cell r="H208">
            <v>202</v>
          </cell>
          <cell r="I208" t="str">
            <v>PLANO CANALIZACIONES  ELECTRICAS - SECCIONES - AREA 46</v>
          </cell>
          <cell r="J208">
            <v>39269</v>
          </cell>
          <cell r="K208">
            <v>39283</v>
          </cell>
          <cell r="L208">
            <v>39297</v>
          </cell>
          <cell r="M208">
            <v>39300</v>
          </cell>
          <cell r="N208">
            <v>39314</v>
          </cell>
          <cell r="O208">
            <v>39476</v>
          </cell>
          <cell r="P208">
            <v>63.011257903494155</v>
          </cell>
          <cell r="Q208" t="str">
            <v>P</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0.5</v>
          </cell>
          <cell r="AT208">
            <v>0.5</v>
          </cell>
          <cell r="AU208">
            <v>0.7</v>
          </cell>
          <cell r="AV208">
            <v>0.7</v>
          </cell>
          <cell r="AW208">
            <v>0.95</v>
          </cell>
          <cell r="AX208">
            <v>0.95</v>
          </cell>
          <cell r="AY208">
            <v>0.95</v>
          </cell>
          <cell r="AZ208">
            <v>0.95</v>
          </cell>
          <cell r="BA208">
            <v>0.95</v>
          </cell>
          <cell r="BB208">
            <v>0.95</v>
          </cell>
          <cell r="BC208">
            <v>0.95</v>
          </cell>
          <cell r="BD208">
            <v>0.95</v>
          </cell>
          <cell r="BE208">
            <v>0.95</v>
          </cell>
          <cell r="BF208">
            <v>0.95</v>
          </cell>
          <cell r="BG208">
            <v>0.95</v>
          </cell>
          <cell r="BH208">
            <v>0.95</v>
          </cell>
          <cell r="BI208">
            <v>0.95</v>
          </cell>
          <cell r="BJ208">
            <v>0.95</v>
          </cell>
          <cell r="BK208">
            <v>0.95</v>
          </cell>
          <cell r="BL208">
            <v>0.95</v>
          </cell>
          <cell r="BM208">
            <v>0.95</v>
          </cell>
          <cell r="BN208">
            <v>0.95</v>
          </cell>
          <cell r="BO208">
            <v>0.95</v>
          </cell>
          <cell r="BP208">
            <v>0.95</v>
          </cell>
          <cell r="BQ208">
            <v>0.95</v>
          </cell>
          <cell r="BR208">
            <v>0.95</v>
          </cell>
          <cell r="BS208">
            <v>0.95</v>
          </cell>
          <cell r="BT208">
            <v>1</v>
          </cell>
          <cell r="BU208">
            <v>1</v>
          </cell>
          <cell r="BV208">
            <v>1</v>
          </cell>
          <cell r="BW208">
            <v>1</v>
          </cell>
          <cell r="BX208">
            <v>1</v>
          </cell>
          <cell r="BY208">
            <v>1</v>
          </cell>
          <cell r="BZ208">
            <v>1</v>
          </cell>
          <cell r="CA208">
            <v>1</v>
          </cell>
          <cell r="CB208">
            <v>1</v>
          </cell>
          <cell r="CC208">
            <v>1</v>
          </cell>
          <cell r="CD208">
            <v>1</v>
          </cell>
          <cell r="CE208">
            <v>1</v>
          </cell>
          <cell r="CF208">
            <v>1</v>
          </cell>
          <cell r="CG208">
            <v>1</v>
          </cell>
          <cell r="CH208">
            <v>1</v>
          </cell>
          <cell r="CI208">
            <v>1</v>
          </cell>
          <cell r="CJ208">
            <v>1</v>
          </cell>
          <cell r="CK208">
            <v>1</v>
          </cell>
        </row>
        <row r="209">
          <cell r="J209">
            <v>39411</v>
          </cell>
          <cell r="K209">
            <v>39428</v>
          </cell>
          <cell r="L209">
            <v>39445</v>
          </cell>
          <cell r="M209">
            <v>39462</v>
          </cell>
          <cell r="N209">
            <v>39479</v>
          </cell>
          <cell r="O209">
            <v>39642</v>
          </cell>
          <cell r="Q209" t="str">
            <v>R</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0.5</v>
          </cell>
          <cell r="BN209">
            <v>0.5</v>
          </cell>
          <cell r="BO209">
            <v>0.5</v>
          </cell>
          <cell r="BP209">
            <v>0.7</v>
          </cell>
          <cell r="BQ209">
            <v>0.7</v>
          </cell>
          <cell r="BR209">
            <v>0.7</v>
          </cell>
          <cell r="BS209">
            <v>0.7</v>
          </cell>
          <cell r="BT209">
            <v>0.7</v>
          </cell>
          <cell r="BU209">
            <v>0.95</v>
          </cell>
          <cell r="BV209">
            <v>0.95</v>
          </cell>
          <cell r="BW209">
            <v>0.95</v>
          </cell>
          <cell r="BX209">
            <v>0.95</v>
          </cell>
          <cell r="BY209">
            <v>0.95</v>
          </cell>
          <cell r="BZ209">
            <v>0.95</v>
          </cell>
          <cell r="CA209">
            <v>0.95</v>
          </cell>
          <cell r="CB209">
            <v>0.95</v>
          </cell>
          <cell r="CC209">
            <v>0.95</v>
          </cell>
          <cell r="CD209">
            <v>0.95</v>
          </cell>
          <cell r="CE209">
            <v>0.95</v>
          </cell>
          <cell r="CF209">
            <v>0.95</v>
          </cell>
          <cell r="CG209">
            <v>0.95</v>
          </cell>
          <cell r="CH209">
            <v>0.95</v>
          </cell>
          <cell r="CI209">
            <v>0.95</v>
          </cell>
          <cell r="CJ209">
            <v>0.95</v>
          </cell>
          <cell r="CK209">
            <v>0.95</v>
          </cell>
        </row>
        <row r="210">
          <cell r="Q210" t="str">
            <v>E</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0.7</v>
          </cell>
          <cell r="BQ210">
            <v>0.7</v>
          </cell>
          <cell r="BR210">
            <v>0.7</v>
          </cell>
          <cell r="BS210">
            <v>0.7</v>
          </cell>
          <cell r="BT210">
            <v>0.7</v>
          </cell>
          <cell r="BU210">
            <v>0.7</v>
          </cell>
          <cell r="BV210">
            <v>0.7</v>
          </cell>
          <cell r="BW210">
            <v>0.7</v>
          </cell>
          <cell r="BX210">
            <v>0.95</v>
          </cell>
          <cell r="BY210">
            <v>0.95</v>
          </cell>
          <cell r="BZ210">
            <v>0.95</v>
          </cell>
          <cell r="CA210">
            <v>0.95</v>
          </cell>
          <cell r="CB210">
            <v>0.95</v>
          </cell>
          <cell r="CC210">
            <v>0.95</v>
          </cell>
          <cell r="CD210">
            <v>0</v>
          </cell>
          <cell r="CE210">
            <v>0</v>
          </cell>
          <cell r="CF210">
            <v>0</v>
          </cell>
          <cell r="CG210">
            <v>0</v>
          </cell>
          <cell r="CH210">
            <v>0</v>
          </cell>
          <cell r="CI210">
            <v>0</v>
          </cell>
          <cell r="CJ210">
            <v>0</v>
          </cell>
          <cell r="CK210">
            <v>0</v>
          </cell>
        </row>
        <row r="211">
          <cell r="D211" t="str">
            <v>01</v>
          </cell>
          <cell r="E211" t="str">
            <v>46</v>
          </cell>
          <cell r="F211" t="str">
            <v>E01</v>
          </cell>
          <cell r="G211" t="str">
            <v>TEC</v>
          </cell>
          <cell r="H211" t="str">
            <v>002</v>
          </cell>
          <cell r="I211" t="str">
            <v>PARTIDAS Y CANTIDADES DE OBRA ELECTRICA - AREA 46</v>
          </cell>
          <cell r="J211">
            <v>39349</v>
          </cell>
          <cell r="K211">
            <v>39367</v>
          </cell>
          <cell r="L211">
            <v>39381</v>
          </cell>
          <cell r="M211">
            <v>39386</v>
          </cell>
          <cell r="N211">
            <v>39400</v>
          </cell>
          <cell r="O211">
            <v>39476</v>
          </cell>
          <cell r="P211">
            <v>63.011257903494155</v>
          </cell>
          <cell r="Q211" t="str">
            <v>P</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0.5</v>
          </cell>
          <cell r="BF211">
            <v>0.5</v>
          </cell>
          <cell r="BG211">
            <v>0.7</v>
          </cell>
          <cell r="BH211">
            <v>0.7</v>
          </cell>
          <cell r="BI211">
            <v>0.95</v>
          </cell>
          <cell r="BJ211">
            <v>0.95</v>
          </cell>
          <cell r="BK211">
            <v>0.95</v>
          </cell>
          <cell r="BL211">
            <v>0.95</v>
          </cell>
          <cell r="BM211">
            <v>0.95</v>
          </cell>
          <cell r="BN211">
            <v>0.95</v>
          </cell>
          <cell r="BO211">
            <v>0.95</v>
          </cell>
          <cell r="BP211">
            <v>0.95</v>
          </cell>
          <cell r="BQ211">
            <v>0.95</v>
          </cell>
          <cell r="BR211">
            <v>0.95</v>
          </cell>
          <cell r="BS211">
            <v>0.95</v>
          </cell>
          <cell r="BT211">
            <v>1</v>
          </cell>
          <cell r="BU211">
            <v>1</v>
          </cell>
          <cell r="BV211">
            <v>1</v>
          </cell>
          <cell r="BW211">
            <v>1</v>
          </cell>
          <cell r="BX211">
            <v>1</v>
          </cell>
          <cell r="BY211">
            <v>1</v>
          </cell>
          <cell r="BZ211">
            <v>1</v>
          </cell>
          <cell r="CA211">
            <v>1</v>
          </cell>
          <cell r="CB211">
            <v>1</v>
          </cell>
          <cell r="CC211">
            <v>1</v>
          </cell>
          <cell r="CD211">
            <v>1</v>
          </cell>
          <cell r="CE211">
            <v>1</v>
          </cell>
          <cell r="CF211">
            <v>1</v>
          </cell>
          <cell r="CG211">
            <v>1</v>
          </cell>
          <cell r="CH211">
            <v>1</v>
          </cell>
          <cell r="CI211">
            <v>1</v>
          </cell>
          <cell r="CJ211">
            <v>1</v>
          </cell>
          <cell r="CK211">
            <v>1</v>
          </cell>
        </row>
        <row r="212">
          <cell r="J212">
            <v>39349</v>
          </cell>
          <cell r="K212">
            <v>39401</v>
          </cell>
          <cell r="L212">
            <v>39512</v>
          </cell>
          <cell r="M212">
            <v>39521</v>
          </cell>
          <cell r="N212">
            <v>39563</v>
          </cell>
          <cell r="O212">
            <v>39642</v>
          </cell>
          <cell r="Q212" t="str">
            <v>R</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0.5</v>
          </cell>
          <cell r="BJ212">
            <v>0.5</v>
          </cell>
          <cell r="BK212">
            <v>0.5</v>
          </cell>
          <cell r="BL212">
            <v>0.5</v>
          </cell>
          <cell r="BM212">
            <v>0.5</v>
          </cell>
          <cell r="BN212">
            <v>0.5</v>
          </cell>
          <cell r="BO212">
            <v>0.5</v>
          </cell>
          <cell r="BP212">
            <v>0.5</v>
          </cell>
          <cell r="BQ212">
            <v>0.5</v>
          </cell>
          <cell r="BR212">
            <v>0.5</v>
          </cell>
          <cell r="BS212">
            <v>0.5</v>
          </cell>
          <cell r="BT212">
            <v>0.5</v>
          </cell>
          <cell r="BU212">
            <v>0.5</v>
          </cell>
          <cell r="BV212">
            <v>0.5</v>
          </cell>
          <cell r="BW212">
            <v>0.5</v>
          </cell>
          <cell r="BX212">
            <v>0.5</v>
          </cell>
          <cell r="BY212">
            <v>0.7</v>
          </cell>
          <cell r="BZ212">
            <v>0.7</v>
          </cell>
          <cell r="CA212">
            <v>0.7</v>
          </cell>
          <cell r="CB212">
            <v>0.7</v>
          </cell>
          <cell r="CC212">
            <v>0.7</v>
          </cell>
          <cell r="CD212">
            <v>0.7</v>
          </cell>
          <cell r="CE212">
            <v>0.7</v>
          </cell>
          <cell r="CF212">
            <v>0.7</v>
          </cell>
          <cell r="CG212">
            <v>0.95</v>
          </cell>
          <cell r="CH212">
            <v>0.95</v>
          </cell>
          <cell r="CI212">
            <v>0.95</v>
          </cell>
          <cell r="CJ212">
            <v>0.95</v>
          </cell>
          <cell r="CK212">
            <v>0.95</v>
          </cell>
        </row>
        <row r="213">
          <cell r="Q213" t="str">
            <v>E</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0.5</v>
          </cell>
          <cell r="BK213">
            <v>0.5</v>
          </cell>
          <cell r="BL213">
            <v>0.5</v>
          </cell>
          <cell r="BM213">
            <v>0.5</v>
          </cell>
          <cell r="BN213">
            <v>0.5</v>
          </cell>
          <cell r="BO213">
            <v>0.5</v>
          </cell>
          <cell r="BP213">
            <v>0.5</v>
          </cell>
          <cell r="BQ213">
            <v>0.5</v>
          </cell>
          <cell r="BR213">
            <v>0.5</v>
          </cell>
          <cell r="BS213">
            <v>0.5</v>
          </cell>
          <cell r="BT213">
            <v>0.5</v>
          </cell>
          <cell r="BU213">
            <v>0.5</v>
          </cell>
          <cell r="BV213">
            <v>0.5</v>
          </cell>
          <cell r="BW213">
            <v>0.5</v>
          </cell>
          <cell r="BX213">
            <v>0.5</v>
          </cell>
          <cell r="BY213">
            <v>0.5</v>
          </cell>
          <cell r="BZ213">
            <v>0.5</v>
          </cell>
          <cell r="CA213">
            <v>0.5</v>
          </cell>
          <cell r="CB213">
            <v>0.5</v>
          </cell>
          <cell r="CC213">
            <v>0.5</v>
          </cell>
          <cell r="CD213">
            <v>0</v>
          </cell>
          <cell r="CE213">
            <v>0</v>
          </cell>
          <cell r="CF213">
            <v>0</v>
          </cell>
          <cell r="CG213">
            <v>0</v>
          </cell>
          <cell r="CH213">
            <v>0</v>
          </cell>
          <cell r="CI213">
            <v>0</v>
          </cell>
          <cell r="CJ213">
            <v>0</v>
          </cell>
          <cell r="CK213">
            <v>0</v>
          </cell>
        </row>
        <row r="214">
          <cell r="D214" t="str">
            <v>01</v>
          </cell>
          <cell r="E214" t="str">
            <v>46</v>
          </cell>
          <cell r="F214" t="str">
            <v>E01</v>
          </cell>
          <cell r="G214" t="str">
            <v>TEC</v>
          </cell>
          <cell r="H214" t="str">
            <v>007</v>
          </cell>
          <cell r="I214" t="str">
            <v>LISTA MATERIALES - CANALIZACIONES ELECTRICAS - AREA 46</v>
          </cell>
          <cell r="J214">
            <v>39314</v>
          </cell>
          <cell r="K214">
            <v>39376</v>
          </cell>
          <cell r="L214">
            <v>39390</v>
          </cell>
          <cell r="M214">
            <v>39401</v>
          </cell>
          <cell r="N214">
            <v>39415</v>
          </cell>
          <cell r="O214">
            <v>39476</v>
          </cell>
          <cell r="P214">
            <v>63.011257903494155</v>
          </cell>
          <cell r="Q214" t="str">
            <v>P</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0.5</v>
          </cell>
          <cell r="BG214">
            <v>0.5</v>
          </cell>
          <cell r="BH214">
            <v>0.7</v>
          </cell>
          <cell r="BI214">
            <v>0.7</v>
          </cell>
          <cell r="BJ214">
            <v>0.7</v>
          </cell>
          <cell r="BK214">
            <v>0.95</v>
          </cell>
          <cell r="BL214">
            <v>0.95</v>
          </cell>
          <cell r="BM214">
            <v>0.95</v>
          </cell>
          <cell r="BN214">
            <v>0.95</v>
          </cell>
          <cell r="BO214">
            <v>0.95</v>
          </cell>
          <cell r="BP214">
            <v>0.95</v>
          </cell>
          <cell r="BQ214">
            <v>0.95</v>
          </cell>
          <cell r="BR214">
            <v>0.95</v>
          </cell>
          <cell r="BS214">
            <v>0.95</v>
          </cell>
          <cell r="BT214">
            <v>1</v>
          </cell>
          <cell r="BU214">
            <v>1</v>
          </cell>
          <cell r="BV214">
            <v>1</v>
          </cell>
          <cell r="BW214">
            <v>1</v>
          </cell>
          <cell r="BX214">
            <v>1</v>
          </cell>
          <cell r="BY214">
            <v>1</v>
          </cell>
          <cell r="BZ214">
            <v>1</v>
          </cell>
          <cell r="CA214">
            <v>1</v>
          </cell>
          <cell r="CB214">
            <v>1</v>
          </cell>
          <cell r="CC214">
            <v>1</v>
          </cell>
          <cell r="CD214">
            <v>1</v>
          </cell>
          <cell r="CE214">
            <v>1</v>
          </cell>
          <cell r="CF214">
            <v>1</v>
          </cell>
          <cell r="CG214">
            <v>1</v>
          </cell>
          <cell r="CH214">
            <v>1</v>
          </cell>
          <cell r="CI214">
            <v>1</v>
          </cell>
          <cell r="CJ214">
            <v>1</v>
          </cell>
          <cell r="CK214">
            <v>1</v>
          </cell>
        </row>
        <row r="215">
          <cell r="J215">
            <v>39314</v>
          </cell>
          <cell r="K215">
            <v>39353</v>
          </cell>
          <cell r="L215">
            <v>39381</v>
          </cell>
          <cell r="M215">
            <v>39521</v>
          </cell>
          <cell r="N215">
            <v>39563</v>
          </cell>
          <cell r="O215">
            <v>39642</v>
          </cell>
          <cell r="Q215" t="str">
            <v>R</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0.5</v>
          </cell>
          <cell r="BD215">
            <v>0.5</v>
          </cell>
          <cell r="BE215">
            <v>0.5</v>
          </cell>
          <cell r="BF215">
            <v>0.5</v>
          </cell>
          <cell r="BG215">
            <v>0.7</v>
          </cell>
          <cell r="BH215">
            <v>0.7</v>
          </cell>
          <cell r="BI215">
            <v>0.7</v>
          </cell>
          <cell r="BJ215">
            <v>0.7</v>
          </cell>
          <cell r="BK215">
            <v>0.7</v>
          </cell>
          <cell r="BL215">
            <v>0.7</v>
          </cell>
          <cell r="BM215">
            <v>0.7</v>
          </cell>
          <cell r="BN215">
            <v>0.7</v>
          </cell>
          <cell r="BO215">
            <v>0.7</v>
          </cell>
          <cell r="BP215">
            <v>0.7</v>
          </cell>
          <cell r="BQ215">
            <v>0.7</v>
          </cell>
          <cell r="BR215">
            <v>0.7</v>
          </cell>
          <cell r="BS215">
            <v>0.7</v>
          </cell>
          <cell r="BT215">
            <v>0.7</v>
          </cell>
          <cell r="BU215">
            <v>0.7</v>
          </cell>
          <cell r="BV215">
            <v>0.7</v>
          </cell>
          <cell r="BW215">
            <v>0.7</v>
          </cell>
          <cell r="BX215">
            <v>0.7</v>
          </cell>
          <cell r="BY215">
            <v>0.7</v>
          </cell>
          <cell r="BZ215">
            <v>0.7</v>
          </cell>
          <cell r="CA215">
            <v>0.7</v>
          </cell>
          <cell r="CB215">
            <v>0.7</v>
          </cell>
          <cell r="CC215">
            <v>0.7</v>
          </cell>
          <cell r="CD215">
            <v>0.7</v>
          </cell>
          <cell r="CE215">
            <v>0.7</v>
          </cell>
          <cell r="CF215">
            <v>0.7</v>
          </cell>
          <cell r="CG215">
            <v>0.95</v>
          </cell>
          <cell r="CH215">
            <v>0.95</v>
          </cell>
          <cell r="CI215">
            <v>0.95</v>
          </cell>
          <cell r="CJ215">
            <v>0.95</v>
          </cell>
          <cell r="CK215">
            <v>0.95</v>
          </cell>
        </row>
        <row r="216">
          <cell r="Q216" t="str">
            <v>E</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0.7</v>
          </cell>
          <cell r="BJ216">
            <v>0.7</v>
          </cell>
          <cell r="BK216">
            <v>0.7</v>
          </cell>
          <cell r="BL216">
            <v>0.7</v>
          </cell>
          <cell r="BM216">
            <v>0.7</v>
          </cell>
          <cell r="BN216">
            <v>0.7</v>
          </cell>
          <cell r="BO216">
            <v>0.7</v>
          </cell>
          <cell r="BP216">
            <v>0.7</v>
          </cell>
          <cell r="BQ216">
            <v>0.7</v>
          </cell>
          <cell r="BR216">
            <v>0.7</v>
          </cell>
          <cell r="BS216">
            <v>0.7</v>
          </cell>
          <cell r="BT216">
            <v>0.7</v>
          </cell>
          <cell r="BU216">
            <v>0.7</v>
          </cell>
          <cell r="BV216">
            <v>0.7</v>
          </cell>
          <cell r="BW216">
            <v>0.95</v>
          </cell>
          <cell r="BX216">
            <v>0.95</v>
          </cell>
          <cell r="BY216">
            <v>0.95</v>
          </cell>
          <cell r="BZ216">
            <v>0.95</v>
          </cell>
          <cell r="CA216">
            <v>0.95</v>
          </cell>
          <cell r="CB216">
            <v>0.95</v>
          </cell>
          <cell r="CC216">
            <v>0.95</v>
          </cell>
          <cell r="CD216">
            <v>0</v>
          </cell>
          <cell r="CE216">
            <v>0</v>
          </cell>
          <cell r="CF216">
            <v>0</v>
          </cell>
          <cell r="CG216">
            <v>0</v>
          </cell>
          <cell r="CH216">
            <v>0</v>
          </cell>
          <cell r="CI216">
            <v>0</v>
          </cell>
          <cell r="CJ216">
            <v>0</v>
          </cell>
          <cell r="CK216">
            <v>0</v>
          </cell>
        </row>
        <row r="217">
          <cell r="D217" t="str">
            <v>01</v>
          </cell>
          <cell r="E217">
            <v>46</v>
          </cell>
          <cell r="F217" t="str">
            <v>E04</v>
          </cell>
          <cell r="G217" t="str">
            <v>REQ</v>
          </cell>
          <cell r="H217" t="str">
            <v>5099-1</v>
          </cell>
          <cell r="I217" t="str">
            <v>SISTEMA INTERCOMUNICACIÓN Y VOCEO</v>
          </cell>
          <cell r="J217">
            <v>39413</v>
          </cell>
          <cell r="K217">
            <v>39429</v>
          </cell>
          <cell r="L217">
            <v>39486</v>
          </cell>
          <cell r="M217">
            <v>39508</v>
          </cell>
          <cell r="N217">
            <v>39556</v>
          </cell>
          <cell r="O217">
            <v>39568</v>
          </cell>
          <cell r="P217">
            <v>11.456592346089847</v>
          </cell>
          <cell r="Q217" t="str">
            <v>P</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0.5</v>
          </cell>
          <cell r="BN217">
            <v>0.5</v>
          </cell>
          <cell r="BO217">
            <v>0.5</v>
          </cell>
          <cell r="BP217">
            <v>0.5</v>
          </cell>
          <cell r="BQ217">
            <v>0.5</v>
          </cell>
          <cell r="BR217">
            <v>0.5</v>
          </cell>
          <cell r="BS217">
            <v>0.5</v>
          </cell>
          <cell r="BT217">
            <v>0.5</v>
          </cell>
          <cell r="BU217">
            <v>0.5</v>
          </cell>
          <cell r="BV217">
            <v>0.7</v>
          </cell>
          <cell r="BW217">
            <v>0.7</v>
          </cell>
          <cell r="BX217">
            <v>0.7</v>
          </cell>
          <cell r="BY217">
            <v>0.7</v>
          </cell>
          <cell r="BZ217">
            <v>0.7</v>
          </cell>
          <cell r="CA217">
            <v>0.7</v>
          </cell>
          <cell r="CB217">
            <v>0.7</v>
          </cell>
          <cell r="CC217">
            <v>0.7</v>
          </cell>
          <cell r="CD217">
            <v>0.7</v>
          </cell>
          <cell r="CE217">
            <v>0.7</v>
          </cell>
          <cell r="CF217">
            <v>0.95</v>
          </cell>
          <cell r="CG217">
            <v>1</v>
          </cell>
          <cell r="CH217">
            <v>1</v>
          </cell>
          <cell r="CI217">
            <v>1</v>
          </cell>
          <cell r="CJ217">
            <v>1</v>
          </cell>
          <cell r="CK217">
            <v>1</v>
          </cell>
        </row>
        <row r="218">
          <cell r="J218">
            <v>39413</v>
          </cell>
          <cell r="K218">
            <v>39429</v>
          </cell>
          <cell r="L218">
            <v>39486</v>
          </cell>
          <cell r="M218">
            <v>39508</v>
          </cell>
          <cell r="N218">
            <v>39556</v>
          </cell>
          <cell r="O218">
            <v>39642</v>
          </cell>
          <cell r="Q218" t="str">
            <v>R</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0.5</v>
          </cell>
          <cell r="BN218">
            <v>0.5</v>
          </cell>
          <cell r="BO218">
            <v>0.5</v>
          </cell>
          <cell r="BP218">
            <v>0.5</v>
          </cell>
          <cell r="BQ218">
            <v>0.5</v>
          </cell>
          <cell r="BR218">
            <v>0.5</v>
          </cell>
          <cell r="BS218">
            <v>0.5</v>
          </cell>
          <cell r="BT218">
            <v>0.5</v>
          </cell>
          <cell r="BU218">
            <v>0.5</v>
          </cell>
          <cell r="BV218">
            <v>0.7</v>
          </cell>
          <cell r="BW218">
            <v>0.7</v>
          </cell>
          <cell r="BX218">
            <v>0.7</v>
          </cell>
          <cell r="BY218">
            <v>0.7</v>
          </cell>
          <cell r="BZ218">
            <v>0.7</v>
          </cell>
          <cell r="CA218">
            <v>0.7</v>
          </cell>
          <cell r="CB218">
            <v>0.7</v>
          </cell>
          <cell r="CC218">
            <v>0.7</v>
          </cell>
          <cell r="CD218">
            <v>0.7</v>
          </cell>
          <cell r="CE218">
            <v>0.7</v>
          </cell>
          <cell r="CF218">
            <v>0.95</v>
          </cell>
          <cell r="CG218">
            <v>0.95</v>
          </cell>
          <cell r="CH218">
            <v>0.95</v>
          </cell>
          <cell r="CI218">
            <v>0.95</v>
          </cell>
          <cell r="CJ218">
            <v>0.95</v>
          </cell>
          <cell r="CK218">
            <v>0.95</v>
          </cell>
        </row>
        <row r="219">
          <cell r="Q219" t="str">
            <v>E</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0.7</v>
          </cell>
          <cell r="BR219">
            <v>0</v>
          </cell>
          <cell r="BS219">
            <v>0</v>
          </cell>
          <cell r="BT219">
            <v>0</v>
          </cell>
          <cell r="BU219">
            <v>0</v>
          </cell>
          <cell r="BV219">
            <v>0</v>
          </cell>
          <cell r="BW219">
            <v>0.7</v>
          </cell>
          <cell r="BX219">
            <v>0.7</v>
          </cell>
          <cell r="BY219">
            <v>0.7</v>
          </cell>
          <cell r="BZ219">
            <v>0.7</v>
          </cell>
          <cell r="CA219">
            <v>0.95</v>
          </cell>
          <cell r="CB219">
            <v>0.95</v>
          </cell>
          <cell r="CC219">
            <v>0.95</v>
          </cell>
        </row>
        <row r="220">
          <cell r="D220" t="str">
            <v>01</v>
          </cell>
          <cell r="E220">
            <v>46</v>
          </cell>
          <cell r="F220" t="str">
            <v>E03</v>
          </cell>
          <cell r="H220">
            <v>101</v>
          </cell>
          <cell r="I220" t="str">
            <v>PLANO DEL SISTEMA DE INTERCOMUNICACION YVOCEO AREA 46</v>
          </cell>
          <cell r="J220">
            <v>39407</v>
          </cell>
          <cell r="K220">
            <v>39423</v>
          </cell>
          <cell r="L220">
            <v>39479</v>
          </cell>
          <cell r="M220">
            <v>39496</v>
          </cell>
          <cell r="N220">
            <v>39535</v>
          </cell>
          <cell r="O220">
            <v>39568</v>
          </cell>
          <cell r="P220">
            <v>11.456592346089847</v>
          </cell>
          <cell r="Q220" t="str">
            <v>P</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0.5</v>
          </cell>
          <cell r="BN220">
            <v>0.5</v>
          </cell>
          <cell r="BO220">
            <v>0.5</v>
          </cell>
          <cell r="BP220">
            <v>0.5</v>
          </cell>
          <cell r="BQ220">
            <v>0.5</v>
          </cell>
          <cell r="BR220">
            <v>0.5</v>
          </cell>
          <cell r="BS220">
            <v>0.5</v>
          </cell>
          <cell r="BT220">
            <v>0.5</v>
          </cell>
          <cell r="BU220">
            <v>0.7</v>
          </cell>
          <cell r="BV220">
            <v>0.7</v>
          </cell>
          <cell r="BW220">
            <v>0.7</v>
          </cell>
          <cell r="BX220">
            <v>0.7</v>
          </cell>
          <cell r="BY220">
            <v>0.7</v>
          </cell>
          <cell r="BZ220">
            <v>0.7</v>
          </cell>
          <cell r="CA220">
            <v>0.7</v>
          </cell>
          <cell r="CB220">
            <v>0.7</v>
          </cell>
          <cell r="CC220">
            <v>0.95</v>
          </cell>
          <cell r="CD220">
            <v>0.95</v>
          </cell>
          <cell r="CE220">
            <v>0.95</v>
          </cell>
          <cell r="CF220">
            <v>0.95</v>
          </cell>
          <cell r="CG220">
            <v>1</v>
          </cell>
          <cell r="CH220">
            <v>1</v>
          </cell>
          <cell r="CI220">
            <v>1</v>
          </cell>
          <cell r="CJ220">
            <v>1</v>
          </cell>
          <cell r="CK220">
            <v>1</v>
          </cell>
        </row>
        <row r="221">
          <cell r="J221">
            <v>39407</v>
          </cell>
          <cell r="K221">
            <v>39423</v>
          </cell>
          <cell r="L221">
            <v>39479</v>
          </cell>
          <cell r="M221">
            <v>39496</v>
          </cell>
          <cell r="N221">
            <v>39535</v>
          </cell>
          <cell r="O221">
            <v>39642</v>
          </cell>
          <cell r="Q221" t="str">
            <v>R</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0.5</v>
          </cell>
          <cell r="BN221">
            <v>0.5</v>
          </cell>
          <cell r="BO221">
            <v>0.5</v>
          </cell>
          <cell r="BP221">
            <v>0.5</v>
          </cell>
          <cell r="BQ221">
            <v>0.5</v>
          </cell>
          <cell r="BR221">
            <v>0.5</v>
          </cell>
          <cell r="BS221">
            <v>0.5</v>
          </cell>
          <cell r="BT221">
            <v>0.5</v>
          </cell>
          <cell r="BU221">
            <v>0.7</v>
          </cell>
          <cell r="BV221">
            <v>0.7</v>
          </cell>
          <cell r="BW221">
            <v>0.7</v>
          </cell>
          <cell r="BX221">
            <v>0.7</v>
          </cell>
          <cell r="BY221">
            <v>0.7</v>
          </cell>
          <cell r="BZ221">
            <v>0.7</v>
          </cell>
          <cell r="CA221">
            <v>0.7</v>
          </cell>
          <cell r="CB221">
            <v>0.7</v>
          </cell>
          <cell r="CC221">
            <v>0.95</v>
          </cell>
          <cell r="CD221">
            <v>0.95</v>
          </cell>
          <cell r="CE221">
            <v>0.95</v>
          </cell>
          <cell r="CF221">
            <v>0.95</v>
          </cell>
          <cell r="CG221">
            <v>0.95</v>
          </cell>
          <cell r="CH221">
            <v>0.95</v>
          </cell>
          <cell r="CI221">
            <v>0.95</v>
          </cell>
          <cell r="CJ221">
            <v>0.95</v>
          </cell>
          <cell r="CK221">
            <v>0.95</v>
          </cell>
        </row>
        <row r="222">
          <cell r="Q222" t="str">
            <v>E</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0.7</v>
          </cell>
          <cell r="BR222">
            <v>0</v>
          </cell>
          <cell r="BS222">
            <v>0</v>
          </cell>
          <cell r="BT222">
            <v>0</v>
          </cell>
          <cell r="BU222">
            <v>0</v>
          </cell>
          <cell r="BV222">
            <v>0</v>
          </cell>
          <cell r="BW222">
            <v>0.7</v>
          </cell>
          <cell r="BX222">
            <v>0.7</v>
          </cell>
          <cell r="BY222">
            <v>0.7</v>
          </cell>
          <cell r="BZ222">
            <v>0.7</v>
          </cell>
          <cell r="CA222">
            <v>0.95</v>
          </cell>
          <cell r="CB222">
            <v>0.95</v>
          </cell>
          <cell r="CC222">
            <v>0.95</v>
          </cell>
        </row>
        <row r="223">
          <cell r="D223" t="str">
            <v>01</v>
          </cell>
          <cell r="E223">
            <v>46</v>
          </cell>
          <cell r="F223" t="str">
            <v>E01</v>
          </cell>
          <cell r="G223" t="str">
            <v>TEC</v>
          </cell>
          <cell r="H223" t="str">
            <v>010</v>
          </cell>
          <cell r="I223" t="str">
            <v>LISTA DE MATERIALES - SISTEMA INTERCOMUNICACION Y VOCEO</v>
          </cell>
          <cell r="J223">
            <v>39407</v>
          </cell>
          <cell r="K223">
            <v>39423</v>
          </cell>
          <cell r="L223">
            <v>39479</v>
          </cell>
          <cell r="M223">
            <v>39496</v>
          </cell>
          <cell r="N223">
            <v>39535</v>
          </cell>
          <cell r="O223">
            <v>39568</v>
          </cell>
          <cell r="P223">
            <v>11.456592346089847</v>
          </cell>
          <cell r="Q223" t="str">
            <v>P</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0.5</v>
          </cell>
          <cell r="BN223">
            <v>0.5</v>
          </cell>
          <cell r="BO223">
            <v>0.5</v>
          </cell>
          <cell r="BP223">
            <v>0.5</v>
          </cell>
          <cell r="BQ223">
            <v>0.5</v>
          </cell>
          <cell r="BR223">
            <v>0.5</v>
          </cell>
          <cell r="BS223">
            <v>0.5</v>
          </cell>
          <cell r="BT223">
            <v>0.5</v>
          </cell>
          <cell r="BU223">
            <v>0.7</v>
          </cell>
          <cell r="BV223">
            <v>0.7</v>
          </cell>
          <cell r="BW223">
            <v>0.7</v>
          </cell>
          <cell r="BX223">
            <v>0.7</v>
          </cell>
          <cell r="BY223">
            <v>0.7</v>
          </cell>
          <cell r="BZ223">
            <v>0.7</v>
          </cell>
          <cell r="CA223">
            <v>0.7</v>
          </cell>
          <cell r="CB223">
            <v>0.7</v>
          </cell>
          <cell r="CC223">
            <v>0.95</v>
          </cell>
          <cell r="CD223">
            <v>0.95</v>
          </cell>
          <cell r="CE223">
            <v>0.95</v>
          </cell>
          <cell r="CF223">
            <v>0.95</v>
          </cell>
          <cell r="CG223">
            <v>1</v>
          </cell>
          <cell r="CH223">
            <v>1</v>
          </cell>
          <cell r="CI223">
            <v>1</v>
          </cell>
          <cell r="CJ223">
            <v>1</v>
          </cell>
          <cell r="CK223">
            <v>1</v>
          </cell>
        </row>
        <row r="224">
          <cell r="J224">
            <v>39407</v>
          </cell>
          <cell r="K224">
            <v>39423</v>
          </cell>
          <cell r="L224">
            <v>39479</v>
          </cell>
          <cell r="M224">
            <v>39496</v>
          </cell>
          <cell r="N224">
            <v>39535</v>
          </cell>
          <cell r="O224">
            <v>39642</v>
          </cell>
          <cell r="Q224" t="str">
            <v>R</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0.5</v>
          </cell>
          <cell r="BN224">
            <v>0.5</v>
          </cell>
          <cell r="BO224">
            <v>0.5</v>
          </cell>
          <cell r="BP224">
            <v>0.5</v>
          </cell>
          <cell r="BQ224">
            <v>0.5</v>
          </cell>
          <cell r="BR224">
            <v>0.5</v>
          </cell>
          <cell r="BS224">
            <v>0.5</v>
          </cell>
          <cell r="BT224">
            <v>0.5</v>
          </cell>
          <cell r="BU224">
            <v>0.7</v>
          </cell>
          <cell r="BV224">
            <v>0.7</v>
          </cell>
          <cell r="BW224">
            <v>0.7</v>
          </cell>
          <cell r="BX224">
            <v>0.7</v>
          </cell>
          <cell r="BY224">
            <v>0.7</v>
          </cell>
          <cell r="BZ224">
            <v>0.7</v>
          </cell>
          <cell r="CA224">
            <v>0.7</v>
          </cell>
          <cell r="CB224">
            <v>0.7</v>
          </cell>
          <cell r="CC224">
            <v>0.95</v>
          </cell>
          <cell r="CD224">
            <v>0.95</v>
          </cell>
          <cell r="CE224">
            <v>0.95</v>
          </cell>
          <cell r="CF224">
            <v>0.95</v>
          </cell>
          <cell r="CG224">
            <v>0.95</v>
          </cell>
          <cell r="CH224">
            <v>0.95</v>
          </cell>
          <cell r="CI224">
            <v>0.95</v>
          </cell>
          <cell r="CJ224">
            <v>0.95</v>
          </cell>
          <cell r="CK224">
            <v>0.95</v>
          </cell>
        </row>
        <row r="225">
          <cell r="Q225" t="str">
            <v>E</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0.7</v>
          </cell>
          <cell r="BR225">
            <v>0</v>
          </cell>
          <cell r="BS225">
            <v>0</v>
          </cell>
          <cell r="BT225">
            <v>0</v>
          </cell>
          <cell r="BU225">
            <v>0</v>
          </cell>
          <cell r="BV225">
            <v>0</v>
          </cell>
          <cell r="BW225">
            <v>0.7</v>
          </cell>
          <cell r="BX225">
            <v>0.7</v>
          </cell>
          <cell r="BY225">
            <v>0.7</v>
          </cell>
          <cell r="BZ225">
            <v>0.7</v>
          </cell>
          <cell r="CA225">
            <v>0.7</v>
          </cell>
          <cell r="CB225">
            <v>0.7</v>
          </cell>
          <cell r="CC225">
            <v>0.7</v>
          </cell>
        </row>
        <row r="226">
          <cell r="D226" t="str">
            <v>01</v>
          </cell>
          <cell r="E226" t="str">
            <v>46</v>
          </cell>
          <cell r="F226" t="str">
            <v>E01</v>
          </cell>
          <cell r="G226" t="str">
            <v>CAL</v>
          </cell>
          <cell r="H226" t="str">
            <v>002</v>
          </cell>
          <cell r="I226" t="str">
            <v>MEMORIA DE CALCULO DE ILUMINACIÓN - AREA 46</v>
          </cell>
          <cell r="J226">
            <v>39258</v>
          </cell>
          <cell r="K226">
            <v>39290</v>
          </cell>
          <cell r="L226">
            <v>39304</v>
          </cell>
          <cell r="M226">
            <v>39304</v>
          </cell>
          <cell r="N226">
            <v>39318</v>
          </cell>
          <cell r="O226">
            <v>39476</v>
          </cell>
          <cell r="P226">
            <v>33.154575707154748</v>
          </cell>
          <cell r="Q226" t="str">
            <v>P</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0.5</v>
          </cell>
          <cell r="AU226">
            <v>0.5</v>
          </cell>
          <cell r="AV226">
            <v>0.7</v>
          </cell>
          <cell r="AW226">
            <v>0.7</v>
          </cell>
          <cell r="AX226">
            <v>0.95</v>
          </cell>
          <cell r="AY226">
            <v>0.95</v>
          </cell>
          <cell r="AZ226">
            <v>0.95</v>
          </cell>
          <cell r="BA226">
            <v>0.95</v>
          </cell>
          <cell r="BB226">
            <v>0.95</v>
          </cell>
          <cell r="BC226">
            <v>0.95</v>
          </cell>
          <cell r="BD226">
            <v>0.95</v>
          </cell>
          <cell r="BE226">
            <v>0.95</v>
          </cell>
          <cell r="BF226">
            <v>0.95</v>
          </cell>
          <cell r="BG226">
            <v>0.95</v>
          </cell>
          <cell r="BH226">
            <v>0.95</v>
          </cell>
          <cell r="BI226">
            <v>0.95</v>
          </cell>
          <cell r="BJ226">
            <v>0.95</v>
          </cell>
          <cell r="BK226">
            <v>0.95</v>
          </cell>
          <cell r="BL226">
            <v>0.95</v>
          </cell>
          <cell r="BM226">
            <v>0.95</v>
          </cell>
          <cell r="BN226">
            <v>0.95</v>
          </cell>
          <cell r="BO226">
            <v>0.95</v>
          </cell>
          <cell r="BP226">
            <v>0.95</v>
          </cell>
          <cell r="BQ226">
            <v>0.95</v>
          </cell>
          <cell r="BR226">
            <v>0.95</v>
          </cell>
          <cell r="BS226">
            <v>0.95</v>
          </cell>
          <cell r="BT226">
            <v>1</v>
          </cell>
          <cell r="BU226">
            <v>1</v>
          </cell>
          <cell r="BV226">
            <v>1</v>
          </cell>
          <cell r="BW226">
            <v>1</v>
          </cell>
          <cell r="BX226">
            <v>1</v>
          </cell>
          <cell r="BY226">
            <v>1</v>
          </cell>
          <cell r="BZ226">
            <v>1</v>
          </cell>
          <cell r="CA226">
            <v>1</v>
          </cell>
          <cell r="CB226">
            <v>1</v>
          </cell>
          <cell r="CC226">
            <v>1</v>
          </cell>
          <cell r="CD226">
            <v>1</v>
          </cell>
          <cell r="CE226">
            <v>1</v>
          </cell>
          <cell r="CF226">
            <v>1</v>
          </cell>
          <cell r="CG226">
            <v>1</v>
          </cell>
          <cell r="CH226">
            <v>1</v>
          </cell>
          <cell r="CI226">
            <v>1</v>
          </cell>
          <cell r="CJ226">
            <v>1</v>
          </cell>
          <cell r="CK226">
            <v>1</v>
          </cell>
        </row>
        <row r="227">
          <cell r="J227">
            <v>39258</v>
          </cell>
          <cell r="K227">
            <v>39290</v>
          </cell>
          <cell r="L227">
            <v>39304</v>
          </cell>
          <cell r="M227">
            <v>39472</v>
          </cell>
          <cell r="N227">
            <v>39500</v>
          </cell>
          <cell r="O227">
            <v>39642</v>
          </cell>
          <cell r="Q227" t="str">
            <v>R</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0.5</v>
          </cell>
          <cell r="AU227">
            <v>0.5</v>
          </cell>
          <cell r="AV227">
            <v>0.7</v>
          </cell>
          <cell r="AW227">
            <v>0.7</v>
          </cell>
          <cell r="AX227">
            <v>0.7</v>
          </cell>
          <cell r="AY227">
            <v>0.7</v>
          </cell>
          <cell r="AZ227">
            <v>0.7</v>
          </cell>
          <cell r="BA227">
            <v>0.7</v>
          </cell>
          <cell r="BB227">
            <v>0.7</v>
          </cell>
          <cell r="BC227">
            <v>0.7</v>
          </cell>
          <cell r="BD227">
            <v>0.7</v>
          </cell>
          <cell r="BE227">
            <v>0.7</v>
          </cell>
          <cell r="BF227">
            <v>0.7</v>
          </cell>
          <cell r="BG227">
            <v>0.7</v>
          </cell>
          <cell r="BH227">
            <v>0.7</v>
          </cell>
          <cell r="BI227">
            <v>0.7</v>
          </cell>
          <cell r="BJ227">
            <v>0.7</v>
          </cell>
          <cell r="BK227">
            <v>0.7</v>
          </cell>
          <cell r="BL227">
            <v>0.7</v>
          </cell>
          <cell r="BM227">
            <v>0.7</v>
          </cell>
          <cell r="BN227">
            <v>0.7</v>
          </cell>
          <cell r="BO227">
            <v>0.7</v>
          </cell>
          <cell r="BP227">
            <v>0.7</v>
          </cell>
          <cell r="BQ227">
            <v>0.7</v>
          </cell>
          <cell r="BR227">
            <v>0.7</v>
          </cell>
          <cell r="BS227">
            <v>0.7</v>
          </cell>
          <cell r="BT227">
            <v>0.7</v>
          </cell>
          <cell r="BU227">
            <v>0.7</v>
          </cell>
          <cell r="BV227">
            <v>0.7</v>
          </cell>
          <cell r="BW227">
            <v>0.7</v>
          </cell>
          <cell r="BX227">
            <v>0.95</v>
          </cell>
          <cell r="BY227">
            <v>0.95</v>
          </cell>
          <cell r="BZ227">
            <v>0.95</v>
          </cell>
          <cell r="CA227">
            <v>0.95</v>
          </cell>
          <cell r="CB227">
            <v>0.95</v>
          </cell>
          <cell r="CC227">
            <v>0.95</v>
          </cell>
          <cell r="CD227">
            <v>0.95</v>
          </cell>
          <cell r="CE227">
            <v>0.95</v>
          </cell>
          <cell r="CF227">
            <v>0.95</v>
          </cell>
          <cell r="CG227">
            <v>0.95</v>
          </cell>
          <cell r="CH227">
            <v>0.95</v>
          </cell>
          <cell r="CI227">
            <v>0.95</v>
          </cell>
          <cell r="CJ227">
            <v>0.95</v>
          </cell>
          <cell r="CK227">
            <v>0.95</v>
          </cell>
        </row>
        <row r="228">
          <cell r="Q228" t="str">
            <v>E</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0.5</v>
          </cell>
          <cell r="AX228">
            <v>0.5</v>
          </cell>
          <cell r="AY228">
            <v>0.7</v>
          </cell>
          <cell r="AZ228">
            <v>0.7</v>
          </cell>
          <cell r="BA228">
            <v>0.7</v>
          </cell>
          <cell r="BB228">
            <v>0.7</v>
          </cell>
          <cell r="BC228">
            <v>0.7</v>
          </cell>
          <cell r="BD228">
            <v>0.7</v>
          </cell>
          <cell r="BE228">
            <v>0.7</v>
          </cell>
          <cell r="BF228">
            <v>0.7</v>
          </cell>
          <cell r="BG228">
            <v>0.7</v>
          </cell>
          <cell r="BH228">
            <v>0.7</v>
          </cell>
          <cell r="BI228">
            <v>0.7</v>
          </cell>
          <cell r="BJ228">
            <v>0.7</v>
          </cell>
          <cell r="BK228">
            <v>0.7</v>
          </cell>
          <cell r="BL228">
            <v>0.7</v>
          </cell>
          <cell r="BM228">
            <v>0.7</v>
          </cell>
          <cell r="BN228">
            <v>0.7</v>
          </cell>
          <cell r="BO228">
            <v>0.7</v>
          </cell>
          <cell r="BP228">
            <v>0.7</v>
          </cell>
          <cell r="BQ228">
            <v>0.7</v>
          </cell>
          <cell r="BR228">
            <v>0.7</v>
          </cell>
          <cell r="BS228">
            <v>0.7</v>
          </cell>
          <cell r="BT228">
            <v>0.7</v>
          </cell>
          <cell r="BU228">
            <v>0.7</v>
          </cell>
          <cell r="BV228">
            <v>0.7</v>
          </cell>
          <cell r="BW228">
            <v>0.95</v>
          </cell>
          <cell r="BX228">
            <v>0.95</v>
          </cell>
          <cell r="BY228">
            <v>0.95</v>
          </cell>
          <cell r="BZ228">
            <v>0.95</v>
          </cell>
          <cell r="CA228">
            <v>0.95</v>
          </cell>
          <cell r="CB228">
            <v>0.95</v>
          </cell>
          <cell r="CC228">
            <v>0.95</v>
          </cell>
          <cell r="CD228">
            <v>0</v>
          </cell>
          <cell r="CE228">
            <v>0</v>
          </cell>
          <cell r="CF228">
            <v>0</v>
          </cell>
          <cell r="CG228">
            <v>0</v>
          </cell>
          <cell r="CH228">
            <v>0</v>
          </cell>
          <cell r="CI228">
            <v>0</v>
          </cell>
          <cell r="CJ228">
            <v>0</v>
          </cell>
          <cell r="CK228">
            <v>0</v>
          </cell>
        </row>
        <row r="229">
          <cell r="D229" t="str">
            <v>01</v>
          </cell>
          <cell r="E229" t="str">
            <v>46</v>
          </cell>
          <cell r="F229" t="str">
            <v>E01</v>
          </cell>
          <cell r="G229" t="str">
            <v>TEC</v>
          </cell>
          <cell r="H229" t="str">
            <v>006</v>
          </cell>
          <cell r="I229" t="str">
            <v>LISTA DE MATERIALES - ILUMINACION Y SERVICIOS - AREA 46</v>
          </cell>
          <cell r="J229">
            <v>39328</v>
          </cell>
          <cell r="K229">
            <v>39346</v>
          </cell>
          <cell r="L229">
            <v>39360</v>
          </cell>
          <cell r="M229">
            <v>39365</v>
          </cell>
          <cell r="N229">
            <v>39379</v>
          </cell>
          <cell r="O229">
            <v>39476</v>
          </cell>
          <cell r="P229">
            <v>33.154575707154748</v>
          </cell>
          <cell r="Q229" t="str">
            <v>P</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0.5</v>
          </cell>
          <cell r="BC229">
            <v>0.5</v>
          </cell>
          <cell r="BD229">
            <v>0.7</v>
          </cell>
          <cell r="BE229">
            <v>0.7</v>
          </cell>
          <cell r="BF229">
            <v>0.95</v>
          </cell>
          <cell r="BG229">
            <v>0.95</v>
          </cell>
          <cell r="BH229">
            <v>0.95</v>
          </cell>
          <cell r="BI229">
            <v>0.95</v>
          </cell>
          <cell r="BJ229">
            <v>0.95</v>
          </cell>
          <cell r="BK229">
            <v>0.95</v>
          </cell>
          <cell r="BL229">
            <v>0.95</v>
          </cell>
          <cell r="BM229">
            <v>0.95</v>
          </cell>
          <cell r="BN229">
            <v>0.95</v>
          </cell>
          <cell r="BO229">
            <v>0.95</v>
          </cell>
          <cell r="BP229">
            <v>0.95</v>
          </cell>
          <cell r="BQ229">
            <v>0.95</v>
          </cell>
          <cell r="BR229">
            <v>0.95</v>
          </cell>
          <cell r="BS229">
            <v>0.95</v>
          </cell>
          <cell r="BT229">
            <v>1</v>
          </cell>
          <cell r="BU229">
            <v>1</v>
          </cell>
          <cell r="BV229">
            <v>1</v>
          </cell>
          <cell r="BW229">
            <v>1</v>
          </cell>
          <cell r="BX229">
            <v>1</v>
          </cell>
          <cell r="BY229">
            <v>1</v>
          </cell>
          <cell r="BZ229">
            <v>1</v>
          </cell>
          <cell r="CA229">
            <v>1</v>
          </cell>
          <cell r="CB229">
            <v>1</v>
          </cell>
          <cell r="CC229">
            <v>1</v>
          </cell>
          <cell r="CD229">
            <v>1</v>
          </cell>
          <cell r="CE229">
            <v>1</v>
          </cell>
          <cell r="CF229">
            <v>1</v>
          </cell>
          <cell r="CG229">
            <v>1</v>
          </cell>
          <cell r="CH229">
            <v>1</v>
          </cell>
          <cell r="CI229">
            <v>1</v>
          </cell>
          <cell r="CJ229">
            <v>1</v>
          </cell>
          <cell r="CK229">
            <v>1</v>
          </cell>
        </row>
        <row r="230">
          <cell r="J230">
            <v>39328</v>
          </cell>
          <cell r="K230">
            <v>39346</v>
          </cell>
          <cell r="L230">
            <v>39346</v>
          </cell>
          <cell r="M230">
            <v>39472</v>
          </cell>
          <cell r="N230">
            <v>39500</v>
          </cell>
          <cell r="O230">
            <v>39642</v>
          </cell>
          <cell r="Q230" t="str">
            <v>R</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0.7</v>
          </cell>
          <cell r="BC230">
            <v>0.7</v>
          </cell>
          <cell r="BD230">
            <v>0.7</v>
          </cell>
          <cell r="BE230">
            <v>0.7</v>
          </cell>
          <cell r="BF230">
            <v>0.7</v>
          </cell>
          <cell r="BG230">
            <v>0.7</v>
          </cell>
          <cell r="BH230">
            <v>0.7</v>
          </cell>
          <cell r="BI230">
            <v>0.7</v>
          </cell>
          <cell r="BJ230">
            <v>0.7</v>
          </cell>
          <cell r="BK230">
            <v>0.7</v>
          </cell>
          <cell r="BL230">
            <v>0.7</v>
          </cell>
          <cell r="BM230">
            <v>0.7</v>
          </cell>
          <cell r="BN230">
            <v>0.7</v>
          </cell>
          <cell r="BO230">
            <v>0.7</v>
          </cell>
          <cell r="BP230">
            <v>0.7</v>
          </cell>
          <cell r="BQ230">
            <v>0.7</v>
          </cell>
          <cell r="BR230">
            <v>0.7</v>
          </cell>
          <cell r="BS230">
            <v>0.7</v>
          </cell>
          <cell r="BT230">
            <v>0.7</v>
          </cell>
          <cell r="BU230">
            <v>0.7</v>
          </cell>
          <cell r="BV230">
            <v>0.7</v>
          </cell>
          <cell r="BW230">
            <v>0.7</v>
          </cell>
          <cell r="BX230">
            <v>0.95</v>
          </cell>
          <cell r="BY230">
            <v>0.95</v>
          </cell>
          <cell r="BZ230">
            <v>0.95</v>
          </cell>
          <cell r="CA230">
            <v>0.95</v>
          </cell>
          <cell r="CB230">
            <v>0.95</v>
          </cell>
          <cell r="CC230">
            <v>0.95</v>
          </cell>
          <cell r="CD230">
            <v>0.95</v>
          </cell>
          <cell r="CE230">
            <v>0.95</v>
          </cell>
          <cell r="CF230">
            <v>0.95</v>
          </cell>
          <cell r="CG230">
            <v>0.95</v>
          </cell>
          <cell r="CH230">
            <v>0.95</v>
          </cell>
          <cell r="CI230">
            <v>0.95</v>
          </cell>
          <cell r="CJ230">
            <v>0.95</v>
          </cell>
          <cell r="CK230">
            <v>0.95</v>
          </cell>
        </row>
        <row r="231">
          <cell r="Q231" t="str">
            <v>E</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0.5</v>
          </cell>
          <cell r="AZ231">
            <v>0.5</v>
          </cell>
          <cell r="BA231">
            <v>0.7</v>
          </cell>
          <cell r="BB231">
            <v>0.7</v>
          </cell>
          <cell r="BC231">
            <v>0.7</v>
          </cell>
          <cell r="BD231">
            <v>0.7</v>
          </cell>
          <cell r="BE231">
            <v>0.7</v>
          </cell>
          <cell r="BF231">
            <v>0.7</v>
          </cell>
          <cell r="BG231">
            <v>0.7</v>
          </cell>
          <cell r="BH231">
            <v>0.7</v>
          </cell>
          <cell r="BI231">
            <v>0.7</v>
          </cell>
          <cell r="BJ231">
            <v>0.7</v>
          </cell>
          <cell r="BK231">
            <v>0.7</v>
          </cell>
          <cell r="BL231">
            <v>0.7</v>
          </cell>
          <cell r="BM231">
            <v>0.7</v>
          </cell>
          <cell r="BN231">
            <v>0.7</v>
          </cell>
          <cell r="BO231">
            <v>0.7</v>
          </cell>
          <cell r="BP231">
            <v>0.7</v>
          </cell>
          <cell r="BQ231">
            <v>0.7</v>
          </cell>
          <cell r="BR231">
            <v>0.7</v>
          </cell>
          <cell r="BS231">
            <v>0.7</v>
          </cell>
          <cell r="BT231">
            <v>0.7</v>
          </cell>
          <cell r="BU231">
            <v>0.7</v>
          </cell>
          <cell r="BV231">
            <v>0.7</v>
          </cell>
          <cell r="BW231">
            <v>0.95</v>
          </cell>
          <cell r="BX231">
            <v>0.95</v>
          </cell>
          <cell r="BY231">
            <v>0.95</v>
          </cell>
          <cell r="BZ231">
            <v>0.95</v>
          </cell>
          <cell r="CA231">
            <v>0.95</v>
          </cell>
          <cell r="CB231">
            <v>0.95</v>
          </cell>
          <cell r="CC231">
            <v>0.95</v>
          </cell>
          <cell r="CD231">
            <v>0</v>
          </cell>
          <cell r="CE231">
            <v>0</v>
          </cell>
          <cell r="CF231">
            <v>0</v>
          </cell>
          <cell r="CG231">
            <v>0</v>
          </cell>
          <cell r="CH231">
            <v>0</v>
          </cell>
          <cell r="CI231">
            <v>0</v>
          </cell>
          <cell r="CJ231">
            <v>0</v>
          </cell>
          <cell r="CK231">
            <v>0</v>
          </cell>
        </row>
        <row r="232">
          <cell r="D232" t="str">
            <v>01</v>
          </cell>
          <cell r="E232" t="str">
            <v>46</v>
          </cell>
          <cell r="F232" t="str">
            <v>E43</v>
          </cell>
          <cell r="H232" t="str">
            <v>001</v>
          </cell>
          <cell r="I232" t="str">
            <v>PLANO DEL SISTEMA DE ILUMINACION Y TOMACORRIENTES - AREA 46</v>
          </cell>
          <cell r="J232">
            <v>39272</v>
          </cell>
          <cell r="K232">
            <v>39318</v>
          </cell>
          <cell r="L232">
            <v>39332</v>
          </cell>
          <cell r="M232">
            <v>39333</v>
          </cell>
          <cell r="N232">
            <v>39347</v>
          </cell>
          <cell r="O232">
            <v>39476</v>
          </cell>
          <cell r="P232">
            <v>33.154575707154748</v>
          </cell>
          <cell r="Q232" t="str">
            <v>P</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0.5</v>
          </cell>
          <cell r="AY232">
            <v>0.5</v>
          </cell>
          <cell r="AZ232">
            <v>0.7</v>
          </cell>
          <cell r="BA232">
            <v>0.7</v>
          </cell>
          <cell r="BB232">
            <v>0.95</v>
          </cell>
          <cell r="BC232">
            <v>0.95</v>
          </cell>
          <cell r="BD232">
            <v>0.95</v>
          </cell>
          <cell r="BE232">
            <v>0.95</v>
          </cell>
          <cell r="BF232">
            <v>0.95</v>
          </cell>
          <cell r="BG232">
            <v>0.95</v>
          </cell>
          <cell r="BH232">
            <v>0.95</v>
          </cell>
          <cell r="BI232">
            <v>0.95</v>
          </cell>
          <cell r="BJ232">
            <v>0.95</v>
          </cell>
          <cell r="BK232">
            <v>0.95</v>
          </cell>
          <cell r="BL232">
            <v>0.95</v>
          </cell>
          <cell r="BM232">
            <v>0.95</v>
          </cell>
          <cell r="BN232">
            <v>0.95</v>
          </cell>
          <cell r="BO232">
            <v>0.95</v>
          </cell>
          <cell r="BP232">
            <v>0.95</v>
          </cell>
          <cell r="BQ232">
            <v>0.95</v>
          </cell>
          <cell r="BR232">
            <v>0.95</v>
          </cell>
          <cell r="BS232">
            <v>0.95</v>
          </cell>
          <cell r="BT232">
            <v>1</v>
          </cell>
          <cell r="BU232">
            <v>1</v>
          </cell>
          <cell r="BV232">
            <v>1</v>
          </cell>
          <cell r="BW232">
            <v>1</v>
          </cell>
          <cell r="BX232">
            <v>1</v>
          </cell>
          <cell r="BY232">
            <v>1</v>
          </cell>
          <cell r="BZ232">
            <v>1</v>
          </cell>
          <cell r="CA232">
            <v>1</v>
          </cell>
          <cell r="CB232">
            <v>1</v>
          </cell>
          <cell r="CC232">
            <v>1</v>
          </cell>
          <cell r="CD232">
            <v>1</v>
          </cell>
          <cell r="CE232">
            <v>1</v>
          </cell>
          <cell r="CF232">
            <v>1</v>
          </cell>
          <cell r="CG232">
            <v>1</v>
          </cell>
          <cell r="CH232">
            <v>1</v>
          </cell>
          <cell r="CI232">
            <v>1</v>
          </cell>
          <cell r="CJ232">
            <v>1</v>
          </cell>
          <cell r="CK232">
            <v>1</v>
          </cell>
        </row>
        <row r="233">
          <cell r="J233">
            <v>39272</v>
          </cell>
          <cell r="K233">
            <v>39318</v>
          </cell>
          <cell r="L233">
            <v>39332</v>
          </cell>
          <cell r="M233">
            <v>39472</v>
          </cell>
          <cell r="N233">
            <v>39500</v>
          </cell>
          <cell r="O233">
            <v>39642</v>
          </cell>
          <cell r="Q233" t="str">
            <v>R</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0.5</v>
          </cell>
          <cell r="AY233">
            <v>0.5</v>
          </cell>
          <cell r="AZ233">
            <v>0.7</v>
          </cell>
          <cell r="BA233">
            <v>0.7</v>
          </cell>
          <cell r="BB233">
            <v>0.7</v>
          </cell>
          <cell r="BC233">
            <v>0.7</v>
          </cell>
          <cell r="BD233">
            <v>0.7</v>
          </cell>
          <cell r="BE233">
            <v>0.7</v>
          </cell>
          <cell r="BF233">
            <v>0.7</v>
          </cell>
          <cell r="BG233">
            <v>0.7</v>
          </cell>
          <cell r="BH233">
            <v>0.7</v>
          </cell>
          <cell r="BI233">
            <v>0.7</v>
          </cell>
          <cell r="BJ233">
            <v>0.7</v>
          </cell>
          <cell r="BK233">
            <v>0.7</v>
          </cell>
          <cell r="BL233">
            <v>0.7</v>
          </cell>
          <cell r="BM233">
            <v>0.7</v>
          </cell>
          <cell r="BN233">
            <v>0.7</v>
          </cell>
          <cell r="BO233">
            <v>0.7</v>
          </cell>
          <cell r="BP233">
            <v>0.7</v>
          </cell>
          <cell r="BQ233">
            <v>0.7</v>
          </cell>
          <cell r="BR233">
            <v>0.7</v>
          </cell>
          <cell r="BS233">
            <v>0.7</v>
          </cell>
          <cell r="BT233">
            <v>0.7</v>
          </cell>
          <cell r="BU233">
            <v>0.7</v>
          </cell>
          <cell r="BV233">
            <v>0.7</v>
          </cell>
          <cell r="BW233">
            <v>0.7</v>
          </cell>
          <cell r="BX233">
            <v>0.95</v>
          </cell>
          <cell r="BY233">
            <v>0.95</v>
          </cell>
          <cell r="BZ233">
            <v>0.95</v>
          </cell>
          <cell r="CA233">
            <v>0.95</v>
          </cell>
          <cell r="CB233">
            <v>0.95</v>
          </cell>
          <cell r="CC233">
            <v>0.95</v>
          </cell>
          <cell r="CD233">
            <v>0.95</v>
          </cell>
          <cell r="CE233">
            <v>0.95</v>
          </cell>
          <cell r="CF233">
            <v>0.95</v>
          </cell>
          <cell r="CG233">
            <v>0.95</v>
          </cell>
          <cell r="CH233">
            <v>0.95</v>
          </cell>
          <cell r="CI233">
            <v>0.95</v>
          </cell>
          <cell r="CJ233">
            <v>0.95</v>
          </cell>
          <cell r="CK233">
            <v>0.95</v>
          </cell>
        </row>
        <row r="234">
          <cell r="Q234" t="str">
            <v>E</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0.5</v>
          </cell>
          <cell r="AY234">
            <v>0.5</v>
          </cell>
          <cell r="AZ234">
            <v>0.5</v>
          </cell>
          <cell r="BA234">
            <v>0.7</v>
          </cell>
          <cell r="BB234">
            <v>0.7</v>
          </cell>
          <cell r="BC234">
            <v>0.7</v>
          </cell>
          <cell r="BD234">
            <v>0.7</v>
          </cell>
          <cell r="BE234">
            <v>0.7</v>
          </cell>
          <cell r="BF234">
            <v>0.7</v>
          </cell>
          <cell r="BG234">
            <v>0.7</v>
          </cell>
          <cell r="BH234">
            <v>0.7</v>
          </cell>
          <cell r="BI234">
            <v>0.7</v>
          </cell>
          <cell r="BJ234">
            <v>0.7</v>
          </cell>
          <cell r="BK234">
            <v>0.7</v>
          </cell>
          <cell r="BL234">
            <v>0.7</v>
          </cell>
          <cell r="BM234">
            <v>0.7</v>
          </cell>
          <cell r="BN234">
            <v>0.7</v>
          </cell>
          <cell r="BO234">
            <v>0.7</v>
          </cell>
          <cell r="BP234">
            <v>0.7</v>
          </cell>
          <cell r="BQ234">
            <v>0.7</v>
          </cell>
          <cell r="BR234">
            <v>0.7</v>
          </cell>
          <cell r="BS234">
            <v>0.7</v>
          </cell>
          <cell r="BT234">
            <v>0.7</v>
          </cell>
          <cell r="BU234">
            <v>0.7</v>
          </cell>
          <cell r="BV234">
            <v>0.7</v>
          </cell>
          <cell r="BW234">
            <v>0.95</v>
          </cell>
          <cell r="BX234">
            <v>0.95</v>
          </cell>
          <cell r="BY234">
            <v>0.95</v>
          </cell>
          <cell r="BZ234">
            <v>0.95</v>
          </cell>
          <cell r="CA234">
            <v>0.95</v>
          </cell>
          <cell r="CB234">
            <v>0.95</v>
          </cell>
          <cell r="CC234">
            <v>0.95</v>
          </cell>
          <cell r="CD234">
            <v>0</v>
          </cell>
          <cell r="CE234">
            <v>0</v>
          </cell>
          <cell r="CF234">
            <v>0</v>
          </cell>
          <cell r="CG234">
            <v>0</v>
          </cell>
          <cell r="CH234">
            <v>0</v>
          </cell>
          <cell r="CI234">
            <v>0</v>
          </cell>
          <cell r="CJ234">
            <v>0</v>
          </cell>
          <cell r="CK234">
            <v>0</v>
          </cell>
        </row>
        <row r="235">
          <cell r="D235" t="str">
            <v>01</v>
          </cell>
          <cell r="E235">
            <v>46</v>
          </cell>
          <cell r="F235" t="str">
            <v>E01</v>
          </cell>
          <cell r="G235" t="str">
            <v>TEC</v>
          </cell>
          <cell r="H235" t="str">
            <v>003</v>
          </cell>
          <cell r="I235" t="str">
            <v>LISTA DE EQUIPOS ELECTRICOS A DESMANTELAR - AREA 46</v>
          </cell>
          <cell r="J235">
            <v>39282</v>
          </cell>
          <cell r="K235">
            <v>39372</v>
          </cell>
          <cell r="L235">
            <v>39386</v>
          </cell>
          <cell r="M235">
            <v>39365</v>
          </cell>
          <cell r="N235">
            <v>39379</v>
          </cell>
          <cell r="O235">
            <v>39476</v>
          </cell>
          <cell r="P235">
            <v>33.154575707154748</v>
          </cell>
          <cell r="Q235" t="str">
            <v>P</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0.5</v>
          </cell>
          <cell r="BF235">
            <v>0.95</v>
          </cell>
          <cell r="BG235">
            <v>0.95</v>
          </cell>
          <cell r="BH235">
            <v>0.95</v>
          </cell>
          <cell r="BI235">
            <v>0.95</v>
          </cell>
          <cell r="BJ235">
            <v>0.95</v>
          </cell>
          <cell r="BK235">
            <v>0.95</v>
          </cell>
          <cell r="BL235">
            <v>0.95</v>
          </cell>
          <cell r="BM235">
            <v>0.95</v>
          </cell>
          <cell r="BN235">
            <v>0.95</v>
          </cell>
          <cell r="BO235">
            <v>0.95</v>
          </cell>
          <cell r="BP235">
            <v>0.95</v>
          </cell>
          <cell r="BQ235">
            <v>0.95</v>
          </cell>
          <cell r="BR235">
            <v>0.95</v>
          </cell>
          <cell r="BS235">
            <v>0.95</v>
          </cell>
          <cell r="BT235">
            <v>1</v>
          </cell>
          <cell r="BU235">
            <v>1</v>
          </cell>
          <cell r="BV235">
            <v>1</v>
          </cell>
          <cell r="BW235">
            <v>1</v>
          </cell>
          <cell r="BX235">
            <v>1</v>
          </cell>
          <cell r="BY235">
            <v>1</v>
          </cell>
          <cell r="BZ235">
            <v>1</v>
          </cell>
          <cell r="CA235">
            <v>1</v>
          </cell>
          <cell r="CB235">
            <v>1</v>
          </cell>
          <cell r="CC235">
            <v>1</v>
          </cell>
          <cell r="CD235">
            <v>1</v>
          </cell>
          <cell r="CE235">
            <v>1</v>
          </cell>
          <cell r="CF235">
            <v>1</v>
          </cell>
          <cell r="CG235">
            <v>1</v>
          </cell>
          <cell r="CH235">
            <v>1</v>
          </cell>
          <cell r="CI235">
            <v>1</v>
          </cell>
          <cell r="CJ235">
            <v>1</v>
          </cell>
          <cell r="CK235">
            <v>1</v>
          </cell>
        </row>
        <row r="236">
          <cell r="J236">
            <v>39282</v>
          </cell>
          <cell r="K236">
            <v>39318</v>
          </cell>
          <cell r="L236">
            <v>39332</v>
          </cell>
          <cell r="M236">
            <v>39472</v>
          </cell>
          <cell r="N236">
            <v>39500</v>
          </cell>
          <cell r="O236">
            <v>39642</v>
          </cell>
          <cell r="Q236" t="str">
            <v>R</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0.5</v>
          </cell>
          <cell r="AY236">
            <v>0.5</v>
          </cell>
          <cell r="AZ236">
            <v>0.7</v>
          </cell>
          <cell r="BA236">
            <v>0.7</v>
          </cell>
          <cell r="BB236">
            <v>0.7</v>
          </cell>
          <cell r="BC236">
            <v>0.7</v>
          </cell>
          <cell r="BD236">
            <v>0.7</v>
          </cell>
          <cell r="BE236">
            <v>0.7</v>
          </cell>
          <cell r="BF236">
            <v>0.7</v>
          </cell>
          <cell r="BG236">
            <v>0.7</v>
          </cell>
          <cell r="BH236">
            <v>0.7</v>
          </cell>
          <cell r="BI236">
            <v>0.7</v>
          </cell>
          <cell r="BJ236">
            <v>0.7</v>
          </cell>
          <cell r="BK236">
            <v>0.7</v>
          </cell>
          <cell r="BL236">
            <v>0.7</v>
          </cell>
          <cell r="BM236">
            <v>0.7</v>
          </cell>
          <cell r="BN236">
            <v>0.7</v>
          </cell>
          <cell r="BO236">
            <v>0.7</v>
          </cell>
          <cell r="BP236">
            <v>0.7</v>
          </cell>
          <cell r="BQ236">
            <v>0.7</v>
          </cell>
          <cell r="BR236">
            <v>0.7</v>
          </cell>
          <cell r="BS236">
            <v>0.7</v>
          </cell>
          <cell r="BT236">
            <v>0.7</v>
          </cell>
          <cell r="BU236">
            <v>0.7</v>
          </cell>
          <cell r="BV236">
            <v>0.7</v>
          </cell>
          <cell r="BW236">
            <v>0.7</v>
          </cell>
          <cell r="BX236">
            <v>0.95</v>
          </cell>
          <cell r="BY236">
            <v>0.95</v>
          </cell>
          <cell r="BZ236">
            <v>0.95</v>
          </cell>
          <cell r="CA236">
            <v>0.95</v>
          </cell>
          <cell r="CB236">
            <v>0.95</v>
          </cell>
          <cell r="CC236">
            <v>0.95</v>
          </cell>
          <cell r="CD236">
            <v>0.95</v>
          </cell>
          <cell r="CE236">
            <v>0.95</v>
          </cell>
          <cell r="CF236">
            <v>0.95</v>
          </cell>
          <cell r="CG236">
            <v>0.95</v>
          </cell>
          <cell r="CH236">
            <v>0.95</v>
          </cell>
          <cell r="CI236">
            <v>0.95</v>
          </cell>
          <cell r="CJ236">
            <v>0.95</v>
          </cell>
          <cell r="CK236">
            <v>0.95</v>
          </cell>
        </row>
        <row r="237">
          <cell r="Q237" t="str">
            <v>E</v>
          </cell>
          <cell r="AJ237">
            <v>0</v>
          </cell>
          <cell r="AK237">
            <v>0</v>
          </cell>
          <cell r="AL237">
            <v>0</v>
          </cell>
          <cell r="AM237">
            <v>0</v>
          </cell>
          <cell r="AN237">
            <v>0</v>
          </cell>
          <cell r="AO237">
            <v>0</v>
          </cell>
          <cell r="AP237">
            <v>0</v>
          </cell>
          <cell r="AQ237">
            <v>0</v>
          </cell>
          <cell r="AR237">
            <v>0</v>
          </cell>
          <cell r="AS237">
            <v>0</v>
          </cell>
          <cell r="AT237">
            <v>0</v>
          </cell>
          <cell r="AU237">
            <v>0.5</v>
          </cell>
          <cell r="AV237">
            <v>0.7</v>
          </cell>
          <cell r="AW237">
            <v>0.7</v>
          </cell>
          <cell r="AX237">
            <v>0.7</v>
          </cell>
          <cell r="AY237">
            <v>0.7</v>
          </cell>
          <cell r="AZ237">
            <v>0.7</v>
          </cell>
          <cell r="BA237">
            <v>0.7</v>
          </cell>
          <cell r="BB237">
            <v>0.7</v>
          </cell>
          <cell r="BC237">
            <v>0.7</v>
          </cell>
          <cell r="BD237">
            <v>0.7</v>
          </cell>
          <cell r="BE237">
            <v>0.7</v>
          </cell>
          <cell r="BF237">
            <v>0.7</v>
          </cell>
          <cell r="BG237">
            <v>0.7</v>
          </cell>
          <cell r="BH237">
            <v>0.7</v>
          </cell>
          <cell r="BI237">
            <v>0.7</v>
          </cell>
          <cell r="BJ237">
            <v>0.7</v>
          </cell>
          <cell r="BK237">
            <v>0.7</v>
          </cell>
          <cell r="BL237">
            <v>0.7</v>
          </cell>
          <cell r="BM237">
            <v>0.7</v>
          </cell>
          <cell r="BN237">
            <v>0.7</v>
          </cell>
          <cell r="BO237">
            <v>0.7</v>
          </cell>
          <cell r="BP237">
            <v>0.7</v>
          </cell>
          <cell r="BQ237">
            <v>0.7</v>
          </cell>
          <cell r="BR237">
            <v>0.7</v>
          </cell>
          <cell r="BS237">
            <v>0.7</v>
          </cell>
          <cell r="BT237">
            <v>0.7</v>
          </cell>
          <cell r="BU237">
            <v>0.7</v>
          </cell>
          <cell r="BV237">
            <v>0.7</v>
          </cell>
          <cell r="BW237">
            <v>0.95</v>
          </cell>
          <cell r="BX237">
            <v>0.95</v>
          </cell>
          <cell r="BY237">
            <v>0.95</v>
          </cell>
          <cell r="BZ237">
            <v>0.95</v>
          </cell>
          <cell r="CA237">
            <v>0.95</v>
          </cell>
          <cell r="CB237">
            <v>0.95</v>
          </cell>
          <cell r="CC237">
            <v>0.95</v>
          </cell>
          <cell r="CD237">
            <v>0</v>
          </cell>
          <cell r="CE237">
            <v>0</v>
          </cell>
          <cell r="CF237">
            <v>0</v>
          </cell>
          <cell r="CG237">
            <v>0</v>
          </cell>
          <cell r="CH237">
            <v>0</v>
          </cell>
          <cell r="CI237">
            <v>0</v>
          </cell>
          <cell r="CJ237">
            <v>0</v>
          </cell>
          <cell r="CK237">
            <v>0</v>
          </cell>
        </row>
        <row r="238">
          <cell r="D238" t="str">
            <v>01</v>
          </cell>
          <cell r="E238" t="str">
            <v>46</v>
          </cell>
          <cell r="F238" t="str">
            <v>E33</v>
          </cell>
          <cell r="H238" t="str">
            <v>001</v>
          </cell>
          <cell r="I238" t="str">
            <v>PLANOS DEL SISTEMA DE PUESTA A TIERRA - AREA 46</v>
          </cell>
          <cell r="J238">
            <v>39258</v>
          </cell>
          <cell r="K238">
            <v>39300</v>
          </cell>
          <cell r="L238">
            <v>39314</v>
          </cell>
          <cell r="M238">
            <v>39374</v>
          </cell>
          <cell r="N238">
            <v>39388</v>
          </cell>
          <cell r="O238">
            <v>39476</v>
          </cell>
          <cell r="P238">
            <v>44.308236272878489</v>
          </cell>
          <cell r="Q238" t="str">
            <v>P</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0.5</v>
          </cell>
          <cell r="AV238">
            <v>0.5</v>
          </cell>
          <cell r="AW238">
            <v>0.7</v>
          </cell>
          <cell r="AX238">
            <v>0.7</v>
          </cell>
          <cell r="AY238">
            <v>0.7</v>
          </cell>
          <cell r="AZ238">
            <v>0.7</v>
          </cell>
          <cell r="BA238">
            <v>0.7</v>
          </cell>
          <cell r="BB238">
            <v>0.7</v>
          </cell>
          <cell r="BC238">
            <v>0.7</v>
          </cell>
          <cell r="BD238">
            <v>0.7</v>
          </cell>
          <cell r="BE238">
            <v>0.7</v>
          </cell>
          <cell r="BF238">
            <v>0.7</v>
          </cell>
          <cell r="BG238">
            <v>0.7</v>
          </cell>
          <cell r="BH238">
            <v>0.95</v>
          </cell>
          <cell r="BI238">
            <v>0.95</v>
          </cell>
          <cell r="BJ238">
            <v>0.95</v>
          </cell>
          <cell r="BK238">
            <v>0.95</v>
          </cell>
          <cell r="BL238">
            <v>0.95</v>
          </cell>
          <cell r="BM238">
            <v>0.95</v>
          </cell>
          <cell r="BN238">
            <v>0.95</v>
          </cell>
          <cell r="BO238">
            <v>0.95</v>
          </cell>
          <cell r="BP238">
            <v>0.95</v>
          </cell>
          <cell r="BQ238">
            <v>0.95</v>
          </cell>
          <cell r="BR238">
            <v>0.95</v>
          </cell>
          <cell r="BS238">
            <v>0.95</v>
          </cell>
          <cell r="BT238">
            <v>1</v>
          </cell>
          <cell r="BU238">
            <v>1</v>
          </cell>
          <cell r="BV238">
            <v>1</v>
          </cell>
          <cell r="BW238">
            <v>1</v>
          </cell>
          <cell r="BX238">
            <v>1</v>
          </cell>
          <cell r="BY238">
            <v>1</v>
          </cell>
          <cell r="BZ238">
            <v>1</v>
          </cell>
          <cell r="CA238">
            <v>1</v>
          </cell>
          <cell r="CB238">
            <v>1</v>
          </cell>
          <cell r="CC238">
            <v>1</v>
          </cell>
          <cell r="CD238">
            <v>1</v>
          </cell>
          <cell r="CE238">
            <v>1</v>
          </cell>
          <cell r="CF238">
            <v>1</v>
          </cell>
          <cell r="CG238">
            <v>1</v>
          </cell>
          <cell r="CH238">
            <v>1</v>
          </cell>
          <cell r="CI238">
            <v>1</v>
          </cell>
          <cell r="CJ238">
            <v>1</v>
          </cell>
          <cell r="CK238">
            <v>1</v>
          </cell>
        </row>
        <row r="239">
          <cell r="J239">
            <v>39258</v>
          </cell>
          <cell r="K239">
            <v>39300</v>
          </cell>
          <cell r="L239">
            <v>39314</v>
          </cell>
          <cell r="M239">
            <v>39472</v>
          </cell>
          <cell r="N239">
            <v>39500</v>
          </cell>
          <cell r="O239">
            <v>39642</v>
          </cell>
          <cell r="Q239" t="str">
            <v>R</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0.5</v>
          </cell>
          <cell r="AV239">
            <v>0.5</v>
          </cell>
          <cell r="AW239">
            <v>0.7</v>
          </cell>
          <cell r="AX239">
            <v>0.7</v>
          </cell>
          <cell r="AY239">
            <v>0.7</v>
          </cell>
          <cell r="AZ239">
            <v>0.7</v>
          </cell>
          <cell r="BA239">
            <v>0.7</v>
          </cell>
          <cell r="BB239">
            <v>0.7</v>
          </cell>
          <cell r="BC239">
            <v>0.7</v>
          </cell>
          <cell r="BD239">
            <v>0.7</v>
          </cell>
          <cell r="BE239">
            <v>0.7</v>
          </cell>
          <cell r="BF239">
            <v>0.7</v>
          </cell>
          <cell r="BG239">
            <v>0.7</v>
          </cell>
          <cell r="BH239">
            <v>0.7</v>
          </cell>
          <cell r="BI239">
            <v>0.7</v>
          </cell>
          <cell r="BJ239">
            <v>0.7</v>
          </cell>
          <cell r="BK239">
            <v>0.7</v>
          </cell>
          <cell r="BL239">
            <v>0.7</v>
          </cell>
          <cell r="BM239">
            <v>0.7</v>
          </cell>
          <cell r="BN239">
            <v>0.7</v>
          </cell>
          <cell r="BO239">
            <v>0.7</v>
          </cell>
          <cell r="BP239">
            <v>0.7</v>
          </cell>
          <cell r="BQ239">
            <v>0.7</v>
          </cell>
          <cell r="BR239">
            <v>0.7</v>
          </cell>
          <cell r="BS239">
            <v>0.7</v>
          </cell>
          <cell r="BT239">
            <v>0.7</v>
          </cell>
          <cell r="BU239">
            <v>0.7</v>
          </cell>
          <cell r="BV239">
            <v>0.7</v>
          </cell>
          <cell r="BW239">
            <v>0.7</v>
          </cell>
          <cell r="BX239">
            <v>0.95</v>
          </cell>
          <cell r="BY239">
            <v>0.95</v>
          </cell>
          <cell r="BZ239">
            <v>0.95</v>
          </cell>
          <cell r="CA239">
            <v>0.95</v>
          </cell>
          <cell r="CB239">
            <v>0.95</v>
          </cell>
          <cell r="CC239">
            <v>0.95</v>
          </cell>
          <cell r="CD239">
            <v>0.95</v>
          </cell>
          <cell r="CE239">
            <v>0.95</v>
          </cell>
          <cell r="CF239">
            <v>0.95</v>
          </cell>
          <cell r="CG239">
            <v>0.95</v>
          </cell>
          <cell r="CH239">
            <v>0.95</v>
          </cell>
          <cell r="CI239">
            <v>0.95</v>
          </cell>
          <cell r="CJ239">
            <v>0.95</v>
          </cell>
          <cell r="CK239">
            <v>0.95</v>
          </cell>
        </row>
        <row r="240">
          <cell r="Q240" t="str">
            <v>E</v>
          </cell>
          <cell r="AJ240">
            <v>0</v>
          </cell>
          <cell r="AK240">
            <v>0</v>
          </cell>
          <cell r="AL240">
            <v>0</v>
          </cell>
          <cell r="AM240">
            <v>0</v>
          </cell>
          <cell r="AN240">
            <v>0</v>
          </cell>
          <cell r="AO240">
            <v>0</v>
          </cell>
          <cell r="AP240">
            <v>0</v>
          </cell>
          <cell r="AQ240">
            <v>0</v>
          </cell>
          <cell r="AR240">
            <v>0</v>
          </cell>
          <cell r="AS240">
            <v>0</v>
          </cell>
          <cell r="AT240">
            <v>0.5</v>
          </cell>
          <cell r="AU240">
            <v>0.5</v>
          </cell>
          <cell r="AV240">
            <v>0.5</v>
          </cell>
          <cell r="AW240">
            <v>0.5</v>
          </cell>
          <cell r="AX240">
            <v>0.5</v>
          </cell>
          <cell r="AY240">
            <v>0.5</v>
          </cell>
          <cell r="AZ240">
            <v>0.5</v>
          </cell>
          <cell r="BA240">
            <v>0.5</v>
          </cell>
          <cell r="BB240">
            <v>0.5</v>
          </cell>
          <cell r="BC240">
            <v>0.5</v>
          </cell>
          <cell r="BD240">
            <v>0.5</v>
          </cell>
          <cell r="BE240">
            <v>0.5</v>
          </cell>
          <cell r="BF240">
            <v>0.5</v>
          </cell>
          <cell r="BG240">
            <v>0.5</v>
          </cell>
          <cell r="BH240">
            <v>0.5</v>
          </cell>
          <cell r="BI240">
            <v>0.5</v>
          </cell>
          <cell r="BJ240">
            <v>0.7</v>
          </cell>
          <cell r="BK240">
            <v>0.7</v>
          </cell>
          <cell r="BL240">
            <v>0.7</v>
          </cell>
          <cell r="BM240">
            <v>0.7</v>
          </cell>
          <cell r="BN240">
            <v>0.7</v>
          </cell>
          <cell r="BO240">
            <v>0.7</v>
          </cell>
          <cell r="BP240">
            <v>0.7</v>
          </cell>
          <cell r="BQ240">
            <v>0.7</v>
          </cell>
          <cell r="BR240">
            <v>0.7</v>
          </cell>
          <cell r="BS240">
            <v>0.7</v>
          </cell>
          <cell r="BT240">
            <v>0.7</v>
          </cell>
          <cell r="BU240">
            <v>0.7</v>
          </cell>
          <cell r="BV240">
            <v>0.7</v>
          </cell>
          <cell r="BW240">
            <v>0.95</v>
          </cell>
          <cell r="BX240">
            <v>0.95</v>
          </cell>
          <cell r="BY240">
            <v>0.95</v>
          </cell>
          <cell r="BZ240">
            <v>0.95</v>
          </cell>
          <cell r="CA240">
            <v>0.95</v>
          </cell>
          <cell r="CB240">
            <v>0.95</v>
          </cell>
          <cell r="CC240">
            <v>0.95</v>
          </cell>
          <cell r="CD240">
            <v>0</v>
          </cell>
          <cell r="CE240">
            <v>0</v>
          </cell>
          <cell r="CF240">
            <v>0</v>
          </cell>
          <cell r="CG240">
            <v>0</v>
          </cell>
          <cell r="CH240">
            <v>0</v>
          </cell>
          <cell r="CI240">
            <v>0</v>
          </cell>
          <cell r="CJ240">
            <v>0</v>
          </cell>
          <cell r="CK240">
            <v>0</v>
          </cell>
        </row>
        <row r="241">
          <cell r="D241" t="str">
            <v>01</v>
          </cell>
          <cell r="E241" t="str">
            <v>46</v>
          </cell>
          <cell r="F241" t="str">
            <v>E01</v>
          </cell>
          <cell r="G241" t="str">
            <v>TEC</v>
          </cell>
          <cell r="H241" t="str">
            <v>005</v>
          </cell>
          <cell r="I241" t="str">
            <v>LISTA DE MATERIALES - PUESTA A TIERRA - AREA 46</v>
          </cell>
          <cell r="J241">
            <v>39328</v>
          </cell>
          <cell r="K241">
            <v>39346</v>
          </cell>
          <cell r="L241">
            <v>39360</v>
          </cell>
          <cell r="M241">
            <v>39365</v>
          </cell>
          <cell r="N241">
            <v>39379</v>
          </cell>
          <cell r="O241">
            <v>39476</v>
          </cell>
          <cell r="P241">
            <v>48.407321131447624</v>
          </cell>
          <cell r="Q241" t="str">
            <v>P</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0.5</v>
          </cell>
          <cell r="BC241">
            <v>0.5</v>
          </cell>
          <cell r="BD241">
            <v>0.7</v>
          </cell>
          <cell r="BE241">
            <v>0.7</v>
          </cell>
          <cell r="BF241">
            <v>0.95</v>
          </cell>
          <cell r="BG241">
            <v>0.95</v>
          </cell>
          <cell r="BH241">
            <v>0.95</v>
          </cell>
          <cell r="BI241">
            <v>0.95</v>
          </cell>
          <cell r="BJ241">
            <v>0.95</v>
          </cell>
          <cell r="BK241">
            <v>0.95</v>
          </cell>
          <cell r="BL241">
            <v>0.95</v>
          </cell>
          <cell r="BM241">
            <v>0.95</v>
          </cell>
          <cell r="BN241">
            <v>0.95</v>
          </cell>
          <cell r="BO241">
            <v>0.95</v>
          </cell>
          <cell r="BP241">
            <v>0.95</v>
          </cell>
          <cell r="BQ241">
            <v>0.95</v>
          </cell>
          <cell r="BR241">
            <v>0.95</v>
          </cell>
          <cell r="BS241">
            <v>0.95</v>
          </cell>
          <cell r="BT241">
            <v>1</v>
          </cell>
          <cell r="BU241">
            <v>1</v>
          </cell>
          <cell r="BV241">
            <v>1</v>
          </cell>
          <cell r="BW241">
            <v>1</v>
          </cell>
          <cell r="BX241">
            <v>1</v>
          </cell>
          <cell r="BY241">
            <v>1</v>
          </cell>
          <cell r="BZ241">
            <v>1</v>
          </cell>
          <cell r="CA241">
            <v>1</v>
          </cell>
          <cell r="CB241">
            <v>1</v>
          </cell>
          <cell r="CC241">
            <v>1</v>
          </cell>
          <cell r="CD241">
            <v>1</v>
          </cell>
          <cell r="CE241">
            <v>1</v>
          </cell>
          <cell r="CF241">
            <v>1</v>
          </cell>
          <cell r="CG241">
            <v>1</v>
          </cell>
          <cell r="CH241">
            <v>1</v>
          </cell>
          <cell r="CI241">
            <v>1</v>
          </cell>
          <cell r="CJ241">
            <v>1</v>
          </cell>
          <cell r="CK241">
            <v>1</v>
          </cell>
        </row>
        <row r="242">
          <cell r="J242">
            <v>39328</v>
          </cell>
          <cell r="K242">
            <v>39318</v>
          </cell>
          <cell r="L242">
            <v>39332</v>
          </cell>
          <cell r="M242">
            <v>39472</v>
          </cell>
          <cell r="N242">
            <v>39500</v>
          </cell>
          <cell r="O242">
            <v>39642</v>
          </cell>
          <cell r="Q242" t="str">
            <v>R</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0.5</v>
          </cell>
          <cell r="AY242">
            <v>0.5</v>
          </cell>
          <cell r="AZ242">
            <v>0.7</v>
          </cell>
          <cell r="BA242">
            <v>0.7</v>
          </cell>
          <cell r="BB242">
            <v>0.7</v>
          </cell>
          <cell r="BC242">
            <v>0.7</v>
          </cell>
          <cell r="BD242">
            <v>0.7</v>
          </cell>
          <cell r="BE242">
            <v>0.7</v>
          </cell>
          <cell r="BF242">
            <v>0.7</v>
          </cell>
          <cell r="BG242">
            <v>0.7</v>
          </cell>
          <cell r="BH242">
            <v>0.7</v>
          </cell>
          <cell r="BI242">
            <v>0.7</v>
          </cell>
          <cell r="BJ242">
            <v>0.7</v>
          </cell>
          <cell r="BK242">
            <v>0.7</v>
          </cell>
          <cell r="BL242">
            <v>0.7</v>
          </cell>
          <cell r="BM242">
            <v>0.7</v>
          </cell>
          <cell r="BN242">
            <v>0.7</v>
          </cell>
          <cell r="BO242">
            <v>0.7</v>
          </cell>
          <cell r="BP242">
            <v>0.7</v>
          </cell>
          <cell r="BQ242">
            <v>0.7</v>
          </cell>
          <cell r="BR242">
            <v>0.7</v>
          </cell>
          <cell r="BS242">
            <v>0.7</v>
          </cell>
          <cell r="BT242">
            <v>0.7</v>
          </cell>
          <cell r="BU242">
            <v>0.7</v>
          </cell>
          <cell r="BV242">
            <v>0.7</v>
          </cell>
          <cell r="BW242">
            <v>0.7</v>
          </cell>
          <cell r="BX242">
            <v>0.95</v>
          </cell>
          <cell r="BY242">
            <v>0.95</v>
          </cell>
          <cell r="BZ242">
            <v>0.95</v>
          </cell>
          <cell r="CA242">
            <v>0.95</v>
          </cell>
          <cell r="CB242">
            <v>0.95</v>
          </cell>
          <cell r="CC242">
            <v>0.95</v>
          </cell>
          <cell r="CD242">
            <v>0.95</v>
          </cell>
          <cell r="CE242">
            <v>0.95</v>
          </cell>
          <cell r="CF242">
            <v>0.95</v>
          </cell>
          <cell r="CG242">
            <v>0.95</v>
          </cell>
          <cell r="CH242">
            <v>0.95</v>
          </cell>
          <cell r="CI242">
            <v>0.95</v>
          </cell>
          <cell r="CJ242">
            <v>0.95</v>
          </cell>
          <cell r="CK242">
            <v>0.95</v>
          </cell>
        </row>
        <row r="243">
          <cell r="Q243" t="str">
            <v>E</v>
          </cell>
          <cell r="AJ243">
            <v>0</v>
          </cell>
          <cell r="AK243">
            <v>0</v>
          </cell>
          <cell r="AL243">
            <v>0</v>
          </cell>
          <cell r="AM243">
            <v>0</v>
          </cell>
          <cell r="AN243">
            <v>0</v>
          </cell>
          <cell r="AO243">
            <v>0</v>
          </cell>
          <cell r="AP243">
            <v>0</v>
          </cell>
          <cell r="AQ243">
            <v>0</v>
          </cell>
          <cell r="AR243">
            <v>0</v>
          </cell>
          <cell r="AS243">
            <v>0</v>
          </cell>
          <cell r="AT243">
            <v>0.5</v>
          </cell>
          <cell r="AU243">
            <v>0.5</v>
          </cell>
          <cell r="AV243">
            <v>0.5</v>
          </cell>
          <cell r="AW243">
            <v>0.5</v>
          </cell>
          <cell r="AX243">
            <v>0.5</v>
          </cell>
          <cell r="AY243">
            <v>0.5</v>
          </cell>
          <cell r="AZ243">
            <v>0.5</v>
          </cell>
          <cell r="BA243">
            <v>0.5</v>
          </cell>
          <cell r="BB243">
            <v>0.5</v>
          </cell>
          <cell r="BC243">
            <v>0.5</v>
          </cell>
          <cell r="BD243">
            <v>0.5</v>
          </cell>
          <cell r="BE243">
            <v>0.5</v>
          </cell>
          <cell r="BF243">
            <v>0.5</v>
          </cell>
          <cell r="BG243">
            <v>0.5</v>
          </cell>
          <cell r="BH243">
            <v>0.5</v>
          </cell>
          <cell r="BI243">
            <v>0.7</v>
          </cell>
          <cell r="BJ243">
            <v>0.95</v>
          </cell>
          <cell r="BK243">
            <v>0.95</v>
          </cell>
          <cell r="BL243">
            <v>0.95</v>
          </cell>
          <cell r="BM243">
            <v>0.95</v>
          </cell>
          <cell r="BN243">
            <v>0.95</v>
          </cell>
          <cell r="BO243">
            <v>0.95</v>
          </cell>
          <cell r="BP243">
            <v>0.95</v>
          </cell>
          <cell r="BQ243">
            <v>0.95</v>
          </cell>
          <cell r="BR243">
            <v>0.95</v>
          </cell>
          <cell r="BS243">
            <v>0.95</v>
          </cell>
          <cell r="BT243">
            <v>0.95</v>
          </cell>
          <cell r="BU243">
            <v>0.95</v>
          </cell>
          <cell r="BV243">
            <v>0.95</v>
          </cell>
          <cell r="BW243">
            <v>0.95</v>
          </cell>
          <cell r="BX243">
            <v>0.95</v>
          </cell>
          <cell r="BY243">
            <v>0.95</v>
          </cell>
          <cell r="BZ243">
            <v>0.95</v>
          </cell>
          <cell r="CA243">
            <v>0.95</v>
          </cell>
          <cell r="CB243">
            <v>0.95</v>
          </cell>
          <cell r="CC243">
            <v>0.95</v>
          </cell>
          <cell r="CD243">
            <v>0</v>
          </cell>
          <cell r="CE243">
            <v>0</v>
          </cell>
          <cell r="CF243">
            <v>0</v>
          </cell>
          <cell r="CG243">
            <v>0</v>
          </cell>
          <cell r="CH243">
            <v>0</v>
          </cell>
          <cell r="CI243">
            <v>0</v>
          </cell>
          <cell r="CJ243">
            <v>0</v>
          </cell>
          <cell r="CK243">
            <v>0</v>
          </cell>
        </row>
        <row r="244">
          <cell r="D244" t="str">
            <v>01</v>
          </cell>
          <cell r="E244" t="str">
            <v>46</v>
          </cell>
          <cell r="F244" t="str">
            <v>E01</v>
          </cell>
          <cell r="G244" t="str">
            <v>CAL</v>
          </cell>
          <cell r="H244" t="str">
            <v>001</v>
          </cell>
          <cell r="I244" t="str">
            <v>MEMORIA CALCULO DE CONDUCTORES - AREA 46</v>
          </cell>
          <cell r="J244">
            <v>39243</v>
          </cell>
          <cell r="K244">
            <v>39290</v>
          </cell>
          <cell r="L244">
            <v>39304</v>
          </cell>
          <cell r="M244">
            <v>39304</v>
          </cell>
          <cell r="N244">
            <v>39318</v>
          </cell>
          <cell r="O244">
            <v>39476</v>
          </cell>
          <cell r="P244">
            <v>38.82911813643932</v>
          </cell>
          <cell r="Q244" t="str">
            <v>P</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0.5</v>
          </cell>
          <cell r="AU244">
            <v>0.5</v>
          </cell>
          <cell r="AV244">
            <v>0.7</v>
          </cell>
          <cell r="AW244">
            <v>0.7</v>
          </cell>
          <cell r="AX244">
            <v>0.95</v>
          </cell>
          <cell r="AY244">
            <v>0.95</v>
          </cell>
          <cell r="AZ244">
            <v>0.95</v>
          </cell>
          <cell r="BA244">
            <v>0.95</v>
          </cell>
          <cell r="BB244">
            <v>0.95</v>
          </cell>
          <cell r="BC244">
            <v>0.95</v>
          </cell>
          <cell r="BD244">
            <v>0.95</v>
          </cell>
          <cell r="BE244">
            <v>0.95</v>
          </cell>
          <cell r="BF244">
            <v>0.95</v>
          </cell>
          <cell r="BG244">
            <v>0.95</v>
          </cell>
          <cell r="BH244">
            <v>0.95</v>
          </cell>
          <cell r="BI244">
            <v>0.95</v>
          </cell>
          <cell r="BJ244">
            <v>0.95</v>
          </cell>
          <cell r="BK244">
            <v>0.95</v>
          </cell>
          <cell r="BL244">
            <v>0.95</v>
          </cell>
          <cell r="BM244">
            <v>0.95</v>
          </cell>
          <cell r="BN244">
            <v>0.95</v>
          </cell>
          <cell r="BO244">
            <v>0.95</v>
          </cell>
          <cell r="BP244">
            <v>0.95</v>
          </cell>
          <cell r="BQ244">
            <v>0.95</v>
          </cell>
          <cell r="BR244">
            <v>0.95</v>
          </cell>
          <cell r="BS244">
            <v>0.95</v>
          </cell>
          <cell r="BT244">
            <v>1</v>
          </cell>
          <cell r="BU244">
            <v>1</v>
          </cell>
          <cell r="BV244">
            <v>1</v>
          </cell>
          <cell r="BW244">
            <v>1</v>
          </cell>
          <cell r="BX244">
            <v>1</v>
          </cell>
          <cell r="BY244">
            <v>1</v>
          </cell>
          <cell r="BZ244">
            <v>1</v>
          </cell>
          <cell r="CA244">
            <v>1</v>
          </cell>
          <cell r="CB244">
            <v>1</v>
          </cell>
          <cell r="CC244">
            <v>1</v>
          </cell>
          <cell r="CD244">
            <v>1</v>
          </cell>
          <cell r="CE244">
            <v>1</v>
          </cell>
          <cell r="CF244">
            <v>1</v>
          </cell>
          <cell r="CG244">
            <v>1</v>
          </cell>
          <cell r="CH244">
            <v>1</v>
          </cell>
          <cell r="CI244">
            <v>1</v>
          </cell>
          <cell r="CJ244">
            <v>1</v>
          </cell>
          <cell r="CK244">
            <v>1</v>
          </cell>
        </row>
        <row r="245">
          <cell r="J245">
            <v>39243</v>
          </cell>
          <cell r="K245">
            <v>39290</v>
          </cell>
          <cell r="L245">
            <v>39416</v>
          </cell>
          <cell r="M245">
            <v>39472</v>
          </cell>
          <cell r="N245">
            <v>39500</v>
          </cell>
          <cell r="O245">
            <v>39642</v>
          </cell>
          <cell r="Q245" t="str">
            <v>R</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0.5</v>
          </cell>
          <cell r="AU245">
            <v>0.5</v>
          </cell>
          <cell r="AV245">
            <v>0.5</v>
          </cell>
          <cell r="AW245">
            <v>0.5</v>
          </cell>
          <cell r="AX245">
            <v>0.5</v>
          </cell>
          <cell r="AY245">
            <v>0.5</v>
          </cell>
          <cell r="AZ245">
            <v>0.5</v>
          </cell>
          <cell r="BA245">
            <v>0.5</v>
          </cell>
          <cell r="BB245">
            <v>0.5</v>
          </cell>
          <cell r="BC245">
            <v>0.5</v>
          </cell>
          <cell r="BD245">
            <v>0.5</v>
          </cell>
          <cell r="BE245">
            <v>0.5</v>
          </cell>
          <cell r="BF245">
            <v>0.5</v>
          </cell>
          <cell r="BG245">
            <v>0.5</v>
          </cell>
          <cell r="BH245">
            <v>0.5</v>
          </cell>
          <cell r="BI245">
            <v>0.5</v>
          </cell>
          <cell r="BJ245">
            <v>0.5</v>
          </cell>
          <cell r="BK245">
            <v>0.5</v>
          </cell>
          <cell r="BL245">
            <v>0.7</v>
          </cell>
          <cell r="BM245">
            <v>0.7</v>
          </cell>
          <cell r="BN245">
            <v>0.7</v>
          </cell>
          <cell r="BO245">
            <v>0.7</v>
          </cell>
          <cell r="BP245">
            <v>0.7</v>
          </cell>
          <cell r="BQ245">
            <v>0.7</v>
          </cell>
          <cell r="BR245">
            <v>0.7</v>
          </cell>
          <cell r="BS245">
            <v>0.7</v>
          </cell>
          <cell r="BT245">
            <v>0.7</v>
          </cell>
          <cell r="BU245">
            <v>0.7</v>
          </cell>
          <cell r="BV245">
            <v>0.7</v>
          </cell>
          <cell r="BW245">
            <v>0.7</v>
          </cell>
          <cell r="BX245">
            <v>0.95</v>
          </cell>
          <cell r="BY245">
            <v>0.95</v>
          </cell>
          <cell r="BZ245">
            <v>0.95</v>
          </cell>
          <cell r="CA245">
            <v>0.95</v>
          </cell>
          <cell r="CB245">
            <v>0.95</v>
          </cell>
          <cell r="CC245">
            <v>0.95</v>
          </cell>
          <cell r="CD245">
            <v>0.95</v>
          </cell>
          <cell r="CE245">
            <v>0.95</v>
          </cell>
          <cell r="CF245">
            <v>0.95</v>
          </cell>
          <cell r="CG245">
            <v>0.95</v>
          </cell>
          <cell r="CH245">
            <v>0.95</v>
          </cell>
          <cell r="CI245">
            <v>0.95</v>
          </cell>
          <cell r="CJ245">
            <v>0.95</v>
          </cell>
          <cell r="CK245">
            <v>0.95</v>
          </cell>
        </row>
        <row r="246">
          <cell r="Q246" t="str">
            <v>E</v>
          </cell>
          <cell r="AI246">
            <v>0.1</v>
          </cell>
          <cell r="AJ246">
            <v>0.1</v>
          </cell>
          <cell r="AK246">
            <v>0.1</v>
          </cell>
          <cell r="AL246">
            <v>0.1</v>
          </cell>
          <cell r="AM246">
            <v>0.1</v>
          </cell>
          <cell r="AN246">
            <v>0.1</v>
          </cell>
          <cell r="AO246">
            <v>0.5</v>
          </cell>
          <cell r="AP246">
            <v>0.5</v>
          </cell>
          <cell r="AQ246">
            <v>0.5</v>
          </cell>
          <cell r="AR246">
            <v>0.5</v>
          </cell>
          <cell r="AS246">
            <v>0.5</v>
          </cell>
          <cell r="AT246">
            <v>0.5</v>
          </cell>
          <cell r="AU246">
            <v>0.5</v>
          </cell>
          <cell r="AV246">
            <v>0.5</v>
          </cell>
          <cell r="AW246">
            <v>0.5</v>
          </cell>
          <cell r="AX246">
            <v>0.5</v>
          </cell>
          <cell r="AY246">
            <v>0.5</v>
          </cell>
          <cell r="AZ246">
            <v>0.5</v>
          </cell>
          <cell r="BA246">
            <v>0.5</v>
          </cell>
          <cell r="BB246">
            <v>0.5</v>
          </cell>
          <cell r="BC246">
            <v>0.5</v>
          </cell>
          <cell r="BD246">
            <v>0.5</v>
          </cell>
          <cell r="BE246">
            <v>0.5</v>
          </cell>
          <cell r="BF246">
            <v>0.5</v>
          </cell>
          <cell r="BG246">
            <v>0.5</v>
          </cell>
          <cell r="BH246">
            <v>0.5</v>
          </cell>
          <cell r="BI246">
            <v>0.7</v>
          </cell>
          <cell r="BJ246">
            <v>0.7</v>
          </cell>
          <cell r="BK246">
            <v>0.7</v>
          </cell>
          <cell r="BL246">
            <v>0.7</v>
          </cell>
          <cell r="BM246">
            <v>0.7</v>
          </cell>
          <cell r="BN246">
            <v>0.7</v>
          </cell>
          <cell r="BO246">
            <v>0.7</v>
          </cell>
          <cell r="BP246">
            <v>0.7</v>
          </cell>
          <cell r="BQ246">
            <v>0.7</v>
          </cell>
          <cell r="BR246">
            <v>0.7</v>
          </cell>
          <cell r="BS246">
            <v>0.7</v>
          </cell>
          <cell r="BT246">
            <v>0.7</v>
          </cell>
          <cell r="BU246">
            <v>0.7</v>
          </cell>
          <cell r="BV246">
            <v>0.7</v>
          </cell>
          <cell r="BW246">
            <v>0.7</v>
          </cell>
          <cell r="BX246">
            <v>0.7</v>
          </cell>
          <cell r="BY246">
            <v>0.95</v>
          </cell>
          <cell r="BZ246">
            <v>0.95</v>
          </cell>
          <cell r="CA246">
            <v>0.95</v>
          </cell>
          <cell r="CB246">
            <v>0.95</v>
          </cell>
          <cell r="CC246">
            <v>0.95</v>
          </cell>
          <cell r="CD246">
            <v>0</v>
          </cell>
          <cell r="CE246">
            <v>0</v>
          </cell>
          <cell r="CF246">
            <v>0</v>
          </cell>
          <cell r="CG246">
            <v>0</v>
          </cell>
          <cell r="CH246">
            <v>0</v>
          </cell>
          <cell r="CI246">
            <v>0</v>
          </cell>
          <cell r="CJ246">
            <v>0</v>
          </cell>
          <cell r="CK246">
            <v>0</v>
          </cell>
        </row>
        <row r="247">
          <cell r="D247" t="str">
            <v>01</v>
          </cell>
          <cell r="E247" t="str">
            <v>46</v>
          </cell>
          <cell r="F247" t="str">
            <v>E01</v>
          </cell>
          <cell r="G247" t="str">
            <v>TEC</v>
          </cell>
          <cell r="H247" t="str">
            <v>008</v>
          </cell>
          <cell r="I247" t="str">
            <v>LISTA DE CABLES - AREA 46</v>
          </cell>
          <cell r="J247">
            <v>39307</v>
          </cell>
          <cell r="K247">
            <v>39353</v>
          </cell>
          <cell r="L247">
            <v>39367</v>
          </cell>
          <cell r="M247">
            <v>39374</v>
          </cell>
          <cell r="N247">
            <v>39388</v>
          </cell>
          <cell r="O247">
            <v>39476</v>
          </cell>
          <cell r="P247">
            <v>235.70823627287851</v>
          </cell>
          <cell r="Q247" t="str">
            <v>P</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0.5</v>
          </cell>
          <cell r="BD247">
            <v>0.5</v>
          </cell>
          <cell r="BE247">
            <v>0.7</v>
          </cell>
          <cell r="BF247">
            <v>0.7</v>
          </cell>
          <cell r="BG247">
            <v>0.7</v>
          </cell>
          <cell r="BH247">
            <v>0.95</v>
          </cell>
          <cell r="BI247">
            <v>0.95</v>
          </cell>
          <cell r="BJ247">
            <v>0.95</v>
          </cell>
          <cell r="BK247">
            <v>0.95</v>
          </cell>
          <cell r="BL247">
            <v>0.95</v>
          </cell>
          <cell r="BM247">
            <v>0.95</v>
          </cell>
          <cell r="BN247">
            <v>0.95</v>
          </cell>
          <cell r="BO247">
            <v>0.95</v>
          </cell>
          <cell r="BP247">
            <v>0.95</v>
          </cell>
          <cell r="BQ247">
            <v>0.95</v>
          </cell>
          <cell r="BR247">
            <v>0.95</v>
          </cell>
          <cell r="BS247">
            <v>0.95</v>
          </cell>
          <cell r="BT247">
            <v>1</v>
          </cell>
          <cell r="BU247">
            <v>1</v>
          </cell>
          <cell r="BV247">
            <v>1</v>
          </cell>
          <cell r="BW247">
            <v>1</v>
          </cell>
          <cell r="BX247">
            <v>1</v>
          </cell>
          <cell r="BY247">
            <v>1</v>
          </cell>
          <cell r="BZ247">
            <v>1</v>
          </cell>
          <cell r="CA247">
            <v>1</v>
          </cell>
          <cell r="CB247">
            <v>1</v>
          </cell>
          <cell r="CC247">
            <v>1</v>
          </cell>
          <cell r="CD247">
            <v>1</v>
          </cell>
          <cell r="CE247">
            <v>1</v>
          </cell>
          <cell r="CF247">
            <v>1</v>
          </cell>
          <cell r="CG247">
            <v>1</v>
          </cell>
          <cell r="CH247">
            <v>1</v>
          </cell>
          <cell r="CI247">
            <v>1</v>
          </cell>
          <cell r="CJ247">
            <v>1</v>
          </cell>
          <cell r="CK247">
            <v>1</v>
          </cell>
        </row>
        <row r="248">
          <cell r="J248">
            <v>39307</v>
          </cell>
          <cell r="K248">
            <v>39353</v>
          </cell>
          <cell r="L248">
            <v>39416</v>
          </cell>
          <cell r="M248">
            <v>39521</v>
          </cell>
          <cell r="N248">
            <v>39563</v>
          </cell>
          <cell r="O248">
            <v>39642</v>
          </cell>
          <cell r="Q248" t="str">
            <v>R</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0.5</v>
          </cell>
          <cell r="BD248">
            <v>0.5</v>
          </cell>
          <cell r="BE248">
            <v>0.5</v>
          </cell>
          <cell r="BF248">
            <v>0.5</v>
          </cell>
          <cell r="BG248">
            <v>0.5</v>
          </cell>
          <cell r="BH248">
            <v>0.5</v>
          </cell>
          <cell r="BI248">
            <v>0.5</v>
          </cell>
          <cell r="BJ248">
            <v>0.5</v>
          </cell>
          <cell r="BK248">
            <v>0.5</v>
          </cell>
          <cell r="BL248">
            <v>0.7</v>
          </cell>
          <cell r="BM248">
            <v>0.7</v>
          </cell>
          <cell r="BN248">
            <v>0.7</v>
          </cell>
          <cell r="BO248">
            <v>0.7</v>
          </cell>
          <cell r="BP248">
            <v>0.7</v>
          </cell>
          <cell r="BQ248">
            <v>0.7</v>
          </cell>
          <cell r="BR248">
            <v>0.7</v>
          </cell>
          <cell r="BS248">
            <v>0.7</v>
          </cell>
          <cell r="BT248">
            <v>0.7</v>
          </cell>
          <cell r="BU248">
            <v>0.7</v>
          </cell>
          <cell r="BV248">
            <v>0.7</v>
          </cell>
          <cell r="BW248">
            <v>0.7</v>
          </cell>
          <cell r="BX248">
            <v>0.7</v>
          </cell>
          <cell r="BY248">
            <v>0.7</v>
          </cell>
          <cell r="BZ248">
            <v>0.7</v>
          </cell>
          <cell r="CA248">
            <v>0.7</v>
          </cell>
          <cell r="CB248">
            <v>0.7</v>
          </cell>
          <cell r="CC248">
            <v>0.7</v>
          </cell>
          <cell r="CD248">
            <v>0.7</v>
          </cell>
          <cell r="CE248">
            <v>0.7</v>
          </cell>
          <cell r="CF248">
            <v>0.7</v>
          </cell>
          <cell r="CG248">
            <v>0.95</v>
          </cell>
          <cell r="CH248">
            <v>0.95</v>
          </cell>
          <cell r="CI248">
            <v>0.95</v>
          </cell>
          <cell r="CJ248">
            <v>0.95</v>
          </cell>
          <cell r="CK248">
            <v>0.95</v>
          </cell>
        </row>
        <row r="249">
          <cell r="Q249" t="str">
            <v>E</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0.5</v>
          </cell>
          <cell r="BF249">
            <v>0.5</v>
          </cell>
          <cell r="BG249">
            <v>0.5</v>
          </cell>
          <cell r="BH249">
            <v>0.5</v>
          </cell>
          <cell r="BI249">
            <v>0.7</v>
          </cell>
          <cell r="BJ249">
            <v>0.7</v>
          </cell>
          <cell r="BK249">
            <v>0.7</v>
          </cell>
          <cell r="BL249">
            <v>0.7</v>
          </cell>
          <cell r="BM249">
            <v>0.7</v>
          </cell>
          <cell r="BN249">
            <v>0.7</v>
          </cell>
          <cell r="BO249">
            <v>0.7</v>
          </cell>
          <cell r="BP249">
            <v>0.7</v>
          </cell>
          <cell r="BQ249">
            <v>0.7</v>
          </cell>
          <cell r="BR249">
            <v>0.7</v>
          </cell>
          <cell r="BS249">
            <v>0.7</v>
          </cell>
          <cell r="BT249">
            <v>0.7</v>
          </cell>
          <cell r="BU249">
            <v>0.7</v>
          </cell>
          <cell r="BV249">
            <v>0.7</v>
          </cell>
          <cell r="BW249">
            <v>0.95</v>
          </cell>
          <cell r="BX249">
            <v>0.95</v>
          </cell>
          <cell r="BY249">
            <v>0.95</v>
          </cell>
          <cell r="BZ249">
            <v>0.95</v>
          </cell>
          <cell r="CA249">
            <v>0.95</v>
          </cell>
          <cell r="CB249">
            <v>0.95</v>
          </cell>
          <cell r="CC249">
            <v>0.95</v>
          </cell>
          <cell r="CD249">
            <v>0</v>
          </cell>
          <cell r="CE249">
            <v>0</v>
          </cell>
          <cell r="CF249">
            <v>0</v>
          </cell>
          <cell r="CG249">
            <v>0</v>
          </cell>
          <cell r="CH249">
            <v>0</v>
          </cell>
          <cell r="CI249">
            <v>0</v>
          </cell>
          <cell r="CJ249">
            <v>0</v>
          </cell>
          <cell r="CK249">
            <v>0</v>
          </cell>
        </row>
        <row r="250">
          <cell r="D250" t="str">
            <v>01</v>
          </cell>
          <cell r="E250" t="str">
            <v>46</v>
          </cell>
          <cell r="F250" t="str">
            <v>I01</v>
          </cell>
          <cell r="G250" t="str">
            <v>TEC</v>
          </cell>
          <cell r="H250" t="str">
            <v>005</v>
          </cell>
          <cell r="I250" t="str">
            <v>LISTA DE INSTRUMENTOS</v>
          </cell>
          <cell r="J250">
            <v>39251</v>
          </cell>
          <cell r="K250">
            <v>39268</v>
          </cell>
          <cell r="L250">
            <v>39282</v>
          </cell>
          <cell r="M250">
            <v>39283</v>
          </cell>
          <cell r="N250">
            <v>39297</v>
          </cell>
          <cell r="O250">
            <v>39476</v>
          </cell>
          <cell r="P250">
            <v>133.20365894773786</v>
          </cell>
          <cell r="Q250" t="str">
            <v>P</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0.5</v>
          </cell>
          <cell r="AQ250">
            <v>0.5</v>
          </cell>
          <cell r="AR250">
            <v>0.7</v>
          </cell>
          <cell r="AS250">
            <v>0.7</v>
          </cell>
          <cell r="AT250">
            <v>0.7</v>
          </cell>
          <cell r="AU250">
            <v>0.95</v>
          </cell>
          <cell r="AV250">
            <v>0.95</v>
          </cell>
          <cell r="AW250">
            <v>0.95</v>
          </cell>
          <cell r="AX250">
            <v>0.95</v>
          </cell>
          <cell r="AY250">
            <v>0.95</v>
          </cell>
          <cell r="AZ250">
            <v>0.95</v>
          </cell>
          <cell r="BA250">
            <v>0.95</v>
          </cell>
          <cell r="BB250">
            <v>0.95</v>
          </cell>
          <cell r="BC250">
            <v>0.95</v>
          </cell>
          <cell r="BD250">
            <v>0.95</v>
          </cell>
          <cell r="BE250">
            <v>0.95</v>
          </cell>
          <cell r="BF250">
            <v>0.95</v>
          </cell>
          <cell r="BG250">
            <v>0.95</v>
          </cell>
          <cell r="BH250">
            <v>0.95</v>
          </cell>
          <cell r="BI250">
            <v>0.95</v>
          </cell>
          <cell r="BJ250">
            <v>0.95</v>
          </cell>
          <cell r="BK250">
            <v>0.95</v>
          </cell>
          <cell r="BL250">
            <v>0.95</v>
          </cell>
          <cell r="BM250">
            <v>0.95</v>
          </cell>
          <cell r="BN250">
            <v>0.95</v>
          </cell>
          <cell r="BO250">
            <v>0.95</v>
          </cell>
          <cell r="BP250">
            <v>0.95</v>
          </cell>
          <cell r="BQ250">
            <v>0.95</v>
          </cell>
          <cell r="BR250">
            <v>0.95</v>
          </cell>
          <cell r="BS250">
            <v>0.95</v>
          </cell>
          <cell r="BT250">
            <v>1</v>
          </cell>
          <cell r="BU250">
            <v>1</v>
          </cell>
          <cell r="BV250">
            <v>1</v>
          </cell>
          <cell r="BW250">
            <v>1</v>
          </cell>
          <cell r="BX250">
            <v>1</v>
          </cell>
          <cell r="BY250">
            <v>1</v>
          </cell>
          <cell r="BZ250">
            <v>1</v>
          </cell>
          <cell r="CA250">
            <v>1</v>
          </cell>
          <cell r="CB250">
            <v>1</v>
          </cell>
          <cell r="CC250">
            <v>1</v>
          </cell>
          <cell r="CD250">
            <v>1</v>
          </cell>
          <cell r="CE250">
            <v>1</v>
          </cell>
          <cell r="CF250">
            <v>1</v>
          </cell>
          <cell r="CG250">
            <v>1</v>
          </cell>
          <cell r="CH250">
            <v>1</v>
          </cell>
          <cell r="CI250">
            <v>1</v>
          </cell>
          <cell r="CJ250">
            <v>1</v>
          </cell>
          <cell r="CK250">
            <v>1</v>
          </cell>
        </row>
        <row r="251">
          <cell r="J251">
            <v>39251</v>
          </cell>
          <cell r="K251">
            <v>39280</v>
          </cell>
          <cell r="L251">
            <v>39514</v>
          </cell>
          <cell r="M251">
            <v>39526</v>
          </cell>
          <cell r="N251">
            <v>39556</v>
          </cell>
          <cell r="O251">
            <v>39642</v>
          </cell>
          <cell r="Q251" t="str">
            <v>R</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0.5</v>
          </cell>
          <cell r="AS251">
            <v>0.5</v>
          </cell>
          <cell r="AT251">
            <v>0.5</v>
          </cell>
          <cell r="AU251">
            <v>0.5</v>
          </cell>
          <cell r="AV251">
            <v>0.5</v>
          </cell>
          <cell r="AW251">
            <v>0.5</v>
          </cell>
          <cell r="AX251">
            <v>0.5</v>
          </cell>
          <cell r="AY251">
            <v>0.5</v>
          </cell>
          <cell r="AZ251">
            <v>0.5</v>
          </cell>
          <cell r="BA251">
            <v>0.5</v>
          </cell>
          <cell r="BB251">
            <v>0.5</v>
          </cell>
          <cell r="BC251">
            <v>0.5</v>
          </cell>
          <cell r="BD251">
            <v>0.5</v>
          </cell>
          <cell r="BE251">
            <v>0.5</v>
          </cell>
          <cell r="BF251">
            <v>0.5</v>
          </cell>
          <cell r="BG251">
            <v>0.5</v>
          </cell>
          <cell r="BH251">
            <v>0.5</v>
          </cell>
          <cell r="BI251">
            <v>0.5</v>
          </cell>
          <cell r="BJ251">
            <v>0.5</v>
          </cell>
          <cell r="BK251">
            <v>0.5</v>
          </cell>
          <cell r="BL251">
            <v>0.5</v>
          </cell>
          <cell r="BM251">
            <v>0.5</v>
          </cell>
          <cell r="BN251">
            <v>0.5</v>
          </cell>
          <cell r="BO251">
            <v>0.5</v>
          </cell>
          <cell r="BP251">
            <v>0.5</v>
          </cell>
          <cell r="BQ251">
            <v>0.5</v>
          </cell>
          <cell r="BR251">
            <v>0.5</v>
          </cell>
          <cell r="BS251">
            <v>0.5</v>
          </cell>
          <cell r="BT251">
            <v>0.5</v>
          </cell>
          <cell r="BU251">
            <v>0.5</v>
          </cell>
          <cell r="BV251">
            <v>0.5</v>
          </cell>
          <cell r="BW251">
            <v>0.5</v>
          </cell>
          <cell r="BX251">
            <v>0.5</v>
          </cell>
          <cell r="BY251">
            <v>0.5</v>
          </cell>
          <cell r="BZ251">
            <v>0.7</v>
          </cell>
          <cell r="CA251">
            <v>0.7</v>
          </cell>
          <cell r="CB251">
            <v>0.7</v>
          </cell>
          <cell r="CC251">
            <v>0.7</v>
          </cell>
          <cell r="CD251">
            <v>0.7</v>
          </cell>
          <cell r="CE251">
            <v>0.7</v>
          </cell>
          <cell r="CF251">
            <v>0.95</v>
          </cell>
          <cell r="CG251">
            <v>0.95</v>
          </cell>
          <cell r="CH251">
            <v>0.95</v>
          </cell>
          <cell r="CI251">
            <v>0.95</v>
          </cell>
          <cell r="CJ251">
            <v>0.95</v>
          </cell>
          <cell r="CK251">
            <v>0.95</v>
          </cell>
        </row>
        <row r="252">
          <cell r="Q252" t="str">
            <v>E</v>
          </cell>
          <cell r="AJ252">
            <v>0</v>
          </cell>
          <cell r="AK252">
            <v>0</v>
          </cell>
          <cell r="AL252">
            <v>0</v>
          </cell>
          <cell r="AM252">
            <v>0</v>
          </cell>
          <cell r="AN252">
            <v>0</v>
          </cell>
          <cell r="AO252">
            <v>0</v>
          </cell>
          <cell r="AP252">
            <v>0</v>
          </cell>
          <cell r="AQ252">
            <v>0</v>
          </cell>
          <cell r="AR252">
            <v>0.5</v>
          </cell>
          <cell r="AS252">
            <v>0.5</v>
          </cell>
          <cell r="AT252">
            <v>0.5</v>
          </cell>
          <cell r="AU252">
            <v>0.5</v>
          </cell>
          <cell r="AV252">
            <v>0.5</v>
          </cell>
          <cell r="AW252">
            <v>0.5</v>
          </cell>
          <cell r="AX252">
            <v>0.5</v>
          </cell>
          <cell r="AY252">
            <v>0.5</v>
          </cell>
          <cell r="AZ252">
            <v>0.5</v>
          </cell>
          <cell r="BA252">
            <v>0.5</v>
          </cell>
          <cell r="BB252">
            <v>0.5</v>
          </cell>
          <cell r="BC252">
            <v>0.5</v>
          </cell>
          <cell r="BD252">
            <v>0.5</v>
          </cell>
          <cell r="BE252">
            <v>0.5</v>
          </cell>
          <cell r="BF252">
            <v>0.5</v>
          </cell>
          <cell r="BG252">
            <v>0.5</v>
          </cell>
          <cell r="BH252">
            <v>0.5</v>
          </cell>
          <cell r="BI252">
            <v>0.5</v>
          </cell>
          <cell r="BJ252">
            <v>0.5</v>
          </cell>
          <cell r="BK252">
            <v>0.5</v>
          </cell>
          <cell r="BL252">
            <v>0.5</v>
          </cell>
          <cell r="BM252">
            <v>0.5</v>
          </cell>
          <cell r="BN252">
            <v>0.5</v>
          </cell>
          <cell r="BO252">
            <v>0.5</v>
          </cell>
          <cell r="BP252">
            <v>0.5</v>
          </cell>
          <cell r="BQ252">
            <v>0.5</v>
          </cell>
          <cell r="BR252">
            <v>0.5</v>
          </cell>
          <cell r="BS252">
            <v>0.5</v>
          </cell>
          <cell r="BT252">
            <v>0.5</v>
          </cell>
          <cell r="BU252">
            <v>0.5</v>
          </cell>
          <cell r="BV252">
            <v>0.5</v>
          </cell>
          <cell r="BW252">
            <v>0.5</v>
          </cell>
          <cell r="BX252">
            <v>0.5</v>
          </cell>
          <cell r="BY252">
            <v>0.5</v>
          </cell>
          <cell r="BZ252">
            <v>0.5</v>
          </cell>
          <cell r="CA252">
            <v>0.5</v>
          </cell>
          <cell r="CB252">
            <v>0.5</v>
          </cell>
          <cell r="CC252">
            <v>0.5</v>
          </cell>
          <cell r="CD252">
            <v>0</v>
          </cell>
          <cell r="CE252">
            <v>0</v>
          </cell>
          <cell r="CF252">
            <v>0</v>
          </cell>
          <cell r="CG252">
            <v>0</v>
          </cell>
          <cell r="CH252">
            <v>0</v>
          </cell>
          <cell r="CI252">
            <v>0</v>
          </cell>
          <cell r="CJ252">
            <v>0</v>
          </cell>
          <cell r="CK252">
            <v>0</v>
          </cell>
        </row>
        <row r="253">
          <cell r="D253" t="str">
            <v>01</v>
          </cell>
          <cell r="E253" t="str">
            <v>46</v>
          </cell>
          <cell r="F253" t="str">
            <v>I01</v>
          </cell>
          <cell r="G253" t="str">
            <v>TEC</v>
          </cell>
          <cell r="H253" t="str">
            <v>008</v>
          </cell>
          <cell r="I253" t="str">
            <v>LISTA DE SEÑALES</v>
          </cell>
          <cell r="J253">
            <v>39265</v>
          </cell>
          <cell r="K253">
            <v>39275</v>
          </cell>
          <cell r="L253">
            <v>39289</v>
          </cell>
          <cell r="M253">
            <v>39290</v>
          </cell>
          <cell r="N253">
            <v>39304</v>
          </cell>
          <cell r="O253">
            <v>39476</v>
          </cell>
          <cell r="P253">
            <v>39.992942583732059</v>
          </cell>
          <cell r="Q253" t="str">
            <v>P</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0.5</v>
          </cell>
          <cell r="AR253">
            <v>0.5</v>
          </cell>
          <cell r="AS253">
            <v>0.7</v>
          </cell>
          <cell r="AT253">
            <v>0.7</v>
          </cell>
          <cell r="AU253">
            <v>0.7</v>
          </cell>
          <cell r="AV253">
            <v>0.95</v>
          </cell>
          <cell r="AW253">
            <v>0.95</v>
          </cell>
          <cell r="AX253">
            <v>0.95</v>
          </cell>
          <cell r="AY253">
            <v>0.95</v>
          </cell>
          <cell r="AZ253">
            <v>0.95</v>
          </cell>
          <cell r="BA253">
            <v>0.95</v>
          </cell>
          <cell r="BB253">
            <v>0.95</v>
          </cell>
          <cell r="BC253">
            <v>0.95</v>
          </cell>
          <cell r="BD253">
            <v>0.95</v>
          </cell>
          <cell r="BE253">
            <v>0.95</v>
          </cell>
          <cell r="BF253">
            <v>0.95</v>
          </cell>
          <cell r="BG253">
            <v>0.95</v>
          </cell>
          <cell r="BH253">
            <v>0.95</v>
          </cell>
          <cell r="BI253">
            <v>0.95</v>
          </cell>
          <cell r="BJ253">
            <v>0.95</v>
          </cell>
          <cell r="BK253">
            <v>0.95</v>
          </cell>
          <cell r="BL253">
            <v>0.95</v>
          </cell>
          <cell r="BM253">
            <v>0.95</v>
          </cell>
          <cell r="BN253">
            <v>0.95</v>
          </cell>
          <cell r="BO253">
            <v>0.95</v>
          </cell>
          <cell r="BP253">
            <v>0.95</v>
          </cell>
          <cell r="BQ253">
            <v>0.95</v>
          </cell>
          <cell r="BR253">
            <v>0.95</v>
          </cell>
          <cell r="BS253">
            <v>0.95</v>
          </cell>
          <cell r="BT253">
            <v>1</v>
          </cell>
          <cell r="BU253">
            <v>1</v>
          </cell>
          <cell r="BV253">
            <v>1</v>
          </cell>
          <cell r="BW253">
            <v>1</v>
          </cell>
          <cell r="BX253">
            <v>1</v>
          </cell>
          <cell r="BY253">
            <v>1</v>
          </cell>
          <cell r="BZ253">
            <v>1</v>
          </cell>
          <cell r="CA253">
            <v>1</v>
          </cell>
          <cell r="CB253">
            <v>1</v>
          </cell>
          <cell r="CC253">
            <v>1</v>
          </cell>
          <cell r="CD253">
            <v>1</v>
          </cell>
          <cell r="CE253">
            <v>1</v>
          </cell>
          <cell r="CF253">
            <v>1</v>
          </cell>
          <cell r="CG253">
            <v>1</v>
          </cell>
          <cell r="CH253">
            <v>1</v>
          </cell>
          <cell r="CI253">
            <v>1</v>
          </cell>
          <cell r="CJ253">
            <v>1</v>
          </cell>
          <cell r="CK253">
            <v>1</v>
          </cell>
        </row>
        <row r="254">
          <cell r="J254">
            <v>39265</v>
          </cell>
          <cell r="K254">
            <v>39297</v>
          </cell>
          <cell r="L254">
            <v>39304</v>
          </cell>
          <cell r="M254">
            <v>39514</v>
          </cell>
          <cell r="N254">
            <v>39535</v>
          </cell>
          <cell r="O254">
            <v>39642</v>
          </cell>
          <cell r="Q254" t="str">
            <v>R</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0.5</v>
          </cell>
          <cell r="AV254">
            <v>0.7</v>
          </cell>
          <cell r="AW254">
            <v>0.7</v>
          </cell>
          <cell r="AX254">
            <v>0.7</v>
          </cell>
          <cell r="AY254">
            <v>0.7</v>
          </cell>
          <cell r="AZ254">
            <v>0.7</v>
          </cell>
          <cell r="BA254">
            <v>0.7</v>
          </cell>
          <cell r="BB254">
            <v>0.7</v>
          </cell>
          <cell r="BC254">
            <v>0.7</v>
          </cell>
          <cell r="BD254">
            <v>0.7</v>
          </cell>
          <cell r="BE254">
            <v>0.7</v>
          </cell>
          <cell r="BF254">
            <v>0.7</v>
          </cell>
          <cell r="BG254">
            <v>0.7</v>
          </cell>
          <cell r="BH254">
            <v>0.7</v>
          </cell>
          <cell r="BI254">
            <v>0.7</v>
          </cell>
          <cell r="BJ254">
            <v>0.7</v>
          </cell>
          <cell r="BK254">
            <v>0.7</v>
          </cell>
          <cell r="BL254">
            <v>0.7</v>
          </cell>
          <cell r="BM254">
            <v>0.7</v>
          </cell>
          <cell r="BN254">
            <v>0.7</v>
          </cell>
          <cell r="BO254">
            <v>0.7</v>
          </cell>
          <cell r="BP254">
            <v>0.7</v>
          </cell>
          <cell r="BQ254">
            <v>0.7</v>
          </cell>
          <cell r="BR254">
            <v>0.7</v>
          </cell>
          <cell r="BS254">
            <v>0.7</v>
          </cell>
          <cell r="BT254">
            <v>0.7</v>
          </cell>
          <cell r="BU254">
            <v>0.7</v>
          </cell>
          <cell r="BV254">
            <v>0.7</v>
          </cell>
          <cell r="BW254">
            <v>0.7</v>
          </cell>
          <cell r="BX254">
            <v>0.7</v>
          </cell>
          <cell r="BY254">
            <v>0.7</v>
          </cell>
          <cell r="BZ254">
            <v>0.7</v>
          </cell>
          <cell r="CA254">
            <v>0.7</v>
          </cell>
          <cell r="CB254">
            <v>0.7</v>
          </cell>
          <cell r="CC254">
            <v>0.95</v>
          </cell>
          <cell r="CD254">
            <v>0.95</v>
          </cell>
          <cell r="CE254">
            <v>0.95</v>
          </cell>
          <cell r="CF254">
            <v>0.95</v>
          </cell>
          <cell r="CG254">
            <v>0.95</v>
          </cell>
          <cell r="CH254">
            <v>0.95</v>
          </cell>
          <cell r="CI254">
            <v>0.95</v>
          </cell>
          <cell r="CJ254">
            <v>0.95</v>
          </cell>
          <cell r="CK254">
            <v>0.95</v>
          </cell>
        </row>
        <row r="255">
          <cell r="Q255" t="str">
            <v>E</v>
          </cell>
          <cell r="AJ255">
            <v>0</v>
          </cell>
          <cell r="AK255">
            <v>0</v>
          </cell>
          <cell r="AL255">
            <v>0</v>
          </cell>
          <cell r="AM255">
            <v>0</v>
          </cell>
          <cell r="AN255">
            <v>0</v>
          </cell>
          <cell r="AO255">
            <v>0</v>
          </cell>
          <cell r="AP255">
            <v>0</v>
          </cell>
          <cell r="AQ255">
            <v>0</v>
          </cell>
          <cell r="AR255">
            <v>0</v>
          </cell>
          <cell r="AS255">
            <v>0</v>
          </cell>
          <cell r="AT255">
            <v>0.5</v>
          </cell>
          <cell r="AU255">
            <v>0.7</v>
          </cell>
          <cell r="AV255">
            <v>0.7</v>
          </cell>
          <cell r="AW255">
            <v>0.7</v>
          </cell>
          <cell r="AX255">
            <v>0.7</v>
          </cell>
          <cell r="AY255">
            <v>0.7</v>
          </cell>
          <cell r="AZ255">
            <v>0.7</v>
          </cell>
          <cell r="BA255">
            <v>0.7</v>
          </cell>
          <cell r="BB255">
            <v>0.7</v>
          </cell>
          <cell r="BC255">
            <v>0.7</v>
          </cell>
          <cell r="BD255">
            <v>0.7</v>
          </cell>
          <cell r="BE255">
            <v>0.7</v>
          </cell>
          <cell r="BF255">
            <v>0.7</v>
          </cell>
          <cell r="BG255">
            <v>0.7</v>
          </cell>
          <cell r="BH255">
            <v>0.7</v>
          </cell>
          <cell r="BI255">
            <v>0.7</v>
          </cell>
          <cell r="BJ255">
            <v>0.7</v>
          </cell>
          <cell r="BK255">
            <v>0.7</v>
          </cell>
          <cell r="BL255">
            <v>0.7</v>
          </cell>
          <cell r="BM255">
            <v>0.7</v>
          </cell>
          <cell r="BN255">
            <v>0.7</v>
          </cell>
          <cell r="BO255">
            <v>0.7</v>
          </cell>
          <cell r="BP255">
            <v>0.7</v>
          </cell>
          <cell r="BQ255">
            <v>0.7</v>
          </cell>
          <cell r="BR255">
            <v>0.7</v>
          </cell>
          <cell r="BS255">
            <v>0.7</v>
          </cell>
          <cell r="BT255">
            <v>0.7</v>
          </cell>
          <cell r="BU255">
            <v>0.7</v>
          </cell>
          <cell r="BV255">
            <v>0.7</v>
          </cell>
          <cell r="BW255">
            <v>0.7</v>
          </cell>
          <cell r="BX255">
            <v>0.7</v>
          </cell>
          <cell r="BY255">
            <v>0.7</v>
          </cell>
          <cell r="BZ255">
            <v>0.7</v>
          </cell>
          <cell r="CA255">
            <v>0.7</v>
          </cell>
          <cell r="CB255">
            <v>0.7</v>
          </cell>
          <cell r="CC255">
            <v>0.7</v>
          </cell>
          <cell r="CD255">
            <v>0</v>
          </cell>
          <cell r="CE255">
            <v>0</v>
          </cell>
          <cell r="CF255">
            <v>0</v>
          </cell>
          <cell r="CG255">
            <v>0</v>
          </cell>
          <cell r="CH255">
            <v>0</v>
          </cell>
          <cell r="CI255">
            <v>0</v>
          </cell>
          <cell r="CJ255">
            <v>0</v>
          </cell>
          <cell r="CK255">
            <v>0</v>
          </cell>
        </row>
        <row r="256">
          <cell r="D256" t="str">
            <v>01</v>
          </cell>
          <cell r="E256" t="str">
            <v>46</v>
          </cell>
          <cell r="F256" t="str">
            <v>I03</v>
          </cell>
          <cell r="H256" t="str">
            <v>008</v>
          </cell>
          <cell r="I256" t="str">
            <v>TIPICOS DE MONTAJE DE INSTRUMENTOS - DETALLES DE CONEXION ELECTRICA</v>
          </cell>
          <cell r="J256">
            <v>39237</v>
          </cell>
          <cell r="K256">
            <v>39282</v>
          </cell>
          <cell r="L256">
            <v>39296</v>
          </cell>
          <cell r="M256">
            <v>39297</v>
          </cell>
          <cell r="N256">
            <v>39311</v>
          </cell>
          <cell r="O256">
            <v>39476</v>
          </cell>
          <cell r="P256">
            <v>38.840882509303555</v>
          </cell>
          <cell r="Q256" t="str">
            <v>P</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0.5</v>
          </cell>
          <cell r="AS256">
            <v>0.5</v>
          </cell>
          <cell r="AT256">
            <v>0.7</v>
          </cell>
          <cell r="AU256">
            <v>0.7</v>
          </cell>
          <cell r="AV256">
            <v>0.7</v>
          </cell>
          <cell r="AW256">
            <v>0.95</v>
          </cell>
          <cell r="AX256">
            <v>0.95</v>
          </cell>
          <cell r="AY256">
            <v>0.95</v>
          </cell>
          <cell r="AZ256">
            <v>0.95</v>
          </cell>
          <cell r="BA256">
            <v>0.95</v>
          </cell>
          <cell r="BB256">
            <v>0.95</v>
          </cell>
          <cell r="BC256">
            <v>0.95</v>
          </cell>
          <cell r="BD256">
            <v>0.95</v>
          </cell>
          <cell r="BE256">
            <v>0.95</v>
          </cell>
          <cell r="BF256">
            <v>0.95</v>
          </cell>
          <cell r="BG256">
            <v>0.95</v>
          </cell>
          <cell r="BH256">
            <v>0.95</v>
          </cell>
          <cell r="BI256">
            <v>0.95</v>
          </cell>
          <cell r="BJ256">
            <v>0.95</v>
          </cell>
          <cell r="BK256">
            <v>0.95</v>
          </cell>
          <cell r="BL256">
            <v>0.95</v>
          </cell>
          <cell r="BM256">
            <v>0.95</v>
          </cell>
          <cell r="BN256">
            <v>0.95</v>
          </cell>
          <cell r="BO256">
            <v>0.95</v>
          </cell>
          <cell r="BP256">
            <v>0.95</v>
          </cell>
          <cell r="BQ256">
            <v>0.95</v>
          </cell>
          <cell r="BR256">
            <v>0.95</v>
          </cell>
          <cell r="BS256">
            <v>0.95</v>
          </cell>
          <cell r="BT256">
            <v>1</v>
          </cell>
          <cell r="BU256">
            <v>1</v>
          </cell>
          <cell r="BV256">
            <v>1</v>
          </cell>
          <cell r="BW256">
            <v>1</v>
          </cell>
          <cell r="BX256">
            <v>1</v>
          </cell>
          <cell r="BY256">
            <v>1</v>
          </cell>
          <cell r="BZ256">
            <v>1</v>
          </cell>
          <cell r="CA256">
            <v>1</v>
          </cell>
          <cell r="CB256">
            <v>1</v>
          </cell>
          <cell r="CC256">
            <v>1</v>
          </cell>
          <cell r="CD256">
            <v>1</v>
          </cell>
          <cell r="CE256">
            <v>1</v>
          </cell>
          <cell r="CF256">
            <v>1</v>
          </cell>
          <cell r="CG256">
            <v>1</v>
          </cell>
          <cell r="CH256">
            <v>1</v>
          </cell>
          <cell r="CI256">
            <v>1</v>
          </cell>
          <cell r="CJ256">
            <v>1</v>
          </cell>
          <cell r="CK256">
            <v>1</v>
          </cell>
        </row>
        <row r="257">
          <cell r="J257">
            <v>39237</v>
          </cell>
          <cell r="K257">
            <v>39335</v>
          </cell>
          <cell r="L257">
            <v>39339</v>
          </cell>
          <cell r="M257">
            <v>39472</v>
          </cell>
          <cell r="N257">
            <v>39500</v>
          </cell>
          <cell r="O257">
            <v>39642</v>
          </cell>
          <cell r="Q257" t="str">
            <v>R</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0.5</v>
          </cell>
          <cell r="BA257">
            <v>0.7</v>
          </cell>
          <cell r="BB257">
            <v>0.7</v>
          </cell>
          <cell r="BC257">
            <v>0.7</v>
          </cell>
          <cell r="BD257">
            <v>0.7</v>
          </cell>
          <cell r="BE257">
            <v>0.7</v>
          </cell>
          <cell r="BF257">
            <v>0.7</v>
          </cell>
          <cell r="BG257">
            <v>0.7</v>
          </cell>
          <cell r="BH257">
            <v>0.7</v>
          </cell>
          <cell r="BI257">
            <v>0.7</v>
          </cell>
          <cell r="BJ257">
            <v>0.7</v>
          </cell>
          <cell r="BK257">
            <v>0.7</v>
          </cell>
          <cell r="BL257">
            <v>0.7</v>
          </cell>
          <cell r="BM257">
            <v>0.7</v>
          </cell>
          <cell r="BN257">
            <v>0.7</v>
          </cell>
          <cell r="BO257">
            <v>0.7</v>
          </cell>
          <cell r="BP257">
            <v>0.7</v>
          </cell>
          <cell r="BQ257">
            <v>0.7</v>
          </cell>
          <cell r="BR257">
            <v>0.7</v>
          </cell>
          <cell r="BS257">
            <v>0.7</v>
          </cell>
          <cell r="BT257">
            <v>0.7</v>
          </cell>
          <cell r="BU257">
            <v>0.7</v>
          </cell>
          <cell r="BV257">
            <v>0.7</v>
          </cell>
          <cell r="BW257">
            <v>0.7</v>
          </cell>
          <cell r="BX257">
            <v>0.95</v>
          </cell>
          <cell r="BY257">
            <v>0.95</v>
          </cell>
          <cell r="BZ257">
            <v>0.95</v>
          </cell>
          <cell r="CA257">
            <v>0.95</v>
          </cell>
          <cell r="CB257">
            <v>0.95</v>
          </cell>
          <cell r="CC257">
            <v>0.95</v>
          </cell>
          <cell r="CD257">
            <v>0.95</v>
          </cell>
          <cell r="CE257">
            <v>0.95</v>
          </cell>
          <cell r="CF257">
            <v>0.95</v>
          </cell>
          <cell r="CG257">
            <v>0.95</v>
          </cell>
          <cell r="CH257">
            <v>0.95</v>
          </cell>
          <cell r="CI257">
            <v>0.95</v>
          </cell>
          <cell r="CJ257">
            <v>0.95</v>
          </cell>
          <cell r="CK257">
            <v>0.95</v>
          </cell>
        </row>
        <row r="258">
          <cell r="Q258" t="str">
            <v>E</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0.5</v>
          </cell>
          <cell r="AZ258">
            <v>0.7</v>
          </cell>
          <cell r="BA258">
            <v>0.7</v>
          </cell>
          <cell r="BB258">
            <v>0.7</v>
          </cell>
          <cell r="BC258">
            <v>0.7</v>
          </cell>
          <cell r="BD258">
            <v>0.7</v>
          </cell>
          <cell r="BE258">
            <v>0.7</v>
          </cell>
          <cell r="BF258">
            <v>0.7</v>
          </cell>
          <cell r="BG258">
            <v>0.7</v>
          </cell>
          <cell r="BH258">
            <v>0.7</v>
          </cell>
          <cell r="BI258">
            <v>0.7</v>
          </cell>
          <cell r="BJ258">
            <v>0.7</v>
          </cell>
          <cell r="BK258">
            <v>0.7</v>
          </cell>
          <cell r="BL258">
            <v>0.7</v>
          </cell>
          <cell r="BM258">
            <v>0.7</v>
          </cell>
          <cell r="BN258">
            <v>0.7</v>
          </cell>
          <cell r="BO258">
            <v>0.7</v>
          </cell>
          <cell r="BP258">
            <v>0.7</v>
          </cell>
          <cell r="BQ258">
            <v>0.7</v>
          </cell>
          <cell r="BR258">
            <v>0.7</v>
          </cell>
          <cell r="BS258">
            <v>0.7</v>
          </cell>
          <cell r="BT258">
            <v>0.7</v>
          </cell>
          <cell r="BU258">
            <v>0.7</v>
          </cell>
          <cell r="BV258">
            <v>0.7</v>
          </cell>
          <cell r="BW258">
            <v>0.95</v>
          </cell>
          <cell r="BX258">
            <v>0.95</v>
          </cell>
          <cell r="BY258">
            <v>0.95</v>
          </cell>
          <cell r="BZ258">
            <v>0.95</v>
          </cell>
          <cell r="CA258">
            <v>0.95</v>
          </cell>
          <cell r="CB258">
            <v>0.95</v>
          </cell>
          <cell r="CC258">
            <v>0.95</v>
          </cell>
          <cell r="CD258">
            <v>0</v>
          </cell>
          <cell r="CE258">
            <v>0</v>
          </cell>
          <cell r="CF258">
            <v>0</v>
          </cell>
          <cell r="CG258">
            <v>0</v>
          </cell>
          <cell r="CH258">
            <v>0</v>
          </cell>
          <cell r="CI258">
            <v>0</v>
          </cell>
          <cell r="CJ258">
            <v>0</v>
          </cell>
          <cell r="CK258">
            <v>0</v>
          </cell>
        </row>
        <row r="259">
          <cell r="D259" t="str">
            <v>01</v>
          </cell>
          <cell r="E259" t="str">
            <v>46</v>
          </cell>
          <cell r="F259" t="str">
            <v>I03</v>
          </cell>
          <cell r="H259" t="str">
            <v>009</v>
          </cell>
          <cell r="I259" t="str">
            <v>TIPICOS DE MONTAJE DE INSTRUMENTOS - DETALLES DE CONEXION NEUMATICA</v>
          </cell>
          <cell r="J259">
            <v>39237</v>
          </cell>
          <cell r="K259">
            <v>39282</v>
          </cell>
          <cell r="L259">
            <v>39296</v>
          </cell>
          <cell r="M259">
            <v>39297</v>
          </cell>
          <cell r="N259">
            <v>39311</v>
          </cell>
          <cell r="O259">
            <v>39476</v>
          </cell>
          <cell r="P259">
            <v>38.840882509303555</v>
          </cell>
          <cell r="Q259" t="str">
            <v>P</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0.5</v>
          </cell>
          <cell r="AS259">
            <v>0.5</v>
          </cell>
          <cell r="AT259">
            <v>0.7</v>
          </cell>
          <cell r="AU259">
            <v>0.7</v>
          </cell>
          <cell r="AV259">
            <v>0.7</v>
          </cell>
          <cell r="AW259">
            <v>0.95</v>
          </cell>
          <cell r="AX259">
            <v>0.95</v>
          </cell>
          <cell r="AY259">
            <v>0.95</v>
          </cell>
          <cell r="AZ259">
            <v>0.95</v>
          </cell>
          <cell r="BA259">
            <v>0.95</v>
          </cell>
          <cell r="BB259">
            <v>0.95</v>
          </cell>
          <cell r="BC259">
            <v>0.95</v>
          </cell>
          <cell r="BD259">
            <v>0.95</v>
          </cell>
          <cell r="BE259">
            <v>0.95</v>
          </cell>
          <cell r="BF259">
            <v>0.95</v>
          </cell>
          <cell r="BG259">
            <v>0.95</v>
          </cell>
          <cell r="BH259">
            <v>0.95</v>
          </cell>
          <cell r="BI259">
            <v>0.95</v>
          </cell>
          <cell r="BJ259">
            <v>0.95</v>
          </cell>
          <cell r="BK259">
            <v>0.95</v>
          </cell>
          <cell r="BL259">
            <v>0.95</v>
          </cell>
          <cell r="BM259">
            <v>0.95</v>
          </cell>
          <cell r="BN259">
            <v>0.95</v>
          </cell>
          <cell r="BO259">
            <v>0.95</v>
          </cell>
          <cell r="BP259">
            <v>0.95</v>
          </cell>
          <cell r="BQ259">
            <v>0.95</v>
          </cell>
          <cell r="BR259">
            <v>0.95</v>
          </cell>
          <cell r="BS259">
            <v>0.95</v>
          </cell>
          <cell r="BT259">
            <v>1</v>
          </cell>
          <cell r="BU259">
            <v>1</v>
          </cell>
          <cell r="BV259">
            <v>1</v>
          </cell>
          <cell r="BW259">
            <v>1</v>
          </cell>
          <cell r="BX259">
            <v>1</v>
          </cell>
          <cell r="BY259">
            <v>1</v>
          </cell>
          <cell r="BZ259">
            <v>1</v>
          </cell>
          <cell r="CA259">
            <v>1</v>
          </cell>
          <cell r="CB259">
            <v>1</v>
          </cell>
          <cell r="CC259">
            <v>1</v>
          </cell>
          <cell r="CD259">
            <v>1</v>
          </cell>
          <cell r="CE259">
            <v>1</v>
          </cell>
          <cell r="CF259">
            <v>1</v>
          </cell>
          <cell r="CG259">
            <v>1</v>
          </cell>
          <cell r="CH259">
            <v>1</v>
          </cell>
          <cell r="CI259">
            <v>1</v>
          </cell>
          <cell r="CJ259">
            <v>1</v>
          </cell>
          <cell r="CK259">
            <v>1</v>
          </cell>
        </row>
        <row r="260">
          <cell r="J260">
            <v>39237</v>
          </cell>
          <cell r="K260">
            <v>39335</v>
          </cell>
          <cell r="L260">
            <v>39339</v>
          </cell>
          <cell r="M260">
            <v>39521</v>
          </cell>
          <cell r="N260">
            <v>39541</v>
          </cell>
          <cell r="O260">
            <v>39642</v>
          </cell>
          <cell r="Q260" t="str">
            <v>R</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0.5</v>
          </cell>
          <cell r="BA260">
            <v>0.7</v>
          </cell>
          <cell r="BB260">
            <v>0.7</v>
          </cell>
          <cell r="BC260">
            <v>0.7</v>
          </cell>
          <cell r="BD260">
            <v>0.7</v>
          </cell>
          <cell r="BE260">
            <v>0.7</v>
          </cell>
          <cell r="BF260">
            <v>0.7</v>
          </cell>
          <cell r="BG260">
            <v>0.7</v>
          </cell>
          <cell r="BH260">
            <v>0.7</v>
          </cell>
          <cell r="BI260">
            <v>0.7</v>
          </cell>
          <cell r="BJ260">
            <v>0.7</v>
          </cell>
          <cell r="BK260">
            <v>0.7</v>
          </cell>
          <cell r="BL260">
            <v>0.7</v>
          </cell>
          <cell r="BM260">
            <v>0.7</v>
          </cell>
          <cell r="BN260">
            <v>0.7</v>
          </cell>
          <cell r="BO260">
            <v>0.7</v>
          </cell>
          <cell r="BP260">
            <v>0.7</v>
          </cell>
          <cell r="BQ260">
            <v>0.7</v>
          </cell>
          <cell r="BR260">
            <v>0.7</v>
          </cell>
          <cell r="BS260">
            <v>0.7</v>
          </cell>
          <cell r="BT260">
            <v>0.7</v>
          </cell>
          <cell r="BU260">
            <v>0.7</v>
          </cell>
          <cell r="BV260">
            <v>0.7</v>
          </cell>
          <cell r="BW260">
            <v>0.7</v>
          </cell>
          <cell r="BX260">
            <v>0.7</v>
          </cell>
          <cell r="BY260">
            <v>0.7</v>
          </cell>
          <cell r="BZ260">
            <v>0.7</v>
          </cell>
          <cell r="CA260">
            <v>0.7</v>
          </cell>
          <cell r="CB260">
            <v>0.7</v>
          </cell>
          <cell r="CC260">
            <v>0.95</v>
          </cell>
          <cell r="CD260">
            <v>0.95</v>
          </cell>
          <cell r="CE260">
            <v>0.95</v>
          </cell>
          <cell r="CF260">
            <v>0.95</v>
          </cell>
          <cell r="CG260">
            <v>0.95</v>
          </cell>
          <cell r="CH260">
            <v>0.95</v>
          </cell>
          <cell r="CI260">
            <v>0.95</v>
          </cell>
          <cell r="CJ260">
            <v>0.95</v>
          </cell>
          <cell r="CK260">
            <v>0.95</v>
          </cell>
        </row>
        <row r="261">
          <cell r="Q261" t="str">
            <v>E</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0.5</v>
          </cell>
          <cell r="AZ261">
            <v>0.7</v>
          </cell>
          <cell r="BA261">
            <v>0.7</v>
          </cell>
          <cell r="BB261">
            <v>0.7</v>
          </cell>
          <cell r="BC261">
            <v>0</v>
          </cell>
          <cell r="BD261">
            <v>0</v>
          </cell>
          <cell r="BE261">
            <v>0.7</v>
          </cell>
          <cell r="BF261">
            <v>0</v>
          </cell>
          <cell r="BG261">
            <v>0</v>
          </cell>
          <cell r="BH261">
            <v>0</v>
          </cell>
          <cell r="BI261">
            <v>0.7</v>
          </cell>
          <cell r="BJ261">
            <v>0.7</v>
          </cell>
          <cell r="BK261">
            <v>0.7</v>
          </cell>
          <cell r="BL261">
            <v>0.7</v>
          </cell>
          <cell r="BM261">
            <v>0.7</v>
          </cell>
          <cell r="BN261">
            <v>0.7</v>
          </cell>
          <cell r="BO261">
            <v>0.7</v>
          </cell>
          <cell r="BP261">
            <v>0.7</v>
          </cell>
          <cell r="BQ261">
            <v>0.7</v>
          </cell>
          <cell r="BR261">
            <v>0.7</v>
          </cell>
          <cell r="BS261">
            <v>0.7</v>
          </cell>
          <cell r="BT261">
            <v>0.7</v>
          </cell>
          <cell r="BU261">
            <v>0.7</v>
          </cell>
          <cell r="BV261">
            <v>0.7</v>
          </cell>
          <cell r="BW261">
            <v>0.7</v>
          </cell>
          <cell r="BX261">
            <v>0.7</v>
          </cell>
          <cell r="BY261">
            <v>0.7</v>
          </cell>
          <cell r="BZ261">
            <v>0.7</v>
          </cell>
          <cell r="CA261">
            <v>0.7</v>
          </cell>
          <cell r="CB261">
            <v>0.7</v>
          </cell>
          <cell r="CC261">
            <v>0.7</v>
          </cell>
          <cell r="CD261">
            <v>0</v>
          </cell>
          <cell r="CE261">
            <v>0</v>
          </cell>
          <cell r="CF261">
            <v>0</v>
          </cell>
          <cell r="CG261">
            <v>0</v>
          </cell>
          <cell r="CH261">
            <v>0</v>
          </cell>
          <cell r="CI261">
            <v>0</v>
          </cell>
          <cell r="CJ261">
            <v>0</v>
          </cell>
          <cell r="CK261">
            <v>0</v>
          </cell>
        </row>
        <row r="262">
          <cell r="D262" t="str">
            <v>01</v>
          </cell>
          <cell r="E262" t="str">
            <v>46</v>
          </cell>
          <cell r="F262" t="str">
            <v>I53</v>
          </cell>
          <cell r="H262" t="str">
            <v>001</v>
          </cell>
          <cell r="I262" t="str">
            <v>RUTAS PRINCIPALES ELECTRICAS</v>
          </cell>
          <cell r="J262">
            <v>39237</v>
          </cell>
          <cell r="K262">
            <v>39282</v>
          </cell>
          <cell r="L262">
            <v>39296</v>
          </cell>
          <cell r="M262">
            <v>39297</v>
          </cell>
          <cell r="N262">
            <v>39311</v>
          </cell>
          <cell r="O262">
            <v>39476</v>
          </cell>
          <cell r="P262">
            <v>38.840882509303555</v>
          </cell>
          <cell r="Q262" t="str">
            <v>P</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0.5</v>
          </cell>
          <cell r="AS262">
            <v>0.5</v>
          </cell>
          <cell r="AT262">
            <v>0.7</v>
          </cell>
          <cell r="AU262">
            <v>0.7</v>
          </cell>
          <cell r="AV262">
            <v>0.7</v>
          </cell>
          <cell r="AW262">
            <v>0.95</v>
          </cell>
          <cell r="AX262">
            <v>0.95</v>
          </cell>
          <cell r="AY262">
            <v>0.95</v>
          </cell>
          <cell r="AZ262">
            <v>0.95</v>
          </cell>
          <cell r="BA262">
            <v>0.95</v>
          </cell>
          <cell r="BB262">
            <v>0.95</v>
          </cell>
          <cell r="BC262">
            <v>0.95</v>
          </cell>
          <cell r="BD262">
            <v>0.95</v>
          </cell>
          <cell r="BE262">
            <v>0.95</v>
          </cell>
          <cell r="BF262">
            <v>0.95</v>
          </cell>
          <cell r="BG262">
            <v>0.95</v>
          </cell>
          <cell r="BH262">
            <v>0.95</v>
          </cell>
          <cell r="BI262">
            <v>0.95</v>
          </cell>
          <cell r="BJ262">
            <v>0.95</v>
          </cell>
          <cell r="BK262">
            <v>0.95</v>
          </cell>
          <cell r="BL262">
            <v>0.95</v>
          </cell>
          <cell r="BM262">
            <v>0.95</v>
          </cell>
          <cell r="BN262">
            <v>0.95</v>
          </cell>
          <cell r="BO262">
            <v>0.95</v>
          </cell>
          <cell r="BP262">
            <v>0.95</v>
          </cell>
          <cell r="BQ262">
            <v>0.95</v>
          </cell>
          <cell r="BR262">
            <v>0.95</v>
          </cell>
          <cell r="BS262">
            <v>0.95</v>
          </cell>
          <cell r="BT262">
            <v>1</v>
          </cell>
          <cell r="BU262">
            <v>1</v>
          </cell>
          <cell r="BV262">
            <v>1</v>
          </cell>
          <cell r="BW262">
            <v>1</v>
          </cell>
          <cell r="BX262">
            <v>1</v>
          </cell>
          <cell r="BY262">
            <v>1</v>
          </cell>
          <cell r="BZ262">
            <v>1</v>
          </cell>
          <cell r="CA262">
            <v>1</v>
          </cell>
          <cell r="CB262">
            <v>1</v>
          </cell>
          <cell r="CC262">
            <v>1</v>
          </cell>
          <cell r="CD262">
            <v>1</v>
          </cell>
          <cell r="CE262">
            <v>1</v>
          </cell>
          <cell r="CF262">
            <v>1</v>
          </cell>
          <cell r="CG262">
            <v>1</v>
          </cell>
          <cell r="CH262">
            <v>1</v>
          </cell>
          <cell r="CI262">
            <v>1</v>
          </cell>
          <cell r="CJ262">
            <v>1</v>
          </cell>
          <cell r="CK262">
            <v>1</v>
          </cell>
        </row>
        <row r="263">
          <cell r="J263">
            <v>39375</v>
          </cell>
          <cell r="K263">
            <v>39423</v>
          </cell>
          <cell r="L263">
            <v>39526</v>
          </cell>
          <cell r="M263">
            <v>39542</v>
          </cell>
          <cell r="N263">
            <v>39570</v>
          </cell>
          <cell r="O263">
            <v>39642</v>
          </cell>
          <cell r="Q263" t="str">
            <v>R</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0.5</v>
          </cell>
          <cell r="BN263">
            <v>0.5</v>
          </cell>
          <cell r="BO263">
            <v>0.5</v>
          </cell>
          <cell r="BP263">
            <v>0.5</v>
          </cell>
          <cell r="BQ263">
            <v>0.5</v>
          </cell>
          <cell r="BR263">
            <v>0.5</v>
          </cell>
          <cell r="BS263">
            <v>0.5</v>
          </cell>
          <cell r="BT263">
            <v>0.5</v>
          </cell>
          <cell r="BU263">
            <v>0.5</v>
          </cell>
          <cell r="BV263">
            <v>0.5</v>
          </cell>
          <cell r="BW263">
            <v>0.5</v>
          </cell>
          <cell r="BX263">
            <v>0.5</v>
          </cell>
          <cell r="BY263">
            <v>0.5</v>
          </cell>
          <cell r="BZ263">
            <v>0.5</v>
          </cell>
          <cell r="CA263">
            <v>0.7</v>
          </cell>
          <cell r="CB263">
            <v>0.7</v>
          </cell>
          <cell r="CC263">
            <v>0.7</v>
          </cell>
          <cell r="CD263">
            <v>0.7</v>
          </cell>
          <cell r="CE263">
            <v>0.7</v>
          </cell>
          <cell r="CF263">
            <v>0.7</v>
          </cell>
          <cell r="CG263">
            <v>0.7</v>
          </cell>
          <cell r="CH263">
            <v>0.95</v>
          </cell>
          <cell r="CI263">
            <v>0.95</v>
          </cell>
          <cell r="CJ263">
            <v>0.95</v>
          </cell>
          <cell r="CK263">
            <v>0.95</v>
          </cell>
        </row>
        <row r="264">
          <cell r="Q264" t="str">
            <v>E</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0.5</v>
          </cell>
          <cell r="BM264">
            <v>0.5</v>
          </cell>
          <cell r="BN264">
            <v>0.5</v>
          </cell>
          <cell r="BO264">
            <v>0.5</v>
          </cell>
          <cell r="BP264">
            <v>0.5</v>
          </cell>
          <cell r="BQ264">
            <v>0.5</v>
          </cell>
          <cell r="BR264">
            <v>0.5</v>
          </cell>
          <cell r="BS264">
            <v>0.5</v>
          </cell>
          <cell r="BT264">
            <v>0.5</v>
          </cell>
          <cell r="BU264">
            <v>0.5</v>
          </cell>
          <cell r="BV264">
            <v>0.5</v>
          </cell>
          <cell r="BW264">
            <v>0.5</v>
          </cell>
          <cell r="BX264">
            <v>0.5</v>
          </cell>
          <cell r="BY264">
            <v>0.5</v>
          </cell>
          <cell r="BZ264">
            <v>0.5</v>
          </cell>
          <cell r="CA264">
            <v>0.5</v>
          </cell>
          <cell r="CB264">
            <v>0.5</v>
          </cell>
          <cell r="CC264">
            <v>0.5</v>
          </cell>
          <cell r="CD264">
            <v>0</v>
          </cell>
          <cell r="CE264">
            <v>0</v>
          </cell>
          <cell r="CF264">
            <v>0</v>
          </cell>
          <cell r="CG264">
            <v>0</v>
          </cell>
          <cell r="CH264">
            <v>0</v>
          </cell>
          <cell r="CI264">
            <v>0</v>
          </cell>
          <cell r="CJ264">
            <v>0</v>
          </cell>
          <cell r="CK264">
            <v>0</v>
          </cell>
        </row>
        <row r="265">
          <cell r="D265" t="str">
            <v>01</v>
          </cell>
          <cell r="E265" t="str">
            <v>46</v>
          </cell>
          <cell r="F265" t="str">
            <v>I03</v>
          </cell>
          <cell r="H265" t="str">
            <v>004</v>
          </cell>
          <cell r="I265" t="str">
            <v>PLANOS DE MODIFICACION DE PANELES EXISTENTES</v>
          </cell>
          <cell r="J265">
            <v>39258</v>
          </cell>
          <cell r="K265">
            <v>39283</v>
          </cell>
          <cell r="L265">
            <v>39297</v>
          </cell>
          <cell r="M265">
            <v>39300</v>
          </cell>
          <cell r="N265">
            <v>39314</v>
          </cell>
          <cell r="O265">
            <v>39476</v>
          </cell>
          <cell r="P265">
            <v>38.840882509303555</v>
          </cell>
          <cell r="Q265" t="str">
            <v>P</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0.5</v>
          </cell>
          <cell r="AT265">
            <v>0.5</v>
          </cell>
          <cell r="AU265">
            <v>0.7</v>
          </cell>
          <cell r="AV265">
            <v>0.7</v>
          </cell>
          <cell r="AW265">
            <v>0.95</v>
          </cell>
          <cell r="AX265">
            <v>0.95</v>
          </cell>
          <cell r="AY265">
            <v>0.95</v>
          </cell>
          <cell r="AZ265">
            <v>0.95</v>
          </cell>
          <cell r="BA265">
            <v>0.95</v>
          </cell>
          <cell r="BB265">
            <v>0.95</v>
          </cell>
          <cell r="BC265">
            <v>0.95</v>
          </cell>
          <cell r="BD265">
            <v>0.95</v>
          </cell>
          <cell r="BE265">
            <v>0.95</v>
          </cell>
          <cell r="BF265">
            <v>0.95</v>
          </cell>
          <cell r="BG265">
            <v>0.95</v>
          </cell>
          <cell r="BH265">
            <v>0.95</v>
          </cell>
          <cell r="BI265">
            <v>0.95</v>
          </cell>
          <cell r="BJ265">
            <v>0.95</v>
          </cell>
          <cell r="BK265">
            <v>0.95</v>
          </cell>
          <cell r="BL265">
            <v>0.95</v>
          </cell>
          <cell r="BM265">
            <v>0.95</v>
          </cell>
          <cell r="BN265">
            <v>0.95</v>
          </cell>
          <cell r="BO265">
            <v>0.95</v>
          </cell>
          <cell r="BP265">
            <v>0.95</v>
          </cell>
          <cell r="BQ265">
            <v>0.95</v>
          </cell>
          <cell r="BR265">
            <v>0.95</v>
          </cell>
          <cell r="BS265">
            <v>0.95</v>
          </cell>
          <cell r="BT265">
            <v>1</v>
          </cell>
          <cell r="BU265">
            <v>1</v>
          </cell>
          <cell r="BV265">
            <v>1</v>
          </cell>
          <cell r="BW265">
            <v>1</v>
          </cell>
          <cell r="BX265">
            <v>1</v>
          </cell>
          <cell r="BY265">
            <v>1</v>
          </cell>
          <cell r="BZ265">
            <v>1</v>
          </cell>
          <cell r="CA265">
            <v>1</v>
          </cell>
          <cell r="CB265">
            <v>1</v>
          </cell>
          <cell r="CC265">
            <v>1</v>
          </cell>
          <cell r="CD265">
            <v>1</v>
          </cell>
          <cell r="CE265">
            <v>1</v>
          </cell>
          <cell r="CF265">
            <v>1</v>
          </cell>
          <cell r="CG265">
            <v>1</v>
          </cell>
          <cell r="CH265">
            <v>1</v>
          </cell>
          <cell r="CI265">
            <v>1</v>
          </cell>
          <cell r="CJ265">
            <v>1</v>
          </cell>
          <cell r="CK265">
            <v>1</v>
          </cell>
        </row>
        <row r="266">
          <cell r="J266">
            <v>39450</v>
          </cell>
          <cell r="K266">
            <v>39479</v>
          </cell>
          <cell r="L266">
            <v>39493</v>
          </cell>
          <cell r="M266">
            <v>39521</v>
          </cell>
          <cell r="N266">
            <v>39539</v>
          </cell>
          <cell r="O266">
            <v>39642</v>
          </cell>
          <cell r="Q266" t="str">
            <v>R</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0.5</v>
          </cell>
          <cell r="BV266">
            <v>0.5</v>
          </cell>
          <cell r="BW266">
            <v>0.7</v>
          </cell>
          <cell r="BX266">
            <v>0.7</v>
          </cell>
          <cell r="BY266">
            <v>0.7</v>
          </cell>
          <cell r="BZ266">
            <v>0.7</v>
          </cell>
          <cell r="CA266">
            <v>0.7</v>
          </cell>
          <cell r="CB266">
            <v>0.7</v>
          </cell>
          <cell r="CC266">
            <v>0.95</v>
          </cell>
          <cell r="CD266">
            <v>0.95</v>
          </cell>
          <cell r="CE266">
            <v>0.95</v>
          </cell>
          <cell r="CF266">
            <v>0.95</v>
          </cell>
          <cell r="CG266">
            <v>0.95</v>
          </cell>
          <cell r="CH266">
            <v>0.95</v>
          </cell>
          <cell r="CI266">
            <v>0.95</v>
          </cell>
          <cell r="CJ266">
            <v>0.95</v>
          </cell>
          <cell r="CK266">
            <v>0.95</v>
          </cell>
        </row>
        <row r="267">
          <cell r="Q267" t="str">
            <v>E</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S267">
            <v>0</v>
          </cell>
          <cell r="BT267">
            <v>0</v>
          </cell>
          <cell r="BU267">
            <v>0</v>
          </cell>
          <cell r="BV267">
            <v>0</v>
          </cell>
          <cell r="BW267">
            <v>0.5</v>
          </cell>
          <cell r="BX267">
            <v>0.7</v>
          </cell>
          <cell r="BY267">
            <v>0.7</v>
          </cell>
          <cell r="BZ267">
            <v>0.7</v>
          </cell>
          <cell r="CA267">
            <v>0.7</v>
          </cell>
          <cell r="CB267">
            <v>0.7</v>
          </cell>
          <cell r="CC267">
            <v>0.7</v>
          </cell>
          <cell r="CD267">
            <v>0</v>
          </cell>
          <cell r="CE267">
            <v>0</v>
          </cell>
          <cell r="CF267">
            <v>0</v>
          </cell>
          <cell r="CG267">
            <v>0</v>
          </cell>
          <cell r="CH267">
            <v>0</v>
          </cell>
          <cell r="CI267">
            <v>0</v>
          </cell>
          <cell r="CJ267">
            <v>0</v>
          </cell>
          <cell r="CK267">
            <v>0</v>
          </cell>
        </row>
        <row r="268">
          <cell r="D268" t="str">
            <v>01</v>
          </cell>
          <cell r="E268" t="str">
            <v>46</v>
          </cell>
          <cell r="F268" t="str">
            <v>I03</v>
          </cell>
          <cell r="H268" t="str">
            <v>005</v>
          </cell>
          <cell r="I268" t="str">
            <v>DETALLES DE CAJAS DE CONEXION ELECTRICAS</v>
          </cell>
          <cell r="J268">
            <v>39248</v>
          </cell>
          <cell r="K268">
            <v>39273</v>
          </cell>
          <cell r="L268">
            <v>39287</v>
          </cell>
          <cell r="M268">
            <v>39288</v>
          </cell>
          <cell r="N268">
            <v>39302</v>
          </cell>
          <cell r="O268">
            <v>39476</v>
          </cell>
          <cell r="P268">
            <v>38.840882509303555</v>
          </cell>
          <cell r="Q268" t="str">
            <v>P</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0.5</v>
          </cell>
          <cell r="AR268">
            <v>0.5</v>
          </cell>
          <cell r="AS268">
            <v>0.7</v>
          </cell>
          <cell r="AT268">
            <v>0.7</v>
          </cell>
          <cell r="AU268">
            <v>0.95</v>
          </cell>
          <cell r="AV268">
            <v>0.95</v>
          </cell>
          <cell r="AW268">
            <v>0.95</v>
          </cell>
          <cell r="AX268">
            <v>0.95</v>
          </cell>
          <cell r="AY268">
            <v>0.95</v>
          </cell>
          <cell r="AZ268">
            <v>0.95</v>
          </cell>
          <cell r="BA268">
            <v>0.95</v>
          </cell>
          <cell r="BB268">
            <v>0.95</v>
          </cell>
          <cell r="BC268">
            <v>0.95</v>
          </cell>
          <cell r="BD268">
            <v>0.95</v>
          </cell>
          <cell r="BE268">
            <v>0.95</v>
          </cell>
          <cell r="BF268">
            <v>0.95</v>
          </cell>
          <cell r="BG268">
            <v>0.95</v>
          </cell>
          <cell r="BH268">
            <v>0.95</v>
          </cell>
          <cell r="BI268">
            <v>0.95</v>
          </cell>
          <cell r="BJ268">
            <v>0.95</v>
          </cell>
          <cell r="BK268">
            <v>0.95</v>
          </cell>
          <cell r="BL268">
            <v>0.95</v>
          </cell>
          <cell r="BM268">
            <v>0.95</v>
          </cell>
          <cell r="BN268">
            <v>0.95</v>
          </cell>
          <cell r="BO268">
            <v>0.95</v>
          </cell>
          <cell r="BP268">
            <v>0.95</v>
          </cell>
          <cell r="BQ268">
            <v>0.95</v>
          </cell>
          <cell r="BR268">
            <v>0.95</v>
          </cell>
          <cell r="BS268">
            <v>0.95</v>
          </cell>
          <cell r="BT268">
            <v>1</v>
          </cell>
          <cell r="BU268">
            <v>1</v>
          </cell>
          <cell r="BV268">
            <v>1</v>
          </cell>
          <cell r="BW268">
            <v>1</v>
          </cell>
          <cell r="BX268">
            <v>1</v>
          </cell>
          <cell r="BY268">
            <v>1</v>
          </cell>
          <cell r="BZ268">
            <v>1</v>
          </cell>
          <cell r="CA268">
            <v>1</v>
          </cell>
          <cell r="CB268">
            <v>1</v>
          </cell>
          <cell r="CC268">
            <v>1</v>
          </cell>
          <cell r="CD268">
            <v>1</v>
          </cell>
          <cell r="CE268">
            <v>1</v>
          </cell>
          <cell r="CF268">
            <v>1</v>
          </cell>
          <cell r="CG268">
            <v>1</v>
          </cell>
          <cell r="CH268">
            <v>1</v>
          </cell>
          <cell r="CI268">
            <v>1</v>
          </cell>
          <cell r="CJ268">
            <v>1</v>
          </cell>
          <cell r="CK268">
            <v>1</v>
          </cell>
        </row>
        <row r="269">
          <cell r="J269">
            <v>39375</v>
          </cell>
          <cell r="K269">
            <v>39371</v>
          </cell>
          <cell r="L269">
            <v>39379</v>
          </cell>
          <cell r="M269">
            <v>39478</v>
          </cell>
          <cell r="N269">
            <v>39493</v>
          </cell>
          <cell r="O269">
            <v>39642</v>
          </cell>
          <cell r="Q269" t="str">
            <v>R</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0.5</v>
          </cell>
          <cell r="BF269">
            <v>0.7</v>
          </cell>
          <cell r="BG269">
            <v>0.7</v>
          </cell>
          <cell r="BH269">
            <v>0.7</v>
          </cell>
          <cell r="BI269">
            <v>0.7</v>
          </cell>
          <cell r="BJ269">
            <v>0.7</v>
          </cell>
          <cell r="BK269">
            <v>0.7</v>
          </cell>
          <cell r="BL269">
            <v>0.7</v>
          </cell>
          <cell r="BM269">
            <v>0.7</v>
          </cell>
          <cell r="BN269">
            <v>0.7</v>
          </cell>
          <cell r="BO269">
            <v>0.7</v>
          </cell>
          <cell r="BP269">
            <v>0.7</v>
          </cell>
          <cell r="BQ269">
            <v>0.7</v>
          </cell>
          <cell r="BR269">
            <v>0.7</v>
          </cell>
          <cell r="BS269">
            <v>0.7</v>
          </cell>
          <cell r="BT269">
            <v>0.7</v>
          </cell>
          <cell r="BU269">
            <v>0.7</v>
          </cell>
          <cell r="BV269">
            <v>0.7</v>
          </cell>
          <cell r="BW269">
            <v>0.95</v>
          </cell>
          <cell r="BX269">
            <v>0.95</v>
          </cell>
          <cell r="BY269">
            <v>0.95</v>
          </cell>
          <cell r="BZ269">
            <v>0.95</v>
          </cell>
          <cell r="CA269">
            <v>0.95</v>
          </cell>
          <cell r="CB269">
            <v>0.95</v>
          </cell>
          <cell r="CC269">
            <v>0.95</v>
          </cell>
          <cell r="CD269">
            <v>0.95</v>
          </cell>
          <cell r="CE269">
            <v>0.95</v>
          </cell>
          <cell r="CF269">
            <v>0.95</v>
          </cell>
          <cell r="CG269">
            <v>0.95</v>
          </cell>
          <cell r="CH269">
            <v>0.95</v>
          </cell>
          <cell r="CI269">
            <v>0.95</v>
          </cell>
          <cell r="CJ269">
            <v>0.95</v>
          </cell>
          <cell r="CK269">
            <v>0.95</v>
          </cell>
        </row>
        <row r="270">
          <cell r="Q270" t="str">
            <v>E</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0.7</v>
          </cell>
          <cell r="BQ270">
            <v>0.7</v>
          </cell>
          <cell r="BR270">
            <v>0.7</v>
          </cell>
          <cell r="BS270">
            <v>0.7</v>
          </cell>
          <cell r="BT270">
            <v>0.7</v>
          </cell>
          <cell r="BU270">
            <v>0.7</v>
          </cell>
          <cell r="BV270">
            <v>0.7</v>
          </cell>
          <cell r="BW270">
            <v>0.7</v>
          </cell>
          <cell r="BX270">
            <v>0.7</v>
          </cell>
          <cell r="BY270">
            <v>0.7</v>
          </cell>
          <cell r="BZ270">
            <v>0.7</v>
          </cell>
          <cell r="CA270">
            <v>0.7</v>
          </cell>
          <cell r="CB270">
            <v>0.7</v>
          </cell>
          <cell r="CC270">
            <v>0.7</v>
          </cell>
          <cell r="CD270">
            <v>0</v>
          </cell>
          <cell r="CE270">
            <v>0</v>
          </cell>
          <cell r="CF270">
            <v>0</v>
          </cell>
          <cell r="CG270">
            <v>0</v>
          </cell>
          <cell r="CH270">
            <v>0</v>
          </cell>
          <cell r="CI270">
            <v>0</v>
          </cell>
          <cell r="CJ270">
            <v>0</v>
          </cell>
          <cell r="CK270">
            <v>0</v>
          </cell>
        </row>
        <row r="271">
          <cell r="D271" t="str">
            <v>01</v>
          </cell>
          <cell r="E271" t="str">
            <v>46</v>
          </cell>
          <cell r="F271" t="str">
            <v>I01</v>
          </cell>
          <cell r="G271" t="str">
            <v>TEC</v>
          </cell>
          <cell r="H271" t="str">
            <v>002</v>
          </cell>
          <cell r="I271" t="str">
            <v>DESCRIPCION DE PARTIDAS PARA CONSTRUCCION / COMPUTOS METRICOS</v>
          </cell>
          <cell r="J271">
            <v>39343</v>
          </cell>
          <cell r="K271">
            <v>39353</v>
          </cell>
          <cell r="L271">
            <v>39367</v>
          </cell>
          <cell r="M271">
            <v>39370</v>
          </cell>
          <cell r="N271">
            <v>39384</v>
          </cell>
          <cell r="O271">
            <v>39476</v>
          </cell>
          <cell r="P271">
            <v>38.840882509303555</v>
          </cell>
          <cell r="Q271" t="str">
            <v>P</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0.5</v>
          </cell>
          <cell r="BD271">
            <v>0.5</v>
          </cell>
          <cell r="BE271">
            <v>0.7</v>
          </cell>
          <cell r="BF271">
            <v>0.7</v>
          </cell>
          <cell r="BG271">
            <v>0.95</v>
          </cell>
          <cell r="BH271">
            <v>0.95</v>
          </cell>
          <cell r="BI271">
            <v>0.95</v>
          </cell>
          <cell r="BJ271">
            <v>0.95</v>
          </cell>
          <cell r="BK271">
            <v>0.95</v>
          </cell>
          <cell r="BL271">
            <v>0.95</v>
          </cell>
          <cell r="BM271">
            <v>0.95</v>
          </cell>
          <cell r="BN271">
            <v>0.95</v>
          </cell>
          <cell r="BO271">
            <v>0.95</v>
          </cell>
          <cell r="BP271">
            <v>0.95</v>
          </cell>
          <cell r="BQ271">
            <v>0.95</v>
          </cell>
          <cell r="BR271">
            <v>0.95</v>
          </cell>
          <cell r="BS271">
            <v>0.95</v>
          </cell>
          <cell r="BT271">
            <v>1</v>
          </cell>
          <cell r="BU271">
            <v>1</v>
          </cell>
          <cell r="BV271">
            <v>1</v>
          </cell>
          <cell r="BW271">
            <v>1</v>
          </cell>
          <cell r="BX271">
            <v>1</v>
          </cell>
          <cell r="BY271">
            <v>1</v>
          </cell>
          <cell r="BZ271">
            <v>1</v>
          </cell>
          <cell r="CA271">
            <v>1</v>
          </cell>
          <cell r="CB271">
            <v>1</v>
          </cell>
          <cell r="CC271">
            <v>1</v>
          </cell>
          <cell r="CD271">
            <v>1</v>
          </cell>
          <cell r="CE271">
            <v>1</v>
          </cell>
          <cell r="CF271">
            <v>1</v>
          </cell>
          <cell r="CG271">
            <v>1</v>
          </cell>
          <cell r="CH271">
            <v>1</v>
          </cell>
          <cell r="CI271">
            <v>1</v>
          </cell>
          <cell r="CJ271">
            <v>1</v>
          </cell>
          <cell r="CK271">
            <v>1</v>
          </cell>
        </row>
        <row r="272">
          <cell r="J272">
            <v>39356</v>
          </cell>
          <cell r="K272">
            <v>39437</v>
          </cell>
          <cell r="L272">
            <v>39500</v>
          </cell>
          <cell r="M272">
            <v>39514</v>
          </cell>
          <cell r="N272">
            <v>39535</v>
          </cell>
          <cell r="O272">
            <v>39642</v>
          </cell>
          <cell r="Q272" t="str">
            <v>R</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0.5</v>
          </cell>
          <cell r="BP272">
            <v>0.5</v>
          </cell>
          <cell r="BQ272">
            <v>0.5</v>
          </cell>
          <cell r="BR272">
            <v>0.5</v>
          </cell>
          <cell r="BS272">
            <v>0.5</v>
          </cell>
          <cell r="BT272">
            <v>0.5</v>
          </cell>
          <cell r="BU272">
            <v>0.5</v>
          </cell>
          <cell r="BV272">
            <v>0.5</v>
          </cell>
          <cell r="BW272">
            <v>0.5</v>
          </cell>
          <cell r="BX272">
            <v>0.7</v>
          </cell>
          <cell r="BY272">
            <v>0.7</v>
          </cell>
          <cell r="BZ272">
            <v>0.7</v>
          </cell>
          <cell r="CA272">
            <v>0.7</v>
          </cell>
          <cell r="CB272">
            <v>0.7</v>
          </cell>
          <cell r="CC272">
            <v>0.95</v>
          </cell>
          <cell r="CD272">
            <v>0.95</v>
          </cell>
          <cell r="CE272">
            <v>0.95</v>
          </cell>
          <cell r="CF272">
            <v>0.95</v>
          </cell>
          <cell r="CG272">
            <v>0.95</v>
          </cell>
          <cell r="CH272">
            <v>0.95</v>
          </cell>
          <cell r="CI272">
            <v>0.95</v>
          </cell>
          <cell r="CJ272">
            <v>0.95</v>
          </cell>
          <cell r="CK272">
            <v>0.95</v>
          </cell>
        </row>
        <row r="273">
          <cell r="Q273" t="str">
            <v>E</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0.5</v>
          </cell>
          <cell r="BJ273">
            <v>0.5</v>
          </cell>
          <cell r="BK273">
            <v>0.5</v>
          </cell>
          <cell r="BL273">
            <v>0.5</v>
          </cell>
          <cell r="BM273">
            <v>0.5</v>
          </cell>
          <cell r="BN273">
            <v>0.5</v>
          </cell>
          <cell r="BO273">
            <v>0.5</v>
          </cell>
          <cell r="BP273">
            <v>0.5</v>
          </cell>
          <cell r="BQ273">
            <v>0.5</v>
          </cell>
          <cell r="BR273">
            <v>0.5</v>
          </cell>
          <cell r="BS273">
            <v>0.5</v>
          </cell>
          <cell r="BT273">
            <v>0.5</v>
          </cell>
          <cell r="BU273">
            <v>0.5</v>
          </cell>
          <cell r="BV273">
            <v>0.5</v>
          </cell>
          <cell r="BW273">
            <v>0.5</v>
          </cell>
          <cell r="BX273">
            <v>0.5</v>
          </cell>
          <cell r="BY273">
            <v>0.5</v>
          </cell>
          <cell r="BZ273">
            <v>0.5</v>
          </cell>
          <cell r="CA273">
            <v>0.5</v>
          </cell>
          <cell r="CB273">
            <v>0.5</v>
          </cell>
          <cell r="CC273">
            <v>0.5</v>
          </cell>
          <cell r="CD273">
            <v>0</v>
          </cell>
          <cell r="CE273">
            <v>0</v>
          </cell>
          <cell r="CF273">
            <v>0</v>
          </cell>
          <cell r="CG273">
            <v>0</v>
          </cell>
          <cell r="CH273">
            <v>0</v>
          </cell>
          <cell r="CI273">
            <v>0</v>
          </cell>
          <cell r="CJ273">
            <v>0</v>
          </cell>
          <cell r="CK273">
            <v>0</v>
          </cell>
        </row>
        <row r="274">
          <cell r="D274" t="str">
            <v>01</v>
          </cell>
          <cell r="E274" t="str">
            <v>46</v>
          </cell>
          <cell r="F274" t="str">
            <v>I43</v>
          </cell>
          <cell r="H274" t="str">
            <v>002</v>
          </cell>
          <cell r="I274" t="str">
            <v>DIAGRAMAS DE BORNERAS CAJAS DE CONEXION ELECTRICAS</v>
          </cell>
          <cell r="J274">
            <v>39349</v>
          </cell>
          <cell r="K274">
            <v>39359</v>
          </cell>
          <cell r="L274">
            <v>39373</v>
          </cell>
          <cell r="M274">
            <v>39374</v>
          </cell>
          <cell r="N274">
            <v>39388</v>
          </cell>
          <cell r="O274">
            <v>39476</v>
          </cell>
          <cell r="P274">
            <v>38.840882509303555</v>
          </cell>
          <cell r="Q274" t="str">
            <v>P</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0.5</v>
          </cell>
          <cell r="BD274">
            <v>0.5</v>
          </cell>
          <cell r="BE274">
            <v>0.7</v>
          </cell>
          <cell r="BF274">
            <v>0.7</v>
          </cell>
          <cell r="BG274">
            <v>0.7</v>
          </cell>
          <cell r="BH274">
            <v>0.95</v>
          </cell>
          <cell r="BI274">
            <v>0.95</v>
          </cell>
          <cell r="BJ274">
            <v>0.95</v>
          </cell>
          <cell r="BK274">
            <v>0.95</v>
          </cell>
          <cell r="BL274">
            <v>0.95</v>
          </cell>
          <cell r="BM274">
            <v>0.95</v>
          </cell>
          <cell r="BN274">
            <v>0.95</v>
          </cell>
          <cell r="BO274">
            <v>0.95</v>
          </cell>
          <cell r="BP274">
            <v>0.95</v>
          </cell>
          <cell r="BQ274">
            <v>0.95</v>
          </cell>
          <cell r="BR274">
            <v>0.95</v>
          </cell>
          <cell r="BS274">
            <v>0.95</v>
          </cell>
          <cell r="BT274">
            <v>1</v>
          </cell>
          <cell r="BU274">
            <v>1</v>
          </cell>
          <cell r="BV274">
            <v>1</v>
          </cell>
          <cell r="BW274">
            <v>1</v>
          </cell>
          <cell r="BX274">
            <v>1</v>
          </cell>
          <cell r="BY274">
            <v>1</v>
          </cell>
          <cell r="BZ274">
            <v>1</v>
          </cell>
          <cell r="CA274">
            <v>1</v>
          </cell>
          <cell r="CB274">
            <v>1</v>
          </cell>
          <cell r="CC274">
            <v>1</v>
          </cell>
          <cell r="CD274">
            <v>1</v>
          </cell>
          <cell r="CE274">
            <v>1</v>
          </cell>
          <cell r="CF274">
            <v>1</v>
          </cell>
          <cell r="CG274">
            <v>1</v>
          </cell>
          <cell r="CH274">
            <v>1</v>
          </cell>
          <cell r="CI274">
            <v>1</v>
          </cell>
          <cell r="CJ274">
            <v>1</v>
          </cell>
          <cell r="CK274">
            <v>1</v>
          </cell>
        </row>
        <row r="275">
          <cell r="J275">
            <v>39375</v>
          </cell>
          <cell r="K275">
            <v>39389</v>
          </cell>
          <cell r="L275">
            <v>39403</v>
          </cell>
          <cell r="M275">
            <v>39417</v>
          </cell>
          <cell r="N275">
            <v>39431</v>
          </cell>
          <cell r="O275">
            <v>39642</v>
          </cell>
          <cell r="Q275" t="str">
            <v>R</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0.5</v>
          </cell>
          <cell r="BI275">
            <v>0.5</v>
          </cell>
          <cell r="BJ275">
            <v>0.7</v>
          </cell>
          <cell r="BK275">
            <v>0.7</v>
          </cell>
          <cell r="BL275">
            <v>0.7</v>
          </cell>
          <cell r="BM275">
            <v>0.7</v>
          </cell>
          <cell r="BN275">
            <v>0.95</v>
          </cell>
          <cell r="BO275">
            <v>0.95</v>
          </cell>
          <cell r="BP275">
            <v>0.95</v>
          </cell>
          <cell r="BQ275">
            <v>0.95</v>
          </cell>
          <cell r="BR275">
            <v>0.95</v>
          </cell>
          <cell r="BS275">
            <v>0.95</v>
          </cell>
          <cell r="BT275">
            <v>0.95</v>
          </cell>
          <cell r="BU275">
            <v>0.95</v>
          </cell>
          <cell r="BV275">
            <v>0.95</v>
          </cell>
          <cell r="BW275">
            <v>0.95</v>
          </cell>
          <cell r="BX275">
            <v>0.95</v>
          </cell>
          <cell r="BY275">
            <v>0.95</v>
          </cell>
          <cell r="BZ275">
            <v>0.95</v>
          </cell>
          <cell r="CA275">
            <v>0.95</v>
          </cell>
          <cell r="CB275">
            <v>0.95</v>
          </cell>
          <cell r="CC275">
            <v>0.95</v>
          </cell>
          <cell r="CD275">
            <v>0.95</v>
          </cell>
          <cell r="CE275">
            <v>0.95</v>
          </cell>
          <cell r="CF275">
            <v>0.95</v>
          </cell>
          <cell r="CG275">
            <v>0.95</v>
          </cell>
          <cell r="CH275">
            <v>0.95</v>
          </cell>
          <cell r="CI275">
            <v>0.95</v>
          </cell>
          <cell r="CJ275">
            <v>0.95</v>
          </cell>
          <cell r="CK275">
            <v>0.95</v>
          </cell>
        </row>
        <row r="276">
          <cell r="Q276" t="str">
            <v>E</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0.5</v>
          </cell>
          <cell r="BO276">
            <v>0.5</v>
          </cell>
          <cell r="BP276">
            <v>0.5</v>
          </cell>
          <cell r="BQ276">
            <v>0.5</v>
          </cell>
          <cell r="BR276">
            <v>0.95</v>
          </cell>
          <cell r="BS276">
            <v>0.95</v>
          </cell>
          <cell r="BT276">
            <v>0.95</v>
          </cell>
          <cell r="BU276">
            <v>0.95</v>
          </cell>
          <cell r="BV276">
            <v>0.95</v>
          </cell>
          <cell r="BW276">
            <v>0.95</v>
          </cell>
          <cell r="BX276">
            <v>0.95</v>
          </cell>
          <cell r="BY276">
            <v>0.95</v>
          </cell>
          <cell r="BZ276">
            <v>0.95</v>
          </cell>
          <cell r="CA276">
            <v>0.95</v>
          </cell>
          <cell r="CB276">
            <v>0.95</v>
          </cell>
          <cell r="CC276">
            <v>0.95</v>
          </cell>
          <cell r="CD276">
            <v>0</v>
          </cell>
          <cell r="CE276">
            <v>0</v>
          </cell>
          <cell r="CF276">
            <v>0</v>
          </cell>
          <cell r="CG276">
            <v>0</v>
          </cell>
          <cell r="CH276">
            <v>0</v>
          </cell>
          <cell r="CI276">
            <v>0</v>
          </cell>
          <cell r="CJ276">
            <v>0</v>
          </cell>
          <cell r="CK276">
            <v>0</v>
          </cell>
        </row>
        <row r="277">
          <cell r="D277" t="str">
            <v>01</v>
          </cell>
          <cell r="E277" t="str">
            <v>46</v>
          </cell>
          <cell r="F277" t="str">
            <v>I53</v>
          </cell>
          <cell r="H277" t="str">
            <v>002</v>
          </cell>
          <cell r="I277" t="str">
            <v>RUTAS  NEUMATICAS</v>
          </cell>
          <cell r="J277">
            <v>39465</v>
          </cell>
          <cell r="K277">
            <v>39479</v>
          </cell>
          <cell r="L277">
            <v>39534</v>
          </cell>
          <cell r="M277">
            <v>39549</v>
          </cell>
          <cell r="N277">
            <v>39568</v>
          </cell>
          <cell r="O277">
            <v>39568</v>
          </cell>
          <cell r="P277">
            <v>38.840882509303555</v>
          </cell>
          <cell r="Q277" t="str">
            <v>P</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0.5</v>
          </cell>
          <cell r="BV277">
            <v>0.5</v>
          </cell>
          <cell r="BW277">
            <v>0.5</v>
          </cell>
          <cell r="BX277">
            <v>0.5</v>
          </cell>
          <cell r="BY277">
            <v>0.5</v>
          </cell>
          <cell r="BZ277">
            <v>0.5</v>
          </cell>
          <cell r="CA277">
            <v>0.5</v>
          </cell>
          <cell r="CB277">
            <v>0.7</v>
          </cell>
          <cell r="CC277">
            <v>0.7</v>
          </cell>
          <cell r="CD277">
            <v>0.7</v>
          </cell>
          <cell r="CE277">
            <v>0.7</v>
          </cell>
          <cell r="CF277">
            <v>0.7</v>
          </cell>
          <cell r="CG277">
            <v>1</v>
          </cell>
          <cell r="CH277">
            <v>1</v>
          </cell>
          <cell r="CI277">
            <v>1</v>
          </cell>
          <cell r="CJ277">
            <v>1</v>
          </cell>
          <cell r="CK277">
            <v>1</v>
          </cell>
        </row>
        <row r="278">
          <cell r="J278">
            <v>39465</v>
          </cell>
          <cell r="K278">
            <v>39479</v>
          </cell>
          <cell r="L278">
            <v>39534</v>
          </cell>
          <cell r="M278">
            <v>39549</v>
          </cell>
          <cell r="N278">
            <v>39568</v>
          </cell>
          <cell r="O278">
            <v>39642</v>
          </cell>
          <cell r="Q278" t="str">
            <v>R</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0.5</v>
          </cell>
          <cell r="BV278">
            <v>0.5</v>
          </cell>
          <cell r="BW278">
            <v>0.5</v>
          </cell>
          <cell r="BX278">
            <v>0.5</v>
          </cell>
          <cell r="BY278">
            <v>0.5</v>
          </cell>
          <cell r="BZ278">
            <v>0.5</v>
          </cell>
          <cell r="CA278">
            <v>0.5</v>
          </cell>
          <cell r="CB278">
            <v>0.7</v>
          </cell>
          <cell r="CC278">
            <v>0.7</v>
          </cell>
          <cell r="CD278">
            <v>0.7</v>
          </cell>
          <cell r="CE278">
            <v>0.7</v>
          </cell>
          <cell r="CF278">
            <v>0.7</v>
          </cell>
          <cell r="CG278">
            <v>0.95</v>
          </cell>
          <cell r="CH278">
            <v>0.95</v>
          </cell>
          <cell r="CI278">
            <v>0.95</v>
          </cell>
          <cell r="CJ278">
            <v>0.95</v>
          </cell>
          <cell r="CK278">
            <v>0.95</v>
          </cell>
        </row>
        <row r="279">
          <cell r="Q279" t="str">
            <v>E</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S279">
            <v>0</v>
          </cell>
          <cell r="BT279">
            <v>0</v>
          </cell>
          <cell r="BU279">
            <v>0</v>
          </cell>
          <cell r="BV279">
            <v>0</v>
          </cell>
          <cell r="BW279">
            <v>0.5</v>
          </cell>
          <cell r="BX279">
            <v>0.5</v>
          </cell>
          <cell r="BY279">
            <v>0.5</v>
          </cell>
          <cell r="BZ279">
            <v>0.5</v>
          </cell>
          <cell r="CA279">
            <v>0.5</v>
          </cell>
          <cell r="CB279">
            <v>0.5</v>
          </cell>
          <cell r="CC279">
            <v>0.5</v>
          </cell>
          <cell r="CD279">
            <v>0</v>
          </cell>
          <cell r="CE279">
            <v>0</v>
          </cell>
          <cell r="CF279">
            <v>0</v>
          </cell>
          <cell r="CG279">
            <v>0</v>
          </cell>
          <cell r="CH279">
            <v>0</v>
          </cell>
          <cell r="CI279">
            <v>0</v>
          </cell>
          <cell r="CJ279">
            <v>0</v>
          </cell>
          <cell r="CK279">
            <v>0</v>
          </cell>
        </row>
        <row r="280">
          <cell r="D280" t="str">
            <v>01</v>
          </cell>
          <cell r="E280" t="str">
            <v>46</v>
          </cell>
          <cell r="F280" t="str">
            <v>I03</v>
          </cell>
          <cell r="H280" t="str">
            <v>010</v>
          </cell>
          <cell r="I280" t="str">
            <v>TIPICOS DE MONTAJE DE INSTRUMENTOS - DETALLES DE CONEXION MECANICA</v>
          </cell>
          <cell r="J280">
            <v>39321</v>
          </cell>
          <cell r="K280">
            <v>39337</v>
          </cell>
          <cell r="L280">
            <v>39344</v>
          </cell>
          <cell r="M280">
            <v>39507</v>
          </cell>
          <cell r="N280">
            <v>39521</v>
          </cell>
          <cell r="O280">
            <v>39568</v>
          </cell>
          <cell r="P280">
            <v>38.840882509303555</v>
          </cell>
          <cell r="Q280" t="str">
            <v>P</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0.5</v>
          </cell>
          <cell r="BA280">
            <v>0.7</v>
          </cell>
          <cell r="BB280">
            <v>0.7</v>
          </cell>
          <cell r="BC280">
            <v>0.7</v>
          </cell>
          <cell r="BD280">
            <v>0.7</v>
          </cell>
          <cell r="BE280">
            <v>0.7</v>
          </cell>
          <cell r="BF280">
            <v>0.7</v>
          </cell>
          <cell r="BG280">
            <v>0.7</v>
          </cell>
          <cell r="BH280">
            <v>0.7</v>
          </cell>
          <cell r="BI280">
            <v>0.7</v>
          </cell>
          <cell r="BJ280">
            <v>0.7</v>
          </cell>
          <cell r="BK280">
            <v>0.7</v>
          </cell>
          <cell r="BL280">
            <v>0.7</v>
          </cell>
          <cell r="BM280">
            <v>0.7</v>
          </cell>
          <cell r="BN280">
            <v>0.7</v>
          </cell>
          <cell r="BO280">
            <v>0.7</v>
          </cell>
          <cell r="BP280">
            <v>0.7</v>
          </cell>
          <cell r="BQ280">
            <v>0.7</v>
          </cell>
          <cell r="BR280">
            <v>0.7</v>
          </cell>
          <cell r="BS280">
            <v>0.7</v>
          </cell>
          <cell r="BT280">
            <v>0.7</v>
          </cell>
          <cell r="BU280">
            <v>0.7</v>
          </cell>
          <cell r="BV280">
            <v>0.7</v>
          </cell>
          <cell r="BW280">
            <v>0.7</v>
          </cell>
          <cell r="BX280">
            <v>0.7</v>
          </cell>
          <cell r="BY280">
            <v>0.7</v>
          </cell>
          <cell r="BZ280">
            <v>0.7</v>
          </cell>
          <cell r="CA280">
            <v>0.95</v>
          </cell>
          <cell r="CB280">
            <v>0.95</v>
          </cell>
          <cell r="CC280">
            <v>0.95</v>
          </cell>
          <cell r="CD280">
            <v>0.95</v>
          </cell>
          <cell r="CE280">
            <v>0.95</v>
          </cell>
          <cell r="CF280">
            <v>0.95</v>
          </cell>
          <cell r="CG280">
            <v>1</v>
          </cell>
          <cell r="CH280">
            <v>1</v>
          </cell>
          <cell r="CI280">
            <v>1</v>
          </cell>
          <cell r="CJ280">
            <v>1</v>
          </cell>
          <cell r="CK280">
            <v>1</v>
          </cell>
        </row>
        <row r="281">
          <cell r="J281">
            <v>39321</v>
          </cell>
          <cell r="K281">
            <v>39337</v>
          </cell>
          <cell r="L281">
            <v>39344</v>
          </cell>
          <cell r="M281">
            <v>39507</v>
          </cell>
          <cell r="N281">
            <v>39521</v>
          </cell>
          <cell r="O281">
            <v>39642</v>
          </cell>
          <cell r="Q281" t="str">
            <v>R</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0.5</v>
          </cell>
          <cell r="BA281">
            <v>0.7</v>
          </cell>
          <cell r="BB281">
            <v>0.7</v>
          </cell>
          <cell r="BC281">
            <v>0.7</v>
          </cell>
          <cell r="BD281">
            <v>0.7</v>
          </cell>
          <cell r="BE281">
            <v>0.7</v>
          </cell>
          <cell r="BF281">
            <v>0.7</v>
          </cell>
          <cell r="BG281">
            <v>0.7</v>
          </cell>
          <cell r="BH281">
            <v>0.7</v>
          </cell>
          <cell r="BI281">
            <v>0.7</v>
          </cell>
          <cell r="BJ281">
            <v>0.7</v>
          </cell>
          <cell r="BK281">
            <v>0.7</v>
          </cell>
          <cell r="BL281">
            <v>0.7</v>
          </cell>
          <cell r="BM281">
            <v>0.7</v>
          </cell>
          <cell r="BN281">
            <v>0.7</v>
          </cell>
          <cell r="BO281">
            <v>0.7</v>
          </cell>
          <cell r="BP281">
            <v>0.7</v>
          </cell>
          <cell r="BQ281">
            <v>0.7</v>
          </cell>
          <cell r="BR281">
            <v>0.7</v>
          </cell>
          <cell r="BS281">
            <v>0.7</v>
          </cell>
          <cell r="BT281">
            <v>0.7</v>
          </cell>
          <cell r="BU281">
            <v>0.7</v>
          </cell>
          <cell r="BV281">
            <v>0.7</v>
          </cell>
          <cell r="BW281">
            <v>0.7</v>
          </cell>
          <cell r="BX281">
            <v>0.7</v>
          </cell>
          <cell r="BY281">
            <v>0.7</v>
          </cell>
          <cell r="BZ281">
            <v>0.7</v>
          </cell>
          <cell r="CA281">
            <v>0.95</v>
          </cell>
          <cell r="CB281">
            <v>0.95</v>
          </cell>
          <cell r="CC281">
            <v>0.95</v>
          </cell>
          <cell r="CD281">
            <v>0.95</v>
          </cell>
          <cell r="CE281">
            <v>0.95</v>
          </cell>
          <cell r="CF281">
            <v>0.95</v>
          </cell>
          <cell r="CG281">
            <v>0.95</v>
          </cell>
          <cell r="CH281">
            <v>0.95</v>
          </cell>
          <cell r="CI281">
            <v>0.95</v>
          </cell>
          <cell r="CJ281">
            <v>0.95</v>
          </cell>
          <cell r="CK281">
            <v>0.95</v>
          </cell>
        </row>
        <row r="282">
          <cell r="Q282" t="str">
            <v>E</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0.5</v>
          </cell>
          <cell r="AZ282">
            <v>0.7</v>
          </cell>
          <cell r="BA282">
            <v>0.7</v>
          </cell>
          <cell r="BB282">
            <v>0.7</v>
          </cell>
          <cell r="BC282">
            <v>0</v>
          </cell>
          <cell r="BD282">
            <v>0</v>
          </cell>
          <cell r="BE282">
            <v>0</v>
          </cell>
          <cell r="BF282">
            <v>0</v>
          </cell>
          <cell r="BG282">
            <v>0</v>
          </cell>
          <cell r="BH282">
            <v>0</v>
          </cell>
          <cell r="BI282">
            <v>0</v>
          </cell>
          <cell r="BJ282">
            <v>0.7</v>
          </cell>
          <cell r="BK282">
            <v>0.7</v>
          </cell>
          <cell r="BL282">
            <v>0.7</v>
          </cell>
          <cell r="BM282">
            <v>0.7</v>
          </cell>
          <cell r="BN282">
            <v>0.7</v>
          </cell>
          <cell r="BO282">
            <v>0.7</v>
          </cell>
          <cell r="BP282">
            <v>0.7</v>
          </cell>
          <cell r="BQ282">
            <v>0.7</v>
          </cell>
          <cell r="BR282">
            <v>0.7</v>
          </cell>
          <cell r="BS282">
            <v>0.7</v>
          </cell>
          <cell r="BT282">
            <v>0.7</v>
          </cell>
          <cell r="BU282">
            <v>0.7</v>
          </cell>
          <cell r="BV282">
            <v>0.7</v>
          </cell>
          <cell r="BW282">
            <v>0.7</v>
          </cell>
          <cell r="BX282">
            <v>0.95</v>
          </cell>
          <cell r="BY282">
            <v>0.95</v>
          </cell>
          <cell r="BZ282">
            <v>0.95</v>
          </cell>
          <cell r="CA282">
            <v>0.95</v>
          </cell>
          <cell r="CB282">
            <v>0.95</v>
          </cell>
          <cell r="CC282">
            <v>0.95</v>
          </cell>
          <cell r="CD282">
            <v>0</v>
          </cell>
          <cell r="CE282">
            <v>0</v>
          </cell>
          <cell r="CF282">
            <v>0</v>
          </cell>
          <cell r="CG282">
            <v>0</v>
          </cell>
          <cell r="CH282">
            <v>0</v>
          </cell>
          <cell r="CI282">
            <v>0</v>
          </cell>
          <cell r="CJ282">
            <v>0</v>
          </cell>
          <cell r="CK282">
            <v>0</v>
          </cell>
        </row>
        <row r="283">
          <cell r="D283" t="str">
            <v>01</v>
          </cell>
          <cell r="E283" t="str">
            <v>46</v>
          </cell>
          <cell r="F283" t="str">
            <v>I53</v>
          </cell>
          <cell r="H283" t="str">
            <v>003</v>
          </cell>
          <cell r="I283" t="str">
            <v>UBICACION DE INSTRUMENTOS ELECTRICOS &amp; ELECTRONEUMATICOS</v>
          </cell>
          <cell r="J283">
            <v>39251</v>
          </cell>
          <cell r="K283">
            <v>39345</v>
          </cell>
          <cell r="L283">
            <v>39359</v>
          </cell>
          <cell r="M283">
            <v>39360</v>
          </cell>
          <cell r="N283">
            <v>39374</v>
          </cell>
          <cell r="O283">
            <v>39476</v>
          </cell>
          <cell r="P283">
            <v>39.992942583732059</v>
          </cell>
          <cell r="Q283" t="str">
            <v>P</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0.5</v>
          </cell>
          <cell r="BB283">
            <v>0.5</v>
          </cell>
          <cell r="BC283">
            <v>0.7</v>
          </cell>
          <cell r="BD283">
            <v>0.7</v>
          </cell>
          <cell r="BE283">
            <v>0.7</v>
          </cell>
          <cell r="BF283">
            <v>0.95</v>
          </cell>
          <cell r="BG283">
            <v>0.95</v>
          </cell>
          <cell r="BH283">
            <v>0.95</v>
          </cell>
          <cell r="BI283">
            <v>0.95</v>
          </cell>
          <cell r="BJ283">
            <v>0.95</v>
          </cell>
          <cell r="BK283">
            <v>0.95</v>
          </cell>
          <cell r="BL283">
            <v>0.95</v>
          </cell>
          <cell r="BM283">
            <v>0.95</v>
          </cell>
          <cell r="BN283">
            <v>0.95</v>
          </cell>
          <cell r="BO283">
            <v>0.95</v>
          </cell>
          <cell r="BP283">
            <v>0.95</v>
          </cell>
          <cell r="BQ283">
            <v>0.95</v>
          </cell>
          <cell r="BR283">
            <v>0.95</v>
          </cell>
          <cell r="BS283">
            <v>0.95</v>
          </cell>
          <cell r="BT283">
            <v>1</v>
          </cell>
          <cell r="BU283">
            <v>1</v>
          </cell>
          <cell r="BV283">
            <v>1</v>
          </cell>
          <cell r="BW283">
            <v>1</v>
          </cell>
          <cell r="BX283">
            <v>1</v>
          </cell>
          <cell r="BY283">
            <v>1</v>
          </cell>
          <cell r="BZ283">
            <v>1</v>
          </cell>
          <cell r="CA283">
            <v>1</v>
          </cell>
          <cell r="CB283">
            <v>1</v>
          </cell>
          <cell r="CC283">
            <v>1</v>
          </cell>
          <cell r="CD283">
            <v>1</v>
          </cell>
          <cell r="CE283">
            <v>1</v>
          </cell>
          <cell r="CF283">
            <v>1</v>
          </cell>
          <cell r="CG283">
            <v>1</v>
          </cell>
          <cell r="CH283">
            <v>1</v>
          </cell>
          <cell r="CI283">
            <v>1</v>
          </cell>
          <cell r="CJ283">
            <v>1</v>
          </cell>
          <cell r="CK283">
            <v>1</v>
          </cell>
        </row>
        <row r="284">
          <cell r="J284">
            <v>39375</v>
          </cell>
          <cell r="K284">
            <v>39353</v>
          </cell>
          <cell r="L284">
            <v>39435</v>
          </cell>
          <cell r="M284">
            <v>39542</v>
          </cell>
          <cell r="N284">
            <v>39556</v>
          </cell>
          <cell r="O284">
            <v>39642</v>
          </cell>
          <cell r="Q284" t="str">
            <v>R</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0.5</v>
          </cell>
          <cell r="BD284">
            <v>0.5</v>
          </cell>
          <cell r="BE284">
            <v>0.5</v>
          </cell>
          <cell r="BF284">
            <v>0.5</v>
          </cell>
          <cell r="BG284">
            <v>0.5</v>
          </cell>
          <cell r="BH284">
            <v>0.5</v>
          </cell>
          <cell r="BI284">
            <v>0.5</v>
          </cell>
          <cell r="BJ284">
            <v>0.5</v>
          </cell>
          <cell r="BK284">
            <v>0.5</v>
          </cell>
          <cell r="BL284">
            <v>0.5</v>
          </cell>
          <cell r="BM284">
            <v>0.5</v>
          </cell>
          <cell r="BN284">
            <v>0.7</v>
          </cell>
          <cell r="BO284">
            <v>0.7</v>
          </cell>
          <cell r="BP284">
            <v>0.7</v>
          </cell>
          <cell r="BQ284">
            <v>0.7</v>
          </cell>
          <cell r="BR284">
            <v>0.95</v>
          </cell>
          <cell r="BS284">
            <v>0.7</v>
          </cell>
          <cell r="BT284">
            <v>0.7</v>
          </cell>
          <cell r="BU284">
            <v>0.7</v>
          </cell>
          <cell r="BV284">
            <v>0.7</v>
          </cell>
          <cell r="BW284">
            <v>0.7</v>
          </cell>
          <cell r="BX284">
            <v>0.7</v>
          </cell>
          <cell r="BY284">
            <v>0.7</v>
          </cell>
          <cell r="BZ284">
            <v>0.7</v>
          </cell>
          <cell r="CA284">
            <v>0.7</v>
          </cell>
          <cell r="CB284">
            <v>0.7</v>
          </cell>
          <cell r="CC284">
            <v>0.7</v>
          </cell>
          <cell r="CD284">
            <v>0.7</v>
          </cell>
          <cell r="CE284">
            <v>0.7</v>
          </cell>
          <cell r="CF284">
            <v>0.95</v>
          </cell>
          <cell r="CG284">
            <v>0.95</v>
          </cell>
          <cell r="CH284">
            <v>0.95</v>
          </cell>
          <cell r="CI284">
            <v>0.95</v>
          </cell>
          <cell r="CJ284">
            <v>0.95</v>
          </cell>
          <cell r="CK284">
            <v>0.95</v>
          </cell>
        </row>
        <row r="285">
          <cell r="Q285" t="str">
            <v>E</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0.5</v>
          </cell>
          <cell r="BK285">
            <v>0.5</v>
          </cell>
          <cell r="BL285">
            <v>0.5</v>
          </cell>
          <cell r="BM285">
            <v>0.5</v>
          </cell>
          <cell r="BN285">
            <v>0.5</v>
          </cell>
          <cell r="BO285">
            <v>0.5</v>
          </cell>
          <cell r="BP285">
            <v>0.5</v>
          </cell>
          <cell r="BQ285">
            <v>0.5</v>
          </cell>
          <cell r="BR285">
            <v>0.7</v>
          </cell>
          <cell r="BS285">
            <v>0.7</v>
          </cell>
          <cell r="BT285">
            <v>0.7</v>
          </cell>
          <cell r="BU285">
            <v>0.7</v>
          </cell>
          <cell r="BV285">
            <v>0.7</v>
          </cell>
          <cell r="BW285">
            <v>0.7</v>
          </cell>
          <cell r="BX285">
            <v>0.7</v>
          </cell>
          <cell r="BY285">
            <v>0.7</v>
          </cell>
          <cell r="BZ285">
            <v>0.7</v>
          </cell>
          <cell r="CA285">
            <v>0.7</v>
          </cell>
          <cell r="CB285">
            <v>0.7</v>
          </cell>
          <cell r="CC285">
            <v>0.7</v>
          </cell>
          <cell r="CD285">
            <v>0</v>
          </cell>
          <cell r="CE285">
            <v>0</v>
          </cell>
          <cell r="CF285">
            <v>0</v>
          </cell>
          <cell r="CG285">
            <v>0</v>
          </cell>
          <cell r="CH285">
            <v>0</v>
          </cell>
          <cell r="CI285">
            <v>0</v>
          </cell>
          <cell r="CJ285">
            <v>0</v>
          </cell>
          <cell r="CK285">
            <v>0</v>
          </cell>
        </row>
        <row r="286">
          <cell r="D286" t="str">
            <v>01</v>
          </cell>
          <cell r="E286" t="str">
            <v>46</v>
          </cell>
          <cell r="F286" t="str">
            <v>I01</v>
          </cell>
          <cell r="G286" t="str">
            <v>ESP</v>
          </cell>
          <cell r="H286" t="str">
            <v>004</v>
          </cell>
          <cell r="I286" t="str">
            <v>ESPECIFICACION SISTEMA F &amp; G</v>
          </cell>
          <cell r="J286">
            <v>39269</v>
          </cell>
          <cell r="K286">
            <v>39289</v>
          </cell>
          <cell r="L286">
            <v>39303</v>
          </cell>
          <cell r="M286">
            <v>39304</v>
          </cell>
          <cell r="N286">
            <v>39318</v>
          </cell>
          <cell r="O286">
            <v>39476</v>
          </cell>
          <cell r="P286">
            <v>62.062762711763376</v>
          </cell>
          <cell r="Q286" t="str">
            <v>P</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0.5</v>
          </cell>
          <cell r="AT286">
            <v>0.5</v>
          </cell>
          <cell r="AU286">
            <v>0.7</v>
          </cell>
          <cell r="AV286">
            <v>0.7</v>
          </cell>
          <cell r="AW286">
            <v>0.7</v>
          </cell>
          <cell r="AX286">
            <v>0.95</v>
          </cell>
          <cell r="AY286">
            <v>0.95</v>
          </cell>
          <cell r="AZ286">
            <v>0.95</v>
          </cell>
          <cell r="BA286">
            <v>0.95</v>
          </cell>
          <cell r="BB286">
            <v>0.95</v>
          </cell>
          <cell r="BC286">
            <v>0.95</v>
          </cell>
          <cell r="BD286">
            <v>0.95</v>
          </cell>
          <cell r="BE286">
            <v>0.95</v>
          </cell>
          <cell r="BF286">
            <v>0.95</v>
          </cell>
          <cell r="BG286">
            <v>0.95</v>
          </cell>
          <cell r="BH286">
            <v>0.95</v>
          </cell>
          <cell r="BI286">
            <v>0.95</v>
          </cell>
          <cell r="BJ286">
            <v>0.95</v>
          </cell>
          <cell r="BK286">
            <v>0.95</v>
          </cell>
          <cell r="BL286">
            <v>0.95</v>
          </cell>
          <cell r="BM286">
            <v>0.95</v>
          </cell>
          <cell r="BN286">
            <v>0.95</v>
          </cell>
          <cell r="BO286">
            <v>0.95</v>
          </cell>
          <cell r="BP286">
            <v>0.95</v>
          </cell>
          <cell r="BQ286">
            <v>0.95</v>
          </cell>
          <cell r="BR286">
            <v>0.95</v>
          </cell>
          <cell r="BS286">
            <v>0.95</v>
          </cell>
          <cell r="BT286">
            <v>1</v>
          </cell>
          <cell r="BU286">
            <v>1</v>
          </cell>
          <cell r="BV286">
            <v>1</v>
          </cell>
          <cell r="BW286">
            <v>1</v>
          </cell>
          <cell r="BX286">
            <v>1</v>
          </cell>
          <cell r="BY286">
            <v>1</v>
          </cell>
          <cell r="BZ286">
            <v>1</v>
          </cell>
          <cell r="CA286">
            <v>1</v>
          </cell>
          <cell r="CB286">
            <v>1</v>
          </cell>
          <cell r="CC286">
            <v>1</v>
          </cell>
          <cell r="CD286">
            <v>1</v>
          </cell>
          <cell r="CE286">
            <v>1</v>
          </cell>
          <cell r="CF286">
            <v>1</v>
          </cell>
          <cell r="CG286">
            <v>1</v>
          </cell>
          <cell r="CH286">
            <v>1</v>
          </cell>
          <cell r="CI286">
            <v>1</v>
          </cell>
          <cell r="CJ286">
            <v>1</v>
          </cell>
          <cell r="CK286">
            <v>1</v>
          </cell>
        </row>
        <row r="287">
          <cell r="J287">
            <v>39480</v>
          </cell>
          <cell r="K287">
            <v>39492</v>
          </cell>
          <cell r="L287">
            <v>39506</v>
          </cell>
          <cell r="M287">
            <v>39514</v>
          </cell>
          <cell r="N287">
            <v>39528</v>
          </cell>
          <cell r="O287">
            <v>39642</v>
          </cell>
          <cell r="Q287" t="str">
            <v>R</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0.5</v>
          </cell>
          <cell r="BW287">
            <v>0.5</v>
          </cell>
          <cell r="BX287">
            <v>0.7</v>
          </cell>
          <cell r="BY287">
            <v>0.7</v>
          </cell>
          <cell r="BZ287">
            <v>0.7</v>
          </cell>
          <cell r="CA287">
            <v>0.7</v>
          </cell>
          <cell r="CB287">
            <v>0.95</v>
          </cell>
          <cell r="CC287">
            <v>0.95</v>
          </cell>
          <cell r="CD287">
            <v>0.95</v>
          </cell>
          <cell r="CE287">
            <v>0.95</v>
          </cell>
          <cell r="CF287">
            <v>0.95</v>
          </cell>
          <cell r="CG287">
            <v>0.95</v>
          </cell>
          <cell r="CH287">
            <v>0.95</v>
          </cell>
          <cell r="CI287">
            <v>0.95</v>
          </cell>
          <cell r="CJ287">
            <v>0.95</v>
          </cell>
          <cell r="CK287">
            <v>0.95</v>
          </cell>
        </row>
        <row r="288">
          <cell r="Q288" t="str">
            <v>E</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S288">
            <v>0</v>
          </cell>
          <cell r="BT288">
            <v>0</v>
          </cell>
          <cell r="BU288">
            <v>0</v>
          </cell>
          <cell r="BV288">
            <v>0</v>
          </cell>
          <cell r="BW288">
            <v>0</v>
          </cell>
          <cell r="BX288">
            <v>0.5</v>
          </cell>
          <cell r="BY288">
            <v>0.5</v>
          </cell>
          <cell r="BZ288">
            <v>0.95</v>
          </cell>
          <cell r="CA288">
            <v>0.95</v>
          </cell>
          <cell r="CB288">
            <v>0.95</v>
          </cell>
          <cell r="CC288">
            <v>0.95</v>
          </cell>
          <cell r="CD288">
            <v>0</v>
          </cell>
          <cell r="CE288">
            <v>0</v>
          </cell>
          <cell r="CF288">
            <v>0</v>
          </cell>
          <cell r="CG288">
            <v>0</v>
          </cell>
          <cell r="CH288">
            <v>0</v>
          </cell>
          <cell r="CI288">
            <v>0</v>
          </cell>
          <cell r="CJ288">
            <v>0</v>
          </cell>
          <cell r="CK288">
            <v>0</v>
          </cell>
        </row>
        <row r="289">
          <cell r="D289" t="str">
            <v>01</v>
          </cell>
          <cell r="E289" t="str">
            <v>46</v>
          </cell>
          <cell r="F289" t="str">
            <v>I01</v>
          </cell>
          <cell r="G289" t="str">
            <v>ESP</v>
          </cell>
          <cell r="H289" t="str">
            <v>006</v>
          </cell>
          <cell r="I289" t="str">
            <v>VIBRATION MONITORING SYSTEM AND INSTRUMENTATION</v>
          </cell>
          <cell r="J289">
            <v>39269</v>
          </cell>
          <cell r="K289">
            <v>39289</v>
          </cell>
          <cell r="L289">
            <v>39303</v>
          </cell>
          <cell r="M289">
            <v>39304</v>
          </cell>
          <cell r="N289">
            <v>39318</v>
          </cell>
          <cell r="O289">
            <v>39476</v>
          </cell>
          <cell r="P289">
            <v>62.062762711763376</v>
          </cell>
          <cell r="Q289" t="str">
            <v>P</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0.5</v>
          </cell>
          <cell r="AT289">
            <v>0.5</v>
          </cell>
          <cell r="AU289">
            <v>0.7</v>
          </cell>
          <cell r="AV289">
            <v>0.7</v>
          </cell>
          <cell r="AW289">
            <v>0.7</v>
          </cell>
          <cell r="AX289">
            <v>0.95</v>
          </cell>
          <cell r="AY289">
            <v>0.95</v>
          </cell>
          <cell r="AZ289">
            <v>0.95</v>
          </cell>
          <cell r="BA289">
            <v>0.95</v>
          </cell>
          <cell r="BB289">
            <v>0.95</v>
          </cell>
          <cell r="BC289">
            <v>0.95</v>
          </cell>
          <cell r="BD289">
            <v>0.95</v>
          </cell>
          <cell r="BE289">
            <v>0.95</v>
          </cell>
          <cell r="BF289">
            <v>0.95</v>
          </cell>
          <cell r="BG289">
            <v>0.95</v>
          </cell>
          <cell r="BH289">
            <v>0.95</v>
          </cell>
          <cell r="BI289">
            <v>0.95</v>
          </cell>
          <cell r="BJ289">
            <v>0.95</v>
          </cell>
          <cell r="BK289">
            <v>0.95</v>
          </cell>
          <cell r="BL289">
            <v>0.95</v>
          </cell>
          <cell r="BM289">
            <v>0.95</v>
          </cell>
          <cell r="BN289">
            <v>0.95</v>
          </cell>
          <cell r="BO289">
            <v>0.95</v>
          </cell>
          <cell r="BP289">
            <v>0.95</v>
          </cell>
          <cell r="BQ289">
            <v>0.95</v>
          </cell>
          <cell r="BR289">
            <v>0.95</v>
          </cell>
          <cell r="BS289">
            <v>0.95</v>
          </cell>
          <cell r="BT289">
            <v>1</v>
          </cell>
          <cell r="BU289">
            <v>1</v>
          </cell>
          <cell r="BV289">
            <v>1</v>
          </cell>
          <cell r="BW289">
            <v>1</v>
          </cell>
          <cell r="BX289">
            <v>1</v>
          </cell>
          <cell r="BY289">
            <v>1</v>
          </cell>
          <cell r="BZ289">
            <v>1</v>
          </cell>
          <cell r="CA289">
            <v>1</v>
          </cell>
          <cell r="CB289">
            <v>1</v>
          </cell>
          <cell r="CC289">
            <v>1</v>
          </cell>
          <cell r="CD289">
            <v>1</v>
          </cell>
          <cell r="CE289">
            <v>1</v>
          </cell>
          <cell r="CF289">
            <v>1</v>
          </cell>
          <cell r="CG289">
            <v>1</v>
          </cell>
          <cell r="CH289">
            <v>1</v>
          </cell>
          <cell r="CI289">
            <v>1</v>
          </cell>
          <cell r="CJ289">
            <v>1</v>
          </cell>
          <cell r="CK289">
            <v>1</v>
          </cell>
        </row>
        <row r="290">
          <cell r="J290">
            <v>39269</v>
          </cell>
          <cell r="K290">
            <v>39205</v>
          </cell>
          <cell r="L290">
            <v>39646</v>
          </cell>
          <cell r="M290">
            <v>39465</v>
          </cell>
          <cell r="N290">
            <v>39487</v>
          </cell>
          <cell r="O290">
            <v>39642</v>
          </cell>
          <cell r="Q290" t="str">
            <v>R</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0.5</v>
          </cell>
          <cell r="AH290">
            <v>0.5</v>
          </cell>
          <cell r="AI290">
            <v>0.5</v>
          </cell>
          <cell r="AJ290">
            <v>0.5</v>
          </cell>
          <cell r="AK290">
            <v>0.5</v>
          </cell>
          <cell r="AL290">
            <v>0.5</v>
          </cell>
          <cell r="AM290">
            <v>0.5</v>
          </cell>
          <cell r="AN290">
            <v>0.5</v>
          </cell>
          <cell r="AO290">
            <v>0.5</v>
          </cell>
          <cell r="AP290">
            <v>0.5</v>
          </cell>
          <cell r="AQ290">
            <v>0.5</v>
          </cell>
          <cell r="AR290">
            <v>0.5</v>
          </cell>
          <cell r="AS290">
            <v>0.5</v>
          </cell>
          <cell r="AT290">
            <v>0.5</v>
          </cell>
          <cell r="AU290">
            <v>0.5</v>
          </cell>
          <cell r="AV290">
            <v>0.5</v>
          </cell>
          <cell r="AW290">
            <v>0.5</v>
          </cell>
          <cell r="AX290">
            <v>0.5</v>
          </cell>
          <cell r="AY290">
            <v>0.5</v>
          </cell>
          <cell r="AZ290">
            <v>0.5</v>
          </cell>
          <cell r="BA290">
            <v>0.5</v>
          </cell>
          <cell r="BB290">
            <v>0.5</v>
          </cell>
          <cell r="BC290">
            <v>0.5</v>
          </cell>
          <cell r="BD290">
            <v>0.5</v>
          </cell>
          <cell r="BE290">
            <v>0.5</v>
          </cell>
          <cell r="BF290">
            <v>0.5</v>
          </cell>
          <cell r="BG290">
            <v>0.5</v>
          </cell>
          <cell r="BH290">
            <v>0.5</v>
          </cell>
          <cell r="BI290">
            <v>0.5</v>
          </cell>
          <cell r="BJ290">
            <v>0.5</v>
          </cell>
          <cell r="BK290">
            <v>0.5</v>
          </cell>
          <cell r="BL290">
            <v>0.5</v>
          </cell>
          <cell r="BM290">
            <v>0.5</v>
          </cell>
          <cell r="BN290">
            <v>0.5</v>
          </cell>
          <cell r="BO290">
            <v>0.5</v>
          </cell>
          <cell r="BP290">
            <v>0.5</v>
          </cell>
          <cell r="BQ290">
            <v>0.5</v>
          </cell>
          <cell r="BR290">
            <v>0.5</v>
          </cell>
          <cell r="BS290">
            <v>0.5</v>
          </cell>
          <cell r="BT290">
            <v>0.5</v>
          </cell>
          <cell r="BU290">
            <v>0.5</v>
          </cell>
          <cell r="BV290">
            <v>0.95</v>
          </cell>
          <cell r="BW290">
            <v>0.95</v>
          </cell>
          <cell r="BX290">
            <v>0.95</v>
          </cell>
          <cell r="BY290">
            <v>0.95</v>
          </cell>
          <cell r="BZ290">
            <v>0.95</v>
          </cell>
          <cell r="CA290">
            <v>0.95</v>
          </cell>
          <cell r="CB290">
            <v>0.95</v>
          </cell>
          <cell r="CC290">
            <v>0.95</v>
          </cell>
          <cell r="CD290">
            <v>0.95</v>
          </cell>
          <cell r="CE290">
            <v>0.95</v>
          </cell>
          <cell r="CF290">
            <v>0.95</v>
          </cell>
          <cell r="CG290">
            <v>0.95</v>
          </cell>
          <cell r="CH290">
            <v>0.95</v>
          </cell>
          <cell r="CI290">
            <v>0.95</v>
          </cell>
          <cell r="CJ290">
            <v>0.95</v>
          </cell>
          <cell r="CK290">
            <v>0.95</v>
          </cell>
        </row>
        <row r="291">
          <cell r="Q291" t="str">
            <v>E</v>
          </cell>
          <cell r="AF291">
            <v>0.45</v>
          </cell>
          <cell r="AG291">
            <v>0.45</v>
          </cell>
          <cell r="AH291">
            <v>0.45</v>
          </cell>
          <cell r="AI291">
            <v>0.5</v>
          </cell>
          <cell r="AJ291">
            <v>0.5</v>
          </cell>
          <cell r="AK291">
            <v>0.5</v>
          </cell>
          <cell r="AL291">
            <v>0.5</v>
          </cell>
          <cell r="AM291">
            <v>0.5</v>
          </cell>
          <cell r="AN291">
            <v>0.5</v>
          </cell>
          <cell r="AO291">
            <v>0.5</v>
          </cell>
          <cell r="AP291">
            <v>0.5</v>
          </cell>
          <cell r="AQ291">
            <v>0.5</v>
          </cell>
          <cell r="AR291">
            <v>0.7</v>
          </cell>
          <cell r="AS291">
            <v>0.7</v>
          </cell>
          <cell r="AT291">
            <v>0.7</v>
          </cell>
          <cell r="AU291">
            <v>0.7</v>
          </cell>
          <cell r="AV291">
            <v>0.7</v>
          </cell>
          <cell r="AW291">
            <v>0.7</v>
          </cell>
          <cell r="AX291">
            <v>0.7</v>
          </cell>
          <cell r="AY291">
            <v>0.7</v>
          </cell>
          <cell r="AZ291">
            <v>0.7</v>
          </cell>
          <cell r="BA291">
            <v>0.7</v>
          </cell>
          <cell r="BB291">
            <v>0.7</v>
          </cell>
          <cell r="BC291">
            <v>0.7</v>
          </cell>
          <cell r="BD291">
            <v>0.7</v>
          </cell>
          <cell r="BE291">
            <v>0.7</v>
          </cell>
          <cell r="BF291">
            <v>0.7</v>
          </cell>
          <cell r="BG291">
            <v>0.7</v>
          </cell>
          <cell r="BH291">
            <v>0.7</v>
          </cell>
          <cell r="BI291">
            <v>0.7</v>
          </cell>
          <cell r="BJ291">
            <v>0.7</v>
          </cell>
          <cell r="BK291">
            <v>0.7</v>
          </cell>
          <cell r="BL291">
            <v>0.7</v>
          </cell>
          <cell r="BM291">
            <v>0.7</v>
          </cell>
          <cell r="BN291">
            <v>0.7</v>
          </cell>
          <cell r="BO291">
            <v>0.7</v>
          </cell>
          <cell r="BP291">
            <v>0.7</v>
          </cell>
          <cell r="BQ291">
            <v>0.7</v>
          </cell>
          <cell r="BR291">
            <v>0.7</v>
          </cell>
          <cell r="BS291">
            <v>0.7</v>
          </cell>
          <cell r="BT291">
            <v>0.7</v>
          </cell>
          <cell r="BU291">
            <v>0.7</v>
          </cell>
          <cell r="BV291">
            <v>0.7</v>
          </cell>
          <cell r="BW291">
            <v>0.7</v>
          </cell>
          <cell r="BX291">
            <v>0.95</v>
          </cell>
          <cell r="BY291">
            <v>0.95</v>
          </cell>
          <cell r="BZ291">
            <v>0.95</v>
          </cell>
          <cell r="CA291">
            <v>0.95</v>
          </cell>
          <cell r="CB291">
            <v>0.95</v>
          </cell>
          <cell r="CC291">
            <v>0.95</v>
          </cell>
          <cell r="CD291">
            <v>0</v>
          </cell>
          <cell r="CE291">
            <v>0</v>
          </cell>
          <cell r="CF291">
            <v>0</v>
          </cell>
          <cell r="CG291">
            <v>0</v>
          </cell>
          <cell r="CH291">
            <v>0</v>
          </cell>
          <cell r="CI291">
            <v>0</v>
          </cell>
          <cell r="CJ291">
            <v>0</v>
          </cell>
          <cell r="CK291">
            <v>0</v>
          </cell>
        </row>
        <row r="292">
          <cell r="D292" t="str">
            <v>01</v>
          </cell>
          <cell r="E292" t="str">
            <v>46</v>
          </cell>
          <cell r="F292" t="str">
            <v>I01</v>
          </cell>
          <cell r="G292" t="str">
            <v>ESP</v>
          </cell>
          <cell r="H292" t="str">
            <v>007</v>
          </cell>
          <cell r="I292" t="str">
            <v>SAFETY INSTRUMENT SYSTEM SPECIFICATION OF ETHYLENE II COMPRESSOR</v>
          </cell>
          <cell r="J292">
            <v>39269</v>
          </cell>
          <cell r="K292">
            <v>39289</v>
          </cell>
          <cell r="L292">
            <v>39303</v>
          </cell>
          <cell r="M292">
            <v>39304</v>
          </cell>
          <cell r="N292">
            <v>39318</v>
          </cell>
          <cell r="O292">
            <v>39476</v>
          </cell>
          <cell r="P292">
            <v>62.062762711763376</v>
          </cell>
          <cell r="Q292" t="str">
            <v>P</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0.5</v>
          </cell>
          <cell r="AT292">
            <v>0.5</v>
          </cell>
          <cell r="AU292">
            <v>0.7</v>
          </cell>
          <cell r="AV292">
            <v>0.7</v>
          </cell>
          <cell r="AW292">
            <v>0.7</v>
          </cell>
          <cell r="AX292">
            <v>0.95</v>
          </cell>
          <cell r="AY292">
            <v>0.95</v>
          </cell>
          <cell r="AZ292">
            <v>0.95</v>
          </cell>
          <cell r="BA292">
            <v>0.95</v>
          </cell>
          <cell r="BB292">
            <v>0.95</v>
          </cell>
          <cell r="BC292">
            <v>0.95</v>
          </cell>
          <cell r="BD292">
            <v>0.95</v>
          </cell>
          <cell r="BE292">
            <v>0.95</v>
          </cell>
          <cell r="BF292">
            <v>0.95</v>
          </cell>
          <cell r="BG292">
            <v>0.95</v>
          </cell>
          <cell r="BH292">
            <v>0.95</v>
          </cell>
          <cell r="BI292">
            <v>0.95</v>
          </cell>
          <cell r="BJ292">
            <v>0.95</v>
          </cell>
          <cell r="BK292">
            <v>0.95</v>
          </cell>
          <cell r="BL292">
            <v>0.95</v>
          </cell>
          <cell r="BM292">
            <v>0.95</v>
          </cell>
          <cell r="BN292">
            <v>0.95</v>
          </cell>
          <cell r="BO292">
            <v>0.95</v>
          </cell>
          <cell r="BP292">
            <v>0.95</v>
          </cell>
          <cell r="BQ292">
            <v>0.95</v>
          </cell>
          <cell r="BR292">
            <v>0.95</v>
          </cell>
          <cell r="BS292">
            <v>0.95</v>
          </cell>
          <cell r="BT292">
            <v>1</v>
          </cell>
          <cell r="BU292">
            <v>1</v>
          </cell>
          <cell r="BV292">
            <v>1</v>
          </cell>
          <cell r="BW292">
            <v>1</v>
          </cell>
          <cell r="BX292">
            <v>1</v>
          </cell>
          <cell r="BY292">
            <v>1</v>
          </cell>
          <cell r="BZ292">
            <v>1</v>
          </cell>
          <cell r="CA292">
            <v>1</v>
          </cell>
          <cell r="CB292">
            <v>1</v>
          </cell>
          <cell r="CC292">
            <v>1</v>
          </cell>
          <cell r="CD292">
            <v>1</v>
          </cell>
          <cell r="CE292">
            <v>1</v>
          </cell>
          <cell r="CF292">
            <v>1</v>
          </cell>
          <cell r="CG292">
            <v>1</v>
          </cell>
          <cell r="CH292">
            <v>1</v>
          </cell>
          <cell r="CI292">
            <v>1</v>
          </cell>
          <cell r="CJ292">
            <v>1</v>
          </cell>
          <cell r="CK292">
            <v>1</v>
          </cell>
        </row>
        <row r="293">
          <cell r="J293">
            <v>39269</v>
          </cell>
          <cell r="K293">
            <v>39289</v>
          </cell>
          <cell r="L293">
            <v>39340</v>
          </cell>
          <cell r="M293">
            <v>39493</v>
          </cell>
          <cell r="N293">
            <v>39521</v>
          </cell>
          <cell r="O293">
            <v>39642</v>
          </cell>
          <cell r="Q293" t="str">
            <v>R</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0.5</v>
          </cell>
          <cell r="AT293">
            <v>0.5</v>
          </cell>
          <cell r="AU293">
            <v>0.5</v>
          </cell>
          <cell r="AV293">
            <v>0.5</v>
          </cell>
          <cell r="AW293">
            <v>0.5</v>
          </cell>
          <cell r="AX293">
            <v>0.5</v>
          </cell>
          <cell r="AY293">
            <v>0.5</v>
          </cell>
          <cell r="AZ293">
            <v>0.5</v>
          </cell>
          <cell r="BA293">
            <v>0.7</v>
          </cell>
          <cell r="BB293">
            <v>0.7</v>
          </cell>
          <cell r="BC293">
            <v>0.7</v>
          </cell>
          <cell r="BD293">
            <v>0.7</v>
          </cell>
          <cell r="BE293">
            <v>0.7</v>
          </cell>
          <cell r="BF293">
            <v>0.7</v>
          </cell>
          <cell r="BG293">
            <v>0.7</v>
          </cell>
          <cell r="BH293">
            <v>0.7</v>
          </cell>
          <cell r="BI293">
            <v>0.7</v>
          </cell>
          <cell r="BJ293">
            <v>0.7</v>
          </cell>
          <cell r="BK293">
            <v>0.7</v>
          </cell>
          <cell r="BL293">
            <v>0.7</v>
          </cell>
          <cell r="BM293">
            <v>0.7</v>
          </cell>
          <cell r="BN293">
            <v>0.7</v>
          </cell>
          <cell r="BO293">
            <v>0.7</v>
          </cell>
          <cell r="BP293">
            <v>0.7</v>
          </cell>
          <cell r="BQ293">
            <v>0.7</v>
          </cell>
          <cell r="BR293">
            <v>0.7</v>
          </cell>
          <cell r="BS293">
            <v>0.7</v>
          </cell>
          <cell r="BT293">
            <v>0.7</v>
          </cell>
          <cell r="BU293">
            <v>0.7</v>
          </cell>
          <cell r="BV293">
            <v>0.7</v>
          </cell>
          <cell r="BW293">
            <v>0.7</v>
          </cell>
          <cell r="BX293">
            <v>0.7</v>
          </cell>
          <cell r="BY293">
            <v>0.7</v>
          </cell>
          <cell r="BZ293">
            <v>0.7</v>
          </cell>
          <cell r="CA293">
            <v>0.95</v>
          </cell>
          <cell r="CB293">
            <v>0.95</v>
          </cell>
          <cell r="CC293">
            <v>0.95</v>
          </cell>
          <cell r="CD293">
            <v>0.95</v>
          </cell>
          <cell r="CE293">
            <v>0.95</v>
          </cell>
          <cell r="CF293">
            <v>0.95</v>
          </cell>
          <cell r="CG293">
            <v>0.95</v>
          </cell>
          <cell r="CH293">
            <v>0.95</v>
          </cell>
          <cell r="CI293">
            <v>0.95</v>
          </cell>
          <cell r="CJ293">
            <v>0.95</v>
          </cell>
          <cell r="CK293">
            <v>0.95</v>
          </cell>
        </row>
        <row r="294">
          <cell r="Q294" t="str">
            <v>E</v>
          </cell>
          <cell r="AJ294">
            <v>0</v>
          </cell>
          <cell r="AK294">
            <v>0</v>
          </cell>
          <cell r="AL294">
            <v>0</v>
          </cell>
          <cell r="AM294">
            <v>0</v>
          </cell>
          <cell r="AN294">
            <v>0</v>
          </cell>
          <cell r="AO294">
            <v>0</v>
          </cell>
          <cell r="AP294">
            <v>0</v>
          </cell>
          <cell r="AQ294">
            <v>0.5</v>
          </cell>
          <cell r="AR294">
            <v>0.5</v>
          </cell>
          <cell r="AS294">
            <v>0.5</v>
          </cell>
          <cell r="AT294">
            <v>0.5</v>
          </cell>
          <cell r="AU294">
            <v>0.5</v>
          </cell>
          <cell r="AV294">
            <v>0.5</v>
          </cell>
          <cell r="AW294">
            <v>0.7</v>
          </cell>
          <cell r="AX294">
            <v>0.7</v>
          </cell>
          <cell r="AY294">
            <v>0.7</v>
          </cell>
          <cell r="AZ294">
            <v>0.7</v>
          </cell>
          <cell r="BA294">
            <v>0.7</v>
          </cell>
          <cell r="BB294">
            <v>0.7</v>
          </cell>
          <cell r="BC294">
            <v>0.7</v>
          </cell>
          <cell r="BD294">
            <v>0.7</v>
          </cell>
          <cell r="BE294">
            <v>0.7</v>
          </cell>
          <cell r="BF294">
            <v>0.7</v>
          </cell>
          <cell r="BG294">
            <v>0.7</v>
          </cell>
          <cell r="BH294">
            <v>0.7</v>
          </cell>
          <cell r="BI294">
            <v>0.7</v>
          </cell>
          <cell r="BJ294">
            <v>0.7</v>
          </cell>
          <cell r="BK294">
            <v>0.7</v>
          </cell>
          <cell r="BL294">
            <v>0.7</v>
          </cell>
          <cell r="BM294">
            <v>0.7</v>
          </cell>
          <cell r="BN294">
            <v>0.7</v>
          </cell>
          <cell r="BO294">
            <v>0.7</v>
          </cell>
          <cell r="BP294">
            <v>0.7</v>
          </cell>
          <cell r="BQ294">
            <v>0.7</v>
          </cell>
          <cell r="BR294">
            <v>0.7</v>
          </cell>
          <cell r="BS294">
            <v>0.7</v>
          </cell>
          <cell r="BT294">
            <v>0.7</v>
          </cell>
          <cell r="BU294">
            <v>0.7</v>
          </cell>
          <cell r="BV294">
            <v>0.7</v>
          </cell>
          <cell r="BW294">
            <v>0.7</v>
          </cell>
          <cell r="BX294">
            <v>0.7</v>
          </cell>
          <cell r="BY294">
            <v>0.7</v>
          </cell>
          <cell r="BZ294">
            <v>0.7</v>
          </cell>
          <cell r="CA294">
            <v>0.7</v>
          </cell>
          <cell r="CB294">
            <v>0.7</v>
          </cell>
          <cell r="CC294">
            <v>0.7</v>
          </cell>
          <cell r="CD294">
            <v>0</v>
          </cell>
          <cell r="CE294">
            <v>0</v>
          </cell>
          <cell r="CF294">
            <v>0</v>
          </cell>
          <cell r="CG294">
            <v>0</v>
          </cell>
          <cell r="CH294">
            <v>0</v>
          </cell>
          <cell r="CI294">
            <v>0</v>
          </cell>
          <cell r="CJ294">
            <v>0</v>
          </cell>
          <cell r="CK294">
            <v>0</v>
          </cell>
        </row>
        <row r="295">
          <cell r="D295" t="str">
            <v>01</v>
          </cell>
          <cell r="E295" t="str">
            <v>46</v>
          </cell>
          <cell r="F295" t="str">
            <v>I04</v>
          </cell>
          <cell r="G295" t="str">
            <v>REQ</v>
          </cell>
          <cell r="H295" t="str">
            <v>6760-01</v>
          </cell>
          <cell r="I295" t="str">
            <v>DETECTOR DE LLAMA</v>
          </cell>
          <cell r="J295">
            <v>39230</v>
          </cell>
          <cell r="K295">
            <v>39254</v>
          </cell>
          <cell r="L295">
            <v>39268</v>
          </cell>
          <cell r="M295">
            <v>39269</v>
          </cell>
          <cell r="N295">
            <v>39283</v>
          </cell>
          <cell r="O295">
            <v>39476</v>
          </cell>
          <cell r="P295">
            <v>62.062762711763376</v>
          </cell>
          <cell r="Q295" t="str">
            <v>P</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0.5</v>
          </cell>
          <cell r="AO295">
            <v>0.5</v>
          </cell>
          <cell r="AP295">
            <v>0.7</v>
          </cell>
          <cell r="AQ295">
            <v>0.7</v>
          </cell>
          <cell r="AR295">
            <v>0.7</v>
          </cell>
          <cell r="AS295">
            <v>0.95</v>
          </cell>
          <cell r="AT295">
            <v>0.95</v>
          </cell>
          <cell r="AU295">
            <v>0.95</v>
          </cell>
          <cell r="AV295">
            <v>0.95</v>
          </cell>
          <cell r="AW295">
            <v>0.95</v>
          </cell>
          <cell r="AX295">
            <v>0.95</v>
          </cell>
          <cell r="AY295">
            <v>0.95</v>
          </cell>
          <cell r="AZ295">
            <v>0.95</v>
          </cell>
          <cell r="BA295">
            <v>0.95</v>
          </cell>
          <cell r="BB295">
            <v>0.95</v>
          </cell>
          <cell r="BC295">
            <v>0.95</v>
          </cell>
          <cell r="BD295">
            <v>0.95</v>
          </cell>
          <cell r="BE295">
            <v>0.95</v>
          </cell>
          <cell r="BF295">
            <v>0.95</v>
          </cell>
          <cell r="BG295">
            <v>0.95</v>
          </cell>
          <cell r="BH295">
            <v>0.95</v>
          </cell>
          <cell r="BI295">
            <v>0.95</v>
          </cell>
          <cell r="BJ295">
            <v>0.95</v>
          </cell>
          <cell r="BK295">
            <v>0.95</v>
          </cell>
          <cell r="BL295">
            <v>0.95</v>
          </cell>
          <cell r="BM295">
            <v>0.95</v>
          </cell>
          <cell r="BN295">
            <v>0.95</v>
          </cell>
          <cell r="BO295">
            <v>0.95</v>
          </cell>
          <cell r="BP295">
            <v>0.95</v>
          </cell>
          <cell r="BQ295">
            <v>0.95</v>
          </cell>
          <cell r="BR295">
            <v>0.95</v>
          </cell>
          <cell r="BS295">
            <v>0.95</v>
          </cell>
          <cell r="BT295">
            <v>1</v>
          </cell>
          <cell r="BU295">
            <v>1</v>
          </cell>
          <cell r="BV295">
            <v>1</v>
          </cell>
          <cell r="BW295">
            <v>1</v>
          </cell>
          <cell r="BX295">
            <v>1</v>
          </cell>
          <cell r="BY295">
            <v>1</v>
          </cell>
          <cell r="BZ295">
            <v>1</v>
          </cell>
          <cell r="CA295">
            <v>1</v>
          </cell>
          <cell r="CB295">
            <v>1</v>
          </cell>
          <cell r="CC295">
            <v>1</v>
          </cell>
          <cell r="CD295">
            <v>1</v>
          </cell>
          <cell r="CE295">
            <v>1</v>
          </cell>
          <cell r="CF295">
            <v>1</v>
          </cell>
          <cell r="CG295">
            <v>1</v>
          </cell>
          <cell r="CH295">
            <v>1</v>
          </cell>
          <cell r="CI295">
            <v>1</v>
          </cell>
          <cell r="CJ295">
            <v>1</v>
          </cell>
          <cell r="CK295">
            <v>1</v>
          </cell>
        </row>
        <row r="296">
          <cell r="J296">
            <v>39480</v>
          </cell>
          <cell r="K296">
            <v>39492</v>
          </cell>
          <cell r="L296">
            <v>39506</v>
          </cell>
          <cell r="M296">
            <v>39514</v>
          </cell>
          <cell r="N296">
            <v>39528</v>
          </cell>
          <cell r="O296">
            <v>39642</v>
          </cell>
          <cell r="Q296" t="str">
            <v>R</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0.5</v>
          </cell>
          <cell r="BW296">
            <v>0.5</v>
          </cell>
          <cell r="BX296">
            <v>0.7</v>
          </cell>
          <cell r="BY296">
            <v>0.7</v>
          </cell>
          <cell r="BZ296">
            <v>0.7</v>
          </cell>
          <cell r="CA296">
            <v>0.7</v>
          </cell>
          <cell r="CB296">
            <v>0.95</v>
          </cell>
          <cell r="CC296">
            <v>0.95</v>
          </cell>
          <cell r="CD296">
            <v>0.95</v>
          </cell>
          <cell r="CE296">
            <v>0.95</v>
          </cell>
          <cell r="CF296">
            <v>0.95</v>
          </cell>
          <cell r="CG296">
            <v>0.95</v>
          </cell>
          <cell r="CH296">
            <v>0.95</v>
          </cell>
          <cell r="CI296">
            <v>0.95</v>
          </cell>
          <cell r="CJ296">
            <v>0.95</v>
          </cell>
          <cell r="CK296">
            <v>0.95</v>
          </cell>
        </row>
        <row r="297">
          <cell r="Q297" t="str">
            <v>E</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row>
        <row r="298">
          <cell r="D298" t="str">
            <v>01</v>
          </cell>
          <cell r="E298" t="str">
            <v>46</v>
          </cell>
          <cell r="F298" t="str">
            <v>I04</v>
          </cell>
          <cell r="G298" t="str">
            <v>REQ</v>
          </cell>
          <cell r="H298" t="str">
            <v>6904-01</v>
          </cell>
          <cell r="I298" t="str">
            <v>DETECTOR DE GAS</v>
          </cell>
          <cell r="J298">
            <v>39230</v>
          </cell>
          <cell r="K298">
            <v>39254</v>
          </cell>
          <cell r="L298">
            <v>39268</v>
          </cell>
          <cell r="M298">
            <v>39269</v>
          </cell>
          <cell r="N298">
            <v>39283</v>
          </cell>
          <cell r="O298">
            <v>39476</v>
          </cell>
          <cell r="P298">
            <v>62.062762711763376</v>
          </cell>
          <cell r="Q298" t="str">
            <v>P</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0.5</v>
          </cell>
          <cell r="AO298">
            <v>0.5</v>
          </cell>
          <cell r="AP298">
            <v>0.7</v>
          </cell>
          <cell r="AQ298">
            <v>0.7</v>
          </cell>
          <cell r="AR298">
            <v>0.7</v>
          </cell>
          <cell r="AS298">
            <v>0.95</v>
          </cell>
          <cell r="AT298">
            <v>0.95</v>
          </cell>
          <cell r="AU298">
            <v>0.95</v>
          </cell>
          <cell r="AV298">
            <v>0.95</v>
          </cell>
          <cell r="AW298">
            <v>0.95</v>
          </cell>
          <cell r="AX298">
            <v>0.95</v>
          </cell>
          <cell r="AY298">
            <v>0.95</v>
          </cell>
          <cell r="AZ298">
            <v>0.95</v>
          </cell>
          <cell r="BA298">
            <v>0.95</v>
          </cell>
          <cell r="BB298">
            <v>0.95</v>
          </cell>
          <cell r="BC298">
            <v>0.95</v>
          </cell>
          <cell r="BD298">
            <v>0.95</v>
          </cell>
          <cell r="BE298">
            <v>0.95</v>
          </cell>
          <cell r="BF298">
            <v>0.95</v>
          </cell>
          <cell r="BG298">
            <v>0.95</v>
          </cell>
          <cell r="BH298">
            <v>0.95</v>
          </cell>
          <cell r="BI298">
            <v>0.95</v>
          </cell>
          <cell r="BJ298">
            <v>0.95</v>
          </cell>
          <cell r="BK298">
            <v>0.95</v>
          </cell>
          <cell r="BL298">
            <v>0.95</v>
          </cell>
          <cell r="BM298">
            <v>0.95</v>
          </cell>
          <cell r="BN298">
            <v>0.95</v>
          </cell>
          <cell r="BO298">
            <v>0.95</v>
          </cell>
          <cell r="BP298">
            <v>0.95</v>
          </cell>
          <cell r="BQ298">
            <v>0.95</v>
          </cell>
          <cell r="BR298">
            <v>0.95</v>
          </cell>
          <cell r="BS298">
            <v>0.95</v>
          </cell>
          <cell r="BT298">
            <v>1</v>
          </cell>
          <cell r="BU298">
            <v>1</v>
          </cell>
          <cell r="BV298">
            <v>1</v>
          </cell>
          <cell r="BW298">
            <v>1</v>
          </cell>
          <cell r="BX298">
            <v>1</v>
          </cell>
          <cell r="BY298">
            <v>1</v>
          </cell>
          <cell r="BZ298">
            <v>1</v>
          </cell>
          <cell r="CA298">
            <v>1</v>
          </cell>
          <cell r="CB298">
            <v>1</v>
          </cell>
          <cell r="CC298">
            <v>1</v>
          </cell>
          <cell r="CD298">
            <v>1</v>
          </cell>
          <cell r="CE298">
            <v>1</v>
          </cell>
          <cell r="CF298">
            <v>1</v>
          </cell>
          <cell r="CG298">
            <v>1</v>
          </cell>
          <cell r="CH298">
            <v>1</v>
          </cell>
          <cell r="CI298">
            <v>1</v>
          </cell>
          <cell r="CJ298">
            <v>1</v>
          </cell>
          <cell r="CK298">
            <v>1</v>
          </cell>
        </row>
        <row r="299">
          <cell r="J299">
            <v>39480</v>
          </cell>
          <cell r="K299">
            <v>39492</v>
          </cell>
          <cell r="L299">
            <v>39506</v>
          </cell>
          <cell r="M299">
            <v>39514</v>
          </cell>
          <cell r="N299">
            <v>39528</v>
          </cell>
          <cell r="O299">
            <v>39642</v>
          </cell>
          <cell r="Q299" t="str">
            <v>R</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0.5</v>
          </cell>
          <cell r="BW299">
            <v>0.5</v>
          </cell>
          <cell r="BX299">
            <v>0.7</v>
          </cell>
          <cell r="BY299">
            <v>0.7</v>
          </cell>
          <cell r="BZ299">
            <v>0.7</v>
          </cell>
          <cell r="CA299">
            <v>0.7</v>
          </cell>
          <cell r="CB299">
            <v>0.95</v>
          </cell>
          <cell r="CC299">
            <v>0.95</v>
          </cell>
          <cell r="CD299">
            <v>0.95</v>
          </cell>
          <cell r="CE299">
            <v>0.95</v>
          </cell>
          <cell r="CF299">
            <v>0.95</v>
          </cell>
          <cell r="CG299">
            <v>0.95</v>
          </cell>
          <cell r="CH299">
            <v>0.95</v>
          </cell>
          <cell r="CI299">
            <v>0.95</v>
          </cell>
          <cell r="CJ299">
            <v>0.95</v>
          </cell>
          <cell r="CK299">
            <v>0.95</v>
          </cell>
        </row>
        <row r="300">
          <cell r="Q300" t="str">
            <v>E</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row>
        <row r="301">
          <cell r="D301" t="str">
            <v>01</v>
          </cell>
          <cell r="E301" t="str">
            <v>46</v>
          </cell>
          <cell r="F301" t="str">
            <v>I04</v>
          </cell>
          <cell r="G301" t="str">
            <v>REQ</v>
          </cell>
          <cell r="H301" t="str">
            <v>6801-01</v>
          </cell>
          <cell r="I301" t="str">
            <v>SISTEMA DE CONTROL FOXBORO</v>
          </cell>
          <cell r="J301">
            <v>39251</v>
          </cell>
          <cell r="K301">
            <v>39275</v>
          </cell>
          <cell r="L301">
            <v>39289</v>
          </cell>
          <cell r="M301">
            <v>39290</v>
          </cell>
          <cell r="N301">
            <v>39304</v>
          </cell>
          <cell r="O301">
            <v>39476</v>
          </cell>
          <cell r="P301">
            <v>62.062762711763376</v>
          </cell>
          <cell r="Q301" t="str">
            <v>P</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0.5</v>
          </cell>
          <cell r="AR301">
            <v>0.5</v>
          </cell>
          <cell r="AS301">
            <v>0.7</v>
          </cell>
          <cell r="AT301">
            <v>0.7</v>
          </cell>
          <cell r="AU301">
            <v>0.7</v>
          </cell>
          <cell r="AV301">
            <v>0.95</v>
          </cell>
          <cell r="AW301">
            <v>0.95</v>
          </cell>
          <cell r="AX301">
            <v>0.95</v>
          </cell>
          <cell r="AY301">
            <v>0.95</v>
          </cell>
          <cell r="AZ301">
            <v>0.95</v>
          </cell>
          <cell r="BA301">
            <v>0.95</v>
          </cell>
          <cell r="BB301">
            <v>0.95</v>
          </cell>
          <cell r="BC301">
            <v>0.95</v>
          </cell>
          <cell r="BD301">
            <v>0.95</v>
          </cell>
          <cell r="BE301">
            <v>0.95</v>
          </cell>
          <cell r="BF301">
            <v>0.95</v>
          </cell>
          <cell r="BG301">
            <v>0.95</v>
          </cell>
          <cell r="BH301">
            <v>0.95</v>
          </cell>
          <cell r="BI301">
            <v>0.95</v>
          </cell>
          <cell r="BJ301">
            <v>0.95</v>
          </cell>
          <cell r="BK301">
            <v>0.95</v>
          </cell>
          <cell r="BL301">
            <v>0.95</v>
          </cell>
          <cell r="BM301">
            <v>0.95</v>
          </cell>
          <cell r="BN301">
            <v>0.95</v>
          </cell>
          <cell r="BO301">
            <v>0.95</v>
          </cell>
          <cell r="BP301">
            <v>0.95</v>
          </cell>
          <cell r="BQ301">
            <v>0.95</v>
          </cell>
          <cell r="BR301">
            <v>0.95</v>
          </cell>
          <cell r="BS301">
            <v>0.95</v>
          </cell>
          <cell r="BT301">
            <v>1</v>
          </cell>
          <cell r="BU301">
            <v>1</v>
          </cell>
          <cell r="BV301">
            <v>1</v>
          </cell>
          <cell r="BW301">
            <v>1</v>
          </cell>
          <cell r="BX301">
            <v>1</v>
          </cell>
          <cell r="BY301">
            <v>1</v>
          </cell>
          <cell r="BZ301">
            <v>1</v>
          </cell>
          <cell r="CA301">
            <v>1</v>
          </cell>
          <cell r="CB301">
            <v>1</v>
          </cell>
          <cell r="CC301">
            <v>1</v>
          </cell>
          <cell r="CD301">
            <v>1</v>
          </cell>
          <cell r="CE301">
            <v>1</v>
          </cell>
          <cell r="CF301">
            <v>1</v>
          </cell>
          <cell r="CG301">
            <v>1</v>
          </cell>
          <cell r="CH301">
            <v>1</v>
          </cell>
          <cell r="CI301">
            <v>1</v>
          </cell>
          <cell r="CJ301">
            <v>1</v>
          </cell>
          <cell r="CK301">
            <v>1</v>
          </cell>
        </row>
        <row r="302">
          <cell r="J302">
            <v>39450</v>
          </cell>
          <cell r="K302">
            <v>39465</v>
          </cell>
          <cell r="L302">
            <v>39500</v>
          </cell>
          <cell r="M302">
            <v>39514</v>
          </cell>
          <cell r="N302">
            <v>39535</v>
          </cell>
          <cell r="O302">
            <v>39642</v>
          </cell>
          <cell r="Q302" t="str">
            <v>R</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0.5</v>
          </cell>
          <cell r="BT302">
            <v>0.5</v>
          </cell>
          <cell r="BU302">
            <v>0.5</v>
          </cell>
          <cell r="BV302">
            <v>0.5</v>
          </cell>
          <cell r="BW302">
            <v>0.5</v>
          </cell>
          <cell r="BX302">
            <v>0.7</v>
          </cell>
          <cell r="BY302">
            <v>0.7</v>
          </cell>
          <cell r="BZ302">
            <v>0.7</v>
          </cell>
          <cell r="CA302">
            <v>0.7</v>
          </cell>
          <cell r="CB302">
            <v>0.7</v>
          </cell>
          <cell r="CC302">
            <v>0.95</v>
          </cell>
          <cell r="CD302">
            <v>0.95</v>
          </cell>
          <cell r="CE302">
            <v>0.95</v>
          </cell>
          <cell r="CF302">
            <v>0.95</v>
          </cell>
          <cell r="CG302">
            <v>0.95</v>
          </cell>
          <cell r="CH302">
            <v>0.95</v>
          </cell>
          <cell r="CI302">
            <v>0.95</v>
          </cell>
          <cell r="CJ302">
            <v>0.95</v>
          </cell>
          <cell r="CK302">
            <v>0.95</v>
          </cell>
        </row>
        <row r="303">
          <cell r="Q303" t="str">
            <v>E</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S303">
            <v>0</v>
          </cell>
          <cell r="BT303">
            <v>0</v>
          </cell>
          <cell r="BU303">
            <v>0</v>
          </cell>
          <cell r="BV303">
            <v>0</v>
          </cell>
          <cell r="BW303">
            <v>0</v>
          </cell>
          <cell r="BX303">
            <v>0.5</v>
          </cell>
          <cell r="BY303">
            <v>0.5</v>
          </cell>
          <cell r="BZ303">
            <v>0.5</v>
          </cell>
          <cell r="CA303">
            <v>0.5</v>
          </cell>
          <cell r="CB303">
            <v>0.95</v>
          </cell>
          <cell r="CC303">
            <v>0.95</v>
          </cell>
          <cell r="CD303">
            <v>0</v>
          </cell>
          <cell r="CE303">
            <v>0</v>
          </cell>
          <cell r="CF303">
            <v>0</v>
          </cell>
          <cell r="CG303">
            <v>0</v>
          </cell>
          <cell r="CH303">
            <v>0</v>
          </cell>
          <cell r="CI303">
            <v>0</v>
          </cell>
          <cell r="CJ303">
            <v>0</v>
          </cell>
          <cell r="CK303">
            <v>0</v>
          </cell>
        </row>
        <row r="304">
          <cell r="D304" t="str">
            <v>01</v>
          </cell>
          <cell r="E304" t="str">
            <v>46</v>
          </cell>
          <cell r="F304" t="str">
            <v>I01</v>
          </cell>
          <cell r="G304" t="str">
            <v>CAL</v>
          </cell>
          <cell r="H304" t="str">
            <v>001</v>
          </cell>
          <cell r="I304" t="str">
            <v>MEMORIA DE CALCULO PLACAS DE ORIFICIO</v>
          </cell>
          <cell r="J304">
            <v>39269</v>
          </cell>
          <cell r="K304">
            <v>39289</v>
          </cell>
          <cell r="L304">
            <v>39303</v>
          </cell>
          <cell r="M304">
            <v>39304</v>
          </cell>
          <cell r="N304">
            <v>39318</v>
          </cell>
          <cell r="O304">
            <v>39476</v>
          </cell>
          <cell r="P304">
            <v>62.062762711763376</v>
          </cell>
          <cell r="Q304" t="str">
            <v>P</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0.5</v>
          </cell>
          <cell r="AT304">
            <v>0.5</v>
          </cell>
          <cell r="AU304">
            <v>0.7</v>
          </cell>
          <cell r="AV304">
            <v>0.7</v>
          </cell>
          <cell r="AW304">
            <v>0.7</v>
          </cell>
          <cell r="AX304">
            <v>0.95</v>
          </cell>
          <cell r="AY304">
            <v>0.95</v>
          </cell>
          <cell r="AZ304">
            <v>0.95</v>
          </cell>
          <cell r="BA304">
            <v>0.95</v>
          </cell>
          <cell r="BB304">
            <v>0.95</v>
          </cell>
          <cell r="BC304">
            <v>0.95</v>
          </cell>
          <cell r="BD304">
            <v>0.95</v>
          </cell>
          <cell r="BE304">
            <v>0.95</v>
          </cell>
          <cell r="BF304">
            <v>0.95</v>
          </cell>
          <cell r="BG304">
            <v>0.95</v>
          </cell>
          <cell r="BH304">
            <v>0.95</v>
          </cell>
          <cell r="BI304">
            <v>0.95</v>
          </cell>
          <cell r="BJ304">
            <v>0.95</v>
          </cell>
          <cell r="BK304">
            <v>0.95</v>
          </cell>
          <cell r="BL304">
            <v>0.95</v>
          </cell>
          <cell r="BM304">
            <v>0.95</v>
          </cell>
          <cell r="BN304">
            <v>0.95</v>
          </cell>
          <cell r="BO304">
            <v>0.95</v>
          </cell>
          <cell r="BP304">
            <v>0.95</v>
          </cell>
          <cell r="BQ304">
            <v>0.95</v>
          </cell>
          <cell r="BR304">
            <v>0.95</v>
          </cell>
          <cell r="BS304">
            <v>0.95</v>
          </cell>
          <cell r="BT304">
            <v>1</v>
          </cell>
          <cell r="BU304">
            <v>1</v>
          </cell>
          <cell r="BV304">
            <v>1</v>
          </cell>
          <cell r="BW304">
            <v>1</v>
          </cell>
          <cell r="BX304">
            <v>1</v>
          </cell>
          <cell r="BY304">
            <v>1</v>
          </cell>
          <cell r="BZ304">
            <v>1</v>
          </cell>
          <cell r="CA304">
            <v>1</v>
          </cell>
          <cell r="CB304">
            <v>1</v>
          </cell>
          <cell r="CC304">
            <v>1</v>
          </cell>
          <cell r="CD304">
            <v>1</v>
          </cell>
          <cell r="CE304">
            <v>1</v>
          </cell>
          <cell r="CF304">
            <v>1</v>
          </cell>
          <cell r="CG304">
            <v>1</v>
          </cell>
          <cell r="CH304">
            <v>1</v>
          </cell>
          <cell r="CI304">
            <v>1</v>
          </cell>
          <cell r="CJ304">
            <v>1</v>
          </cell>
          <cell r="CK304">
            <v>1</v>
          </cell>
        </row>
        <row r="305">
          <cell r="J305">
            <v>39500</v>
          </cell>
          <cell r="K305">
            <v>39514</v>
          </cell>
          <cell r="L305">
            <v>39534</v>
          </cell>
          <cell r="M305">
            <v>39542</v>
          </cell>
          <cell r="N305">
            <v>39556</v>
          </cell>
          <cell r="O305">
            <v>39642</v>
          </cell>
          <cell r="Q305" t="str">
            <v>R</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0.5</v>
          </cell>
          <cell r="CA305">
            <v>0.5</v>
          </cell>
          <cell r="CB305">
            <v>0.7</v>
          </cell>
          <cell r="CC305">
            <v>0.7</v>
          </cell>
          <cell r="CD305">
            <v>0.7</v>
          </cell>
          <cell r="CE305">
            <v>0.7</v>
          </cell>
          <cell r="CF305">
            <v>0.95</v>
          </cell>
          <cell r="CG305">
            <v>0.95</v>
          </cell>
          <cell r="CH305">
            <v>0.95</v>
          </cell>
          <cell r="CI305">
            <v>0.95</v>
          </cell>
          <cell r="CJ305">
            <v>0.95</v>
          </cell>
          <cell r="CK305">
            <v>0.95</v>
          </cell>
        </row>
        <row r="306">
          <cell r="Q306" t="str">
            <v>E</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0.5</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S306">
            <v>0</v>
          </cell>
          <cell r="BT306">
            <v>0</v>
          </cell>
          <cell r="BU306">
            <v>0</v>
          </cell>
          <cell r="BV306">
            <v>0</v>
          </cell>
          <cell r="BW306">
            <v>0.5</v>
          </cell>
          <cell r="BX306">
            <v>0.95</v>
          </cell>
          <cell r="BY306">
            <v>0.95</v>
          </cell>
          <cell r="BZ306">
            <v>0.95</v>
          </cell>
          <cell r="CA306">
            <v>0.95</v>
          </cell>
          <cell r="CB306">
            <v>0.95</v>
          </cell>
          <cell r="CC306">
            <v>0.95</v>
          </cell>
          <cell r="CD306">
            <v>0</v>
          </cell>
          <cell r="CE306">
            <v>0</v>
          </cell>
          <cell r="CF306">
            <v>0</v>
          </cell>
          <cell r="CG306">
            <v>0</v>
          </cell>
          <cell r="CH306">
            <v>0</v>
          </cell>
          <cell r="CI306">
            <v>0</v>
          </cell>
          <cell r="CJ306">
            <v>0</v>
          </cell>
          <cell r="CK306">
            <v>0</v>
          </cell>
        </row>
        <row r="307">
          <cell r="D307" t="str">
            <v>01</v>
          </cell>
          <cell r="E307">
            <v>46</v>
          </cell>
          <cell r="F307" t="str">
            <v>I01</v>
          </cell>
          <cell r="G307" t="str">
            <v>CAL</v>
          </cell>
          <cell r="H307" t="str">
            <v>003</v>
          </cell>
          <cell r="I307" t="str">
            <v>MOMORIA DE CALCULO LONGITUD BANDEJAS PORTACABLES</v>
          </cell>
          <cell r="J307">
            <v>39269</v>
          </cell>
          <cell r="K307">
            <v>39289</v>
          </cell>
          <cell r="L307">
            <v>39303</v>
          </cell>
          <cell r="M307">
            <v>39304</v>
          </cell>
          <cell r="N307">
            <v>39318</v>
          </cell>
          <cell r="O307">
            <v>39476</v>
          </cell>
          <cell r="P307">
            <v>62.062762711763376</v>
          </cell>
          <cell r="Q307" t="str">
            <v>P</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0.5</v>
          </cell>
          <cell r="AT307">
            <v>0.5</v>
          </cell>
          <cell r="AU307">
            <v>0.7</v>
          </cell>
          <cell r="AV307">
            <v>0.7</v>
          </cell>
          <cell r="AW307">
            <v>0.7</v>
          </cell>
          <cell r="AX307">
            <v>0.95</v>
          </cell>
          <cell r="AY307">
            <v>0.95</v>
          </cell>
          <cell r="AZ307">
            <v>0.95</v>
          </cell>
          <cell r="BA307">
            <v>0.95</v>
          </cell>
          <cell r="BB307">
            <v>0.95</v>
          </cell>
          <cell r="BC307">
            <v>0.95</v>
          </cell>
          <cell r="BD307">
            <v>0.95</v>
          </cell>
          <cell r="BE307">
            <v>0.95</v>
          </cell>
          <cell r="BF307">
            <v>0.95</v>
          </cell>
          <cell r="BG307">
            <v>0.95</v>
          </cell>
          <cell r="BH307">
            <v>0.95</v>
          </cell>
          <cell r="BI307">
            <v>0.95</v>
          </cell>
          <cell r="BJ307">
            <v>0.95</v>
          </cell>
          <cell r="BK307">
            <v>0.95</v>
          </cell>
          <cell r="BL307">
            <v>0.95</v>
          </cell>
          <cell r="BM307">
            <v>0.95</v>
          </cell>
          <cell r="BN307">
            <v>0.95</v>
          </cell>
          <cell r="BO307">
            <v>0.95</v>
          </cell>
          <cell r="BP307">
            <v>0.95</v>
          </cell>
          <cell r="BQ307">
            <v>0.95</v>
          </cell>
          <cell r="BR307">
            <v>0.95</v>
          </cell>
          <cell r="BS307">
            <v>0.95</v>
          </cell>
          <cell r="BT307">
            <v>1</v>
          </cell>
          <cell r="BU307">
            <v>1</v>
          </cell>
          <cell r="BV307">
            <v>1</v>
          </cell>
          <cell r="BW307">
            <v>1</v>
          </cell>
          <cell r="BX307">
            <v>1</v>
          </cell>
          <cell r="BY307">
            <v>1</v>
          </cell>
          <cell r="BZ307">
            <v>1</v>
          </cell>
          <cell r="CA307">
            <v>1</v>
          </cell>
          <cell r="CB307">
            <v>1</v>
          </cell>
          <cell r="CC307">
            <v>1</v>
          </cell>
          <cell r="CD307">
            <v>1</v>
          </cell>
          <cell r="CE307">
            <v>1</v>
          </cell>
          <cell r="CF307">
            <v>1</v>
          </cell>
          <cell r="CG307">
            <v>1</v>
          </cell>
          <cell r="CH307">
            <v>1</v>
          </cell>
          <cell r="CI307">
            <v>1</v>
          </cell>
          <cell r="CJ307">
            <v>1</v>
          </cell>
          <cell r="CK307">
            <v>1</v>
          </cell>
        </row>
        <row r="308">
          <cell r="J308">
            <v>39375</v>
          </cell>
          <cell r="K308">
            <v>39437</v>
          </cell>
          <cell r="L308">
            <v>39505</v>
          </cell>
          <cell r="M308">
            <v>39549</v>
          </cell>
          <cell r="N308">
            <v>39563</v>
          </cell>
          <cell r="O308">
            <v>39642</v>
          </cell>
          <cell r="Q308" t="str">
            <v>R</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0.5</v>
          </cell>
          <cell r="BP308">
            <v>0.5</v>
          </cell>
          <cell r="BQ308">
            <v>0.5</v>
          </cell>
          <cell r="BR308">
            <v>0.5</v>
          </cell>
          <cell r="BS308">
            <v>0.5</v>
          </cell>
          <cell r="BT308">
            <v>0.5</v>
          </cell>
          <cell r="BU308">
            <v>0.5</v>
          </cell>
          <cell r="BV308">
            <v>0.5</v>
          </cell>
          <cell r="BW308">
            <v>0.5</v>
          </cell>
          <cell r="BX308">
            <v>0.7</v>
          </cell>
          <cell r="BY308">
            <v>0.7</v>
          </cell>
          <cell r="BZ308">
            <v>0.7</v>
          </cell>
          <cell r="CA308">
            <v>0.7</v>
          </cell>
          <cell r="CB308">
            <v>0.7</v>
          </cell>
          <cell r="CC308">
            <v>0.7</v>
          </cell>
          <cell r="CD308">
            <v>0.7</v>
          </cell>
          <cell r="CE308">
            <v>0.7</v>
          </cell>
          <cell r="CF308">
            <v>0.7</v>
          </cell>
          <cell r="CG308">
            <v>0.95</v>
          </cell>
          <cell r="CH308">
            <v>0.95</v>
          </cell>
          <cell r="CI308">
            <v>0.95</v>
          </cell>
          <cell r="CJ308">
            <v>0.95</v>
          </cell>
          <cell r="CK308">
            <v>0.95</v>
          </cell>
        </row>
        <row r="309">
          <cell r="Q309" t="str">
            <v>E</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0.5</v>
          </cell>
          <cell r="BQ309">
            <v>0.5</v>
          </cell>
          <cell r="BR309">
            <v>0.5</v>
          </cell>
          <cell r="BS309">
            <v>0.5</v>
          </cell>
          <cell r="BT309">
            <v>0.5</v>
          </cell>
          <cell r="BU309">
            <v>0.5</v>
          </cell>
          <cell r="BV309">
            <v>0.5</v>
          </cell>
          <cell r="BW309">
            <v>0.5</v>
          </cell>
          <cell r="BX309">
            <v>0.5</v>
          </cell>
          <cell r="BY309">
            <v>0.5</v>
          </cell>
          <cell r="BZ309">
            <v>0.5</v>
          </cell>
          <cell r="CA309">
            <v>0.5</v>
          </cell>
          <cell r="CB309">
            <v>0.5</v>
          </cell>
          <cell r="CC309">
            <v>0.5</v>
          </cell>
          <cell r="CD309">
            <v>0</v>
          </cell>
          <cell r="CE309">
            <v>0</v>
          </cell>
          <cell r="CF309">
            <v>0</v>
          </cell>
          <cell r="CG309">
            <v>0</v>
          </cell>
          <cell r="CH309">
            <v>0</v>
          </cell>
          <cell r="CI309">
            <v>0</v>
          </cell>
          <cell r="CJ309">
            <v>0</v>
          </cell>
          <cell r="CK309">
            <v>0</v>
          </cell>
        </row>
        <row r="310">
          <cell r="D310" t="str">
            <v>01</v>
          </cell>
          <cell r="E310">
            <v>46</v>
          </cell>
          <cell r="F310" t="str">
            <v>I01</v>
          </cell>
          <cell r="G310" t="str">
            <v>CAL</v>
          </cell>
          <cell r="H310" t="str">
            <v>004</v>
          </cell>
          <cell r="I310" t="str">
            <v>MEMORIA DE CALCULO DE LONGITUDES DE CABLES DE INSTRUMENTACION</v>
          </cell>
          <cell r="J310">
            <v>39269</v>
          </cell>
          <cell r="K310">
            <v>39289</v>
          </cell>
          <cell r="L310">
            <v>39303</v>
          </cell>
          <cell r="M310">
            <v>39304</v>
          </cell>
          <cell r="N310">
            <v>39318</v>
          </cell>
          <cell r="O310">
            <v>39476</v>
          </cell>
          <cell r="P310">
            <v>62.062762711763376</v>
          </cell>
          <cell r="Q310" t="str">
            <v>P</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0.5</v>
          </cell>
          <cell r="AT310">
            <v>0.5</v>
          </cell>
          <cell r="AU310">
            <v>0.7</v>
          </cell>
          <cell r="AV310">
            <v>0.7</v>
          </cell>
          <cell r="AW310">
            <v>0.7</v>
          </cell>
          <cell r="AX310">
            <v>0.95</v>
          </cell>
          <cell r="AY310">
            <v>0.95</v>
          </cell>
          <cell r="AZ310">
            <v>0.95</v>
          </cell>
          <cell r="BA310">
            <v>0.95</v>
          </cell>
          <cell r="BB310">
            <v>0.95</v>
          </cell>
          <cell r="BC310">
            <v>0.95</v>
          </cell>
          <cell r="BD310">
            <v>0.95</v>
          </cell>
          <cell r="BE310">
            <v>0.95</v>
          </cell>
          <cell r="BF310">
            <v>0.95</v>
          </cell>
          <cell r="BG310">
            <v>0.95</v>
          </cell>
          <cell r="BH310">
            <v>0.95</v>
          </cell>
          <cell r="BI310">
            <v>0.95</v>
          </cell>
          <cell r="BJ310">
            <v>0.95</v>
          </cell>
          <cell r="BK310">
            <v>0.95</v>
          </cell>
          <cell r="BL310">
            <v>0.95</v>
          </cell>
          <cell r="BM310">
            <v>0.95</v>
          </cell>
          <cell r="BN310">
            <v>0.95</v>
          </cell>
          <cell r="BO310">
            <v>0.95</v>
          </cell>
          <cell r="BP310">
            <v>0.95</v>
          </cell>
          <cell r="BQ310">
            <v>0.95</v>
          </cell>
          <cell r="BR310">
            <v>0.95</v>
          </cell>
          <cell r="BS310">
            <v>0.95</v>
          </cell>
          <cell r="BT310">
            <v>1</v>
          </cell>
          <cell r="BU310">
            <v>1</v>
          </cell>
          <cell r="BV310">
            <v>1</v>
          </cell>
          <cell r="BW310">
            <v>1</v>
          </cell>
          <cell r="BX310">
            <v>1</v>
          </cell>
          <cell r="BY310">
            <v>1</v>
          </cell>
          <cell r="BZ310">
            <v>1</v>
          </cell>
          <cell r="CA310">
            <v>1</v>
          </cell>
          <cell r="CB310">
            <v>1</v>
          </cell>
          <cell r="CC310">
            <v>1</v>
          </cell>
          <cell r="CD310">
            <v>1</v>
          </cell>
          <cell r="CE310">
            <v>1</v>
          </cell>
          <cell r="CF310">
            <v>1</v>
          </cell>
          <cell r="CG310">
            <v>1</v>
          </cell>
          <cell r="CH310">
            <v>1</v>
          </cell>
          <cell r="CI310">
            <v>1</v>
          </cell>
          <cell r="CJ310">
            <v>1</v>
          </cell>
          <cell r="CK310">
            <v>1</v>
          </cell>
        </row>
        <row r="311">
          <cell r="J311">
            <v>39375</v>
          </cell>
          <cell r="K311">
            <v>39437</v>
          </cell>
          <cell r="L311">
            <v>39505</v>
          </cell>
          <cell r="M311">
            <v>39549</v>
          </cell>
          <cell r="N311">
            <v>39563</v>
          </cell>
          <cell r="O311">
            <v>39642</v>
          </cell>
          <cell r="Q311" t="str">
            <v>R</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0.5</v>
          </cell>
          <cell r="BP311">
            <v>0.5</v>
          </cell>
          <cell r="BQ311">
            <v>0.5</v>
          </cell>
          <cell r="BR311">
            <v>0.5</v>
          </cell>
          <cell r="BS311">
            <v>0.5</v>
          </cell>
          <cell r="BT311">
            <v>0.5</v>
          </cell>
          <cell r="BU311">
            <v>0.5</v>
          </cell>
          <cell r="BV311">
            <v>0.5</v>
          </cell>
          <cell r="BW311">
            <v>0.5</v>
          </cell>
          <cell r="BX311">
            <v>0.7</v>
          </cell>
          <cell r="BY311">
            <v>0.7</v>
          </cell>
          <cell r="BZ311">
            <v>0.7</v>
          </cell>
          <cell r="CA311">
            <v>0.7</v>
          </cell>
          <cell r="CB311">
            <v>0.7</v>
          </cell>
          <cell r="CC311">
            <v>0.7</v>
          </cell>
          <cell r="CD311">
            <v>0.7</v>
          </cell>
          <cell r="CE311">
            <v>0.7</v>
          </cell>
          <cell r="CF311">
            <v>0.7</v>
          </cell>
          <cell r="CG311">
            <v>0.95</v>
          </cell>
          <cell r="CH311">
            <v>0.95</v>
          </cell>
          <cell r="CI311">
            <v>0.95</v>
          </cell>
          <cell r="CJ311">
            <v>0.95</v>
          </cell>
          <cell r="CK311">
            <v>0.95</v>
          </cell>
        </row>
        <row r="312">
          <cell r="Q312" t="str">
            <v>E</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0.5</v>
          </cell>
          <cell r="BQ312">
            <v>0.5</v>
          </cell>
          <cell r="BR312">
            <v>0.5</v>
          </cell>
          <cell r="BS312">
            <v>0.5</v>
          </cell>
          <cell r="BT312">
            <v>0.5</v>
          </cell>
          <cell r="BU312">
            <v>0.5</v>
          </cell>
          <cell r="BV312">
            <v>0.5</v>
          </cell>
          <cell r="BW312">
            <v>0.5</v>
          </cell>
          <cell r="BX312">
            <v>0.5</v>
          </cell>
          <cell r="BY312">
            <v>0.5</v>
          </cell>
          <cell r="BZ312">
            <v>0.5</v>
          </cell>
          <cell r="CA312">
            <v>0.5</v>
          </cell>
          <cell r="CB312">
            <v>0.5</v>
          </cell>
          <cell r="CC312">
            <v>0.5</v>
          </cell>
          <cell r="CD312">
            <v>0</v>
          </cell>
          <cell r="CE312">
            <v>0</v>
          </cell>
          <cell r="CF312">
            <v>0</v>
          </cell>
          <cell r="CG312">
            <v>0</v>
          </cell>
          <cell r="CH312">
            <v>0</v>
          </cell>
          <cell r="CI312">
            <v>0</v>
          </cell>
          <cell r="CJ312">
            <v>0</v>
          </cell>
          <cell r="CK312">
            <v>0</v>
          </cell>
        </row>
        <row r="313">
          <cell r="D313" t="str">
            <v>01</v>
          </cell>
          <cell r="E313" t="str">
            <v>46</v>
          </cell>
          <cell r="F313" t="str">
            <v>I01</v>
          </cell>
          <cell r="G313" t="str">
            <v>TEC</v>
          </cell>
          <cell r="H313" t="str">
            <v>003</v>
          </cell>
          <cell r="I313" t="str">
            <v>MEMORIA DESCRIPTIVA DE DEL DISENO DE AUTOMATIZACION &amp; CONTROL</v>
          </cell>
          <cell r="J313">
            <v>39343</v>
          </cell>
          <cell r="K313">
            <v>39353</v>
          </cell>
          <cell r="L313">
            <v>39367</v>
          </cell>
          <cell r="M313">
            <v>39370</v>
          </cell>
          <cell r="N313">
            <v>39384</v>
          </cell>
          <cell r="O313">
            <v>39476</v>
          </cell>
          <cell r="P313">
            <v>62.062762711763376</v>
          </cell>
          <cell r="Q313" t="str">
            <v>P</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0.5</v>
          </cell>
          <cell r="BD313">
            <v>0.5</v>
          </cell>
          <cell r="BE313">
            <v>0.7</v>
          </cell>
          <cell r="BF313">
            <v>0.7</v>
          </cell>
          <cell r="BG313">
            <v>0.95</v>
          </cell>
          <cell r="BH313">
            <v>0.95</v>
          </cell>
          <cell r="BI313">
            <v>0.95</v>
          </cell>
          <cell r="BJ313">
            <v>0.95</v>
          </cell>
          <cell r="BK313">
            <v>0.95</v>
          </cell>
          <cell r="BL313">
            <v>0.95</v>
          </cell>
          <cell r="BM313">
            <v>0.95</v>
          </cell>
          <cell r="BN313">
            <v>0.95</v>
          </cell>
          <cell r="BO313">
            <v>0.95</v>
          </cell>
          <cell r="BP313">
            <v>0.95</v>
          </cell>
          <cell r="BQ313">
            <v>0.95</v>
          </cell>
          <cell r="BR313">
            <v>0.95</v>
          </cell>
          <cell r="BS313">
            <v>0.95</v>
          </cell>
          <cell r="BT313">
            <v>1</v>
          </cell>
          <cell r="BU313">
            <v>1</v>
          </cell>
          <cell r="BV313">
            <v>1</v>
          </cell>
          <cell r="BW313">
            <v>1</v>
          </cell>
          <cell r="BX313">
            <v>1</v>
          </cell>
          <cell r="BY313">
            <v>1</v>
          </cell>
          <cell r="BZ313">
            <v>1</v>
          </cell>
          <cell r="CA313">
            <v>1</v>
          </cell>
          <cell r="CB313">
            <v>1</v>
          </cell>
          <cell r="CC313">
            <v>1</v>
          </cell>
          <cell r="CD313">
            <v>1</v>
          </cell>
          <cell r="CE313">
            <v>1</v>
          </cell>
          <cell r="CF313">
            <v>1</v>
          </cell>
          <cell r="CG313">
            <v>1</v>
          </cell>
          <cell r="CH313">
            <v>1</v>
          </cell>
          <cell r="CI313">
            <v>1</v>
          </cell>
          <cell r="CJ313">
            <v>1</v>
          </cell>
          <cell r="CK313">
            <v>1</v>
          </cell>
        </row>
        <row r="314">
          <cell r="J314">
            <v>39356</v>
          </cell>
          <cell r="K314">
            <v>39379</v>
          </cell>
          <cell r="L314">
            <v>39384</v>
          </cell>
          <cell r="M314">
            <v>39479</v>
          </cell>
          <cell r="N314">
            <v>39501</v>
          </cell>
          <cell r="O314">
            <v>39642</v>
          </cell>
          <cell r="Q314" t="str">
            <v>R</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0.5</v>
          </cell>
          <cell r="BG314">
            <v>0.7</v>
          </cell>
          <cell r="BH314">
            <v>0.7</v>
          </cell>
          <cell r="BI314">
            <v>0.7</v>
          </cell>
          <cell r="BJ314">
            <v>0.7</v>
          </cell>
          <cell r="BK314">
            <v>0.7</v>
          </cell>
          <cell r="BL314">
            <v>0.7</v>
          </cell>
          <cell r="BM314">
            <v>0.7</v>
          </cell>
          <cell r="BN314">
            <v>0.7</v>
          </cell>
          <cell r="BO314">
            <v>0.7</v>
          </cell>
          <cell r="BP314">
            <v>0.7</v>
          </cell>
          <cell r="BQ314">
            <v>0.7</v>
          </cell>
          <cell r="BR314">
            <v>0.7</v>
          </cell>
          <cell r="BS314">
            <v>0.7</v>
          </cell>
          <cell r="BT314">
            <v>0.7</v>
          </cell>
          <cell r="BU314">
            <v>0.7</v>
          </cell>
          <cell r="BV314">
            <v>0.7</v>
          </cell>
          <cell r="BW314">
            <v>0.7</v>
          </cell>
          <cell r="BX314">
            <v>0.95</v>
          </cell>
          <cell r="BY314">
            <v>0.95</v>
          </cell>
          <cell r="BZ314">
            <v>0.95</v>
          </cell>
          <cell r="CA314">
            <v>0.95</v>
          </cell>
          <cell r="CB314">
            <v>0.95</v>
          </cell>
          <cell r="CC314">
            <v>0.95</v>
          </cell>
          <cell r="CD314">
            <v>0.95</v>
          </cell>
          <cell r="CE314">
            <v>0.95</v>
          </cell>
          <cell r="CF314">
            <v>0.95</v>
          </cell>
          <cell r="CG314">
            <v>0.95</v>
          </cell>
          <cell r="CH314">
            <v>0.95</v>
          </cell>
          <cell r="CI314">
            <v>0.95</v>
          </cell>
          <cell r="CJ314">
            <v>0.95</v>
          </cell>
          <cell r="CK314">
            <v>0.95</v>
          </cell>
        </row>
        <row r="315">
          <cell r="Q315" t="str">
            <v>E</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0.5</v>
          </cell>
          <cell r="BJ315">
            <v>0.5</v>
          </cell>
          <cell r="BK315">
            <v>0.5</v>
          </cell>
          <cell r="BL315">
            <v>0.5</v>
          </cell>
          <cell r="BM315">
            <v>0.5</v>
          </cell>
          <cell r="BN315">
            <v>0.5</v>
          </cell>
          <cell r="BO315">
            <v>0.5</v>
          </cell>
          <cell r="BP315">
            <v>0.5</v>
          </cell>
          <cell r="BQ315">
            <v>0.5</v>
          </cell>
          <cell r="BR315">
            <v>0.7</v>
          </cell>
          <cell r="BS315">
            <v>0.7</v>
          </cell>
          <cell r="BT315">
            <v>0.7</v>
          </cell>
          <cell r="BU315">
            <v>0.7</v>
          </cell>
          <cell r="BV315">
            <v>0.7</v>
          </cell>
          <cell r="BW315">
            <v>0.7</v>
          </cell>
          <cell r="BX315">
            <v>0.95</v>
          </cell>
          <cell r="BY315">
            <v>0.95</v>
          </cell>
          <cell r="BZ315">
            <v>0.95</v>
          </cell>
          <cell r="CA315">
            <v>0.95</v>
          </cell>
          <cell r="CB315">
            <v>0.95</v>
          </cell>
          <cell r="CC315">
            <v>0.95</v>
          </cell>
          <cell r="CD315">
            <v>0</v>
          </cell>
          <cell r="CE315">
            <v>0</v>
          </cell>
          <cell r="CF315">
            <v>0</v>
          </cell>
          <cell r="CG315">
            <v>0</v>
          </cell>
          <cell r="CH315">
            <v>0</v>
          </cell>
          <cell r="CI315">
            <v>0</v>
          </cell>
          <cell r="CJ315">
            <v>0</v>
          </cell>
          <cell r="CK315">
            <v>0</v>
          </cell>
        </row>
        <row r="316">
          <cell r="D316" t="str">
            <v>01</v>
          </cell>
          <cell r="E316" t="str">
            <v>46</v>
          </cell>
          <cell r="F316" t="str">
            <v>I01</v>
          </cell>
          <cell r="G316" t="str">
            <v>TEC</v>
          </cell>
          <cell r="H316" t="str">
            <v>004</v>
          </cell>
          <cell r="I316" t="str">
            <v>ALCANCE TECNICO PARA SUMINISTRO DE HARDWARE Y CONTRATACION DE DCS</v>
          </cell>
          <cell r="J316">
            <v>39343</v>
          </cell>
          <cell r="K316">
            <v>39353</v>
          </cell>
          <cell r="L316">
            <v>39367</v>
          </cell>
          <cell r="M316">
            <v>39370</v>
          </cell>
          <cell r="N316">
            <v>39384</v>
          </cell>
          <cell r="O316">
            <v>39476</v>
          </cell>
          <cell r="P316">
            <v>62.062762711763376</v>
          </cell>
          <cell r="Q316" t="str">
            <v>P</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0.5</v>
          </cell>
          <cell r="BD316">
            <v>0.5</v>
          </cell>
          <cell r="BE316">
            <v>0.7</v>
          </cell>
          <cell r="BF316">
            <v>0.7</v>
          </cell>
          <cell r="BG316">
            <v>0.95</v>
          </cell>
          <cell r="BH316">
            <v>0.95</v>
          </cell>
          <cell r="BI316">
            <v>0.95</v>
          </cell>
          <cell r="BJ316">
            <v>0.95</v>
          </cell>
          <cell r="BK316">
            <v>0.95</v>
          </cell>
          <cell r="BL316">
            <v>0.95</v>
          </cell>
          <cell r="BM316">
            <v>0.95</v>
          </cell>
          <cell r="BN316">
            <v>0.95</v>
          </cell>
          <cell r="BO316">
            <v>0.95</v>
          </cell>
          <cell r="BP316">
            <v>0.95</v>
          </cell>
          <cell r="BQ316">
            <v>0.95</v>
          </cell>
          <cell r="BR316">
            <v>0.95</v>
          </cell>
          <cell r="BS316">
            <v>0.95</v>
          </cell>
          <cell r="BT316">
            <v>1</v>
          </cell>
          <cell r="BU316">
            <v>1</v>
          </cell>
          <cell r="BV316">
            <v>1</v>
          </cell>
          <cell r="BW316">
            <v>1</v>
          </cell>
          <cell r="BX316">
            <v>1</v>
          </cell>
          <cell r="BY316">
            <v>1</v>
          </cell>
          <cell r="BZ316">
            <v>1</v>
          </cell>
          <cell r="CA316">
            <v>1</v>
          </cell>
          <cell r="CB316">
            <v>1</v>
          </cell>
          <cell r="CC316">
            <v>1</v>
          </cell>
          <cell r="CD316">
            <v>1</v>
          </cell>
          <cell r="CE316">
            <v>1</v>
          </cell>
          <cell r="CF316">
            <v>1</v>
          </cell>
          <cell r="CG316">
            <v>1</v>
          </cell>
          <cell r="CH316">
            <v>1</v>
          </cell>
          <cell r="CI316">
            <v>1</v>
          </cell>
          <cell r="CJ316">
            <v>1</v>
          </cell>
          <cell r="CK316">
            <v>1</v>
          </cell>
        </row>
        <row r="317">
          <cell r="J317">
            <v>39326</v>
          </cell>
          <cell r="K317">
            <v>39340</v>
          </cell>
          <cell r="L317">
            <v>39345</v>
          </cell>
          <cell r="M317">
            <v>39479</v>
          </cell>
          <cell r="N317">
            <v>39500</v>
          </cell>
          <cell r="O317">
            <v>39642</v>
          </cell>
          <cell r="Q317" t="str">
            <v>R</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0.7</v>
          </cell>
          <cell r="BB317">
            <v>0.7</v>
          </cell>
          <cell r="BC317">
            <v>0.7</v>
          </cell>
          <cell r="BD317">
            <v>0.7</v>
          </cell>
          <cell r="BE317">
            <v>0.7</v>
          </cell>
          <cell r="BF317">
            <v>0.7</v>
          </cell>
          <cell r="BG317">
            <v>0.7</v>
          </cell>
          <cell r="BH317">
            <v>0.7</v>
          </cell>
          <cell r="BI317">
            <v>0.7</v>
          </cell>
          <cell r="BJ317">
            <v>0.7</v>
          </cell>
          <cell r="BK317">
            <v>0.7</v>
          </cell>
          <cell r="BL317">
            <v>0.7</v>
          </cell>
          <cell r="BM317">
            <v>0.7</v>
          </cell>
          <cell r="BN317">
            <v>0.7</v>
          </cell>
          <cell r="BO317">
            <v>0.7</v>
          </cell>
          <cell r="BP317">
            <v>0.7</v>
          </cell>
          <cell r="BQ317">
            <v>0.7</v>
          </cell>
          <cell r="BR317">
            <v>0.7</v>
          </cell>
          <cell r="BS317">
            <v>0.7</v>
          </cell>
          <cell r="BT317">
            <v>0.7</v>
          </cell>
          <cell r="BU317">
            <v>0.7</v>
          </cell>
          <cell r="BV317">
            <v>0.7</v>
          </cell>
          <cell r="BW317">
            <v>0.7</v>
          </cell>
          <cell r="BX317">
            <v>0.95</v>
          </cell>
          <cell r="BY317">
            <v>0.95</v>
          </cell>
          <cell r="BZ317">
            <v>0.95</v>
          </cell>
          <cell r="CA317">
            <v>0.95</v>
          </cell>
          <cell r="CB317">
            <v>0.95</v>
          </cell>
          <cell r="CC317">
            <v>0.95</v>
          </cell>
          <cell r="CD317">
            <v>0.95</v>
          </cell>
          <cell r="CE317">
            <v>0.95</v>
          </cell>
          <cell r="CF317">
            <v>0.95</v>
          </cell>
          <cell r="CG317">
            <v>0.95</v>
          </cell>
          <cell r="CH317">
            <v>0.95</v>
          </cell>
          <cell r="CI317">
            <v>0.95</v>
          </cell>
          <cell r="CJ317">
            <v>0.95</v>
          </cell>
          <cell r="CK317">
            <v>0.95</v>
          </cell>
        </row>
        <row r="318">
          <cell r="Q318" t="str">
            <v>E</v>
          </cell>
          <cell r="AJ318">
            <v>0</v>
          </cell>
          <cell r="AK318">
            <v>0</v>
          </cell>
          <cell r="AL318">
            <v>0</v>
          </cell>
          <cell r="AM318">
            <v>0</v>
          </cell>
          <cell r="AN318">
            <v>0.5</v>
          </cell>
          <cell r="AO318">
            <v>0.7</v>
          </cell>
          <cell r="AP318">
            <v>0.7</v>
          </cell>
          <cell r="AQ318">
            <v>0.7</v>
          </cell>
          <cell r="AR318">
            <v>0.7</v>
          </cell>
          <cell r="AS318">
            <v>0.7</v>
          </cell>
          <cell r="AT318">
            <v>0.7</v>
          </cell>
          <cell r="AU318">
            <v>0.7</v>
          </cell>
          <cell r="AV318">
            <v>0.7</v>
          </cell>
          <cell r="AW318">
            <v>0.7</v>
          </cell>
          <cell r="AX318">
            <v>0.7</v>
          </cell>
          <cell r="AY318">
            <v>0.7</v>
          </cell>
          <cell r="AZ318">
            <v>0.7</v>
          </cell>
          <cell r="BA318">
            <v>0.7</v>
          </cell>
          <cell r="BB318">
            <v>0.7</v>
          </cell>
          <cell r="BC318">
            <v>0.7</v>
          </cell>
          <cell r="BD318">
            <v>0.7</v>
          </cell>
          <cell r="BE318">
            <v>0.7</v>
          </cell>
          <cell r="BF318">
            <v>0.7</v>
          </cell>
          <cell r="BG318">
            <v>0.7</v>
          </cell>
          <cell r="BH318">
            <v>0.7</v>
          </cell>
          <cell r="BI318">
            <v>0.7</v>
          </cell>
          <cell r="BJ318">
            <v>0.7</v>
          </cell>
          <cell r="BK318">
            <v>0.7</v>
          </cell>
          <cell r="BL318">
            <v>0.7</v>
          </cell>
          <cell r="BM318">
            <v>0.7</v>
          </cell>
          <cell r="BN318">
            <v>0.7</v>
          </cell>
          <cell r="BO318">
            <v>0.7</v>
          </cell>
          <cell r="BP318">
            <v>0.7</v>
          </cell>
          <cell r="BQ318">
            <v>0.7</v>
          </cell>
          <cell r="BR318">
            <v>0.7</v>
          </cell>
          <cell r="BS318">
            <v>0.7</v>
          </cell>
          <cell r="BT318">
            <v>0.7</v>
          </cell>
          <cell r="BU318">
            <v>0.7</v>
          </cell>
          <cell r="BV318">
            <v>0.7</v>
          </cell>
          <cell r="BW318">
            <v>0.7</v>
          </cell>
          <cell r="BX318">
            <v>0.7</v>
          </cell>
          <cell r="BY318">
            <v>0.7</v>
          </cell>
          <cell r="BZ318">
            <v>0.7</v>
          </cell>
          <cell r="CA318">
            <v>0.7</v>
          </cell>
          <cell r="CB318">
            <v>0.95</v>
          </cell>
          <cell r="CC318">
            <v>0.95</v>
          </cell>
          <cell r="CD318">
            <v>0</v>
          </cell>
          <cell r="CE318">
            <v>0</v>
          </cell>
          <cell r="CF318">
            <v>0</v>
          </cell>
          <cell r="CG318">
            <v>0</v>
          </cell>
          <cell r="CH318">
            <v>0</v>
          </cell>
          <cell r="CI318">
            <v>0</v>
          </cell>
          <cell r="CJ318">
            <v>0</v>
          </cell>
          <cell r="CK318">
            <v>0</v>
          </cell>
        </row>
        <row r="319">
          <cell r="D319" t="str">
            <v>01</v>
          </cell>
          <cell r="E319" t="str">
            <v>46</v>
          </cell>
          <cell r="F319" t="str">
            <v>I01</v>
          </cell>
          <cell r="G319" t="str">
            <v>ESP</v>
          </cell>
          <cell r="H319" t="str">
            <v>010</v>
          </cell>
          <cell r="I319" t="str">
            <v>TRANMISORES DE PRESION MANOMETRICA</v>
          </cell>
          <cell r="J319">
            <v>39451</v>
          </cell>
          <cell r="K319">
            <v>39465</v>
          </cell>
          <cell r="L319">
            <v>39500</v>
          </cell>
          <cell r="M319">
            <v>39514</v>
          </cell>
          <cell r="N319">
            <v>39535</v>
          </cell>
          <cell r="O319">
            <v>39568</v>
          </cell>
          <cell r="P319">
            <v>62.062762711763376</v>
          </cell>
          <cell r="Q319" t="str">
            <v>P</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0.5</v>
          </cell>
          <cell r="BT319">
            <v>0.5</v>
          </cell>
          <cell r="BU319">
            <v>0.5</v>
          </cell>
          <cell r="BV319">
            <v>0.5</v>
          </cell>
          <cell r="BW319">
            <v>0.5</v>
          </cell>
          <cell r="BX319">
            <v>0.7</v>
          </cell>
          <cell r="BY319">
            <v>0.7</v>
          </cell>
          <cell r="BZ319">
            <v>0.7</v>
          </cell>
          <cell r="CA319">
            <v>0.7</v>
          </cell>
          <cell r="CB319">
            <v>0.7</v>
          </cell>
          <cell r="CC319">
            <v>0.95</v>
          </cell>
          <cell r="CD319">
            <v>0.95</v>
          </cell>
          <cell r="CE319">
            <v>0.95</v>
          </cell>
          <cell r="CF319">
            <v>0.95</v>
          </cell>
          <cell r="CG319">
            <v>1</v>
          </cell>
          <cell r="CH319">
            <v>1</v>
          </cell>
          <cell r="CI319">
            <v>1</v>
          </cell>
          <cell r="CJ319">
            <v>1</v>
          </cell>
          <cell r="CK319">
            <v>1</v>
          </cell>
        </row>
        <row r="320">
          <cell r="J320">
            <v>39451</v>
          </cell>
          <cell r="K320">
            <v>39465</v>
          </cell>
          <cell r="L320">
            <v>39500</v>
          </cell>
          <cell r="M320">
            <v>39514</v>
          </cell>
          <cell r="N320">
            <v>39535</v>
          </cell>
          <cell r="O320">
            <v>39642</v>
          </cell>
          <cell r="Q320" t="str">
            <v>R</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0.5</v>
          </cell>
          <cell r="BT320">
            <v>0.5</v>
          </cell>
          <cell r="BU320">
            <v>0.5</v>
          </cell>
          <cell r="BV320">
            <v>0.5</v>
          </cell>
          <cell r="BW320">
            <v>0.5</v>
          </cell>
          <cell r="BX320">
            <v>0.7</v>
          </cell>
          <cell r="BY320">
            <v>0.7</v>
          </cell>
          <cell r="BZ320">
            <v>0.7</v>
          </cell>
          <cell r="CA320">
            <v>0.7</v>
          </cell>
          <cell r="CB320">
            <v>0.7</v>
          </cell>
          <cell r="CC320">
            <v>0.95</v>
          </cell>
          <cell r="CD320">
            <v>0.95</v>
          </cell>
          <cell r="CE320">
            <v>0.95</v>
          </cell>
          <cell r="CF320">
            <v>0.95</v>
          </cell>
          <cell r="CG320">
            <v>0.95</v>
          </cell>
          <cell r="CH320">
            <v>0.95</v>
          </cell>
          <cell r="CI320">
            <v>0.95</v>
          </cell>
          <cell r="CJ320">
            <v>0.95</v>
          </cell>
          <cell r="CK320">
            <v>0.95</v>
          </cell>
        </row>
        <row r="321">
          <cell r="Q321" t="str">
            <v>E</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S321">
            <v>0</v>
          </cell>
          <cell r="BT321">
            <v>0</v>
          </cell>
          <cell r="BU321">
            <v>0</v>
          </cell>
          <cell r="BV321">
            <v>0</v>
          </cell>
          <cell r="BW321">
            <v>0.95</v>
          </cell>
          <cell r="BX321">
            <v>0.95</v>
          </cell>
          <cell r="BY321">
            <v>0.95</v>
          </cell>
          <cell r="BZ321">
            <v>0.95</v>
          </cell>
          <cell r="CA321">
            <v>0.95</v>
          </cell>
          <cell r="CB321">
            <v>0.95</v>
          </cell>
          <cell r="CC321">
            <v>0.95</v>
          </cell>
          <cell r="CD321">
            <v>0</v>
          </cell>
          <cell r="CE321">
            <v>0</v>
          </cell>
          <cell r="CF321">
            <v>0</v>
          </cell>
          <cell r="CG321">
            <v>0</v>
          </cell>
          <cell r="CH321">
            <v>0</v>
          </cell>
          <cell r="CI321">
            <v>0</v>
          </cell>
          <cell r="CJ321">
            <v>0</v>
          </cell>
          <cell r="CK321">
            <v>0</v>
          </cell>
        </row>
        <row r="322">
          <cell r="D322" t="str">
            <v>01</v>
          </cell>
          <cell r="E322" t="str">
            <v>46</v>
          </cell>
          <cell r="F322" t="str">
            <v>I01</v>
          </cell>
          <cell r="G322" t="str">
            <v>ESP</v>
          </cell>
          <cell r="H322" t="str">
            <v>011</v>
          </cell>
          <cell r="I322" t="str">
            <v>TRANMISORES DE PRESION DIFERENCIAL</v>
          </cell>
          <cell r="J322">
            <v>39464</v>
          </cell>
          <cell r="K322">
            <v>39479</v>
          </cell>
          <cell r="L322">
            <v>39514</v>
          </cell>
          <cell r="M322">
            <v>39526</v>
          </cell>
          <cell r="N322">
            <v>39542</v>
          </cell>
          <cell r="O322">
            <v>39568</v>
          </cell>
          <cell r="P322">
            <v>62.062762711763376</v>
          </cell>
          <cell r="Q322" t="str">
            <v>P</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0.5</v>
          </cell>
          <cell r="BV322">
            <v>0.5</v>
          </cell>
          <cell r="BW322">
            <v>0.5</v>
          </cell>
          <cell r="BX322">
            <v>0.5</v>
          </cell>
          <cell r="BY322">
            <v>0.5</v>
          </cell>
          <cell r="BZ322">
            <v>0.7</v>
          </cell>
          <cell r="CA322">
            <v>0.7</v>
          </cell>
          <cell r="CB322">
            <v>0.7</v>
          </cell>
          <cell r="CC322">
            <v>0.7</v>
          </cell>
          <cell r="CD322">
            <v>0.95</v>
          </cell>
          <cell r="CE322">
            <v>0.95</v>
          </cell>
          <cell r="CF322">
            <v>0.95</v>
          </cell>
          <cell r="CG322">
            <v>1</v>
          </cell>
          <cell r="CH322">
            <v>1</v>
          </cell>
          <cell r="CI322">
            <v>1</v>
          </cell>
          <cell r="CJ322">
            <v>1</v>
          </cell>
          <cell r="CK322">
            <v>1</v>
          </cell>
        </row>
        <row r="323">
          <cell r="J323">
            <v>39464</v>
          </cell>
          <cell r="K323">
            <v>39479</v>
          </cell>
          <cell r="L323">
            <v>39514</v>
          </cell>
          <cell r="M323">
            <v>39526</v>
          </cell>
          <cell r="N323">
            <v>39542</v>
          </cell>
          <cell r="O323">
            <v>39642</v>
          </cell>
          <cell r="Q323" t="str">
            <v>R</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0.5</v>
          </cell>
          <cell r="BV323">
            <v>0.5</v>
          </cell>
          <cell r="BW323">
            <v>0.5</v>
          </cell>
          <cell r="BX323">
            <v>0.5</v>
          </cell>
          <cell r="BY323">
            <v>0.5</v>
          </cell>
          <cell r="BZ323">
            <v>0.7</v>
          </cell>
          <cell r="CA323">
            <v>0.7</v>
          </cell>
          <cell r="CB323">
            <v>0.7</v>
          </cell>
          <cell r="CC323">
            <v>0.7</v>
          </cell>
          <cell r="CD323">
            <v>0.95</v>
          </cell>
          <cell r="CE323">
            <v>0.95</v>
          </cell>
          <cell r="CF323">
            <v>0.95</v>
          </cell>
          <cell r="CG323">
            <v>0.95</v>
          </cell>
          <cell r="CH323">
            <v>0.95</v>
          </cell>
          <cell r="CI323">
            <v>0.95</v>
          </cell>
          <cell r="CJ323">
            <v>0.95</v>
          </cell>
          <cell r="CK323">
            <v>0.95</v>
          </cell>
        </row>
        <row r="324">
          <cell r="Q324" t="str">
            <v>E</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S324">
            <v>0</v>
          </cell>
          <cell r="BT324">
            <v>0</v>
          </cell>
          <cell r="BU324">
            <v>0</v>
          </cell>
          <cell r="BV324">
            <v>0</v>
          </cell>
          <cell r="BW324">
            <v>0.5</v>
          </cell>
          <cell r="BX324">
            <v>0.5</v>
          </cell>
          <cell r="BY324">
            <v>0.5</v>
          </cell>
          <cell r="BZ324">
            <v>0.5</v>
          </cell>
          <cell r="CA324">
            <v>0.5</v>
          </cell>
          <cell r="CB324">
            <v>0.5</v>
          </cell>
          <cell r="CC324">
            <v>0.5</v>
          </cell>
          <cell r="CD324">
            <v>0</v>
          </cell>
          <cell r="CE324">
            <v>0</v>
          </cell>
          <cell r="CF324">
            <v>0</v>
          </cell>
          <cell r="CG324">
            <v>0</v>
          </cell>
          <cell r="CH324">
            <v>0</v>
          </cell>
          <cell r="CI324">
            <v>0</v>
          </cell>
          <cell r="CJ324">
            <v>0</v>
          </cell>
          <cell r="CK324">
            <v>0</v>
          </cell>
        </row>
        <row r="325">
          <cell r="D325" t="str">
            <v>01</v>
          </cell>
          <cell r="E325" t="str">
            <v>46</v>
          </cell>
          <cell r="F325" t="str">
            <v>I01</v>
          </cell>
          <cell r="G325" t="str">
            <v>ESP</v>
          </cell>
          <cell r="H325" t="str">
            <v>012</v>
          </cell>
          <cell r="I325" t="str">
            <v>INDICADORES DE PRESIÓN</v>
          </cell>
          <cell r="J325">
            <v>39458</v>
          </cell>
          <cell r="K325">
            <v>39472</v>
          </cell>
          <cell r="L325">
            <v>39493</v>
          </cell>
          <cell r="M325">
            <v>39500</v>
          </cell>
          <cell r="N325">
            <v>39521</v>
          </cell>
          <cell r="O325">
            <v>39568</v>
          </cell>
          <cell r="P325">
            <v>62.062762711763376</v>
          </cell>
          <cell r="Q325" t="str">
            <v>P</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0.5</v>
          </cell>
          <cell r="BU325">
            <v>0.5</v>
          </cell>
          <cell r="BV325">
            <v>0.5</v>
          </cell>
          <cell r="BW325">
            <v>0.7</v>
          </cell>
          <cell r="BX325">
            <v>0.7</v>
          </cell>
          <cell r="BY325">
            <v>0.7</v>
          </cell>
          <cell r="BZ325">
            <v>0.7</v>
          </cell>
          <cell r="CA325">
            <v>0.95</v>
          </cell>
          <cell r="CB325">
            <v>0.95</v>
          </cell>
          <cell r="CC325">
            <v>0.95</v>
          </cell>
          <cell r="CD325">
            <v>0.95</v>
          </cell>
          <cell r="CE325">
            <v>0.95</v>
          </cell>
          <cell r="CF325">
            <v>0.95</v>
          </cell>
          <cell r="CG325">
            <v>1</v>
          </cell>
          <cell r="CH325">
            <v>1</v>
          </cell>
          <cell r="CI325">
            <v>1</v>
          </cell>
          <cell r="CJ325">
            <v>1</v>
          </cell>
          <cell r="CK325">
            <v>1</v>
          </cell>
        </row>
        <row r="326">
          <cell r="J326">
            <v>39458</v>
          </cell>
          <cell r="K326">
            <v>39472</v>
          </cell>
          <cell r="L326">
            <v>39493</v>
          </cell>
          <cell r="M326">
            <v>39500</v>
          </cell>
          <cell r="N326">
            <v>39521</v>
          </cell>
          <cell r="O326">
            <v>39642</v>
          </cell>
          <cell r="Q326" t="str">
            <v>R</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0.5</v>
          </cell>
          <cell r="BU326">
            <v>0.5</v>
          </cell>
          <cell r="BV326">
            <v>0.5</v>
          </cell>
          <cell r="BW326">
            <v>0.7</v>
          </cell>
          <cell r="BX326">
            <v>0.7</v>
          </cell>
          <cell r="BY326">
            <v>0.7</v>
          </cell>
          <cell r="BZ326">
            <v>0.7</v>
          </cell>
          <cell r="CA326">
            <v>0.95</v>
          </cell>
          <cell r="CB326">
            <v>0.95</v>
          </cell>
          <cell r="CC326">
            <v>0.95</v>
          </cell>
          <cell r="CD326">
            <v>0.95</v>
          </cell>
          <cell r="CE326">
            <v>0.95</v>
          </cell>
          <cell r="CF326">
            <v>0.95</v>
          </cell>
          <cell r="CG326">
            <v>0.95</v>
          </cell>
          <cell r="CH326">
            <v>0.95</v>
          </cell>
          <cell r="CI326">
            <v>0.95</v>
          </cell>
          <cell r="CJ326">
            <v>0.95</v>
          </cell>
          <cell r="CK326">
            <v>0.95</v>
          </cell>
        </row>
        <row r="327">
          <cell r="Q327" t="str">
            <v>E</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S327">
            <v>0</v>
          </cell>
          <cell r="BT327">
            <v>0</v>
          </cell>
          <cell r="BU327">
            <v>0</v>
          </cell>
          <cell r="BV327">
            <v>0</v>
          </cell>
          <cell r="BW327">
            <v>0.7</v>
          </cell>
          <cell r="BX327">
            <v>0.7</v>
          </cell>
          <cell r="BY327">
            <v>0.7</v>
          </cell>
          <cell r="BZ327">
            <v>0.7</v>
          </cell>
          <cell r="CA327">
            <v>0.7</v>
          </cell>
          <cell r="CB327">
            <v>0.7</v>
          </cell>
          <cell r="CC327">
            <v>0.7</v>
          </cell>
          <cell r="CD327">
            <v>0</v>
          </cell>
          <cell r="CE327">
            <v>0</v>
          </cell>
          <cell r="CF327">
            <v>0</v>
          </cell>
          <cell r="CG327">
            <v>0</v>
          </cell>
          <cell r="CH327">
            <v>0</v>
          </cell>
          <cell r="CI327">
            <v>0</v>
          </cell>
          <cell r="CJ327">
            <v>0</v>
          </cell>
          <cell r="CK327">
            <v>0</v>
          </cell>
        </row>
        <row r="328">
          <cell r="D328" t="str">
            <v>01</v>
          </cell>
          <cell r="E328" t="str">
            <v>46</v>
          </cell>
          <cell r="F328" t="str">
            <v>I01</v>
          </cell>
          <cell r="G328" t="str">
            <v>ESP</v>
          </cell>
          <cell r="H328" t="str">
            <v>013</v>
          </cell>
          <cell r="I328" t="str">
            <v>TERMOCUPLAS Y TERMOPOZOS</v>
          </cell>
          <cell r="J328">
            <v>39464</v>
          </cell>
          <cell r="K328">
            <v>39479</v>
          </cell>
          <cell r="L328">
            <v>39493</v>
          </cell>
          <cell r="M328">
            <v>39500</v>
          </cell>
          <cell r="N328">
            <v>39521</v>
          </cell>
          <cell r="O328">
            <v>39568</v>
          </cell>
          <cell r="P328">
            <v>62.062762711763376</v>
          </cell>
          <cell r="Q328" t="str">
            <v>P</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0.5</v>
          </cell>
          <cell r="BV328">
            <v>0.5</v>
          </cell>
          <cell r="BW328">
            <v>0.7</v>
          </cell>
          <cell r="BX328">
            <v>0.7</v>
          </cell>
          <cell r="BY328">
            <v>0.7</v>
          </cell>
          <cell r="BZ328">
            <v>0.7</v>
          </cell>
          <cell r="CA328">
            <v>0.95</v>
          </cell>
          <cell r="CB328">
            <v>0.95</v>
          </cell>
          <cell r="CC328">
            <v>0.95</v>
          </cell>
          <cell r="CD328">
            <v>0.95</v>
          </cell>
          <cell r="CE328">
            <v>0.95</v>
          </cell>
          <cell r="CF328">
            <v>0.95</v>
          </cell>
          <cell r="CG328">
            <v>1</v>
          </cell>
          <cell r="CH328">
            <v>1</v>
          </cell>
          <cell r="CI328">
            <v>1</v>
          </cell>
          <cell r="CJ328">
            <v>1</v>
          </cell>
          <cell r="CK328">
            <v>1</v>
          </cell>
        </row>
        <row r="329">
          <cell r="J329">
            <v>39464</v>
          </cell>
          <cell r="K329">
            <v>39479</v>
          </cell>
          <cell r="L329">
            <v>39493</v>
          </cell>
          <cell r="M329">
            <v>39500</v>
          </cell>
          <cell r="N329">
            <v>39521</v>
          </cell>
          <cell r="O329">
            <v>39642</v>
          </cell>
          <cell r="Q329" t="str">
            <v>R</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0.5</v>
          </cell>
          <cell r="BV329">
            <v>0.5</v>
          </cell>
          <cell r="BW329">
            <v>0.7</v>
          </cell>
          <cell r="BX329">
            <v>0.7</v>
          </cell>
          <cell r="BY329">
            <v>0.7</v>
          </cell>
          <cell r="BZ329">
            <v>0.7</v>
          </cell>
          <cell r="CA329">
            <v>0.95</v>
          </cell>
          <cell r="CB329">
            <v>0.95</v>
          </cell>
          <cell r="CC329">
            <v>0.95</v>
          </cell>
          <cell r="CD329">
            <v>0.95</v>
          </cell>
          <cell r="CE329">
            <v>0.95</v>
          </cell>
          <cell r="CF329">
            <v>0.95</v>
          </cell>
          <cell r="CG329">
            <v>0.95</v>
          </cell>
          <cell r="CH329">
            <v>0.95</v>
          </cell>
          <cell r="CI329">
            <v>0.95</v>
          </cell>
          <cell r="CJ329">
            <v>0.95</v>
          </cell>
          <cell r="CK329">
            <v>0.95</v>
          </cell>
        </row>
        <row r="330">
          <cell r="Q330" t="str">
            <v>E</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S330">
            <v>0</v>
          </cell>
          <cell r="BT330">
            <v>0</v>
          </cell>
          <cell r="BU330">
            <v>0</v>
          </cell>
          <cell r="BV330">
            <v>0</v>
          </cell>
          <cell r="BW330">
            <v>0.5</v>
          </cell>
          <cell r="BX330">
            <v>0.7</v>
          </cell>
          <cell r="BY330">
            <v>0.7</v>
          </cell>
          <cell r="BZ330">
            <v>0.7</v>
          </cell>
          <cell r="CA330">
            <v>0.7</v>
          </cell>
          <cell r="CB330">
            <v>0.7</v>
          </cell>
          <cell r="CC330">
            <v>0.7</v>
          </cell>
          <cell r="CD330">
            <v>0</v>
          </cell>
          <cell r="CE330">
            <v>0</v>
          </cell>
          <cell r="CF330">
            <v>0</v>
          </cell>
          <cell r="CG330">
            <v>0</v>
          </cell>
          <cell r="CH330">
            <v>0</v>
          </cell>
          <cell r="CI330">
            <v>0</v>
          </cell>
          <cell r="CJ330">
            <v>0</v>
          </cell>
          <cell r="CK330">
            <v>0</v>
          </cell>
        </row>
        <row r="331">
          <cell r="D331" t="str">
            <v>01</v>
          </cell>
          <cell r="E331" t="str">
            <v>46</v>
          </cell>
          <cell r="F331" t="str">
            <v>I01</v>
          </cell>
          <cell r="G331" t="str">
            <v>ESP</v>
          </cell>
          <cell r="H331" t="str">
            <v>009</v>
          </cell>
          <cell r="I331" t="str">
            <v>TRANSMISORES DE TEMPERATURA</v>
          </cell>
          <cell r="J331">
            <v>39464</v>
          </cell>
          <cell r="K331">
            <v>39479</v>
          </cell>
          <cell r="L331">
            <v>39493</v>
          </cell>
          <cell r="M331">
            <v>39500</v>
          </cell>
          <cell r="N331">
            <v>39521</v>
          </cell>
          <cell r="O331">
            <v>39568</v>
          </cell>
          <cell r="P331">
            <v>62.062762711763376</v>
          </cell>
          <cell r="Q331" t="str">
            <v>P</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0.5</v>
          </cell>
          <cell r="BV331">
            <v>0.5</v>
          </cell>
          <cell r="BW331">
            <v>0.7</v>
          </cell>
          <cell r="BX331">
            <v>0.7</v>
          </cell>
          <cell r="BY331">
            <v>0.7</v>
          </cell>
          <cell r="BZ331">
            <v>0.7</v>
          </cell>
          <cell r="CA331">
            <v>0.95</v>
          </cell>
          <cell r="CB331">
            <v>0.95</v>
          </cell>
          <cell r="CC331">
            <v>0.95</v>
          </cell>
          <cell r="CD331">
            <v>0.95</v>
          </cell>
          <cell r="CE331">
            <v>0.95</v>
          </cell>
          <cell r="CF331">
            <v>0.95</v>
          </cell>
          <cell r="CG331">
            <v>1</v>
          </cell>
          <cell r="CH331">
            <v>1</v>
          </cell>
          <cell r="CI331">
            <v>1</v>
          </cell>
          <cell r="CJ331">
            <v>1</v>
          </cell>
          <cell r="CK331">
            <v>1</v>
          </cell>
        </row>
        <row r="332">
          <cell r="J332">
            <v>39464</v>
          </cell>
          <cell r="K332">
            <v>39479</v>
          </cell>
          <cell r="L332">
            <v>39493</v>
          </cell>
          <cell r="M332">
            <v>39500</v>
          </cell>
          <cell r="N332">
            <v>39521</v>
          </cell>
          <cell r="O332">
            <v>39642</v>
          </cell>
          <cell r="Q332" t="str">
            <v>R</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0.5</v>
          </cell>
          <cell r="BV332">
            <v>0.5</v>
          </cell>
          <cell r="BW332">
            <v>0.7</v>
          </cell>
          <cell r="BX332">
            <v>0.7</v>
          </cell>
          <cell r="BY332">
            <v>0.7</v>
          </cell>
          <cell r="BZ332">
            <v>0.7</v>
          </cell>
          <cell r="CA332">
            <v>0.95</v>
          </cell>
          <cell r="CB332">
            <v>0.95</v>
          </cell>
          <cell r="CC332">
            <v>0.95</v>
          </cell>
          <cell r="CD332">
            <v>0.95</v>
          </cell>
          <cell r="CE332">
            <v>0.95</v>
          </cell>
          <cell r="CF332">
            <v>0.95</v>
          </cell>
          <cell r="CG332">
            <v>0.95</v>
          </cell>
          <cell r="CH332">
            <v>0.95</v>
          </cell>
          <cell r="CI332">
            <v>0.95</v>
          </cell>
          <cell r="CJ332">
            <v>0.95</v>
          </cell>
          <cell r="CK332">
            <v>0.95</v>
          </cell>
        </row>
        <row r="333">
          <cell r="Q333" t="str">
            <v>E</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S333">
            <v>0</v>
          </cell>
          <cell r="BT333">
            <v>0</v>
          </cell>
          <cell r="BU333">
            <v>0</v>
          </cell>
          <cell r="BV333">
            <v>0</v>
          </cell>
          <cell r="BW333">
            <v>0.95</v>
          </cell>
          <cell r="BX333">
            <v>0.95</v>
          </cell>
          <cell r="BY333">
            <v>0.95</v>
          </cell>
          <cell r="BZ333">
            <v>0.95</v>
          </cell>
          <cell r="CA333">
            <v>0.95</v>
          </cell>
          <cell r="CB333">
            <v>0.95</v>
          </cell>
          <cell r="CC333">
            <v>0.95</v>
          </cell>
          <cell r="CD333">
            <v>0</v>
          </cell>
          <cell r="CE333">
            <v>0</v>
          </cell>
          <cell r="CF333">
            <v>0</v>
          </cell>
          <cell r="CG333">
            <v>0</v>
          </cell>
          <cell r="CH333">
            <v>0</v>
          </cell>
          <cell r="CI333">
            <v>0</v>
          </cell>
          <cell r="CJ333">
            <v>0</v>
          </cell>
          <cell r="CK333">
            <v>0</v>
          </cell>
        </row>
        <row r="334">
          <cell r="D334" t="str">
            <v>01</v>
          </cell>
          <cell r="E334" t="str">
            <v>46</v>
          </cell>
          <cell r="F334" t="str">
            <v>I01</v>
          </cell>
          <cell r="G334" t="str">
            <v>ESP</v>
          </cell>
          <cell r="H334" t="str">
            <v>008</v>
          </cell>
          <cell r="I334" t="str">
            <v>INDICADORES DE TEMPERATURA</v>
          </cell>
          <cell r="J334">
            <v>39464</v>
          </cell>
          <cell r="K334">
            <v>39479</v>
          </cell>
          <cell r="L334">
            <v>39493</v>
          </cell>
          <cell r="M334">
            <v>39500</v>
          </cell>
          <cell r="N334">
            <v>39521</v>
          </cell>
          <cell r="O334">
            <v>39568</v>
          </cell>
          <cell r="P334">
            <v>62.062762711763376</v>
          </cell>
          <cell r="Q334" t="str">
            <v>P</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0.5</v>
          </cell>
          <cell r="BV334">
            <v>0.5</v>
          </cell>
          <cell r="BW334">
            <v>0.7</v>
          </cell>
          <cell r="BX334">
            <v>0.7</v>
          </cell>
          <cell r="BY334">
            <v>0.7</v>
          </cell>
          <cell r="BZ334">
            <v>0.7</v>
          </cell>
          <cell r="CA334">
            <v>0.95</v>
          </cell>
          <cell r="CB334">
            <v>0.95</v>
          </cell>
          <cell r="CC334">
            <v>0.95</v>
          </cell>
          <cell r="CD334">
            <v>0.95</v>
          </cell>
          <cell r="CE334">
            <v>0.95</v>
          </cell>
          <cell r="CF334">
            <v>0.95</v>
          </cell>
          <cell r="CG334">
            <v>1</v>
          </cell>
          <cell r="CH334">
            <v>1</v>
          </cell>
          <cell r="CI334">
            <v>1</v>
          </cell>
          <cell r="CJ334">
            <v>1</v>
          </cell>
          <cell r="CK334">
            <v>1</v>
          </cell>
        </row>
        <row r="335">
          <cell r="J335">
            <v>39464</v>
          </cell>
          <cell r="K335">
            <v>39479</v>
          </cell>
          <cell r="L335">
            <v>39493</v>
          </cell>
          <cell r="M335">
            <v>39500</v>
          </cell>
          <cell r="N335">
            <v>39521</v>
          </cell>
          <cell r="O335">
            <v>39642</v>
          </cell>
          <cell r="Q335" t="str">
            <v>R</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0.5</v>
          </cell>
          <cell r="BV335">
            <v>0.5</v>
          </cell>
          <cell r="BW335">
            <v>0.7</v>
          </cell>
          <cell r="BX335">
            <v>0.7</v>
          </cell>
          <cell r="BY335">
            <v>0.7</v>
          </cell>
          <cell r="BZ335">
            <v>0.7</v>
          </cell>
          <cell r="CA335">
            <v>0.95</v>
          </cell>
          <cell r="CB335">
            <v>0.95</v>
          </cell>
          <cell r="CC335">
            <v>0.95</v>
          </cell>
          <cell r="CD335">
            <v>0.95</v>
          </cell>
          <cell r="CE335">
            <v>0.95</v>
          </cell>
          <cell r="CF335">
            <v>0.95</v>
          </cell>
          <cell r="CG335">
            <v>0.95</v>
          </cell>
          <cell r="CH335">
            <v>0.95</v>
          </cell>
          <cell r="CI335">
            <v>0.95</v>
          </cell>
          <cell r="CJ335">
            <v>0.95</v>
          </cell>
          <cell r="CK335">
            <v>0.95</v>
          </cell>
        </row>
        <row r="336">
          <cell r="Q336" t="str">
            <v>E</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S336">
            <v>0</v>
          </cell>
          <cell r="BT336">
            <v>0</v>
          </cell>
          <cell r="BU336">
            <v>0</v>
          </cell>
          <cell r="BV336">
            <v>0</v>
          </cell>
          <cell r="BW336">
            <v>0.5</v>
          </cell>
          <cell r="BX336">
            <v>0.5</v>
          </cell>
          <cell r="BY336">
            <v>0.5</v>
          </cell>
          <cell r="BZ336">
            <v>0.5</v>
          </cell>
          <cell r="CA336">
            <v>0.5</v>
          </cell>
          <cell r="CB336">
            <v>0.5</v>
          </cell>
          <cell r="CC336">
            <v>0.5</v>
          </cell>
          <cell r="CD336">
            <v>0</v>
          </cell>
          <cell r="CE336">
            <v>0</v>
          </cell>
          <cell r="CF336">
            <v>0</v>
          </cell>
          <cell r="CG336">
            <v>0</v>
          </cell>
          <cell r="CH336">
            <v>0</v>
          </cell>
          <cell r="CI336">
            <v>0</v>
          </cell>
          <cell r="CJ336">
            <v>0</v>
          </cell>
          <cell r="CK336">
            <v>0</v>
          </cell>
        </row>
        <row r="337">
          <cell r="D337" t="str">
            <v>01</v>
          </cell>
          <cell r="E337" t="str">
            <v>46</v>
          </cell>
          <cell r="F337" t="str">
            <v>I01</v>
          </cell>
          <cell r="G337" t="str">
            <v>ESP</v>
          </cell>
          <cell r="H337" t="str">
            <v>014</v>
          </cell>
          <cell r="I337" t="str">
            <v>VALVULAS DE SEGURIDAD</v>
          </cell>
          <cell r="J337">
            <v>39465</v>
          </cell>
          <cell r="K337">
            <v>39479</v>
          </cell>
          <cell r="L337">
            <v>39514</v>
          </cell>
          <cell r="M337">
            <v>39526</v>
          </cell>
          <cell r="N337">
            <v>39549</v>
          </cell>
          <cell r="O337">
            <v>39568</v>
          </cell>
          <cell r="P337">
            <v>62.062762711763376</v>
          </cell>
          <cell r="Q337" t="str">
            <v>P</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0.5</v>
          </cell>
          <cell r="BV337">
            <v>0.5</v>
          </cell>
          <cell r="BW337">
            <v>0.5</v>
          </cell>
          <cell r="BX337">
            <v>0.5</v>
          </cell>
          <cell r="BY337">
            <v>0.5</v>
          </cell>
          <cell r="BZ337">
            <v>0.7</v>
          </cell>
          <cell r="CA337">
            <v>0.7</v>
          </cell>
          <cell r="CB337">
            <v>0.7</v>
          </cell>
          <cell r="CC337">
            <v>0.7</v>
          </cell>
          <cell r="CD337">
            <v>0.7</v>
          </cell>
          <cell r="CE337">
            <v>0.95</v>
          </cell>
          <cell r="CF337">
            <v>0.95</v>
          </cell>
          <cell r="CG337">
            <v>1</v>
          </cell>
          <cell r="CH337">
            <v>1</v>
          </cell>
          <cell r="CI337">
            <v>1</v>
          </cell>
          <cell r="CJ337">
            <v>1</v>
          </cell>
          <cell r="CK337">
            <v>1</v>
          </cell>
        </row>
        <row r="338">
          <cell r="J338">
            <v>39465</v>
          </cell>
          <cell r="K338">
            <v>39479</v>
          </cell>
          <cell r="L338">
            <v>39514</v>
          </cell>
          <cell r="M338">
            <v>39526</v>
          </cell>
          <cell r="N338">
            <v>39549</v>
          </cell>
          <cell r="O338">
            <v>39642</v>
          </cell>
          <cell r="Q338" t="str">
            <v>R</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0.5</v>
          </cell>
          <cell r="BV338">
            <v>0.5</v>
          </cell>
          <cell r="BW338">
            <v>0.5</v>
          </cell>
          <cell r="BX338">
            <v>0.5</v>
          </cell>
          <cell r="BY338">
            <v>0.5</v>
          </cell>
          <cell r="BZ338">
            <v>0.7</v>
          </cell>
          <cell r="CA338">
            <v>0.7</v>
          </cell>
          <cell r="CB338">
            <v>0.7</v>
          </cell>
          <cell r="CC338">
            <v>0.7</v>
          </cell>
          <cell r="CD338">
            <v>0.7</v>
          </cell>
          <cell r="CE338">
            <v>0.95</v>
          </cell>
          <cell r="CF338">
            <v>0.95</v>
          </cell>
          <cell r="CG338">
            <v>0.95</v>
          </cell>
          <cell r="CH338">
            <v>0.95</v>
          </cell>
          <cell r="CI338">
            <v>0.95</v>
          </cell>
          <cell r="CJ338">
            <v>0.95</v>
          </cell>
          <cell r="CK338">
            <v>0.95</v>
          </cell>
        </row>
        <row r="339">
          <cell r="Q339" t="str">
            <v>E</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S339">
            <v>0</v>
          </cell>
          <cell r="BT339">
            <v>0</v>
          </cell>
          <cell r="BU339">
            <v>0</v>
          </cell>
          <cell r="BV339">
            <v>0</v>
          </cell>
          <cell r="BW339">
            <v>0.5</v>
          </cell>
          <cell r="BX339">
            <v>0.5</v>
          </cell>
          <cell r="BY339">
            <v>0.5</v>
          </cell>
          <cell r="BZ339">
            <v>0.5</v>
          </cell>
          <cell r="CA339">
            <v>0.5</v>
          </cell>
          <cell r="CB339">
            <v>0.5</v>
          </cell>
          <cell r="CC339">
            <v>0.5</v>
          </cell>
          <cell r="CD339">
            <v>0</v>
          </cell>
          <cell r="CE339">
            <v>0</v>
          </cell>
          <cell r="CF339">
            <v>0</v>
          </cell>
          <cell r="CG339">
            <v>0</v>
          </cell>
          <cell r="CH339">
            <v>0</v>
          </cell>
          <cell r="CI339">
            <v>0</v>
          </cell>
          <cell r="CJ339">
            <v>0</v>
          </cell>
          <cell r="CK339">
            <v>0</v>
          </cell>
        </row>
        <row r="340">
          <cell r="D340" t="str">
            <v>01</v>
          </cell>
          <cell r="E340" t="str">
            <v>46</v>
          </cell>
          <cell r="F340" t="str">
            <v>I01</v>
          </cell>
          <cell r="G340" t="str">
            <v>ESP</v>
          </cell>
          <cell r="H340" t="str">
            <v>005</v>
          </cell>
          <cell r="I340" t="str">
            <v>VALVULAS ON-OFF</v>
          </cell>
          <cell r="J340">
            <v>39464</v>
          </cell>
          <cell r="K340">
            <v>39479</v>
          </cell>
          <cell r="L340">
            <v>39514</v>
          </cell>
          <cell r="M340">
            <v>39526</v>
          </cell>
          <cell r="N340">
            <v>39549</v>
          </cell>
          <cell r="O340">
            <v>39568</v>
          </cell>
          <cell r="P340">
            <v>62.062762711763376</v>
          </cell>
          <cell r="Q340" t="str">
            <v>P</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0.5</v>
          </cell>
          <cell r="BV340">
            <v>0.5</v>
          </cell>
          <cell r="BW340">
            <v>0.5</v>
          </cell>
          <cell r="BX340">
            <v>0.5</v>
          </cell>
          <cell r="BY340">
            <v>0.5</v>
          </cell>
          <cell r="BZ340">
            <v>0.7</v>
          </cell>
          <cell r="CA340">
            <v>0.7</v>
          </cell>
          <cell r="CB340">
            <v>0.7</v>
          </cell>
          <cell r="CC340">
            <v>0.7</v>
          </cell>
          <cell r="CD340">
            <v>0.7</v>
          </cell>
          <cell r="CE340">
            <v>0.95</v>
          </cell>
          <cell r="CF340">
            <v>0.95</v>
          </cell>
          <cell r="CG340">
            <v>1</v>
          </cell>
          <cell r="CH340">
            <v>1</v>
          </cell>
          <cell r="CI340">
            <v>1</v>
          </cell>
          <cell r="CJ340">
            <v>1</v>
          </cell>
          <cell r="CK340">
            <v>1</v>
          </cell>
        </row>
        <row r="341">
          <cell r="J341">
            <v>39464</v>
          </cell>
          <cell r="K341">
            <v>39479</v>
          </cell>
          <cell r="L341">
            <v>39514</v>
          </cell>
          <cell r="M341">
            <v>39526</v>
          </cell>
          <cell r="N341">
            <v>39549</v>
          </cell>
          <cell r="O341">
            <v>39642</v>
          </cell>
          <cell r="Q341" t="str">
            <v>R</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0.5</v>
          </cell>
          <cell r="BV341">
            <v>0.5</v>
          </cell>
          <cell r="BW341">
            <v>0.5</v>
          </cell>
          <cell r="BX341">
            <v>0.5</v>
          </cell>
          <cell r="BY341">
            <v>0.5</v>
          </cell>
          <cell r="BZ341">
            <v>0.7</v>
          </cell>
          <cell r="CA341">
            <v>0.7</v>
          </cell>
          <cell r="CB341">
            <v>0.7</v>
          </cell>
          <cell r="CC341">
            <v>0.7</v>
          </cell>
          <cell r="CD341">
            <v>0.7</v>
          </cell>
          <cell r="CE341">
            <v>0.95</v>
          </cell>
          <cell r="CF341">
            <v>0.95</v>
          </cell>
          <cell r="CG341">
            <v>0.95</v>
          </cell>
          <cell r="CH341">
            <v>0.95</v>
          </cell>
          <cell r="CI341">
            <v>0.95</v>
          </cell>
          <cell r="CJ341">
            <v>0.95</v>
          </cell>
          <cell r="CK341">
            <v>0.95</v>
          </cell>
        </row>
        <row r="342">
          <cell r="Q342" t="str">
            <v>E</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S342">
            <v>0</v>
          </cell>
          <cell r="BT342">
            <v>0</v>
          </cell>
          <cell r="BU342">
            <v>0</v>
          </cell>
          <cell r="BV342">
            <v>0</v>
          </cell>
          <cell r="BW342">
            <v>0.5</v>
          </cell>
          <cell r="BX342">
            <v>0.7</v>
          </cell>
          <cell r="BY342">
            <v>0.7</v>
          </cell>
          <cell r="BZ342">
            <v>0.7</v>
          </cell>
          <cell r="CA342">
            <v>0.7</v>
          </cell>
          <cell r="CB342">
            <v>0.7</v>
          </cell>
          <cell r="CC342">
            <v>0.7</v>
          </cell>
          <cell r="CD342">
            <v>0</v>
          </cell>
          <cell r="CE342">
            <v>0</v>
          </cell>
          <cell r="CF342">
            <v>0</v>
          </cell>
          <cell r="CG342">
            <v>0</v>
          </cell>
          <cell r="CH342">
            <v>0</v>
          </cell>
          <cell r="CI342">
            <v>0</v>
          </cell>
          <cell r="CJ342">
            <v>0</v>
          </cell>
          <cell r="CK342">
            <v>0</v>
          </cell>
        </row>
        <row r="343">
          <cell r="D343" t="str">
            <v>01</v>
          </cell>
          <cell r="E343" t="str">
            <v>46</v>
          </cell>
          <cell r="F343" t="str">
            <v>I01</v>
          </cell>
          <cell r="G343" t="str">
            <v>ESP</v>
          </cell>
          <cell r="H343" t="str">
            <v>001</v>
          </cell>
          <cell r="I343" t="str">
            <v>PLACAS DE ORIFICIO</v>
          </cell>
          <cell r="J343">
            <v>39464</v>
          </cell>
          <cell r="K343">
            <v>39479</v>
          </cell>
          <cell r="L343">
            <v>39514</v>
          </cell>
          <cell r="M343">
            <v>39526</v>
          </cell>
          <cell r="N343">
            <v>39549</v>
          </cell>
          <cell r="O343">
            <v>39568</v>
          </cell>
          <cell r="P343">
            <v>62.062762711763376</v>
          </cell>
          <cell r="Q343" t="str">
            <v>P</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0.5</v>
          </cell>
          <cell r="BV343">
            <v>0.5</v>
          </cell>
          <cell r="BW343">
            <v>0.5</v>
          </cell>
          <cell r="BX343">
            <v>0.5</v>
          </cell>
          <cell r="BY343">
            <v>0.5</v>
          </cell>
          <cell r="BZ343">
            <v>0.7</v>
          </cell>
          <cell r="CA343">
            <v>0.7</v>
          </cell>
          <cell r="CB343">
            <v>0.7</v>
          </cell>
          <cell r="CC343">
            <v>0.7</v>
          </cell>
          <cell r="CD343">
            <v>0.7</v>
          </cell>
          <cell r="CE343">
            <v>0.95</v>
          </cell>
          <cell r="CF343">
            <v>0.95</v>
          </cell>
          <cell r="CG343">
            <v>1</v>
          </cell>
          <cell r="CH343">
            <v>1</v>
          </cell>
          <cell r="CI343">
            <v>1</v>
          </cell>
          <cell r="CJ343">
            <v>1</v>
          </cell>
          <cell r="CK343">
            <v>1</v>
          </cell>
        </row>
        <row r="344">
          <cell r="J344">
            <v>39464</v>
          </cell>
          <cell r="K344">
            <v>39479</v>
          </cell>
          <cell r="L344">
            <v>39514</v>
          </cell>
          <cell r="M344">
            <v>39526</v>
          </cell>
          <cell r="N344">
            <v>39549</v>
          </cell>
          <cell r="O344">
            <v>39642</v>
          </cell>
          <cell r="Q344" t="str">
            <v>R</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0.5</v>
          </cell>
          <cell r="BV344">
            <v>0.5</v>
          </cell>
          <cell r="BW344">
            <v>0.5</v>
          </cell>
          <cell r="BX344">
            <v>0.5</v>
          </cell>
          <cell r="BY344">
            <v>0.5</v>
          </cell>
          <cell r="BZ344">
            <v>0.7</v>
          </cell>
          <cell r="CA344">
            <v>0.7</v>
          </cell>
          <cell r="CB344">
            <v>0.7</v>
          </cell>
          <cell r="CC344">
            <v>0.7</v>
          </cell>
          <cell r="CD344">
            <v>0.7</v>
          </cell>
          <cell r="CE344">
            <v>0.95</v>
          </cell>
          <cell r="CF344">
            <v>0.95</v>
          </cell>
          <cell r="CG344">
            <v>0.95</v>
          </cell>
          <cell r="CH344">
            <v>0.95</v>
          </cell>
          <cell r="CI344">
            <v>0.95</v>
          </cell>
          <cell r="CJ344">
            <v>0.95</v>
          </cell>
          <cell r="CK344">
            <v>0.95</v>
          </cell>
        </row>
        <row r="345">
          <cell r="Q345" t="str">
            <v>E</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S345">
            <v>0</v>
          </cell>
          <cell r="BT345">
            <v>0</v>
          </cell>
          <cell r="BU345">
            <v>0</v>
          </cell>
          <cell r="BV345">
            <v>0</v>
          </cell>
          <cell r="BW345">
            <v>0.5</v>
          </cell>
          <cell r="BX345">
            <v>0.7</v>
          </cell>
          <cell r="BY345">
            <v>0.7</v>
          </cell>
          <cell r="BZ345">
            <v>0.7</v>
          </cell>
          <cell r="CA345">
            <v>0.7</v>
          </cell>
          <cell r="CB345">
            <v>0.7</v>
          </cell>
          <cell r="CC345">
            <v>0.7</v>
          </cell>
          <cell r="CD345">
            <v>0</v>
          </cell>
          <cell r="CE345">
            <v>0</v>
          </cell>
          <cell r="CF345">
            <v>0</v>
          </cell>
          <cell r="CG345">
            <v>0</v>
          </cell>
          <cell r="CH345">
            <v>0</v>
          </cell>
          <cell r="CI345">
            <v>0</v>
          </cell>
          <cell r="CJ345">
            <v>0</v>
          </cell>
          <cell r="CK345">
            <v>0</v>
          </cell>
        </row>
        <row r="346">
          <cell r="D346" t="str">
            <v>01</v>
          </cell>
          <cell r="E346" t="str">
            <v>46</v>
          </cell>
          <cell r="F346" t="str">
            <v>I04</v>
          </cell>
          <cell r="G346" t="str">
            <v>REQ</v>
          </cell>
          <cell r="H346" t="str">
            <v>2145-1</v>
          </cell>
          <cell r="I346" t="str">
            <v>VALVULAS ON-OFF</v>
          </cell>
          <cell r="J346">
            <v>39464</v>
          </cell>
          <cell r="K346">
            <v>39479</v>
          </cell>
          <cell r="L346">
            <v>39514</v>
          </cell>
          <cell r="M346">
            <v>39526</v>
          </cell>
          <cell r="N346">
            <v>39549</v>
          </cell>
          <cell r="O346">
            <v>39568</v>
          </cell>
          <cell r="P346">
            <v>62.062762711763376</v>
          </cell>
          <cell r="Q346" t="str">
            <v>P</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0.5</v>
          </cell>
          <cell r="BV346">
            <v>0.5</v>
          </cell>
          <cell r="BW346">
            <v>0.5</v>
          </cell>
          <cell r="BX346">
            <v>0.5</v>
          </cell>
          <cell r="BY346">
            <v>0.5</v>
          </cell>
          <cell r="BZ346">
            <v>0.7</v>
          </cell>
          <cell r="CA346">
            <v>0.7</v>
          </cell>
          <cell r="CB346">
            <v>0.7</v>
          </cell>
          <cell r="CC346">
            <v>0.7</v>
          </cell>
          <cell r="CD346">
            <v>0.7</v>
          </cell>
          <cell r="CE346">
            <v>0.95</v>
          </cell>
          <cell r="CF346">
            <v>0.95</v>
          </cell>
          <cell r="CG346">
            <v>1</v>
          </cell>
          <cell r="CH346">
            <v>1</v>
          </cell>
          <cell r="CI346">
            <v>1</v>
          </cell>
          <cell r="CJ346">
            <v>1</v>
          </cell>
          <cell r="CK346">
            <v>1</v>
          </cell>
        </row>
        <row r="347">
          <cell r="J347">
            <v>39464</v>
          </cell>
          <cell r="K347">
            <v>39479</v>
          </cell>
          <cell r="L347">
            <v>39514</v>
          </cell>
          <cell r="M347">
            <v>39526</v>
          </cell>
          <cell r="N347">
            <v>39549</v>
          </cell>
          <cell r="O347">
            <v>39642</v>
          </cell>
          <cell r="Q347" t="str">
            <v>R</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0.5</v>
          </cell>
          <cell r="BV347">
            <v>0.5</v>
          </cell>
          <cell r="BW347">
            <v>0.5</v>
          </cell>
          <cell r="BX347">
            <v>0.5</v>
          </cell>
          <cell r="BY347">
            <v>0.5</v>
          </cell>
          <cell r="BZ347">
            <v>0.7</v>
          </cell>
          <cell r="CA347">
            <v>0.7</v>
          </cell>
          <cell r="CB347">
            <v>0.7</v>
          </cell>
          <cell r="CC347">
            <v>0.7</v>
          </cell>
          <cell r="CD347">
            <v>0.7</v>
          </cell>
          <cell r="CE347">
            <v>0.95</v>
          </cell>
          <cell r="CF347">
            <v>0.95</v>
          </cell>
          <cell r="CG347">
            <v>0.95</v>
          </cell>
          <cell r="CH347">
            <v>0.95</v>
          </cell>
          <cell r="CI347">
            <v>0.95</v>
          </cell>
          <cell r="CJ347">
            <v>0.95</v>
          </cell>
          <cell r="CK347">
            <v>0.95</v>
          </cell>
        </row>
        <row r="348">
          <cell r="Q348" t="str">
            <v>E</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S348">
            <v>0</v>
          </cell>
          <cell r="BT348">
            <v>0</v>
          </cell>
          <cell r="BU348">
            <v>0</v>
          </cell>
          <cell r="BV348">
            <v>0</v>
          </cell>
          <cell r="BW348">
            <v>0.7</v>
          </cell>
          <cell r="BX348" t="e">
            <v>#N/A</v>
          </cell>
          <cell r="BY348" t="e">
            <v>#N/A</v>
          </cell>
          <cell r="BZ348" t="e">
            <v>#N/A</v>
          </cell>
          <cell r="CA348">
            <v>0.7</v>
          </cell>
          <cell r="CB348">
            <v>0.7</v>
          </cell>
          <cell r="CC348">
            <v>0.7</v>
          </cell>
          <cell r="CD348">
            <v>0</v>
          </cell>
          <cell r="CE348">
            <v>0</v>
          </cell>
          <cell r="CF348">
            <v>0</v>
          </cell>
          <cell r="CG348">
            <v>0</v>
          </cell>
          <cell r="CH348">
            <v>0</v>
          </cell>
          <cell r="CI348">
            <v>0</v>
          </cell>
          <cell r="CJ348">
            <v>0</v>
          </cell>
          <cell r="CK348">
            <v>0</v>
          </cell>
        </row>
        <row r="349">
          <cell r="D349" t="str">
            <v>01</v>
          </cell>
          <cell r="E349" t="str">
            <v>46</v>
          </cell>
          <cell r="F349" t="str">
            <v>I04</v>
          </cell>
          <cell r="G349" t="str">
            <v>REQ</v>
          </cell>
          <cell r="H349" t="str">
            <v>6201-1</v>
          </cell>
          <cell r="I349" t="str">
            <v>TRANSMISORES DE PRESION MANOMETRICA</v>
          </cell>
          <cell r="J349">
            <v>39450</v>
          </cell>
          <cell r="K349">
            <v>39465</v>
          </cell>
          <cell r="L349">
            <v>39500</v>
          </cell>
          <cell r="M349">
            <v>39514</v>
          </cell>
          <cell r="N349">
            <v>39535</v>
          </cell>
          <cell r="O349">
            <v>39568</v>
          </cell>
          <cell r="P349">
            <v>62.062762711763376</v>
          </cell>
          <cell r="Q349" t="str">
            <v>P</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0.5</v>
          </cell>
          <cell r="BT349">
            <v>0.5</v>
          </cell>
          <cell r="BU349">
            <v>0.5</v>
          </cell>
          <cell r="BV349">
            <v>0.5</v>
          </cell>
          <cell r="BW349">
            <v>0.5</v>
          </cell>
          <cell r="BX349">
            <v>0.7</v>
          </cell>
          <cell r="BY349">
            <v>0.7</v>
          </cell>
          <cell r="BZ349">
            <v>0.7</v>
          </cell>
          <cell r="CA349">
            <v>0.7</v>
          </cell>
          <cell r="CB349">
            <v>0.7</v>
          </cell>
          <cell r="CC349">
            <v>0.95</v>
          </cell>
          <cell r="CD349">
            <v>0.95</v>
          </cell>
          <cell r="CE349">
            <v>0.95</v>
          </cell>
          <cell r="CF349">
            <v>0.95</v>
          </cell>
          <cell r="CG349">
            <v>1</v>
          </cell>
          <cell r="CH349">
            <v>1</v>
          </cell>
          <cell r="CI349">
            <v>1</v>
          </cell>
          <cell r="CJ349">
            <v>1</v>
          </cell>
          <cell r="CK349">
            <v>1</v>
          </cell>
        </row>
        <row r="350">
          <cell r="J350">
            <v>39450</v>
          </cell>
          <cell r="K350">
            <v>39465</v>
          </cell>
          <cell r="L350">
            <v>39500</v>
          </cell>
          <cell r="M350">
            <v>39514</v>
          </cell>
          <cell r="N350">
            <v>39535</v>
          </cell>
          <cell r="O350">
            <v>39642</v>
          </cell>
          <cell r="Q350" t="str">
            <v>R</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0.5</v>
          </cell>
          <cell r="BT350">
            <v>0.5</v>
          </cell>
          <cell r="BU350">
            <v>0.5</v>
          </cell>
          <cell r="BV350">
            <v>0.5</v>
          </cell>
          <cell r="BW350">
            <v>0.5</v>
          </cell>
          <cell r="BX350">
            <v>0.7</v>
          </cell>
          <cell r="BY350">
            <v>0.7</v>
          </cell>
          <cell r="BZ350">
            <v>0.7</v>
          </cell>
          <cell r="CA350">
            <v>0.7</v>
          </cell>
          <cell r="CB350">
            <v>0.7</v>
          </cell>
          <cell r="CC350">
            <v>0.95</v>
          </cell>
          <cell r="CD350">
            <v>0.95</v>
          </cell>
          <cell r="CE350">
            <v>0.95</v>
          </cell>
          <cell r="CF350">
            <v>0.95</v>
          </cell>
          <cell r="CG350">
            <v>0.95</v>
          </cell>
          <cell r="CH350">
            <v>0.95</v>
          </cell>
          <cell r="CI350">
            <v>0.95</v>
          </cell>
          <cell r="CJ350">
            <v>0.95</v>
          </cell>
          <cell r="CK350">
            <v>0.95</v>
          </cell>
        </row>
        <row r="351">
          <cell r="Q351" t="str">
            <v>E</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S351">
            <v>0</v>
          </cell>
          <cell r="BT351">
            <v>0</v>
          </cell>
          <cell r="BU351">
            <v>0</v>
          </cell>
          <cell r="BV351">
            <v>0</v>
          </cell>
          <cell r="BW351">
            <v>0.95</v>
          </cell>
          <cell r="BX351" t="e">
            <v>#N/A</v>
          </cell>
          <cell r="BY351" t="e">
            <v>#N/A</v>
          </cell>
          <cell r="BZ351" t="e">
            <v>#N/A</v>
          </cell>
          <cell r="CA351">
            <v>0.95</v>
          </cell>
          <cell r="CB351">
            <v>0.95</v>
          </cell>
          <cell r="CC351">
            <v>0.95</v>
          </cell>
          <cell r="CD351">
            <v>0</v>
          </cell>
          <cell r="CE351">
            <v>0</v>
          </cell>
          <cell r="CF351">
            <v>0</v>
          </cell>
          <cell r="CG351">
            <v>0</v>
          </cell>
          <cell r="CH351">
            <v>0</v>
          </cell>
          <cell r="CI351">
            <v>0</v>
          </cell>
          <cell r="CJ351">
            <v>0</v>
          </cell>
          <cell r="CK351">
            <v>0</v>
          </cell>
        </row>
        <row r="352">
          <cell r="D352" t="str">
            <v>01</v>
          </cell>
          <cell r="E352" t="str">
            <v>46</v>
          </cell>
          <cell r="F352" t="str">
            <v>I04</v>
          </cell>
          <cell r="G352" t="str">
            <v>REQ</v>
          </cell>
          <cell r="H352" t="str">
            <v>6201-2</v>
          </cell>
          <cell r="I352" t="str">
            <v>TRANSMISORES DE PRESION DIFERENCIAL</v>
          </cell>
          <cell r="J352">
            <v>39462</v>
          </cell>
          <cell r="K352">
            <v>39479</v>
          </cell>
          <cell r="L352">
            <v>39514</v>
          </cell>
          <cell r="M352">
            <v>39526</v>
          </cell>
          <cell r="N352">
            <v>39542</v>
          </cell>
          <cell r="O352">
            <v>39568</v>
          </cell>
          <cell r="P352">
            <v>62.062762711763376</v>
          </cell>
          <cell r="Q352" t="str">
            <v>P</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0.5</v>
          </cell>
          <cell r="BV352">
            <v>0.5</v>
          </cell>
          <cell r="BW352">
            <v>0.5</v>
          </cell>
          <cell r="BX352">
            <v>0.5</v>
          </cell>
          <cell r="BY352">
            <v>0.5</v>
          </cell>
          <cell r="BZ352">
            <v>0.7</v>
          </cell>
          <cell r="CA352">
            <v>0.7</v>
          </cell>
          <cell r="CB352">
            <v>0.7</v>
          </cell>
          <cell r="CC352">
            <v>0.7</v>
          </cell>
          <cell r="CD352">
            <v>0.95</v>
          </cell>
          <cell r="CE352">
            <v>0.95</v>
          </cell>
          <cell r="CF352">
            <v>0.95</v>
          </cell>
          <cell r="CG352">
            <v>1</v>
          </cell>
          <cell r="CH352">
            <v>1</v>
          </cell>
          <cell r="CI352">
            <v>1</v>
          </cell>
          <cell r="CJ352">
            <v>1</v>
          </cell>
          <cell r="CK352">
            <v>1</v>
          </cell>
        </row>
        <row r="353">
          <cell r="J353">
            <v>39462</v>
          </cell>
          <cell r="K353">
            <v>39479</v>
          </cell>
          <cell r="L353">
            <v>39514</v>
          </cell>
          <cell r="M353">
            <v>39526</v>
          </cell>
          <cell r="N353">
            <v>39542</v>
          </cell>
          <cell r="O353">
            <v>39642</v>
          </cell>
          <cell r="Q353" t="str">
            <v>R</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0.5</v>
          </cell>
          <cell r="BV353">
            <v>0.5</v>
          </cell>
          <cell r="BW353">
            <v>0.5</v>
          </cell>
          <cell r="BX353">
            <v>0.5</v>
          </cell>
          <cell r="BY353">
            <v>0.5</v>
          </cell>
          <cell r="BZ353">
            <v>0.7</v>
          </cell>
          <cell r="CA353">
            <v>0.7</v>
          </cell>
          <cell r="CB353">
            <v>0.7</v>
          </cell>
          <cell r="CC353">
            <v>0.7</v>
          </cell>
          <cell r="CD353">
            <v>0.95</v>
          </cell>
          <cell r="CE353">
            <v>0.95</v>
          </cell>
          <cell r="CF353">
            <v>0.95</v>
          </cell>
          <cell r="CG353">
            <v>0.95</v>
          </cell>
          <cell r="CH353">
            <v>0.95</v>
          </cell>
          <cell r="CI353">
            <v>0.95</v>
          </cell>
          <cell r="CJ353">
            <v>0.95</v>
          </cell>
          <cell r="CK353">
            <v>0.95</v>
          </cell>
        </row>
        <row r="354">
          <cell r="Q354" t="str">
            <v>E</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S354">
            <v>0</v>
          </cell>
          <cell r="BT354">
            <v>0</v>
          </cell>
          <cell r="BU354">
            <v>0</v>
          </cell>
          <cell r="BV354">
            <v>0</v>
          </cell>
          <cell r="BW354">
            <v>0.5</v>
          </cell>
          <cell r="BX354" t="e">
            <v>#N/A</v>
          </cell>
          <cell r="BY354" t="e">
            <v>#N/A</v>
          </cell>
          <cell r="BZ354" t="e">
            <v>#N/A</v>
          </cell>
          <cell r="CA354">
            <v>0.5</v>
          </cell>
          <cell r="CB354">
            <v>0.5</v>
          </cell>
          <cell r="CC354">
            <v>0.5</v>
          </cell>
          <cell r="CD354">
            <v>0</v>
          </cell>
          <cell r="CE354">
            <v>0</v>
          </cell>
          <cell r="CF354">
            <v>0</v>
          </cell>
          <cell r="CG354">
            <v>0</v>
          </cell>
          <cell r="CH354">
            <v>0</v>
          </cell>
          <cell r="CI354">
            <v>0</v>
          </cell>
          <cell r="CJ354">
            <v>0</v>
          </cell>
          <cell r="CK354">
            <v>0</v>
          </cell>
        </row>
        <row r="355">
          <cell r="D355" t="str">
            <v>01</v>
          </cell>
          <cell r="E355" t="str">
            <v>46</v>
          </cell>
          <cell r="F355" t="str">
            <v>I04</v>
          </cell>
          <cell r="G355" t="str">
            <v>REQ</v>
          </cell>
          <cell r="H355" t="str">
            <v>6425-1</v>
          </cell>
          <cell r="I355" t="str">
            <v>INDICADORES DE PRESIÓN</v>
          </cell>
          <cell r="J355">
            <v>39455</v>
          </cell>
          <cell r="K355">
            <v>39472</v>
          </cell>
          <cell r="L355">
            <v>39493</v>
          </cell>
          <cell r="M355">
            <v>39500</v>
          </cell>
          <cell r="N355">
            <v>39521</v>
          </cell>
          <cell r="O355">
            <v>39568</v>
          </cell>
          <cell r="P355">
            <v>62.062762711763376</v>
          </cell>
          <cell r="Q355" t="str">
            <v>P</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0.5</v>
          </cell>
          <cell r="BU355">
            <v>0.5</v>
          </cell>
          <cell r="BV355">
            <v>0.5</v>
          </cell>
          <cell r="BW355">
            <v>0.7</v>
          </cell>
          <cell r="BX355">
            <v>0.7</v>
          </cell>
          <cell r="BY355">
            <v>0.7</v>
          </cell>
          <cell r="BZ355">
            <v>0.7</v>
          </cell>
          <cell r="CA355">
            <v>0.95</v>
          </cell>
          <cell r="CB355">
            <v>0.95</v>
          </cell>
          <cell r="CC355">
            <v>0.95</v>
          </cell>
          <cell r="CD355">
            <v>0.95</v>
          </cell>
          <cell r="CE355">
            <v>0.95</v>
          </cell>
          <cell r="CF355">
            <v>0.95</v>
          </cell>
          <cell r="CG355">
            <v>1</v>
          </cell>
          <cell r="CH355">
            <v>1</v>
          </cell>
          <cell r="CI355">
            <v>1</v>
          </cell>
          <cell r="CJ355">
            <v>1</v>
          </cell>
          <cell r="CK355">
            <v>1</v>
          </cell>
        </row>
        <row r="356">
          <cell r="J356">
            <v>39455</v>
          </cell>
          <cell r="K356">
            <v>39472</v>
          </cell>
          <cell r="L356">
            <v>39493</v>
          </cell>
          <cell r="M356">
            <v>39500</v>
          </cell>
          <cell r="N356">
            <v>39521</v>
          </cell>
          <cell r="O356">
            <v>39642</v>
          </cell>
          <cell r="Q356" t="str">
            <v>R</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0.5</v>
          </cell>
          <cell r="BU356">
            <v>0.5</v>
          </cell>
          <cell r="BV356">
            <v>0.5</v>
          </cell>
          <cell r="BW356">
            <v>0.7</v>
          </cell>
          <cell r="BX356">
            <v>0.7</v>
          </cell>
          <cell r="BY356">
            <v>0.7</v>
          </cell>
          <cell r="BZ356">
            <v>0.7</v>
          </cell>
          <cell r="CA356">
            <v>0.95</v>
          </cell>
          <cell r="CB356">
            <v>0.95</v>
          </cell>
          <cell r="CC356">
            <v>0.95</v>
          </cell>
          <cell r="CD356">
            <v>0.95</v>
          </cell>
          <cell r="CE356">
            <v>0.95</v>
          </cell>
          <cell r="CF356">
            <v>0.95</v>
          </cell>
          <cell r="CG356">
            <v>0.95</v>
          </cell>
          <cell r="CH356">
            <v>0.95</v>
          </cell>
          <cell r="CI356">
            <v>0.95</v>
          </cell>
          <cell r="CJ356">
            <v>0.95</v>
          </cell>
          <cell r="CK356">
            <v>0.95</v>
          </cell>
        </row>
        <row r="357">
          <cell r="Q357" t="str">
            <v>E</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S357">
            <v>0</v>
          </cell>
          <cell r="BT357">
            <v>0</v>
          </cell>
          <cell r="BU357">
            <v>0</v>
          </cell>
          <cell r="BV357">
            <v>0</v>
          </cell>
          <cell r="BW357">
            <v>0.7</v>
          </cell>
          <cell r="BX357" t="e">
            <v>#N/A</v>
          </cell>
          <cell r="BY357" t="e">
            <v>#N/A</v>
          </cell>
          <cell r="BZ357" t="e">
            <v>#N/A</v>
          </cell>
          <cell r="CA357">
            <v>0.7</v>
          </cell>
          <cell r="CB357">
            <v>0.7</v>
          </cell>
          <cell r="CC357">
            <v>0.7</v>
          </cell>
          <cell r="CD357">
            <v>0</v>
          </cell>
          <cell r="CE357">
            <v>0</v>
          </cell>
          <cell r="CF357">
            <v>0</v>
          </cell>
          <cell r="CG357">
            <v>0</v>
          </cell>
          <cell r="CH357">
            <v>0</v>
          </cell>
          <cell r="CI357">
            <v>0</v>
          </cell>
          <cell r="CJ357">
            <v>0</v>
          </cell>
          <cell r="CK357">
            <v>0</v>
          </cell>
        </row>
        <row r="358">
          <cell r="D358" t="str">
            <v>01</v>
          </cell>
          <cell r="E358" t="str">
            <v>46</v>
          </cell>
          <cell r="F358" t="str">
            <v>I04</v>
          </cell>
          <cell r="G358" t="str">
            <v>REQ</v>
          </cell>
          <cell r="H358" t="str">
            <v>6002-1</v>
          </cell>
          <cell r="I358" t="str">
            <v>TERMOCUPLAS Y TERMOPOZOS</v>
          </cell>
          <cell r="J358">
            <v>39462</v>
          </cell>
          <cell r="K358">
            <v>39479</v>
          </cell>
          <cell r="L358">
            <v>39493</v>
          </cell>
          <cell r="M358">
            <v>39500</v>
          </cell>
          <cell r="N358">
            <v>39521</v>
          </cell>
          <cell r="O358">
            <v>39568</v>
          </cell>
          <cell r="P358">
            <v>62.062762711763376</v>
          </cell>
          <cell r="Q358" t="str">
            <v>P</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0.5</v>
          </cell>
          <cell r="BV358">
            <v>0.5</v>
          </cell>
          <cell r="BW358">
            <v>0.7</v>
          </cell>
          <cell r="BX358">
            <v>0.7</v>
          </cell>
          <cell r="BY358">
            <v>0.7</v>
          </cell>
          <cell r="BZ358">
            <v>0.7</v>
          </cell>
          <cell r="CA358">
            <v>0.95</v>
          </cell>
          <cell r="CB358">
            <v>0.95</v>
          </cell>
          <cell r="CC358">
            <v>0.95</v>
          </cell>
          <cell r="CD358">
            <v>0.95</v>
          </cell>
          <cell r="CE358">
            <v>0.95</v>
          </cell>
          <cell r="CF358">
            <v>0.95</v>
          </cell>
          <cell r="CG358">
            <v>1</v>
          </cell>
          <cell r="CH358">
            <v>1</v>
          </cell>
          <cell r="CI358">
            <v>1</v>
          </cell>
          <cell r="CJ358">
            <v>1</v>
          </cell>
          <cell r="CK358">
            <v>1</v>
          </cell>
        </row>
        <row r="359">
          <cell r="J359">
            <v>39462</v>
          </cell>
          <cell r="K359">
            <v>39479</v>
          </cell>
          <cell r="L359">
            <v>39493</v>
          </cell>
          <cell r="M359">
            <v>39500</v>
          </cell>
          <cell r="N359">
            <v>39521</v>
          </cell>
          <cell r="O359">
            <v>39642</v>
          </cell>
          <cell r="Q359" t="str">
            <v>R</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0.5</v>
          </cell>
          <cell r="BV359">
            <v>0.5</v>
          </cell>
          <cell r="BW359">
            <v>0.7</v>
          </cell>
          <cell r="BX359">
            <v>0.7</v>
          </cell>
          <cell r="BY359">
            <v>0.7</v>
          </cell>
          <cell r="BZ359">
            <v>0.7</v>
          </cell>
          <cell r="CA359">
            <v>0.95</v>
          </cell>
          <cell r="CB359">
            <v>0.95</v>
          </cell>
          <cell r="CC359">
            <v>0.95</v>
          </cell>
          <cell r="CD359">
            <v>0.95</v>
          </cell>
          <cell r="CE359">
            <v>0.95</v>
          </cell>
          <cell r="CF359">
            <v>0.95</v>
          </cell>
          <cell r="CG359">
            <v>0.95</v>
          </cell>
          <cell r="CH359">
            <v>0.95</v>
          </cell>
          <cell r="CI359">
            <v>0.95</v>
          </cell>
          <cell r="CJ359">
            <v>0.95</v>
          </cell>
          <cell r="CK359">
            <v>0.95</v>
          </cell>
        </row>
        <row r="360">
          <cell r="Q360" t="str">
            <v>E</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S360">
            <v>0</v>
          </cell>
          <cell r="BT360">
            <v>0</v>
          </cell>
          <cell r="BU360">
            <v>0</v>
          </cell>
          <cell r="BV360">
            <v>0</v>
          </cell>
          <cell r="BW360">
            <v>0.5</v>
          </cell>
          <cell r="BX360" t="e">
            <v>#N/A</v>
          </cell>
          <cell r="BY360" t="e">
            <v>#N/A</v>
          </cell>
          <cell r="BZ360" t="e">
            <v>#N/A</v>
          </cell>
          <cell r="CA360">
            <v>0.95</v>
          </cell>
          <cell r="CB360">
            <v>0.95</v>
          </cell>
          <cell r="CC360">
            <v>0.95</v>
          </cell>
          <cell r="CD360">
            <v>0</v>
          </cell>
          <cell r="CE360">
            <v>0</v>
          </cell>
          <cell r="CF360">
            <v>0</v>
          </cell>
          <cell r="CG360">
            <v>0</v>
          </cell>
          <cell r="CH360">
            <v>0</v>
          </cell>
          <cell r="CI360">
            <v>0</v>
          </cell>
          <cell r="CJ360">
            <v>0</v>
          </cell>
          <cell r="CK360">
            <v>0</v>
          </cell>
        </row>
        <row r="361">
          <cell r="D361" t="str">
            <v>01</v>
          </cell>
          <cell r="E361" t="str">
            <v>46</v>
          </cell>
          <cell r="F361" t="str">
            <v>I04</v>
          </cell>
          <cell r="G361" t="str">
            <v>REQ</v>
          </cell>
          <cell r="H361" t="str">
            <v>6235-1</v>
          </cell>
          <cell r="I361" t="str">
            <v>TRANSMISORES DE TEMPERATURA</v>
          </cell>
          <cell r="J361">
            <v>39462</v>
          </cell>
          <cell r="K361">
            <v>39479</v>
          </cell>
          <cell r="L361">
            <v>39493</v>
          </cell>
          <cell r="M361">
            <v>39500</v>
          </cell>
          <cell r="N361">
            <v>39521</v>
          </cell>
          <cell r="O361">
            <v>39568</v>
          </cell>
          <cell r="P361">
            <v>62.062762711763376</v>
          </cell>
          <cell r="Q361" t="str">
            <v>P</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0.5</v>
          </cell>
          <cell r="BV361">
            <v>0.5</v>
          </cell>
          <cell r="BW361">
            <v>0.7</v>
          </cell>
          <cell r="BX361">
            <v>0.7</v>
          </cell>
          <cell r="BY361">
            <v>0.7</v>
          </cell>
          <cell r="BZ361">
            <v>0.7</v>
          </cell>
          <cell r="CA361">
            <v>0.95</v>
          </cell>
          <cell r="CB361">
            <v>0.95</v>
          </cell>
          <cell r="CC361">
            <v>0.95</v>
          </cell>
          <cell r="CD361">
            <v>0.95</v>
          </cell>
          <cell r="CE361">
            <v>0.95</v>
          </cell>
          <cell r="CF361">
            <v>0.95</v>
          </cell>
          <cell r="CG361">
            <v>1</v>
          </cell>
          <cell r="CH361">
            <v>1</v>
          </cell>
          <cell r="CI361">
            <v>1</v>
          </cell>
          <cell r="CJ361">
            <v>1</v>
          </cell>
          <cell r="CK361">
            <v>1</v>
          </cell>
        </row>
        <row r="362">
          <cell r="J362">
            <v>39462</v>
          </cell>
          <cell r="K362">
            <v>39479</v>
          </cell>
          <cell r="L362">
            <v>39493</v>
          </cell>
          <cell r="M362">
            <v>39500</v>
          </cell>
          <cell r="N362">
            <v>39521</v>
          </cell>
          <cell r="O362">
            <v>39642</v>
          </cell>
          <cell r="Q362" t="str">
            <v>R</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0.5</v>
          </cell>
          <cell r="BV362">
            <v>0.5</v>
          </cell>
          <cell r="BW362">
            <v>0.7</v>
          </cell>
          <cell r="BX362">
            <v>0.7</v>
          </cell>
          <cell r="BY362">
            <v>0.7</v>
          </cell>
          <cell r="BZ362">
            <v>0.7</v>
          </cell>
          <cell r="CA362">
            <v>0.95</v>
          </cell>
          <cell r="CB362">
            <v>0.95</v>
          </cell>
          <cell r="CC362">
            <v>0.95</v>
          </cell>
          <cell r="CD362">
            <v>0.95</v>
          </cell>
          <cell r="CE362">
            <v>0.95</v>
          </cell>
          <cell r="CF362">
            <v>0.95</v>
          </cell>
          <cell r="CG362">
            <v>0.95</v>
          </cell>
          <cell r="CH362">
            <v>0.95</v>
          </cell>
          <cell r="CI362">
            <v>0.95</v>
          </cell>
          <cell r="CJ362">
            <v>0.95</v>
          </cell>
          <cell r="CK362">
            <v>0.95</v>
          </cell>
        </row>
        <row r="363">
          <cell r="Q363" t="str">
            <v>E</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S363">
            <v>0</v>
          </cell>
          <cell r="BT363">
            <v>0</v>
          </cell>
          <cell r="BU363">
            <v>0</v>
          </cell>
          <cell r="BV363">
            <v>0</v>
          </cell>
          <cell r="BW363">
            <v>0.95</v>
          </cell>
          <cell r="BX363" t="e">
            <v>#N/A</v>
          </cell>
          <cell r="BY363" t="e">
            <v>#N/A</v>
          </cell>
          <cell r="BZ363" t="e">
            <v>#N/A</v>
          </cell>
          <cell r="CA363">
            <v>0.95</v>
          </cell>
          <cell r="CB363">
            <v>0.95</v>
          </cell>
          <cell r="CC363">
            <v>0.95</v>
          </cell>
          <cell r="CD363">
            <v>0</v>
          </cell>
          <cell r="CE363">
            <v>0</v>
          </cell>
          <cell r="CF363">
            <v>0</v>
          </cell>
          <cell r="CG363">
            <v>0</v>
          </cell>
          <cell r="CH363">
            <v>0</v>
          </cell>
          <cell r="CI363">
            <v>0</v>
          </cell>
          <cell r="CJ363">
            <v>0</v>
          </cell>
          <cell r="CK363">
            <v>0</v>
          </cell>
        </row>
        <row r="364">
          <cell r="D364" t="str">
            <v>01</v>
          </cell>
          <cell r="E364" t="str">
            <v>46</v>
          </cell>
          <cell r="F364" t="str">
            <v>I04</v>
          </cell>
          <cell r="G364" t="str">
            <v>REQ</v>
          </cell>
          <cell r="H364" t="str">
            <v>6435-1</v>
          </cell>
          <cell r="I364" t="str">
            <v>INDICADORES DE TEMPERATURA</v>
          </cell>
          <cell r="J364">
            <v>39462</v>
          </cell>
          <cell r="K364">
            <v>39479</v>
          </cell>
          <cell r="L364">
            <v>39493</v>
          </cell>
          <cell r="M364">
            <v>39500</v>
          </cell>
          <cell r="N364">
            <v>39521</v>
          </cell>
          <cell r="O364">
            <v>39568</v>
          </cell>
          <cell r="P364">
            <v>62.062762711763376</v>
          </cell>
          <cell r="Q364" t="str">
            <v>P</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0.5</v>
          </cell>
          <cell r="BV364">
            <v>0.5</v>
          </cell>
          <cell r="BW364">
            <v>0.7</v>
          </cell>
          <cell r="BX364">
            <v>0.7</v>
          </cell>
          <cell r="BY364">
            <v>0.7</v>
          </cell>
          <cell r="BZ364">
            <v>0.7</v>
          </cell>
          <cell r="CA364">
            <v>0.95</v>
          </cell>
          <cell r="CB364">
            <v>0.95</v>
          </cell>
          <cell r="CC364">
            <v>0.95</v>
          </cell>
          <cell r="CD364">
            <v>0.95</v>
          </cell>
          <cell r="CE364">
            <v>0.95</v>
          </cell>
          <cell r="CF364">
            <v>0.95</v>
          </cell>
          <cell r="CG364">
            <v>1</v>
          </cell>
          <cell r="CH364">
            <v>1</v>
          </cell>
          <cell r="CI364">
            <v>1</v>
          </cell>
          <cell r="CJ364">
            <v>1</v>
          </cell>
          <cell r="CK364">
            <v>1</v>
          </cell>
        </row>
        <row r="365">
          <cell r="J365">
            <v>39462</v>
          </cell>
          <cell r="K365">
            <v>39479</v>
          </cell>
          <cell r="L365">
            <v>39493</v>
          </cell>
          <cell r="M365">
            <v>39500</v>
          </cell>
          <cell r="N365">
            <v>39521</v>
          </cell>
          <cell r="O365">
            <v>39642</v>
          </cell>
          <cell r="Q365" t="str">
            <v>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0.5</v>
          </cell>
          <cell r="BV365">
            <v>0.5</v>
          </cell>
          <cell r="BW365">
            <v>0.7</v>
          </cell>
          <cell r="BX365">
            <v>0.7</v>
          </cell>
          <cell r="BY365">
            <v>0.7</v>
          </cell>
          <cell r="BZ365">
            <v>0.7</v>
          </cell>
          <cell r="CA365">
            <v>0.95</v>
          </cell>
          <cell r="CB365">
            <v>0.95</v>
          </cell>
          <cell r="CC365">
            <v>0.95</v>
          </cell>
          <cell r="CD365">
            <v>0.95</v>
          </cell>
          <cell r="CE365">
            <v>0.95</v>
          </cell>
          <cell r="CF365">
            <v>0.95</v>
          </cell>
          <cell r="CG365">
            <v>0.95</v>
          </cell>
          <cell r="CH365">
            <v>0.95</v>
          </cell>
          <cell r="CI365">
            <v>0.95</v>
          </cell>
          <cell r="CJ365">
            <v>0.95</v>
          </cell>
          <cell r="CK365">
            <v>0.95</v>
          </cell>
        </row>
        <row r="366">
          <cell r="Q366" t="str">
            <v>E</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S366">
            <v>0</v>
          </cell>
          <cell r="BT366">
            <v>0</v>
          </cell>
          <cell r="BU366">
            <v>0</v>
          </cell>
          <cell r="BV366">
            <v>0</v>
          </cell>
          <cell r="BW366">
            <v>0.5</v>
          </cell>
          <cell r="BX366" t="e">
            <v>#N/A</v>
          </cell>
          <cell r="BY366" t="e">
            <v>#N/A</v>
          </cell>
          <cell r="BZ366" t="e">
            <v>#N/A</v>
          </cell>
          <cell r="CA366">
            <v>0.5</v>
          </cell>
          <cell r="CB366">
            <v>0.5</v>
          </cell>
          <cell r="CC366">
            <v>0.5</v>
          </cell>
          <cell r="CD366">
            <v>0</v>
          </cell>
          <cell r="CE366">
            <v>0</v>
          </cell>
          <cell r="CF366">
            <v>0</v>
          </cell>
          <cell r="CG366">
            <v>0</v>
          </cell>
          <cell r="CH366">
            <v>0</v>
          </cell>
          <cell r="CI366">
            <v>0</v>
          </cell>
          <cell r="CJ366">
            <v>0</v>
          </cell>
          <cell r="CK366">
            <v>0</v>
          </cell>
        </row>
        <row r="367">
          <cell r="D367" t="str">
            <v>01</v>
          </cell>
          <cell r="E367" t="str">
            <v>46</v>
          </cell>
          <cell r="F367" t="str">
            <v>I04</v>
          </cell>
          <cell r="G367" t="str">
            <v>REQ</v>
          </cell>
          <cell r="H367" t="str">
            <v>2150-1</v>
          </cell>
          <cell r="I367" t="str">
            <v>VALVULAS DE SEGURIDAD</v>
          </cell>
          <cell r="J367">
            <v>39465</v>
          </cell>
          <cell r="K367">
            <v>39479</v>
          </cell>
          <cell r="L367">
            <v>39514</v>
          </cell>
          <cell r="M367">
            <v>39526</v>
          </cell>
          <cell r="N367">
            <v>39549</v>
          </cell>
          <cell r="O367">
            <v>39568</v>
          </cell>
          <cell r="P367">
            <v>62.062762711763376</v>
          </cell>
          <cell r="Q367" t="str">
            <v>P</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0.5</v>
          </cell>
          <cell r="BV367">
            <v>0.5</v>
          </cell>
          <cell r="BW367">
            <v>0.5</v>
          </cell>
          <cell r="BX367">
            <v>0.5</v>
          </cell>
          <cell r="BY367">
            <v>0.5</v>
          </cell>
          <cell r="BZ367">
            <v>0.7</v>
          </cell>
          <cell r="CA367">
            <v>0.7</v>
          </cell>
          <cell r="CB367">
            <v>0.7</v>
          </cell>
          <cell r="CC367">
            <v>0.7</v>
          </cell>
          <cell r="CD367">
            <v>0.7</v>
          </cell>
          <cell r="CE367">
            <v>0.95</v>
          </cell>
          <cell r="CF367">
            <v>0.95</v>
          </cell>
          <cell r="CG367">
            <v>1</v>
          </cell>
          <cell r="CH367">
            <v>1</v>
          </cell>
          <cell r="CI367">
            <v>1</v>
          </cell>
          <cell r="CJ367">
            <v>1</v>
          </cell>
          <cell r="CK367">
            <v>1</v>
          </cell>
        </row>
        <row r="368">
          <cell r="J368">
            <v>39465</v>
          </cell>
          <cell r="K368">
            <v>39479</v>
          </cell>
          <cell r="L368">
            <v>39514</v>
          </cell>
          <cell r="M368">
            <v>39526</v>
          </cell>
          <cell r="N368">
            <v>39549</v>
          </cell>
          <cell r="O368">
            <v>39642</v>
          </cell>
          <cell r="Q368" t="str">
            <v>R</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0.5</v>
          </cell>
          <cell r="BV368">
            <v>0.5</v>
          </cell>
          <cell r="BW368">
            <v>0.5</v>
          </cell>
          <cell r="BX368">
            <v>0.5</v>
          </cell>
          <cell r="BY368">
            <v>0.5</v>
          </cell>
          <cell r="BZ368">
            <v>0.7</v>
          </cell>
          <cell r="CA368">
            <v>0.7</v>
          </cell>
          <cell r="CB368">
            <v>0.7</v>
          </cell>
          <cell r="CC368">
            <v>0.7</v>
          </cell>
          <cell r="CD368">
            <v>0.7</v>
          </cell>
          <cell r="CE368">
            <v>0.95</v>
          </cell>
          <cell r="CF368">
            <v>0.95</v>
          </cell>
          <cell r="CG368">
            <v>0.95</v>
          </cell>
          <cell r="CH368">
            <v>0.95</v>
          </cell>
          <cell r="CI368">
            <v>0.95</v>
          </cell>
          <cell r="CJ368">
            <v>0.95</v>
          </cell>
          <cell r="CK368">
            <v>0.95</v>
          </cell>
        </row>
        <row r="369">
          <cell r="Q369" t="str">
            <v>E</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S369">
            <v>0</v>
          </cell>
          <cell r="BT369">
            <v>0</v>
          </cell>
          <cell r="BU369">
            <v>0</v>
          </cell>
          <cell r="BV369">
            <v>0</v>
          </cell>
          <cell r="BW369">
            <v>0.5</v>
          </cell>
          <cell r="BX369" t="e">
            <v>#N/A</v>
          </cell>
          <cell r="BY369" t="e">
            <v>#N/A</v>
          </cell>
          <cell r="BZ369" t="e">
            <v>#N/A</v>
          </cell>
          <cell r="CA369">
            <v>0.5</v>
          </cell>
          <cell r="CB369">
            <v>0.5</v>
          </cell>
          <cell r="CC369">
            <v>0.5</v>
          </cell>
          <cell r="CD369">
            <v>0</v>
          </cell>
          <cell r="CE369">
            <v>0</v>
          </cell>
          <cell r="CF369">
            <v>0</v>
          </cell>
          <cell r="CG369">
            <v>0</v>
          </cell>
          <cell r="CH369">
            <v>0</v>
          </cell>
          <cell r="CI369">
            <v>0</v>
          </cell>
          <cell r="CJ369">
            <v>0</v>
          </cell>
          <cell r="CK369">
            <v>0</v>
          </cell>
        </row>
        <row r="370">
          <cell r="D370" t="str">
            <v>01</v>
          </cell>
          <cell r="E370" t="str">
            <v>46</v>
          </cell>
          <cell r="F370" t="str">
            <v>I04</v>
          </cell>
          <cell r="G370" t="str">
            <v>REQ</v>
          </cell>
          <cell r="H370" t="str">
            <v>3035-01</v>
          </cell>
          <cell r="I370" t="str">
            <v>MATERIALES PARA CONEXIÓN NEUMATICA DE INSTRUMENTOS, TUBING Y ACCESORIOS TUBING</v>
          </cell>
          <cell r="J370">
            <v>39251</v>
          </cell>
          <cell r="K370">
            <v>39275</v>
          </cell>
          <cell r="L370">
            <v>39289</v>
          </cell>
          <cell r="M370">
            <v>39290</v>
          </cell>
          <cell r="N370">
            <v>39304</v>
          </cell>
          <cell r="O370">
            <v>39476</v>
          </cell>
          <cell r="P370">
            <v>41.597597687400324</v>
          </cell>
          <cell r="Q370" t="str">
            <v>P</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0.5</v>
          </cell>
          <cell r="AR370">
            <v>0.5</v>
          </cell>
          <cell r="AS370">
            <v>0.7</v>
          </cell>
          <cell r="AT370">
            <v>0.7</v>
          </cell>
          <cell r="AU370">
            <v>0.7</v>
          </cell>
          <cell r="AV370">
            <v>0.95</v>
          </cell>
          <cell r="AW370">
            <v>0.95</v>
          </cell>
          <cell r="AX370">
            <v>0.95</v>
          </cell>
          <cell r="AY370">
            <v>0.95</v>
          </cell>
          <cell r="AZ370">
            <v>0.95</v>
          </cell>
          <cell r="BA370">
            <v>0.95</v>
          </cell>
          <cell r="BB370">
            <v>0.95</v>
          </cell>
          <cell r="BC370">
            <v>0.95</v>
          </cell>
          <cell r="BD370">
            <v>0.95</v>
          </cell>
          <cell r="BE370">
            <v>0.95</v>
          </cell>
          <cell r="BF370">
            <v>0.95</v>
          </cell>
          <cell r="BG370">
            <v>0.95</v>
          </cell>
          <cell r="BH370">
            <v>0.95</v>
          </cell>
          <cell r="BI370">
            <v>0.95</v>
          </cell>
          <cell r="BJ370">
            <v>0.95</v>
          </cell>
          <cell r="BK370">
            <v>0.95</v>
          </cell>
          <cell r="BL370">
            <v>0.95</v>
          </cell>
          <cell r="BM370">
            <v>0.95</v>
          </cell>
          <cell r="BN370">
            <v>0.95</v>
          </cell>
          <cell r="BO370">
            <v>0.95</v>
          </cell>
          <cell r="BP370">
            <v>0.95</v>
          </cell>
          <cell r="BQ370">
            <v>0.95</v>
          </cell>
          <cell r="BR370">
            <v>0.95</v>
          </cell>
          <cell r="BS370">
            <v>0.95</v>
          </cell>
          <cell r="BT370">
            <v>1</v>
          </cell>
          <cell r="BU370">
            <v>1</v>
          </cell>
          <cell r="BV370">
            <v>1</v>
          </cell>
          <cell r="BW370">
            <v>1</v>
          </cell>
          <cell r="BX370">
            <v>1</v>
          </cell>
          <cell r="BY370">
            <v>1</v>
          </cell>
          <cell r="BZ370">
            <v>1</v>
          </cell>
          <cell r="CA370">
            <v>1</v>
          </cell>
          <cell r="CB370">
            <v>1</v>
          </cell>
          <cell r="CC370">
            <v>1</v>
          </cell>
          <cell r="CD370">
            <v>1</v>
          </cell>
          <cell r="CE370">
            <v>1</v>
          </cell>
          <cell r="CF370">
            <v>1</v>
          </cell>
          <cell r="CG370">
            <v>1</v>
          </cell>
          <cell r="CH370">
            <v>1</v>
          </cell>
          <cell r="CI370">
            <v>1</v>
          </cell>
          <cell r="CJ370">
            <v>1</v>
          </cell>
          <cell r="CK370">
            <v>1</v>
          </cell>
        </row>
        <row r="371">
          <cell r="J371">
            <v>39330</v>
          </cell>
          <cell r="K371">
            <v>39408</v>
          </cell>
          <cell r="L371">
            <v>39416</v>
          </cell>
          <cell r="M371">
            <v>39542</v>
          </cell>
          <cell r="N371">
            <v>39556</v>
          </cell>
          <cell r="O371">
            <v>39642</v>
          </cell>
          <cell r="Q371" t="str">
            <v>R</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0.5</v>
          </cell>
          <cell r="BK371">
            <v>0.5</v>
          </cell>
          <cell r="BL371">
            <v>0.7</v>
          </cell>
          <cell r="BM371">
            <v>0.7</v>
          </cell>
          <cell r="BN371">
            <v>0.7</v>
          </cell>
          <cell r="BO371">
            <v>0.7</v>
          </cell>
          <cell r="BP371">
            <v>0.7</v>
          </cell>
          <cell r="BQ371">
            <v>0.7</v>
          </cell>
          <cell r="BR371">
            <v>0.7</v>
          </cell>
          <cell r="BS371">
            <v>0.7</v>
          </cell>
          <cell r="BT371">
            <v>0.7</v>
          </cell>
          <cell r="BU371">
            <v>0.7</v>
          </cell>
          <cell r="BV371">
            <v>0.7</v>
          </cell>
          <cell r="BW371">
            <v>0.7</v>
          </cell>
          <cell r="BX371">
            <v>0.7</v>
          </cell>
          <cell r="BY371">
            <v>0.7</v>
          </cell>
          <cell r="BZ371">
            <v>0.7</v>
          </cell>
          <cell r="CA371">
            <v>0.7</v>
          </cell>
          <cell r="CB371">
            <v>0.7</v>
          </cell>
          <cell r="CC371">
            <v>0.7</v>
          </cell>
          <cell r="CD371">
            <v>0.7</v>
          </cell>
          <cell r="CE371">
            <v>0.7</v>
          </cell>
          <cell r="CF371">
            <v>0.95</v>
          </cell>
          <cell r="CG371">
            <v>0.95</v>
          </cell>
          <cell r="CH371">
            <v>0.95</v>
          </cell>
          <cell r="CI371">
            <v>0.95</v>
          </cell>
          <cell r="CJ371">
            <v>0.95</v>
          </cell>
          <cell r="CK371">
            <v>0.95</v>
          </cell>
        </row>
        <row r="372">
          <cell r="Q372" t="str">
            <v>E</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0.5</v>
          </cell>
          <cell r="BK372">
            <v>0.5</v>
          </cell>
          <cell r="BL372">
            <v>0.7</v>
          </cell>
          <cell r="BM372">
            <v>0.7</v>
          </cell>
          <cell r="BN372">
            <v>0.7</v>
          </cell>
          <cell r="BO372">
            <v>0.7</v>
          </cell>
          <cell r="BP372">
            <v>0.7</v>
          </cell>
          <cell r="BQ372">
            <v>0.7</v>
          </cell>
          <cell r="BR372">
            <v>0.5</v>
          </cell>
          <cell r="BS372">
            <v>0.5</v>
          </cell>
          <cell r="BT372">
            <v>0.5</v>
          </cell>
          <cell r="BU372">
            <v>0.5</v>
          </cell>
          <cell r="BV372">
            <v>0.5</v>
          </cell>
          <cell r="BW372">
            <v>0.5</v>
          </cell>
          <cell r="BX372">
            <v>0.5</v>
          </cell>
          <cell r="BY372">
            <v>0.5</v>
          </cell>
          <cell r="BZ372">
            <v>0.5</v>
          </cell>
          <cell r="CA372">
            <v>0.5</v>
          </cell>
          <cell r="CB372">
            <v>0.5</v>
          </cell>
          <cell r="CC372">
            <v>0.5</v>
          </cell>
          <cell r="CD372">
            <v>0</v>
          </cell>
          <cell r="CE372">
            <v>0</v>
          </cell>
          <cell r="CF372">
            <v>0</v>
          </cell>
          <cell r="CG372">
            <v>0</v>
          </cell>
          <cell r="CH372">
            <v>0</v>
          </cell>
          <cell r="CI372">
            <v>0</v>
          </cell>
          <cell r="CJ372">
            <v>0</v>
          </cell>
          <cell r="CK372">
            <v>0</v>
          </cell>
        </row>
        <row r="373">
          <cell r="D373" t="str">
            <v>01</v>
          </cell>
          <cell r="E373" t="str">
            <v>46</v>
          </cell>
          <cell r="F373" t="str">
            <v>I04</v>
          </cell>
          <cell r="G373" t="str">
            <v>REQ</v>
          </cell>
          <cell r="H373" t="str">
            <v>7101-01</v>
          </cell>
          <cell r="I373" t="str">
            <v>TUBERIA Y ACCESORIOS DE TUBERIA PARA CONEXION A PROCES</v>
          </cell>
          <cell r="J373">
            <v>39251</v>
          </cell>
          <cell r="K373">
            <v>39275</v>
          </cell>
          <cell r="L373">
            <v>39289</v>
          </cell>
          <cell r="M373">
            <v>39290</v>
          </cell>
          <cell r="N373">
            <v>39304</v>
          </cell>
          <cell r="O373">
            <v>39476</v>
          </cell>
          <cell r="P373">
            <v>41.597597687400324</v>
          </cell>
          <cell r="Q373" t="str">
            <v>P</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0.5</v>
          </cell>
          <cell r="AR373">
            <v>0.5</v>
          </cell>
          <cell r="AS373">
            <v>0.7</v>
          </cell>
          <cell r="AT373">
            <v>0.7</v>
          </cell>
          <cell r="AU373">
            <v>0.7</v>
          </cell>
          <cell r="AV373">
            <v>0.95</v>
          </cell>
          <cell r="AW373">
            <v>0.95</v>
          </cell>
          <cell r="AX373">
            <v>0.95</v>
          </cell>
          <cell r="AY373">
            <v>0.95</v>
          </cell>
          <cell r="AZ373">
            <v>0.95</v>
          </cell>
          <cell r="BA373">
            <v>0.95</v>
          </cell>
          <cell r="BB373">
            <v>0.95</v>
          </cell>
          <cell r="BC373">
            <v>0.95</v>
          </cell>
          <cell r="BD373">
            <v>0.95</v>
          </cell>
          <cell r="BE373">
            <v>0.95</v>
          </cell>
          <cell r="BF373">
            <v>0.95</v>
          </cell>
          <cell r="BG373">
            <v>0.95</v>
          </cell>
          <cell r="BH373">
            <v>0.95</v>
          </cell>
          <cell r="BI373">
            <v>0.95</v>
          </cell>
          <cell r="BJ373">
            <v>0.95</v>
          </cell>
          <cell r="BK373">
            <v>0.95</v>
          </cell>
          <cell r="BL373">
            <v>0.95</v>
          </cell>
          <cell r="BM373">
            <v>0.95</v>
          </cell>
          <cell r="BN373">
            <v>0.95</v>
          </cell>
          <cell r="BO373">
            <v>0.95</v>
          </cell>
          <cell r="BP373">
            <v>0.95</v>
          </cell>
          <cell r="BQ373">
            <v>0.95</v>
          </cell>
          <cell r="BR373">
            <v>0.95</v>
          </cell>
          <cell r="BS373">
            <v>0.95</v>
          </cell>
          <cell r="BT373">
            <v>1</v>
          </cell>
          <cell r="BU373">
            <v>1</v>
          </cell>
          <cell r="BV373">
            <v>1</v>
          </cell>
          <cell r="BW373">
            <v>1</v>
          </cell>
          <cell r="BX373">
            <v>1</v>
          </cell>
          <cell r="BY373">
            <v>1</v>
          </cell>
          <cell r="BZ373">
            <v>1</v>
          </cell>
          <cell r="CA373">
            <v>1</v>
          </cell>
          <cell r="CB373">
            <v>1</v>
          </cell>
          <cell r="CC373">
            <v>1</v>
          </cell>
          <cell r="CD373">
            <v>1</v>
          </cell>
          <cell r="CE373">
            <v>1</v>
          </cell>
          <cell r="CF373">
            <v>1</v>
          </cell>
          <cell r="CG373">
            <v>1</v>
          </cell>
          <cell r="CH373">
            <v>1</v>
          </cell>
          <cell r="CI373">
            <v>1</v>
          </cell>
          <cell r="CJ373">
            <v>1</v>
          </cell>
          <cell r="CK373">
            <v>1</v>
          </cell>
        </row>
        <row r="374">
          <cell r="J374">
            <v>39330</v>
          </cell>
          <cell r="K374">
            <v>39378</v>
          </cell>
          <cell r="L374">
            <v>39384</v>
          </cell>
          <cell r="M374">
            <v>39486</v>
          </cell>
          <cell r="N374">
            <v>39507</v>
          </cell>
          <cell r="O374">
            <v>39642</v>
          </cell>
          <cell r="Q374" t="str">
            <v>R</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0.5</v>
          </cell>
          <cell r="BG374">
            <v>0.7</v>
          </cell>
          <cell r="BH374">
            <v>0.7</v>
          </cell>
          <cell r="BI374">
            <v>0.7</v>
          </cell>
          <cell r="BJ374">
            <v>0.7</v>
          </cell>
          <cell r="BK374">
            <v>0.7</v>
          </cell>
          <cell r="BL374">
            <v>0.7</v>
          </cell>
          <cell r="BM374">
            <v>0.7</v>
          </cell>
          <cell r="BN374">
            <v>0.7</v>
          </cell>
          <cell r="BO374">
            <v>0.7</v>
          </cell>
          <cell r="BP374">
            <v>0.7</v>
          </cell>
          <cell r="BQ374">
            <v>0.7</v>
          </cell>
          <cell r="BR374">
            <v>0.7</v>
          </cell>
          <cell r="BS374">
            <v>0.7</v>
          </cell>
          <cell r="BT374">
            <v>0.7</v>
          </cell>
          <cell r="BU374">
            <v>0.7</v>
          </cell>
          <cell r="BV374">
            <v>0.7</v>
          </cell>
          <cell r="BW374">
            <v>0.7</v>
          </cell>
          <cell r="BX374">
            <v>0.7</v>
          </cell>
          <cell r="BY374">
            <v>0.95</v>
          </cell>
          <cell r="BZ374">
            <v>0.95</v>
          </cell>
          <cell r="CA374">
            <v>0.95</v>
          </cell>
          <cell r="CB374">
            <v>0.95</v>
          </cell>
          <cell r="CC374">
            <v>0.95</v>
          </cell>
          <cell r="CD374">
            <v>0.95</v>
          </cell>
          <cell r="CE374">
            <v>0.95</v>
          </cell>
          <cell r="CF374">
            <v>0.95</v>
          </cell>
          <cell r="CG374">
            <v>0.95</v>
          </cell>
          <cell r="CH374">
            <v>0.95</v>
          </cell>
          <cell r="CI374">
            <v>0.95</v>
          </cell>
          <cell r="CJ374">
            <v>0.95</v>
          </cell>
          <cell r="CK374">
            <v>0.95</v>
          </cell>
        </row>
        <row r="375">
          <cell r="Q375" t="str">
            <v>E</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0.7</v>
          </cell>
          <cell r="BJ375">
            <v>0.7</v>
          </cell>
          <cell r="BK375">
            <v>0.7</v>
          </cell>
          <cell r="BL375">
            <v>0.7</v>
          </cell>
          <cell r="BM375">
            <v>0.7</v>
          </cell>
          <cell r="BN375">
            <v>0.7</v>
          </cell>
          <cell r="BO375">
            <v>0.7</v>
          </cell>
          <cell r="BP375">
            <v>0.7</v>
          </cell>
          <cell r="BQ375">
            <v>0.7</v>
          </cell>
          <cell r="BR375">
            <v>0.7</v>
          </cell>
          <cell r="BS375">
            <v>0.7</v>
          </cell>
          <cell r="BT375">
            <v>0.7</v>
          </cell>
          <cell r="BU375">
            <v>0.7</v>
          </cell>
          <cell r="BV375">
            <v>0.7</v>
          </cell>
          <cell r="BW375">
            <v>0.7</v>
          </cell>
          <cell r="BX375">
            <v>0.7</v>
          </cell>
          <cell r="BY375">
            <v>0.7</v>
          </cell>
          <cell r="BZ375">
            <v>0.7</v>
          </cell>
          <cell r="CA375">
            <v>0.7</v>
          </cell>
          <cell r="CB375">
            <v>0.7</v>
          </cell>
          <cell r="CC375">
            <v>0.7</v>
          </cell>
          <cell r="CD375">
            <v>0</v>
          </cell>
          <cell r="CE375">
            <v>0</v>
          </cell>
          <cell r="CF375">
            <v>0</v>
          </cell>
          <cell r="CG375">
            <v>0</v>
          </cell>
          <cell r="CH375">
            <v>0</v>
          </cell>
          <cell r="CI375">
            <v>0</v>
          </cell>
          <cell r="CJ375">
            <v>0</v>
          </cell>
          <cell r="CK375">
            <v>0</v>
          </cell>
        </row>
        <row r="376">
          <cell r="D376" t="str">
            <v>01</v>
          </cell>
          <cell r="E376" t="str">
            <v>46</v>
          </cell>
          <cell r="F376" t="str">
            <v>I04</v>
          </cell>
          <cell r="G376" t="str">
            <v>REQ</v>
          </cell>
          <cell r="H376" t="str">
            <v>3020-01</v>
          </cell>
          <cell r="I376" t="str">
            <v>MATERIALES DE CONEXION ELECTRICA DE INSTRUMENTOS</v>
          </cell>
          <cell r="J376">
            <v>39251</v>
          </cell>
          <cell r="K376">
            <v>39275</v>
          </cell>
          <cell r="L376">
            <v>39289</v>
          </cell>
          <cell r="M376">
            <v>39290</v>
          </cell>
          <cell r="N376">
            <v>39304</v>
          </cell>
          <cell r="O376">
            <v>39476</v>
          </cell>
          <cell r="P376">
            <v>47.397597687400363</v>
          </cell>
          <cell r="Q376" t="str">
            <v>P</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0.5</v>
          </cell>
          <cell r="AR376">
            <v>0.5</v>
          </cell>
          <cell r="AS376">
            <v>0.7</v>
          </cell>
          <cell r="AT376">
            <v>0.7</v>
          </cell>
          <cell r="AU376">
            <v>0.7</v>
          </cell>
          <cell r="AV376">
            <v>0.95</v>
          </cell>
          <cell r="AW376">
            <v>0.95</v>
          </cell>
          <cell r="AX376">
            <v>0.95</v>
          </cell>
          <cell r="AY376">
            <v>0.95</v>
          </cell>
          <cell r="AZ376">
            <v>0.95</v>
          </cell>
          <cell r="BA376">
            <v>0.95</v>
          </cell>
          <cell r="BB376">
            <v>0.95</v>
          </cell>
          <cell r="BC376">
            <v>0.95</v>
          </cell>
          <cell r="BD376">
            <v>0.95</v>
          </cell>
          <cell r="BE376">
            <v>0.95</v>
          </cell>
          <cell r="BF376">
            <v>0.95</v>
          </cell>
          <cell r="BG376">
            <v>0.95</v>
          </cell>
          <cell r="BH376">
            <v>0.95</v>
          </cell>
          <cell r="BI376">
            <v>0.95</v>
          </cell>
          <cell r="BJ376">
            <v>0.95</v>
          </cell>
          <cell r="BK376">
            <v>0.95</v>
          </cell>
          <cell r="BL376">
            <v>0.95</v>
          </cell>
          <cell r="BM376">
            <v>0.95</v>
          </cell>
          <cell r="BN376">
            <v>0.95</v>
          </cell>
          <cell r="BO376">
            <v>0.95</v>
          </cell>
          <cell r="BP376">
            <v>0.95</v>
          </cell>
          <cell r="BQ376">
            <v>0.95</v>
          </cell>
          <cell r="BR376">
            <v>0.95</v>
          </cell>
          <cell r="BS376">
            <v>0.95</v>
          </cell>
          <cell r="BT376">
            <v>1</v>
          </cell>
          <cell r="BU376">
            <v>1</v>
          </cell>
          <cell r="BV376">
            <v>1</v>
          </cell>
          <cell r="BW376">
            <v>1</v>
          </cell>
          <cell r="BX376">
            <v>1</v>
          </cell>
          <cell r="BY376">
            <v>1</v>
          </cell>
          <cell r="BZ376">
            <v>1</v>
          </cell>
          <cell r="CA376">
            <v>1</v>
          </cell>
          <cell r="CB376">
            <v>1</v>
          </cell>
          <cell r="CC376">
            <v>1</v>
          </cell>
          <cell r="CD376">
            <v>1</v>
          </cell>
          <cell r="CE376">
            <v>1</v>
          </cell>
          <cell r="CF376">
            <v>1</v>
          </cell>
          <cell r="CG376">
            <v>1</v>
          </cell>
          <cell r="CH376">
            <v>1</v>
          </cell>
          <cell r="CI376">
            <v>1</v>
          </cell>
          <cell r="CJ376">
            <v>1</v>
          </cell>
          <cell r="CK376">
            <v>1</v>
          </cell>
        </row>
        <row r="377">
          <cell r="J377">
            <v>39330</v>
          </cell>
          <cell r="K377">
            <v>39378</v>
          </cell>
          <cell r="L377">
            <v>39378</v>
          </cell>
          <cell r="M377">
            <v>39378</v>
          </cell>
          <cell r="N377">
            <v>39384</v>
          </cell>
          <cell r="O377">
            <v>39642</v>
          </cell>
          <cell r="Q377" t="str">
            <v>R</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0.7</v>
          </cell>
          <cell r="BG377">
            <v>0.95</v>
          </cell>
          <cell r="BH377">
            <v>0.95</v>
          </cell>
          <cell r="BI377">
            <v>0.95</v>
          </cell>
          <cell r="BJ377">
            <v>0.95</v>
          </cell>
          <cell r="BK377">
            <v>0.95</v>
          </cell>
          <cell r="BL377">
            <v>0.95</v>
          </cell>
          <cell r="BM377">
            <v>0.95</v>
          </cell>
          <cell r="BN377">
            <v>0.95</v>
          </cell>
          <cell r="BO377">
            <v>0.95</v>
          </cell>
          <cell r="BP377">
            <v>0.95</v>
          </cell>
          <cell r="BQ377">
            <v>0.95</v>
          </cell>
          <cell r="BR377">
            <v>0.95</v>
          </cell>
          <cell r="BS377">
            <v>0.95</v>
          </cell>
          <cell r="BT377">
            <v>0.95</v>
          </cell>
          <cell r="BU377">
            <v>0.95</v>
          </cell>
          <cell r="BV377">
            <v>0.95</v>
          </cell>
          <cell r="BW377">
            <v>0.95</v>
          </cell>
          <cell r="BX377">
            <v>0.95</v>
          </cell>
          <cell r="BY377">
            <v>0.95</v>
          </cell>
          <cell r="BZ377">
            <v>0.95</v>
          </cell>
          <cell r="CA377">
            <v>0.95</v>
          </cell>
          <cell r="CB377">
            <v>0.95</v>
          </cell>
          <cell r="CC377">
            <v>0.95</v>
          </cell>
          <cell r="CD377">
            <v>0.95</v>
          </cell>
          <cell r="CE377">
            <v>0.95</v>
          </cell>
          <cell r="CF377">
            <v>0.95</v>
          </cell>
          <cell r="CG377">
            <v>0.95</v>
          </cell>
          <cell r="CH377">
            <v>0.95</v>
          </cell>
          <cell r="CI377">
            <v>0.95</v>
          </cell>
          <cell r="CJ377">
            <v>0.95</v>
          </cell>
          <cell r="CK377">
            <v>0.95</v>
          </cell>
        </row>
        <row r="378">
          <cell r="Q378" t="str">
            <v>E</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0.95</v>
          </cell>
          <cell r="BJ378">
            <v>0.95</v>
          </cell>
          <cell r="BK378">
            <v>0.95</v>
          </cell>
          <cell r="BL378">
            <v>0.95</v>
          </cell>
          <cell r="BM378">
            <v>0.95</v>
          </cell>
          <cell r="BN378">
            <v>0.95</v>
          </cell>
          <cell r="BO378">
            <v>0.95</v>
          </cell>
          <cell r="BP378">
            <v>0.95</v>
          </cell>
          <cell r="BQ378">
            <v>0.95</v>
          </cell>
          <cell r="BR378">
            <v>0.95</v>
          </cell>
          <cell r="BS378">
            <v>0.95</v>
          </cell>
          <cell r="BT378">
            <v>0.95</v>
          </cell>
          <cell r="BU378">
            <v>0.95</v>
          </cell>
          <cell r="BV378">
            <v>0.95</v>
          </cell>
          <cell r="BW378">
            <v>0.95</v>
          </cell>
          <cell r="BX378">
            <v>0.95</v>
          </cell>
          <cell r="BY378">
            <v>0.95</v>
          </cell>
          <cell r="BZ378">
            <v>0.95</v>
          </cell>
          <cell r="CA378">
            <v>0.95</v>
          </cell>
          <cell r="CB378">
            <v>0.95</v>
          </cell>
          <cell r="CC378">
            <v>0.95</v>
          </cell>
          <cell r="CD378">
            <v>0</v>
          </cell>
          <cell r="CE378">
            <v>0</v>
          </cell>
          <cell r="CF378">
            <v>0</v>
          </cell>
          <cell r="CG378">
            <v>0</v>
          </cell>
          <cell r="CH378">
            <v>0</v>
          </cell>
          <cell r="CI378">
            <v>0</v>
          </cell>
          <cell r="CJ378">
            <v>0</v>
          </cell>
          <cell r="CK378">
            <v>0</v>
          </cell>
        </row>
        <row r="379">
          <cell r="D379" t="str">
            <v>01</v>
          </cell>
          <cell r="E379" t="str">
            <v>46</v>
          </cell>
          <cell r="F379" t="str">
            <v>I04</v>
          </cell>
          <cell r="G379" t="str">
            <v>REQ</v>
          </cell>
          <cell r="H379" t="str">
            <v>4605-01</v>
          </cell>
          <cell r="I379" t="str">
            <v>BANDEJAS PORTACABLES Y ACCESORIOS</v>
          </cell>
          <cell r="J379">
            <v>39251</v>
          </cell>
          <cell r="K379">
            <v>39275</v>
          </cell>
          <cell r="L379">
            <v>39289</v>
          </cell>
          <cell r="M379">
            <v>39290</v>
          </cell>
          <cell r="N379">
            <v>39304</v>
          </cell>
          <cell r="O379">
            <v>39476</v>
          </cell>
          <cell r="P379">
            <v>35.797597687400362</v>
          </cell>
          <cell r="Q379" t="str">
            <v>P</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0.5</v>
          </cell>
          <cell r="AR379">
            <v>0.5</v>
          </cell>
          <cell r="AS379">
            <v>0.7</v>
          </cell>
          <cell r="AT379">
            <v>0.7</v>
          </cell>
          <cell r="AU379">
            <v>0.7</v>
          </cell>
          <cell r="AV379">
            <v>0.95</v>
          </cell>
          <cell r="AW379">
            <v>0.95</v>
          </cell>
          <cell r="AX379">
            <v>0.95</v>
          </cell>
          <cell r="AY379">
            <v>0.95</v>
          </cell>
          <cell r="AZ379">
            <v>0.95</v>
          </cell>
          <cell r="BA379">
            <v>0.95</v>
          </cell>
          <cell r="BB379">
            <v>0.95</v>
          </cell>
          <cell r="BC379">
            <v>0.95</v>
          </cell>
          <cell r="BD379">
            <v>0.95</v>
          </cell>
          <cell r="BE379">
            <v>0.95</v>
          </cell>
          <cell r="BF379">
            <v>0.95</v>
          </cell>
          <cell r="BG379">
            <v>0.95</v>
          </cell>
          <cell r="BH379">
            <v>0.95</v>
          </cell>
          <cell r="BI379">
            <v>0.95</v>
          </cell>
          <cell r="BJ379">
            <v>0.95</v>
          </cell>
          <cell r="BK379">
            <v>0.95</v>
          </cell>
          <cell r="BL379">
            <v>0.95</v>
          </cell>
          <cell r="BM379">
            <v>0.95</v>
          </cell>
          <cell r="BN379">
            <v>0.95</v>
          </cell>
          <cell r="BO379">
            <v>0.95</v>
          </cell>
          <cell r="BP379">
            <v>0.95</v>
          </cell>
          <cell r="BQ379">
            <v>0.95</v>
          </cell>
          <cell r="BR379">
            <v>0.95</v>
          </cell>
          <cell r="BS379">
            <v>0.95</v>
          </cell>
          <cell r="BT379">
            <v>1</v>
          </cell>
          <cell r="BU379">
            <v>1</v>
          </cell>
          <cell r="BV379">
            <v>1</v>
          </cell>
          <cell r="BW379">
            <v>1</v>
          </cell>
          <cell r="BX379">
            <v>1</v>
          </cell>
          <cell r="BY379">
            <v>1</v>
          </cell>
          <cell r="BZ379">
            <v>1</v>
          </cell>
          <cell r="CA379">
            <v>1</v>
          </cell>
          <cell r="CB379">
            <v>1</v>
          </cell>
          <cell r="CC379">
            <v>1</v>
          </cell>
          <cell r="CD379">
            <v>1</v>
          </cell>
          <cell r="CE379">
            <v>1</v>
          </cell>
          <cell r="CF379">
            <v>1</v>
          </cell>
          <cell r="CG379">
            <v>1</v>
          </cell>
          <cell r="CH379">
            <v>1</v>
          </cell>
          <cell r="CI379">
            <v>1</v>
          </cell>
          <cell r="CJ379">
            <v>1</v>
          </cell>
          <cell r="CK379">
            <v>1</v>
          </cell>
        </row>
        <row r="380">
          <cell r="J380">
            <v>39375</v>
          </cell>
          <cell r="K380">
            <v>39437</v>
          </cell>
          <cell r="L380">
            <v>39534</v>
          </cell>
          <cell r="M380">
            <v>39549</v>
          </cell>
          <cell r="N380">
            <v>39563</v>
          </cell>
          <cell r="O380">
            <v>39642</v>
          </cell>
          <cell r="Q380" t="str">
            <v>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0.5</v>
          </cell>
          <cell r="BP380">
            <v>0.5</v>
          </cell>
          <cell r="BQ380">
            <v>0.5</v>
          </cell>
          <cell r="BR380">
            <v>0.5</v>
          </cell>
          <cell r="BS380">
            <v>0.5</v>
          </cell>
          <cell r="BT380">
            <v>0.5</v>
          </cell>
          <cell r="BU380">
            <v>0.5</v>
          </cell>
          <cell r="BV380">
            <v>0.5</v>
          </cell>
          <cell r="BW380">
            <v>0.5</v>
          </cell>
          <cell r="BX380">
            <v>0.5</v>
          </cell>
          <cell r="BY380">
            <v>0.5</v>
          </cell>
          <cell r="BZ380">
            <v>0.5</v>
          </cell>
          <cell r="CA380">
            <v>0.5</v>
          </cell>
          <cell r="CB380">
            <v>0.7</v>
          </cell>
          <cell r="CC380">
            <v>0.7</v>
          </cell>
          <cell r="CD380">
            <v>0.7</v>
          </cell>
          <cell r="CE380">
            <v>0.7</v>
          </cell>
          <cell r="CF380">
            <v>0.7</v>
          </cell>
          <cell r="CG380">
            <v>0.95</v>
          </cell>
          <cell r="CH380">
            <v>0.95</v>
          </cell>
          <cell r="CI380">
            <v>0.95</v>
          </cell>
          <cell r="CJ380">
            <v>0.95</v>
          </cell>
          <cell r="CK380">
            <v>0.95</v>
          </cell>
        </row>
        <row r="381">
          <cell r="Q381" t="str">
            <v>E</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0.5</v>
          </cell>
          <cell r="BO381">
            <v>0.5</v>
          </cell>
          <cell r="BP381">
            <v>0.5</v>
          </cell>
          <cell r="BQ381">
            <v>0.5</v>
          </cell>
          <cell r="BR381">
            <v>0.5</v>
          </cell>
          <cell r="BS381">
            <v>0.5</v>
          </cell>
          <cell r="BT381">
            <v>0.5</v>
          </cell>
          <cell r="BU381">
            <v>0.5</v>
          </cell>
          <cell r="BV381">
            <v>0.5</v>
          </cell>
          <cell r="BW381">
            <v>0.5</v>
          </cell>
          <cell r="BX381">
            <v>0.5</v>
          </cell>
          <cell r="BY381">
            <v>0.5</v>
          </cell>
          <cell r="BZ381">
            <v>0.5</v>
          </cell>
          <cell r="CA381">
            <v>0.5</v>
          </cell>
          <cell r="CB381">
            <v>0.5</v>
          </cell>
          <cell r="CC381">
            <v>0.5</v>
          </cell>
          <cell r="CD381">
            <v>0</v>
          </cell>
          <cell r="CE381">
            <v>0</v>
          </cell>
          <cell r="CF381">
            <v>0</v>
          </cell>
          <cell r="CG381">
            <v>0</v>
          </cell>
          <cell r="CH381">
            <v>0</v>
          </cell>
          <cell r="CI381">
            <v>0</v>
          </cell>
          <cell r="CJ381">
            <v>0</v>
          </cell>
          <cell r="CK381">
            <v>0</v>
          </cell>
        </row>
        <row r="382">
          <cell r="D382" t="str">
            <v>01</v>
          </cell>
          <cell r="E382" t="str">
            <v>46</v>
          </cell>
          <cell r="F382" t="str">
            <v>I04</v>
          </cell>
          <cell r="G382" t="str">
            <v>REQ</v>
          </cell>
          <cell r="H382" t="str">
            <v>4360-01</v>
          </cell>
          <cell r="I382" t="str">
            <v>CAJAS DE CONEXIONES</v>
          </cell>
          <cell r="J382">
            <v>39251</v>
          </cell>
          <cell r="K382">
            <v>39275</v>
          </cell>
          <cell r="L382">
            <v>39289</v>
          </cell>
          <cell r="M382">
            <v>39290</v>
          </cell>
          <cell r="N382">
            <v>39304</v>
          </cell>
          <cell r="O382">
            <v>39476</v>
          </cell>
          <cell r="P382">
            <v>47.397597687400363</v>
          </cell>
          <cell r="Q382" t="str">
            <v>P</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0.5</v>
          </cell>
          <cell r="AR382">
            <v>0.5</v>
          </cell>
          <cell r="AS382">
            <v>0.7</v>
          </cell>
          <cell r="AT382">
            <v>0.7</v>
          </cell>
          <cell r="AU382">
            <v>0.7</v>
          </cell>
          <cell r="AV382">
            <v>0.95</v>
          </cell>
          <cell r="AW382">
            <v>0.95</v>
          </cell>
          <cell r="AX382">
            <v>0.95</v>
          </cell>
          <cell r="AY382">
            <v>0.95</v>
          </cell>
          <cell r="AZ382">
            <v>0.95</v>
          </cell>
          <cell r="BA382">
            <v>0.95</v>
          </cell>
          <cell r="BB382">
            <v>0.95</v>
          </cell>
          <cell r="BC382">
            <v>0.95</v>
          </cell>
          <cell r="BD382">
            <v>0.95</v>
          </cell>
          <cell r="BE382">
            <v>0.95</v>
          </cell>
          <cell r="BF382">
            <v>0.95</v>
          </cell>
          <cell r="BG382">
            <v>0.95</v>
          </cell>
          <cell r="BH382">
            <v>0.95</v>
          </cell>
          <cell r="BI382">
            <v>0.95</v>
          </cell>
          <cell r="BJ382">
            <v>0.95</v>
          </cell>
          <cell r="BK382">
            <v>0.95</v>
          </cell>
          <cell r="BL382">
            <v>0.95</v>
          </cell>
          <cell r="BM382">
            <v>0.95</v>
          </cell>
          <cell r="BN382">
            <v>0.95</v>
          </cell>
          <cell r="BO382">
            <v>0.95</v>
          </cell>
          <cell r="BP382">
            <v>0.95</v>
          </cell>
          <cell r="BQ382">
            <v>0.95</v>
          </cell>
          <cell r="BR382">
            <v>0.95</v>
          </cell>
          <cell r="BS382">
            <v>0.95</v>
          </cell>
          <cell r="BT382">
            <v>1</v>
          </cell>
          <cell r="BU382">
            <v>1</v>
          </cell>
          <cell r="BV382">
            <v>1</v>
          </cell>
          <cell r="BW382">
            <v>1</v>
          </cell>
          <cell r="BX382">
            <v>1</v>
          </cell>
          <cell r="BY382">
            <v>1</v>
          </cell>
          <cell r="BZ382">
            <v>1</v>
          </cell>
          <cell r="CA382">
            <v>1</v>
          </cell>
          <cell r="CB382">
            <v>1</v>
          </cell>
          <cell r="CC382">
            <v>1</v>
          </cell>
          <cell r="CD382">
            <v>1</v>
          </cell>
          <cell r="CE382">
            <v>1</v>
          </cell>
          <cell r="CF382">
            <v>1</v>
          </cell>
          <cell r="CG382">
            <v>1</v>
          </cell>
          <cell r="CH382">
            <v>1</v>
          </cell>
          <cell r="CI382">
            <v>1</v>
          </cell>
          <cell r="CJ382">
            <v>1</v>
          </cell>
          <cell r="CK382">
            <v>1</v>
          </cell>
        </row>
        <row r="383">
          <cell r="J383">
            <v>39340</v>
          </cell>
          <cell r="K383">
            <v>39349</v>
          </cell>
          <cell r="L383">
            <v>39349</v>
          </cell>
          <cell r="M383">
            <v>39349</v>
          </cell>
          <cell r="N383">
            <v>39356</v>
          </cell>
          <cell r="O383">
            <v>39642</v>
          </cell>
          <cell r="Q383" t="str">
            <v>R</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0.7</v>
          </cell>
          <cell r="BC383">
            <v>0.95</v>
          </cell>
          <cell r="BD383">
            <v>0.95</v>
          </cell>
          <cell r="BE383">
            <v>0.95</v>
          </cell>
          <cell r="BF383">
            <v>0.95</v>
          </cell>
          <cell r="BG383">
            <v>0.95</v>
          </cell>
          <cell r="BH383">
            <v>0.95</v>
          </cell>
          <cell r="BI383">
            <v>0.95</v>
          </cell>
          <cell r="BJ383">
            <v>0.95</v>
          </cell>
          <cell r="BK383">
            <v>0.95</v>
          </cell>
          <cell r="BL383">
            <v>0.95</v>
          </cell>
          <cell r="BM383">
            <v>0.95</v>
          </cell>
          <cell r="BN383">
            <v>0.95</v>
          </cell>
          <cell r="BO383">
            <v>0.95</v>
          </cell>
          <cell r="BP383">
            <v>0.95</v>
          </cell>
          <cell r="BQ383">
            <v>0.95</v>
          </cell>
          <cell r="BR383">
            <v>0.95</v>
          </cell>
          <cell r="BS383">
            <v>0.95</v>
          </cell>
          <cell r="BT383">
            <v>0.95</v>
          </cell>
          <cell r="BU383">
            <v>0.95</v>
          </cell>
          <cell r="BV383">
            <v>0.95</v>
          </cell>
          <cell r="BW383">
            <v>0.95</v>
          </cell>
          <cell r="BX383">
            <v>0.95</v>
          </cell>
          <cell r="BY383">
            <v>0.95</v>
          </cell>
          <cell r="BZ383">
            <v>0.95</v>
          </cell>
          <cell r="CA383">
            <v>0.95</v>
          </cell>
          <cell r="CB383">
            <v>0.95</v>
          </cell>
          <cell r="CC383">
            <v>0.95</v>
          </cell>
          <cell r="CD383">
            <v>0.95</v>
          </cell>
          <cell r="CE383">
            <v>0.95</v>
          </cell>
          <cell r="CF383">
            <v>0.95</v>
          </cell>
          <cell r="CG383">
            <v>0.95</v>
          </cell>
          <cell r="CH383">
            <v>0.95</v>
          </cell>
          <cell r="CI383">
            <v>0.95</v>
          </cell>
          <cell r="CJ383">
            <v>0.95</v>
          </cell>
          <cell r="CK383">
            <v>0.95</v>
          </cell>
        </row>
        <row r="384">
          <cell r="Q384" t="str">
            <v>E</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0.95</v>
          </cell>
          <cell r="BJ384">
            <v>0.95</v>
          </cell>
          <cell r="BK384">
            <v>0.95</v>
          </cell>
          <cell r="BL384">
            <v>0.95</v>
          </cell>
          <cell r="BM384">
            <v>0.95</v>
          </cell>
          <cell r="BN384">
            <v>0.95</v>
          </cell>
          <cell r="BO384">
            <v>0.95</v>
          </cell>
          <cell r="BP384">
            <v>0.95</v>
          </cell>
          <cell r="BQ384">
            <v>0.95</v>
          </cell>
          <cell r="BR384">
            <v>0.95</v>
          </cell>
          <cell r="BS384">
            <v>0.95</v>
          </cell>
          <cell r="BT384">
            <v>0.95</v>
          </cell>
          <cell r="BU384">
            <v>0.95</v>
          </cell>
          <cell r="BV384">
            <v>0.95</v>
          </cell>
          <cell r="BW384">
            <v>0.95</v>
          </cell>
          <cell r="BX384">
            <v>0.95</v>
          </cell>
          <cell r="BY384">
            <v>0.95</v>
          </cell>
          <cell r="BZ384">
            <v>0.95</v>
          </cell>
          <cell r="CA384">
            <v>0.95</v>
          </cell>
          <cell r="CB384">
            <v>0.95</v>
          </cell>
          <cell r="CC384">
            <v>0.95</v>
          </cell>
          <cell r="CD384">
            <v>0</v>
          </cell>
          <cell r="CE384">
            <v>0</v>
          </cell>
          <cell r="CF384">
            <v>0</v>
          </cell>
          <cell r="CG384">
            <v>0</v>
          </cell>
          <cell r="CH384">
            <v>0</v>
          </cell>
          <cell r="CI384">
            <v>0</v>
          </cell>
          <cell r="CJ384">
            <v>0</v>
          </cell>
          <cell r="CK384">
            <v>0</v>
          </cell>
        </row>
        <row r="385">
          <cell r="D385" t="str">
            <v>01</v>
          </cell>
          <cell r="E385" t="str">
            <v>46</v>
          </cell>
          <cell r="F385" t="str">
            <v>I04</v>
          </cell>
          <cell r="G385" t="str">
            <v>REQ</v>
          </cell>
          <cell r="H385" t="str">
            <v>4525-01</v>
          </cell>
          <cell r="I385" t="str">
            <v>CABLES DE INSTRUMENTACION Y CONTROL</v>
          </cell>
          <cell r="J385">
            <v>39251</v>
          </cell>
          <cell r="K385">
            <v>39275</v>
          </cell>
          <cell r="L385">
            <v>39289</v>
          </cell>
          <cell r="M385">
            <v>39290</v>
          </cell>
          <cell r="N385">
            <v>39304</v>
          </cell>
          <cell r="O385">
            <v>39476</v>
          </cell>
          <cell r="P385">
            <v>17.898798843700181</v>
          </cell>
          <cell r="Q385" t="str">
            <v>P</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0.5</v>
          </cell>
          <cell r="AR385">
            <v>0.5</v>
          </cell>
          <cell r="AS385">
            <v>0.7</v>
          </cell>
          <cell r="AT385">
            <v>0.7</v>
          </cell>
          <cell r="AU385">
            <v>0.7</v>
          </cell>
          <cell r="AV385">
            <v>0.95</v>
          </cell>
          <cell r="AW385">
            <v>0.95</v>
          </cell>
          <cell r="AX385">
            <v>0.95</v>
          </cell>
          <cell r="AY385">
            <v>0.95</v>
          </cell>
          <cell r="AZ385">
            <v>0.95</v>
          </cell>
          <cell r="BA385">
            <v>0.95</v>
          </cell>
          <cell r="BB385">
            <v>0.95</v>
          </cell>
          <cell r="BC385">
            <v>0.95</v>
          </cell>
          <cell r="BD385">
            <v>0.95</v>
          </cell>
          <cell r="BE385">
            <v>0.95</v>
          </cell>
          <cell r="BF385">
            <v>0.95</v>
          </cell>
          <cell r="BG385">
            <v>0.95</v>
          </cell>
          <cell r="BH385">
            <v>0.95</v>
          </cell>
          <cell r="BI385">
            <v>0.95</v>
          </cell>
          <cell r="BJ385">
            <v>0.95</v>
          </cell>
          <cell r="BK385">
            <v>0.95</v>
          </cell>
          <cell r="BL385">
            <v>0.95</v>
          </cell>
          <cell r="BM385">
            <v>0.95</v>
          </cell>
          <cell r="BN385">
            <v>0.95</v>
          </cell>
          <cell r="BO385">
            <v>0.95</v>
          </cell>
          <cell r="BP385">
            <v>0.95</v>
          </cell>
          <cell r="BQ385">
            <v>0.95</v>
          </cell>
          <cell r="BR385">
            <v>0.95</v>
          </cell>
          <cell r="BS385">
            <v>0.95</v>
          </cell>
          <cell r="BT385">
            <v>1</v>
          </cell>
          <cell r="BU385">
            <v>1</v>
          </cell>
          <cell r="BV385">
            <v>1</v>
          </cell>
          <cell r="BW385">
            <v>1</v>
          </cell>
          <cell r="BX385">
            <v>1</v>
          </cell>
          <cell r="BY385">
            <v>1</v>
          </cell>
          <cell r="BZ385">
            <v>1</v>
          </cell>
          <cell r="CA385">
            <v>1</v>
          </cell>
          <cell r="CB385">
            <v>1</v>
          </cell>
          <cell r="CC385">
            <v>1</v>
          </cell>
          <cell r="CD385">
            <v>1</v>
          </cell>
          <cell r="CE385">
            <v>1</v>
          </cell>
          <cell r="CF385">
            <v>1</v>
          </cell>
          <cell r="CG385">
            <v>1</v>
          </cell>
          <cell r="CH385">
            <v>1</v>
          </cell>
          <cell r="CI385">
            <v>1</v>
          </cell>
          <cell r="CJ385">
            <v>1</v>
          </cell>
          <cell r="CK385">
            <v>1</v>
          </cell>
        </row>
        <row r="386">
          <cell r="J386">
            <v>39375</v>
          </cell>
          <cell r="K386">
            <v>39389</v>
          </cell>
          <cell r="L386">
            <v>39403</v>
          </cell>
          <cell r="M386">
            <v>39417</v>
          </cell>
          <cell r="N386">
            <v>39431</v>
          </cell>
          <cell r="O386">
            <v>39642</v>
          </cell>
          <cell r="Q386" t="str">
            <v>R</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0.5</v>
          </cell>
          <cell r="BI386">
            <v>0.5</v>
          </cell>
          <cell r="BJ386">
            <v>0.7</v>
          </cell>
          <cell r="BK386">
            <v>0.7</v>
          </cell>
          <cell r="BL386">
            <v>0.7</v>
          </cell>
          <cell r="BM386">
            <v>0.7</v>
          </cell>
          <cell r="BN386">
            <v>0.95</v>
          </cell>
          <cell r="BO386">
            <v>0.95</v>
          </cell>
          <cell r="BP386">
            <v>0.95</v>
          </cell>
          <cell r="BQ386">
            <v>0.95</v>
          </cell>
          <cell r="BR386">
            <v>0.95</v>
          </cell>
          <cell r="BS386">
            <v>0.95</v>
          </cell>
          <cell r="BT386">
            <v>0.95</v>
          </cell>
          <cell r="BU386">
            <v>0.95</v>
          </cell>
          <cell r="BV386">
            <v>0.95</v>
          </cell>
          <cell r="BW386">
            <v>0.95</v>
          </cell>
          <cell r="BX386">
            <v>0.95</v>
          </cell>
          <cell r="BY386">
            <v>0.95</v>
          </cell>
          <cell r="BZ386">
            <v>0.95</v>
          </cell>
          <cell r="CA386">
            <v>0.95</v>
          </cell>
          <cell r="CB386">
            <v>0.95</v>
          </cell>
          <cell r="CC386">
            <v>0.95</v>
          </cell>
          <cell r="CD386">
            <v>0.95</v>
          </cell>
          <cell r="CE386">
            <v>0.95</v>
          </cell>
          <cell r="CF386">
            <v>0.95</v>
          </cell>
          <cell r="CG386">
            <v>0.95</v>
          </cell>
          <cell r="CH386">
            <v>0.95</v>
          </cell>
          <cell r="CI386">
            <v>0.95</v>
          </cell>
          <cell r="CJ386">
            <v>0.95</v>
          </cell>
          <cell r="CK386">
            <v>0.95</v>
          </cell>
        </row>
        <row r="387">
          <cell r="Q387" t="str">
            <v>E</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0.5</v>
          </cell>
          <cell r="BO387">
            <v>0.5</v>
          </cell>
          <cell r="BP387">
            <v>0.5</v>
          </cell>
          <cell r="BQ387">
            <v>0.5</v>
          </cell>
          <cell r="BR387">
            <v>0.5</v>
          </cell>
          <cell r="BS387">
            <v>0.5</v>
          </cell>
          <cell r="BT387">
            <v>0.5</v>
          </cell>
          <cell r="BU387">
            <v>0.5</v>
          </cell>
          <cell r="BV387">
            <v>0.5</v>
          </cell>
          <cell r="BW387">
            <v>0.5</v>
          </cell>
          <cell r="BX387">
            <v>0.5</v>
          </cell>
          <cell r="BY387">
            <v>0.5</v>
          </cell>
          <cell r="BZ387">
            <v>0.5</v>
          </cell>
          <cell r="CA387">
            <v>0.5</v>
          </cell>
          <cell r="CB387">
            <v>0.5</v>
          </cell>
          <cell r="CC387">
            <v>0.5</v>
          </cell>
          <cell r="CD387">
            <v>0</v>
          </cell>
          <cell r="CE387">
            <v>0</v>
          </cell>
          <cell r="CF387">
            <v>0</v>
          </cell>
          <cell r="CG387">
            <v>0</v>
          </cell>
          <cell r="CH387">
            <v>0</v>
          </cell>
          <cell r="CI387">
            <v>0</v>
          </cell>
          <cell r="CJ387">
            <v>0</v>
          </cell>
          <cell r="CK387">
            <v>0</v>
          </cell>
        </row>
        <row r="388">
          <cell r="D388" t="str">
            <v>01</v>
          </cell>
          <cell r="E388" t="str">
            <v>46</v>
          </cell>
          <cell r="F388" t="str">
            <v>I04</v>
          </cell>
          <cell r="G388" t="str">
            <v>REQ</v>
          </cell>
          <cell r="H388" t="str">
            <v>4530-01</v>
          </cell>
          <cell r="I388" t="str">
            <v>CABLES ESPECIALES (BAMBU, COAXIAL, FIBRA OPTICA)</v>
          </cell>
          <cell r="J388">
            <v>39251</v>
          </cell>
          <cell r="K388">
            <v>39275</v>
          </cell>
          <cell r="L388">
            <v>39289</v>
          </cell>
          <cell r="M388">
            <v>39290</v>
          </cell>
          <cell r="N388">
            <v>39304</v>
          </cell>
          <cell r="O388">
            <v>39476</v>
          </cell>
          <cell r="P388">
            <v>17.898798843700181</v>
          </cell>
          <cell r="Q388" t="str">
            <v>P</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0.5</v>
          </cell>
          <cell r="AR388">
            <v>0.5</v>
          </cell>
          <cell r="AS388">
            <v>0.7</v>
          </cell>
          <cell r="AT388">
            <v>0.7</v>
          </cell>
          <cell r="AU388">
            <v>0.7</v>
          </cell>
          <cell r="AV388">
            <v>0.95</v>
          </cell>
          <cell r="AW388">
            <v>0.95</v>
          </cell>
          <cell r="AX388">
            <v>0.95</v>
          </cell>
          <cell r="AY388">
            <v>0.95</v>
          </cell>
          <cell r="AZ388">
            <v>0.95</v>
          </cell>
          <cell r="BA388">
            <v>0.95</v>
          </cell>
          <cell r="BB388">
            <v>0.95</v>
          </cell>
          <cell r="BC388">
            <v>0.95</v>
          </cell>
          <cell r="BD388">
            <v>0.95</v>
          </cell>
          <cell r="BE388">
            <v>0.95</v>
          </cell>
          <cell r="BF388">
            <v>0.95</v>
          </cell>
          <cell r="BG388">
            <v>0.95</v>
          </cell>
          <cell r="BH388">
            <v>0.95</v>
          </cell>
          <cell r="BI388">
            <v>0.95</v>
          </cell>
          <cell r="BJ388">
            <v>0.95</v>
          </cell>
          <cell r="BK388">
            <v>0.95</v>
          </cell>
          <cell r="BL388">
            <v>0.95</v>
          </cell>
          <cell r="BM388">
            <v>0.95</v>
          </cell>
          <cell r="BN388">
            <v>0.95</v>
          </cell>
          <cell r="BO388">
            <v>0.95</v>
          </cell>
          <cell r="BP388">
            <v>0.95</v>
          </cell>
          <cell r="BQ388">
            <v>0.95</v>
          </cell>
          <cell r="BR388">
            <v>0.95</v>
          </cell>
          <cell r="BS388">
            <v>0.95</v>
          </cell>
          <cell r="BT388">
            <v>1</v>
          </cell>
          <cell r="BU388">
            <v>1</v>
          </cell>
          <cell r="BV388">
            <v>1</v>
          </cell>
          <cell r="BW388">
            <v>1</v>
          </cell>
          <cell r="BX388">
            <v>1</v>
          </cell>
          <cell r="BY388">
            <v>1</v>
          </cell>
          <cell r="BZ388">
            <v>1</v>
          </cell>
          <cell r="CA388">
            <v>1</v>
          </cell>
          <cell r="CB388">
            <v>1</v>
          </cell>
          <cell r="CC388">
            <v>1</v>
          </cell>
          <cell r="CD388">
            <v>1</v>
          </cell>
          <cell r="CE388">
            <v>1</v>
          </cell>
          <cell r="CF388">
            <v>1</v>
          </cell>
          <cell r="CG388">
            <v>1</v>
          </cell>
          <cell r="CH388">
            <v>1</v>
          </cell>
          <cell r="CI388">
            <v>1</v>
          </cell>
          <cell r="CJ388">
            <v>1</v>
          </cell>
          <cell r="CK388">
            <v>1</v>
          </cell>
        </row>
        <row r="389">
          <cell r="J389">
            <v>39251</v>
          </cell>
          <cell r="K389">
            <v>39275</v>
          </cell>
          <cell r="L389">
            <v>39289</v>
          </cell>
          <cell r="M389">
            <v>39290</v>
          </cell>
          <cell r="N389">
            <v>39304</v>
          </cell>
          <cell r="O389">
            <v>39642</v>
          </cell>
          <cell r="Q389" t="str">
            <v>R</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0.5</v>
          </cell>
          <cell r="AR389">
            <v>0.5</v>
          </cell>
          <cell r="AS389">
            <v>0.7</v>
          </cell>
          <cell r="AT389">
            <v>0.7</v>
          </cell>
          <cell r="AU389">
            <v>0.7</v>
          </cell>
          <cell r="AV389">
            <v>0.95</v>
          </cell>
          <cell r="AW389">
            <v>0.95</v>
          </cell>
          <cell r="AX389">
            <v>0.95</v>
          </cell>
          <cell r="AY389">
            <v>0.95</v>
          </cell>
          <cell r="AZ389">
            <v>0.95</v>
          </cell>
          <cell r="BA389">
            <v>0.95</v>
          </cell>
          <cell r="BB389">
            <v>0.95</v>
          </cell>
          <cell r="BC389">
            <v>0.95</v>
          </cell>
          <cell r="BD389">
            <v>0.95</v>
          </cell>
          <cell r="BE389">
            <v>0.95</v>
          </cell>
          <cell r="BF389">
            <v>0.95</v>
          </cell>
          <cell r="BG389">
            <v>0.95</v>
          </cell>
          <cell r="BH389">
            <v>0.95</v>
          </cell>
          <cell r="BI389">
            <v>0.95</v>
          </cell>
          <cell r="BJ389">
            <v>0.95</v>
          </cell>
          <cell r="BK389">
            <v>0.95</v>
          </cell>
          <cell r="BL389">
            <v>0.95</v>
          </cell>
          <cell r="BM389">
            <v>0.95</v>
          </cell>
          <cell r="BN389">
            <v>0.95</v>
          </cell>
          <cell r="BO389">
            <v>0.95</v>
          </cell>
          <cell r="BP389">
            <v>0.95</v>
          </cell>
          <cell r="BQ389">
            <v>0.95</v>
          </cell>
          <cell r="BR389">
            <v>0.95</v>
          </cell>
          <cell r="BS389">
            <v>0.95</v>
          </cell>
          <cell r="BT389">
            <v>0.95</v>
          </cell>
          <cell r="BU389">
            <v>0.95</v>
          </cell>
          <cell r="BV389">
            <v>0.95</v>
          </cell>
          <cell r="BW389">
            <v>0.95</v>
          </cell>
          <cell r="BX389">
            <v>0.95</v>
          </cell>
          <cell r="BY389">
            <v>0.95</v>
          </cell>
          <cell r="BZ389">
            <v>0.95</v>
          </cell>
          <cell r="CA389">
            <v>0.95</v>
          </cell>
          <cell r="CB389">
            <v>0.95</v>
          </cell>
          <cell r="CC389">
            <v>0.95</v>
          </cell>
          <cell r="CD389">
            <v>0.95</v>
          </cell>
          <cell r="CE389">
            <v>0.95</v>
          </cell>
          <cell r="CF389">
            <v>0.95</v>
          </cell>
          <cell r="CG389">
            <v>0.95</v>
          </cell>
          <cell r="CH389">
            <v>0.95</v>
          </cell>
          <cell r="CI389">
            <v>0.95</v>
          </cell>
          <cell r="CJ389">
            <v>0.95</v>
          </cell>
          <cell r="CK389">
            <v>0.95</v>
          </cell>
        </row>
        <row r="390">
          <cell r="Q390" t="str">
            <v>E</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0.5</v>
          </cell>
          <cell r="BS390">
            <v>0.5</v>
          </cell>
          <cell r="BT390">
            <v>0.5</v>
          </cell>
          <cell r="BU390">
            <v>0.5</v>
          </cell>
          <cell r="BV390">
            <v>0.5</v>
          </cell>
          <cell r="BW390">
            <v>0.5</v>
          </cell>
          <cell r="BX390">
            <v>0.5</v>
          </cell>
          <cell r="BY390">
            <v>0.5</v>
          </cell>
          <cell r="BZ390">
            <v>0.5</v>
          </cell>
          <cell r="CA390">
            <v>0.5</v>
          </cell>
          <cell r="CB390">
            <v>0.5</v>
          </cell>
          <cell r="CC390">
            <v>0.5</v>
          </cell>
          <cell r="CD390">
            <v>0</v>
          </cell>
          <cell r="CE390">
            <v>0</v>
          </cell>
          <cell r="CF390">
            <v>0</v>
          </cell>
          <cell r="CG390">
            <v>0</v>
          </cell>
          <cell r="CH390">
            <v>0</v>
          </cell>
          <cell r="CI390">
            <v>0</v>
          </cell>
          <cell r="CJ390">
            <v>0</v>
          </cell>
          <cell r="CK390">
            <v>0</v>
          </cell>
        </row>
        <row r="391">
          <cell r="D391" t="str">
            <v>01</v>
          </cell>
          <cell r="E391" t="str">
            <v>46</v>
          </cell>
          <cell r="F391" t="str">
            <v>I01</v>
          </cell>
          <cell r="G391" t="str">
            <v>TEC</v>
          </cell>
          <cell r="H391" t="str">
            <v>010</v>
          </cell>
          <cell r="I391" t="str">
            <v>LISTA DE CABLES DE INSTRUMENTACION  Y CONTROL</v>
          </cell>
          <cell r="J391">
            <v>39251</v>
          </cell>
          <cell r="K391">
            <v>39268</v>
          </cell>
          <cell r="L391">
            <v>39282</v>
          </cell>
          <cell r="M391">
            <v>39283</v>
          </cell>
          <cell r="N391">
            <v>39297</v>
          </cell>
          <cell r="O391">
            <v>39476</v>
          </cell>
          <cell r="P391">
            <v>35.797597687400362</v>
          </cell>
          <cell r="Q391" t="str">
            <v>P</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0.5</v>
          </cell>
          <cell r="AQ391">
            <v>0.5</v>
          </cell>
          <cell r="AR391">
            <v>0.7</v>
          </cell>
          <cell r="AS391">
            <v>0.7</v>
          </cell>
          <cell r="AT391">
            <v>0.7</v>
          </cell>
          <cell r="AU391">
            <v>0.95</v>
          </cell>
          <cell r="AV391">
            <v>0.95</v>
          </cell>
          <cell r="AW391">
            <v>0.95</v>
          </cell>
          <cell r="AX391">
            <v>0.95</v>
          </cell>
          <cell r="AY391">
            <v>0.95</v>
          </cell>
          <cell r="AZ391">
            <v>0.95</v>
          </cell>
          <cell r="BA391">
            <v>0.95</v>
          </cell>
          <cell r="BB391">
            <v>0.95</v>
          </cell>
          <cell r="BC391">
            <v>0.95</v>
          </cell>
          <cell r="BD391">
            <v>0.95</v>
          </cell>
          <cell r="BE391">
            <v>0.95</v>
          </cell>
          <cell r="BF391">
            <v>0.95</v>
          </cell>
          <cell r="BG391">
            <v>0.95</v>
          </cell>
          <cell r="BH391">
            <v>0.95</v>
          </cell>
          <cell r="BI391">
            <v>0.95</v>
          </cell>
          <cell r="BJ391">
            <v>0.95</v>
          </cell>
          <cell r="BK391">
            <v>0.95</v>
          </cell>
          <cell r="BL391">
            <v>0.95</v>
          </cell>
          <cell r="BM391">
            <v>0.95</v>
          </cell>
          <cell r="BN391">
            <v>0.95</v>
          </cell>
          <cell r="BO391">
            <v>0.95</v>
          </cell>
          <cell r="BP391">
            <v>0.95</v>
          </cell>
          <cell r="BQ391">
            <v>0.95</v>
          </cell>
          <cell r="BR391">
            <v>0.95</v>
          </cell>
          <cell r="BS391">
            <v>0.95</v>
          </cell>
          <cell r="BT391">
            <v>1</v>
          </cell>
          <cell r="BU391">
            <v>1</v>
          </cell>
          <cell r="BV391">
            <v>1</v>
          </cell>
          <cell r="BW391">
            <v>1</v>
          </cell>
          <cell r="BX391">
            <v>1</v>
          </cell>
          <cell r="BY391">
            <v>1</v>
          </cell>
          <cell r="BZ391">
            <v>1</v>
          </cell>
          <cell r="CA391">
            <v>1</v>
          </cell>
          <cell r="CB391">
            <v>1</v>
          </cell>
          <cell r="CC391">
            <v>1</v>
          </cell>
          <cell r="CD391">
            <v>1</v>
          </cell>
          <cell r="CE391">
            <v>1</v>
          </cell>
          <cell r="CF391">
            <v>1</v>
          </cell>
          <cell r="CG391">
            <v>1</v>
          </cell>
          <cell r="CH391">
            <v>1</v>
          </cell>
          <cell r="CI391">
            <v>1</v>
          </cell>
          <cell r="CJ391">
            <v>1</v>
          </cell>
          <cell r="CK391">
            <v>1</v>
          </cell>
        </row>
        <row r="392">
          <cell r="J392">
            <v>39355</v>
          </cell>
          <cell r="K392">
            <v>39437</v>
          </cell>
          <cell r="L392">
            <v>39534</v>
          </cell>
          <cell r="M392">
            <v>39549</v>
          </cell>
          <cell r="N392">
            <v>39563</v>
          </cell>
          <cell r="O392">
            <v>39642</v>
          </cell>
          <cell r="Q392" t="str">
            <v>R</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0.5</v>
          </cell>
          <cell r="BP392">
            <v>0.5</v>
          </cell>
          <cell r="BQ392">
            <v>0.5</v>
          </cell>
          <cell r="BR392">
            <v>0.5</v>
          </cell>
          <cell r="BS392">
            <v>0.5</v>
          </cell>
          <cell r="BT392">
            <v>0.5</v>
          </cell>
          <cell r="BU392">
            <v>0.5</v>
          </cell>
          <cell r="BV392">
            <v>0.5</v>
          </cell>
          <cell r="BW392">
            <v>0.5</v>
          </cell>
          <cell r="BX392">
            <v>0.5</v>
          </cell>
          <cell r="BY392">
            <v>0.5</v>
          </cell>
          <cell r="BZ392">
            <v>0.5</v>
          </cell>
          <cell r="CA392">
            <v>0.5</v>
          </cell>
          <cell r="CB392">
            <v>0.7</v>
          </cell>
          <cell r="CC392">
            <v>0.7</v>
          </cell>
          <cell r="CD392">
            <v>0.7</v>
          </cell>
          <cell r="CE392">
            <v>0.7</v>
          </cell>
          <cell r="CF392">
            <v>0.7</v>
          </cell>
          <cell r="CG392">
            <v>0.95</v>
          </cell>
          <cell r="CH392">
            <v>0.95</v>
          </cell>
          <cell r="CI392">
            <v>0.95</v>
          </cell>
          <cell r="CJ392">
            <v>0.95</v>
          </cell>
          <cell r="CK392">
            <v>0.95</v>
          </cell>
        </row>
        <row r="393">
          <cell r="Q393" t="str">
            <v>E</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0.5</v>
          </cell>
          <cell r="BO393">
            <v>0.5</v>
          </cell>
          <cell r="BP393">
            <v>0.5</v>
          </cell>
          <cell r="BQ393">
            <v>0.5</v>
          </cell>
          <cell r="BR393">
            <v>0.5</v>
          </cell>
          <cell r="BS393">
            <v>0.5</v>
          </cell>
          <cell r="BT393">
            <v>0.5</v>
          </cell>
          <cell r="BU393">
            <v>0.5</v>
          </cell>
          <cell r="BV393">
            <v>0.5</v>
          </cell>
          <cell r="BW393">
            <v>0.5</v>
          </cell>
          <cell r="BX393">
            <v>0.5</v>
          </cell>
          <cell r="BY393">
            <v>0.5</v>
          </cell>
          <cell r="BZ393">
            <v>0.5</v>
          </cell>
          <cell r="CA393">
            <v>0.5</v>
          </cell>
          <cell r="CB393">
            <v>0.5</v>
          </cell>
          <cell r="CC393">
            <v>0.5</v>
          </cell>
          <cell r="CD393">
            <v>0</v>
          </cell>
          <cell r="CE393">
            <v>0</v>
          </cell>
          <cell r="CF393">
            <v>0</v>
          </cell>
          <cell r="CG393">
            <v>0</v>
          </cell>
          <cell r="CH393">
            <v>0</v>
          </cell>
          <cell r="CI393">
            <v>0</v>
          </cell>
          <cell r="CJ393">
            <v>0</v>
          </cell>
          <cell r="CK393">
            <v>0</v>
          </cell>
        </row>
        <row r="394">
          <cell r="D394" t="str">
            <v>01</v>
          </cell>
          <cell r="E394" t="str">
            <v>46</v>
          </cell>
          <cell r="F394" t="str">
            <v>I01</v>
          </cell>
          <cell r="G394" t="str">
            <v>TEC</v>
          </cell>
          <cell r="H394" t="str">
            <v>013</v>
          </cell>
          <cell r="I394" t="str">
            <v>LISTA DE MATERIALES DE TUBERIA Y ACCESORIOS PARA CONEXIÓN MECANICA</v>
          </cell>
          <cell r="J394">
            <v>39251</v>
          </cell>
          <cell r="K394">
            <v>39268</v>
          </cell>
          <cell r="L394">
            <v>39282</v>
          </cell>
          <cell r="M394">
            <v>39283</v>
          </cell>
          <cell r="N394">
            <v>39297</v>
          </cell>
          <cell r="O394">
            <v>39476</v>
          </cell>
          <cell r="P394">
            <v>47.397597687400363</v>
          </cell>
          <cell r="Q394" t="str">
            <v>P</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0.5</v>
          </cell>
          <cell r="AQ394">
            <v>0.5</v>
          </cell>
          <cell r="AR394">
            <v>0.7</v>
          </cell>
          <cell r="AS394">
            <v>0.7</v>
          </cell>
          <cell r="AT394">
            <v>0.7</v>
          </cell>
          <cell r="AU394">
            <v>0.95</v>
          </cell>
          <cell r="AV394">
            <v>0.95</v>
          </cell>
          <cell r="AW394">
            <v>0.95</v>
          </cell>
          <cell r="AX394">
            <v>0.95</v>
          </cell>
          <cell r="AY394">
            <v>0.95</v>
          </cell>
          <cell r="AZ394">
            <v>0.95</v>
          </cell>
          <cell r="BA394">
            <v>0.95</v>
          </cell>
          <cell r="BB394">
            <v>0.95</v>
          </cell>
          <cell r="BC394">
            <v>0.95</v>
          </cell>
          <cell r="BD394">
            <v>0.95</v>
          </cell>
          <cell r="BE394">
            <v>0.95</v>
          </cell>
          <cell r="BF394">
            <v>0.95</v>
          </cell>
          <cell r="BG394">
            <v>0.95</v>
          </cell>
          <cell r="BH394">
            <v>0.95</v>
          </cell>
          <cell r="BI394">
            <v>0.95</v>
          </cell>
          <cell r="BJ394">
            <v>0.95</v>
          </cell>
          <cell r="BK394">
            <v>0.95</v>
          </cell>
          <cell r="BL394">
            <v>0.95</v>
          </cell>
          <cell r="BM394">
            <v>0.95</v>
          </cell>
          <cell r="BN394">
            <v>0.95</v>
          </cell>
          <cell r="BO394">
            <v>0.95</v>
          </cell>
          <cell r="BP394">
            <v>0.95</v>
          </cell>
          <cell r="BQ394">
            <v>0.95</v>
          </cell>
          <cell r="BR394">
            <v>0.95</v>
          </cell>
          <cell r="BS394">
            <v>0.95</v>
          </cell>
          <cell r="BT394">
            <v>1</v>
          </cell>
          <cell r="BU394">
            <v>1</v>
          </cell>
          <cell r="BV394">
            <v>1</v>
          </cell>
          <cell r="BW394">
            <v>1</v>
          </cell>
          <cell r="BX394">
            <v>1</v>
          </cell>
          <cell r="BY394">
            <v>1</v>
          </cell>
          <cell r="BZ394">
            <v>1</v>
          </cell>
          <cell r="CA394">
            <v>1</v>
          </cell>
          <cell r="CB394">
            <v>1</v>
          </cell>
          <cell r="CC394">
            <v>1</v>
          </cell>
          <cell r="CD394">
            <v>1</v>
          </cell>
          <cell r="CE394">
            <v>1</v>
          </cell>
          <cell r="CF394">
            <v>1</v>
          </cell>
          <cell r="CG394">
            <v>1</v>
          </cell>
          <cell r="CH394">
            <v>1</v>
          </cell>
          <cell r="CI394">
            <v>1</v>
          </cell>
          <cell r="CJ394">
            <v>1</v>
          </cell>
          <cell r="CK394">
            <v>1</v>
          </cell>
        </row>
        <row r="395">
          <cell r="J395">
            <v>39251</v>
          </cell>
          <cell r="K395">
            <v>39337</v>
          </cell>
          <cell r="L395">
            <v>39337</v>
          </cell>
          <cell r="M395">
            <v>39337</v>
          </cell>
          <cell r="N395">
            <v>39344</v>
          </cell>
          <cell r="O395">
            <v>39642</v>
          </cell>
          <cell r="Q395" t="str">
            <v>R</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0.7</v>
          </cell>
          <cell r="BA395">
            <v>0.95</v>
          </cell>
          <cell r="BB395">
            <v>0.95</v>
          </cell>
          <cell r="BC395">
            <v>0.95</v>
          </cell>
          <cell r="BD395">
            <v>0.95</v>
          </cell>
          <cell r="BE395">
            <v>0.95</v>
          </cell>
          <cell r="BF395">
            <v>0.95</v>
          </cell>
          <cell r="BG395">
            <v>0.95</v>
          </cell>
          <cell r="BH395">
            <v>0.95</v>
          </cell>
          <cell r="BI395">
            <v>0.95</v>
          </cell>
          <cell r="BJ395">
            <v>0.95</v>
          </cell>
          <cell r="BK395">
            <v>0.95</v>
          </cell>
          <cell r="BL395">
            <v>0.95</v>
          </cell>
          <cell r="BM395">
            <v>0.95</v>
          </cell>
          <cell r="BN395">
            <v>0.95</v>
          </cell>
          <cell r="BO395">
            <v>0.95</v>
          </cell>
          <cell r="BP395">
            <v>0.95</v>
          </cell>
          <cell r="BQ395">
            <v>0.95</v>
          </cell>
          <cell r="BR395">
            <v>0.95</v>
          </cell>
          <cell r="BS395">
            <v>0.95</v>
          </cell>
          <cell r="BT395">
            <v>0.95</v>
          </cell>
          <cell r="BU395">
            <v>0.95</v>
          </cell>
          <cell r="BV395">
            <v>0.95</v>
          </cell>
          <cell r="BW395">
            <v>0.95</v>
          </cell>
          <cell r="BX395">
            <v>0.95</v>
          </cell>
          <cell r="BY395">
            <v>0.95</v>
          </cell>
          <cell r="BZ395">
            <v>0.95</v>
          </cell>
          <cell r="CA395">
            <v>0.95</v>
          </cell>
          <cell r="CB395">
            <v>0.95</v>
          </cell>
          <cell r="CC395">
            <v>0.95</v>
          </cell>
          <cell r="CD395">
            <v>0.95</v>
          </cell>
          <cell r="CE395">
            <v>0.95</v>
          </cell>
          <cell r="CF395">
            <v>0.95</v>
          </cell>
          <cell r="CG395">
            <v>0.95</v>
          </cell>
          <cell r="CH395">
            <v>0.95</v>
          </cell>
          <cell r="CI395">
            <v>0.95</v>
          </cell>
          <cell r="CJ395">
            <v>0.95</v>
          </cell>
          <cell r="CK395">
            <v>0.95</v>
          </cell>
        </row>
        <row r="396">
          <cell r="Q396" t="str">
            <v>E</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0.5</v>
          </cell>
          <cell r="BA396">
            <v>0.95</v>
          </cell>
          <cell r="BB396">
            <v>0.95</v>
          </cell>
          <cell r="BC396">
            <v>0.95</v>
          </cell>
          <cell r="BD396">
            <v>0.95</v>
          </cell>
          <cell r="BE396">
            <v>0.95</v>
          </cell>
          <cell r="BF396">
            <v>0.95</v>
          </cell>
          <cell r="BG396">
            <v>0.95</v>
          </cell>
          <cell r="BH396">
            <v>0.95</v>
          </cell>
          <cell r="BI396">
            <v>0.95</v>
          </cell>
          <cell r="BJ396">
            <v>0.95</v>
          </cell>
          <cell r="BK396">
            <v>0.95</v>
          </cell>
          <cell r="BL396">
            <v>0.95</v>
          </cell>
          <cell r="BM396">
            <v>0.95</v>
          </cell>
          <cell r="BN396">
            <v>0.95</v>
          </cell>
          <cell r="BO396">
            <v>0.95</v>
          </cell>
          <cell r="BP396">
            <v>0.95</v>
          </cell>
          <cell r="BQ396">
            <v>0.95</v>
          </cell>
          <cell r="BR396">
            <v>0.95</v>
          </cell>
          <cell r="BS396">
            <v>0.95</v>
          </cell>
          <cell r="BT396">
            <v>0.95</v>
          </cell>
          <cell r="BU396">
            <v>0.95</v>
          </cell>
          <cell r="BV396">
            <v>0.95</v>
          </cell>
          <cell r="BW396">
            <v>0.95</v>
          </cell>
          <cell r="BX396">
            <v>0.95</v>
          </cell>
          <cell r="BY396">
            <v>0.95</v>
          </cell>
          <cell r="BZ396">
            <v>0.95</v>
          </cell>
          <cell r="CA396">
            <v>0.95</v>
          </cell>
          <cell r="CB396">
            <v>0.95</v>
          </cell>
          <cell r="CC396">
            <v>0.95</v>
          </cell>
          <cell r="CD396">
            <v>0</v>
          </cell>
          <cell r="CE396">
            <v>0</v>
          </cell>
          <cell r="CF396">
            <v>0</v>
          </cell>
          <cell r="CG396">
            <v>0</v>
          </cell>
          <cell r="CH396">
            <v>0</v>
          </cell>
          <cell r="CI396">
            <v>0</v>
          </cell>
          <cell r="CJ396">
            <v>0</v>
          </cell>
          <cell r="CK396">
            <v>0</v>
          </cell>
        </row>
        <row r="397">
          <cell r="D397" t="str">
            <v>01</v>
          </cell>
          <cell r="E397" t="str">
            <v>46</v>
          </cell>
          <cell r="F397" t="str">
            <v>I01</v>
          </cell>
          <cell r="G397" t="str">
            <v>TEC</v>
          </cell>
          <cell r="H397" t="str">
            <v>015</v>
          </cell>
          <cell r="I397" t="str">
            <v>LISTA DE MATERIALES PARA CONEXION ELECTRICA DE INSTRUMENTOS</v>
          </cell>
          <cell r="J397">
            <v>39251</v>
          </cell>
          <cell r="K397">
            <v>39268</v>
          </cell>
          <cell r="L397">
            <v>39282</v>
          </cell>
          <cell r="M397">
            <v>39283</v>
          </cell>
          <cell r="N397">
            <v>39297</v>
          </cell>
          <cell r="O397">
            <v>39476</v>
          </cell>
          <cell r="P397">
            <v>47.397597687400363</v>
          </cell>
          <cell r="Q397" t="str">
            <v>P</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0.5</v>
          </cell>
          <cell r="AQ397">
            <v>0.5</v>
          </cell>
          <cell r="AR397">
            <v>0.7</v>
          </cell>
          <cell r="AS397">
            <v>0.7</v>
          </cell>
          <cell r="AT397">
            <v>0.7</v>
          </cell>
          <cell r="AU397">
            <v>0.95</v>
          </cell>
          <cell r="AV397">
            <v>0.95</v>
          </cell>
          <cell r="AW397">
            <v>0.95</v>
          </cell>
          <cell r="AX397">
            <v>0.95</v>
          </cell>
          <cell r="AY397">
            <v>0.95</v>
          </cell>
          <cell r="AZ397">
            <v>0.95</v>
          </cell>
          <cell r="BA397">
            <v>0.95</v>
          </cell>
          <cell r="BB397">
            <v>0.95</v>
          </cell>
          <cell r="BC397">
            <v>0.95</v>
          </cell>
          <cell r="BD397">
            <v>0.95</v>
          </cell>
          <cell r="BE397">
            <v>0.95</v>
          </cell>
          <cell r="BF397">
            <v>0.95</v>
          </cell>
          <cell r="BG397">
            <v>0.95</v>
          </cell>
          <cell r="BH397">
            <v>0.95</v>
          </cell>
          <cell r="BI397">
            <v>0.95</v>
          </cell>
          <cell r="BJ397">
            <v>0.95</v>
          </cell>
          <cell r="BK397">
            <v>0.95</v>
          </cell>
          <cell r="BL397">
            <v>0.95</v>
          </cell>
          <cell r="BM397">
            <v>0.95</v>
          </cell>
          <cell r="BN397">
            <v>0.95</v>
          </cell>
          <cell r="BO397">
            <v>0.95</v>
          </cell>
          <cell r="BP397">
            <v>0.95</v>
          </cell>
          <cell r="BQ397">
            <v>0.95</v>
          </cell>
          <cell r="BR397">
            <v>0.95</v>
          </cell>
          <cell r="BS397">
            <v>0.95</v>
          </cell>
          <cell r="BT397">
            <v>1</v>
          </cell>
          <cell r="BU397">
            <v>1</v>
          </cell>
          <cell r="BV397">
            <v>1</v>
          </cell>
          <cell r="BW397">
            <v>1</v>
          </cell>
          <cell r="BX397">
            <v>1</v>
          </cell>
          <cell r="BY397">
            <v>1</v>
          </cell>
          <cell r="BZ397">
            <v>1</v>
          </cell>
          <cell r="CA397">
            <v>1</v>
          </cell>
          <cell r="CB397">
            <v>1</v>
          </cell>
          <cell r="CC397">
            <v>1</v>
          </cell>
          <cell r="CD397">
            <v>1</v>
          </cell>
          <cell r="CE397">
            <v>1</v>
          </cell>
          <cell r="CF397">
            <v>1</v>
          </cell>
          <cell r="CG397">
            <v>1</v>
          </cell>
          <cell r="CH397">
            <v>1</v>
          </cell>
          <cell r="CI397">
            <v>1</v>
          </cell>
          <cell r="CJ397">
            <v>1</v>
          </cell>
          <cell r="CK397">
            <v>1</v>
          </cell>
        </row>
        <row r="398">
          <cell r="J398">
            <v>39251</v>
          </cell>
          <cell r="K398">
            <v>39339</v>
          </cell>
          <cell r="L398">
            <v>39396</v>
          </cell>
          <cell r="M398">
            <v>39410</v>
          </cell>
          <cell r="N398">
            <v>39424</v>
          </cell>
          <cell r="O398">
            <v>39642</v>
          </cell>
          <cell r="Q398" t="str">
            <v>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0.5</v>
          </cell>
          <cell r="BB398">
            <v>0.5</v>
          </cell>
          <cell r="BC398">
            <v>0.5</v>
          </cell>
          <cell r="BD398">
            <v>0.5</v>
          </cell>
          <cell r="BE398">
            <v>0.5</v>
          </cell>
          <cell r="BF398">
            <v>0.5</v>
          </cell>
          <cell r="BG398">
            <v>0.5</v>
          </cell>
          <cell r="BH398">
            <v>0.5</v>
          </cell>
          <cell r="BI398">
            <v>0.7</v>
          </cell>
          <cell r="BJ398">
            <v>0.7</v>
          </cell>
          <cell r="BK398">
            <v>0.7</v>
          </cell>
          <cell r="BL398">
            <v>0.7</v>
          </cell>
          <cell r="BM398">
            <v>0.95</v>
          </cell>
          <cell r="BN398">
            <v>0.95</v>
          </cell>
          <cell r="BO398">
            <v>0.95</v>
          </cell>
          <cell r="BP398">
            <v>0.95</v>
          </cell>
          <cell r="BQ398">
            <v>0.95</v>
          </cell>
          <cell r="BR398">
            <v>0.95</v>
          </cell>
          <cell r="BS398">
            <v>0.95</v>
          </cell>
          <cell r="BT398">
            <v>0.95</v>
          </cell>
          <cell r="BU398">
            <v>0.95</v>
          </cell>
          <cell r="BV398">
            <v>0.95</v>
          </cell>
          <cell r="BW398">
            <v>0.95</v>
          </cell>
          <cell r="BX398">
            <v>0.95</v>
          </cell>
          <cell r="BY398">
            <v>0.95</v>
          </cell>
          <cell r="BZ398">
            <v>0.95</v>
          </cell>
          <cell r="CA398">
            <v>0.95</v>
          </cell>
          <cell r="CB398">
            <v>0.95</v>
          </cell>
          <cell r="CC398">
            <v>0.95</v>
          </cell>
          <cell r="CD398">
            <v>0.95</v>
          </cell>
          <cell r="CE398">
            <v>0.95</v>
          </cell>
          <cell r="CF398">
            <v>0.95</v>
          </cell>
          <cell r="CG398">
            <v>0.95</v>
          </cell>
          <cell r="CH398">
            <v>0.95</v>
          </cell>
          <cell r="CI398">
            <v>0.95</v>
          </cell>
          <cell r="CJ398">
            <v>0.95</v>
          </cell>
          <cell r="CK398">
            <v>0.95</v>
          </cell>
        </row>
        <row r="399">
          <cell r="Q399" t="str">
            <v>E</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0.5</v>
          </cell>
          <cell r="BA399">
            <v>0.95</v>
          </cell>
          <cell r="BB399">
            <v>0.95</v>
          </cell>
          <cell r="BC399">
            <v>0.95</v>
          </cell>
          <cell r="BD399">
            <v>0.95</v>
          </cell>
          <cell r="BE399">
            <v>0.95</v>
          </cell>
          <cell r="BF399">
            <v>0.95</v>
          </cell>
          <cell r="BG399">
            <v>0.95</v>
          </cell>
          <cell r="BH399">
            <v>0.95</v>
          </cell>
          <cell r="BI399">
            <v>0.95</v>
          </cell>
          <cell r="BJ399">
            <v>0.95</v>
          </cell>
          <cell r="BK399">
            <v>0.95</v>
          </cell>
          <cell r="BL399">
            <v>0.95</v>
          </cell>
          <cell r="BM399">
            <v>0.95</v>
          </cell>
          <cell r="BN399">
            <v>0.95</v>
          </cell>
          <cell r="BO399">
            <v>0.95</v>
          </cell>
          <cell r="BP399">
            <v>0.95</v>
          </cell>
          <cell r="BQ399">
            <v>0.95</v>
          </cell>
          <cell r="BR399">
            <v>0.95</v>
          </cell>
          <cell r="BS399">
            <v>0.95</v>
          </cell>
          <cell r="BT399">
            <v>0.95</v>
          </cell>
          <cell r="BU399">
            <v>0.95</v>
          </cell>
          <cell r="BV399">
            <v>0.95</v>
          </cell>
          <cell r="BW399">
            <v>0.95</v>
          </cell>
          <cell r="BX399">
            <v>0.95</v>
          </cell>
          <cell r="BY399">
            <v>0.95</v>
          </cell>
          <cell r="BZ399">
            <v>0.95</v>
          </cell>
          <cell r="CA399">
            <v>0.95</v>
          </cell>
          <cell r="CB399">
            <v>0.95</v>
          </cell>
          <cell r="CC399">
            <v>0.95</v>
          </cell>
          <cell r="CD399">
            <v>0</v>
          </cell>
          <cell r="CE399">
            <v>0</v>
          </cell>
          <cell r="CF399">
            <v>0</v>
          </cell>
          <cell r="CG399">
            <v>0</v>
          </cell>
          <cell r="CH399">
            <v>0</v>
          </cell>
          <cell r="CI399">
            <v>0</v>
          </cell>
          <cell r="CJ399">
            <v>0</v>
          </cell>
          <cell r="CK399">
            <v>0</v>
          </cell>
        </row>
        <row r="400">
          <cell r="D400" t="str">
            <v>01</v>
          </cell>
          <cell r="E400" t="str">
            <v>46</v>
          </cell>
          <cell r="F400" t="str">
            <v>I01</v>
          </cell>
          <cell r="G400" t="str">
            <v>ESP</v>
          </cell>
          <cell r="H400" t="str">
            <v>002</v>
          </cell>
          <cell r="I400" t="str">
            <v>ESQUEMATICOS (PANTALLAS)</v>
          </cell>
          <cell r="J400">
            <v>39232</v>
          </cell>
          <cell r="K400">
            <v>39247</v>
          </cell>
          <cell r="L400">
            <v>39261</v>
          </cell>
          <cell r="M400">
            <v>39268</v>
          </cell>
          <cell r="N400">
            <v>39282</v>
          </cell>
          <cell r="O400">
            <v>39476</v>
          </cell>
          <cell r="P400">
            <v>35.797597687400362</v>
          </cell>
          <cell r="Q400" t="str">
            <v>P</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0.5</v>
          </cell>
          <cell r="AN400">
            <v>0.5</v>
          </cell>
          <cell r="AO400">
            <v>0.7</v>
          </cell>
          <cell r="AP400">
            <v>0.7</v>
          </cell>
          <cell r="AQ400">
            <v>0.7</v>
          </cell>
          <cell r="AR400">
            <v>0.95</v>
          </cell>
          <cell r="AS400">
            <v>0.95</v>
          </cell>
          <cell r="AT400">
            <v>0.95</v>
          </cell>
          <cell r="AU400">
            <v>0.95</v>
          </cell>
          <cell r="AV400">
            <v>0.95</v>
          </cell>
          <cell r="AW400">
            <v>0.95</v>
          </cell>
          <cell r="AX400">
            <v>0.95</v>
          </cell>
          <cell r="AY400">
            <v>0.95</v>
          </cell>
          <cell r="AZ400">
            <v>0.95</v>
          </cell>
          <cell r="BA400">
            <v>0.95</v>
          </cell>
          <cell r="BB400">
            <v>0.95</v>
          </cell>
          <cell r="BC400">
            <v>0.95</v>
          </cell>
          <cell r="BD400">
            <v>0.95</v>
          </cell>
          <cell r="BE400">
            <v>0.95</v>
          </cell>
          <cell r="BF400">
            <v>0.95</v>
          </cell>
          <cell r="BG400">
            <v>0.95</v>
          </cell>
          <cell r="BH400">
            <v>0.95</v>
          </cell>
          <cell r="BI400">
            <v>0.95</v>
          </cell>
          <cell r="BJ400">
            <v>0.95</v>
          </cell>
          <cell r="BK400">
            <v>0.95</v>
          </cell>
          <cell r="BL400">
            <v>0.95</v>
          </cell>
          <cell r="BM400">
            <v>0.95</v>
          </cell>
          <cell r="BN400">
            <v>0.95</v>
          </cell>
          <cell r="BO400">
            <v>0.95</v>
          </cell>
          <cell r="BP400">
            <v>0.95</v>
          </cell>
          <cell r="BQ400">
            <v>0.95</v>
          </cell>
          <cell r="BR400">
            <v>0.95</v>
          </cell>
          <cell r="BS400">
            <v>0.95</v>
          </cell>
          <cell r="BT400">
            <v>1</v>
          </cell>
          <cell r="BU400">
            <v>1</v>
          </cell>
          <cell r="BV400">
            <v>1</v>
          </cell>
          <cell r="BW400">
            <v>1</v>
          </cell>
          <cell r="BX400">
            <v>1</v>
          </cell>
          <cell r="BY400">
            <v>1</v>
          </cell>
          <cell r="BZ400">
            <v>1</v>
          </cell>
          <cell r="CA400">
            <v>1</v>
          </cell>
          <cell r="CB400">
            <v>1</v>
          </cell>
          <cell r="CC400">
            <v>1</v>
          </cell>
          <cell r="CD400">
            <v>1</v>
          </cell>
          <cell r="CE400">
            <v>1</v>
          </cell>
          <cell r="CF400">
            <v>1</v>
          </cell>
          <cell r="CG400">
            <v>1</v>
          </cell>
          <cell r="CH400">
            <v>1</v>
          </cell>
          <cell r="CI400">
            <v>1</v>
          </cell>
          <cell r="CJ400">
            <v>1</v>
          </cell>
          <cell r="CK400">
            <v>1</v>
          </cell>
        </row>
        <row r="401">
          <cell r="J401">
            <v>39345</v>
          </cell>
          <cell r="K401">
            <v>39371</v>
          </cell>
          <cell r="L401">
            <v>39479</v>
          </cell>
          <cell r="M401">
            <v>39486</v>
          </cell>
          <cell r="N401">
            <v>39507</v>
          </cell>
          <cell r="O401">
            <v>39642</v>
          </cell>
          <cell r="Q401" t="str">
            <v>R</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0.5</v>
          </cell>
          <cell r="BF401">
            <v>0.5</v>
          </cell>
          <cell r="BG401">
            <v>0.5</v>
          </cell>
          <cell r="BH401">
            <v>0.5</v>
          </cell>
          <cell r="BI401">
            <v>0.5</v>
          </cell>
          <cell r="BJ401">
            <v>0.5</v>
          </cell>
          <cell r="BK401">
            <v>0.5</v>
          </cell>
          <cell r="BL401">
            <v>0.5</v>
          </cell>
          <cell r="BM401">
            <v>0.5</v>
          </cell>
          <cell r="BN401">
            <v>0.5</v>
          </cell>
          <cell r="BO401">
            <v>0.5</v>
          </cell>
          <cell r="BP401">
            <v>0.5</v>
          </cell>
          <cell r="BQ401">
            <v>0.5</v>
          </cell>
          <cell r="BR401">
            <v>0.5</v>
          </cell>
          <cell r="BS401">
            <v>0.5</v>
          </cell>
          <cell r="BT401">
            <v>0.5</v>
          </cell>
          <cell r="BU401">
            <v>0.7</v>
          </cell>
          <cell r="BV401">
            <v>0.7</v>
          </cell>
          <cell r="BW401">
            <v>0.7</v>
          </cell>
          <cell r="BX401">
            <v>0.7</v>
          </cell>
          <cell r="BY401">
            <v>0.95</v>
          </cell>
          <cell r="BZ401">
            <v>0.95</v>
          </cell>
          <cell r="CA401">
            <v>0.95</v>
          </cell>
          <cell r="CB401">
            <v>0.95</v>
          </cell>
          <cell r="CC401">
            <v>0.95</v>
          </cell>
          <cell r="CD401">
            <v>0.95</v>
          </cell>
          <cell r="CE401">
            <v>0.95</v>
          </cell>
          <cell r="CF401">
            <v>0.95</v>
          </cell>
          <cell r="CG401">
            <v>0.95</v>
          </cell>
          <cell r="CH401">
            <v>0.95</v>
          </cell>
          <cell r="CI401">
            <v>0.95</v>
          </cell>
          <cell r="CJ401">
            <v>0.95</v>
          </cell>
          <cell r="CK401">
            <v>0.95</v>
          </cell>
        </row>
        <row r="402">
          <cell r="Q402" t="str">
            <v>E</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0.5</v>
          </cell>
          <cell r="BJ402">
            <v>0.5</v>
          </cell>
          <cell r="BK402">
            <v>0.5</v>
          </cell>
          <cell r="BL402">
            <v>0.5</v>
          </cell>
          <cell r="BM402">
            <v>0.5</v>
          </cell>
          <cell r="BN402">
            <v>0.5</v>
          </cell>
          <cell r="BO402">
            <v>0.5</v>
          </cell>
          <cell r="BP402">
            <v>0.5</v>
          </cell>
          <cell r="BQ402">
            <v>0.5</v>
          </cell>
          <cell r="BR402">
            <v>0.5</v>
          </cell>
          <cell r="BS402">
            <v>0.5</v>
          </cell>
          <cell r="BT402">
            <v>0.5</v>
          </cell>
          <cell r="BU402">
            <v>0.5</v>
          </cell>
          <cell r="BV402">
            <v>0.5</v>
          </cell>
          <cell r="BW402">
            <v>0.7</v>
          </cell>
          <cell r="BX402">
            <v>0.7</v>
          </cell>
          <cell r="BY402">
            <v>0.7</v>
          </cell>
          <cell r="BZ402">
            <v>0.7</v>
          </cell>
          <cell r="CA402">
            <v>0.7</v>
          </cell>
          <cell r="CB402">
            <v>0.7</v>
          </cell>
          <cell r="CC402">
            <v>0.7</v>
          </cell>
          <cell r="CD402">
            <v>0</v>
          </cell>
          <cell r="CE402">
            <v>0</v>
          </cell>
          <cell r="CF402">
            <v>0</v>
          </cell>
          <cell r="CG402">
            <v>0</v>
          </cell>
          <cell r="CH402">
            <v>0</v>
          </cell>
          <cell r="CI402">
            <v>0</v>
          </cell>
          <cell r="CJ402">
            <v>0</v>
          </cell>
          <cell r="CK402">
            <v>0</v>
          </cell>
        </row>
        <row r="403">
          <cell r="D403" t="str">
            <v>01</v>
          </cell>
          <cell r="E403" t="str">
            <v>46</v>
          </cell>
          <cell r="F403" t="str">
            <v>I01</v>
          </cell>
          <cell r="G403" t="str">
            <v>TEC</v>
          </cell>
          <cell r="H403" t="str">
            <v>016</v>
          </cell>
          <cell r="I403" t="str">
            <v>LISTA DE MATERIALES PARA CONEXION NEUMATICA DE INSTRUMENTOS</v>
          </cell>
          <cell r="J403">
            <v>39321</v>
          </cell>
          <cell r="K403">
            <v>39337</v>
          </cell>
          <cell r="L403">
            <v>39337</v>
          </cell>
          <cell r="M403">
            <v>39337</v>
          </cell>
          <cell r="N403">
            <v>39344</v>
          </cell>
          <cell r="O403">
            <v>39568</v>
          </cell>
          <cell r="P403">
            <v>47.397597687400363</v>
          </cell>
          <cell r="Q403" t="str">
            <v>P</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0.7</v>
          </cell>
          <cell r="BA403">
            <v>0.95</v>
          </cell>
          <cell r="BB403">
            <v>0.95</v>
          </cell>
          <cell r="BC403">
            <v>0.95</v>
          </cell>
          <cell r="BD403">
            <v>0.95</v>
          </cell>
          <cell r="BE403">
            <v>0.95</v>
          </cell>
          <cell r="BF403">
            <v>0.95</v>
          </cell>
          <cell r="BG403">
            <v>0.95</v>
          </cell>
          <cell r="BH403">
            <v>0.95</v>
          </cell>
          <cell r="BI403">
            <v>0.95</v>
          </cell>
          <cell r="BJ403">
            <v>0.95</v>
          </cell>
          <cell r="BK403">
            <v>0.95</v>
          </cell>
          <cell r="BL403">
            <v>0.95</v>
          </cell>
          <cell r="BM403">
            <v>0.95</v>
          </cell>
          <cell r="BN403">
            <v>0.95</v>
          </cell>
          <cell r="BO403">
            <v>0.95</v>
          </cell>
          <cell r="BP403">
            <v>0.95</v>
          </cell>
          <cell r="BQ403">
            <v>0.95</v>
          </cell>
          <cell r="BR403">
            <v>0.95</v>
          </cell>
          <cell r="BS403">
            <v>0.95</v>
          </cell>
          <cell r="BT403">
            <v>0.95</v>
          </cell>
          <cell r="BU403">
            <v>0.95</v>
          </cell>
          <cell r="BV403">
            <v>0.95</v>
          </cell>
          <cell r="BW403">
            <v>0.95</v>
          </cell>
          <cell r="BX403">
            <v>0.95</v>
          </cell>
          <cell r="BY403">
            <v>0.95</v>
          </cell>
          <cell r="BZ403">
            <v>0.95</v>
          </cell>
          <cell r="CA403">
            <v>0.95</v>
          </cell>
          <cell r="CB403">
            <v>0.95</v>
          </cell>
          <cell r="CC403">
            <v>0.95</v>
          </cell>
          <cell r="CD403">
            <v>0.95</v>
          </cell>
          <cell r="CE403">
            <v>0.95</v>
          </cell>
          <cell r="CF403">
            <v>0.95</v>
          </cell>
          <cell r="CG403">
            <v>1</v>
          </cell>
          <cell r="CH403">
            <v>1</v>
          </cell>
          <cell r="CI403">
            <v>1</v>
          </cell>
          <cell r="CJ403">
            <v>1</v>
          </cell>
          <cell r="CK403">
            <v>1</v>
          </cell>
        </row>
        <row r="404">
          <cell r="J404">
            <v>39321</v>
          </cell>
          <cell r="K404">
            <v>39337</v>
          </cell>
          <cell r="L404">
            <v>39337</v>
          </cell>
          <cell r="M404">
            <v>39337</v>
          </cell>
          <cell r="N404">
            <v>39344</v>
          </cell>
          <cell r="O404">
            <v>39642</v>
          </cell>
          <cell r="Q404" t="str">
            <v>R</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0.7</v>
          </cell>
          <cell r="BA404">
            <v>0.95</v>
          </cell>
          <cell r="BB404">
            <v>0.95</v>
          </cell>
          <cell r="BC404">
            <v>0.95</v>
          </cell>
          <cell r="BD404">
            <v>0.95</v>
          </cell>
          <cell r="BE404">
            <v>0.95</v>
          </cell>
          <cell r="BF404">
            <v>0.95</v>
          </cell>
          <cell r="BG404">
            <v>0.95</v>
          </cell>
          <cell r="BH404">
            <v>0.95</v>
          </cell>
          <cell r="BI404">
            <v>0.95</v>
          </cell>
          <cell r="BJ404">
            <v>0.95</v>
          </cell>
          <cell r="BK404">
            <v>0.95</v>
          </cell>
          <cell r="BL404">
            <v>0.95</v>
          </cell>
          <cell r="BM404">
            <v>0.95</v>
          </cell>
          <cell r="BN404">
            <v>0.95</v>
          </cell>
          <cell r="BO404">
            <v>0.95</v>
          </cell>
          <cell r="BP404">
            <v>0.95</v>
          </cell>
          <cell r="BQ404">
            <v>0.95</v>
          </cell>
          <cell r="BR404">
            <v>0.95</v>
          </cell>
          <cell r="BS404">
            <v>0.95</v>
          </cell>
          <cell r="BT404">
            <v>0.95</v>
          </cell>
          <cell r="BU404">
            <v>0.95</v>
          </cell>
          <cell r="BV404">
            <v>0.95</v>
          </cell>
          <cell r="BW404">
            <v>0.95</v>
          </cell>
          <cell r="BX404">
            <v>0.95</v>
          </cell>
          <cell r="BY404">
            <v>0.95</v>
          </cell>
          <cell r="BZ404">
            <v>0.95</v>
          </cell>
          <cell r="CA404">
            <v>0.95</v>
          </cell>
          <cell r="CB404">
            <v>0.95</v>
          </cell>
          <cell r="CC404">
            <v>0.95</v>
          </cell>
          <cell r="CD404">
            <v>0.95</v>
          </cell>
          <cell r="CE404">
            <v>0.95</v>
          </cell>
          <cell r="CF404">
            <v>0.95</v>
          </cell>
          <cell r="CG404">
            <v>0.95</v>
          </cell>
          <cell r="CH404">
            <v>0.95</v>
          </cell>
          <cell r="CI404">
            <v>0.95</v>
          </cell>
          <cell r="CJ404">
            <v>0.95</v>
          </cell>
          <cell r="CK404">
            <v>0.95</v>
          </cell>
        </row>
        <row r="405">
          <cell r="Q405" t="str">
            <v>E</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0.5</v>
          </cell>
          <cell r="BA405">
            <v>0.95</v>
          </cell>
          <cell r="BB405">
            <v>0.95</v>
          </cell>
          <cell r="BC405">
            <v>0.95</v>
          </cell>
          <cell r="BD405">
            <v>0.95</v>
          </cell>
          <cell r="BE405">
            <v>0.95</v>
          </cell>
          <cell r="BF405">
            <v>0.95</v>
          </cell>
          <cell r="BG405">
            <v>0.95</v>
          </cell>
          <cell r="BH405">
            <v>0.95</v>
          </cell>
          <cell r="BI405">
            <v>0.95</v>
          </cell>
          <cell r="BJ405">
            <v>0.95</v>
          </cell>
          <cell r="BK405">
            <v>0.95</v>
          </cell>
          <cell r="BL405">
            <v>0.95</v>
          </cell>
          <cell r="BM405">
            <v>0.95</v>
          </cell>
          <cell r="BN405">
            <v>0.95</v>
          </cell>
          <cell r="BO405">
            <v>0.95</v>
          </cell>
          <cell r="BP405">
            <v>0.95</v>
          </cell>
          <cell r="BQ405">
            <v>0.95</v>
          </cell>
          <cell r="BR405">
            <v>0.95</v>
          </cell>
          <cell r="BS405">
            <v>0.95</v>
          </cell>
          <cell r="BT405">
            <v>0.95</v>
          </cell>
          <cell r="BU405">
            <v>0.95</v>
          </cell>
          <cell r="BV405">
            <v>0.95</v>
          </cell>
          <cell r="BW405">
            <v>0.95</v>
          </cell>
          <cell r="BX405">
            <v>0.95</v>
          </cell>
          <cell r="BY405">
            <v>0.95</v>
          </cell>
          <cell r="BZ405">
            <v>0.95</v>
          </cell>
          <cell r="CA405">
            <v>0.95</v>
          </cell>
          <cell r="CB405">
            <v>0.95</v>
          </cell>
          <cell r="CC405">
            <v>0.95</v>
          </cell>
          <cell r="CD405">
            <v>0</v>
          </cell>
          <cell r="CE405">
            <v>0</v>
          </cell>
          <cell r="CF405">
            <v>0</v>
          </cell>
          <cell r="CG405">
            <v>0</v>
          </cell>
          <cell r="CH405">
            <v>0</v>
          </cell>
          <cell r="CI405">
            <v>0</v>
          </cell>
          <cell r="CJ405">
            <v>0</v>
          </cell>
          <cell r="CK405">
            <v>0</v>
          </cell>
        </row>
        <row r="406">
          <cell r="D406" t="str">
            <v>01</v>
          </cell>
          <cell r="E406" t="str">
            <v>46</v>
          </cell>
          <cell r="F406" t="str">
            <v>I01</v>
          </cell>
          <cell r="G406" t="str">
            <v>TEC</v>
          </cell>
          <cell r="H406" t="str">
            <v>018</v>
          </cell>
          <cell r="I406" t="str">
            <v>LISTA DE BANDEJAS Y ACCESORIOS DE BANDEJAS</v>
          </cell>
          <cell r="J406">
            <v>39421</v>
          </cell>
          <cell r="K406">
            <v>39437</v>
          </cell>
          <cell r="L406">
            <v>39534</v>
          </cell>
          <cell r="M406">
            <v>39549</v>
          </cell>
          <cell r="N406">
            <v>39563</v>
          </cell>
          <cell r="O406">
            <v>39568</v>
          </cell>
          <cell r="P406">
            <v>35.797597687400362</v>
          </cell>
          <cell r="Q406" t="str">
            <v>P</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0.5</v>
          </cell>
          <cell r="BP406">
            <v>0.5</v>
          </cell>
          <cell r="BQ406">
            <v>0.5</v>
          </cell>
          <cell r="BR406">
            <v>0.5</v>
          </cell>
          <cell r="BS406">
            <v>0.5</v>
          </cell>
          <cell r="BT406">
            <v>0.5</v>
          </cell>
          <cell r="BU406">
            <v>0.5</v>
          </cell>
          <cell r="BV406">
            <v>0.5</v>
          </cell>
          <cell r="BW406">
            <v>0.5</v>
          </cell>
          <cell r="BX406">
            <v>0.5</v>
          </cell>
          <cell r="BY406">
            <v>0.5</v>
          </cell>
          <cell r="BZ406">
            <v>0.5</v>
          </cell>
          <cell r="CA406">
            <v>0.5</v>
          </cell>
          <cell r="CB406">
            <v>0.7</v>
          </cell>
          <cell r="CC406">
            <v>0.7</v>
          </cell>
          <cell r="CD406">
            <v>0.7</v>
          </cell>
          <cell r="CE406">
            <v>0.7</v>
          </cell>
          <cell r="CF406">
            <v>0.7</v>
          </cell>
          <cell r="CG406">
            <v>1</v>
          </cell>
          <cell r="CH406">
            <v>1</v>
          </cell>
          <cell r="CI406">
            <v>1</v>
          </cell>
          <cell r="CJ406">
            <v>1</v>
          </cell>
          <cell r="CK406">
            <v>1</v>
          </cell>
        </row>
        <row r="407">
          <cell r="J407">
            <v>39421</v>
          </cell>
          <cell r="K407">
            <v>39437</v>
          </cell>
          <cell r="L407">
            <v>39534</v>
          </cell>
          <cell r="M407">
            <v>39549</v>
          </cell>
          <cell r="N407">
            <v>39563</v>
          </cell>
          <cell r="O407">
            <v>39642</v>
          </cell>
          <cell r="Q407" t="str">
            <v>R</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0.5</v>
          </cell>
          <cell r="BP407">
            <v>0.5</v>
          </cell>
          <cell r="BQ407">
            <v>0.5</v>
          </cell>
          <cell r="BR407">
            <v>0.5</v>
          </cell>
          <cell r="BS407">
            <v>0.5</v>
          </cell>
          <cell r="BT407">
            <v>0.5</v>
          </cell>
          <cell r="BU407">
            <v>0.5</v>
          </cell>
          <cell r="BV407">
            <v>0.5</v>
          </cell>
          <cell r="BW407">
            <v>0.5</v>
          </cell>
          <cell r="BX407">
            <v>0.5</v>
          </cell>
          <cell r="BY407">
            <v>0.5</v>
          </cell>
          <cell r="BZ407">
            <v>0.5</v>
          </cell>
          <cell r="CA407">
            <v>0.5</v>
          </cell>
          <cell r="CB407">
            <v>0.7</v>
          </cell>
          <cell r="CC407">
            <v>0.7</v>
          </cell>
          <cell r="CD407">
            <v>0.7</v>
          </cell>
          <cell r="CE407">
            <v>0.7</v>
          </cell>
          <cell r="CF407">
            <v>0.7</v>
          </cell>
          <cell r="CG407">
            <v>0.95</v>
          </cell>
          <cell r="CH407">
            <v>0.95</v>
          </cell>
          <cell r="CI407">
            <v>0.95</v>
          </cell>
          <cell r="CJ407">
            <v>0.95</v>
          </cell>
          <cell r="CK407">
            <v>0.95</v>
          </cell>
        </row>
        <row r="408">
          <cell r="Q408" t="str">
            <v>E</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0.5</v>
          </cell>
          <cell r="BA408">
            <v>0.5</v>
          </cell>
          <cell r="BB408">
            <v>0.5</v>
          </cell>
          <cell r="BC408">
            <v>0.5</v>
          </cell>
          <cell r="BD408">
            <v>0.5</v>
          </cell>
          <cell r="BE408">
            <v>0.5</v>
          </cell>
          <cell r="BF408">
            <v>0.5</v>
          </cell>
          <cell r="BG408">
            <v>0.5</v>
          </cell>
          <cell r="BH408">
            <v>0.5</v>
          </cell>
          <cell r="BI408">
            <v>0.5</v>
          </cell>
          <cell r="BJ408">
            <v>0.5</v>
          </cell>
          <cell r="BK408">
            <v>0.5</v>
          </cell>
          <cell r="BL408">
            <v>0.5</v>
          </cell>
          <cell r="BM408">
            <v>0.5</v>
          </cell>
          <cell r="BN408">
            <v>0.5</v>
          </cell>
          <cell r="BO408">
            <v>0.5</v>
          </cell>
          <cell r="BP408">
            <v>0.5</v>
          </cell>
          <cell r="BQ408">
            <v>0.5</v>
          </cell>
          <cell r="BR408">
            <v>0.5</v>
          </cell>
          <cell r="BS408">
            <v>0.5</v>
          </cell>
          <cell r="BT408">
            <v>0.5</v>
          </cell>
          <cell r="BU408">
            <v>0.5</v>
          </cell>
          <cell r="BV408">
            <v>0.5</v>
          </cell>
          <cell r="BW408">
            <v>0.5</v>
          </cell>
          <cell r="BX408">
            <v>0.5</v>
          </cell>
          <cell r="BY408">
            <v>0.5</v>
          </cell>
          <cell r="BZ408">
            <v>0.5</v>
          </cell>
          <cell r="CA408">
            <v>0.5</v>
          </cell>
          <cell r="CB408">
            <v>0.5</v>
          </cell>
          <cell r="CC408">
            <v>0.5</v>
          </cell>
          <cell r="CD408">
            <v>0</v>
          </cell>
          <cell r="CE408">
            <v>0</v>
          </cell>
          <cell r="CF408">
            <v>0</v>
          </cell>
          <cell r="CG408">
            <v>0</v>
          </cell>
          <cell r="CH408">
            <v>0</v>
          </cell>
          <cell r="CI408">
            <v>0</v>
          </cell>
          <cell r="CJ408">
            <v>0</v>
          </cell>
          <cell r="CK408">
            <v>0</v>
          </cell>
        </row>
        <row r="409">
          <cell r="D409" t="str">
            <v>01</v>
          </cell>
          <cell r="E409" t="str">
            <v>46</v>
          </cell>
          <cell r="F409" t="str">
            <v>I01</v>
          </cell>
          <cell r="G409" t="str">
            <v>TEC</v>
          </cell>
          <cell r="H409" t="str">
            <v>007</v>
          </cell>
          <cell r="I409" t="str">
            <v>DEFINICION DEL SISTEMA DE CONTROL</v>
          </cell>
          <cell r="J409">
            <v>39189</v>
          </cell>
          <cell r="K409">
            <v>39199</v>
          </cell>
          <cell r="L409">
            <v>39213</v>
          </cell>
          <cell r="M409">
            <v>39216</v>
          </cell>
          <cell r="N409">
            <v>39230</v>
          </cell>
          <cell r="O409">
            <v>39476</v>
          </cell>
          <cell r="P409">
            <v>51.842703349282296</v>
          </cell>
          <cell r="Q409" t="str">
            <v>P</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0.5</v>
          </cell>
          <cell r="AH409">
            <v>0.5</v>
          </cell>
          <cell r="AI409">
            <v>0.7</v>
          </cell>
          <cell r="AJ409">
            <v>0.7</v>
          </cell>
          <cell r="AK409">
            <v>0.95</v>
          </cell>
          <cell r="AL409">
            <v>0.95</v>
          </cell>
          <cell r="AM409">
            <v>0.95</v>
          </cell>
          <cell r="AN409">
            <v>0.95</v>
          </cell>
          <cell r="AO409">
            <v>0.95</v>
          </cell>
          <cell r="AP409">
            <v>0.95</v>
          </cell>
          <cell r="AQ409">
            <v>0.95</v>
          </cell>
          <cell r="AR409">
            <v>0.95</v>
          </cell>
          <cell r="AS409">
            <v>0.95</v>
          </cell>
          <cell r="AT409">
            <v>0.95</v>
          </cell>
          <cell r="AU409">
            <v>0.95</v>
          </cell>
          <cell r="AV409">
            <v>0.95</v>
          </cell>
          <cell r="AW409">
            <v>0.95</v>
          </cell>
          <cell r="AX409">
            <v>0.95</v>
          </cell>
          <cell r="AY409">
            <v>0.95</v>
          </cell>
          <cell r="AZ409">
            <v>0.95</v>
          </cell>
          <cell r="BA409">
            <v>0.95</v>
          </cell>
          <cell r="BB409">
            <v>0.95</v>
          </cell>
          <cell r="BC409">
            <v>0.95</v>
          </cell>
          <cell r="BD409">
            <v>0.95</v>
          </cell>
          <cell r="BE409">
            <v>0.95</v>
          </cell>
          <cell r="BF409">
            <v>0.95</v>
          </cell>
          <cell r="BG409">
            <v>0.95</v>
          </cell>
          <cell r="BH409">
            <v>0.95</v>
          </cell>
          <cell r="BI409">
            <v>0.95</v>
          </cell>
          <cell r="BJ409">
            <v>0.95</v>
          </cell>
          <cell r="BK409">
            <v>0.95</v>
          </cell>
          <cell r="BL409">
            <v>0.95</v>
          </cell>
          <cell r="BM409">
            <v>0.95</v>
          </cell>
          <cell r="BN409">
            <v>0.95</v>
          </cell>
          <cell r="BO409">
            <v>0.95</v>
          </cell>
          <cell r="BP409">
            <v>0.95</v>
          </cell>
          <cell r="BQ409">
            <v>0.95</v>
          </cell>
          <cell r="BR409">
            <v>0.95</v>
          </cell>
          <cell r="BS409">
            <v>0.95</v>
          </cell>
          <cell r="BT409">
            <v>1</v>
          </cell>
          <cell r="BU409">
            <v>1</v>
          </cell>
          <cell r="BV409">
            <v>1</v>
          </cell>
          <cell r="BW409">
            <v>1</v>
          </cell>
          <cell r="BX409">
            <v>1</v>
          </cell>
          <cell r="BY409">
            <v>1</v>
          </cell>
          <cell r="BZ409">
            <v>1</v>
          </cell>
          <cell r="CA409">
            <v>1</v>
          </cell>
          <cell r="CB409">
            <v>1</v>
          </cell>
          <cell r="CC409">
            <v>1</v>
          </cell>
          <cell r="CD409">
            <v>1</v>
          </cell>
          <cell r="CE409">
            <v>1</v>
          </cell>
          <cell r="CF409">
            <v>1</v>
          </cell>
          <cell r="CG409">
            <v>1</v>
          </cell>
          <cell r="CH409">
            <v>1</v>
          </cell>
          <cell r="CI409">
            <v>1</v>
          </cell>
          <cell r="CJ409">
            <v>1</v>
          </cell>
          <cell r="CK409">
            <v>1</v>
          </cell>
        </row>
        <row r="410">
          <cell r="J410">
            <v>39189</v>
          </cell>
          <cell r="K410">
            <v>39199</v>
          </cell>
          <cell r="L410">
            <v>39335</v>
          </cell>
          <cell r="M410">
            <v>39486</v>
          </cell>
          <cell r="N410">
            <v>39507</v>
          </cell>
          <cell r="O410">
            <v>39642</v>
          </cell>
          <cell r="Q410" t="str">
            <v>R</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0.5</v>
          </cell>
          <cell r="AH410">
            <v>0.5</v>
          </cell>
          <cell r="AI410">
            <v>0.5</v>
          </cell>
          <cell r="AJ410">
            <v>0.5</v>
          </cell>
          <cell r="AK410">
            <v>0.5</v>
          </cell>
          <cell r="AL410">
            <v>0.5</v>
          </cell>
          <cell r="AM410">
            <v>0.5</v>
          </cell>
          <cell r="AN410">
            <v>0.5</v>
          </cell>
          <cell r="AO410">
            <v>0.5</v>
          </cell>
          <cell r="AP410">
            <v>0.5</v>
          </cell>
          <cell r="AQ410">
            <v>0.5</v>
          </cell>
          <cell r="AR410">
            <v>0.5</v>
          </cell>
          <cell r="AS410">
            <v>0.5</v>
          </cell>
          <cell r="AT410">
            <v>0.5</v>
          </cell>
          <cell r="AU410">
            <v>0.5</v>
          </cell>
          <cell r="AV410">
            <v>0.5</v>
          </cell>
          <cell r="AW410">
            <v>0.5</v>
          </cell>
          <cell r="AX410">
            <v>0.5</v>
          </cell>
          <cell r="AY410">
            <v>0.5</v>
          </cell>
          <cell r="AZ410">
            <v>0.7</v>
          </cell>
          <cell r="BA410">
            <v>0.7</v>
          </cell>
          <cell r="BB410">
            <v>0.7</v>
          </cell>
          <cell r="BC410">
            <v>0.7</v>
          </cell>
          <cell r="BD410">
            <v>0.7</v>
          </cell>
          <cell r="BE410">
            <v>0.7</v>
          </cell>
          <cell r="BF410">
            <v>0.7</v>
          </cell>
          <cell r="BG410">
            <v>0.7</v>
          </cell>
          <cell r="BH410">
            <v>0.7</v>
          </cell>
          <cell r="BI410">
            <v>0.7</v>
          </cell>
          <cell r="BJ410">
            <v>0.7</v>
          </cell>
          <cell r="BK410">
            <v>0.7</v>
          </cell>
          <cell r="BL410">
            <v>0.7</v>
          </cell>
          <cell r="BM410">
            <v>0.7</v>
          </cell>
          <cell r="BN410">
            <v>0.7</v>
          </cell>
          <cell r="BO410">
            <v>0.7</v>
          </cell>
          <cell r="BP410">
            <v>0.7</v>
          </cell>
          <cell r="BQ410">
            <v>0.7</v>
          </cell>
          <cell r="BR410">
            <v>0.7</v>
          </cell>
          <cell r="BS410">
            <v>0.7</v>
          </cell>
          <cell r="BT410">
            <v>0.7</v>
          </cell>
          <cell r="BU410">
            <v>0.7</v>
          </cell>
          <cell r="BV410">
            <v>0.7</v>
          </cell>
          <cell r="BW410">
            <v>0.7</v>
          </cell>
          <cell r="BX410">
            <v>0.7</v>
          </cell>
          <cell r="BY410">
            <v>0.95</v>
          </cell>
          <cell r="BZ410">
            <v>0.95</v>
          </cell>
          <cell r="CA410">
            <v>0.95</v>
          </cell>
          <cell r="CB410">
            <v>0.95</v>
          </cell>
          <cell r="CC410">
            <v>0.95</v>
          </cell>
          <cell r="CD410">
            <v>0.95</v>
          </cell>
          <cell r="CE410">
            <v>0.95</v>
          </cell>
          <cell r="CF410">
            <v>0.95</v>
          </cell>
          <cell r="CG410">
            <v>0.95</v>
          </cell>
          <cell r="CH410">
            <v>0.95</v>
          </cell>
          <cell r="CI410">
            <v>0.95</v>
          </cell>
          <cell r="CJ410">
            <v>0.95</v>
          </cell>
          <cell r="CK410">
            <v>0.95</v>
          </cell>
        </row>
        <row r="411">
          <cell r="Q411" t="str">
            <v>E</v>
          </cell>
          <cell r="AJ411">
            <v>0</v>
          </cell>
          <cell r="AK411">
            <v>0</v>
          </cell>
          <cell r="AL411">
            <v>0</v>
          </cell>
          <cell r="AM411">
            <v>0</v>
          </cell>
          <cell r="AN411">
            <v>0.5</v>
          </cell>
          <cell r="AO411">
            <v>0.7</v>
          </cell>
          <cell r="AP411">
            <v>0.7</v>
          </cell>
          <cell r="AQ411">
            <v>0.7</v>
          </cell>
          <cell r="AR411">
            <v>0.7</v>
          </cell>
          <cell r="AS411">
            <v>0.7</v>
          </cell>
          <cell r="AT411">
            <v>0.7</v>
          </cell>
          <cell r="AU411">
            <v>0.7</v>
          </cell>
          <cell r="AV411">
            <v>0.7</v>
          </cell>
          <cell r="AW411">
            <v>0.7</v>
          </cell>
          <cell r="AX411">
            <v>0.7</v>
          </cell>
          <cell r="AY411">
            <v>0.7</v>
          </cell>
          <cell r="AZ411">
            <v>0.7</v>
          </cell>
          <cell r="BA411">
            <v>0.7</v>
          </cell>
          <cell r="BB411">
            <v>0.7</v>
          </cell>
          <cell r="BC411">
            <v>0.7</v>
          </cell>
          <cell r="BD411">
            <v>0.7</v>
          </cell>
          <cell r="BE411">
            <v>0.7</v>
          </cell>
          <cell r="BF411">
            <v>0.7</v>
          </cell>
          <cell r="BG411">
            <v>0.7</v>
          </cell>
          <cell r="BH411">
            <v>0.7</v>
          </cell>
          <cell r="BI411">
            <v>0.7</v>
          </cell>
          <cell r="BJ411">
            <v>0.7</v>
          </cell>
          <cell r="BK411">
            <v>0.7</v>
          </cell>
          <cell r="BL411">
            <v>0.7</v>
          </cell>
          <cell r="BM411">
            <v>0.7</v>
          </cell>
          <cell r="BN411">
            <v>0.7</v>
          </cell>
          <cell r="BO411">
            <v>0.7</v>
          </cell>
          <cell r="BP411">
            <v>0.7</v>
          </cell>
          <cell r="BQ411">
            <v>0.7</v>
          </cell>
          <cell r="BR411">
            <v>0.7</v>
          </cell>
          <cell r="BS411">
            <v>0.7</v>
          </cell>
          <cell r="BT411">
            <v>0.7</v>
          </cell>
          <cell r="BU411">
            <v>0.7</v>
          </cell>
          <cell r="BV411">
            <v>0.7</v>
          </cell>
          <cell r="BW411">
            <v>0.7</v>
          </cell>
          <cell r="BX411">
            <v>0.7</v>
          </cell>
          <cell r="BY411">
            <v>0.7</v>
          </cell>
          <cell r="BZ411">
            <v>0.7</v>
          </cell>
          <cell r="CA411">
            <v>0.7</v>
          </cell>
          <cell r="CB411">
            <v>0.95</v>
          </cell>
          <cell r="CC411">
            <v>0.95</v>
          </cell>
          <cell r="CD411">
            <v>0</v>
          </cell>
          <cell r="CE411">
            <v>0</v>
          </cell>
          <cell r="CF411">
            <v>0</v>
          </cell>
          <cell r="CG411">
            <v>0</v>
          </cell>
          <cell r="CH411">
            <v>0</v>
          </cell>
          <cell r="CI411">
            <v>0</v>
          </cell>
          <cell r="CJ411">
            <v>0</v>
          </cell>
          <cell r="CK411">
            <v>0</v>
          </cell>
        </row>
        <row r="412">
          <cell r="D412" t="str">
            <v>01</v>
          </cell>
          <cell r="E412" t="str">
            <v>46</v>
          </cell>
          <cell r="F412" t="str">
            <v>I03</v>
          </cell>
          <cell r="H412" t="str">
            <v>001</v>
          </cell>
          <cell r="I412" t="str">
            <v>DIAGRAMA DE BLOQUES COMPRESOR C-4109</v>
          </cell>
          <cell r="J412">
            <v>39169</v>
          </cell>
          <cell r="K412">
            <v>39216</v>
          </cell>
          <cell r="L412">
            <v>39230</v>
          </cell>
          <cell r="M412">
            <v>39237</v>
          </cell>
          <cell r="N412">
            <v>39251</v>
          </cell>
          <cell r="O412">
            <v>39476</v>
          </cell>
          <cell r="P412">
            <v>23.699521531100476</v>
          </cell>
          <cell r="Q412" t="str">
            <v>P</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0.5</v>
          </cell>
          <cell r="AJ412">
            <v>0.5</v>
          </cell>
          <cell r="AK412">
            <v>0.7</v>
          </cell>
          <cell r="AL412">
            <v>0.7</v>
          </cell>
          <cell r="AM412">
            <v>0.7</v>
          </cell>
          <cell r="AN412">
            <v>0.95</v>
          </cell>
          <cell r="AO412">
            <v>0.95</v>
          </cell>
          <cell r="AP412">
            <v>0.95</v>
          </cell>
          <cell r="AQ412">
            <v>0.95</v>
          </cell>
          <cell r="AR412">
            <v>0.95</v>
          </cell>
          <cell r="AS412">
            <v>0.95</v>
          </cell>
          <cell r="AT412">
            <v>0.95</v>
          </cell>
          <cell r="AU412">
            <v>0.95</v>
          </cell>
          <cell r="AV412">
            <v>0.95</v>
          </cell>
          <cell r="AW412">
            <v>0.95</v>
          </cell>
          <cell r="AX412">
            <v>0.95</v>
          </cell>
          <cell r="AY412">
            <v>0.95</v>
          </cell>
          <cell r="AZ412">
            <v>0.95</v>
          </cell>
          <cell r="BA412">
            <v>0.95</v>
          </cell>
          <cell r="BB412">
            <v>0.95</v>
          </cell>
          <cell r="BC412">
            <v>0.95</v>
          </cell>
          <cell r="BD412">
            <v>0.95</v>
          </cell>
          <cell r="BE412">
            <v>0.95</v>
          </cell>
          <cell r="BF412">
            <v>0.95</v>
          </cell>
          <cell r="BG412">
            <v>0.95</v>
          </cell>
          <cell r="BH412">
            <v>0.95</v>
          </cell>
          <cell r="BI412">
            <v>0.95</v>
          </cell>
          <cell r="BJ412">
            <v>0.95</v>
          </cell>
          <cell r="BK412">
            <v>0.95</v>
          </cell>
          <cell r="BL412">
            <v>0.95</v>
          </cell>
          <cell r="BM412">
            <v>0.95</v>
          </cell>
          <cell r="BN412">
            <v>0.95</v>
          </cell>
          <cell r="BO412">
            <v>0.95</v>
          </cell>
          <cell r="BP412">
            <v>0.95</v>
          </cell>
          <cell r="BQ412">
            <v>0.95</v>
          </cell>
          <cell r="BR412">
            <v>0.95</v>
          </cell>
          <cell r="BS412">
            <v>0.95</v>
          </cell>
          <cell r="BT412">
            <v>1</v>
          </cell>
          <cell r="BU412">
            <v>1</v>
          </cell>
          <cell r="BV412">
            <v>1</v>
          </cell>
          <cell r="BW412">
            <v>1</v>
          </cell>
          <cell r="BX412">
            <v>1</v>
          </cell>
          <cell r="BY412">
            <v>1</v>
          </cell>
          <cell r="BZ412">
            <v>1</v>
          </cell>
          <cell r="CA412">
            <v>1</v>
          </cell>
          <cell r="CB412">
            <v>1</v>
          </cell>
          <cell r="CC412">
            <v>1</v>
          </cell>
          <cell r="CD412">
            <v>1</v>
          </cell>
          <cell r="CE412">
            <v>1</v>
          </cell>
          <cell r="CF412">
            <v>1</v>
          </cell>
          <cell r="CG412">
            <v>1</v>
          </cell>
          <cell r="CH412">
            <v>1</v>
          </cell>
          <cell r="CI412">
            <v>1</v>
          </cell>
          <cell r="CJ412">
            <v>1</v>
          </cell>
          <cell r="CK412">
            <v>1</v>
          </cell>
        </row>
        <row r="413">
          <cell r="J413">
            <v>39169</v>
          </cell>
          <cell r="K413">
            <v>39216</v>
          </cell>
          <cell r="L413">
            <v>39345</v>
          </cell>
          <cell r="M413">
            <v>39472</v>
          </cell>
          <cell r="N413">
            <v>39493</v>
          </cell>
          <cell r="O413">
            <v>39642</v>
          </cell>
          <cell r="Q413" t="str">
            <v>R</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0.5</v>
          </cell>
          <cell r="AJ413">
            <v>0.5</v>
          </cell>
          <cell r="AK413">
            <v>0.5</v>
          </cell>
          <cell r="AL413">
            <v>0.5</v>
          </cell>
          <cell r="AM413">
            <v>0.5</v>
          </cell>
          <cell r="AN413">
            <v>0.5</v>
          </cell>
          <cell r="AO413">
            <v>0.5</v>
          </cell>
          <cell r="AP413">
            <v>0.5</v>
          </cell>
          <cell r="AQ413">
            <v>0.5</v>
          </cell>
          <cell r="AR413">
            <v>0.5</v>
          </cell>
          <cell r="AS413">
            <v>0.5</v>
          </cell>
          <cell r="AT413">
            <v>0.5</v>
          </cell>
          <cell r="AU413">
            <v>0.5</v>
          </cell>
          <cell r="AV413">
            <v>0.5</v>
          </cell>
          <cell r="AW413">
            <v>0.5</v>
          </cell>
          <cell r="AX413">
            <v>0.5</v>
          </cell>
          <cell r="AY413">
            <v>0.5</v>
          </cell>
          <cell r="AZ413">
            <v>0.5</v>
          </cell>
          <cell r="BA413">
            <v>0.7</v>
          </cell>
          <cell r="BB413">
            <v>0.7</v>
          </cell>
          <cell r="BC413">
            <v>0.7</v>
          </cell>
          <cell r="BD413">
            <v>0.7</v>
          </cell>
          <cell r="BE413">
            <v>0.7</v>
          </cell>
          <cell r="BF413">
            <v>0.7</v>
          </cell>
          <cell r="BG413">
            <v>0.7</v>
          </cell>
          <cell r="BH413">
            <v>0.7</v>
          </cell>
          <cell r="BI413">
            <v>0.7</v>
          </cell>
          <cell r="BJ413">
            <v>0.7</v>
          </cell>
          <cell r="BK413">
            <v>0.7</v>
          </cell>
          <cell r="BL413">
            <v>0.7</v>
          </cell>
          <cell r="BM413">
            <v>0.7</v>
          </cell>
          <cell r="BN413">
            <v>0.7</v>
          </cell>
          <cell r="BO413">
            <v>0.7</v>
          </cell>
          <cell r="BP413">
            <v>0.7</v>
          </cell>
          <cell r="BQ413">
            <v>0.7</v>
          </cell>
          <cell r="BR413">
            <v>0.7</v>
          </cell>
          <cell r="BS413">
            <v>0.7</v>
          </cell>
          <cell r="BT413">
            <v>0.7</v>
          </cell>
          <cell r="BU413">
            <v>0.7</v>
          </cell>
          <cell r="BV413">
            <v>0.7</v>
          </cell>
          <cell r="BW413">
            <v>0.95</v>
          </cell>
          <cell r="BX413">
            <v>0.95</v>
          </cell>
          <cell r="BY413">
            <v>0.95</v>
          </cell>
          <cell r="BZ413">
            <v>0.95</v>
          </cell>
          <cell r="CA413">
            <v>0.95</v>
          </cell>
          <cell r="CB413">
            <v>0.95</v>
          </cell>
          <cell r="CC413">
            <v>0.95</v>
          </cell>
          <cell r="CD413">
            <v>0.95</v>
          </cell>
          <cell r="CE413">
            <v>0.95</v>
          </cell>
          <cell r="CF413">
            <v>0.95</v>
          </cell>
          <cell r="CG413">
            <v>0.95</v>
          </cell>
          <cell r="CH413">
            <v>0.95</v>
          </cell>
          <cell r="CI413">
            <v>0.95</v>
          </cell>
          <cell r="CJ413">
            <v>0.95</v>
          </cell>
          <cell r="CK413">
            <v>0.95</v>
          </cell>
        </row>
        <row r="414">
          <cell r="Q414" t="str">
            <v>E</v>
          </cell>
          <cell r="AH414">
            <v>0.2</v>
          </cell>
          <cell r="AI414">
            <v>0.5</v>
          </cell>
          <cell r="AJ414">
            <v>0.5</v>
          </cell>
          <cell r="AK414">
            <v>0.5</v>
          </cell>
          <cell r="AL414">
            <v>0.5</v>
          </cell>
          <cell r="AM414">
            <v>0.5</v>
          </cell>
          <cell r="AN414">
            <v>0.5</v>
          </cell>
          <cell r="AO414">
            <v>0.5</v>
          </cell>
          <cell r="AP414">
            <v>0.5</v>
          </cell>
          <cell r="AQ414">
            <v>0.5</v>
          </cell>
          <cell r="AR414">
            <v>0.5</v>
          </cell>
          <cell r="AS414">
            <v>0.7</v>
          </cell>
          <cell r="AT414">
            <v>0.7</v>
          </cell>
          <cell r="AU414">
            <v>0.7</v>
          </cell>
          <cell r="AV414">
            <v>0.7</v>
          </cell>
          <cell r="AW414">
            <v>0.7</v>
          </cell>
          <cell r="AX414">
            <v>0.7</v>
          </cell>
          <cell r="AY414">
            <v>0.7</v>
          </cell>
          <cell r="AZ414">
            <v>0.7</v>
          </cell>
          <cell r="BA414">
            <v>0.7</v>
          </cell>
          <cell r="BB414">
            <v>0.7</v>
          </cell>
          <cell r="BC414">
            <v>0.7</v>
          </cell>
          <cell r="BD414">
            <v>0.7</v>
          </cell>
          <cell r="BE414">
            <v>0.7</v>
          </cell>
          <cell r="BF414">
            <v>0.7</v>
          </cell>
          <cell r="BG414">
            <v>0.7</v>
          </cell>
          <cell r="BH414">
            <v>0.7</v>
          </cell>
          <cell r="BI414">
            <v>0.7</v>
          </cell>
          <cell r="BJ414">
            <v>0.7</v>
          </cell>
          <cell r="BK414">
            <v>0.7</v>
          </cell>
          <cell r="BL414">
            <v>0.7</v>
          </cell>
          <cell r="BM414">
            <v>0.7</v>
          </cell>
          <cell r="BN414">
            <v>0.7</v>
          </cell>
          <cell r="BO414">
            <v>0.7</v>
          </cell>
          <cell r="BP414">
            <v>0.7</v>
          </cell>
          <cell r="BQ414">
            <v>0.7</v>
          </cell>
          <cell r="BR414">
            <v>0.7</v>
          </cell>
          <cell r="BS414">
            <v>0.7</v>
          </cell>
          <cell r="BT414">
            <v>0.7</v>
          </cell>
          <cell r="BU414">
            <v>0.7</v>
          </cell>
          <cell r="BV414">
            <v>0.7</v>
          </cell>
          <cell r="BW414">
            <v>0.7</v>
          </cell>
          <cell r="BX414">
            <v>0.7</v>
          </cell>
          <cell r="BY414">
            <v>0.7</v>
          </cell>
          <cell r="BZ414">
            <v>0.7</v>
          </cell>
          <cell r="CA414">
            <v>0.7</v>
          </cell>
          <cell r="CB414">
            <v>0.7</v>
          </cell>
          <cell r="CC414">
            <v>0.7</v>
          </cell>
          <cell r="CD414">
            <v>0</v>
          </cell>
          <cell r="CE414">
            <v>0</v>
          </cell>
          <cell r="CF414">
            <v>0</v>
          </cell>
          <cell r="CG414">
            <v>0</v>
          </cell>
          <cell r="CH414">
            <v>0</v>
          </cell>
          <cell r="CI414">
            <v>0</v>
          </cell>
          <cell r="CJ414">
            <v>0</v>
          </cell>
          <cell r="CK414">
            <v>0</v>
          </cell>
        </row>
        <row r="415">
          <cell r="D415" t="str">
            <v>01</v>
          </cell>
          <cell r="E415" t="str">
            <v>46</v>
          </cell>
          <cell r="F415" t="str">
            <v>I03</v>
          </cell>
          <cell r="H415" t="str">
            <v>006</v>
          </cell>
          <cell r="I415" t="str">
            <v xml:space="preserve">DIAGRAMAS LOGICOS ETHYLENE II ROG COMPRESSOR C-4109 </v>
          </cell>
          <cell r="J415">
            <v>39248</v>
          </cell>
          <cell r="K415">
            <v>39273</v>
          </cell>
          <cell r="L415">
            <v>39287</v>
          </cell>
          <cell r="M415">
            <v>39288</v>
          </cell>
          <cell r="N415">
            <v>39302</v>
          </cell>
          <cell r="O415">
            <v>39476</v>
          </cell>
          <cell r="P415">
            <v>54.80514354066986</v>
          </cell>
          <cell r="Q415" t="str">
            <v>P</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0.5</v>
          </cell>
          <cell r="AR415">
            <v>0.5</v>
          </cell>
          <cell r="AS415">
            <v>0.7</v>
          </cell>
          <cell r="AT415">
            <v>0.7</v>
          </cell>
          <cell r="AU415">
            <v>0.95</v>
          </cell>
          <cell r="AV415">
            <v>0.95</v>
          </cell>
          <cell r="AW415">
            <v>0.95</v>
          </cell>
          <cell r="AX415">
            <v>0.95</v>
          </cell>
          <cell r="AY415">
            <v>0.95</v>
          </cell>
          <cell r="AZ415">
            <v>0.95</v>
          </cell>
          <cell r="BA415">
            <v>0.95</v>
          </cell>
          <cell r="BB415">
            <v>0.95</v>
          </cell>
          <cell r="BC415">
            <v>0.95</v>
          </cell>
          <cell r="BD415">
            <v>0.95</v>
          </cell>
          <cell r="BE415">
            <v>0.95</v>
          </cell>
          <cell r="BF415">
            <v>0.95</v>
          </cell>
          <cell r="BG415">
            <v>0.95</v>
          </cell>
          <cell r="BH415">
            <v>0.95</v>
          </cell>
          <cell r="BI415">
            <v>0.95</v>
          </cell>
          <cell r="BJ415">
            <v>0.95</v>
          </cell>
          <cell r="BK415">
            <v>0.95</v>
          </cell>
          <cell r="BL415">
            <v>0.95</v>
          </cell>
          <cell r="BM415">
            <v>0.95</v>
          </cell>
          <cell r="BN415">
            <v>0.95</v>
          </cell>
          <cell r="BO415">
            <v>0.95</v>
          </cell>
          <cell r="BP415">
            <v>0.95</v>
          </cell>
          <cell r="BQ415">
            <v>0.95</v>
          </cell>
          <cell r="BR415">
            <v>0.95</v>
          </cell>
          <cell r="BS415">
            <v>0.95</v>
          </cell>
          <cell r="BT415">
            <v>1</v>
          </cell>
          <cell r="BU415">
            <v>1</v>
          </cell>
          <cell r="BV415">
            <v>1</v>
          </cell>
          <cell r="BW415">
            <v>1</v>
          </cell>
          <cell r="BX415">
            <v>1</v>
          </cell>
          <cell r="BY415">
            <v>1</v>
          </cell>
          <cell r="BZ415">
            <v>1</v>
          </cell>
          <cell r="CA415">
            <v>1</v>
          </cell>
          <cell r="CB415">
            <v>1</v>
          </cell>
          <cell r="CC415">
            <v>1</v>
          </cell>
          <cell r="CD415">
            <v>1</v>
          </cell>
          <cell r="CE415">
            <v>1</v>
          </cell>
          <cell r="CF415">
            <v>1</v>
          </cell>
          <cell r="CG415">
            <v>1</v>
          </cell>
          <cell r="CH415">
            <v>1</v>
          </cell>
          <cell r="CI415">
            <v>1</v>
          </cell>
          <cell r="CJ415">
            <v>1</v>
          </cell>
          <cell r="CK415">
            <v>1</v>
          </cell>
        </row>
        <row r="416">
          <cell r="J416">
            <v>39248</v>
          </cell>
          <cell r="K416">
            <v>39273</v>
          </cell>
          <cell r="L416">
            <v>39493</v>
          </cell>
          <cell r="M416">
            <v>39507</v>
          </cell>
          <cell r="N416">
            <v>39521</v>
          </cell>
          <cell r="O416">
            <v>39642</v>
          </cell>
          <cell r="Q416" t="str">
            <v>R</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0.5</v>
          </cell>
          <cell r="AR416">
            <v>0.5</v>
          </cell>
          <cell r="AS416">
            <v>0.5</v>
          </cell>
          <cell r="AT416">
            <v>0.5</v>
          </cell>
          <cell r="AU416">
            <v>0.5</v>
          </cell>
          <cell r="AV416">
            <v>0.5</v>
          </cell>
          <cell r="AW416">
            <v>0.5</v>
          </cell>
          <cell r="AX416">
            <v>0.5</v>
          </cell>
          <cell r="AY416">
            <v>0.5</v>
          </cell>
          <cell r="AZ416">
            <v>0.5</v>
          </cell>
          <cell r="BA416">
            <v>0.5</v>
          </cell>
          <cell r="BB416">
            <v>0.5</v>
          </cell>
          <cell r="BC416">
            <v>0.5</v>
          </cell>
          <cell r="BD416">
            <v>0.5</v>
          </cell>
          <cell r="BE416">
            <v>0.5</v>
          </cell>
          <cell r="BF416">
            <v>0.5</v>
          </cell>
          <cell r="BG416">
            <v>0.5</v>
          </cell>
          <cell r="BH416">
            <v>0.5</v>
          </cell>
          <cell r="BI416">
            <v>0.5</v>
          </cell>
          <cell r="BJ416">
            <v>0.5</v>
          </cell>
          <cell r="BK416">
            <v>0.5</v>
          </cell>
          <cell r="BL416">
            <v>0.5</v>
          </cell>
          <cell r="BM416">
            <v>0.5</v>
          </cell>
          <cell r="BN416">
            <v>0.5</v>
          </cell>
          <cell r="BO416">
            <v>0.5</v>
          </cell>
          <cell r="BP416">
            <v>0.5</v>
          </cell>
          <cell r="BQ416">
            <v>0.5</v>
          </cell>
          <cell r="BR416">
            <v>0.5</v>
          </cell>
          <cell r="BS416">
            <v>0.5</v>
          </cell>
          <cell r="BT416">
            <v>0.5</v>
          </cell>
          <cell r="BU416">
            <v>0.5</v>
          </cell>
          <cell r="BV416">
            <v>0.5</v>
          </cell>
          <cell r="BW416">
            <v>0.7</v>
          </cell>
          <cell r="BX416">
            <v>0.7</v>
          </cell>
          <cell r="BY416">
            <v>0.7</v>
          </cell>
          <cell r="BZ416">
            <v>0.7</v>
          </cell>
          <cell r="CA416">
            <v>0.95</v>
          </cell>
          <cell r="CB416">
            <v>0.95</v>
          </cell>
          <cell r="CC416">
            <v>0.95</v>
          </cell>
          <cell r="CD416">
            <v>0.95</v>
          </cell>
          <cell r="CE416">
            <v>0.95</v>
          </cell>
          <cell r="CF416">
            <v>0.95</v>
          </cell>
          <cell r="CG416">
            <v>0.95</v>
          </cell>
          <cell r="CH416">
            <v>0.95</v>
          </cell>
          <cell r="CI416">
            <v>0.95</v>
          </cell>
          <cell r="CJ416">
            <v>0.95</v>
          </cell>
          <cell r="CK416">
            <v>0.95</v>
          </cell>
        </row>
        <row r="417">
          <cell r="Q417" t="str">
            <v>E</v>
          </cell>
          <cell r="AI417">
            <v>0.5</v>
          </cell>
          <cell r="AJ417">
            <v>0.5</v>
          </cell>
          <cell r="AK417">
            <v>0.5</v>
          </cell>
          <cell r="AL417">
            <v>0.5</v>
          </cell>
          <cell r="AM417">
            <v>0.5</v>
          </cell>
          <cell r="AN417">
            <v>0.5</v>
          </cell>
          <cell r="AO417">
            <v>0.5</v>
          </cell>
          <cell r="AP417">
            <v>0.5</v>
          </cell>
          <cell r="AQ417">
            <v>0.5</v>
          </cell>
          <cell r="AR417">
            <v>0.5</v>
          </cell>
          <cell r="AS417">
            <v>0.5</v>
          </cell>
          <cell r="AT417">
            <v>0.5</v>
          </cell>
          <cell r="AU417">
            <v>0.5</v>
          </cell>
          <cell r="AV417">
            <v>0.5</v>
          </cell>
          <cell r="AW417">
            <v>0.5</v>
          </cell>
          <cell r="AX417">
            <v>0.5</v>
          </cell>
          <cell r="AY417">
            <v>0.5</v>
          </cell>
          <cell r="AZ417">
            <v>0.5</v>
          </cell>
          <cell r="BA417">
            <v>0.5</v>
          </cell>
          <cell r="BB417">
            <v>0.5</v>
          </cell>
          <cell r="BC417">
            <v>0.5</v>
          </cell>
          <cell r="BD417">
            <v>0.5</v>
          </cell>
          <cell r="BE417">
            <v>0.5</v>
          </cell>
          <cell r="BF417">
            <v>0.5</v>
          </cell>
          <cell r="BG417">
            <v>0.5</v>
          </cell>
          <cell r="BH417">
            <v>0.5</v>
          </cell>
          <cell r="BI417">
            <v>0.5</v>
          </cell>
          <cell r="BJ417">
            <v>0.5</v>
          </cell>
          <cell r="BK417">
            <v>0.5</v>
          </cell>
          <cell r="BL417">
            <v>0.5</v>
          </cell>
          <cell r="BM417">
            <v>0.5</v>
          </cell>
          <cell r="BN417">
            <v>0.5</v>
          </cell>
          <cell r="BO417">
            <v>0.5</v>
          </cell>
          <cell r="BP417">
            <v>0.5</v>
          </cell>
          <cell r="BQ417">
            <v>0.5</v>
          </cell>
          <cell r="BR417">
            <v>0.5</v>
          </cell>
          <cell r="BS417">
            <v>0.5</v>
          </cell>
          <cell r="BT417">
            <v>0.5</v>
          </cell>
          <cell r="BU417">
            <v>0.5</v>
          </cell>
          <cell r="BV417">
            <v>0.5</v>
          </cell>
          <cell r="BW417">
            <v>0.5</v>
          </cell>
          <cell r="BX417">
            <v>0.5</v>
          </cell>
          <cell r="BY417">
            <v>0.5</v>
          </cell>
          <cell r="BZ417">
            <v>0.5</v>
          </cell>
          <cell r="CA417">
            <v>0.5</v>
          </cell>
          <cell r="CB417">
            <v>0.5</v>
          </cell>
          <cell r="CC417">
            <v>0.5</v>
          </cell>
          <cell r="CD417">
            <v>0</v>
          </cell>
          <cell r="CE417">
            <v>0</v>
          </cell>
          <cell r="CF417">
            <v>0</v>
          </cell>
          <cell r="CG417">
            <v>0</v>
          </cell>
          <cell r="CH417">
            <v>0</v>
          </cell>
          <cell r="CI417">
            <v>0</v>
          </cell>
          <cell r="CJ417">
            <v>0</v>
          </cell>
          <cell r="CK417">
            <v>0</v>
          </cell>
        </row>
        <row r="418">
          <cell r="D418" t="str">
            <v>01</v>
          </cell>
          <cell r="E418" t="str">
            <v>46</v>
          </cell>
          <cell r="F418" t="str">
            <v>I03</v>
          </cell>
          <cell r="H418" t="str">
            <v>002</v>
          </cell>
          <cell r="I418" t="str">
            <v>ARQUITECTURA DEL SISTEMA DE CONTROL</v>
          </cell>
          <cell r="J418">
            <v>39169</v>
          </cell>
          <cell r="K418">
            <v>39216</v>
          </cell>
          <cell r="L418">
            <v>39230</v>
          </cell>
          <cell r="M418">
            <v>39237</v>
          </cell>
          <cell r="N418">
            <v>39251</v>
          </cell>
          <cell r="O418">
            <v>39476</v>
          </cell>
          <cell r="P418">
            <v>29.624401913875598</v>
          </cell>
          <cell r="Q418" t="str">
            <v>P</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0.5</v>
          </cell>
          <cell r="AJ418">
            <v>0.5</v>
          </cell>
          <cell r="AK418">
            <v>0.7</v>
          </cell>
          <cell r="AL418">
            <v>0.7</v>
          </cell>
          <cell r="AM418">
            <v>0.7</v>
          </cell>
          <cell r="AN418">
            <v>0.95</v>
          </cell>
          <cell r="AO418">
            <v>0.95</v>
          </cell>
          <cell r="AP418">
            <v>0.95</v>
          </cell>
          <cell r="AQ418">
            <v>0.95</v>
          </cell>
          <cell r="AR418">
            <v>0.95</v>
          </cell>
          <cell r="AS418">
            <v>0.95</v>
          </cell>
          <cell r="AT418">
            <v>0.95</v>
          </cell>
          <cell r="AU418">
            <v>0.95</v>
          </cell>
          <cell r="AV418">
            <v>0.95</v>
          </cell>
          <cell r="AW418">
            <v>0.95</v>
          </cell>
          <cell r="AX418">
            <v>0.95</v>
          </cell>
          <cell r="AY418">
            <v>0.95</v>
          </cell>
          <cell r="AZ418">
            <v>0.95</v>
          </cell>
          <cell r="BA418">
            <v>0.95</v>
          </cell>
          <cell r="BB418">
            <v>0.95</v>
          </cell>
          <cell r="BC418">
            <v>0.95</v>
          </cell>
          <cell r="BD418">
            <v>0.95</v>
          </cell>
          <cell r="BE418">
            <v>0.95</v>
          </cell>
          <cell r="BF418">
            <v>0.95</v>
          </cell>
          <cell r="BG418">
            <v>0.95</v>
          </cell>
          <cell r="BH418">
            <v>0.95</v>
          </cell>
          <cell r="BI418">
            <v>0.95</v>
          </cell>
          <cell r="BJ418">
            <v>0.95</v>
          </cell>
          <cell r="BK418">
            <v>0.95</v>
          </cell>
          <cell r="BL418">
            <v>0.95</v>
          </cell>
          <cell r="BM418">
            <v>0.95</v>
          </cell>
          <cell r="BN418">
            <v>0.95</v>
          </cell>
          <cell r="BO418">
            <v>0.95</v>
          </cell>
          <cell r="BP418">
            <v>0.95</v>
          </cell>
          <cell r="BQ418">
            <v>0.95</v>
          </cell>
          <cell r="BR418">
            <v>0.95</v>
          </cell>
          <cell r="BS418">
            <v>0.95</v>
          </cell>
          <cell r="BT418">
            <v>1</v>
          </cell>
          <cell r="BU418">
            <v>1</v>
          </cell>
          <cell r="BV418">
            <v>1</v>
          </cell>
          <cell r="BW418">
            <v>1</v>
          </cell>
          <cell r="BX418">
            <v>1</v>
          </cell>
          <cell r="BY418">
            <v>1</v>
          </cell>
          <cell r="BZ418">
            <v>1</v>
          </cell>
          <cell r="CA418">
            <v>1</v>
          </cell>
          <cell r="CB418">
            <v>1</v>
          </cell>
          <cell r="CC418">
            <v>1</v>
          </cell>
          <cell r="CD418">
            <v>1</v>
          </cell>
          <cell r="CE418">
            <v>1</v>
          </cell>
          <cell r="CF418">
            <v>1</v>
          </cell>
          <cell r="CG418">
            <v>1</v>
          </cell>
          <cell r="CH418">
            <v>1</v>
          </cell>
          <cell r="CI418">
            <v>1</v>
          </cell>
          <cell r="CJ418">
            <v>1</v>
          </cell>
          <cell r="CK418">
            <v>1</v>
          </cell>
        </row>
        <row r="419">
          <cell r="J419">
            <v>39169</v>
          </cell>
          <cell r="K419">
            <v>39216</v>
          </cell>
          <cell r="L419">
            <v>39345</v>
          </cell>
          <cell r="M419">
            <v>39479</v>
          </cell>
          <cell r="N419">
            <v>39500</v>
          </cell>
          <cell r="O419">
            <v>39642</v>
          </cell>
          <cell r="Q419" t="str">
            <v>R</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0.5</v>
          </cell>
          <cell r="AJ419">
            <v>0.5</v>
          </cell>
          <cell r="AK419">
            <v>0.5</v>
          </cell>
          <cell r="AL419">
            <v>0.5</v>
          </cell>
          <cell r="AM419">
            <v>0.5</v>
          </cell>
          <cell r="AN419">
            <v>0.5</v>
          </cell>
          <cell r="AO419">
            <v>0.5</v>
          </cell>
          <cell r="AP419">
            <v>0.5</v>
          </cell>
          <cell r="AQ419">
            <v>0.5</v>
          </cell>
          <cell r="AR419">
            <v>0.5</v>
          </cell>
          <cell r="AS419">
            <v>0.5</v>
          </cell>
          <cell r="AT419">
            <v>0.5</v>
          </cell>
          <cell r="AU419">
            <v>0.5</v>
          </cell>
          <cell r="AV419">
            <v>0.5</v>
          </cell>
          <cell r="AW419">
            <v>0.5</v>
          </cell>
          <cell r="AX419">
            <v>0.5</v>
          </cell>
          <cell r="AY419">
            <v>0.5</v>
          </cell>
          <cell r="AZ419">
            <v>0.5</v>
          </cell>
          <cell r="BA419">
            <v>0.7</v>
          </cell>
          <cell r="BB419">
            <v>0.7</v>
          </cell>
          <cell r="BC419">
            <v>0.7</v>
          </cell>
          <cell r="BD419">
            <v>0.7</v>
          </cell>
          <cell r="BE419">
            <v>0.7</v>
          </cell>
          <cell r="BF419">
            <v>0.7</v>
          </cell>
          <cell r="BG419">
            <v>0.7</v>
          </cell>
          <cell r="BH419">
            <v>0.7</v>
          </cell>
          <cell r="BI419">
            <v>0.7</v>
          </cell>
          <cell r="BJ419">
            <v>0.7</v>
          </cell>
          <cell r="BK419">
            <v>0.7</v>
          </cell>
          <cell r="BL419">
            <v>0.7</v>
          </cell>
          <cell r="BM419">
            <v>0.7</v>
          </cell>
          <cell r="BN419">
            <v>0.7</v>
          </cell>
          <cell r="BO419">
            <v>0.7</v>
          </cell>
          <cell r="BP419">
            <v>0.7</v>
          </cell>
          <cell r="BQ419">
            <v>0.7</v>
          </cell>
          <cell r="BR419">
            <v>0.7</v>
          </cell>
          <cell r="BS419">
            <v>0.7</v>
          </cell>
          <cell r="BT419">
            <v>0.7</v>
          </cell>
          <cell r="BU419">
            <v>0.7</v>
          </cell>
          <cell r="BV419">
            <v>0.7</v>
          </cell>
          <cell r="BW419">
            <v>0.7</v>
          </cell>
          <cell r="BX419">
            <v>0.95</v>
          </cell>
          <cell r="BY419">
            <v>0.95</v>
          </cell>
          <cell r="BZ419">
            <v>0.95</v>
          </cell>
          <cell r="CA419">
            <v>0.95</v>
          </cell>
          <cell r="CB419">
            <v>0.95</v>
          </cell>
          <cell r="CC419">
            <v>0.95</v>
          </cell>
          <cell r="CD419">
            <v>0.95</v>
          </cell>
          <cell r="CE419">
            <v>0.95</v>
          </cell>
          <cell r="CF419">
            <v>0.95</v>
          </cell>
          <cell r="CG419">
            <v>0.95</v>
          </cell>
          <cell r="CH419">
            <v>0.95</v>
          </cell>
          <cell r="CI419">
            <v>0.95</v>
          </cell>
          <cell r="CJ419">
            <v>0.95</v>
          </cell>
          <cell r="CK419">
            <v>0.95</v>
          </cell>
        </row>
        <row r="420">
          <cell r="Q420" t="str">
            <v>E</v>
          </cell>
          <cell r="AI420">
            <v>0.1</v>
          </cell>
          <cell r="AJ420">
            <v>0.1</v>
          </cell>
          <cell r="AK420">
            <v>0.1</v>
          </cell>
          <cell r="AL420">
            <v>0.1</v>
          </cell>
          <cell r="AM420">
            <v>0.1</v>
          </cell>
          <cell r="AN420">
            <v>0.5</v>
          </cell>
          <cell r="AO420">
            <v>0.7</v>
          </cell>
          <cell r="AP420">
            <v>0.7</v>
          </cell>
          <cell r="AQ420">
            <v>0.7</v>
          </cell>
          <cell r="AR420">
            <v>0.7</v>
          </cell>
          <cell r="AS420">
            <v>0.7</v>
          </cell>
          <cell r="AT420">
            <v>0.7</v>
          </cell>
          <cell r="AU420">
            <v>0.7</v>
          </cell>
          <cell r="AV420">
            <v>0.7</v>
          </cell>
          <cell r="AW420">
            <v>0.7</v>
          </cell>
          <cell r="AX420">
            <v>0.7</v>
          </cell>
          <cell r="AY420">
            <v>0.7</v>
          </cell>
          <cell r="AZ420">
            <v>0.7</v>
          </cell>
          <cell r="BA420">
            <v>0.7</v>
          </cell>
          <cell r="BB420">
            <v>0.7</v>
          </cell>
          <cell r="BC420">
            <v>0.7</v>
          </cell>
          <cell r="BD420">
            <v>0.7</v>
          </cell>
          <cell r="BE420">
            <v>0.7</v>
          </cell>
          <cell r="BF420">
            <v>0.7</v>
          </cell>
          <cell r="BG420">
            <v>0.7</v>
          </cell>
          <cell r="BH420">
            <v>0.7</v>
          </cell>
          <cell r="BI420">
            <v>0.7</v>
          </cell>
          <cell r="BJ420">
            <v>0.7</v>
          </cell>
          <cell r="BK420">
            <v>0.7</v>
          </cell>
          <cell r="BL420">
            <v>0.7</v>
          </cell>
          <cell r="BM420">
            <v>0.7</v>
          </cell>
          <cell r="BN420">
            <v>0.7</v>
          </cell>
          <cell r="BO420">
            <v>0.7</v>
          </cell>
          <cell r="BP420">
            <v>0.7</v>
          </cell>
          <cell r="BQ420">
            <v>0.7</v>
          </cell>
          <cell r="BR420">
            <v>0.7</v>
          </cell>
          <cell r="BS420">
            <v>0.7</v>
          </cell>
          <cell r="BT420">
            <v>0.7</v>
          </cell>
          <cell r="BU420">
            <v>0.7</v>
          </cell>
          <cell r="BV420">
            <v>0.7</v>
          </cell>
          <cell r="BW420">
            <v>0.7</v>
          </cell>
          <cell r="BX420">
            <v>0.7</v>
          </cell>
          <cell r="BY420">
            <v>0.7</v>
          </cell>
          <cell r="BZ420">
            <v>0.7</v>
          </cell>
          <cell r="CA420">
            <v>0.7</v>
          </cell>
          <cell r="CB420">
            <v>0.7</v>
          </cell>
          <cell r="CC420">
            <v>0.7</v>
          </cell>
          <cell r="CD420">
            <v>0</v>
          </cell>
          <cell r="CE420">
            <v>0</v>
          </cell>
          <cell r="CF420">
            <v>0</v>
          </cell>
          <cell r="CG420">
            <v>0</v>
          </cell>
          <cell r="CH420">
            <v>0</v>
          </cell>
          <cell r="CI420">
            <v>0</v>
          </cell>
          <cell r="CJ420">
            <v>0</v>
          </cell>
          <cell r="CK420">
            <v>0</v>
          </cell>
        </row>
        <row r="421">
          <cell r="D421" t="str">
            <v>01</v>
          </cell>
          <cell r="E421" t="str">
            <v>46</v>
          </cell>
          <cell r="F421" t="str">
            <v>I01</v>
          </cell>
          <cell r="G421" t="str">
            <v>TEC</v>
          </cell>
          <cell r="H421" t="str">
            <v>009</v>
          </cell>
          <cell r="I421" t="str">
            <v>DESCRIPCION FUNCIONAL DEL SISTEMA DCS</v>
          </cell>
          <cell r="J421">
            <v>39251</v>
          </cell>
          <cell r="K421">
            <v>39268</v>
          </cell>
          <cell r="L421">
            <v>39282</v>
          </cell>
          <cell r="M421">
            <v>39283</v>
          </cell>
          <cell r="N421">
            <v>39297</v>
          </cell>
          <cell r="O421">
            <v>39476</v>
          </cell>
          <cell r="P421">
            <v>54.80514354066986</v>
          </cell>
          <cell r="Q421" t="str">
            <v>P</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0.5</v>
          </cell>
          <cell r="AQ421">
            <v>0.5</v>
          </cell>
          <cell r="AR421">
            <v>0.7</v>
          </cell>
          <cell r="AS421">
            <v>0.7</v>
          </cell>
          <cell r="AT421">
            <v>0.7</v>
          </cell>
          <cell r="AU421">
            <v>0.95</v>
          </cell>
          <cell r="AV421">
            <v>0.95</v>
          </cell>
          <cell r="AW421">
            <v>0.95</v>
          </cell>
          <cell r="AX421">
            <v>0.95</v>
          </cell>
          <cell r="AY421">
            <v>0.95</v>
          </cell>
          <cell r="AZ421">
            <v>0.95</v>
          </cell>
          <cell r="BA421">
            <v>0.95</v>
          </cell>
          <cell r="BB421">
            <v>0.95</v>
          </cell>
          <cell r="BC421">
            <v>0.95</v>
          </cell>
          <cell r="BD421">
            <v>0.95</v>
          </cell>
          <cell r="BE421">
            <v>0.95</v>
          </cell>
          <cell r="BF421">
            <v>0.95</v>
          </cell>
          <cell r="BG421">
            <v>0.95</v>
          </cell>
          <cell r="BH421">
            <v>0.95</v>
          </cell>
          <cell r="BI421">
            <v>0.95</v>
          </cell>
          <cell r="BJ421">
            <v>0.95</v>
          </cell>
          <cell r="BK421">
            <v>0.95</v>
          </cell>
          <cell r="BL421">
            <v>0.95</v>
          </cell>
          <cell r="BM421">
            <v>0.95</v>
          </cell>
          <cell r="BN421">
            <v>0.95</v>
          </cell>
          <cell r="BO421">
            <v>0.95</v>
          </cell>
          <cell r="BP421">
            <v>0.95</v>
          </cell>
          <cell r="BQ421">
            <v>0.95</v>
          </cell>
          <cell r="BR421">
            <v>0.95</v>
          </cell>
          <cell r="BS421">
            <v>0.95</v>
          </cell>
          <cell r="BT421">
            <v>1</v>
          </cell>
          <cell r="BU421">
            <v>1</v>
          </cell>
          <cell r="BV421">
            <v>1</v>
          </cell>
          <cell r="BW421">
            <v>1</v>
          </cell>
          <cell r="BX421">
            <v>1</v>
          </cell>
          <cell r="BY421">
            <v>1</v>
          </cell>
          <cell r="BZ421">
            <v>1</v>
          </cell>
          <cell r="CA421">
            <v>1</v>
          </cell>
          <cell r="CB421">
            <v>1</v>
          </cell>
          <cell r="CC421">
            <v>1</v>
          </cell>
          <cell r="CD421">
            <v>1</v>
          </cell>
          <cell r="CE421">
            <v>1</v>
          </cell>
          <cell r="CF421">
            <v>1</v>
          </cell>
          <cell r="CG421">
            <v>1</v>
          </cell>
          <cell r="CH421">
            <v>1</v>
          </cell>
          <cell r="CI421">
            <v>1</v>
          </cell>
          <cell r="CJ421">
            <v>1</v>
          </cell>
          <cell r="CK421">
            <v>1</v>
          </cell>
        </row>
        <row r="422">
          <cell r="J422">
            <v>39251</v>
          </cell>
          <cell r="K422">
            <v>39268</v>
          </cell>
          <cell r="L422">
            <v>39335</v>
          </cell>
          <cell r="M422">
            <v>39485</v>
          </cell>
          <cell r="N422">
            <v>39500</v>
          </cell>
          <cell r="O422">
            <v>39642</v>
          </cell>
          <cell r="Q422" t="str">
            <v>R</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0.5</v>
          </cell>
          <cell r="AQ422">
            <v>0.5</v>
          </cell>
          <cell r="AR422">
            <v>0.5</v>
          </cell>
          <cell r="AS422">
            <v>0.5</v>
          </cell>
          <cell r="AT422">
            <v>0.5</v>
          </cell>
          <cell r="AU422">
            <v>0.5</v>
          </cell>
          <cell r="AV422">
            <v>0.5</v>
          </cell>
          <cell r="AW422">
            <v>0.5</v>
          </cell>
          <cell r="AX422">
            <v>0.5</v>
          </cell>
          <cell r="AY422">
            <v>0.5</v>
          </cell>
          <cell r="AZ422">
            <v>0.7</v>
          </cell>
          <cell r="BA422">
            <v>0.7</v>
          </cell>
          <cell r="BB422">
            <v>0.7</v>
          </cell>
          <cell r="BC422">
            <v>0.7</v>
          </cell>
          <cell r="BD422">
            <v>0.7</v>
          </cell>
          <cell r="BE422">
            <v>0.7</v>
          </cell>
          <cell r="BF422">
            <v>0.7</v>
          </cell>
          <cell r="BG422">
            <v>0.7</v>
          </cell>
          <cell r="BH422">
            <v>0.7</v>
          </cell>
          <cell r="BI422">
            <v>0.7</v>
          </cell>
          <cell r="BJ422">
            <v>0.7</v>
          </cell>
          <cell r="BK422">
            <v>0.7</v>
          </cell>
          <cell r="BL422">
            <v>0.7</v>
          </cell>
          <cell r="BM422">
            <v>0.7</v>
          </cell>
          <cell r="BN422">
            <v>0.7</v>
          </cell>
          <cell r="BO422">
            <v>0.7</v>
          </cell>
          <cell r="BP422">
            <v>0.7</v>
          </cell>
          <cell r="BQ422">
            <v>0.7</v>
          </cell>
          <cell r="BR422">
            <v>0.7</v>
          </cell>
          <cell r="BS422">
            <v>0.7</v>
          </cell>
          <cell r="BT422">
            <v>0.7</v>
          </cell>
          <cell r="BU422">
            <v>0.7</v>
          </cell>
          <cell r="BV422">
            <v>0.7</v>
          </cell>
          <cell r="BW422">
            <v>0.7</v>
          </cell>
          <cell r="BX422">
            <v>0.95</v>
          </cell>
          <cell r="BY422">
            <v>0.95</v>
          </cell>
          <cell r="BZ422">
            <v>0.95</v>
          </cell>
          <cell r="CA422">
            <v>0.95</v>
          </cell>
          <cell r="CB422">
            <v>0.95</v>
          </cell>
          <cell r="CC422">
            <v>0.95</v>
          </cell>
          <cell r="CD422">
            <v>0.95</v>
          </cell>
          <cell r="CE422">
            <v>0.95</v>
          </cell>
          <cell r="CF422">
            <v>0.95</v>
          </cell>
          <cell r="CG422">
            <v>0.95</v>
          </cell>
          <cell r="CH422">
            <v>0.95</v>
          </cell>
          <cell r="CI422">
            <v>0.95</v>
          </cell>
          <cell r="CJ422">
            <v>0.95</v>
          </cell>
          <cell r="CK422">
            <v>0.95</v>
          </cell>
        </row>
        <row r="423">
          <cell r="Q423" t="str">
            <v>E</v>
          </cell>
          <cell r="AJ423">
            <v>0</v>
          </cell>
          <cell r="AK423">
            <v>0</v>
          </cell>
          <cell r="AL423">
            <v>0</v>
          </cell>
          <cell r="AM423">
            <v>0</v>
          </cell>
          <cell r="AN423">
            <v>0</v>
          </cell>
          <cell r="AO423">
            <v>0</v>
          </cell>
          <cell r="AP423">
            <v>0</v>
          </cell>
          <cell r="AQ423">
            <v>0</v>
          </cell>
          <cell r="AR423">
            <v>0.5</v>
          </cell>
          <cell r="AS423">
            <v>0.5</v>
          </cell>
          <cell r="AT423">
            <v>0.7</v>
          </cell>
          <cell r="AU423">
            <v>0.7</v>
          </cell>
          <cell r="AV423">
            <v>0.7</v>
          </cell>
          <cell r="AW423">
            <v>0.7</v>
          </cell>
          <cell r="AX423">
            <v>0.7</v>
          </cell>
          <cell r="AY423">
            <v>0.7</v>
          </cell>
          <cell r="AZ423">
            <v>0.7</v>
          </cell>
          <cell r="BA423">
            <v>0.7</v>
          </cell>
          <cell r="BB423">
            <v>0.7</v>
          </cell>
          <cell r="BC423">
            <v>0.7</v>
          </cell>
          <cell r="BD423">
            <v>0.7</v>
          </cell>
          <cell r="BE423">
            <v>0.7</v>
          </cell>
          <cell r="BF423">
            <v>0.7</v>
          </cell>
          <cell r="BG423">
            <v>0.7</v>
          </cell>
          <cell r="BH423">
            <v>0.7</v>
          </cell>
          <cell r="BI423">
            <v>0.7</v>
          </cell>
          <cell r="BJ423">
            <v>0.7</v>
          </cell>
          <cell r="BK423">
            <v>0.7</v>
          </cell>
          <cell r="BL423">
            <v>0.7</v>
          </cell>
          <cell r="BM423">
            <v>0.7</v>
          </cell>
          <cell r="BN423">
            <v>0.7</v>
          </cell>
          <cell r="BO423">
            <v>0.7</v>
          </cell>
          <cell r="BP423">
            <v>0.7</v>
          </cell>
          <cell r="BQ423">
            <v>0.7</v>
          </cell>
          <cell r="BR423">
            <v>0.7</v>
          </cell>
          <cell r="BS423">
            <v>0.7</v>
          </cell>
          <cell r="BT423">
            <v>0.7</v>
          </cell>
          <cell r="BU423">
            <v>0.7</v>
          </cell>
          <cell r="BV423">
            <v>0.7</v>
          </cell>
          <cell r="BW423">
            <v>0.7</v>
          </cell>
          <cell r="BX423">
            <v>0.7</v>
          </cell>
          <cell r="BY423">
            <v>0.7</v>
          </cell>
          <cell r="BZ423">
            <v>0.7</v>
          </cell>
          <cell r="CA423">
            <v>0.7</v>
          </cell>
          <cell r="CB423">
            <v>0.7</v>
          </cell>
          <cell r="CC423">
            <v>0.7</v>
          </cell>
          <cell r="CD423">
            <v>0</v>
          </cell>
          <cell r="CE423">
            <v>0</v>
          </cell>
          <cell r="CF423">
            <v>0</v>
          </cell>
          <cell r="CG423">
            <v>0</v>
          </cell>
          <cell r="CH423">
            <v>0</v>
          </cell>
          <cell r="CI423">
            <v>0</v>
          </cell>
          <cell r="CJ423">
            <v>0</v>
          </cell>
          <cell r="CK423">
            <v>0</v>
          </cell>
        </row>
        <row r="424">
          <cell r="D424" t="str">
            <v>01</v>
          </cell>
          <cell r="E424" t="str">
            <v>46</v>
          </cell>
          <cell r="F424" t="str">
            <v>I01</v>
          </cell>
          <cell r="G424" t="str">
            <v>ESP</v>
          </cell>
          <cell r="H424" t="str">
            <v>003</v>
          </cell>
          <cell r="I424" t="str">
            <v>DESCRIPCION FUNCIONAL DE ENCLAVAMIENTOS Y PROTECCIONES</v>
          </cell>
          <cell r="J424">
            <v>39269</v>
          </cell>
          <cell r="K424">
            <v>39283</v>
          </cell>
          <cell r="L424">
            <v>39297</v>
          </cell>
          <cell r="M424">
            <v>39300</v>
          </cell>
          <cell r="N424">
            <v>39314</v>
          </cell>
          <cell r="O424">
            <v>39476</v>
          </cell>
          <cell r="P424">
            <v>37.030502392344495</v>
          </cell>
          <cell r="Q424" t="str">
            <v>P</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0.5</v>
          </cell>
          <cell r="AT424">
            <v>0.5</v>
          </cell>
          <cell r="AU424">
            <v>0.7</v>
          </cell>
          <cell r="AV424">
            <v>0.7</v>
          </cell>
          <cell r="AW424">
            <v>0.95</v>
          </cell>
          <cell r="AX424">
            <v>0.95</v>
          </cell>
          <cell r="AY424">
            <v>0.95</v>
          </cell>
          <cell r="AZ424">
            <v>0.95</v>
          </cell>
          <cell r="BA424">
            <v>0.95</v>
          </cell>
          <cell r="BB424">
            <v>0.95</v>
          </cell>
          <cell r="BC424">
            <v>0.95</v>
          </cell>
          <cell r="BD424">
            <v>0.95</v>
          </cell>
          <cell r="BE424">
            <v>0.95</v>
          </cell>
          <cell r="BF424">
            <v>0.95</v>
          </cell>
          <cell r="BG424">
            <v>0.95</v>
          </cell>
          <cell r="BH424">
            <v>0.95</v>
          </cell>
          <cell r="BI424">
            <v>0.95</v>
          </cell>
          <cell r="BJ424">
            <v>0.95</v>
          </cell>
          <cell r="BK424">
            <v>0.95</v>
          </cell>
          <cell r="BL424">
            <v>0.95</v>
          </cell>
          <cell r="BM424">
            <v>0.95</v>
          </cell>
          <cell r="BN424">
            <v>0.95</v>
          </cell>
          <cell r="BO424">
            <v>0.95</v>
          </cell>
          <cell r="BP424">
            <v>0.95</v>
          </cell>
          <cell r="BQ424">
            <v>0.95</v>
          </cell>
          <cell r="BR424">
            <v>0.95</v>
          </cell>
          <cell r="BS424">
            <v>0.95</v>
          </cell>
          <cell r="BT424">
            <v>1</v>
          </cell>
          <cell r="BU424">
            <v>1</v>
          </cell>
          <cell r="BV424">
            <v>1</v>
          </cell>
          <cell r="BW424">
            <v>1</v>
          </cell>
          <cell r="BX424">
            <v>1</v>
          </cell>
          <cell r="BY424">
            <v>1</v>
          </cell>
          <cell r="BZ424">
            <v>1</v>
          </cell>
          <cell r="CA424">
            <v>1</v>
          </cell>
          <cell r="CB424">
            <v>1</v>
          </cell>
          <cell r="CC424">
            <v>1</v>
          </cell>
          <cell r="CD424">
            <v>1</v>
          </cell>
          <cell r="CE424">
            <v>1</v>
          </cell>
          <cell r="CF424">
            <v>1</v>
          </cell>
          <cell r="CG424">
            <v>1</v>
          </cell>
          <cell r="CH424">
            <v>1</v>
          </cell>
          <cell r="CI424">
            <v>1</v>
          </cell>
          <cell r="CJ424">
            <v>1</v>
          </cell>
          <cell r="CK424">
            <v>1</v>
          </cell>
        </row>
        <row r="425">
          <cell r="J425">
            <v>39345</v>
          </cell>
          <cell r="K425">
            <v>39367</v>
          </cell>
          <cell r="L425">
            <v>39416</v>
          </cell>
          <cell r="M425">
            <v>39479</v>
          </cell>
          <cell r="N425">
            <v>39507</v>
          </cell>
          <cell r="O425">
            <v>39642</v>
          </cell>
          <cell r="Q425" t="str">
            <v>R</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0.5</v>
          </cell>
          <cell r="BF425">
            <v>0.5</v>
          </cell>
          <cell r="BG425">
            <v>0.5</v>
          </cell>
          <cell r="BH425">
            <v>0.5</v>
          </cell>
          <cell r="BI425">
            <v>0.5</v>
          </cell>
          <cell r="BJ425">
            <v>0.5</v>
          </cell>
          <cell r="BK425">
            <v>0.5</v>
          </cell>
          <cell r="BL425">
            <v>0.7</v>
          </cell>
          <cell r="BM425">
            <v>0.7</v>
          </cell>
          <cell r="BN425">
            <v>0.7</v>
          </cell>
          <cell r="BO425">
            <v>0.7</v>
          </cell>
          <cell r="BP425">
            <v>0.7</v>
          </cell>
          <cell r="BQ425">
            <v>0.7</v>
          </cell>
          <cell r="BR425">
            <v>0.7</v>
          </cell>
          <cell r="BS425">
            <v>0.7</v>
          </cell>
          <cell r="BT425">
            <v>0.7</v>
          </cell>
          <cell r="BU425">
            <v>0.7</v>
          </cell>
          <cell r="BV425">
            <v>0.7</v>
          </cell>
          <cell r="BW425">
            <v>0.7</v>
          </cell>
          <cell r="BX425">
            <v>0.7</v>
          </cell>
          <cell r="BY425">
            <v>0.95</v>
          </cell>
          <cell r="BZ425">
            <v>0.95</v>
          </cell>
          <cell r="CA425">
            <v>0.95</v>
          </cell>
          <cell r="CB425">
            <v>0.95</v>
          </cell>
          <cell r="CC425">
            <v>0.95</v>
          </cell>
          <cell r="CD425">
            <v>0.95</v>
          </cell>
          <cell r="CE425">
            <v>0.95</v>
          </cell>
          <cell r="CF425">
            <v>0.95</v>
          </cell>
          <cell r="CG425">
            <v>0.95</v>
          </cell>
          <cell r="CH425">
            <v>0.95</v>
          </cell>
          <cell r="CI425">
            <v>0.95</v>
          </cell>
          <cell r="CJ425">
            <v>0.95</v>
          </cell>
          <cell r="CK425">
            <v>0.95</v>
          </cell>
        </row>
        <row r="426">
          <cell r="Q426" t="str">
            <v>E</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0.5</v>
          </cell>
          <cell r="BJ426">
            <v>0.7</v>
          </cell>
          <cell r="BK426">
            <v>0.7</v>
          </cell>
          <cell r="BL426">
            <v>0.7</v>
          </cell>
          <cell r="BM426">
            <v>0.7</v>
          </cell>
          <cell r="BN426">
            <v>0.7</v>
          </cell>
          <cell r="BO426">
            <v>0.7</v>
          </cell>
          <cell r="BP426">
            <v>0.7</v>
          </cell>
          <cell r="BQ426">
            <v>0.7</v>
          </cell>
          <cell r="BR426">
            <v>0.7</v>
          </cell>
          <cell r="BS426">
            <v>0.7</v>
          </cell>
          <cell r="BT426">
            <v>0.7</v>
          </cell>
          <cell r="BU426">
            <v>0.7</v>
          </cell>
          <cell r="BV426">
            <v>0.7</v>
          </cell>
          <cell r="BW426">
            <v>0.7</v>
          </cell>
          <cell r="BX426">
            <v>0.7</v>
          </cell>
          <cell r="BY426">
            <v>0.7</v>
          </cell>
          <cell r="BZ426">
            <v>0.7</v>
          </cell>
          <cell r="CA426">
            <v>0.7</v>
          </cell>
          <cell r="CB426">
            <v>0.7</v>
          </cell>
          <cell r="CC426">
            <v>0.7</v>
          </cell>
          <cell r="CD426">
            <v>0</v>
          </cell>
          <cell r="CE426">
            <v>0</v>
          </cell>
          <cell r="CF426">
            <v>0</v>
          </cell>
          <cell r="CG426">
            <v>0</v>
          </cell>
          <cell r="CH426">
            <v>0</v>
          </cell>
          <cell r="CI426">
            <v>0</v>
          </cell>
          <cell r="CJ426">
            <v>0</v>
          </cell>
          <cell r="CK426">
            <v>0</v>
          </cell>
        </row>
        <row r="427">
          <cell r="D427" t="str">
            <v>01</v>
          </cell>
          <cell r="E427" t="str">
            <v>46</v>
          </cell>
          <cell r="F427" t="str">
            <v>I63</v>
          </cell>
          <cell r="H427" t="str">
            <v>001</v>
          </cell>
          <cell r="I427" t="str">
            <v>DIAGRAMAS DE LAZO</v>
          </cell>
          <cell r="J427">
            <v>39349</v>
          </cell>
          <cell r="K427">
            <v>39359</v>
          </cell>
          <cell r="L427">
            <v>39373</v>
          </cell>
          <cell r="M427">
            <v>39374</v>
          </cell>
          <cell r="N427">
            <v>39388</v>
          </cell>
          <cell r="O427">
            <v>39476</v>
          </cell>
          <cell r="P427">
            <v>78.504665071770333</v>
          </cell>
          <cell r="Q427" t="str">
            <v>P</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0.5</v>
          </cell>
          <cell r="BD427">
            <v>0.5</v>
          </cell>
          <cell r="BE427">
            <v>0.7</v>
          </cell>
          <cell r="BF427">
            <v>0.7</v>
          </cell>
          <cell r="BG427">
            <v>0.7</v>
          </cell>
          <cell r="BH427">
            <v>0.95</v>
          </cell>
          <cell r="BI427">
            <v>0.95</v>
          </cell>
          <cell r="BJ427">
            <v>0.95</v>
          </cell>
          <cell r="BK427">
            <v>0.95</v>
          </cell>
          <cell r="BL427">
            <v>0.95</v>
          </cell>
          <cell r="BM427">
            <v>0.95</v>
          </cell>
          <cell r="BN427">
            <v>0.95</v>
          </cell>
          <cell r="BO427">
            <v>0.95</v>
          </cell>
          <cell r="BP427">
            <v>0.95</v>
          </cell>
          <cell r="BQ427">
            <v>0.95</v>
          </cell>
          <cell r="BR427">
            <v>0.95</v>
          </cell>
          <cell r="BS427">
            <v>0.95</v>
          </cell>
          <cell r="BT427">
            <v>1</v>
          </cell>
          <cell r="BU427">
            <v>1</v>
          </cell>
          <cell r="BV427">
            <v>1</v>
          </cell>
          <cell r="BW427">
            <v>1</v>
          </cell>
          <cell r="BX427">
            <v>1</v>
          </cell>
          <cell r="BY427">
            <v>1</v>
          </cell>
          <cell r="BZ427">
            <v>1</v>
          </cell>
          <cell r="CA427">
            <v>1</v>
          </cell>
          <cell r="CB427">
            <v>1</v>
          </cell>
          <cell r="CC427">
            <v>1</v>
          </cell>
          <cell r="CD427">
            <v>1</v>
          </cell>
          <cell r="CE427">
            <v>1</v>
          </cell>
          <cell r="CF427">
            <v>1</v>
          </cell>
          <cell r="CG427">
            <v>1</v>
          </cell>
          <cell r="CH427">
            <v>1</v>
          </cell>
          <cell r="CI427">
            <v>1</v>
          </cell>
          <cell r="CJ427">
            <v>1</v>
          </cell>
          <cell r="CK427">
            <v>1</v>
          </cell>
        </row>
        <row r="428">
          <cell r="J428">
            <v>39375</v>
          </cell>
          <cell r="K428">
            <v>39775</v>
          </cell>
          <cell r="L428">
            <v>39507</v>
          </cell>
          <cell r="M428">
            <v>39521</v>
          </cell>
          <cell r="N428">
            <v>39542</v>
          </cell>
          <cell r="O428">
            <v>39642</v>
          </cell>
          <cell r="Q428" t="str">
            <v>R</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0.7</v>
          </cell>
          <cell r="BZ428">
            <v>0.7</v>
          </cell>
          <cell r="CA428">
            <v>0.7</v>
          </cell>
          <cell r="CB428">
            <v>0.7</v>
          </cell>
          <cell r="CC428">
            <v>0.7</v>
          </cell>
          <cell r="CD428">
            <v>0.95</v>
          </cell>
          <cell r="CE428">
            <v>0.95</v>
          </cell>
          <cell r="CF428">
            <v>0.95</v>
          </cell>
          <cell r="CG428">
            <v>0.95</v>
          </cell>
          <cell r="CH428">
            <v>0.95</v>
          </cell>
          <cell r="CI428">
            <v>0.95</v>
          </cell>
          <cell r="CJ428">
            <v>0.95</v>
          </cell>
          <cell r="CK428">
            <v>0.95</v>
          </cell>
        </row>
        <row r="429">
          <cell r="Q429" t="str">
            <v>E</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0.5</v>
          </cell>
          <cell r="BK429">
            <v>0.5</v>
          </cell>
          <cell r="BL429">
            <v>0.5</v>
          </cell>
          <cell r="BM429">
            <v>0.5</v>
          </cell>
          <cell r="BN429">
            <v>0.5</v>
          </cell>
          <cell r="BO429">
            <v>0.5</v>
          </cell>
          <cell r="BP429">
            <v>0.5</v>
          </cell>
          <cell r="BQ429">
            <v>0.5</v>
          </cell>
          <cell r="BR429">
            <v>0.5</v>
          </cell>
          <cell r="BS429">
            <v>0.5</v>
          </cell>
          <cell r="BT429">
            <v>0.5</v>
          </cell>
          <cell r="BU429">
            <v>0.5</v>
          </cell>
          <cell r="BV429">
            <v>0.5</v>
          </cell>
          <cell r="BW429">
            <v>0.5</v>
          </cell>
          <cell r="BX429">
            <v>0.5</v>
          </cell>
          <cell r="BY429">
            <v>0.5</v>
          </cell>
          <cell r="BZ429">
            <v>0.5</v>
          </cell>
          <cell r="CA429">
            <v>0.5</v>
          </cell>
          <cell r="CB429">
            <v>0.5</v>
          </cell>
          <cell r="CC429">
            <v>0.5</v>
          </cell>
          <cell r="CD429">
            <v>0</v>
          </cell>
          <cell r="CE429">
            <v>0</v>
          </cell>
          <cell r="CF429">
            <v>0</v>
          </cell>
          <cell r="CG429">
            <v>0</v>
          </cell>
          <cell r="CH429">
            <v>0</v>
          </cell>
          <cell r="CI429">
            <v>0</v>
          </cell>
          <cell r="CJ429">
            <v>0</v>
          </cell>
          <cell r="CK429">
            <v>0</v>
          </cell>
        </row>
      </sheetData>
      <sheetData sheetId="7"/>
      <sheetData sheetId="8"/>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 a tierra"/>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INST"/>
      <sheetName val="Hoja2"/>
      <sheetName val="INDICADORES"/>
    </sheetNames>
    <sheetDataSet>
      <sheetData sheetId="0" refreshError="1"/>
      <sheetData sheetId="1" refreshError="1"/>
      <sheetData sheetId="2" refreshError="1"/>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LISTAS"/>
      <sheetName val="VOL BOX"/>
      <sheetName val="Tramo 1"/>
      <sheetName val="Tramo 2"/>
      <sheetName val="C No. 12 EXIST Y PROYE"/>
      <sheetName val="Cuadro No. 13"/>
      <sheetName val="C No. 15 CajasEnc"/>
      <sheetName val="C No. 16.1 CUNETAS IZQ"/>
      <sheetName val="C No. 16.2 CUNETAS DER"/>
      <sheetName val="C No.14 TRANSVERS"/>
      <sheetName val="MEMORIAS"/>
      <sheetName val="PAV"/>
      <sheetName val="procedimiento"/>
      <sheetName val="CANTIDADES HIDRÁULICAS.."/>
      <sheetName val="Memorias prelim Hidra"/>
      <sheetName val="Hoja1"/>
      <sheetName val="BASE PRECIOS"/>
    </sheetNames>
    <sheetDataSet>
      <sheetData sheetId="0">
        <row r="24">
          <cell r="B24" t="str">
            <v xml:space="preserve">Demoler estructura existente. </v>
          </cell>
        </row>
        <row r="25">
          <cell r="B25" t="str">
            <v>Mantener estructura existente y alargar a la entrada y a la salida.</v>
          </cell>
        </row>
        <row r="26">
          <cell r="B26" t="str">
            <v>Mantener estructura existente.</v>
          </cell>
        </row>
        <row r="27">
          <cell r="B27" t="str">
            <v>NA</v>
          </cell>
        </row>
      </sheetData>
      <sheetData sheetId="1"/>
      <sheetData sheetId="2">
        <row r="21">
          <cell r="C21">
            <v>164</v>
          </cell>
        </row>
      </sheetData>
      <sheetData sheetId="3">
        <row r="22">
          <cell r="C22">
            <v>139.39999999999998</v>
          </cell>
        </row>
      </sheetData>
      <sheetData sheetId="4"/>
      <sheetData sheetId="5"/>
      <sheetData sheetId="6">
        <row r="56">
          <cell r="L56">
            <v>209.78999999999996</v>
          </cell>
        </row>
      </sheetData>
      <sheetData sheetId="7">
        <row r="43">
          <cell r="G43">
            <v>894.7800000000002</v>
          </cell>
        </row>
      </sheetData>
      <sheetData sheetId="8">
        <row r="90">
          <cell r="G90">
            <v>3049.9200000000005</v>
          </cell>
        </row>
      </sheetData>
      <sheetData sheetId="9"/>
      <sheetData sheetId="10">
        <row r="19">
          <cell r="V19">
            <v>172.74480074042731</v>
          </cell>
        </row>
      </sheetData>
      <sheetData sheetId="11"/>
      <sheetData sheetId="12"/>
      <sheetData sheetId="13"/>
      <sheetData sheetId="14"/>
      <sheetData sheetId="15" refreshError="1"/>
      <sheetData sheetId="16"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D"/>
      <sheetName val="Cronograma"/>
      <sheetName val="Id involucr"/>
      <sheetName val="Resumen Invlc R&amp;R"/>
      <sheetName val="Roles y resp"/>
      <sheetName val="Consolidado Alcance"/>
      <sheetName val="Presupuesto"/>
      <sheetName val="Ppto Motores"/>
      <sheetName val="Ppto Variadores"/>
      <sheetName val="Análisis determínistico"/>
      <sheetName val="Memorias de cálculo"/>
      <sheetName val="Riesgos"/>
      <sheetName val="Anexo. Matriz RAM"/>
    </sheetNames>
    <sheetDataSet>
      <sheetData sheetId="0" refreshError="1"/>
      <sheetData sheetId="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ODOLOGIA"/>
      <sheetName val="RESUMEN EVALUACION"/>
      <sheetName val="ASPECTOS TECNICOS"/>
      <sheetName val="MENOR VALOR 1"/>
      <sheetName val="Hoja1"/>
      <sheetName val="MEDIA GEOMETRICA"/>
      <sheetName val="CAPACIDAD FINANCIERA"/>
    </sheetNames>
    <sheetDataSet>
      <sheetData sheetId="0" refreshError="1"/>
      <sheetData sheetId="1" refreshError="1"/>
      <sheetData sheetId="2">
        <row r="12">
          <cell r="O12" t="str">
            <v>AÑO</v>
          </cell>
          <cell r="P12" t="str">
            <v>SMML</v>
          </cell>
        </row>
        <row r="13">
          <cell r="O13">
            <v>1990</v>
          </cell>
          <cell r="P13">
            <v>41025</v>
          </cell>
        </row>
        <row r="14">
          <cell r="O14">
            <v>1991</v>
          </cell>
          <cell r="P14">
            <v>51720</v>
          </cell>
        </row>
        <row r="15">
          <cell r="O15">
            <v>1992</v>
          </cell>
          <cell r="P15">
            <v>65190</v>
          </cell>
        </row>
        <row r="16">
          <cell r="O16">
            <v>1993</v>
          </cell>
          <cell r="P16">
            <v>81510</v>
          </cell>
        </row>
        <row r="17">
          <cell r="O17">
            <v>1994</v>
          </cell>
          <cell r="P17">
            <v>98700</v>
          </cell>
        </row>
        <row r="18">
          <cell r="O18">
            <v>1995</v>
          </cell>
          <cell r="P18">
            <v>118933.5</v>
          </cell>
        </row>
        <row r="19">
          <cell r="O19">
            <v>1996</v>
          </cell>
          <cell r="P19">
            <v>142125</v>
          </cell>
        </row>
        <row r="20">
          <cell r="O20">
            <v>1997</v>
          </cell>
          <cell r="P20">
            <v>172005</v>
          </cell>
        </row>
        <row r="21">
          <cell r="O21">
            <v>1998</v>
          </cell>
          <cell r="P21">
            <v>203826</v>
          </cell>
        </row>
        <row r="22">
          <cell r="O22">
            <v>1999</v>
          </cell>
          <cell r="P22">
            <v>236460</v>
          </cell>
        </row>
        <row r="23">
          <cell r="O23">
            <v>2000</v>
          </cell>
          <cell r="P23">
            <v>260100</v>
          </cell>
        </row>
        <row r="24">
          <cell r="O24">
            <v>2001</v>
          </cell>
          <cell r="P24">
            <v>286000</v>
          </cell>
        </row>
        <row r="25">
          <cell r="O25">
            <v>2002</v>
          </cell>
          <cell r="P25">
            <v>309000</v>
          </cell>
        </row>
        <row r="26">
          <cell r="O26">
            <v>2003</v>
          </cell>
          <cell r="P26">
            <v>332000</v>
          </cell>
        </row>
        <row r="27">
          <cell r="O27">
            <v>2004</v>
          </cell>
          <cell r="P27">
            <v>358000</v>
          </cell>
        </row>
        <row r="28">
          <cell r="O28">
            <v>2005</v>
          </cell>
          <cell r="P28">
            <v>381500</v>
          </cell>
        </row>
        <row r="29">
          <cell r="O29">
            <v>2006</v>
          </cell>
          <cell r="P29">
            <v>408000</v>
          </cell>
        </row>
        <row r="30">
          <cell r="O30">
            <v>2007</v>
          </cell>
          <cell r="P30">
            <v>433700</v>
          </cell>
        </row>
        <row r="31">
          <cell r="O31">
            <v>2008</v>
          </cell>
          <cell r="P31">
            <v>461500</v>
          </cell>
        </row>
        <row r="32">
          <cell r="O32">
            <v>2009</v>
          </cell>
          <cell r="P32">
            <v>497000</v>
          </cell>
        </row>
      </sheetData>
      <sheetData sheetId="3" refreshError="1"/>
      <sheetData sheetId="4" refreshError="1"/>
      <sheetData sheetId="5">
        <row r="8">
          <cell r="J8">
            <v>136500000</v>
          </cell>
          <cell r="R8">
            <v>45000000</v>
          </cell>
          <cell r="V8">
            <v>55680000</v>
          </cell>
          <cell r="Z8">
            <v>165000000</v>
          </cell>
          <cell r="AD8">
            <v>97682914</v>
          </cell>
          <cell r="AH8">
            <v>19262400</v>
          </cell>
          <cell r="AL8">
            <v>85000000</v>
          </cell>
        </row>
      </sheetData>
      <sheetData sheetId="6"/>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RESPONSABLES"/>
      <sheetName val="HOJA DE COSTOS"/>
      <sheetName val="CÁLCULOS"/>
      <sheetName val="AFE FRAC"/>
    </sheetNames>
    <sheetDataSet>
      <sheetData sheetId="0" refreshError="1"/>
      <sheetData sheetId="1" refreshError="1"/>
      <sheetData sheetId="2" refreshError="1"/>
      <sheetData sheetId="3" refreshError="1">
        <row r="34">
          <cell r="H34">
            <v>2000</v>
          </cell>
        </row>
      </sheetData>
      <sheetData sheetId="4"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refreshError="1">
        <row r="11">
          <cell r="F11" t="str">
            <v>JUAN DE JESUS AMARIS MEJIA E.U.</v>
          </cell>
        </row>
        <row r="23">
          <cell r="I23">
            <v>0</v>
          </cell>
        </row>
        <row r="24">
          <cell r="I24">
            <v>3.3E-3</v>
          </cell>
        </row>
        <row r="25">
          <cell r="I25">
            <v>0.01</v>
          </cell>
        </row>
      </sheetData>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H T. AMI"/>
      <sheetName val="HH T.Montajes"/>
      <sheetName val="Datos"/>
      <sheetName val="CURVA TM"/>
      <sheetName val="CURVA HH AMI"/>
      <sheetName val="CURVA HH TOT"/>
      <sheetName val="CRONOGRAMA"/>
      <sheetName val="Info Ejec"/>
    </sheetNames>
    <sheetDataSet>
      <sheetData sheetId="0"/>
      <sheetData sheetId="1"/>
      <sheetData sheetId="2"/>
      <sheetData sheetId="3"/>
      <sheetData sheetId="4"/>
      <sheetData sheetId="5"/>
      <sheetData sheetId="6"/>
      <sheetData sheetId="7">
        <row r="3">
          <cell r="B3" t="str">
            <v>INFORME EJECUTIVO</v>
          </cell>
        </row>
        <row r="5">
          <cell r="B5" t="str">
            <v>OBJETO DE LA REPARACIÓN</v>
          </cell>
        </row>
        <row r="6">
          <cell r="B6" t="str">
            <v>1.</v>
          </cell>
          <cell r="C6" t="str">
            <v>Recuperar la confiabilidad mecánica de la unidad Toping U200 &amp; Viscorreductora I</v>
          </cell>
        </row>
        <row r="9">
          <cell r="B9" t="str">
            <v>PROGRESO DE EJECUCIÓN DE LA PARADA</v>
          </cell>
        </row>
        <row r="31">
          <cell r="N31" t="str">
            <v>Horas Hombre</v>
          </cell>
          <cell r="W31" t="str">
            <v>Directas</v>
          </cell>
          <cell r="AI31" t="str">
            <v>Indirectas</v>
          </cell>
        </row>
        <row r="32">
          <cell r="W32" t="str">
            <v>Programadas</v>
          </cell>
          <cell r="AA32" t="str">
            <v>Ejecutadas</v>
          </cell>
          <cell r="AE32" t="str">
            <v>Lluvias</v>
          </cell>
          <cell r="AI32" t="str">
            <v>Programadas</v>
          </cell>
          <cell r="AM32" t="str">
            <v>Ejecutadas</v>
          </cell>
        </row>
        <row r="34">
          <cell r="N34" t="str">
            <v>GCB</v>
          </cell>
          <cell r="W34">
            <v>0</v>
          </cell>
          <cell r="AA34">
            <v>0</v>
          </cell>
          <cell r="AE34">
            <v>0</v>
          </cell>
          <cell r="AI34">
            <v>0</v>
          </cell>
          <cell r="AM34">
            <v>0</v>
          </cell>
        </row>
        <row r="35">
          <cell r="N35" t="str">
            <v>Todo Montajes LTDA</v>
          </cell>
          <cell r="W35">
            <v>21453</v>
          </cell>
          <cell r="AA35">
            <v>37268.5</v>
          </cell>
          <cell r="AE35">
            <v>4</v>
          </cell>
          <cell r="AI35">
            <v>2640</v>
          </cell>
          <cell r="AM35">
            <v>3340.5</v>
          </cell>
        </row>
        <row r="36">
          <cell r="N36" t="str">
            <v>A.M.I.  LTDA.</v>
          </cell>
          <cell r="W36">
            <v>5403</v>
          </cell>
          <cell r="AA36">
            <v>13072</v>
          </cell>
          <cell r="AI36">
            <v>2928</v>
          </cell>
          <cell r="AM36">
            <v>4044</v>
          </cell>
        </row>
        <row r="37">
          <cell r="N37" t="str">
            <v>Consultoría / Intervent.(CCA)</v>
          </cell>
          <cell r="AI37">
            <v>7680</v>
          </cell>
          <cell r="AM37">
            <v>7386</v>
          </cell>
        </row>
        <row r="40">
          <cell r="N40" t="str">
            <v>Totales</v>
          </cell>
          <cell r="W40">
            <v>26856</v>
          </cell>
          <cell r="AA40">
            <v>50340.5</v>
          </cell>
          <cell r="AE40">
            <v>4</v>
          </cell>
          <cell r="AI40">
            <v>13248</v>
          </cell>
          <cell r="AM40">
            <v>14770.5</v>
          </cell>
        </row>
        <row r="42">
          <cell r="C42" t="str">
            <v>Fechas</v>
          </cell>
          <cell r="T42" t="str">
            <v>Inicio de Trabajos</v>
          </cell>
          <cell r="AF42" t="str">
            <v>Terminación  Trabajos</v>
          </cell>
          <cell r="AR42" t="str">
            <v>Desviación R.C(Horas)</v>
          </cell>
        </row>
        <row r="43">
          <cell r="T43" t="str">
            <v>Programado</v>
          </cell>
          <cell r="Z43" t="str">
            <v>Real</v>
          </cell>
          <cell r="AF43" t="str">
            <v>Programado</v>
          </cell>
          <cell r="AL43" t="str">
            <v>Real</v>
          </cell>
        </row>
        <row r="45">
          <cell r="C45" t="str">
            <v>Apagada</v>
          </cell>
          <cell r="T45">
            <v>38362.25</v>
          </cell>
          <cell r="Z45">
            <v>38362</v>
          </cell>
          <cell r="AF45">
            <v>38364.25</v>
          </cell>
          <cell r="AL45">
            <v>38363.75</v>
          </cell>
          <cell r="AR45">
            <v>12</v>
          </cell>
        </row>
        <row r="46">
          <cell r="C46" t="str">
            <v>Trabajos Mantenimiento</v>
          </cell>
          <cell r="T46">
            <v>38364.25</v>
          </cell>
          <cell r="Z46">
            <v>38363.75</v>
          </cell>
          <cell r="AF46">
            <v>38389.25</v>
          </cell>
          <cell r="AL46">
            <v>38387</v>
          </cell>
          <cell r="AR46">
            <v>54</v>
          </cell>
        </row>
        <row r="47">
          <cell r="C47" t="str">
            <v>Arrancada</v>
          </cell>
          <cell r="T47">
            <v>38389.25</v>
          </cell>
          <cell r="Z47">
            <v>38387</v>
          </cell>
          <cell r="AF47">
            <v>38391.25</v>
          </cell>
          <cell r="AL47">
            <v>38387.833333333336</v>
          </cell>
          <cell r="AR47">
            <v>82</v>
          </cell>
        </row>
        <row r="49">
          <cell r="C49">
            <v>0</v>
          </cell>
          <cell r="T49">
            <v>38362.25</v>
          </cell>
          <cell r="Z49">
            <v>38362</v>
          </cell>
          <cell r="AF49">
            <v>38391.25</v>
          </cell>
          <cell r="AL49">
            <v>38387.833333333336</v>
          </cell>
          <cell r="AR49" t="str">
            <v>_+ 82</v>
          </cell>
        </row>
        <row r="51">
          <cell r="E51" t="str">
            <v>Costo Trabajos Contratados</v>
          </cell>
          <cell r="L51" t="str">
            <v>Contratado</v>
          </cell>
          <cell r="U51" t="str">
            <v>Presupuestado</v>
          </cell>
          <cell r="AA51" t="str">
            <v>Ejecutado</v>
          </cell>
          <cell r="AG51" t="str">
            <v>Adicionales</v>
          </cell>
          <cell r="AM51" t="str">
            <v>Total</v>
          </cell>
        </row>
        <row r="53">
          <cell r="E53" t="str">
            <v>Todo Montajes LTDA</v>
          </cell>
          <cell r="L53">
            <v>858377938</v>
          </cell>
          <cell r="U53">
            <v>803013810</v>
          </cell>
          <cell r="AA53">
            <v>571084773</v>
          </cell>
          <cell r="AG53">
            <v>190000000</v>
          </cell>
          <cell r="AM53">
            <v>761084773</v>
          </cell>
        </row>
        <row r="54">
          <cell r="E54" t="str">
            <v>A.M.I.  LTDA.</v>
          </cell>
          <cell r="U54">
            <v>359910156</v>
          </cell>
          <cell r="AA54">
            <v>237973732</v>
          </cell>
          <cell r="AG54">
            <v>25462600</v>
          </cell>
          <cell r="AM54">
            <v>263436332</v>
          </cell>
        </row>
        <row r="55">
          <cell r="L55">
            <v>360219781</v>
          </cell>
        </row>
        <row r="57">
          <cell r="E57" t="str">
            <v>Totales</v>
          </cell>
          <cell r="L57">
            <v>1218597719</v>
          </cell>
          <cell r="U57">
            <v>1162923966</v>
          </cell>
          <cell r="AA57">
            <v>809058505</v>
          </cell>
          <cell r="AG57">
            <v>215462600</v>
          </cell>
          <cell r="AM57">
            <v>1024521105</v>
          </cell>
        </row>
        <row r="59">
          <cell r="C59" t="str">
            <v>SEGURIDAD</v>
          </cell>
          <cell r="O59" t="str">
            <v>Accidentes</v>
          </cell>
          <cell r="S59" t="str">
            <v>Incidentes</v>
          </cell>
          <cell r="V59" t="str">
            <v>Atenciones de Enfermería</v>
          </cell>
          <cell r="Y59" t="str">
            <v>Visitas de Seguridad</v>
          </cell>
          <cell r="AB59" t="str">
            <v>Auditorías de Seguridad</v>
          </cell>
          <cell r="AE59" t="str">
            <v>Fallas de Control</v>
          </cell>
          <cell r="AG59" t="str">
            <v>Capacitación (HH)</v>
          </cell>
          <cell r="AJ59" t="str">
            <v>Recomendaciones</v>
          </cell>
          <cell r="AO59" t="str">
            <v>Índices</v>
          </cell>
        </row>
        <row r="60">
          <cell r="O60" t="str">
            <v>ASP</v>
          </cell>
          <cell r="Q60" t="str">
            <v>ACP</v>
          </cell>
          <cell r="AJ60" t="str">
            <v>Emitidas</v>
          </cell>
          <cell r="AL60" t="str">
            <v>Ejecutadas</v>
          </cell>
          <cell r="AO60" t="str">
            <v>Frecuencia</v>
          </cell>
          <cell r="AR60" t="str">
            <v>Severidad</v>
          </cell>
        </row>
        <row r="62">
          <cell r="C62">
            <v>0</v>
          </cell>
          <cell r="O62">
            <v>0</v>
          </cell>
          <cell r="Q62">
            <v>0</v>
          </cell>
          <cell r="S62">
            <v>1</v>
          </cell>
          <cell r="V62">
            <v>27</v>
          </cell>
          <cell r="Y62">
            <v>81</v>
          </cell>
          <cell r="AB62">
            <v>3</v>
          </cell>
          <cell r="AE62">
            <v>7</v>
          </cell>
          <cell r="AG62">
            <v>9</v>
          </cell>
          <cell r="AJ62">
            <v>158</v>
          </cell>
          <cell r="AL62">
            <v>0.95</v>
          </cell>
          <cell r="AO62">
            <v>0</v>
          </cell>
          <cell r="AR62">
            <v>0</v>
          </cell>
        </row>
        <row r="63">
          <cell r="C63" t="str">
            <v>Todo Montajes LTDA</v>
          </cell>
          <cell r="O63">
            <v>0</v>
          </cell>
          <cell r="Q63">
            <v>0</v>
          </cell>
          <cell r="S63">
            <v>10</v>
          </cell>
          <cell r="V63">
            <v>377</v>
          </cell>
          <cell r="Y63">
            <v>5</v>
          </cell>
          <cell r="AB63">
            <v>0</v>
          </cell>
          <cell r="AE63">
            <v>48</v>
          </cell>
          <cell r="AG63">
            <v>1157.7</v>
          </cell>
          <cell r="AJ63">
            <v>10</v>
          </cell>
          <cell r="AL63">
            <v>1</v>
          </cell>
          <cell r="AO63">
            <v>0</v>
          </cell>
          <cell r="AR63">
            <v>0</v>
          </cell>
        </row>
        <row r="64">
          <cell r="C64" t="str">
            <v>A.M.I.  LTDA.</v>
          </cell>
          <cell r="O64">
            <v>0</v>
          </cell>
          <cell r="Q64">
            <v>0</v>
          </cell>
          <cell r="S64">
            <v>1</v>
          </cell>
          <cell r="V64">
            <v>126</v>
          </cell>
          <cell r="Y64">
            <v>11</v>
          </cell>
          <cell r="AB64">
            <v>1</v>
          </cell>
          <cell r="AE64">
            <v>5</v>
          </cell>
          <cell r="AG64">
            <v>612.29999999999995</v>
          </cell>
          <cell r="AJ64">
            <v>25</v>
          </cell>
          <cell r="AL64">
            <v>1</v>
          </cell>
          <cell r="AO64">
            <v>0</v>
          </cell>
          <cell r="AR64">
            <v>0</v>
          </cell>
        </row>
        <row r="65">
          <cell r="C65" t="str">
            <v>CCA</v>
          </cell>
          <cell r="O65">
            <v>0</v>
          </cell>
          <cell r="Q65">
            <v>0</v>
          </cell>
          <cell r="S65">
            <v>1</v>
          </cell>
          <cell r="V65">
            <v>14</v>
          </cell>
          <cell r="Y65">
            <v>26</v>
          </cell>
          <cell r="AB65">
            <v>5</v>
          </cell>
          <cell r="AE65">
            <v>2</v>
          </cell>
          <cell r="AG65">
            <v>283</v>
          </cell>
          <cell r="AJ65">
            <v>38</v>
          </cell>
          <cell r="AL65">
            <v>0.98</v>
          </cell>
          <cell r="AO65">
            <v>0</v>
          </cell>
          <cell r="AR65">
            <v>0</v>
          </cell>
        </row>
        <row r="67">
          <cell r="C67" t="str">
            <v>Unibon</v>
          </cell>
          <cell r="O67">
            <v>0</v>
          </cell>
          <cell r="Q67">
            <v>0</v>
          </cell>
          <cell r="S67">
            <v>13</v>
          </cell>
          <cell r="V67">
            <v>544</v>
          </cell>
          <cell r="Y67">
            <v>123</v>
          </cell>
          <cell r="AB67">
            <v>9</v>
          </cell>
          <cell r="AE67">
            <v>62</v>
          </cell>
          <cell r="AG67">
            <v>2062</v>
          </cell>
          <cell r="AJ67">
            <v>231</v>
          </cell>
          <cell r="AL67">
            <v>0.96251082251082254</v>
          </cell>
          <cell r="AO67">
            <v>0</v>
          </cell>
          <cell r="AR67">
            <v>0</v>
          </cell>
        </row>
        <row r="70">
          <cell r="B70" t="str">
            <v>INDICADORES DE ACCIDENTALIDAD</v>
          </cell>
        </row>
        <row r="71">
          <cell r="B71" t="str">
            <v>Índice de Frecuencia</v>
          </cell>
          <cell r="AB71" t="str">
            <v>Índice de Severidad</v>
          </cell>
        </row>
        <row r="88">
          <cell r="B88" t="str">
            <v>PRINCIPALES TRABAJOS REALIZADOS DURANTE LA PARADA</v>
          </cell>
        </row>
        <row r="90">
          <cell r="B90" t="str">
            <v>U-200</v>
          </cell>
          <cell r="M90" t="str">
            <v xml:space="preserve">Dentro de la Topping U - 200 </v>
          </cell>
        </row>
        <row r="92">
          <cell r="C92" t="str">
            <v>TOPPING U-200</v>
          </cell>
        </row>
        <row r="93">
          <cell r="C93" t="str">
            <v>Fechas</v>
          </cell>
          <cell r="T93" t="str">
            <v>Inicio de Trabajos</v>
          </cell>
          <cell r="AF93" t="str">
            <v>Terminación  Trabajos</v>
          </cell>
          <cell r="AR93" t="str">
            <v>Desviación R.C(Horas)</v>
          </cell>
        </row>
        <row r="94">
          <cell r="T94" t="str">
            <v>Programado</v>
          </cell>
          <cell r="Z94" t="str">
            <v>Real</v>
          </cell>
          <cell r="AF94" t="str">
            <v>Programado</v>
          </cell>
          <cell r="AL94" t="str">
            <v>Real</v>
          </cell>
        </row>
        <row r="96">
          <cell r="C96" t="str">
            <v>Apagada</v>
          </cell>
          <cell r="T96">
            <v>38362.25</v>
          </cell>
          <cell r="Z96">
            <v>38362</v>
          </cell>
          <cell r="AF96">
            <v>38364.25</v>
          </cell>
          <cell r="AL96">
            <v>38363.75</v>
          </cell>
          <cell r="AR96">
            <v>12</v>
          </cell>
        </row>
        <row r="97">
          <cell r="C97" t="str">
            <v>Trabajos Mantenimiento</v>
          </cell>
          <cell r="T97">
            <v>38364.25</v>
          </cell>
          <cell r="Z97">
            <v>38363.75</v>
          </cell>
          <cell r="AF97">
            <v>38377.25</v>
          </cell>
          <cell r="AL97">
            <v>38376.25</v>
          </cell>
          <cell r="AR97">
            <v>12</v>
          </cell>
        </row>
        <row r="98">
          <cell r="C98" t="str">
            <v>Arrancada</v>
          </cell>
          <cell r="T98">
            <v>38377.25</v>
          </cell>
          <cell r="Z98">
            <v>38376.25</v>
          </cell>
          <cell r="AF98">
            <v>38379.25</v>
          </cell>
          <cell r="AL98">
            <v>38377.666666666664</v>
          </cell>
          <cell r="AR98">
            <v>38</v>
          </cell>
        </row>
        <row r="100">
          <cell r="C100" t="str">
            <v>TOPPING U-200</v>
          </cell>
          <cell r="T100">
            <v>38362.25</v>
          </cell>
          <cell r="Z100">
            <v>38362</v>
          </cell>
          <cell r="AF100">
            <v>38379.25</v>
          </cell>
          <cell r="AL100">
            <v>38377.666666666664</v>
          </cell>
          <cell r="AR100" t="str">
            <v>_+ 38</v>
          </cell>
        </row>
        <row r="122">
          <cell r="B122" t="str">
            <v>VISCO 1</v>
          </cell>
          <cell r="M122" t="str">
            <v xml:space="preserve">Dentro de la Topping U - 200 </v>
          </cell>
        </row>
        <row r="125">
          <cell r="C125" t="str">
            <v>VISCORREDUCTORA 1</v>
          </cell>
        </row>
        <row r="126">
          <cell r="C126" t="str">
            <v>Fechas</v>
          </cell>
          <cell r="N126" t="str">
            <v>Inicio de Trabajos</v>
          </cell>
          <cell r="AC126" t="str">
            <v>Terminación  Trabajos</v>
          </cell>
          <cell r="AR126" t="str">
            <v>Desviación R.C(Horas)</v>
          </cell>
        </row>
        <row r="127">
          <cell r="N127" t="str">
            <v>Programado</v>
          </cell>
          <cell r="S127" t="str">
            <v>Reprogramado</v>
          </cell>
          <cell r="X127" t="str">
            <v>Real</v>
          </cell>
          <cell r="AC127" t="str">
            <v>Programado</v>
          </cell>
          <cell r="AH127" t="str">
            <v>Reprogramado</v>
          </cell>
          <cell r="AM127" t="str">
            <v>Real</v>
          </cell>
        </row>
        <row r="129">
          <cell r="C129" t="str">
            <v>Apagada</v>
          </cell>
          <cell r="N129">
            <v>38370.25</v>
          </cell>
          <cell r="S129">
            <v>38371.25</v>
          </cell>
          <cell r="X129">
            <v>38371</v>
          </cell>
          <cell r="AC129">
            <v>38372.25</v>
          </cell>
          <cell r="AH129">
            <v>38373.25</v>
          </cell>
          <cell r="AM129">
            <v>38373.25</v>
          </cell>
          <cell r="AR129">
            <v>0</v>
          </cell>
        </row>
        <row r="130">
          <cell r="C130" t="str">
            <v>Trab. Mant.</v>
          </cell>
          <cell r="N130">
            <v>38372.25</v>
          </cell>
          <cell r="S130">
            <v>38373.25</v>
          </cell>
          <cell r="X130">
            <v>38373.25</v>
          </cell>
          <cell r="AC130">
            <v>38388.25</v>
          </cell>
          <cell r="AH130">
            <v>38389.25</v>
          </cell>
          <cell r="AM130">
            <v>38387</v>
          </cell>
          <cell r="AR130">
            <v>54</v>
          </cell>
        </row>
        <row r="131">
          <cell r="C131" t="str">
            <v>Arrancada</v>
          </cell>
          <cell r="N131">
            <v>38388.25</v>
          </cell>
          <cell r="S131">
            <v>38389.25</v>
          </cell>
          <cell r="X131">
            <v>38387</v>
          </cell>
          <cell r="AC131">
            <v>38390.25</v>
          </cell>
          <cell r="AH131">
            <v>38391.25</v>
          </cell>
          <cell r="AM131">
            <v>38387.833333333336</v>
          </cell>
          <cell r="AR131">
            <v>82</v>
          </cell>
        </row>
        <row r="133">
          <cell r="C133" t="str">
            <v>VISCORREDUCTORA 1</v>
          </cell>
          <cell r="N133">
            <v>38370.25</v>
          </cell>
          <cell r="S133">
            <v>38371.25</v>
          </cell>
          <cell r="X133">
            <v>38371</v>
          </cell>
          <cell r="AC133">
            <v>38390.25</v>
          </cell>
          <cell r="AH133">
            <v>38391.25</v>
          </cell>
          <cell r="AM133">
            <v>38387.833333333336</v>
          </cell>
          <cell r="AR133" t="str">
            <v>_+ 82</v>
          </cell>
        </row>
      </sheetData>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materiales"/>
      <sheetName val="Equipo"/>
      <sheetName val="otros"/>
      <sheetName val="701.2P"/>
      <sheetName val="201.2 reforzado"/>
      <sheetName val="210.2 OTRA"/>
      <sheetName val="650.5P"/>
      <sheetName val="1p"/>
      <sheetName val="4651p"/>
      <sheetName val="LOCALIZACION ESTRUCTURAS"/>
      <sheetName val="LOCALIZACION CARRETERAS"/>
      <sheetName val="200.1"/>
      <sheetName val="200.2"/>
      <sheetName val="200P ROCERIA"/>
      <sheetName val="201.1"/>
      <sheetName val="201.2"/>
      <sheetName val="201.2 ciclopeo"/>
      <sheetName val="201.3"/>
      <sheetName val="201.3P"/>
      <sheetName val="201.4"/>
      <sheetName val="201.8P"/>
      <sheetName val="201.9"/>
      <sheetName val="201.10"/>
      <sheetName val="201.11"/>
      <sheetName val="201.12"/>
      <sheetName val="201.13"/>
      <sheetName val="201.14"/>
      <sheetName val="210.1"/>
      <sheetName val="210.2"/>
      <sheetName val="210.3"/>
      <sheetName val="211"/>
      <sheetName val="220"/>
      <sheetName val="221.1"/>
      <sheetName val="221.2"/>
      <sheetName val="225P"/>
      <sheetName val="230.1"/>
      <sheetName val="230.2"/>
      <sheetName val="310"/>
      <sheetName val="311"/>
      <sheetName val="311P1"/>
      <sheetName val="311P2"/>
      <sheetName val="311P3"/>
      <sheetName val="320.1"/>
      <sheetName val="320.2"/>
      <sheetName val="330.1"/>
      <sheetName val="330.2"/>
      <sheetName val="340.1"/>
      <sheetName val="340.2"/>
      <sheetName val="340.3"/>
      <sheetName val="341.1"/>
      <sheetName val="341.2"/>
      <sheetName val="341.1P"/>
      <sheetName val="410.1"/>
      <sheetName val="410.2"/>
      <sheetName val="411.1"/>
      <sheetName val="411.2"/>
      <sheetName val="411.3"/>
      <sheetName val="465.1"/>
      <sheetName val="414.1"/>
      <sheetName val="414.2"/>
      <sheetName val="414.3"/>
      <sheetName val="414.4"/>
      <sheetName val="415"/>
      <sheetName val="420"/>
      <sheetName val="421.1"/>
      <sheetName val="421.2"/>
      <sheetName val="421.3"/>
      <sheetName val="421.4"/>
      <sheetName val="430.1"/>
      <sheetName val="430.2"/>
      <sheetName val="431.1"/>
      <sheetName val="431.2"/>
      <sheetName val="432"/>
      <sheetName val="433.1"/>
      <sheetName val="433.2"/>
      <sheetName val="433.3"/>
      <sheetName val="433.4"/>
      <sheetName val="433.5"/>
      <sheetName val="433.6"/>
      <sheetName val="433.7"/>
      <sheetName val="433.8"/>
      <sheetName val="440.2PREP VIA "/>
      <sheetName val="440.1PREP VIA"/>
      <sheetName val="440.3PREP VIA  "/>
      <sheetName val="440.4"/>
      <sheetName val="441.1"/>
      <sheetName val="441.1P COMPRADA"/>
      <sheetName val="441.2"/>
      <sheetName val="441.2P COMPRADA"/>
      <sheetName val="441.3"/>
      <sheetName val="441.3P COMPRADA"/>
      <sheetName val="441.4"/>
      <sheetName val="450.1"/>
      <sheetName val="450.1P "/>
      <sheetName val="450.2"/>
      <sheetName val="450.2P"/>
      <sheetName val="450.3"/>
      <sheetName val="450.3P "/>
      <sheetName val="450.5"/>
      <sheetName val="451.1"/>
      <sheetName val="451.1P"/>
      <sheetName val="451.2"/>
      <sheetName val="451.2P"/>
      <sheetName val="451.3"/>
      <sheetName val="451.3P"/>
      <sheetName val="452.1"/>
      <sheetName val="452.1P "/>
      <sheetName val="452.2"/>
      <sheetName val="452.2P "/>
      <sheetName val="452.3"/>
      <sheetName val="452.3P"/>
      <sheetName val="452.4"/>
      <sheetName val="452.4P"/>
      <sheetName val="453"/>
      <sheetName val="460"/>
      <sheetName val="460P"/>
      <sheetName val="461.1"/>
      <sheetName val="461.2"/>
      <sheetName val="462.1P"/>
      <sheetName val="462.2P"/>
      <sheetName val="462.3P"/>
      <sheetName val="462.4P"/>
      <sheetName val="462.5"/>
      <sheetName val="500"/>
      <sheetName val="500P"/>
      <sheetName val="510"/>
      <sheetName val="510P1"/>
      <sheetName val="510P2"/>
      <sheetName val="510P3"/>
      <sheetName val="510P5"/>
      <sheetName val="600.1"/>
      <sheetName val="600.2"/>
      <sheetName val="600.3"/>
      <sheetName val="600.4"/>
      <sheetName val="600.4 P"/>
      <sheetName val="600.5"/>
      <sheetName val="600.5 P"/>
      <sheetName val="610.1"/>
      <sheetName val="610.2"/>
      <sheetName val="620.1"/>
      <sheetName val="620.2"/>
      <sheetName val="620.3"/>
      <sheetName val="620P"/>
      <sheetName val="621.1"/>
      <sheetName val="621.2"/>
      <sheetName val="621.3"/>
      <sheetName val="621.4"/>
      <sheetName val="621.5"/>
      <sheetName val="621.5P"/>
      <sheetName val="621.6"/>
      <sheetName val="621,7"/>
      <sheetName val="622.1"/>
      <sheetName val="622.2"/>
      <sheetName val="622.3"/>
      <sheetName val="622.4"/>
      <sheetName val="622.5"/>
      <sheetName val="630.1"/>
      <sheetName val="630.2"/>
      <sheetName val="630.3"/>
      <sheetName val="630.4"/>
      <sheetName val="630.5"/>
      <sheetName val="630.6"/>
      <sheetName val="630.7"/>
      <sheetName val="630.P"/>
      <sheetName val="631P BOLSACRETO"/>
      <sheetName val="632"/>
      <sheetName val="632P"/>
      <sheetName val="640.1"/>
      <sheetName val="640.2"/>
      <sheetName val="640.3"/>
      <sheetName val="641"/>
      <sheetName val="641P ANCLAJES"/>
      <sheetName val="642.1"/>
      <sheetName val="642.2"/>
      <sheetName val="642P2 JUNTAS"/>
      <sheetName val="642P1 JUNTAS"/>
      <sheetName val="642P3 JUNTAS"/>
      <sheetName val="650.1"/>
      <sheetName val="650.2"/>
      <sheetName val="650.3"/>
      <sheetName val="650.3 OTRO"/>
      <sheetName val="650.4"/>
      <sheetName val="660.1P"/>
      <sheetName val="660.1"/>
      <sheetName val="660.2"/>
      <sheetName val="660.3"/>
      <sheetName val="661 TIPO 1"/>
      <sheetName val="661 TIPO 2"/>
      <sheetName val="661 OTRO"/>
      <sheetName val="662.1"/>
      <sheetName val="662.2"/>
      <sheetName val="670.1P"/>
      <sheetName val="670.2"/>
      <sheetName val="671"/>
      <sheetName val="672"/>
      <sheetName val="673.1"/>
      <sheetName val="673.2"/>
      <sheetName val="673.3"/>
      <sheetName val="673.4"/>
      <sheetName val="674"/>
      <sheetName val="675.1"/>
      <sheetName val="675.2"/>
      <sheetName val="675.3"/>
      <sheetName val="676"/>
      <sheetName val="680.1"/>
      <sheetName val="680.2"/>
      <sheetName val="680.3"/>
      <sheetName val="680P"/>
      <sheetName val="681"/>
      <sheetName val="680.1P"/>
      <sheetName val="682"/>
      <sheetName val="683P"/>
      <sheetName val="674.1"/>
      <sheetName val="700.1"/>
      <sheetName val="700.2"/>
      <sheetName val="700P BANDAS SONORAS "/>
      <sheetName val="701"/>
      <sheetName val="710.1"/>
      <sheetName val="710.2"/>
      <sheetName val="710.3"/>
      <sheetName val="710.4"/>
      <sheetName val="710.5"/>
      <sheetName val="720"/>
      <sheetName val="730.1"/>
      <sheetName val="730.2"/>
      <sheetName val="730.3"/>
      <sheetName val="740"/>
      <sheetName val="800.1"/>
      <sheetName val="800.2"/>
      <sheetName val="800.3"/>
      <sheetName val="800.4"/>
      <sheetName val="800P"/>
      <sheetName val="810.1"/>
      <sheetName val="810.1P"/>
      <sheetName val="810.2"/>
      <sheetName val="815P"/>
      <sheetName val="900.1"/>
      <sheetName val="900.2"/>
      <sheetName val="900.3"/>
      <sheetName val="610P"/>
      <sheetName val="hexapodos"/>
      <sheetName val="LINEA DE DEMARCACIÓN BASE AGUA"/>
      <sheetName val="TACHA REFLECTIVA"/>
      <sheetName val="SEÑAL VERTICAL DE 75"/>
      <sheetName val="DEFENSA METALICA"/>
      <sheetName val="Hoja1 (2)"/>
      <sheetName val="Hoja2 (2)"/>
      <sheetName val="Hoja3 (2)"/>
      <sheetName val="Hoja1"/>
      <sheetName val="Hoja2"/>
      <sheetName val="Hoja3"/>
      <sheetName val="PR 1"/>
      <sheetName val="PRESENTACIÓN"/>
      <sheetName val="TABLA SALARIOS"/>
      <sheetName val="OFERTA FINAL046"/>
      <sheetName val="OFERTA FINAL 048"/>
      <sheetName val="OFERTA FINAL 049"/>
      <sheetName val="PRESUPUESTO OFERTA 059"/>
      <sheetName val="PRESUPUESTO REAL"/>
      <sheetName val="E"/>
      <sheetName val="M"/>
      <sheetName val="T"/>
      <sheetName val="P"/>
      <sheetName val="OFERTA FINAL 050"/>
      <sheetName val="PRESUPUESTO OFERTA 057"/>
      <sheetName val="201.7"/>
      <sheetName val="201.15"/>
      <sheetName val="201.16"/>
      <sheetName val="210.2.1"/>
      <sheetName val="210.2.2"/>
      <sheetName val="211.1"/>
      <sheetName val="220.1"/>
      <sheetName val="Explo"/>
      <sheetName val="Prod"/>
      <sheetName val="Extend"/>
      <sheetName val="232.1"/>
      <sheetName val="2P"/>
      <sheetName val="310.1"/>
      <sheetName val="311.10"/>
      <sheetName val="221.1P"/>
      <sheetName val="230.1P"/>
      <sheetName val="230.2P"/>
      <sheetName val="231.1"/>
      <sheetName val="320.2  6-"/>
      <sheetName val="330.2  7-"/>
      <sheetName val="320.2  8-"/>
      <sheetName val="450.1.2P"/>
      <sheetName val="330.2 9-"/>
      <sheetName val="420.2 10-"/>
      <sheetName val="450.2P 11-"/>
      <sheetName val="450.9P"/>
      <sheetName val="461.1P 13-"/>
      <sheetName val="465.10 14-"/>
      <sheetName val="466.1"/>
      <sheetName val="467,13P 16-"/>
      <sheetName val="420.2 17-"/>
      <sheetName val="450.2 P 18-"/>
      <sheetName val="461.1P 19-"/>
      <sheetName val="465.10 20-"/>
      <sheetName val="467,13P 21-"/>
      <sheetName val="460.1P"/>
      <sheetName val="500.1"/>
      <sheetName val="501.1"/>
      <sheetName val="500.1P"/>
      <sheetName val="600.1.1"/>
      <sheetName val="600.2.1"/>
      <sheetName val="600.2.3"/>
      <sheetName val="600.2.4"/>
      <sheetName val="600.2.2"/>
      <sheetName val="610.2 "/>
      <sheetName val="621.1  "/>
      <sheetName val="621.1.1 "/>
      <sheetName val="623.1"/>
      <sheetName val="610.5"/>
      <sheetName val="621,1 "/>
      <sheetName val="621,1.1"/>
      <sheetName val="630.3.3P"/>
      <sheetName val="630.1.1P"/>
      <sheetName val="630.3.1P"/>
      <sheetName val="610.3"/>
      <sheetName val="632.1P"/>
      <sheetName val="641.1"/>
      <sheetName val="642.1 (2)"/>
      <sheetName val="642.1.1"/>
      <sheetName val="642.3P"/>
      <sheetName val="661.1"/>
      <sheetName val="681.1"/>
      <sheetName val="663.3P"/>
      <sheetName val="663.1"/>
      <sheetName val="670.5"/>
      <sheetName val="671.1P"/>
      <sheetName val="663.2P"/>
      <sheetName val="670.5P"/>
      <sheetName val="671.1"/>
      <sheetName val="672.1"/>
      <sheetName val="673.2P"/>
      <sheetName val="674.2"/>
      <sheetName val="683.2"/>
      <sheetName val="700.3"/>
      <sheetName val="701.1"/>
      <sheetName val="710.1.1"/>
      <sheetName val="710.1.2"/>
      <sheetName val="720.1"/>
      <sheetName val="740.1"/>
      <sheetName val="801.6P"/>
      <sheetName val="TARIFAS"/>
    </sheetNames>
    <sheetDataSet>
      <sheetData sheetId="0"/>
      <sheetData sheetId="1">
        <row r="7">
          <cell r="A7" t="str">
            <v>Acero A-36 para estructura metalica</v>
          </cell>
        </row>
        <row r="8">
          <cell r="A8" t="str">
            <v>Acero A-37</v>
          </cell>
        </row>
        <row r="9">
          <cell r="A9" t="str">
            <v>Acero A-40</v>
          </cell>
        </row>
        <row r="10">
          <cell r="A10" t="str">
            <v>Acero PDR-60</v>
          </cell>
        </row>
        <row r="11">
          <cell r="A11" t="str">
            <v>Adoquin e=7cm (en obra)</v>
          </cell>
        </row>
        <row r="12">
          <cell r="A12" t="str">
            <v>Adoquin grama 10X20X6 (en obra)</v>
          </cell>
        </row>
        <row r="13">
          <cell r="A13" t="str">
            <v>Adoquin color 10X20X6  (en obra)</v>
          </cell>
        </row>
        <row r="14">
          <cell r="A14" t="str">
            <v>Agregado para concreto hidraulico</v>
          </cell>
        </row>
        <row r="15">
          <cell r="A15" t="str">
            <v>Agregado para tratamiento superf. Doble</v>
          </cell>
        </row>
        <row r="16">
          <cell r="A16" t="str">
            <v>Agregado para tratamiento superf. Simple</v>
          </cell>
        </row>
        <row r="17">
          <cell r="A17" t="str">
            <v>Agregado petreo para mezclas asfálticas</v>
          </cell>
        </row>
        <row r="18">
          <cell r="A18" t="str">
            <v>Agregado petreo para triturar (crudo)</v>
          </cell>
        </row>
        <row r="19">
          <cell r="A19" t="str">
            <v>Agregados seleccionados (tamaño máximo 1") (bandas sonoras reduce velocidad)</v>
          </cell>
        </row>
        <row r="20">
          <cell r="A20" t="str">
            <v>Agregado tipo LA1 (lechadas)</v>
          </cell>
        </row>
        <row r="21">
          <cell r="A21" t="str">
            <v>Agregado tipo LA2 (lechadas)</v>
          </cell>
        </row>
        <row r="22">
          <cell r="A22" t="str">
            <v>Agregado tipo LA3 (lechadas)</v>
          </cell>
        </row>
        <row r="23">
          <cell r="A23" t="str">
            <v>Agregado tipo LA4 (lechadas)</v>
          </cell>
        </row>
        <row r="24">
          <cell r="A24" t="str">
            <v>Agua</v>
          </cell>
        </row>
        <row r="25">
          <cell r="A25" t="str">
            <v>Alambre de pua calibre 12 (340 m)</v>
          </cell>
        </row>
        <row r="26">
          <cell r="A26" t="str">
            <v>Alambre galvanizado No. 12</v>
          </cell>
        </row>
        <row r="27">
          <cell r="A27" t="str">
            <v>Alambre negro para amarre</v>
          </cell>
        </row>
        <row r="28">
          <cell r="A28" t="str">
            <v>Almohadillas de neopreno dureza 60 (35cm*45cm*5cm con 2 laminas de 3mm)</v>
          </cell>
        </row>
        <row r="29">
          <cell r="A29" t="str">
            <v>Amortiguadores</v>
          </cell>
        </row>
        <row r="30">
          <cell r="A30" t="str">
            <v>Aditivo (Retardante plastificante redutor de fraguado) (sikament 320)</v>
          </cell>
        </row>
        <row r="31">
          <cell r="A31" t="str">
            <v>Aditivo (Acelerante plastificante para concretos (plastocrete 169 HE)</v>
          </cell>
        </row>
        <row r="32">
          <cell r="A32" t="str">
            <v>Anfo</v>
          </cell>
        </row>
        <row r="33">
          <cell r="A33" t="str">
            <v>Angulo de 1-1/2" x 1/4" (cerramiento en malla)</v>
          </cell>
        </row>
        <row r="34">
          <cell r="A34" t="str">
            <v>Antisol blanco (presentacion 20 kg)</v>
          </cell>
        </row>
        <row r="35">
          <cell r="A35" t="str">
            <v>Arbol de 1.2 m</v>
          </cell>
        </row>
        <row r="36">
          <cell r="A36" t="str">
            <v>Arbol de 0.6 m</v>
          </cell>
        </row>
        <row r="37">
          <cell r="A37" t="str">
            <v>Arena de sello (fina)</v>
          </cell>
        </row>
        <row r="38">
          <cell r="A38" t="str">
            <v>Arena de soporte (media)</v>
          </cell>
        </row>
        <row r="39">
          <cell r="A39" t="str">
            <v>Arena de trituracion (sellos de arena-afalto)</v>
          </cell>
        </row>
        <row r="40">
          <cell r="A40" t="str">
            <v>Arena lavada</v>
          </cell>
        </row>
        <row r="41">
          <cell r="A41" t="str">
            <v>Asfalto AP 190 (BREA)</v>
          </cell>
        </row>
        <row r="42">
          <cell r="A42" t="str">
            <v>Asfalto liquido RC 250</v>
          </cell>
        </row>
        <row r="43">
          <cell r="A43" t="str">
            <v>Barras de transferencia de carga</v>
          </cell>
        </row>
        <row r="44">
          <cell r="A44" t="str">
            <v>Barras de unión de 1/2"</v>
          </cell>
        </row>
        <row r="45">
          <cell r="A45" t="str">
            <v>Bentonita</v>
          </cell>
        </row>
        <row r="46">
          <cell r="A46" t="str">
            <v>Biomanto</v>
          </cell>
        </row>
        <row r="47">
          <cell r="A47" t="str">
            <v>Bolsacreto de 1m3</v>
          </cell>
        </row>
        <row r="48">
          <cell r="A48" t="str">
            <v>Cal</v>
          </cell>
        </row>
        <row r="49">
          <cell r="A49" t="str">
            <v>Cable de 1/2" (para anclajes)</v>
          </cell>
        </row>
        <row r="50">
          <cell r="A50" t="str">
            <v>Camisa metálica en acero A-37</v>
          </cell>
        </row>
        <row r="51">
          <cell r="A51" t="str">
            <v>Camisas y Formaleta en Concreto</v>
          </cell>
        </row>
        <row r="52">
          <cell r="A52" t="str">
            <v>Captafaro</v>
          </cell>
        </row>
        <row r="53">
          <cell r="A53" t="str">
            <v>Cemento Asfaltico 60-70</v>
          </cell>
        </row>
        <row r="54">
          <cell r="A54" t="str">
            <v>Cemento Asfaltico 80-100</v>
          </cell>
        </row>
        <row r="55">
          <cell r="A55" t="str">
            <v>Cemento asfaltico modificado con polimeros tipo I</v>
          </cell>
        </row>
        <row r="56">
          <cell r="A56" t="str">
            <v>Cemento asfaltico modificado con polimeros tipo II</v>
          </cell>
        </row>
        <row r="57">
          <cell r="A57" t="str">
            <v>Cemento asfaltico modificado con polimeros tipo III</v>
          </cell>
        </row>
        <row r="58">
          <cell r="A58" t="str">
            <v>Cemento asfaltico modificado con polimeros tipo IV</v>
          </cell>
        </row>
        <row r="59">
          <cell r="A59" t="str">
            <v>Cemento gris</v>
          </cell>
        </row>
        <row r="60">
          <cell r="A60" t="str">
            <v>Cespedones</v>
          </cell>
        </row>
        <row r="61">
          <cell r="A61" t="str">
            <v>Cicatrizante (para remoción de especies vegetales)</v>
          </cell>
        </row>
        <row r="62">
          <cell r="A62" t="str">
            <v>Cintilla de poliuretano (sikarod)</v>
          </cell>
        </row>
        <row r="63">
          <cell r="A63" t="str">
            <v>Cinta Sika PVC 0,22</v>
          </cell>
        </row>
        <row r="64">
          <cell r="A64" t="str">
            <v>Concreto clase A</v>
          </cell>
        </row>
        <row r="65">
          <cell r="A65" t="str">
            <v>Concreto clase B</v>
          </cell>
        </row>
        <row r="66">
          <cell r="A66" t="str">
            <v>Concreto clase  C</v>
          </cell>
        </row>
        <row r="67">
          <cell r="A67" t="str">
            <v>Concreto clase D (tremie)</v>
          </cell>
        </row>
        <row r="68">
          <cell r="A68" t="str">
            <v>Concreto hidraulico para pavimento MR-43</v>
          </cell>
        </row>
        <row r="69">
          <cell r="A69" t="str">
            <v>Concreto hidraulico para pavimento MR-43 (FastracK)(acelerado a 24 horas)</v>
          </cell>
        </row>
        <row r="70">
          <cell r="A70" t="str">
            <v>Cordón detonante</v>
          </cell>
        </row>
        <row r="71">
          <cell r="A71" t="str">
            <v>Costal de fibra o fique</v>
          </cell>
        </row>
        <row r="72">
          <cell r="A72" t="str">
            <v>Cuñas para el tensionamiento</v>
          </cell>
        </row>
        <row r="73">
          <cell r="A73" t="str">
            <v>Derechos de explotación y o disposición de materiales</v>
          </cell>
        </row>
        <row r="74">
          <cell r="A74" t="str">
            <v xml:space="preserve">Disposición de material de derrumbe </v>
          </cell>
        </row>
        <row r="75">
          <cell r="A75" t="str">
            <v>Disolvente para pintura (especificar el tipo de disolvente que está utilizando) thiner</v>
          </cell>
        </row>
        <row r="76">
          <cell r="A76" t="str">
            <v>Disolvente para pintura (especificar el tipo de disolvente que está utilizando) varsol</v>
          </cell>
        </row>
        <row r="77">
          <cell r="A77" t="str">
            <v>Ductos para tensionimiento</v>
          </cell>
        </row>
        <row r="78">
          <cell r="A78" t="str">
            <v>Emulsión CRM</v>
          </cell>
        </row>
        <row r="79">
          <cell r="A79" t="str">
            <v>Emulsión modificada con polimeros CRMm</v>
          </cell>
        </row>
        <row r="80">
          <cell r="A80" t="str">
            <v>Emulsión CRL-0</v>
          </cell>
        </row>
        <row r="81">
          <cell r="A81" t="str">
            <v>Emulsión CRL-1</v>
          </cell>
        </row>
        <row r="82">
          <cell r="A82" t="str">
            <v>Emulsión CRL-1h</v>
          </cell>
        </row>
        <row r="83">
          <cell r="A83" t="str">
            <v>Emulsión CRL-1hm</v>
          </cell>
        </row>
        <row r="84">
          <cell r="A84" t="str">
            <v>Emulsión CRR-1</v>
          </cell>
        </row>
        <row r="85">
          <cell r="A85" t="str">
            <v>Emulsión CRR-2</v>
          </cell>
        </row>
        <row r="86">
          <cell r="A86" t="str">
            <v>Emulsión CRR-1m</v>
          </cell>
        </row>
        <row r="87">
          <cell r="A87" t="str">
            <v>Emulsión CRR-2m</v>
          </cell>
        </row>
        <row r="88">
          <cell r="A88" t="str">
            <v>Esferas reflectivas</v>
          </cell>
        </row>
        <row r="89">
          <cell r="A89" t="str">
            <v>Estacas, Pintura, Tachuelas, Hilo (localización de estructuras y carreteras)</v>
          </cell>
        </row>
        <row r="90">
          <cell r="A90" t="str">
            <v>Explosivos  75% (INDUGEL)</v>
          </cell>
        </row>
        <row r="91">
          <cell r="A91" t="str">
            <v>Formaleta (gaviones, juntas de bordillos, juntas de cunetas, muros, concretos clase D,E, F y G)</v>
          </cell>
        </row>
        <row r="92">
          <cell r="A92" t="str">
            <v>Formaleta concreto clase A,B y C</v>
          </cell>
        </row>
        <row r="93">
          <cell r="A93" t="str">
            <v>Formaleta para baranda de concreto</v>
          </cell>
        </row>
        <row r="94">
          <cell r="A94" t="str">
            <v>Formaleta para muros</v>
          </cell>
        </row>
        <row r="95">
          <cell r="A95" t="str">
            <v>Formaleta, platina y accesorios (escamas en concreto)</v>
          </cell>
        </row>
        <row r="96">
          <cell r="A96" t="str">
            <v>Fulminantes</v>
          </cell>
        </row>
        <row r="97">
          <cell r="A97" t="str">
            <v>Fundente</v>
          </cell>
        </row>
        <row r="98">
          <cell r="A98" t="str">
            <v>Gas propano</v>
          </cell>
        </row>
        <row r="99">
          <cell r="A99" t="str">
            <v>Geoterxtil T-2400 o similar (provedores Lafayet, Tensar, Omnes u otros)</v>
          </cell>
        </row>
        <row r="100">
          <cell r="A100" t="str">
            <v>Geotextil NT-2500 o similar (provedores, Tensar, Omnes u otros)</v>
          </cell>
        </row>
        <row r="101">
          <cell r="A101" t="str">
            <v>Geotextil NT REPAV 450 o similar (provedores Lafayet, Tensar, Omnes u otros)</v>
          </cell>
        </row>
        <row r="102">
          <cell r="A102" t="str">
            <v>Geotextil T-2100 o similar (provedores Lafayet, Tensar, Omnes u otros)</v>
          </cell>
        </row>
        <row r="103">
          <cell r="A103" t="str">
            <v>Grapas</v>
          </cell>
        </row>
        <row r="104">
          <cell r="A104" t="str">
            <v>Lechada para ductos (tensionamiento)</v>
          </cell>
        </row>
        <row r="105">
          <cell r="A105" t="str">
            <v>Limpiador 1/4 de galón (anclajes)</v>
          </cell>
        </row>
        <row r="106">
          <cell r="A106" t="str">
            <v>Listón en guadua para empradizar</v>
          </cell>
        </row>
        <row r="107">
          <cell r="A107" t="str">
            <v>Manguera de polietileno de 3"</v>
          </cell>
        </row>
        <row r="108">
          <cell r="A108" t="str">
            <v>Malla para gaviones (2M3)</v>
          </cell>
        </row>
        <row r="109">
          <cell r="A109" t="str">
            <v>Malla eslabonada, calibre 10, 6 ojos</v>
          </cell>
        </row>
        <row r="110">
          <cell r="A110" t="str">
            <v>Material de afirmado</v>
          </cell>
        </row>
        <row r="111">
          <cell r="A111" t="str">
            <v>Material de afirmado de la zona</v>
          </cell>
        </row>
        <row r="112">
          <cell r="A112" t="str">
            <v>Material de base</v>
          </cell>
        </row>
        <row r="113">
          <cell r="A113" t="str">
            <v>Material de la zona (para estabilizar bases)</v>
          </cell>
        </row>
        <row r="114">
          <cell r="A114" t="str">
            <v>Material de base (gradación 1)</v>
          </cell>
        </row>
        <row r="115">
          <cell r="A115" t="str">
            <v>Material de base (gradación 2)</v>
          </cell>
        </row>
        <row r="116">
          <cell r="A116" t="str">
            <v>Material de base (gradación 3)</v>
          </cell>
        </row>
        <row r="117">
          <cell r="A117" t="str">
            <v>Material para pedraplén</v>
          </cell>
        </row>
        <row r="118">
          <cell r="A118" t="str">
            <v>Material de Sub- Base para bacheo</v>
          </cell>
        </row>
        <row r="119">
          <cell r="A119" t="str">
            <v>Material de Sub- Base CBR=20%</v>
          </cell>
        </row>
        <row r="120">
          <cell r="A120" t="str">
            <v>Material de Sub- Base CBR=30%</v>
          </cell>
        </row>
        <row r="121">
          <cell r="A121" t="str">
            <v>Material de Sub- Base CBR=40%</v>
          </cell>
        </row>
        <row r="122">
          <cell r="A122" t="str">
            <v>Material seleccionado del Relleno</v>
          </cell>
        </row>
        <row r="123">
          <cell r="A123" t="str">
            <v>Material drenante (3")</v>
          </cell>
        </row>
        <row r="124">
          <cell r="A124" t="str">
            <v>Material filtrante (6")</v>
          </cell>
        </row>
        <row r="125">
          <cell r="A125" t="str">
            <v>Mecha Lenta</v>
          </cell>
        </row>
        <row r="126">
          <cell r="A126" t="str">
            <v>Mezcla abierta en caliente MAC-1</v>
          </cell>
        </row>
        <row r="127">
          <cell r="A127" t="str">
            <v>Mezcla abierta en caliente MAC-2</v>
          </cell>
        </row>
        <row r="128">
          <cell r="A128" t="str">
            <v>Mezcla abierta en caliente MAC-3</v>
          </cell>
        </row>
        <row r="129">
          <cell r="A129" t="str">
            <v>mezcla abierta en frio MAF-1</v>
          </cell>
        </row>
        <row r="130">
          <cell r="A130" t="str">
            <v>mezcla abierta en frio MAF-2</v>
          </cell>
        </row>
        <row r="131">
          <cell r="A131" t="str">
            <v>mezcla abierta en frio MAF-3</v>
          </cell>
        </row>
        <row r="132">
          <cell r="A132" t="str">
            <v>Mezcla densa en caliente MDC-0</v>
          </cell>
        </row>
        <row r="133">
          <cell r="A133" t="str">
            <v>Mezcla densa en caliente MDC-1</v>
          </cell>
        </row>
        <row r="134">
          <cell r="A134" t="str">
            <v>Mezcla densa en caliente MDC-2</v>
          </cell>
        </row>
        <row r="135">
          <cell r="A135" t="str">
            <v>Mezcla densa en caliente MDC-3</v>
          </cell>
        </row>
        <row r="136">
          <cell r="A136" t="str">
            <v>Mezcla densa en frio MDF-1</v>
          </cell>
        </row>
        <row r="137">
          <cell r="A137" t="str">
            <v>Mezcla densa en frio MDF-2</v>
          </cell>
        </row>
        <row r="138">
          <cell r="A138" t="str">
            <v>Mezcla densa en frio MDF-3</v>
          </cell>
        </row>
        <row r="139">
          <cell r="A139" t="str">
            <v>Mezcla discontinua en caliente M-1</v>
          </cell>
        </row>
        <row r="140">
          <cell r="A140" t="str">
            <v>Mezcla discontinua en caliente M-2</v>
          </cell>
        </row>
        <row r="141">
          <cell r="A141" t="str">
            <v>Mezcla discontinua en caliente F-1</v>
          </cell>
        </row>
        <row r="142">
          <cell r="A142" t="str">
            <v>Mezcla discontinua en caliente F-2</v>
          </cell>
        </row>
        <row r="143">
          <cell r="A143" t="str">
            <v>Nutrientes (para remoción de especies vegetales) (dap, triple 15 o similar) (item 201.9)</v>
          </cell>
        </row>
        <row r="144">
          <cell r="A144" t="str">
            <v>Obra falsa concreto clase A, B Y C (puntal de 3m metálico)</v>
          </cell>
        </row>
        <row r="145">
          <cell r="A145" t="str">
            <v>Oxigeno industrial</v>
          </cell>
        </row>
        <row r="146">
          <cell r="A146" t="str">
            <v>Paral en madera rolliza de 3" (tablestacados)</v>
          </cell>
        </row>
        <row r="147">
          <cell r="A147" t="str">
            <v>Paral en madera rolliza de 6" y 5m de longitud (tablestacados)</v>
          </cell>
        </row>
        <row r="148">
          <cell r="A148" t="str">
            <v>Paral en madera rolliza de 5" y 4,5m de longitud (tablestacados)</v>
          </cell>
        </row>
        <row r="149">
          <cell r="A149" t="str">
            <v>Paral en madera rolliza de 6" y 8m de longitud (tablestacados)</v>
          </cell>
        </row>
        <row r="150">
          <cell r="A150" t="str">
            <v>Pegante epóxico</v>
          </cell>
        </row>
        <row r="151">
          <cell r="A151" t="str">
            <v>Piedra para concreto ciclópeo (rajón o canto rodado)</v>
          </cell>
        </row>
        <row r="152">
          <cell r="A152" t="str">
            <v>Piedra para gavión</v>
          </cell>
        </row>
        <row r="153">
          <cell r="A153" t="str">
            <v>Pintura acrilica pura para tráfico</v>
          </cell>
        </row>
        <row r="154">
          <cell r="A154" t="str">
            <v>Pintura anticorrosiva</v>
          </cell>
        </row>
        <row r="155">
          <cell r="A155" t="str">
            <v xml:space="preserve">Pintura acrilica, esmalte o similar </v>
          </cell>
        </row>
        <row r="156">
          <cell r="A156" t="str">
            <v>Pilote en madera barbosco de 15*15</v>
          </cell>
        </row>
        <row r="157">
          <cell r="A157" t="str">
            <v>Platina de 1" x 1/4" (cerramiento en malla)</v>
          </cell>
        </row>
        <row r="158">
          <cell r="A158" t="str">
            <v xml:space="preserve">Poste de madera para cercas </v>
          </cell>
        </row>
        <row r="159">
          <cell r="A159" t="str">
            <v>Poste kilometraje</v>
          </cell>
        </row>
        <row r="160">
          <cell r="A160" t="str">
            <v>Poste en angulo de 2*2*1/4 de 3,5m para señal</v>
          </cell>
        </row>
        <row r="161">
          <cell r="A161" t="str">
            <v>Postes de concreto para cercas</v>
          </cell>
        </row>
        <row r="162">
          <cell r="A162" t="str">
            <v>Postes para defensa metálica (1,80m)</v>
          </cell>
        </row>
        <row r="163">
          <cell r="A163" t="str">
            <v>Quimico estabilizante (PROBASE)</v>
          </cell>
        </row>
        <row r="164">
          <cell r="A164" t="str">
            <v xml:space="preserve">Resina termoplastica </v>
          </cell>
        </row>
        <row r="165">
          <cell r="A165" t="str">
            <v>Salida en PVC D=2"</v>
          </cell>
        </row>
        <row r="166">
          <cell r="A166" t="str">
            <v>Sección final de defensa metálica</v>
          </cell>
        </row>
        <row r="167">
          <cell r="A167" t="str">
            <v>Sello de silicona o sellador autonivelante</v>
          </cell>
        </row>
        <row r="168">
          <cell r="A168" t="str">
            <v>Semillas para empradizar</v>
          </cell>
        </row>
        <row r="169">
          <cell r="A169" t="str">
            <v xml:space="preserve">Señal (grupo 2). Tablero en lámina galvanizado de 1,2m*0,4m, calibre 16, reflectivo tipo 1. </v>
          </cell>
        </row>
        <row r="170">
          <cell r="A170" t="str">
            <v>Señal (grupo 1). Tablero en lámina galvanizada de 75cm*75cm, calibre 16, reflectivo tipo 1</v>
          </cell>
        </row>
        <row r="171">
          <cell r="A171" t="str">
            <v xml:space="preserve">Señal (grupo 5). Tablero en lámina galvanizado de 0,90m*1,13m, calibre 16, reflectivo tipo 1. </v>
          </cell>
        </row>
        <row r="172">
          <cell r="A172" t="str">
            <v>Señal (grupo 4). Tablero en lámina galvanizado de 60cm*75cm, calibre 16, reflectivo tipo 1. (delineador de curva horizontal)</v>
          </cell>
        </row>
        <row r="173">
          <cell r="A173" t="str">
            <v xml:space="preserve">Señal (grupo 3 ferrocarril) (SP-54). Tablero en lámina galvanizado de 2,4m*0,3m, calibre 16, reflectivo tipo 1. </v>
          </cell>
        </row>
        <row r="174">
          <cell r="A174" t="str">
            <v>Soldadura 6013 de 1/8</v>
          </cell>
        </row>
        <row r="175">
          <cell r="A175" t="str">
            <v>Soldadura en PVC 1/8 de galón (anclajes)</v>
          </cell>
        </row>
        <row r="176">
          <cell r="A176" t="str">
            <v>Soldadura 7018</v>
          </cell>
        </row>
        <row r="177">
          <cell r="A177" t="str">
            <v>Soldadura L-70</v>
          </cell>
        </row>
        <row r="178">
          <cell r="A178" t="str">
            <v>Superplastificante Sikament</v>
          </cell>
        </row>
        <row r="179">
          <cell r="A179" t="str">
            <v>Tablestaca en madera aserrada (0,25*0,05*3)</v>
          </cell>
        </row>
        <row r="180">
          <cell r="A180" t="str">
            <v>Tablestaca en madera aserrada (0,3*0,03*3)</v>
          </cell>
        </row>
        <row r="181">
          <cell r="A181" t="str">
            <v>Tablestaca metálica (riel de 70 lb/yarda)</v>
          </cell>
        </row>
        <row r="182">
          <cell r="A182" t="str">
            <v>Tacha reflectiva</v>
          </cell>
        </row>
        <row r="183">
          <cell r="A183" t="str">
            <v>Tapón en PVC RD21 de 1" (para anclaje)</v>
          </cell>
        </row>
        <row r="184">
          <cell r="A184" t="str">
            <v xml:space="preserve">Tierra abonada </v>
          </cell>
        </row>
        <row r="185">
          <cell r="A185" t="str">
            <v>Tornillos para defensa metálica</v>
          </cell>
        </row>
        <row r="186">
          <cell r="A186" t="str">
            <v>Torón de tensionmiento 1/2" o 5/8"</v>
          </cell>
        </row>
        <row r="187">
          <cell r="A187" t="str">
            <v>Tramo recto para defensas métalicas (3,81m)</v>
          </cell>
        </row>
        <row r="188">
          <cell r="A188" t="str">
            <v>Trompetas de 12 torones (tensionamiento)</v>
          </cell>
        </row>
        <row r="189">
          <cell r="A189" t="str">
            <v>Tubería D=4" tipo pesado, E=2mm (baranda metálica)</v>
          </cell>
        </row>
        <row r="190">
          <cell r="A190" t="str">
            <v>Tubería en H de D=1/4", H=1.40m, A=0.20m (baranda metálica)</v>
          </cell>
        </row>
        <row r="191">
          <cell r="A191" t="str">
            <v>Tuberia Perforada en PVC de 2"</v>
          </cell>
        </row>
        <row r="192">
          <cell r="A192" t="str">
            <v>Tuberia PVC RD21 de 1" (para anclajes)</v>
          </cell>
        </row>
        <row r="193">
          <cell r="A193" t="str">
            <v>Tuberia PVC de 1" (para escamas en concreto)</v>
          </cell>
        </row>
        <row r="194">
          <cell r="A194" t="str">
            <v>Tuberia de 10" PAA vaciado tremi de 4 mts</v>
          </cell>
        </row>
        <row r="195">
          <cell r="A195" t="str">
            <v>Tubo concreto reforzado 900mm (tipo 1)</v>
          </cell>
        </row>
        <row r="196">
          <cell r="A196" t="str">
            <v>Tubo concreto reforzado 900mm (tipo 2)</v>
          </cell>
        </row>
        <row r="197">
          <cell r="A197" t="str">
            <v>Tubo concreto simple 450 mm</v>
          </cell>
        </row>
        <row r="198">
          <cell r="A198" t="str">
            <v>Tubo concreto simple 600 mm</v>
          </cell>
        </row>
        <row r="199">
          <cell r="A199" t="str">
            <v>Tubo concreto simple 750 mm</v>
          </cell>
        </row>
        <row r="200">
          <cell r="A200" t="str">
            <v>Tubo corrugado de acero galvanizado MP-68</v>
          </cell>
        </row>
        <row r="201">
          <cell r="A201" t="str">
            <v>Tubo para cerramiento, calibre 16 de 2,7m (cerramientos en malla)</v>
          </cell>
        </row>
        <row r="202">
          <cell r="A202" t="str">
            <v>Unión en PVC RD21 de 1" (para anclajes)</v>
          </cell>
        </row>
        <row r="203">
          <cell r="A203" t="str">
            <v>Unión en PVC D=2"</v>
          </cell>
        </row>
        <row r="204">
          <cell r="A204" t="str">
            <v>ADOQUIN DE ARCILLA</v>
          </cell>
        </row>
        <row r="205">
          <cell r="A205" t="str">
            <v>tubo concreto simple de 200mm</v>
          </cell>
        </row>
        <row r="206">
          <cell r="A206" t="str">
            <v>Seccion de Tope</v>
          </cell>
        </row>
        <row r="207">
          <cell r="A207" t="str">
            <v>Sikadur 32 primer</v>
          </cell>
        </row>
        <row r="208">
          <cell r="A208" t="str">
            <v>junta elastomerica m100</v>
          </cell>
        </row>
        <row r="209">
          <cell r="A209" t="str">
            <v>oxigeno y acetileno</v>
          </cell>
        </row>
        <row r="210">
          <cell r="A210" t="str">
            <v>disco de diamante</v>
          </cell>
        </row>
        <row r="211">
          <cell r="A211" t="str">
            <v>brocas tugsteno</v>
          </cell>
        </row>
        <row r="212">
          <cell r="A212" t="str">
            <v>perno d=18mm, l=200mm, tuerca y arandela en acero de alta resistencia</v>
          </cell>
        </row>
        <row r="213">
          <cell r="A213" t="str">
            <v>mortero alta resistencia (incluye fibra de nylon)</v>
          </cell>
        </row>
        <row r="214">
          <cell r="A214" t="str">
            <v>epoxico re-500 hil ti</v>
          </cell>
        </row>
        <row r="216">
          <cell r="A216" t="str">
            <v>pintura acrilica base agua</v>
          </cell>
        </row>
        <row r="217">
          <cell r="A217" t="str">
            <v>Estoperol</v>
          </cell>
        </row>
        <row r="218">
          <cell r="A218" t="str">
            <v>malla para colchogaviones</v>
          </cell>
        </row>
        <row r="219">
          <cell r="A219" t="str">
            <v>geotextil separar suelos</v>
          </cell>
        </row>
        <row r="222">
          <cell r="A222" t="str">
            <v>LÁMINA GALVANIZADA CAL 16</v>
          </cell>
        </row>
        <row r="223">
          <cell r="A223" t="str">
            <v>PAPEL REFLECTIVO GRADO INGENIERIA</v>
          </cell>
        </row>
        <row r="224">
          <cell r="A224" t="str">
            <v>ANGULO DE 2 X 1/4</v>
          </cell>
        </row>
        <row r="225">
          <cell r="A225" t="str">
            <v>ANGULO DE 2 X 1/8</v>
          </cell>
        </row>
        <row r="226">
          <cell r="A226" t="str">
            <v>TORNILLOS Y REMACHES</v>
          </cell>
        </row>
        <row r="227">
          <cell r="A227" t="str">
            <v>PINTURA EN POLVO</v>
          </cell>
        </row>
        <row r="228">
          <cell r="A228" t="str">
            <v>PINTURA ESMALTE</v>
          </cell>
        </row>
        <row r="229">
          <cell r="A229" t="str">
            <v>SOLDADURA</v>
          </cell>
        </row>
      </sheetData>
      <sheetData sheetId="2">
        <row r="7">
          <cell r="A7" t="str">
            <v>Aspersor manual</v>
          </cell>
        </row>
        <row r="8">
          <cell r="A8" t="str">
            <v>Barredora mecánica de cepillo</v>
          </cell>
        </row>
        <row r="9">
          <cell r="A9" t="str">
            <v>Bomba de inyección de lechada</v>
          </cell>
        </row>
        <row r="10">
          <cell r="A10" t="str">
            <v>Bomba para gato de tensionamiento</v>
          </cell>
        </row>
        <row r="11">
          <cell r="A11" t="str">
            <v>Bomba de concreto</v>
          </cell>
        </row>
        <row r="12">
          <cell r="A12" t="str">
            <v>Buldozer D4</v>
          </cell>
        </row>
        <row r="13">
          <cell r="A13" t="str">
            <v>Buldozer D6</v>
          </cell>
        </row>
        <row r="14">
          <cell r="A14" t="str">
            <v>Buldozer D8 (incluido Ripper)</v>
          </cell>
        </row>
        <row r="15">
          <cell r="A15" t="str">
            <v>Calentador a gas</v>
          </cell>
        </row>
        <row r="16">
          <cell r="A16" t="str">
            <v>Camion 350</v>
          </cell>
        </row>
        <row r="17">
          <cell r="A17" t="str">
            <v>Camioneta D-300</v>
          </cell>
        </row>
        <row r="18">
          <cell r="A18" t="str">
            <v>Camión de Slurry</v>
          </cell>
        </row>
        <row r="19">
          <cell r="A19" t="str">
            <v>Cargador 920 o equivalente</v>
          </cell>
        </row>
        <row r="20">
          <cell r="A20" t="str">
            <v>Cargador 930 o equivalente</v>
          </cell>
        </row>
        <row r="21">
          <cell r="A21" t="str">
            <v>Carrotanque de agua (10000 galones)</v>
          </cell>
        </row>
        <row r="22">
          <cell r="A22" t="str">
            <v>Carrotanque Irrigador de asfalto</v>
          </cell>
        </row>
        <row r="23">
          <cell r="A23" t="str">
            <v>Cizalla</v>
          </cell>
        </row>
        <row r="24">
          <cell r="A24" t="str">
            <v>Compactador Benitin</v>
          </cell>
        </row>
        <row r="25">
          <cell r="A25" t="str">
            <v>Compactador manual (RANA)</v>
          </cell>
        </row>
        <row r="26">
          <cell r="A26" t="str">
            <v>Compactador manual (SALTARIN)</v>
          </cell>
        </row>
        <row r="27">
          <cell r="A27" t="str">
            <v>Compactador manual de rodillo</v>
          </cell>
        </row>
        <row r="28">
          <cell r="A28" t="str">
            <v>Compactador vibratorio tipo DD-20</v>
          </cell>
        </row>
        <row r="29">
          <cell r="A29" t="str">
            <v>Compactador manual vibratorio (CANGURO) (Apisonadores)</v>
          </cell>
        </row>
        <row r="30">
          <cell r="A30" t="str">
            <v>Compactador neumatico</v>
          </cell>
        </row>
        <row r="31">
          <cell r="A31" t="str">
            <v>Compresor 125 pies 3 con martillo</v>
          </cell>
        </row>
        <row r="32">
          <cell r="A32" t="str">
            <v>Compresor 250 pies 3 con martillo</v>
          </cell>
        </row>
        <row r="33">
          <cell r="A33" t="str">
            <v>Compresor (barrido y soplado)</v>
          </cell>
        </row>
        <row r="34">
          <cell r="A34" t="str">
            <v>Compresor para penetrar roca</v>
          </cell>
        </row>
        <row r="35">
          <cell r="A35" t="str">
            <v>Cortadora de pavimento</v>
          </cell>
        </row>
        <row r="36">
          <cell r="A36" t="str">
            <v>Diferencial de 2 ton.</v>
          </cell>
        </row>
        <row r="37">
          <cell r="A37" t="str">
            <v>Diferencial de 3 ton</v>
          </cell>
        </row>
        <row r="38">
          <cell r="A38" t="str">
            <v>Equipo de control (bandas sonoras reduce velocidad) (Termohigometros, Termómetros, Galgas, etc)</v>
          </cell>
        </row>
        <row r="39">
          <cell r="A39" t="str">
            <v>Equipo de oxicorte</v>
          </cell>
        </row>
        <row r="40">
          <cell r="A40" t="str">
            <v>Equipo de perforación (TRACKDRILL)</v>
          </cell>
        </row>
        <row r="41">
          <cell r="A41" t="str">
            <v>Equipo de pintura (Compresor)</v>
          </cell>
        </row>
        <row r="42">
          <cell r="A42" t="str">
            <v>Equipo de soldadura 250 AMP</v>
          </cell>
        </row>
        <row r="43">
          <cell r="A43" t="str">
            <v>euipo de soldadura 400</v>
          </cell>
        </row>
        <row r="44">
          <cell r="A44" t="str">
            <v>euipo de soldadura 600</v>
          </cell>
        </row>
        <row r="45">
          <cell r="A45" t="str">
            <v>Equipo de topografía</v>
          </cell>
        </row>
        <row r="46">
          <cell r="A46" t="str">
            <v>Equipo manual aplicador (bandas sonoras reduce velocidad)</v>
          </cell>
        </row>
        <row r="47">
          <cell r="A47" t="str">
            <v>Esparcidor de gravilla (INCLUYE VOLQUETA)</v>
          </cell>
        </row>
        <row r="48">
          <cell r="A48" t="str">
            <v>Estación</v>
          </cell>
        </row>
        <row r="49">
          <cell r="A49" t="str">
            <v>Formaleta metálica (concreto hidraulico)</v>
          </cell>
        </row>
        <row r="50">
          <cell r="A50" t="str">
            <v>Formaleta metálica (tuberia de concreto reforzado)</v>
          </cell>
        </row>
        <row r="51">
          <cell r="A51" t="str">
            <v>Formaleta para camisa de pilote</v>
          </cell>
        </row>
        <row r="52">
          <cell r="A52" t="str">
            <v>Fresadora de pavimento</v>
          </cell>
        </row>
        <row r="53">
          <cell r="A53" t="str">
            <v>Fresadora y recicladora de pavimento</v>
          </cell>
        </row>
        <row r="54">
          <cell r="A54" t="str">
            <v>Gato para tensionamiento</v>
          </cell>
        </row>
        <row r="55">
          <cell r="A55" t="str">
            <v>Grua 10 ton</v>
          </cell>
        </row>
        <row r="56">
          <cell r="A56" t="str">
            <v>Grua (capacidad 15 ton)</v>
          </cell>
        </row>
        <row r="57">
          <cell r="A57" t="str">
            <v>Grua con torre</v>
          </cell>
        </row>
        <row r="58">
          <cell r="A58" t="str">
            <v>Grua telescópica</v>
          </cell>
        </row>
        <row r="59">
          <cell r="A59" t="str">
            <v>Guadañadora</v>
          </cell>
        </row>
        <row r="60">
          <cell r="A60" t="str">
            <v>Maquina térmica pegatachas</v>
          </cell>
        </row>
        <row r="61">
          <cell r="A61" t="str">
            <v>Mezcladora de concreto (1bulto)</v>
          </cell>
        </row>
        <row r="62">
          <cell r="A62" t="str">
            <v>Montacargas</v>
          </cell>
        </row>
        <row r="63">
          <cell r="A63" t="str">
            <v>Motobomba 3 PULGADAS</v>
          </cell>
        </row>
        <row r="64">
          <cell r="A64" t="str">
            <v>Motobomba 4 PULGADAS</v>
          </cell>
        </row>
        <row r="65">
          <cell r="A65" t="str">
            <v>Motobomba 6" DIAMETRO DE BOMBEO DE 2M³/SEG.</v>
          </cell>
        </row>
        <row r="66">
          <cell r="A66" t="str">
            <v>Motobomba de concreto</v>
          </cell>
        </row>
        <row r="67">
          <cell r="A67" t="str">
            <v>Motoniveladora</v>
          </cell>
        </row>
        <row r="68">
          <cell r="A68" t="str">
            <v>Motosierra</v>
          </cell>
        </row>
        <row r="69">
          <cell r="A69" t="str">
            <v>Pala auxiliar de piloteadora</v>
          </cell>
        </row>
        <row r="70">
          <cell r="A70" t="str">
            <v>Pala grua con martillos</v>
          </cell>
        </row>
        <row r="71">
          <cell r="A71" t="str">
            <v>Piloteadora</v>
          </cell>
        </row>
        <row r="72">
          <cell r="A72" t="str">
            <v>Planta de asfalto en caliente</v>
          </cell>
        </row>
        <row r="73">
          <cell r="A73" t="str">
            <v>Planta de asfalto en frio</v>
          </cell>
        </row>
        <row r="74">
          <cell r="A74" t="str">
            <v xml:space="preserve">Planta eléctrica </v>
          </cell>
        </row>
        <row r="75">
          <cell r="A75" t="str">
            <v>Planta trituradora</v>
          </cell>
        </row>
        <row r="76">
          <cell r="A76" t="str">
            <v>Pluma capacidad 100 kg</v>
          </cell>
        </row>
        <row r="77">
          <cell r="A77" t="str">
            <v>Pulidora (8500 REV)</v>
          </cell>
        </row>
        <row r="78">
          <cell r="A78" t="str">
            <v>Pulvimixer</v>
          </cell>
        </row>
        <row r="79">
          <cell r="A79" t="str">
            <v>Regla vibratoria L=3m</v>
          </cell>
        </row>
        <row r="80">
          <cell r="A80" t="str">
            <v>Recicladora</v>
          </cell>
        </row>
        <row r="81">
          <cell r="A81" t="str">
            <v>Retrocargador</v>
          </cell>
        </row>
        <row r="82">
          <cell r="A82" t="str">
            <v>Retroexcavadora CAT 320</v>
          </cell>
        </row>
        <row r="83">
          <cell r="A83" t="str">
            <v xml:space="preserve">Retrocargador CAT 510 </v>
          </cell>
        </row>
        <row r="84">
          <cell r="A84" t="str">
            <v>Retroexcavadora A25C</v>
          </cell>
        </row>
        <row r="85">
          <cell r="A85" t="str">
            <v>Retroexcavadora E-200 sobre orugas</v>
          </cell>
        </row>
        <row r="86">
          <cell r="A86" t="str">
            <v>Retroexcavadora E-200 sobre orugas trabajo en rio</v>
          </cell>
        </row>
        <row r="87">
          <cell r="A87" t="str">
            <v>Retroexcavadora E-200 con martillo neumatico</v>
          </cell>
        </row>
        <row r="88">
          <cell r="A88" t="str">
            <v>Retroexcavadora 428 doble trasmición</v>
          </cell>
        </row>
        <row r="89">
          <cell r="A89" t="str">
            <v>Retroexcavadora sobre llantas JD 410</v>
          </cell>
        </row>
        <row r="90">
          <cell r="A90" t="str">
            <v>Taco metálico o puntal (escamas en concreto)</v>
          </cell>
        </row>
        <row r="91">
          <cell r="A91" t="str">
            <v>Tarifa de transporte</v>
          </cell>
        </row>
        <row r="92">
          <cell r="A92" t="str">
            <v>Tarifa de transporte para  mezclas</v>
          </cell>
        </row>
        <row r="93">
          <cell r="A93" t="str">
            <v xml:space="preserve">Tarifa de transporte de mezclas para bacheo </v>
          </cell>
        </row>
        <row r="94">
          <cell r="A94" t="str">
            <v>Tarifa de transporte de estructuras metálicas en obra</v>
          </cell>
        </row>
        <row r="95">
          <cell r="A95" t="str">
            <v xml:space="preserve">Tarifa de transporte de estructuras metálicas </v>
          </cell>
        </row>
        <row r="96">
          <cell r="A96" t="str">
            <v>Terminadora de asfalto (Finisher)</v>
          </cell>
        </row>
        <row r="97">
          <cell r="A97" t="str">
            <v>Vehiculo delineador</v>
          </cell>
        </row>
        <row r="98">
          <cell r="A98" t="str">
            <v>Vibrador de concreto</v>
          </cell>
        </row>
        <row r="99">
          <cell r="A99" t="str">
            <v>Vibrocompatador Dynapac (10 ton)</v>
          </cell>
        </row>
        <row r="100">
          <cell r="A100" t="str">
            <v>Vibrocompatador Dynapac C15</v>
          </cell>
        </row>
        <row r="101">
          <cell r="A101" t="str">
            <v>Volqueta 6 m3</v>
          </cell>
        </row>
        <row r="102">
          <cell r="A102" t="str">
            <v>Equipo de sandblasting</v>
          </cell>
        </row>
        <row r="103">
          <cell r="A103" t="str">
            <v>Taladro</v>
          </cell>
        </row>
        <row r="104">
          <cell r="A104" t="str">
            <v>dispensador neumatico hit-p500</v>
          </cell>
        </row>
        <row r="106">
          <cell r="A106" t="str">
            <v>Camisa</v>
          </cell>
        </row>
        <row r="108">
          <cell r="A108" t="str">
            <v>CORTADORA DE LÁMINA</v>
          </cell>
        </row>
        <row r="109">
          <cell r="A109" t="str">
            <v>CORTADORA DE ANGULO</v>
          </cell>
        </row>
        <row r="110">
          <cell r="A110" t="str">
            <v>EQUIPO DE SOLDADURA</v>
          </cell>
        </row>
        <row r="111">
          <cell r="A111" t="str">
            <v>EQUIPO DE PINTURA</v>
          </cell>
        </row>
        <row r="112">
          <cell r="A112" t="str">
            <v>EQUIPO DE SERIGRAFÍA</v>
          </cell>
        </row>
        <row r="113">
          <cell r="A113" t="str">
            <v>EQUIPO DE LAMINACIÓN</v>
          </cell>
        </row>
        <row r="114">
          <cell r="A114" t="str">
            <v>TALADRO</v>
          </cell>
        </row>
      </sheetData>
      <sheetData sheetId="3">
        <row r="6">
          <cell r="A6" t="str">
            <v>ADMINISTRACION</v>
          </cell>
        </row>
        <row r="7">
          <cell r="A7" t="str">
            <v>IMPREVISTOS</v>
          </cell>
        </row>
        <row r="8">
          <cell r="A8" t="str">
            <v>UTILIDAD</v>
          </cell>
        </row>
        <row r="9">
          <cell r="A9" t="str">
            <v>PRESTACIONES</v>
          </cell>
        </row>
        <row r="10">
          <cell r="A10" t="str">
            <v>DISTANCIA ACARREO 1</v>
          </cell>
        </row>
        <row r="11">
          <cell r="A11" t="str">
            <v>DISTANCIA SUMINISTRO (MATERIAL DE LA ZONA)</v>
          </cell>
        </row>
        <row r="12">
          <cell r="A12" t="str">
            <v>DISTANCIA SUMINISTRO</v>
          </cell>
        </row>
        <row r="13">
          <cell r="A13" t="str">
            <v>DISTANCIA SUMINISTRO BASES SUB BASES AFIRMADOS</v>
          </cell>
        </row>
        <row r="14">
          <cell r="A14" t="str">
            <v>DISTANCIA DE SUMINISTRO CONCRETOS</v>
          </cell>
        </row>
        <row r="15">
          <cell r="A15" t="str">
            <v>DISTANCIA DE SUMINISTRO MEZCLAS ASFALTICAS</v>
          </cell>
        </row>
        <row r="16">
          <cell r="A16" t="str">
            <v>DISTANCIA TRANSPORTE ESTRUCTURA METALICA</v>
          </cell>
        </row>
        <row r="17">
          <cell r="A17" t="str">
            <v>CADENERO</v>
          </cell>
        </row>
        <row r="18">
          <cell r="A18" t="str">
            <v>INSPECTOR DE FABRICACION Y MONTAJE</v>
          </cell>
        </row>
        <row r="19">
          <cell r="A19" t="str">
            <v>OBRERO</v>
          </cell>
        </row>
        <row r="20">
          <cell r="A20" t="str">
            <v>OFICIAL</v>
          </cell>
        </row>
        <row r="21">
          <cell r="A21" t="str">
            <v>OFICIAL EXPERTO EN DESMONTAJE</v>
          </cell>
        </row>
        <row r="22">
          <cell r="A22" t="str">
            <v>PALETEROS</v>
          </cell>
        </row>
        <row r="23">
          <cell r="A23" t="str">
            <v>RASTRILLEROS</v>
          </cell>
        </row>
        <row r="24">
          <cell r="A24" t="str">
            <v>SOLDADOR</v>
          </cell>
        </row>
        <row r="25">
          <cell r="A25" t="str">
            <v>TOPOGRAFO</v>
          </cell>
        </row>
        <row r="26">
          <cell r="A26" t="str">
            <v>PINTOR</v>
          </cell>
        </row>
        <row r="28">
          <cell r="A28" t="str">
            <v>3 AYUDANTES</v>
          </cell>
        </row>
        <row r="29">
          <cell r="A29" t="str">
            <v>2 OBREROS</v>
          </cell>
        </row>
        <row r="30">
          <cell r="A30" t="str">
            <v>3 OBREROS</v>
          </cell>
        </row>
        <row r="31">
          <cell r="A31" t="str">
            <v>4 OBREROS</v>
          </cell>
        </row>
        <row r="32">
          <cell r="A32" t="str">
            <v>5 OBREROS</v>
          </cell>
        </row>
        <row r="33">
          <cell r="A33" t="str">
            <v>6 OBREROS</v>
          </cell>
        </row>
        <row r="34">
          <cell r="A34" t="str">
            <v>7 OBREROS</v>
          </cell>
        </row>
        <row r="35">
          <cell r="A35" t="str">
            <v>8 OBREROS</v>
          </cell>
        </row>
        <row r="36">
          <cell r="A36" t="str">
            <v>9 OBREROS</v>
          </cell>
        </row>
        <row r="37">
          <cell r="A37" t="str">
            <v>10 OBREROS</v>
          </cell>
        </row>
        <row r="38">
          <cell r="A38" t="str">
            <v>11 OBREROS</v>
          </cell>
        </row>
        <row r="39">
          <cell r="A39" t="str">
            <v>12 OBREROS</v>
          </cell>
        </row>
        <row r="40">
          <cell r="A40" t="str">
            <v>13 OBREROS</v>
          </cell>
        </row>
        <row r="41">
          <cell r="A41" t="str">
            <v>14 OBREROS</v>
          </cell>
        </row>
        <row r="42">
          <cell r="A42" t="str">
            <v>15 OBREROS</v>
          </cell>
        </row>
        <row r="43">
          <cell r="A43" t="str">
            <v>16 OBREROS</v>
          </cell>
        </row>
        <row r="44">
          <cell r="A44" t="str">
            <v>17 OBREROS</v>
          </cell>
        </row>
        <row r="45">
          <cell r="A45" t="str">
            <v>18 OBREROS</v>
          </cell>
        </row>
        <row r="46">
          <cell r="A46" t="str">
            <v>19 OBREROS</v>
          </cell>
        </row>
        <row r="47">
          <cell r="A47" t="str">
            <v>20 OBREROS</v>
          </cell>
        </row>
        <row r="48">
          <cell r="A48" t="str">
            <v>21 OBREROS</v>
          </cell>
        </row>
        <row r="49">
          <cell r="A49" t="str">
            <v>22 OBREROS</v>
          </cell>
        </row>
        <row r="50">
          <cell r="A50" t="str">
            <v>23 OBREROS</v>
          </cell>
        </row>
        <row r="51">
          <cell r="A51" t="str">
            <v>24 OBREROS</v>
          </cell>
        </row>
        <row r="52">
          <cell r="A52" t="str">
            <v>25 OBREROS</v>
          </cell>
        </row>
        <row r="53">
          <cell r="A53" t="str">
            <v>2 PALETEROS</v>
          </cell>
        </row>
        <row r="54">
          <cell r="A54" t="str">
            <v>CUADRILLA ASFALTEROS (6 obrero, 2 rastrilleros y 1 oficial)</v>
          </cell>
        </row>
        <row r="55">
          <cell r="A55" t="str">
            <v>1 ARMADOR</v>
          </cell>
        </row>
        <row r="56">
          <cell r="A56" t="str">
            <v>1 CORTADOR</v>
          </cell>
        </row>
        <row r="57">
          <cell r="A57" t="str">
            <v>1 AYUDANTE</v>
          </cell>
        </row>
        <row r="58">
          <cell r="A58" t="str">
            <v>1 NIVELETERO</v>
          </cell>
        </row>
        <row r="59">
          <cell r="A59" t="str">
            <v>CUADRILLA PARA BACHEO (6 obreroS, 2 NIVELETEROS y 1 oficial)</v>
          </cell>
        </row>
        <row r="60">
          <cell r="A60" t="str">
            <v>OPERADOR EQUIPO</v>
          </cell>
        </row>
        <row r="61">
          <cell r="A61" t="str">
            <v>OPERADOR PISTOLAS</v>
          </cell>
        </row>
        <row r="63">
          <cell r="A63" t="str">
            <v>CORTADOR</v>
          </cell>
        </row>
        <row r="64">
          <cell r="A64" t="str">
            <v>SOLDADOR</v>
          </cell>
        </row>
        <row r="65">
          <cell r="A65" t="str">
            <v>PINTOR</v>
          </cell>
        </row>
        <row r="66">
          <cell r="A66" t="str">
            <v>LAMINADOR</v>
          </cell>
        </row>
        <row r="67">
          <cell r="A67" t="str">
            <v>SERIGRAFISTA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 TOTAL"/>
      <sheetName val="RESUM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6"/>
      <sheetName val="35"/>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100"/>
      <sheetName val="101"/>
      <sheetName val="TABLA SALARIOS"/>
      <sheetName val="TABLA EQUIPOS"/>
      <sheetName val="TABLA MATERI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row r="3">
          <cell r="A3">
            <v>1</v>
          </cell>
          <cell r="B3" t="str">
            <v>AMBULANCIA</v>
          </cell>
          <cell r="C3" t="str">
            <v>UND</v>
          </cell>
          <cell r="D3">
            <v>50000</v>
          </cell>
        </row>
        <row r="4">
          <cell r="A4">
            <v>2</v>
          </cell>
          <cell r="B4" t="str">
            <v>BAÑO PORTATIL</v>
          </cell>
          <cell r="C4" t="str">
            <v>UND</v>
          </cell>
          <cell r="D4">
            <v>5000</v>
          </cell>
        </row>
        <row r="5">
          <cell r="A5">
            <v>3</v>
          </cell>
          <cell r="B5" t="str">
            <v>CARGADOR</v>
          </cell>
          <cell r="C5" t="str">
            <v>UND</v>
          </cell>
          <cell r="D5">
            <v>280000</v>
          </cell>
        </row>
        <row r="6">
          <cell r="A6">
            <v>4</v>
          </cell>
          <cell r="B6" t="str">
            <v>BOMBA PARA PRUEBA</v>
          </cell>
          <cell r="C6" t="str">
            <v>UND</v>
          </cell>
          <cell r="D6">
            <v>30000</v>
          </cell>
        </row>
        <row r="7">
          <cell r="A7">
            <v>5</v>
          </cell>
          <cell r="B7" t="str">
            <v>CAMABAJA</v>
          </cell>
          <cell r="C7" t="str">
            <v>UND</v>
          </cell>
          <cell r="D7">
            <v>350000</v>
          </cell>
        </row>
        <row r="8">
          <cell r="A8">
            <v>6</v>
          </cell>
          <cell r="B8" t="str">
            <v>CAMION 3 TON.</v>
          </cell>
          <cell r="C8" t="str">
            <v>UND</v>
          </cell>
          <cell r="D8">
            <v>40000</v>
          </cell>
        </row>
        <row r="9">
          <cell r="A9">
            <v>7</v>
          </cell>
          <cell r="B9" t="str">
            <v>CAMIONETA</v>
          </cell>
          <cell r="C9" t="str">
            <v>UND</v>
          </cell>
          <cell r="D9">
            <v>40000</v>
          </cell>
        </row>
        <row r="10">
          <cell r="A10">
            <v>8</v>
          </cell>
          <cell r="B10" t="str">
            <v>CARPAS PORTATILES</v>
          </cell>
          <cell r="C10" t="str">
            <v>UND</v>
          </cell>
          <cell r="D10">
            <v>5000</v>
          </cell>
        </row>
        <row r="11">
          <cell r="A11">
            <v>9</v>
          </cell>
          <cell r="B11" t="str">
            <v>CHAZADORA</v>
          </cell>
          <cell r="C11" t="str">
            <v>UND</v>
          </cell>
          <cell r="D11">
            <v>45000</v>
          </cell>
        </row>
        <row r="12">
          <cell r="A12">
            <v>10</v>
          </cell>
          <cell r="B12" t="str">
            <v>COMPRESOR</v>
          </cell>
          <cell r="C12" t="str">
            <v>UND</v>
          </cell>
          <cell r="D12">
            <v>90000</v>
          </cell>
        </row>
        <row r="13">
          <cell r="A13">
            <v>11</v>
          </cell>
          <cell r="B13" t="str">
            <v>CONTENEDOR</v>
          </cell>
          <cell r="C13" t="str">
            <v>UND</v>
          </cell>
          <cell r="D13">
            <v>12000</v>
          </cell>
        </row>
        <row r="14">
          <cell r="A14">
            <v>12</v>
          </cell>
          <cell r="B14" t="str">
            <v>CORTADORA DE CONCRETO</v>
          </cell>
          <cell r="C14" t="str">
            <v>UND</v>
          </cell>
          <cell r="D14">
            <v>45000</v>
          </cell>
        </row>
        <row r="15">
          <cell r="A15">
            <v>13</v>
          </cell>
          <cell r="B15" t="str">
            <v>DOBLADORA HIDRAULICA</v>
          </cell>
          <cell r="C15" t="str">
            <v>UND</v>
          </cell>
          <cell r="D15">
            <v>75000</v>
          </cell>
        </row>
        <row r="16">
          <cell r="A16">
            <v>14</v>
          </cell>
          <cell r="B16" t="str">
            <v>EQUIPO COMPLETO DE PINTURA</v>
          </cell>
          <cell r="C16" t="str">
            <v>UND</v>
          </cell>
          <cell r="D16">
            <v>50000</v>
          </cell>
        </row>
        <row r="17">
          <cell r="A17">
            <v>15</v>
          </cell>
          <cell r="B17" t="str">
            <v>EQUIPO COMPLETO DE PRUEBA</v>
          </cell>
          <cell r="C17" t="str">
            <v>UND</v>
          </cell>
          <cell r="D17">
            <v>150000</v>
          </cell>
        </row>
        <row r="18">
          <cell r="A18">
            <v>16</v>
          </cell>
          <cell r="B18" t="str">
            <v>EQUIPO COMPLETO SANDBLASTING</v>
          </cell>
          <cell r="C18" t="str">
            <v>UND</v>
          </cell>
          <cell r="D18">
            <v>160000</v>
          </cell>
        </row>
        <row r="19">
          <cell r="A19">
            <v>17</v>
          </cell>
          <cell r="B19" t="str">
            <v>EQUIPO DE COMUNICACIÓN</v>
          </cell>
          <cell r="C19" t="str">
            <v>UND</v>
          </cell>
          <cell r="D19">
            <v>5000</v>
          </cell>
        </row>
        <row r="20">
          <cell r="A20">
            <v>18</v>
          </cell>
          <cell r="B20" t="str">
            <v>EQUIPO DE OXI-CORTE</v>
          </cell>
          <cell r="C20" t="str">
            <v>UND</v>
          </cell>
          <cell r="D20">
            <v>20000</v>
          </cell>
        </row>
        <row r="21">
          <cell r="A21">
            <v>19</v>
          </cell>
          <cell r="B21" t="str">
            <v>EQUIPO DE SOLDADURA - ACPM</v>
          </cell>
          <cell r="C21" t="str">
            <v>UND</v>
          </cell>
          <cell r="D21">
            <v>40000</v>
          </cell>
        </row>
        <row r="22">
          <cell r="A22">
            <v>20</v>
          </cell>
          <cell r="B22" t="str">
            <v>EQUIPO TOPOGRAFICO</v>
          </cell>
          <cell r="C22" t="str">
            <v>UND</v>
          </cell>
          <cell r="D22">
            <v>40000</v>
          </cell>
        </row>
        <row r="23">
          <cell r="A23">
            <v>21</v>
          </cell>
          <cell r="B23" t="str">
            <v>EQUIPOS DE CALIBRACION</v>
          </cell>
          <cell r="C23" t="str">
            <v>UND</v>
          </cell>
          <cell r="D23">
            <v>50000</v>
          </cell>
        </row>
        <row r="24">
          <cell r="A24">
            <v>22</v>
          </cell>
          <cell r="B24" t="str">
            <v>EQUIPOS DE OFICINA</v>
          </cell>
          <cell r="C24" t="str">
            <v>UND</v>
          </cell>
          <cell r="D24">
            <v>60000</v>
          </cell>
        </row>
        <row r="25">
          <cell r="A25">
            <v>23</v>
          </cell>
          <cell r="B25" t="str">
            <v>ESTACION</v>
          </cell>
          <cell r="C25" t="str">
            <v>UND</v>
          </cell>
          <cell r="D25">
            <v>150000</v>
          </cell>
        </row>
        <row r="26">
          <cell r="A26">
            <v>24</v>
          </cell>
          <cell r="B26" t="str">
            <v>GRUA</v>
          </cell>
          <cell r="C26" t="str">
            <v>UND</v>
          </cell>
          <cell r="D26">
            <v>500000</v>
          </cell>
        </row>
        <row r="27">
          <cell r="A27">
            <v>25</v>
          </cell>
          <cell r="B27" t="str">
            <v>GRUA DE 10 TON.</v>
          </cell>
          <cell r="C27" t="str">
            <v>UND</v>
          </cell>
          <cell r="D27">
            <v>200000</v>
          </cell>
        </row>
        <row r="28">
          <cell r="A28">
            <v>26</v>
          </cell>
          <cell r="B28" t="str">
            <v>GRUA DE 20 TON.</v>
          </cell>
          <cell r="C28" t="str">
            <v>UND</v>
          </cell>
          <cell r="D28">
            <v>460000</v>
          </cell>
        </row>
        <row r="29">
          <cell r="A29">
            <v>27</v>
          </cell>
          <cell r="B29" t="str">
            <v>GRUA DE 200 TON.</v>
          </cell>
          <cell r="C29" t="str">
            <v>UND</v>
          </cell>
          <cell r="D29">
            <v>4300000</v>
          </cell>
        </row>
        <row r="30">
          <cell r="A30">
            <v>28</v>
          </cell>
          <cell r="B30" t="str">
            <v>GRUA DE 80 TON.</v>
          </cell>
          <cell r="C30" t="str">
            <v>UND</v>
          </cell>
          <cell r="D30">
            <v>2800000</v>
          </cell>
        </row>
        <row r="31">
          <cell r="A31">
            <v>29</v>
          </cell>
          <cell r="B31" t="str">
            <v>HERRAMIENTA MENORES</v>
          </cell>
          <cell r="C31" t="str">
            <v>UND</v>
          </cell>
          <cell r="D31">
            <v>24376</v>
          </cell>
        </row>
        <row r="32">
          <cell r="A32">
            <v>30</v>
          </cell>
          <cell r="B32" t="str">
            <v>HERRAMIENTAS VARIAS</v>
          </cell>
          <cell r="C32" t="str">
            <v>UND</v>
          </cell>
          <cell r="D32">
            <v>8000</v>
          </cell>
        </row>
        <row r="33">
          <cell r="A33">
            <v>31</v>
          </cell>
          <cell r="B33" t="str">
            <v>HISTER</v>
          </cell>
          <cell r="C33" t="str">
            <v>UND</v>
          </cell>
          <cell r="D33">
            <v>200000</v>
          </cell>
        </row>
        <row r="34">
          <cell r="A34">
            <v>32</v>
          </cell>
          <cell r="B34" t="str">
            <v>MAQUINA DE SOLDAR</v>
          </cell>
          <cell r="C34" t="str">
            <v>UND</v>
          </cell>
          <cell r="D34">
            <v>40000</v>
          </cell>
        </row>
        <row r="35">
          <cell r="A35">
            <v>33</v>
          </cell>
          <cell r="B35" t="str">
            <v>MARTILLO NEUMATICO</v>
          </cell>
          <cell r="C35" t="str">
            <v>UND</v>
          </cell>
          <cell r="D35">
            <v>25000</v>
          </cell>
        </row>
        <row r="36">
          <cell r="A36">
            <v>34</v>
          </cell>
          <cell r="B36" t="str">
            <v>MEDIDOR DE AISLAMIENTO</v>
          </cell>
          <cell r="C36" t="str">
            <v>UND</v>
          </cell>
          <cell r="D36">
            <v>50000</v>
          </cell>
        </row>
        <row r="37">
          <cell r="A37">
            <v>35</v>
          </cell>
          <cell r="B37" t="str">
            <v>MEZCLADORA</v>
          </cell>
          <cell r="C37" t="str">
            <v>UND</v>
          </cell>
          <cell r="D37">
            <v>30000</v>
          </cell>
        </row>
        <row r="38">
          <cell r="A38">
            <v>36</v>
          </cell>
          <cell r="B38" t="str">
            <v>MOTOBOMBA 3"</v>
          </cell>
          <cell r="C38" t="str">
            <v>UND</v>
          </cell>
          <cell r="D38">
            <v>25000</v>
          </cell>
        </row>
        <row r="39">
          <cell r="A39">
            <v>37</v>
          </cell>
          <cell r="B39" t="str">
            <v>MOTONIVELADORA</v>
          </cell>
          <cell r="C39" t="str">
            <v>UND</v>
          </cell>
          <cell r="D39">
            <v>500000</v>
          </cell>
        </row>
        <row r="40">
          <cell r="A40">
            <v>38</v>
          </cell>
          <cell r="B40" t="str">
            <v>PARALES METALICOS</v>
          </cell>
          <cell r="C40" t="str">
            <v>UND</v>
          </cell>
          <cell r="D40">
            <v>200</v>
          </cell>
        </row>
        <row r="41">
          <cell r="A41">
            <v>39</v>
          </cell>
          <cell r="B41" t="str">
            <v>PLANTA ELECTRICA</v>
          </cell>
          <cell r="C41" t="str">
            <v>UND</v>
          </cell>
          <cell r="D41">
            <v>30000</v>
          </cell>
        </row>
        <row r="42">
          <cell r="A42">
            <v>40</v>
          </cell>
          <cell r="B42" t="str">
            <v>PULIDORAS</v>
          </cell>
          <cell r="C42" t="str">
            <v>UND</v>
          </cell>
          <cell r="D42">
            <v>17600</v>
          </cell>
        </row>
        <row r="43">
          <cell r="A43">
            <v>41</v>
          </cell>
          <cell r="B43" t="str">
            <v>RETROEXCAVADORA CON MARTILLO</v>
          </cell>
          <cell r="C43" t="str">
            <v>UND</v>
          </cell>
          <cell r="D43">
            <v>75000</v>
          </cell>
        </row>
        <row r="44">
          <cell r="A44">
            <v>42</v>
          </cell>
          <cell r="B44" t="str">
            <v>ROSCADORA ELECTRICA</v>
          </cell>
          <cell r="C44" t="str">
            <v>UND</v>
          </cell>
          <cell r="D44">
            <v>40000</v>
          </cell>
        </row>
        <row r="45">
          <cell r="A45">
            <v>43</v>
          </cell>
          <cell r="B45" t="str">
            <v>TABLEROS</v>
          </cell>
          <cell r="C45" t="str">
            <v>UND</v>
          </cell>
          <cell r="D45">
            <v>200</v>
          </cell>
        </row>
        <row r="46">
          <cell r="A46">
            <v>44</v>
          </cell>
          <cell r="B46" t="str">
            <v>VIBRADOR PARA CONCRETO</v>
          </cell>
          <cell r="C46" t="str">
            <v>UND</v>
          </cell>
          <cell r="D46">
            <v>30000</v>
          </cell>
        </row>
        <row r="47">
          <cell r="A47">
            <v>45</v>
          </cell>
          <cell r="B47" t="str">
            <v>VIBROCOMPACTADOR MANUAL</v>
          </cell>
          <cell r="C47" t="str">
            <v>UND</v>
          </cell>
          <cell r="D47">
            <v>35000</v>
          </cell>
        </row>
        <row r="48">
          <cell r="A48">
            <v>46</v>
          </cell>
          <cell r="B48" t="str">
            <v>VOLQUETA</v>
          </cell>
          <cell r="C48" t="str">
            <v>UND</v>
          </cell>
          <cell r="D48">
            <v>125000</v>
          </cell>
        </row>
        <row r="49">
          <cell r="A49">
            <v>47</v>
          </cell>
          <cell r="B49" t="str">
            <v>WINCHE</v>
          </cell>
          <cell r="C49" t="str">
            <v>UND</v>
          </cell>
          <cell r="D49">
            <v>150000</v>
          </cell>
        </row>
        <row r="50">
          <cell r="A50">
            <v>48</v>
          </cell>
          <cell r="B50" t="str">
            <v>ENCOFRADOS</v>
          </cell>
          <cell r="C50" t="str">
            <v>UND</v>
          </cell>
          <cell r="D50">
            <v>6000</v>
          </cell>
        </row>
        <row r="51">
          <cell r="A51">
            <v>49</v>
          </cell>
          <cell r="B51" t="str">
            <v>ANDAMIOS TIPO TUBULAR + TABLONES</v>
          </cell>
          <cell r="C51" t="str">
            <v>UND</v>
          </cell>
          <cell r="D51">
            <v>4800</v>
          </cell>
        </row>
        <row r="52">
          <cell r="A52">
            <v>50</v>
          </cell>
          <cell r="B52" t="str">
            <v>HERRAMIENTAS MENORES</v>
          </cell>
          <cell r="C52" t="str">
            <v>UND</v>
          </cell>
          <cell r="D52">
            <v>4000</v>
          </cell>
        </row>
        <row r="53">
          <cell r="A53">
            <v>51</v>
          </cell>
          <cell r="B53" t="str">
            <v>EQUIPO COMPLETO RADIOGRAFIAS</v>
          </cell>
          <cell r="C53" t="str">
            <v>UND</v>
          </cell>
          <cell r="D53">
            <v>90000</v>
          </cell>
        </row>
        <row r="54">
          <cell r="A54">
            <v>52</v>
          </cell>
          <cell r="B54" t="str">
            <v>HERRAMIENTA MENOR</v>
          </cell>
          <cell r="C54" t="str">
            <v>UND</v>
          </cell>
          <cell r="D54">
            <v>5000</v>
          </cell>
        </row>
        <row r="55">
          <cell r="A55">
            <v>53</v>
          </cell>
          <cell r="B55" t="str">
            <v>MONTACARGA</v>
          </cell>
          <cell r="C55" t="str">
            <v>UND</v>
          </cell>
          <cell r="D55">
            <v>150000</v>
          </cell>
        </row>
        <row r="56">
          <cell r="A56">
            <v>54</v>
          </cell>
          <cell r="B56" t="str">
            <v>UNIDAD TRATAMIENTO TERMICO</v>
          </cell>
          <cell r="C56" t="str">
            <v>UND</v>
          </cell>
          <cell r="D56">
            <v>180000</v>
          </cell>
        </row>
        <row r="57">
          <cell r="A57">
            <v>55</v>
          </cell>
          <cell r="B57" t="str">
            <v>ESCALERAS METALICAS</v>
          </cell>
          <cell r="C57" t="str">
            <v>UND</v>
          </cell>
          <cell r="D57">
            <v>3200</v>
          </cell>
        </row>
        <row r="58">
          <cell r="A58">
            <v>56</v>
          </cell>
          <cell r="B58" t="str">
            <v>ARNES DE SEGURIDAD</v>
          </cell>
          <cell r="C58" t="str">
            <v>UND</v>
          </cell>
          <cell r="D58">
            <v>4000</v>
          </cell>
        </row>
        <row r="59">
          <cell r="A59">
            <v>57</v>
          </cell>
          <cell r="B59" t="str">
            <v>EQUIPO DE CALIBRACION</v>
          </cell>
          <cell r="C59" t="str">
            <v>UND</v>
          </cell>
          <cell r="D59">
            <v>16000</v>
          </cell>
        </row>
        <row r="60">
          <cell r="A60">
            <v>58</v>
          </cell>
          <cell r="B60" t="str">
            <v>BANCO DE CALIBRACION NEUMATICA</v>
          </cell>
          <cell r="C60" t="str">
            <v>UND</v>
          </cell>
          <cell r="D60">
            <v>28000</v>
          </cell>
        </row>
        <row r="61">
          <cell r="A61">
            <v>59</v>
          </cell>
          <cell r="B61" t="str">
            <v>ANDAMIOS</v>
          </cell>
          <cell r="C61" t="str">
            <v>UND</v>
          </cell>
          <cell r="D61">
            <v>300</v>
          </cell>
        </row>
        <row r="62">
          <cell r="A62">
            <v>60</v>
          </cell>
          <cell r="B62" t="str">
            <v>TELUROMETRO</v>
          </cell>
          <cell r="C62" t="str">
            <v>UND</v>
          </cell>
          <cell r="D62">
            <v>70000</v>
          </cell>
        </row>
        <row r="63">
          <cell r="A63">
            <v>61</v>
          </cell>
          <cell r="B63" t="str">
            <v>COMPUTADOR</v>
          </cell>
          <cell r="C63" t="str">
            <v>UND</v>
          </cell>
          <cell r="D63">
            <v>10000</v>
          </cell>
        </row>
        <row r="64">
          <cell r="A64">
            <v>62</v>
          </cell>
          <cell r="C64" t="str">
            <v>UND</v>
          </cell>
        </row>
        <row r="65">
          <cell r="A65">
            <v>63</v>
          </cell>
          <cell r="C65" t="str">
            <v>UND</v>
          </cell>
        </row>
      </sheetData>
      <sheetData sheetId="105" refreshError="1">
        <row r="3">
          <cell r="A3">
            <v>1</v>
          </cell>
          <cell r="B3" t="str">
            <v xml:space="preserve"> AGREGADO FINO</v>
          </cell>
          <cell r="C3" t="str">
            <v>M3</v>
          </cell>
          <cell r="D3">
            <v>17004</v>
          </cell>
        </row>
        <row r="4">
          <cell r="A4">
            <v>2</v>
          </cell>
          <cell r="B4" t="str">
            <v>ACERO</v>
          </cell>
          <cell r="C4" t="str">
            <v>KG</v>
          </cell>
          <cell r="D4">
            <v>1600</v>
          </cell>
        </row>
        <row r="5">
          <cell r="A5">
            <v>3</v>
          </cell>
          <cell r="B5" t="str">
            <v>ACERO ESTRUCTURAL A-36</v>
          </cell>
          <cell r="C5" t="str">
            <v>KG</v>
          </cell>
          <cell r="D5">
            <v>4200</v>
          </cell>
        </row>
        <row r="6">
          <cell r="A6">
            <v>4</v>
          </cell>
          <cell r="B6" t="str">
            <v>ACOPLE PARA FLEXICONDUIT Ø 1"</v>
          </cell>
          <cell r="C6" t="str">
            <v>UND</v>
          </cell>
          <cell r="D6">
            <v>28014</v>
          </cell>
        </row>
        <row r="7">
          <cell r="A7">
            <v>5</v>
          </cell>
          <cell r="B7" t="str">
            <v>ACOPLE PARA FLEXICONDUIT Ø 2"</v>
          </cell>
          <cell r="C7" t="str">
            <v>UND</v>
          </cell>
          <cell r="D7">
            <v>19914.3</v>
          </cell>
        </row>
        <row r="8">
          <cell r="A8">
            <v>6</v>
          </cell>
          <cell r="B8" t="str">
            <v>ADITIVOS</v>
          </cell>
          <cell r="C8" t="str">
            <v>GL</v>
          </cell>
          <cell r="D8">
            <v>10000</v>
          </cell>
        </row>
        <row r="9">
          <cell r="A9">
            <v>7</v>
          </cell>
          <cell r="B9" t="str">
            <v>AGREGADO GRUESO</v>
          </cell>
          <cell r="C9" t="str">
            <v>M3</v>
          </cell>
          <cell r="D9">
            <v>49980</v>
          </cell>
        </row>
        <row r="10">
          <cell r="A10">
            <v>8</v>
          </cell>
          <cell r="B10" t="str">
            <v>ANCLAJE AB 3/4 CON CAMISA</v>
          </cell>
          <cell r="C10" t="str">
            <v>UND</v>
          </cell>
          <cell r="D10">
            <v>40000</v>
          </cell>
        </row>
        <row r="11">
          <cell r="A11">
            <v>9</v>
          </cell>
          <cell r="B11" t="str">
            <v>ANGULO 2" x 2" x ¼"</v>
          </cell>
          <cell r="C11" t="str">
            <v>KG</v>
          </cell>
          <cell r="D11">
            <v>2205</v>
          </cell>
        </row>
        <row r="12">
          <cell r="A12">
            <v>10</v>
          </cell>
          <cell r="B12" t="str">
            <v>ANGULO 2" x 2" x 1/8" x 6 MTS.</v>
          </cell>
          <cell r="C12" t="str">
            <v>UND</v>
          </cell>
          <cell r="D12">
            <v>57000</v>
          </cell>
        </row>
        <row r="13">
          <cell r="A13">
            <v>11</v>
          </cell>
          <cell r="B13" t="str">
            <v>ARENA LAVADA TIPO I</v>
          </cell>
          <cell r="C13" t="str">
            <v>M3</v>
          </cell>
          <cell r="D13">
            <v>16000</v>
          </cell>
        </row>
        <row r="14">
          <cell r="A14">
            <v>12</v>
          </cell>
          <cell r="B14" t="str">
            <v>ARENA SECA</v>
          </cell>
          <cell r="C14" t="str">
            <v>M3</v>
          </cell>
          <cell r="D14">
            <v>90000</v>
          </cell>
        </row>
        <row r="15">
          <cell r="A15">
            <v>13</v>
          </cell>
          <cell r="B15" t="str">
            <v>ARENA-CEMENTO</v>
          </cell>
          <cell r="C15" t="str">
            <v>M3</v>
          </cell>
          <cell r="D15">
            <v>35000</v>
          </cell>
        </row>
        <row r="16">
          <cell r="A16">
            <v>14</v>
          </cell>
          <cell r="B16" t="str">
            <v>BALDOSA GRANITO .33X.33 T-ALFA</v>
          </cell>
          <cell r="C16" t="str">
            <v>M2</v>
          </cell>
          <cell r="D16">
            <v>23000</v>
          </cell>
        </row>
        <row r="17">
          <cell r="A17">
            <v>15</v>
          </cell>
          <cell r="B17" t="str">
            <v>BANDEJA PORTACABLE 0.40</v>
          </cell>
          <cell r="C17" t="str">
            <v>ML</v>
          </cell>
          <cell r="D17">
            <v>65000</v>
          </cell>
        </row>
        <row r="18">
          <cell r="A18">
            <v>16</v>
          </cell>
          <cell r="B18" t="str">
            <v>BANDEJA PORTACABLE 0.20</v>
          </cell>
          <cell r="C18" t="str">
            <v>ML</v>
          </cell>
          <cell r="D18">
            <v>54000</v>
          </cell>
        </row>
        <row r="19">
          <cell r="A19">
            <v>17</v>
          </cell>
          <cell r="B19" t="str">
            <v>BANDEJAS PORTACABLE ALUMINIO</v>
          </cell>
          <cell r="C19" t="str">
            <v>ML</v>
          </cell>
          <cell r="D19">
            <v>126000</v>
          </cell>
        </row>
        <row r="20">
          <cell r="A20">
            <v>18</v>
          </cell>
          <cell r="B20" t="str">
            <v>BRIDA Ø ½" ROSCADA ANSI 300 AC 304</v>
          </cell>
          <cell r="C20" t="str">
            <v>UND</v>
          </cell>
          <cell r="D20">
            <v>85260</v>
          </cell>
        </row>
        <row r="21">
          <cell r="A21">
            <v>19</v>
          </cell>
          <cell r="B21" t="str">
            <v>BRIDA Ø 1½" ANSI 300 CON PERFORACION ½" NPT</v>
          </cell>
          <cell r="C21" t="str">
            <v>UND</v>
          </cell>
          <cell r="D21">
            <v>42630</v>
          </cell>
        </row>
        <row r="22">
          <cell r="A22">
            <v>20</v>
          </cell>
          <cell r="B22" t="str">
            <v>BRIDA Ø 1½" ANSI 300 PERF. ROSC. ½" NPT A.I. 304</v>
          </cell>
          <cell r="C22" t="str">
            <v>UND</v>
          </cell>
          <cell r="D22">
            <v>85260</v>
          </cell>
        </row>
        <row r="23">
          <cell r="A23">
            <v>21</v>
          </cell>
          <cell r="B23" t="str">
            <v>BRIDA Ø 1½" ROSCADA ANSI 300  AC</v>
          </cell>
          <cell r="C23" t="str">
            <v>UND</v>
          </cell>
          <cell r="D23">
            <v>42630</v>
          </cell>
        </row>
        <row r="24">
          <cell r="A24">
            <v>22</v>
          </cell>
          <cell r="B24" t="str">
            <v>BRIDA Ø 3/4" ROSCADA ANSI 300  AC</v>
          </cell>
          <cell r="C24" t="str">
            <v>UND</v>
          </cell>
          <cell r="D24">
            <v>19451.25</v>
          </cell>
        </row>
        <row r="25">
          <cell r="A25">
            <v>23</v>
          </cell>
          <cell r="B25" t="str">
            <v>CABLE DESNUDO 2/0 AWG</v>
          </cell>
          <cell r="C25" t="str">
            <v>ML</v>
          </cell>
          <cell r="D25">
            <v>6797</v>
          </cell>
        </row>
        <row r="26">
          <cell r="A26">
            <v>24</v>
          </cell>
          <cell r="B26" t="str">
            <v>CABLE MONOP. M.TEN. 1/0 AWG, XLPE 8KV 100% APANT.</v>
          </cell>
          <cell r="C26" t="str">
            <v>ML</v>
          </cell>
          <cell r="D26">
            <v>18375</v>
          </cell>
        </row>
        <row r="27">
          <cell r="A27">
            <v>25</v>
          </cell>
          <cell r="B27" t="str">
            <v>CABLE MONOP. P. F. 1/0 AWG, THW 75ºC- NEGRO</v>
          </cell>
          <cell r="C27" t="str">
            <v>ML</v>
          </cell>
          <cell r="D27">
            <v>6162.45</v>
          </cell>
        </row>
        <row r="28">
          <cell r="A28">
            <v>26</v>
          </cell>
          <cell r="B28" t="str">
            <v>CABLE MULTICOND. 3x12 AWG THW 75ºC 600V</v>
          </cell>
          <cell r="C28" t="str">
            <v>ML</v>
          </cell>
          <cell r="D28">
            <v>2362.5</v>
          </cell>
        </row>
        <row r="29">
          <cell r="A29">
            <v>27</v>
          </cell>
          <cell r="B29" t="str">
            <v>CABLE MULTICOND. 4 TRIADAS 16 AWG THW 75ºC</v>
          </cell>
          <cell r="C29" t="str">
            <v>ML</v>
          </cell>
          <cell r="D29">
            <v>12301.8</v>
          </cell>
        </row>
        <row r="30">
          <cell r="A30">
            <v>28</v>
          </cell>
          <cell r="B30" t="str">
            <v>CABLE MULTICOND. 4x12 AWG THW 75ºC 600V</v>
          </cell>
          <cell r="C30" t="str">
            <v>ML</v>
          </cell>
          <cell r="D30">
            <v>2759.4</v>
          </cell>
        </row>
        <row r="31">
          <cell r="A31">
            <v>29</v>
          </cell>
          <cell r="B31" t="str">
            <v xml:space="preserve">CABLE No.2 </v>
          </cell>
          <cell r="C31" t="str">
            <v>ML</v>
          </cell>
          <cell r="D31">
            <v>3775.8</v>
          </cell>
        </row>
        <row r="32">
          <cell r="A32">
            <v>30</v>
          </cell>
          <cell r="B32" t="str">
            <v>PERFIL EN H</v>
          </cell>
          <cell r="C32" t="str">
            <v>KG</v>
          </cell>
          <cell r="D32">
            <v>4725</v>
          </cell>
        </row>
        <row r="33">
          <cell r="A33">
            <v>31</v>
          </cell>
          <cell r="B33" t="str">
            <v>CEIGOTA P680</v>
          </cell>
          <cell r="C33" t="str">
            <v>GL</v>
          </cell>
          <cell r="D33">
            <v>309926</v>
          </cell>
        </row>
        <row r="34">
          <cell r="A34">
            <v>32</v>
          </cell>
          <cell r="B34" t="str">
            <v>CODO Ø ½" ROSCADO 3000# A.I.304</v>
          </cell>
          <cell r="C34" t="str">
            <v>UND</v>
          </cell>
          <cell r="D34">
            <v>28014</v>
          </cell>
        </row>
        <row r="35">
          <cell r="A35">
            <v>33</v>
          </cell>
          <cell r="B35" t="str">
            <v>CODO Ø ½" ROSCADO 3000# AC</v>
          </cell>
          <cell r="C35" t="str">
            <v>UND</v>
          </cell>
          <cell r="D35">
            <v>7429.8</v>
          </cell>
        </row>
        <row r="36">
          <cell r="A36">
            <v>34</v>
          </cell>
          <cell r="B36" t="str">
            <v>CODO Ø 3/4" ROSCADO 3000# AC</v>
          </cell>
          <cell r="C36" t="str">
            <v>UND</v>
          </cell>
          <cell r="D36">
            <v>10353</v>
          </cell>
        </row>
        <row r="37">
          <cell r="A37">
            <v>35</v>
          </cell>
          <cell r="B37" t="str">
            <v>COMBUSTIBLE</v>
          </cell>
          <cell r="C37" t="str">
            <v>GALON</v>
          </cell>
          <cell r="D37">
            <v>2900</v>
          </cell>
        </row>
        <row r="38">
          <cell r="A38">
            <v>36</v>
          </cell>
          <cell r="B38" t="str">
            <v>COMEDORES EN MADERA</v>
          </cell>
          <cell r="C38" t="str">
            <v>GL</v>
          </cell>
          <cell r="D38">
            <v>800000</v>
          </cell>
        </row>
        <row r="39">
          <cell r="A39">
            <v>37</v>
          </cell>
          <cell r="B39" t="str">
            <v>CONCECTOR Ø ¼" NPT MACHO x 3/8" OD A.I.</v>
          </cell>
          <cell r="C39" t="str">
            <v>UND</v>
          </cell>
          <cell r="D39">
            <v>46292.4</v>
          </cell>
        </row>
        <row r="40">
          <cell r="A40">
            <v>38</v>
          </cell>
          <cell r="B40" t="str">
            <v>CONCECTOR Ø ½" NPT MACHO x ½ OD A.I. 316</v>
          </cell>
          <cell r="C40" t="str">
            <v>UND</v>
          </cell>
          <cell r="D40">
            <v>42630</v>
          </cell>
        </row>
        <row r="41">
          <cell r="A41">
            <v>39</v>
          </cell>
          <cell r="B41" t="str">
            <v>CONCECTOR Ø ½" NPT MACHO x 3/8" OD A.I.</v>
          </cell>
          <cell r="C41" t="str">
            <v>UND</v>
          </cell>
          <cell r="D41">
            <v>54810</v>
          </cell>
        </row>
        <row r="42">
          <cell r="A42">
            <v>40</v>
          </cell>
          <cell r="B42" t="str">
            <v>CONCRETO 2500 PSI</v>
          </cell>
          <cell r="C42" t="str">
            <v>M3</v>
          </cell>
          <cell r="D42">
            <v>210000</v>
          </cell>
        </row>
        <row r="43">
          <cell r="A43">
            <v>41</v>
          </cell>
          <cell r="B43" t="str">
            <v>CONCRETO 3000 PSI</v>
          </cell>
          <cell r="C43" t="str">
            <v>M3</v>
          </cell>
          <cell r="D43">
            <v>250000</v>
          </cell>
        </row>
        <row r="44">
          <cell r="A44">
            <v>42</v>
          </cell>
          <cell r="B44" t="str">
            <v>CONCRETO 3000 PSI</v>
          </cell>
          <cell r="C44" t="str">
            <v>M3</v>
          </cell>
          <cell r="D44">
            <v>257000</v>
          </cell>
        </row>
        <row r="45">
          <cell r="A45">
            <v>43</v>
          </cell>
          <cell r="B45" t="str">
            <v>CONCRETO 3500 PSI</v>
          </cell>
          <cell r="C45" t="str">
            <v>M3</v>
          </cell>
          <cell r="D45">
            <v>275000</v>
          </cell>
        </row>
        <row r="46">
          <cell r="A46">
            <v>44</v>
          </cell>
          <cell r="B46" t="str">
            <v>CONCRETO 5000 PSI</v>
          </cell>
          <cell r="C46" t="str">
            <v>M3</v>
          </cell>
          <cell r="D46">
            <v>320000</v>
          </cell>
        </row>
        <row r="47">
          <cell r="A47">
            <v>45</v>
          </cell>
          <cell r="B47" t="str">
            <v>CONCRETO POBRE</v>
          </cell>
          <cell r="C47" t="str">
            <v>M3</v>
          </cell>
          <cell r="D47">
            <v>200000</v>
          </cell>
        </row>
        <row r="48">
          <cell r="A48">
            <v>46</v>
          </cell>
          <cell r="B48" t="str">
            <v>CONCRETO ROJO</v>
          </cell>
          <cell r="C48" t="str">
            <v>M3</v>
          </cell>
          <cell r="D48">
            <v>367500</v>
          </cell>
        </row>
        <row r="49">
          <cell r="A49">
            <v>47</v>
          </cell>
          <cell r="B49" t="str">
            <v>CONDULETA LB, LL, T, LR, C  HIERRO 3/4"</v>
          </cell>
          <cell r="C49" t="str">
            <v>UND</v>
          </cell>
          <cell r="D49">
            <v>15000</v>
          </cell>
        </row>
        <row r="50">
          <cell r="A50">
            <v>48</v>
          </cell>
          <cell r="B50" t="str">
            <v>CONDULETA LB, LL, T, LR, C  HIERRO 1"</v>
          </cell>
          <cell r="C50" t="str">
            <v>UND</v>
          </cell>
          <cell r="D50">
            <v>18000</v>
          </cell>
        </row>
        <row r="51">
          <cell r="A51">
            <v>49</v>
          </cell>
          <cell r="B51" t="str">
            <v>CONDULETA LB, LL, T, LR, C  HIERRO 1½"</v>
          </cell>
          <cell r="C51" t="str">
            <v>UND</v>
          </cell>
          <cell r="D51">
            <v>35000</v>
          </cell>
        </row>
        <row r="52">
          <cell r="A52">
            <v>50</v>
          </cell>
          <cell r="B52" t="str">
            <v>CONDULETA LB, LL, T, LR, C  HIERRO 2"</v>
          </cell>
          <cell r="C52" t="str">
            <v>UND</v>
          </cell>
          <cell r="D52">
            <v>46000</v>
          </cell>
        </row>
        <row r="53">
          <cell r="A53">
            <v>51</v>
          </cell>
          <cell r="B53" t="str">
            <v>DESCARGADOR SOBRETENSION CIRCUITO M. CLASE III</v>
          </cell>
          <cell r="C53" t="str">
            <v>UND</v>
          </cell>
          <cell r="D53">
            <v>325500</v>
          </cell>
        </row>
        <row r="54">
          <cell r="A54">
            <v>52</v>
          </cell>
          <cell r="B54" t="str">
            <v>DESCARGADOR SOBRETENSION SEÑAL INSTRUM.</v>
          </cell>
          <cell r="C54" t="str">
            <v>UND</v>
          </cell>
          <cell r="D54">
            <v>325500</v>
          </cell>
        </row>
        <row r="55">
          <cell r="A55">
            <v>53</v>
          </cell>
          <cell r="B55" t="str">
            <v>DIVISION MODULAR</v>
          </cell>
          <cell r="C55" t="str">
            <v>M2</v>
          </cell>
          <cell r="D55">
            <v>180000</v>
          </cell>
        </row>
        <row r="56">
          <cell r="A56">
            <v>54</v>
          </cell>
          <cell r="B56" t="str">
            <v>EMULSION ASFALTICA</v>
          </cell>
          <cell r="C56" t="str">
            <v>KILO</v>
          </cell>
          <cell r="D56">
            <v>850</v>
          </cell>
        </row>
        <row r="57">
          <cell r="A57">
            <v>55</v>
          </cell>
          <cell r="B57" t="str">
            <v>FLAKELINE 2000 MBT45 MILS</v>
          </cell>
          <cell r="C57" t="str">
            <v>M2</v>
          </cell>
          <cell r="D57">
            <v>108150</v>
          </cell>
        </row>
        <row r="58">
          <cell r="A58">
            <v>56</v>
          </cell>
          <cell r="B58" t="str">
            <v>FLEXICONDUIT 1" PVC CON CONECTORES Y ACC.</v>
          </cell>
          <cell r="C58" t="str">
            <v>ML</v>
          </cell>
          <cell r="D58">
            <v>27648.6</v>
          </cell>
        </row>
        <row r="59">
          <cell r="A59">
            <v>57</v>
          </cell>
          <cell r="B59" t="str">
            <v>FLEXICONDUIT 2" PVC CON CONECTORES Y ACC.</v>
          </cell>
          <cell r="C59" t="str">
            <v>ML</v>
          </cell>
          <cell r="D59">
            <v>58299.15</v>
          </cell>
        </row>
        <row r="60">
          <cell r="A60">
            <v>58</v>
          </cell>
          <cell r="B60" t="str">
            <v>FLEXICONDUIT 3" PVC CON CONECTORES Y ACC.</v>
          </cell>
          <cell r="C60" t="str">
            <v>UND</v>
          </cell>
          <cell r="D60">
            <v>187623.45</v>
          </cell>
        </row>
        <row r="61">
          <cell r="A61">
            <v>59</v>
          </cell>
          <cell r="B61" t="str">
            <v>FLEXICONDUITS ESXPLOCION PLUS</v>
          </cell>
          <cell r="C61" t="str">
            <v>UND</v>
          </cell>
          <cell r="D61">
            <v>368900</v>
          </cell>
        </row>
        <row r="62">
          <cell r="A62">
            <v>60</v>
          </cell>
          <cell r="B62" t="str">
            <v>FOAM GLASS</v>
          </cell>
          <cell r="C62" t="str">
            <v>GL</v>
          </cell>
          <cell r="D62">
            <v>262500</v>
          </cell>
        </row>
        <row r="63">
          <cell r="A63">
            <v>61</v>
          </cell>
          <cell r="B63" t="str">
            <v>FOILD-ALUMINIO</v>
          </cell>
          <cell r="C63" t="str">
            <v>M2</v>
          </cell>
          <cell r="D63">
            <v>18000</v>
          </cell>
        </row>
        <row r="64">
          <cell r="A64">
            <v>62</v>
          </cell>
          <cell r="B64" t="str">
            <v>MISCELANEOS</v>
          </cell>
          <cell r="C64" t="str">
            <v>GL</v>
          </cell>
        </row>
        <row r="65">
          <cell r="A65">
            <v>63</v>
          </cell>
          <cell r="B65" t="str">
            <v>GABINETE EN ALUMINIO 0,9 m x 0,4 m x 2,8 m</v>
          </cell>
          <cell r="C65" t="str">
            <v>GL</v>
          </cell>
          <cell r="D65">
            <v>1197000</v>
          </cell>
        </row>
        <row r="66">
          <cell r="A66">
            <v>64</v>
          </cell>
          <cell r="B66" t="str">
            <v>GALON   PINTULUX</v>
          </cell>
          <cell r="C66" t="str">
            <v>UND</v>
          </cell>
          <cell r="D66">
            <v>45387</v>
          </cell>
        </row>
        <row r="67">
          <cell r="A67">
            <v>65</v>
          </cell>
          <cell r="B67" t="str">
            <v>GALON   VINILTEX</v>
          </cell>
          <cell r="C67" t="str">
            <v>UND</v>
          </cell>
          <cell r="D67">
            <v>37947</v>
          </cell>
        </row>
        <row r="68">
          <cell r="A68">
            <v>66</v>
          </cell>
          <cell r="B68" t="str">
            <v xml:space="preserve">GALON  DOMESTICO </v>
          </cell>
          <cell r="C68" t="str">
            <v>UND</v>
          </cell>
          <cell r="D68">
            <v>42019</v>
          </cell>
        </row>
        <row r="69">
          <cell r="A69">
            <v>67</v>
          </cell>
          <cell r="B69" t="str">
            <v>GALON ALUMINIO ECP-100.</v>
          </cell>
          <cell r="C69" t="str">
            <v>UND</v>
          </cell>
          <cell r="D69">
            <v>55089</v>
          </cell>
        </row>
        <row r="70">
          <cell r="A70">
            <v>68</v>
          </cell>
          <cell r="B70" t="str">
            <v>GALON ANTICORROSIVO 500</v>
          </cell>
          <cell r="C70" t="str">
            <v>UND</v>
          </cell>
          <cell r="D70">
            <v>36388</v>
          </cell>
        </row>
        <row r="71">
          <cell r="A71">
            <v>69</v>
          </cell>
          <cell r="B71" t="str">
            <v>GALON DE THINNER.</v>
          </cell>
          <cell r="C71" t="str">
            <v>UND</v>
          </cell>
          <cell r="D71">
            <v>8930</v>
          </cell>
        </row>
        <row r="72">
          <cell r="A72">
            <v>70</v>
          </cell>
          <cell r="B72" t="str">
            <v>GAS PROPANO</v>
          </cell>
          <cell r="C72" t="str">
            <v>CIL</v>
          </cell>
          <cell r="D72">
            <v>8000</v>
          </cell>
        </row>
        <row r="73">
          <cell r="A73">
            <v>71</v>
          </cell>
          <cell r="B73" t="str">
            <v>GRANITO</v>
          </cell>
          <cell r="C73" t="str">
            <v>BULTO</v>
          </cell>
          <cell r="D73">
            <v>9084</v>
          </cell>
        </row>
        <row r="74">
          <cell r="A74">
            <v>72</v>
          </cell>
          <cell r="B74" t="str">
            <v>GRATAS</v>
          </cell>
          <cell r="C74" t="str">
            <v>UND</v>
          </cell>
          <cell r="D74">
            <v>33000</v>
          </cell>
        </row>
        <row r="75">
          <cell r="A75">
            <v>73</v>
          </cell>
          <cell r="B75" t="str">
            <v>GRAVILLA</v>
          </cell>
          <cell r="C75" t="str">
            <v>M3</v>
          </cell>
          <cell r="D75">
            <v>45000</v>
          </cell>
        </row>
        <row r="76">
          <cell r="A76">
            <v>74</v>
          </cell>
          <cell r="B76" t="str">
            <v>SIKAGROUT</v>
          </cell>
          <cell r="C76" t="str">
            <v>KG</v>
          </cell>
          <cell r="D76">
            <v>2000</v>
          </cell>
        </row>
        <row r="77">
          <cell r="A77">
            <v>75</v>
          </cell>
          <cell r="B77" t="str">
            <v>GROUTING CEMENTO + 40% GRAVA</v>
          </cell>
          <cell r="C77" t="str">
            <v>M3</v>
          </cell>
          <cell r="D77">
            <v>1669500</v>
          </cell>
        </row>
        <row r="78">
          <cell r="A78">
            <v>76</v>
          </cell>
          <cell r="B78" t="str">
            <v>HIERRO A-  60.000.</v>
          </cell>
          <cell r="C78" t="str">
            <v>KL</v>
          </cell>
          <cell r="D78">
            <v>1500</v>
          </cell>
        </row>
        <row r="79">
          <cell r="A79">
            <v>77</v>
          </cell>
          <cell r="B79" t="str">
            <v>HIERRO A- 37.000.</v>
          </cell>
          <cell r="C79" t="str">
            <v>KL</v>
          </cell>
          <cell r="D79">
            <v>1500</v>
          </cell>
        </row>
        <row r="80">
          <cell r="A80">
            <v>78</v>
          </cell>
          <cell r="B80" t="str">
            <v>JUNTAS DILATACION</v>
          </cell>
          <cell r="C80" t="str">
            <v>ML</v>
          </cell>
          <cell r="D80">
            <v>7875</v>
          </cell>
        </row>
        <row r="81">
          <cell r="A81">
            <v>79</v>
          </cell>
          <cell r="B81" t="str">
            <v>JUNTAS DILATACION SIKAFLEX T68W</v>
          </cell>
          <cell r="C81" t="str">
            <v>ML</v>
          </cell>
          <cell r="D81">
            <v>5376</v>
          </cell>
        </row>
        <row r="82">
          <cell r="A82">
            <v>80</v>
          </cell>
          <cell r="B82" t="str">
            <v>LADRILLO H-10</v>
          </cell>
          <cell r="C82" t="str">
            <v>UND</v>
          </cell>
          <cell r="D82">
            <v>550</v>
          </cell>
        </row>
        <row r="83">
          <cell r="A83">
            <v>81</v>
          </cell>
          <cell r="B83" t="str">
            <v>LADRILLO COMUN</v>
          </cell>
          <cell r="C83" t="str">
            <v>UND</v>
          </cell>
          <cell r="D83">
            <v>250</v>
          </cell>
        </row>
        <row r="84">
          <cell r="A84">
            <v>82</v>
          </cell>
          <cell r="B84" t="str">
            <v>LADRILLO A LA VISTA</v>
          </cell>
          <cell r="C84" t="str">
            <v>UND</v>
          </cell>
          <cell r="D84">
            <v>550</v>
          </cell>
        </row>
        <row r="85">
          <cell r="A85">
            <v>83</v>
          </cell>
          <cell r="B85" t="str">
            <v>LIBRA COLOR MINERAL AMERICANO</v>
          </cell>
          <cell r="C85" t="str">
            <v>UND</v>
          </cell>
          <cell r="D85">
            <v>3704</v>
          </cell>
        </row>
        <row r="86">
          <cell r="A86">
            <v>84</v>
          </cell>
          <cell r="B86" t="str">
            <v>LIBRA COLOR MINERAL FINO</v>
          </cell>
          <cell r="C86" t="str">
            <v>UND</v>
          </cell>
          <cell r="D86">
            <v>2153</v>
          </cell>
        </row>
        <row r="87">
          <cell r="A87">
            <v>85</v>
          </cell>
          <cell r="B87" t="str">
            <v>LIJA  A-36</v>
          </cell>
          <cell r="C87" t="str">
            <v>ML</v>
          </cell>
          <cell r="D87">
            <v>4000</v>
          </cell>
        </row>
        <row r="88">
          <cell r="A88">
            <v>86</v>
          </cell>
          <cell r="B88" t="str">
            <v>MALLA ELECTROSOLDADA</v>
          </cell>
          <cell r="C88" t="str">
            <v>KG</v>
          </cell>
          <cell r="D88">
            <v>1300</v>
          </cell>
        </row>
        <row r="89">
          <cell r="A89">
            <v>87</v>
          </cell>
          <cell r="B89" t="str">
            <v>MALLA ESLABONADA 2X2 CAL.9</v>
          </cell>
          <cell r="C89" t="str">
            <v>M2</v>
          </cell>
          <cell r="D89">
            <v>6800</v>
          </cell>
        </row>
        <row r="90">
          <cell r="A90">
            <v>88</v>
          </cell>
          <cell r="B90" t="str">
            <v>MALLA GAVIONES CAL. 13   (2 X 1)</v>
          </cell>
          <cell r="C90" t="str">
            <v>UND</v>
          </cell>
          <cell r="D90">
            <v>25000</v>
          </cell>
        </row>
        <row r="91">
          <cell r="A91">
            <v>89</v>
          </cell>
          <cell r="B91" t="str">
            <v>MALLA GAVIONES CAL.12  (2x1)</v>
          </cell>
          <cell r="C91" t="str">
            <v>UND</v>
          </cell>
          <cell r="D91">
            <v>30000</v>
          </cell>
        </row>
        <row r="92">
          <cell r="A92">
            <v>90</v>
          </cell>
          <cell r="B92" t="str">
            <v>MATERIAL DE PRESTAMO TIPO 3</v>
          </cell>
          <cell r="C92" t="str">
            <v>M3</v>
          </cell>
          <cell r="D92">
            <v>3000</v>
          </cell>
        </row>
        <row r="93">
          <cell r="A93">
            <v>91</v>
          </cell>
          <cell r="B93" t="str">
            <v>MATERIAL DE RECEBO TIPO 2</v>
          </cell>
          <cell r="C93" t="str">
            <v>M3</v>
          </cell>
          <cell r="D93">
            <v>18000</v>
          </cell>
        </row>
        <row r="94">
          <cell r="A94">
            <v>92</v>
          </cell>
          <cell r="B94" t="str">
            <v>MATERIAL DE SELLO</v>
          </cell>
          <cell r="C94" t="str">
            <v>GL</v>
          </cell>
          <cell r="D94">
            <v>800000</v>
          </cell>
        </row>
        <row r="95">
          <cell r="A95">
            <v>93</v>
          </cell>
          <cell r="B95" t="str">
            <v>MATERIAL GRANULAR BASE</v>
          </cell>
          <cell r="C95" t="str">
            <v>M3</v>
          </cell>
          <cell r="D95">
            <v>30000</v>
          </cell>
        </row>
        <row r="96">
          <cell r="A96">
            <v>94</v>
          </cell>
          <cell r="B96" t="str">
            <v>MATERIAL GRANULAR SUB-BASE</v>
          </cell>
          <cell r="C96" t="str">
            <v>M3</v>
          </cell>
          <cell r="D96">
            <v>25000</v>
          </cell>
        </row>
        <row r="97">
          <cell r="A97">
            <v>95</v>
          </cell>
          <cell r="B97" t="str">
            <v>MATERIAL SELECCIONADO</v>
          </cell>
          <cell r="C97" t="str">
            <v>M3</v>
          </cell>
          <cell r="D97">
            <v>12000</v>
          </cell>
        </row>
        <row r="98">
          <cell r="A98">
            <v>96</v>
          </cell>
          <cell r="B98" t="str">
            <v>MORTERO PARA GROUTING</v>
          </cell>
          <cell r="C98" t="str">
            <v>M3</v>
          </cell>
          <cell r="D98">
            <v>2709000</v>
          </cell>
        </row>
        <row r="99">
          <cell r="A99">
            <v>97</v>
          </cell>
          <cell r="B99" t="str">
            <v>MUFAS DE ALIVIO PREMOLDEADO 8KV 3M</v>
          </cell>
          <cell r="C99" t="str">
            <v>UND</v>
          </cell>
          <cell r="D99">
            <v>345912</v>
          </cell>
        </row>
        <row r="100">
          <cell r="A100">
            <v>98</v>
          </cell>
          <cell r="B100" t="str">
            <v>NIPLE Ø ½" x 4"  ROSCADO SCH 80 A.I. 304</v>
          </cell>
          <cell r="C100" t="str">
            <v>UND</v>
          </cell>
          <cell r="D100">
            <v>7429.8</v>
          </cell>
        </row>
        <row r="101">
          <cell r="A101">
            <v>99</v>
          </cell>
          <cell r="B101" t="str">
            <v>NIPLE Ø ½" x 4"  SCH 80 AC</v>
          </cell>
          <cell r="C101" t="str">
            <v>UND</v>
          </cell>
          <cell r="D101">
            <v>3654</v>
          </cell>
        </row>
        <row r="102">
          <cell r="A102">
            <v>100</v>
          </cell>
          <cell r="B102" t="str">
            <v>OXIGENO</v>
          </cell>
          <cell r="C102" t="str">
            <v>BOTELLA</v>
          </cell>
          <cell r="D102">
            <v>93000</v>
          </cell>
        </row>
        <row r="103">
          <cell r="A103">
            <v>101</v>
          </cell>
          <cell r="B103" t="str">
            <v>PERLITA 2 x 2</v>
          </cell>
          <cell r="C103" t="str">
            <v>ML</v>
          </cell>
          <cell r="D103">
            <v>57750</v>
          </cell>
        </row>
        <row r="104">
          <cell r="A104">
            <v>102</v>
          </cell>
          <cell r="B104" t="str">
            <v>PERLITA 3 x 2</v>
          </cell>
          <cell r="C104" t="str">
            <v>ML</v>
          </cell>
          <cell r="D104">
            <v>78750</v>
          </cell>
        </row>
        <row r="105">
          <cell r="A105">
            <v>103</v>
          </cell>
          <cell r="B105" t="str">
            <v>PERLITA 4 x 2</v>
          </cell>
          <cell r="C105" t="str">
            <v>ML</v>
          </cell>
          <cell r="D105">
            <v>84000</v>
          </cell>
        </row>
        <row r="106">
          <cell r="A106">
            <v>104</v>
          </cell>
          <cell r="B106" t="str">
            <v>PERLITA 6 x 3</v>
          </cell>
          <cell r="C106" t="str">
            <v>ML</v>
          </cell>
          <cell r="D106">
            <v>105000</v>
          </cell>
        </row>
        <row r="107">
          <cell r="A107">
            <v>105</v>
          </cell>
          <cell r="B107" t="str">
            <v>PERNOS DE ANCLAJE HILTY 3/4"</v>
          </cell>
          <cell r="C107" t="str">
            <v>UND</v>
          </cell>
          <cell r="D107">
            <v>21000</v>
          </cell>
        </row>
        <row r="108">
          <cell r="A108">
            <v>106</v>
          </cell>
          <cell r="B108" t="str">
            <v xml:space="preserve">PERNOS DE ANCLAJE TIPO A-A  Ø 3/4" </v>
          </cell>
          <cell r="C108" t="str">
            <v>UND</v>
          </cell>
          <cell r="D108">
            <v>18270</v>
          </cell>
        </row>
        <row r="109">
          <cell r="A109">
            <v>107</v>
          </cell>
          <cell r="B109" t="str">
            <v>PIEDRA GRAVA LAVADA TIPO 4</v>
          </cell>
          <cell r="C109" t="str">
            <v>M3</v>
          </cell>
          <cell r="D109">
            <v>18000</v>
          </cell>
        </row>
        <row r="110">
          <cell r="A110">
            <v>108</v>
          </cell>
          <cell r="B110" t="str">
            <v>PIEDRA RAJON BOLO</v>
          </cell>
          <cell r="C110" t="str">
            <v>M3</v>
          </cell>
          <cell r="D110">
            <v>25000</v>
          </cell>
        </row>
        <row r="111">
          <cell r="A111">
            <v>109</v>
          </cell>
          <cell r="B111" t="str">
            <v>PINTURA</v>
          </cell>
          <cell r="C111" t="str">
            <v>GL</v>
          </cell>
          <cell r="D111">
            <v>3000</v>
          </cell>
        </row>
        <row r="112">
          <cell r="A112">
            <v>110</v>
          </cell>
          <cell r="B112" t="str">
            <v>PISO FALSO ALUMINIO (INCL. GATO Y SOPOR.)</v>
          </cell>
          <cell r="C112" t="str">
            <v>M2</v>
          </cell>
          <cell r="D112">
            <v>370000</v>
          </cell>
        </row>
        <row r="113">
          <cell r="A113">
            <v>111</v>
          </cell>
          <cell r="B113" t="str">
            <v>PLACA RADIOGRAFICA</v>
          </cell>
          <cell r="C113" t="str">
            <v>UND</v>
          </cell>
          <cell r="D113">
            <v>9000</v>
          </cell>
        </row>
        <row r="114">
          <cell r="A114">
            <v>112</v>
          </cell>
          <cell r="B114" t="str">
            <v>PLANO TAMAÑO B</v>
          </cell>
          <cell r="C114" t="str">
            <v>UND</v>
          </cell>
          <cell r="D114">
            <v>80000</v>
          </cell>
        </row>
        <row r="115">
          <cell r="A115">
            <v>113</v>
          </cell>
          <cell r="B115" t="str">
            <v>PLANO TAMAÑO C</v>
          </cell>
          <cell r="C115" t="str">
            <v>UND</v>
          </cell>
          <cell r="D115">
            <v>120000</v>
          </cell>
        </row>
        <row r="116">
          <cell r="A116">
            <v>114</v>
          </cell>
          <cell r="B116" t="str">
            <v>PLANO TAMAÑO D</v>
          </cell>
          <cell r="C116" t="str">
            <v>UND</v>
          </cell>
          <cell r="D116">
            <v>150000</v>
          </cell>
        </row>
        <row r="117">
          <cell r="A117">
            <v>115</v>
          </cell>
          <cell r="B117" t="str">
            <v>PLATINA 2" x ¼"</v>
          </cell>
          <cell r="C117" t="str">
            <v>KG</v>
          </cell>
          <cell r="D117">
            <v>2100</v>
          </cell>
        </row>
        <row r="118">
          <cell r="A118">
            <v>116</v>
          </cell>
          <cell r="B118" t="str">
            <v>PLATINA 6" x ¼"</v>
          </cell>
          <cell r="C118" t="str">
            <v>KG</v>
          </cell>
          <cell r="D118">
            <v>3441.9</v>
          </cell>
        </row>
        <row r="119">
          <cell r="A119">
            <v>117</v>
          </cell>
          <cell r="B119" t="str">
            <v>PLATINA ACERO A-283 Gr. C.</v>
          </cell>
          <cell r="C119" t="str">
            <v>KG</v>
          </cell>
          <cell r="D119">
            <v>3675</v>
          </cell>
        </row>
        <row r="120">
          <cell r="A120">
            <v>118</v>
          </cell>
          <cell r="B120" t="str">
            <v>PLUG Ø ½" OD A.I.</v>
          </cell>
          <cell r="C120" t="str">
            <v>UND</v>
          </cell>
          <cell r="D120">
            <v>35322</v>
          </cell>
        </row>
        <row r="121">
          <cell r="A121">
            <v>119</v>
          </cell>
          <cell r="B121" t="str">
            <v xml:space="preserve">POLIQUEN </v>
          </cell>
          <cell r="C121" t="str">
            <v>M2</v>
          </cell>
          <cell r="D121">
            <v>12000</v>
          </cell>
        </row>
        <row r="122">
          <cell r="A122">
            <v>120</v>
          </cell>
          <cell r="B122" t="str">
            <v>POLIURETANO</v>
          </cell>
          <cell r="C122" t="str">
            <v>GALON</v>
          </cell>
          <cell r="D122">
            <v>70000</v>
          </cell>
        </row>
        <row r="123">
          <cell r="A123">
            <v>121</v>
          </cell>
          <cell r="B123" t="str">
            <v>POLYWATER</v>
          </cell>
          <cell r="C123" t="str">
            <v>GL</v>
          </cell>
          <cell r="D123">
            <v>0</v>
          </cell>
        </row>
        <row r="124">
          <cell r="A124">
            <v>122</v>
          </cell>
          <cell r="B124" t="str">
            <v>PRENSA ESTOPAS Ø ½" EN BRONCE CROUSE HINDS</v>
          </cell>
          <cell r="C124" t="str">
            <v>UND</v>
          </cell>
          <cell r="D124">
            <v>33600</v>
          </cell>
        </row>
        <row r="125">
          <cell r="A125">
            <v>123</v>
          </cell>
          <cell r="B125" t="str">
            <v>PULSADOR ARRANQUE CON CHANEL</v>
          </cell>
          <cell r="C125" t="str">
            <v>UND</v>
          </cell>
          <cell r="D125">
            <v>430500</v>
          </cell>
        </row>
        <row r="126">
          <cell r="A126">
            <v>124</v>
          </cell>
          <cell r="B126" t="str">
            <v>RECEBO</v>
          </cell>
          <cell r="C126" t="str">
            <v>M3</v>
          </cell>
          <cell r="D126">
            <v>9000</v>
          </cell>
        </row>
        <row r="127">
          <cell r="A127">
            <v>125</v>
          </cell>
          <cell r="B127" t="str">
            <v>REJILLA TIPO T 1 x 1/8"ANTIDESL. GALV. CALIENTE</v>
          </cell>
          <cell r="C127" t="str">
            <v>M2</v>
          </cell>
          <cell r="D127">
            <v>115710</v>
          </cell>
        </row>
        <row r="128">
          <cell r="A128">
            <v>126</v>
          </cell>
          <cell r="B128" t="str">
            <v>RELLENO FLUIDO</v>
          </cell>
          <cell r="C128" t="str">
            <v>M3</v>
          </cell>
          <cell r="D128">
            <v>170000</v>
          </cell>
        </row>
        <row r="129">
          <cell r="A129">
            <v>127</v>
          </cell>
          <cell r="B129" t="str">
            <v>SELLO CORTAFUEGO Ø 1"</v>
          </cell>
          <cell r="C129" t="str">
            <v>UND</v>
          </cell>
          <cell r="D129">
            <v>20949.599999999999</v>
          </cell>
        </row>
        <row r="130">
          <cell r="A130">
            <v>128</v>
          </cell>
          <cell r="B130" t="str">
            <v>SELLO CORTAFUEGO Ø 2"</v>
          </cell>
          <cell r="C130" t="str">
            <v>UND</v>
          </cell>
          <cell r="D130">
            <v>28014</v>
          </cell>
        </row>
        <row r="131">
          <cell r="A131">
            <v>129</v>
          </cell>
          <cell r="B131" t="str">
            <v>SIKA 1 EMPAQUE 2 KG</v>
          </cell>
          <cell r="C131" t="str">
            <v>UND</v>
          </cell>
          <cell r="D131">
            <v>7378</v>
          </cell>
        </row>
        <row r="132">
          <cell r="A132">
            <v>130</v>
          </cell>
          <cell r="B132" t="str">
            <v>SIKA 2 EMPAQUE 2.5 KG.</v>
          </cell>
          <cell r="C132" t="str">
            <v>UND</v>
          </cell>
          <cell r="D132">
            <v>12793</v>
          </cell>
        </row>
        <row r="133">
          <cell r="A133">
            <v>131</v>
          </cell>
          <cell r="B133" t="str">
            <v>SIKA 3 EMPAQUE 5   KG.</v>
          </cell>
          <cell r="C133" t="str">
            <v>UND</v>
          </cell>
          <cell r="D133">
            <v>18148</v>
          </cell>
        </row>
        <row r="134">
          <cell r="A134">
            <v>132</v>
          </cell>
          <cell r="B134" t="str">
            <v>SIKADUR 32 PRIMER</v>
          </cell>
          <cell r="C134" t="str">
            <v>KG</v>
          </cell>
          <cell r="D134">
            <v>43239</v>
          </cell>
        </row>
        <row r="135">
          <cell r="A135">
            <v>133</v>
          </cell>
          <cell r="B135" t="str">
            <v>SIKADUR 42 ANCLAJE</v>
          </cell>
          <cell r="C135" t="str">
            <v>KG</v>
          </cell>
          <cell r="D135">
            <v>17000</v>
          </cell>
        </row>
        <row r="136">
          <cell r="A136">
            <v>134</v>
          </cell>
          <cell r="B136" t="str">
            <v>SIKADUR 42 ANCLAJE  EMPAQUE 15 KG</v>
          </cell>
          <cell r="C136" t="str">
            <v>UND</v>
          </cell>
          <cell r="D136">
            <v>191400</v>
          </cell>
        </row>
        <row r="137">
          <cell r="A137">
            <v>135</v>
          </cell>
          <cell r="B137" t="str">
            <v>SIKADUR 42 ANCLAJE  EMPAQUE 5  KG</v>
          </cell>
          <cell r="C137" t="str">
            <v>UND</v>
          </cell>
          <cell r="D137">
            <v>81200</v>
          </cell>
        </row>
        <row r="138">
          <cell r="A138">
            <v>136</v>
          </cell>
          <cell r="B138" t="str">
            <v>SIKAFLEX PRO3WF</v>
          </cell>
          <cell r="C138" t="str">
            <v>ML</v>
          </cell>
          <cell r="D138">
            <v>8916.6</v>
          </cell>
        </row>
        <row r="139">
          <cell r="A139">
            <v>137</v>
          </cell>
          <cell r="B139" t="str">
            <v>SIKAGROUT 200 EMPAQUE 30 KG</v>
          </cell>
          <cell r="C139" t="str">
            <v>UND</v>
          </cell>
          <cell r="D139">
            <v>37485</v>
          </cell>
        </row>
        <row r="140">
          <cell r="A140">
            <v>138</v>
          </cell>
          <cell r="B140" t="str">
            <v>SIKAGROUT 212</v>
          </cell>
          <cell r="C140" t="str">
            <v>KG</v>
          </cell>
          <cell r="D140">
            <v>1249.5</v>
          </cell>
        </row>
        <row r="141">
          <cell r="A141">
            <v>139</v>
          </cell>
          <cell r="B141" t="str">
            <v>SOLDADURA  A.C.</v>
          </cell>
          <cell r="C141" t="str">
            <v>KG</v>
          </cell>
          <cell r="D141">
            <v>9500</v>
          </cell>
        </row>
        <row r="142">
          <cell r="A142">
            <v>140</v>
          </cell>
          <cell r="B142" t="str">
            <v>SOLDADURA  A.C.-C.R.</v>
          </cell>
          <cell r="C142" t="str">
            <v>KG</v>
          </cell>
          <cell r="D142">
            <v>120000</v>
          </cell>
        </row>
        <row r="143">
          <cell r="A143">
            <v>141</v>
          </cell>
          <cell r="B143" t="str">
            <v>SOLDADURA  S.S.</v>
          </cell>
          <cell r="C143" t="str">
            <v>KG</v>
          </cell>
          <cell r="D143">
            <v>65000</v>
          </cell>
        </row>
        <row r="144">
          <cell r="A144">
            <v>142</v>
          </cell>
          <cell r="B144" t="str">
            <v>SOLDADURA ALE  A.C.</v>
          </cell>
          <cell r="C144" t="str">
            <v>KG</v>
          </cell>
          <cell r="D144">
            <v>120000</v>
          </cell>
        </row>
        <row r="145">
          <cell r="A145">
            <v>143</v>
          </cell>
          <cell r="B145" t="str">
            <v>SOLDADURA CADWELL 120</v>
          </cell>
          <cell r="C145" t="str">
            <v>UND</v>
          </cell>
          <cell r="D145">
            <v>19040</v>
          </cell>
        </row>
        <row r="146">
          <cell r="A146">
            <v>144</v>
          </cell>
          <cell r="B146" t="str">
            <v>SOLDADURA CADWELL 90</v>
          </cell>
          <cell r="C146" t="str">
            <v>UND</v>
          </cell>
          <cell r="D146">
            <v>16660</v>
          </cell>
        </row>
        <row r="147">
          <cell r="A147">
            <v>145</v>
          </cell>
          <cell r="B147" t="str">
            <v>TAPON Ø ½" HEMBRA 3000# A.I. 304</v>
          </cell>
          <cell r="C147" t="str">
            <v>UND</v>
          </cell>
          <cell r="D147">
            <v>7308</v>
          </cell>
        </row>
        <row r="148">
          <cell r="A148">
            <v>146</v>
          </cell>
          <cell r="B148" t="str">
            <v>TAPON Ø ½" HEMBRA 3000# AC</v>
          </cell>
          <cell r="C148" t="str">
            <v>UND</v>
          </cell>
          <cell r="D148">
            <v>2923.2</v>
          </cell>
        </row>
        <row r="149">
          <cell r="A149">
            <v>147</v>
          </cell>
          <cell r="B149" t="str">
            <v>TAPON Ø ½" MACHO 3000# AC</v>
          </cell>
          <cell r="C149" t="str">
            <v>UND</v>
          </cell>
          <cell r="D149">
            <v>2679.6</v>
          </cell>
        </row>
        <row r="150">
          <cell r="A150">
            <v>148</v>
          </cell>
          <cell r="B150" t="str">
            <v>TEE Ø ½" 3000# AC</v>
          </cell>
          <cell r="C150" t="str">
            <v>UND</v>
          </cell>
          <cell r="D150">
            <v>7917</v>
          </cell>
        </row>
        <row r="151">
          <cell r="A151">
            <v>149</v>
          </cell>
          <cell r="B151" t="str">
            <v xml:space="preserve">TEE Ø ½" OD x ½" OD  x ½" OD A.I. </v>
          </cell>
          <cell r="C151" t="str">
            <v>UND</v>
          </cell>
          <cell r="D151">
            <v>92568</v>
          </cell>
        </row>
        <row r="152">
          <cell r="A152">
            <v>150</v>
          </cell>
          <cell r="B152" t="str">
            <v xml:space="preserve">TEE Ø 3/4" 3000# AC </v>
          </cell>
          <cell r="C152" t="str">
            <v>UND</v>
          </cell>
          <cell r="D152">
            <v>11388.3</v>
          </cell>
        </row>
        <row r="153">
          <cell r="A153">
            <v>151</v>
          </cell>
          <cell r="B153" t="str">
            <v>TEE Ø½" 3000# PARA SOLDAR A.I. 304</v>
          </cell>
          <cell r="C153" t="str">
            <v>UND</v>
          </cell>
          <cell r="D153">
            <v>42630</v>
          </cell>
        </row>
        <row r="154">
          <cell r="A154">
            <v>152</v>
          </cell>
          <cell r="B154" t="str">
            <v>TERMINAL OJO COMPRESION CABLE No.1/0 AWG</v>
          </cell>
          <cell r="C154" t="str">
            <v>UND</v>
          </cell>
          <cell r="D154">
            <v>12600</v>
          </cell>
        </row>
        <row r="155">
          <cell r="A155">
            <v>153</v>
          </cell>
          <cell r="B155" t="str">
            <v>TUBERIA CONDUIT AEREA GALV. 1" TIPO RIDGID</v>
          </cell>
          <cell r="C155" t="str">
            <v>ML</v>
          </cell>
          <cell r="D155">
            <v>16485</v>
          </cell>
        </row>
        <row r="156">
          <cell r="A156">
            <v>154</v>
          </cell>
          <cell r="B156" t="str">
            <v>TUBERIA CONDUIT AEREA GALV. 2" TIPO RIDGID</v>
          </cell>
          <cell r="C156" t="str">
            <v>ML</v>
          </cell>
          <cell r="D156">
            <v>34631.1</v>
          </cell>
        </row>
        <row r="157">
          <cell r="A157">
            <v>155</v>
          </cell>
          <cell r="B157" t="str">
            <v>TUBERIA CONDUIT Ø 3/4"</v>
          </cell>
          <cell r="C157" t="str">
            <v>ML</v>
          </cell>
          <cell r="D157">
            <v>13500</v>
          </cell>
        </row>
        <row r="158">
          <cell r="A158">
            <v>156</v>
          </cell>
          <cell r="B158" t="str">
            <v>TUBERIA CONDUIT Ø 1"</v>
          </cell>
          <cell r="C158" t="str">
            <v>ML</v>
          </cell>
          <cell r="D158">
            <v>16485</v>
          </cell>
        </row>
        <row r="159">
          <cell r="A159">
            <v>157</v>
          </cell>
          <cell r="B159" t="str">
            <v>TUBERIA CONDUIT Ø 1½"</v>
          </cell>
          <cell r="C159" t="str">
            <v>ML</v>
          </cell>
          <cell r="D159">
            <v>22000</v>
          </cell>
        </row>
        <row r="160">
          <cell r="A160">
            <v>158</v>
          </cell>
          <cell r="B160" t="str">
            <v>TUBERIA CONDUIT Ø 2"</v>
          </cell>
          <cell r="C160" t="str">
            <v>ML</v>
          </cell>
          <cell r="D160">
            <v>34631</v>
          </cell>
        </row>
        <row r="161">
          <cell r="A161">
            <v>159</v>
          </cell>
          <cell r="B161" t="str">
            <v>TUBERIA Ø ½" SCH 80 AC SIN COSTURA</v>
          </cell>
          <cell r="C161" t="str">
            <v>ML</v>
          </cell>
          <cell r="D161">
            <v>8505</v>
          </cell>
        </row>
        <row r="162">
          <cell r="A162">
            <v>160</v>
          </cell>
          <cell r="B162" t="str">
            <v>TUBERIA Ø 1½" SCH 80 AC SIN COSTURA</v>
          </cell>
          <cell r="C162" t="str">
            <v>ML</v>
          </cell>
          <cell r="D162">
            <v>28350</v>
          </cell>
        </row>
        <row r="163">
          <cell r="A163">
            <v>161</v>
          </cell>
          <cell r="B163" t="str">
            <v>TUBERIA Ø 3/4" SCH 80 AC SIN COSTURA</v>
          </cell>
          <cell r="C163" t="str">
            <v>ML</v>
          </cell>
          <cell r="D163">
            <v>11550</v>
          </cell>
        </row>
        <row r="164">
          <cell r="A164">
            <v>162</v>
          </cell>
          <cell r="B164" t="str">
            <v>TUBING Ø ½" ESPESOR 0,035 A.I.</v>
          </cell>
          <cell r="C164" t="str">
            <v>ML</v>
          </cell>
          <cell r="D164">
            <v>14700</v>
          </cell>
        </row>
        <row r="165">
          <cell r="A165">
            <v>163</v>
          </cell>
          <cell r="B165" t="str">
            <v>TUBING Ø 3/8" OD 0,035 A.I.</v>
          </cell>
          <cell r="C165" t="str">
            <v>ML</v>
          </cell>
          <cell r="D165">
            <v>18900</v>
          </cell>
        </row>
        <row r="166">
          <cell r="A166">
            <v>164</v>
          </cell>
          <cell r="B166" t="str">
            <v>UNION Ø ½"</v>
          </cell>
          <cell r="C166" t="str">
            <v>UND</v>
          </cell>
          <cell r="D166">
            <v>54810</v>
          </cell>
        </row>
        <row r="167">
          <cell r="A167">
            <v>165</v>
          </cell>
          <cell r="B167" t="str">
            <v>UNION UNIVERSAL Ø 3/4" 3000# PARA SOLDAR</v>
          </cell>
          <cell r="C167" t="str">
            <v>UND</v>
          </cell>
          <cell r="D167">
            <v>15834</v>
          </cell>
        </row>
        <row r="168">
          <cell r="A168">
            <v>166</v>
          </cell>
          <cell r="B168" t="str">
            <v>UNIVERSAL GALVANIZADA Ø 1"</v>
          </cell>
          <cell r="C168" t="str">
            <v>UND</v>
          </cell>
          <cell r="D168">
            <v>22837.5</v>
          </cell>
        </row>
        <row r="169">
          <cell r="A169">
            <v>167</v>
          </cell>
          <cell r="B169" t="str">
            <v>VALVULA COMPUERTA Ø ½" ROSCADA 800# AC</v>
          </cell>
          <cell r="C169" t="str">
            <v>UND</v>
          </cell>
          <cell r="D169">
            <v>103530</v>
          </cell>
        </row>
        <row r="170">
          <cell r="A170">
            <v>168</v>
          </cell>
          <cell r="B170" t="str">
            <v>VALVULA COMPUERTA Ø ½" SW 800# A.I. 304</v>
          </cell>
          <cell r="C170" t="str">
            <v>UND</v>
          </cell>
          <cell r="D170">
            <v>316680</v>
          </cell>
        </row>
        <row r="171">
          <cell r="A171">
            <v>169</v>
          </cell>
          <cell r="B171" t="str">
            <v>VALVULA COMPUERTA Ø ½" SW 800# AC</v>
          </cell>
          <cell r="C171" t="str">
            <v>UND</v>
          </cell>
          <cell r="D171">
            <v>109620</v>
          </cell>
        </row>
        <row r="172">
          <cell r="A172">
            <v>170</v>
          </cell>
          <cell r="B172" t="str">
            <v>VALVULA COMPUERTA Ø 3/4" SW 800# AC</v>
          </cell>
          <cell r="C172" t="str">
            <v>UND</v>
          </cell>
          <cell r="D172">
            <v>116928</v>
          </cell>
        </row>
        <row r="173">
          <cell r="A173">
            <v>171</v>
          </cell>
          <cell r="B173" t="str">
            <v>VALVULA Ø ½" 0D 3000 A.I. AGUJA</v>
          </cell>
          <cell r="C173" t="str">
            <v>UND</v>
          </cell>
          <cell r="D173">
            <v>328860</v>
          </cell>
        </row>
        <row r="174">
          <cell r="A174">
            <v>172</v>
          </cell>
          <cell r="B174" t="str">
            <v>VALVULA Ø ½" NPT HEMBRA BRONCE BOLA 150#</v>
          </cell>
          <cell r="C174" t="str">
            <v>UND</v>
          </cell>
          <cell r="D174">
            <v>10353</v>
          </cell>
        </row>
        <row r="175">
          <cell r="A175">
            <v>173</v>
          </cell>
          <cell r="B175" t="str">
            <v>VARILLA COOPERWELL</v>
          </cell>
          <cell r="C175" t="str">
            <v>UND</v>
          </cell>
          <cell r="D175">
            <v>31500</v>
          </cell>
        </row>
        <row r="176">
          <cell r="A176">
            <v>174</v>
          </cell>
          <cell r="B176" t="str">
            <v>VARILLA CORRUGADA Ø ½" CON HY-150 HYLTI</v>
          </cell>
          <cell r="C176" t="str">
            <v>UND</v>
          </cell>
          <cell r="D176">
            <v>26250</v>
          </cell>
        </row>
        <row r="177">
          <cell r="A177">
            <v>175</v>
          </cell>
          <cell r="B177" t="str">
            <v>VARILLA CORRUGADA Ø 3/4" CON HY-150 HYLTI</v>
          </cell>
          <cell r="C177" t="str">
            <v>UND</v>
          </cell>
          <cell r="D177">
            <v>52500</v>
          </cell>
        </row>
        <row r="178">
          <cell r="A178">
            <v>176</v>
          </cell>
          <cell r="B178" t="str">
            <v>CIELO-RASO SONOCOR</v>
          </cell>
          <cell r="C178" t="str">
            <v>M2</v>
          </cell>
          <cell r="D178">
            <v>23000</v>
          </cell>
        </row>
        <row r="179">
          <cell r="A179">
            <v>177</v>
          </cell>
          <cell r="B179" t="str">
            <v>PANEL MODULAR</v>
          </cell>
          <cell r="C179" t="str">
            <v>UND</v>
          </cell>
          <cell r="D179">
            <v>350000</v>
          </cell>
        </row>
        <row r="180">
          <cell r="A180">
            <v>178</v>
          </cell>
          <cell r="B180" t="str">
            <v>PLOTEADA DE PLANOS, COPIAS MAGNETICAS</v>
          </cell>
          <cell r="C180" t="str">
            <v>GL</v>
          </cell>
          <cell r="D180">
            <v>1500000</v>
          </cell>
        </row>
        <row r="181">
          <cell r="A181">
            <v>179</v>
          </cell>
          <cell r="B181" t="str">
            <v>CAMIONETA</v>
          </cell>
          <cell r="C181" t="str">
            <v>UND</v>
          </cell>
          <cell r="D181">
            <v>40000</v>
          </cell>
        </row>
        <row r="182">
          <cell r="A182">
            <v>180</v>
          </cell>
          <cell r="B182" t="str">
            <v>PLOTEADA DE PLANOS, COPIAS MAGNETICAS</v>
          </cell>
          <cell r="C182" t="str">
            <v>GL</v>
          </cell>
          <cell r="D182">
            <v>4192880</v>
          </cell>
        </row>
        <row r="183">
          <cell r="A183">
            <v>181</v>
          </cell>
          <cell r="B183" t="str">
            <v>DESCARGADOR SOBRETENSION LÍNEAS DATOS</v>
          </cell>
          <cell r="C183" t="str">
            <v>UND</v>
          </cell>
          <cell r="D183">
            <v>395850</v>
          </cell>
        </row>
        <row r="184">
          <cell r="A184">
            <v>182</v>
          </cell>
          <cell r="B184" t="str">
            <v>ELEMENTOS SOPORTE Y FIJACION</v>
          </cell>
          <cell r="C184" t="str">
            <v>GL</v>
          </cell>
          <cell r="D184">
            <v>80000</v>
          </cell>
        </row>
        <row r="185">
          <cell r="A185">
            <v>183</v>
          </cell>
          <cell r="B185" t="str">
            <v>ACCESORIOS, A.I., A.C., TUBING, PRENSAESTOP.</v>
          </cell>
          <cell r="C185" t="str">
            <v>GL</v>
          </cell>
          <cell r="D185">
            <v>200000</v>
          </cell>
        </row>
        <row r="186">
          <cell r="A186">
            <v>184</v>
          </cell>
          <cell r="B186" t="str">
            <v>TUBERIA CONDUIT, PRENSAESTOPAS</v>
          </cell>
          <cell r="C186" t="str">
            <v>GL</v>
          </cell>
          <cell r="D186">
            <v>150000</v>
          </cell>
        </row>
        <row r="187">
          <cell r="A187">
            <v>185</v>
          </cell>
          <cell r="B187" t="str">
            <v>GASOLINA</v>
          </cell>
          <cell r="C187" t="str">
            <v>GLN</v>
          </cell>
          <cell r="D187">
            <v>3800</v>
          </cell>
        </row>
        <row r="188">
          <cell r="A188">
            <v>186</v>
          </cell>
          <cell r="B188" t="str">
            <v>MARCO PARA INGRESO CABLES A CUARTO C.</v>
          </cell>
          <cell r="C188" t="str">
            <v>GL</v>
          </cell>
          <cell r="D188">
            <v>9000000</v>
          </cell>
        </row>
        <row r="189">
          <cell r="A189">
            <v>187</v>
          </cell>
          <cell r="B189" t="str">
            <v>MARCO PARA INGRESO CABLES A GABINETE</v>
          </cell>
          <cell r="C189" t="str">
            <v>GL</v>
          </cell>
          <cell r="D189">
            <v>2200000</v>
          </cell>
        </row>
        <row r="190">
          <cell r="A190">
            <v>188</v>
          </cell>
          <cell r="B190" t="str">
            <v>MARCO PARA SALIDA CABLES DE GABINETE</v>
          </cell>
          <cell r="C190" t="str">
            <v>GL</v>
          </cell>
          <cell r="D190">
            <v>950000</v>
          </cell>
        </row>
        <row r="191">
          <cell r="A191">
            <v>189</v>
          </cell>
          <cell r="B191" t="str">
            <v>PERFIL METALICO</v>
          </cell>
          <cell r="C191" t="str">
            <v>KG</v>
          </cell>
          <cell r="D191">
            <v>2500</v>
          </cell>
        </row>
        <row r="192">
          <cell r="A192">
            <v>190</v>
          </cell>
          <cell r="B192" t="str">
            <v>SOLDADURA, DISCOS, GRATAS, GAS, O2, ETC.</v>
          </cell>
          <cell r="C192" t="str">
            <v>GL</v>
          </cell>
          <cell r="D192">
            <v>12000</v>
          </cell>
        </row>
        <row r="193">
          <cell r="A193">
            <v>191</v>
          </cell>
          <cell r="B193" t="str">
            <v>SOLDADURA, DISCOS, GRATAS, GAS, O2, ETC.</v>
          </cell>
          <cell r="C193" t="str">
            <v>GL</v>
          </cell>
          <cell r="D193">
            <v>36000</v>
          </cell>
        </row>
        <row r="194">
          <cell r="A194">
            <v>192</v>
          </cell>
          <cell r="B194" t="str">
            <v>SOLDADURA, DISCOS, GRATAS, GAS, O2, ETC.</v>
          </cell>
          <cell r="C194" t="str">
            <v>GL</v>
          </cell>
          <cell r="D194">
            <v>27000</v>
          </cell>
        </row>
        <row r="195">
          <cell r="A195">
            <v>193</v>
          </cell>
          <cell r="B195" t="str">
            <v>SOLDADURA, DISCOS, GRATAS, GAS, O2, ETC.</v>
          </cell>
          <cell r="C195" t="str">
            <v>GL</v>
          </cell>
          <cell r="D195">
            <v>324000</v>
          </cell>
        </row>
        <row r="196">
          <cell r="A196">
            <v>194</v>
          </cell>
          <cell r="B196" t="str">
            <v>TINTAS PENETRANTES</v>
          </cell>
          <cell r="C196" t="str">
            <v>GL</v>
          </cell>
          <cell r="D196">
            <v>600</v>
          </cell>
        </row>
        <row r="197">
          <cell r="A197">
            <v>195</v>
          </cell>
          <cell r="B197" t="str">
            <v>ACCESORIOS TUBERIA CONDUIT Ø 1"</v>
          </cell>
          <cell r="C197" t="str">
            <v>GL</v>
          </cell>
          <cell r="D197">
            <v>1000</v>
          </cell>
        </row>
        <row r="198">
          <cell r="A198">
            <v>196</v>
          </cell>
          <cell r="B198" t="str">
            <v>ACCESORIOS TUBERIA CONDUIT Ø 1½"</v>
          </cell>
          <cell r="C198" t="str">
            <v>GL</v>
          </cell>
          <cell r="D198">
            <v>1500</v>
          </cell>
        </row>
        <row r="199">
          <cell r="A199">
            <v>197</v>
          </cell>
          <cell r="B199" t="str">
            <v>ACCESORIOS TUBERIA CONDUIT Ø 2"</v>
          </cell>
          <cell r="C199" t="str">
            <v>GL</v>
          </cell>
          <cell r="D199">
            <v>2000</v>
          </cell>
        </row>
        <row r="200">
          <cell r="A200">
            <v>198</v>
          </cell>
          <cell r="B200" t="str">
            <v>ACCESORIOS TUBERIA CONDUIT Ø 4"</v>
          </cell>
          <cell r="C200" t="str">
            <v>GL</v>
          </cell>
          <cell r="D200">
            <v>5000</v>
          </cell>
        </row>
        <row r="201">
          <cell r="A201">
            <v>199</v>
          </cell>
          <cell r="B201" t="str">
            <v>GRAPAS EN ALUMINIO Ø 1"</v>
          </cell>
          <cell r="C201" t="str">
            <v>UND</v>
          </cell>
          <cell r="D201">
            <v>1050</v>
          </cell>
        </row>
        <row r="202">
          <cell r="A202">
            <v>200</v>
          </cell>
          <cell r="B202" t="str">
            <v>GRAPAS EN ALUMINIO Ø 1½"</v>
          </cell>
          <cell r="C202" t="str">
            <v>UND</v>
          </cell>
          <cell r="D202">
            <v>1050</v>
          </cell>
        </row>
        <row r="203">
          <cell r="A203">
            <v>201</v>
          </cell>
          <cell r="B203" t="str">
            <v>TAPA ROSCADA PARA TUBERIA CONDUIT Ø1"</v>
          </cell>
          <cell r="C203" t="str">
            <v>UND</v>
          </cell>
          <cell r="D203">
            <v>1260</v>
          </cell>
        </row>
        <row r="204">
          <cell r="A204">
            <v>202</v>
          </cell>
          <cell r="B204" t="str">
            <v>TAPA ROSCADA PARA TUBERIA CONDUIT Ø1½"</v>
          </cell>
          <cell r="C204" t="str">
            <v>UND</v>
          </cell>
          <cell r="D204">
            <v>1260</v>
          </cell>
        </row>
        <row r="205">
          <cell r="A205">
            <v>203</v>
          </cell>
          <cell r="B205" t="str">
            <v>TAPA ROSCADA PARA TUBERIA CONDUIT Ø2"</v>
          </cell>
          <cell r="C205" t="str">
            <v>UND</v>
          </cell>
          <cell r="D205">
            <v>2100</v>
          </cell>
        </row>
        <row r="206">
          <cell r="A206">
            <v>204</v>
          </cell>
          <cell r="B206" t="str">
            <v>TAPA ROSCADA PARA TUBERIA CONDUIT Ø4"</v>
          </cell>
          <cell r="C206" t="str">
            <v>UND</v>
          </cell>
          <cell r="D206">
            <v>8400</v>
          </cell>
        </row>
        <row r="207">
          <cell r="A207">
            <v>205</v>
          </cell>
          <cell r="B207" t="str">
            <v>ANCLAJE AA 7/8 SIN CAMISA</v>
          </cell>
          <cell r="C207" t="str">
            <v>UND</v>
          </cell>
          <cell r="D207">
            <v>30000</v>
          </cell>
        </row>
        <row r="208">
          <cell r="A208">
            <v>206</v>
          </cell>
          <cell r="B208" t="str">
            <v>SOLDADURA, DISCOS, GRATAS, GAS, O2, ETC.</v>
          </cell>
          <cell r="C208" t="str">
            <v>GL</v>
          </cell>
          <cell r="D208">
            <v>90000</v>
          </cell>
        </row>
        <row r="209">
          <cell r="A209">
            <v>207</v>
          </cell>
          <cell r="B209" t="str">
            <v xml:space="preserve">MANOMETRO Y ACCESORIOS </v>
          </cell>
          <cell r="C209" t="str">
            <v>GL</v>
          </cell>
          <cell r="D209">
            <v>1000</v>
          </cell>
        </row>
        <row r="210">
          <cell r="A210">
            <v>208</v>
          </cell>
          <cell r="B210" t="str">
            <v>GRAVA</v>
          </cell>
          <cell r="C210" t="str">
            <v>M3</v>
          </cell>
          <cell r="D210">
            <v>45000</v>
          </cell>
        </row>
        <row r="211">
          <cell r="A211">
            <v>209</v>
          </cell>
          <cell r="B211" t="str">
            <v>SOLDAD., DISCOS, GRATAS, GAS, O2, ETC.</v>
          </cell>
          <cell r="C211" t="str">
            <v>GL</v>
          </cell>
          <cell r="D211">
            <v>2500</v>
          </cell>
        </row>
        <row r="212">
          <cell r="A212">
            <v>210</v>
          </cell>
          <cell r="B212" t="str">
            <v>SOLDAD., DISCOS, GRAT., GAS, O2, Ø10"</v>
          </cell>
          <cell r="C212" t="str">
            <v>GL</v>
          </cell>
          <cell r="D212">
            <v>80000</v>
          </cell>
        </row>
        <row r="213">
          <cell r="A213">
            <v>211</v>
          </cell>
          <cell r="B213" t="str">
            <v>SOLDAD., DISCOS, GRAT., GAS, O2, Ø8"</v>
          </cell>
          <cell r="C213" t="str">
            <v>GL</v>
          </cell>
          <cell r="D213">
            <v>64000</v>
          </cell>
        </row>
        <row r="214">
          <cell r="A214">
            <v>212</v>
          </cell>
          <cell r="B214" t="str">
            <v>SOLDAD., DISCOS, GRAT., GAS, O2, Ø6"</v>
          </cell>
          <cell r="C214" t="str">
            <v>GL</v>
          </cell>
          <cell r="D214">
            <v>48000</v>
          </cell>
        </row>
        <row r="215">
          <cell r="A215">
            <v>213</v>
          </cell>
          <cell r="B215" t="str">
            <v>SOLDAD., DISCOS, GRAT., GAS, O2, Ø4"</v>
          </cell>
          <cell r="C215" t="str">
            <v>GL</v>
          </cell>
          <cell r="D215">
            <v>32000</v>
          </cell>
        </row>
        <row r="216">
          <cell r="A216">
            <v>214</v>
          </cell>
          <cell r="B216" t="str">
            <v>SOLDAD., DISCOS, GRAT., GAS, O2, Ø3"</v>
          </cell>
          <cell r="C216" t="str">
            <v>GL</v>
          </cell>
          <cell r="D216">
            <v>24000</v>
          </cell>
        </row>
        <row r="217">
          <cell r="A217">
            <v>215</v>
          </cell>
          <cell r="B217" t="str">
            <v>SOLDAD., DISCOS, GRAT., GAS, O2, Ø2"</v>
          </cell>
          <cell r="C217" t="str">
            <v>GL</v>
          </cell>
          <cell r="D217">
            <v>16000</v>
          </cell>
        </row>
        <row r="218">
          <cell r="A218">
            <v>216</v>
          </cell>
          <cell r="B218" t="str">
            <v>SOLDAD., DISCOS, GRAT., GAS, O2, Ø1½"</v>
          </cell>
          <cell r="C218" t="str">
            <v>GL</v>
          </cell>
          <cell r="D218">
            <v>12000</v>
          </cell>
        </row>
        <row r="219">
          <cell r="A219">
            <v>217</v>
          </cell>
          <cell r="B219" t="str">
            <v>SOLDAD., DISCOS, GRAT., GAS, O2, Ø1"</v>
          </cell>
          <cell r="C219" t="str">
            <v>GL</v>
          </cell>
          <cell r="D219">
            <v>8000</v>
          </cell>
        </row>
        <row r="220">
          <cell r="A220">
            <v>218</v>
          </cell>
          <cell r="B220" t="str">
            <v>SOLDAD., DISCOS, GRAT., GAS, O2, Ø3/4"</v>
          </cell>
          <cell r="C220" t="str">
            <v>GL</v>
          </cell>
          <cell r="D220">
            <v>6000</v>
          </cell>
        </row>
        <row r="221">
          <cell r="A221">
            <v>219</v>
          </cell>
          <cell r="B221" t="str">
            <v xml:space="preserve">ACCESORIOS </v>
          </cell>
          <cell r="C221" t="str">
            <v>GL</v>
          </cell>
          <cell r="D221">
            <v>10000</v>
          </cell>
        </row>
        <row r="222">
          <cell r="A222">
            <v>220</v>
          </cell>
          <cell r="B222" t="str">
            <v xml:space="preserve">ACCESORIOS </v>
          </cell>
          <cell r="C222" t="str">
            <v>GL</v>
          </cell>
          <cell r="D222">
            <v>10000</v>
          </cell>
        </row>
        <row r="223">
          <cell r="A223">
            <v>221</v>
          </cell>
          <cell r="B223" t="str">
            <v>CORDON DE ASBESTO</v>
          </cell>
          <cell r="C223" t="str">
            <v>ML</v>
          </cell>
          <cell r="D223">
            <v>25000</v>
          </cell>
        </row>
        <row r="224">
          <cell r="A224">
            <v>222</v>
          </cell>
          <cell r="B224" t="str">
            <v>TERMINAL OJO COMPRESION CABLE No.16 AWG</v>
          </cell>
          <cell r="C224" t="str">
            <v>UND</v>
          </cell>
          <cell r="D224">
            <v>1500</v>
          </cell>
        </row>
        <row r="225">
          <cell r="A225">
            <v>223</v>
          </cell>
          <cell r="B225" t="str">
            <v>TERMINAL OJO COMPRESION CABLE No.12 AWG</v>
          </cell>
          <cell r="C225" t="str">
            <v>UND</v>
          </cell>
          <cell r="D225">
            <v>2500</v>
          </cell>
        </row>
        <row r="226">
          <cell r="A226">
            <v>224</v>
          </cell>
          <cell r="B226" t="str">
            <v>SOPORTERIA</v>
          </cell>
          <cell r="C226" t="str">
            <v>GL</v>
          </cell>
          <cell r="D226">
            <v>8000</v>
          </cell>
        </row>
        <row r="227">
          <cell r="A227">
            <v>225</v>
          </cell>
          <cell r="B227" t="str">
            <v>UNIVERSAL GALVANIZADA Ø 2"</v>
          </cell>
          <cell r="C227" t="str">
            <v>UND</v>
          </cell>
          <cell r="D227">
            <v>55000</v>
          </cell>
        </row>
        <row r="228">
          <cell r="A228">
            <v>226</v>
          </cell>
          <cell r="B228" t="str">
            <v>ADITIVOS</v>
          </cell>
          <cell r="C228" t="str">
            <v>GL</v>
          </cell>
          <cell r="D228">
            <v>8000</v>
          </cell>
        </row>
        <row r="229">
          <cell r="A229">
            <v>227</v>
          </cell>
          <cell r="B229" t="str">
            <v>MORTERO DE PEGA</v>
          </cell>
          <cell r="C229" t="str">
            <v>M3</v>
          </cell>
          <cell r="D229">
            <v>180000</v>
          </cell>
        </row>
        <row r="230">
          <cell r="A230">
            <v>228</v>
          </cell>
          <cell r="B230" t="str">
            <v>VENTANA SEG. 0.60x0.60 CON VIDRIO</v>
          </cell>
          <cell r="C230" t="str">
            <v>UND</v>
          </cell>
          <cell r="D230">
            <v>155000</v>
          </cell>
        </row>
        <row r="231">
          <cell r="A231">
            <v>229</v>
          </cell>
          <cell r="B231" t="str">
            <v>PUERTA SEG. LAM. GALV. Y CERRAD.</v>
          </cell>
          <cell r="C231" t="str">
            <v>UND</v>
          </cell>
          <cell r="D231">
            <v>550000</v>
          </cell>
        </row>
        <row r="232">
          <cell r="A232">
            <v>230</v>
          </cell>
          <cell r="B232" t="str">
            <v>BARRA ANTIPANICO</v>
          </cell>
          <cell r="C232" t="str">
            <v>UND</v>
          </cell>
          <cell r="D232">
            <v>550000</v>
          </cell>
        </row>
        <row r="233">
          <cell r="A233">
            <v>231</v>
          </cell>
          <cell r="B233" t="str">
            <v>MANTO ZETAL</v>
          </cell>
          <cell r="C233" t="str">
            <v>M2</v>
          </cell>
          <cell r="D233">
            <v>10000</v>
          </cell>
        </row>
        <row r="234">
          <cell r="A234">
            <v>232</v>
          </cell>
          <cell r="B234" t="str">
            <v>PLASTIESTUCO</v>
          </cell>
          <cell r="C234" t="str">
            <v>GL</v>
          </cell>
          <cell r="D234">
            <v>1000</v>
          </cell>
        </row>
        <row r="235">
          <cell r="A235">
            <v>233</v>
          </cell>
          <cell r="B235" t="str">
            <v>MUEBLE PARA CONSOLA</v>
          </cell>
          <cell r="C235" t="str">
            <v>UND</v>
          </cell>
          <cell r="D235">
            <v>2700000</v>
          </cell>
        </row>
        <row r="236">
          <cell r="A236">
            <v>234</v>
          </cell>
          <cell r="B236" t="str">
            <v xml:space="preserve">SILLAS </v>
          </cell>
          <cell r="C236" t="str">
            <v>UND</v>
          </cell>
          <cell r="D236">
            <v>140000</v>
          </cell>
        </row>
        <row r="237">
          <cell r="A237">
            <v>235</v>
          </cell>
          <cell r="B237" t="str">
            <v>LUMINARIA</v>
          </cell>
          <cell r="C237" t="str">
            <v>UND</v>
          </cell>
          <cell r="D237">
            <v>350000</v>
          </cell>
        </row>
        <row r="238">
          <cell r="A238">
            <v>236</v>
          </cell>
          <cell r="B238" t="str">
            <v>UNIVERSAL GALVANIZADA Ø 3/4"</v>
          </cell>
          <cell r="C238" t="str">
            <v>UND</v>
          </cell>
          <cell r="D238">
            <v>15000</v>
          </cell>
        </row>
        <row r="239">
          <cell r="A239">
            <v>237</v>
          </cell>
          <cell r="B239" t="str">
            <v>UNIVERSAL GALVANIZADA Ø 1"</v>
          </cell>
          <cell r="C239" t="str">
            <v>UND</v>
          </cell>
          <cell r="D239">
            <v>18000</v>
          </cell>
        </row>
        <row r="240">
          <cell r="A240">
            <v>238</v>
          </cell>
          <cell r="B240" t="str">
            <v>UNIVERSAL GALVANIZADA Ø 1½"</v>
          </cell>
          <cell r="C240" t="str">
            <v>UND</v>
          </cell>
          <cell r="D240">
            <v>35000</v>
          </cell>
        </row>
        <row r="241">
          <cell r="A241">
            <v>239</v>
          </cell>
          <cell r="B241" t="str">
            <v>UNIVERSAL GALVANIZADA Ø 2"</v>
          </cell>
          <cell r="C241" t="str">
            <v>UND</v>
          </cell>
          <cell r="D241">
            <v>46000</v>
          </cell>
        </row>
        <row r="242">
          <cell r="A242">
            <v>240</v>
          </cell>
          <cell r="B242" t="str">
            <v>SELLO GALVANIZADO Ø 3/4"</v>
          </cell>
          <cell r="C242" t="str">
            <v>UND</v>
          </cell>
          <cell r="D242">
            <v>15000</v>
          </cell>
        </row>
        <row r="243">
          <cell r="A243">
            <v>241</v>
          </cell>
          <cell r="B243" t="str">
            <v>SELLO GALVANIZADO Ø 1"</v>
          </cell>
          <cell r="C243" t="str">
            <v>UND</v>
          </cell>
          <cell r="D243">
            <v>18000</v>
          </cell>
        </row>
        <row r="244">
          <cell r="A244">
            <v>242</v>
          </cell>
          <cell r="B244" t="str">
            <v>SELLO GALVANIZADO Ø 1½"</v>
          </cell>
          <cell r="C244" t="str">
            <v>UND</v>
          </cell>
          <cell r="D244">
            <v>35000</v>
          </cell>
        </row>
        <row r="245">
          <cell r="A245">
            <v>243</v>
          </cell>
          <cell r="B245" t="str">
            <v>SELLO GALVANIZADO Ø 2"</v>
          </cell>
          <cell r="C245" t="str">
            <v>UND</v>
          </cell>
          <cell r="D245">
            <v>46000</v>
          </cell>
        </row>
        <row r="246">
          <cell r="A246">
            <v>244</v>
          </cell>
          <cell r="B246" t="str">
            <v>CAJA TIPO GUAL, GUAT Ø 3/4"</v>
          </cell>
          <cell r="C246" t="str">
            <v>UND</v>
          </cell>
          <cell r="D246">
            <v>55000</v>
          </cell>
        </row>
        <row r="247">
          <cell r="A247">
            <v>245</v>
          </cell>
          <cell r="B247" t="str">
            <v>CAJA TIPO GUAL, GUAT Ø 1"</v>
          </cell>
          <cell r="C247" t="str">
            <v>UND</v>
          </cell>
          <cell r="D247">
            <v>70000</v>
          </cell>
        </row>
        <row r="248">
          <cell r="A248">
            <v>246</v>
          </cell>
          <cell r="B248" t="str">
            <v>CAJA TIPO GUAL, GUAT Ø 1½"</v>
          </cell>
          <cell r="C248" t="str">
            <v>UND</v>
          </cell>
          <cell r="D248">
            <v>102000</v>
          </cell>
        </row>
        <row r="249">
          <cell r="A249">
            <v>247</v>
          </cell>
          <cell r="B249" t="str">
            <v>CAJA TIPO GUAL, GUAT Ø 2"</v>
          </cell>
          <cell r="C249" t="str">
            <v>UND</v>
          </cell>
          <cell r="D249">
            <v>180000</v>
          </cell>
        </row>
        <row r="250">
          <cell r="A250">
            <v>248</v>
          </cell>
          <cell r="B250" t="str">
            <v>BOQUILLA Ø 1"</v>
          </cell>
          <cell r="C250" t="str">
            <v>UND</v>
          </cell>
          <cell r="D250">
            <v>5334</v>
          </cell>
        </row>
        <row r="251">
          <cell r="A251">
            <v>249</v>
          </cell>
          <cell r="B251" t="str">
            <v>BOQUILLA Ø 1½"</v>
          </cell>
          <cell r="C251" t="str">
            <v>UND</v>
          </cell>
          <cell r="D251">
            <v>9420</v>
          </cell>
        </row>
        <row r="252">
          <cell r="A252">
            <v>250</v>
          </cell>
          <cell r="B252" t="str">
            <v>BOQUILLA Ø 2"</v>
          </cell>
          <cell r="C252" t="str">
            <v>UND</v>
          </cell>
          <cell r="D252">
            <v>13851</v>
          </cell>
        </row>
        <row r="253">
          <cell r="A253">
            <v>251</v>
          </cell>
          <cell r="B253" t="str">
            <v>FLEXIBLE "EXPLOS. PROOF" ½" x 0.60 m</v>
          </cell>
          <cell r="C253" t="str">
            <v>UND</v>
          </cell>
          <cell r="D253">
            <v>130000</v>
          </cell>
        </row>
        <row r="254">
          <cell r="A254">
            <v>252</v>
          </cell>
          <cell r="B254" t="str">
            <v>CHICCO A  Y FIBRA</v>
          </cell>
          <cell r="C254" t="str">
            <v>KG</v>
          </cell>
          <cell r="D254">
            <v>15000</v>
          </cell>
        </row>
        <row r="255">
          <cell r="A255">
            <v>253</v>
          </cell>
          <cell r="B255" t="str">
            <v>CABLE INST. 1PR  2x16+SH AWG 600V</v>
          </cell>
          <cell r="C255" t="str">
            <v>ML</v>
          </cell>
          <cell r="D255">
            <v>3500</v>
          </cell>
        </row>
        <row r="256">
          <cell r="A256">
            <v>254</v>
          </cell>
          <cell r="B256" t="str">
            <v>CABALE PARA TERMOCUPLA TIPO J</v>
          </cell>
          <cell r="C256" t="str">
            <v>ML</v>
          </cell>
          <cell r="D256">
            <v>29000</v>
          </cell>
        </row>
        <row r="257">
          <cell r="A257">
            <v>255</v>
          </cell>
          <cell r="B257" t="str">
            <v>CABLE MULT. 24PR  2x20+SH AWG 600V</v>
          </cell>
          <cell r="C257" t="str">
            <v>ML</v>
          </cell>
          <cell r="D257">
            <v>38000</v>
          </cell>
        </row>
        <row r="258">
          <cell r="A258">
            <v>256</v>
          </cell>
          <cell r="B258" t="str">
            <v>CABLE MONOPOLAR No.4 AWG 600V</v>
          </cell>
          <cell r="C258" t="str">
            <v>ML</v>
          </cell>
          <cell r="D258">
            <v>6000</v>
          </cell>
        </row>
        <row r="259">
          <cell r="A259">
            <v>257</v>
          </cell>
          <cell r="B259" t="str">
            <v>CABLE MULTIC. 3x12 AWG PVC 600V</v>
          </cell>
          <cell r="C259" t="str">
            <v>ML</v>
          </cell>
          <cell r="D259">
            <v>5200</v>
          </cell>
        </row>
        <row r="260">
          <cell r="A260">
            <v>258</v>
          </cell>
          <cell r="B260" t="str">
            <v>CABLE MULTIC. 4x12 AWG PVC 600V</v>
          </cell>
          <cell r="C260" t="str">
            <v>ML</v>
          </cell>
          <cell r="D260">
            <v>6800</v>
          </cell>
        </row>
        <row r="261">
          <cell r="A261">
            <v>259</v>
          </cell>
          <cell r="B261" t="str">
            <v>CABLE COBRE DESNUDO No.2/0 AWG</v>
          </cell>
          <cell r="C261" t="str">
            <v>ML</v>
          </cell>
          <cell r="D261">
            <v>12000</v>
          </cell>
        </row>
        <row r="262">
          <cell r="A262">
            <v>260</v>
          </cell>
          <cell r="B262" t="str">
            <v>CABLE COBRE DESNUDO No.2 AWG</v>
          </cell>
          <cell r="C262" t="str">
            <v>ML</v>
          </cell>
          <cell r="D262">
            <v>10900</v>
          </cell>
        </row>
        <row r="263">
          <cell r="A263">
            <v>261</v>
          </cell>
          <cell r="B263" t="str">
            <v>MALLA DE TIERRA</v>
          </cell>
          <cell r="C263" t="str">
            <v>GL</v>
          </cell>
          <cell r="D263">
            <v>2595008</v>
          </cell>
        </row>
        <row r="264">
          <cell r="A264">
            <v>262</v>
          </cell>
          <cell r="B264" t="str">
            <v>TERMINALES Y MARQUILLAS</v>
          </cell>
          <cell r="C264" t="str">
            <v>GL</v>
          </cell>
          <cell r="D264">
            <v>1500</v>
          </cell>
        </row>
        <row r="265">
          <cell r="A265">
            <v>263</v>
          </cell>
          <cell r="B265" t="str">
            <v>MATERIALES DE SOPORTERIA</v>
          </cell>
          <cell r="C265" t="str">
            <v>GL</v>
          </cell>
          <cell r="D265">
            <v>39000</v>
          </cell>
        </row>
        <row r="266">
          <cell r="A266">
            <v>264</v>
          </cell>
          <cell r="B266" t="str">
            <v>TUB. CONDUIT, ACCESORIOS, ETC.</v>
          </cell>
          <cell r="C266" t="str">
            <v>GL</v>
          </cell>
          <cell r="D266">
            <v>10000</v>
          </cell>
        </row>
        <row r="267">
          <cell r="A267">
            <v>265</v>
          </cell>
          <cell r="B267" t="str">
            <v>PROCESADORES</v>
          </cell>
          <cell r="C267" t="str">
            <v>UND</v>
          </cell>
          <cell r="D267">
            <v>20000000</v>
          </cell>
        </row>
        <row r="268">
          <cell r="A268">
            <v>266</v>
          </cell>
          <cell r="B268" t="str">
            <v>MODULOS DE ENTRADA</v>
          </cell>
          <cell r="C268" t="str">
            <v>UND</v>
          </cell>
          <cell r="D268">
            <v>3500000</v>
          </cell>
        </row>
        <row r="269">
          <cell r="A269">
            <v>267</v>
          </cell>
          <cell r="B269" t="str">
            <v>MODULOS DE SALIDAD</v>
          </cell>
          <cell r="C269" t="str">
            <v>UND</v>
          </cell>
          <cell r="D269">
            <v>3500000</v>
          </cell>
        </row>
        <row r="270">
          <cell r="A270">
            <v>268</v>
          </cell>
          <cell r="B270" t="str">
            <v>SOFTWARE SUPERVISORIO</v>
          </cell>
          <cell r="C270" t="str">
            <v>UND</v>
          </cell>
          <cell r="D270">
            <v>33500000</v>
          </cell>
        </row>
        <row r="271">
          <cell r="A271">
            <v>269</v>
          </cell>
          <cell r="B271" t="str">
            <v>GABINETE CONCENTRADOR SEÑALES</v>
          </cell>
          <cell r="C271" t="str">
            <v>UND</v>
          </cell>
          <cell r="D271">
            <v>11500000</v>
          </cell>
        </row>
        <row r="272">
          <cell r="A272">
            <v>270</v>
          </cell>
          <cell r="B272" t="str">
            <v>TRASFORM. AISLAMTO. 480/220/110</v>
          </cell>
          <cell r="C272" t="str">
            <v>UND</v>
          </cell>
          <cell r="D272">
            <v>4200000</v>
          </cell>
        </row>
        <row r="273">
          <cell r="A273">
            <v>271</v>
          </cell>
          <cell r="B273" t="str">
            <v>TABLERO DISTRIBUC. DE UPS</v>
          </cell>
          <cell r="C273" t="str">
            <v>UND</v>
          </cell>
          <cell r="D273">
            <v>7800000</v>
          </cell>
        </row>
        <row r="274">
          <cell r="A274">
            <v>272</v>
          </cell>
          <cell r="B274" t="str">
            <v>SWICH TRANSFERENCIA AUTOMAT.</v>
          </cell>
          <cell r="C274" t="str">
            <v>UND</v>
          </cell>
          <cell r="D274">
            <v>10900000</v>
          </cell>
        </row>
        <row r="275">
          <cell r="A275">
            <v>273</v>
          </cell>
          <cell r="B275" t="str">
            <v>UNIDAD DE RESPALDO (UPS)</v>
          </cell>
          <cell r="C275" t="str">
            <v>UND</v>
          </cell>
          <cell r="D275">
            <v>23500000</v>
          </cell>
        </row>
        <row r="276">
          <cell r="A276">
            <v>274</v>
          </cell>
          <cell r="B276" t="str">
            <v>COMPUTADOR TIPO INDUSTRIAL</v>
          </cell>
          <cell r="C276" t="str">
            <v>UND</v>
          </cell>
          <cell r="D276">
            <v>9200000</v>
          </cell>
        </row>
        <row r="277">
          <cell r="A277">
            <v>275</v>
          </cell>
          <cell r="B277" t="str">
            <v>LICENCIA</v>
          </cell>
          <cell r="C277" t="str">
            <v>UND</v>
          </cell>
          <cell r="D277">
            <v>4500000</v>
          </cell>
        </row>
        <row r="278">
          <cell r="A278">
            <v>276</v>
          </cell>
          <cell r="B278" t="str">
            <v>TRANSMISOR PRESION CON MANIFOLD</v>
          </cell>
          <cell r="C278" t="str">
            <v>UND</v>
          </cell>
          <cell r="D278">
            <v>8500000</v>
          </cell>
        </row>
        <row r="279">
          <cell r="A279">
            <v>277</v>
          </cell>
          <cell r="B279" t="str">
            <v>CONECTORES, TUBING, ACCESORIOS, ETC.</v>
          </cell>
          <cell r="C279" t="str">
            <v>GL</v>
          </cell>
          <cell r="D279">
            <v>700000</v>
          </cell>
        </row>
        <row r="280">
          <cell r="A280">
            <v>278</v>
          </cell>
          <cell r="B280" t="str">
            <v>TRANSMISOR TEMPERATURA</v>
          </cell>
          <cell r="C280" t="str">
            <v>UND</v>
          </cell>
          <cell r="D280">
            <v>7900000</v>
          </cell>
        </row>
        <row r="281">
          <cell r="A281">
            <v>279</v>
          </cell>
          <cell r="B281" t="str">
            <v>INDICADOR DE PRESION</v>
          </cell>
          <cell r="C281" t="str">
            <v>UND</v>
          </cell>
          <cell r="D281">
            <v>750000</v>
          </cell>
        </row>
        <row r="282">
          <cell r="A282">
            <v>280</v>
          </cell>
          <cell r="B282" t="str">
            <v>POSICIONADOR INTELIGENTE</v>
          </cell>
          <cell r="C282" t="str">
            <v>UND</v>
          </cell>
          <cell r="D282">
            <v>3900000</v>
          </cell>
        </row>
        <row r="283">
          <cell r="A283">
            <v>281</v>
          </cell>
          <cell r="B283" t="str">
            <v>FUENTE DE VOLTAJE DE 24 V</v>
          </cell>
          <cell r="C283" t="str">
            <v>UND</v>
          </cell>
          <cell r="D283">
            <v>2500000</v>
          </cell>
        </row>
        <row r="284">
          <cell r="A284">
            <v>282</v>
          </cell>
          <cell r="B284" t="str">
            <v>CABLES, MARQUILLAS, TERMINALES, ETC.</v>
          </cell>
          <cell r="C284" t="str">
            <v>GL</v>
          </cell>
          <cell r="D284">
            <v>100000</v>
          </cell>
        </row>
        <row r="285">
          <cell r="A285">
            <v>283</v>
          </cell>
          <cell r="B285" t="str">
            <v>TUBERIA Y ACCESORIOS Ø2"</v>
          </cell>
          <cell r="C285" t="str">
            <v>ML</v>
          </cell>
          <cell r="D285">
            <v>24000</v>
          </cell>
        </row>
        <row r="286">
          <cell r="A286">
            <v>284</v>
          </cell>
          <cell r="B286" t="str">
            <v>ANTICORROSIVO - PINTURA ACABADO</v>
          </cell>
          <cell r="C286" t="str">
            <v>GL</v>
          </cell>
          <cell r="D286">
            <v>18000</v>
          </cell>
        </row>
        <row r="287">
          <cell r="A287">
            <v>285</v>
          </cell>
          <cell r="B287" t="str">
            <v>ANTICORR. - PINTURA ALTOS SOLIDOS</v>
          </cell>
          <cell r="C287" t="str">
            <v>GL</v>
          </cell>
          <cell r="D287">
            <v>20000</v>
          </cell>
        </row>
        <row r="288">
          <cell r="A288">
            <v>286</v>
          </cell>
          <cell r="B288" t="str">
            <v>PLOTEADA DE PLANOS, COPIAS MAGNETICAS</v>
          </cell>
          <cell r="C288" t="str">
            <v>GL</v>
          </cell>
          <cell r="D288">
            <v>2260365</v>
          </cell>
        </row>
        <row r="289">
          <cell r="A289">
            <v>287</v>
          </cell>
          <cell r="B289" t="str">
            <v>UTILES Y PAPELERIA</v>
          </cell>
          <cell r="C289" t="str">
            <v>GL</v>
          </cell>
          <cell r="D289">
            <v>800000</v>
          </cell>
        </row>
        <row r="290">
          <cell r="A290">
            <v>288</v>
          </cell>
        </row>
        <row r="291">
          <cell r="A291">
            <v>289</v>
          </cell>
        </row>
        <row r="292">
          <cell r="A292">
            <v>290</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flanes"/>
      <sheetName val="Cotas Pav"/>
      <sheetName val="Explanación"/>
      <sheetName val="Estructura"/>
    </sheetNames>
    <sheetDataSet>
      <sheetData sheetId="0"/>
      <sheetData sheetId="1"/>
      <sheetData sheetId="2"/>
      <sheetData sheetId="3">
        <row r="7">
          <cell r="C7" t="str">
            <v>CONCRETO_ASFÁLTICO</v>
          </cell>
          <cell r="D7">
            <v>0.45</v>
          </cell>
          <cell r="E7">
            <v>3.6859999999999999</v>
          </cell>
        </row>
        <row r="8">
          <cell r="C8" t="str">
            <v>CUNETA</v>
          </cell>
          <cell r="D8">
            <v>0.33200000000000002</v>
          </cell>
          <cell r="E8">
            <v>1.234</v>
          </cell>
        </row>
        <row r="9">
          <cell r="C9" t="str">
            <v>BASE_GRANULAR</v>
          </cell>
          <cell r="D9">
            <v>1.0620000000000001</v>
          </cell>
          <cell r="E9">
            <v>3.9540000000000002</v>
          </cell>
        </row>
        <row r="10">
          <cell r="C10" t="str">
            <v>RECICLADO</v>
          </cell>
          <cell r="D10">
            <v>1.6259999999999999</v>
          </cell>
          <cell r="E10">
            <v>10.023</v>
          </cell>
        </row>
        <row r="11">
          <cell r="C11" t="str">
            <v>CONCRETO_ASFÁLTICO</v>
          </cell>
          <cell r="D11">
            <v>0.45</v>
          </cell>
          <cell r="E11">
            <v>1.149</v>
          </cell>
        </row>
        <row r="12">
          <cell r="C12" t="str">
            <v>CUNETA</v>
          </cell>
          <cell r="D12">
            <v>0.33200000000000002</v>
          </cell>
          <cell r="E12">
            <v>0.84699999999999998</v>
          </cell>
        </row>
        <row r="13">
          <cell r="C13" t="str">
            <v>BASE_GRANULAR</v>
          </cell>
          <cell r="D13">
            <v>1.0620000000000001</v>
          </cell>
          <cell r="E13">
            <v>2.7120000000000002</v>
          </cell>
        </row>
        <row r="14">
          <cell r="C14" t="str">
            <v>RECICLADO</v>
          </cell>
          <cell r="D14">
            <v>1.6259999999999999</v>
          </cell>
          <cell r="E14">
            <v>4.1520000000000001</v>
          </cell>
        </row>
        <row r="15">
          <cell r="C15" t="str">
            <v>CONCRETO_ASFÁLTICO</v>
          </cell>
          <cell r="D15">
            <v>0.45</v>
          </cell>
          <cell r="E15">
            <v>0</v>
          </cell>
        </row>
        <row r="16">
          <cell r="C16" t="str">
            <v>CUNETA</v>
          </cell>
          <cell r="D16">
            <v>0.33200000000000002</v>
          </cell>
          <cell r="E16">
            <v>0</v>
          </cell>
        </row>
        <row r="17">
          <cell r="C17" t="str">
            <v>BASE_GRANULAR</v>
          </cell>
          <cell r="D17">
            <v>1.0620000000000001</v>
          </cell>
          <cell r="E17">
            <v>0</v>
          </cell>
        </row>
        <row r="18">
          <cell r="C18" t="str">
            <v>RECICLADO</v>
          </cell>
          <cell r="D18">
            <v>1.6259999999999999</v>
          </cell>
          <cell r="E18">
            <v>0</v>
          </cell>
        </row>
        <row r="19">
          <cell r="C19" t="str">
            <v>CONCRETO_ASFÁLTICO</v>
          </cell>
          <cell r="D19">
            <v>0.45</v>
          </cell>
          <cell r="E19">
            <v>3.35</v>
          </cell>
        </row>
        <row r="20">
          <cell r="C20" t="str">
            <v>CUNETA</v>
          </cell>
          <cell r="D20">
            <v>0.33200000000000002</v>
          </cell>
          <cell r="E20">
            <v>2.4689999999999999</v>
          </cell>
        </row>
        <row r="21">
          <cell r="C21" t="str">
            <v>BASE_GRANULAR</v>
          </cell>
          <cell r="D21">
            <v>1.0620000000000001</v>
          </cell>
          <cell r="E21">
            <v>7.9080000000000004</v>
          </cell>
        </row>
        <row r="22">
          <cell r="C22" t="str">
            <v>RECICLADO</v>
          </cell>
          <cell r="D22">
            <v>1.6259999999999999</v>
          </cell>
          <cell r="E22">
            <v>12.106999999999999</v>
          </cell>
        </row>
        <row r="23">
          <cell r="C23" t="str">
            <v>CONCRETO_ASFÁLTICO</v>
          </cell>
          <cell r="D23">
            <v>0.45</v>
          </cell>
          <cell r="E23">
            <v>4.4989999999999997</v>
          </cell>
        </row>
        <row r="24">
          <cell r="C24" t="str">
            <v>CUNETA</v>
          </cell>
          <cell r="D24">
            <v>0.33200000000000002</v>
          </cell>
          <cell r="E24">
            <v>3.3149999999999999</v>
          </cell>
        </row>
        <row r="25">
          <cell r="C25" t="str">
            <v>BASE_GRANULAR</v>
          </cell>
          <cell r="D25">
            <v>1.0620000000000001</v>
          </cell>
          <cell r="E25">
            <v>10.621</v>
          </cell>
        </row>
        <row r="26">
          <cell r="C26" t="str">
            <v>RECICLADO</v>
          </cell>
          <cell r="D26">
            <v>1.6259999999999999</v>
          </cell>
          <cell r="E26">
            <v>16.259</v>
          </cell>
        </row>
        <row r="27">
          <cell r="C27" t="str">
            <v>CONCRETO_ASFÁLTICO</v>
          </cell>
          <cell r="D27">
            <v>0.45</v>
          </cell>
          <cell r="E27">
            <v>4.4989999999999997</v>
          </cell>
        </row>
        <row r="28">
          <cell r="C28" t="str">
            <v>CUNETA</v>
          </cell>
          <cell r="D28">
            <v>0.33200000000000002</v>
          </cell>
          <cell r="E28">
            <v>3.3149999999999999</v>
          </cell>
        </row>
        <row r="29">
          <cell r="C29" t="str">
            <v>BASE_GRANULAR</v>
          </cell>
          <cell r="D29">
            <v>1.0509999999999999</v>
          </cell>
          <cell r="E29">
            <v>10.564</v>
          </cell>
        </row>
        <row r="30">
          <cell r="C30" t="str">
            <v>RECICLADO</v>
          </cell>
          <cell r="D30">
            <v>1.6180000000000001</v>
          </cell>
          <cell r="E30">
            <v>16.219000000000001</v>
          </cell>
        </row>
        <row r="31">
          <cell r="C31" t="str">
            <v>CONCRETO_ASFÁLTICO</v>
          </cell>
          <cell r="D31">
            <v>0.45</v>
          </cell>
          <cell r="E31">
            <v>1.149</v>
          </cell>
        </row>
        <row r="32">
          <cell r="C32" t="str">
            <v>CUNETA</v>
          </cell>
          <cell r="D32">
            <v>0.33200000000000002</v>
          </cell>
          <cell r="E32">
            <v>0.84699999999999998</v>
          </cell>
        </row>
        <row r="33">
          <cell r="C33" t="str">
            <v>BASE_GRANULAR</v>
          </cell>
          <cell r="D33">
            <v>1.04</v>
          </cell>
          <cell r="E33">
            <v>2.67</v>
          </cell>
        </row>
        <row r="34">
          <cell r="C34" t="str">
            <v>RECICLADO</v>
          </cell>
          <cell r="D34">
            <v>1.61</v>
          </cell>
          <cell r="E34">
            <v>4.1230000000000002</v>
          </cell>
        </row>
        <row r="35">
          <cell r="C35" t="str">
            <v>CONCRETO_ASFÁLTICO</v>
          </cell>
          <cell r="D35">
            <v>0.45</v>
          </cell>
          <cell r="E35">
            <v>3.2000000000000001E-2</v>
          </cell>
        </row>
        <row r="36">
          <cell r="C36" t="str">
            <v>CUNETA</v>
          </cell>
          <cell r="D36">
            <v>0.33200000000000002</v>
          </cell>
          <cell r="E36">
            <v>2.4E-2</v>
          </cell>
        </row>
        <row r="37">
          <cell r="C37" t="str">
            <v>BASE_GRANULAR</v>
          </cell>
          <cell r="D37">
            <v>1.04</v>
          </cell>
          <cell r="E37">
            <v>7.3999999999999996E-2</v>
          </cell>
        </row>
        <row r="38">
          <cell r="C38" t="str">
            <v>RECICLADO</v>
          </cell>
          <cell r="D38">
            <v>1.61</v>
          </cell>
          <cell r="E38">
            <v>0.115</v>
          </cell>
        </row>
        <row r="39">
          <cell r="C39" t="str">
            <v>CONCRETO_ASFÁLTICO</v>
          </cell>
          <cell r="D39">
            <v>0.45</v>
          </cell>
          <cell r="E39">
            <v>3.3180000000000001</v>
          </cell>
        </row>
        <row r="40">
          <cell r="C40" t="str">
            <v>CUNETA</v>
          </cell>
          <cell r="D40">
            <v>0.33200000000000002</v>
          </cell>
          <cell r="E40">
            <v>2.4449999999999998</v>
          </cell>
        </row>
        <row r="41">
          <cell r="C41" t="str">
            <v>BASE_GRANULAR</v>
          </cell>
          <cell r="D41">
            <v>1.0569999999999999</v>
          </cell>
          <cell r="E41">
            <v>7.73</v>
          </cell>
        </row>
        <row r="42">
          <cell r="C42" t="str">
            <v>RECICLADO</v>
          </cell>
          <cell r="D42">
            <v>1.6220000000000001</v>
          </cell>
          <cell r="E42">
            <v>11.919</v>
          </cell>
        </row>
        <row r="43">
          <cell r="C43" t="str">
            <v>CONCRETO_ASFÁLTICO</v>
          </cell>
          <cell r="D43">
            <v>0.45</v>
          </cell>
          <cell r="E43">
            <v>3.431</v>
          </cell>
        </row>
        <row r="44">
          <cell r="C44" t="str">
            <v>CUNETA</v>
          </cell>
          <cell r="D44">
            <v>0.33200000000000002</v>
          </cell>
          <cell r="E44">
            <v>2.528</v>
          </cell>
        </row>
        <row r="45">
          <cell r="C45" t="str">
            <v>BASE_GRANULAR</v>
          </cell>
          <cell r="D45">
            <v>1.0620000000000001</v>
          </cell>
          <cell r="E45">
            <v>8.0779999999999994</v>
          </cell>
        </row>
        <row r="46">
          <cell r="C46" t="str">
            <v>RECICLADO</v>
          </cell>
          <cell r="D46">
            <v>1.6259999999999999</v>
          </cell>
          <cell r="E46">
            <v>12.384</v>
          </cell>
        </row>
        <row r="47">
          <cell r="C47" t="str">
            <v>CONCRETO_ASFÁLTICO</v>
          </cell>
          <cell r="D47">
            <v>0.45</v>
          </cell>
          <cell r="E47">
            <v>1.0680000000000001</v>
          </cell>
        </row>
        <row r="48">
          <cell r="C48" t="str">
            <v>CUNETA</v>
          </cell>
          <cell r="D48">
            <v>0.33200000000000002</v>
          </cell>
          <cell r="E48">
            <v>0.78700000000000003</v>
          </cell>
        </row>
        <row r="49">
          <cell r="C49" t="str">
            <v>BASE_GRANULAR</v>
          </cell>
          <cell r="D49">
            <v>1.0620000000000001</v>
          </cell>
          <cell r="E49">
            <v>2.5219999999999998</v>
          </cell>
        </row>
        <row r="50">
          <cell r="C50" t="str">
            <v>RECICLADO</v>
          </cell>
          <cell r="D50">
            <v>1.6259999999999999</v>
          </cell>
          <cell r="E50">
            <v>3.8610000000000002</v>
          </cell>
        </row>
        <row r="51">
          <cell r="C51" t="str">
            <v>CONCRETO_ASFÁLTICO</v>
          </cell>
          <cell r="D51">
            <v>0.45</v>
          </cell>
          <cell r="E51">
            <v>4.4989999999999997</v>
          </cell>
        </row>
        <row r="52">
          <cell r="C52" t="str">
            <v>CUNETA</v>
          </cell>
          <cell r="D52">
            <v>0.33200000000000002</v>
          </cell>
          <cell r="E52">
            <v>3.3149999999999999</v>
          </cell>
        </row>
        <row r="53">
          <cell r="C53" t="str">
            <v>BASE_GRANULAR</v>
          </cell>
          <cell r="D53">
            <v>1.046</v>
          </cell>
          <cell r="E53">
            <v>10.539</v>
          </cell>
        </row>
        <row r="54">
          <cell r="C54" t="str">
            <v>RECICLADO</v>
          </cell>
          <cell r="D54">
            <v>1.615</v>
          </cell>
          <cell r="E54">
            <v>16.202000000000002</v>
          </cell>
        </row>
        <row r="55">
          <cell r="C55" t="str">
            <v>CONCRETO_ASFÁLTICO</v>
          </cell>
          <cell r="D55">
            <v>0.45</v>
          </cell>
          <cell r="E55">
            <v>1.181</v>
          </cell>
        </row>
        <row r="56">
          <cell r="C56" t="str">
            <v>CUNETA</v>
          </cell>
          <cell r="D56">
            <v>0.33200000000000002</v>
          </cell>
          <cell r="E56">
            <v>0.87</v>
          </cell>
        </row>
        <row r="57">
          <cell r="C57" t="str">
            <v>BASE_GRANULAR</v>
          </cell>
          <cell r="D57">
            <v>1.04</v>
          </cell>
          <cell r="E57">
            <v>2.738</v>
          </cell>
        </row>
        <row r="58">
          <cell r="C58" t="str">
            <v>RECICLADO</v>
          </cell>
          <cell r="D58">
            <v>1.61</v>
          </cell>
          <cell r="E58">
            <v>4.234</v>
          </cell>
        </row>
        <row r="59">
          <cell r="C59" t="str">
            <v>CONCRETO_ASFÁLTICO</v>
          </cell>
          <cell r="D59">
            <v>0.45</v>
          </cell>
          <cell r="E59">
            <v>2.2000000000000002</v>
          </cell>
        </row>
        <row r="60">
          <cell r="C60" t="str">
            <v>CUNETA</v>
          </cell>
          <cell r="D60">
            <v>0.33200000000000002</v>
          </cell>
          <cell r="E60">
            <v>1.621</v>
          </cell>
        </row>
        <row r="61">
          <cell r="C61" t="str">
            <v>BASE_GRANULAR</v>
          </cell>
          <cell r="D61">
            <v>1.046</v>
          </cell>
          <cell r="E61">
            <v>5.0999999999999996</v>
          </cell>
        </row>
        <row r="62">
          <cell r="C62" t="str">
            <v>RECICLADO</v>
          </cell>
          <cell r="D62">
            <v>1.6140000000000001</v>
          </cell>
          <cell r="E62">
            <v>7.8860000000000001</v>
          </cell>
        </row>
        <row r="63">
          <cell r="C63" t="str">
            <v>CONCRETO_ASFÁLTICO</v>
          </cell>
          <cell r="D63">
            <v>0.45</v>
          </cell>
          <cell r="E63">
            <v>1.117</v>
          </cell>
        </row>
        <row r="64">
          <cell r="C64" t="str">
            <v>CUNETA</v>
          </cell>
          <cell r="D64">
            <v>0.33200000000000002</v>
          </cell>
          <cell r="E64">
            <v>0.82299999999999995</v>
          </cell>
        </row>
        <row r="65">
          <cell r="C65" t="str">
            <v>BASE_GRANULAR</v>
          </cell>
          <cell r="D65">
            <v>1.0489999999999999</v>
          </cell>
          <cell r="E65">
            <v>2.601</v>
          </cell>
        </row>
        <row r="66">
          <cell r="C66" t="str">
            <v>RECICLADO</v>
          </cell>
          <cell r="D66">
            <v>1.617</v>
          </cell>
          <cell r="E66">
            <v>4.0119999999999996</v>
          </cell>
        </row>
        <row r="67">
          <cell r="C67" t="str">
            <v>CONCRETO_ASFÁLTICO</v>
          </cell>
          <cell r="D67">
            <v>0.45</v>
          </cell>
          <cell r="E67">
            <v>4.4989999999999997</v>
          </cell>
        </row>
        <row r="68">
          <cell r="C68" t="str">
            <v>CUNETA</v>
          </cell>
          <cell r="D68">
            <v>0.33200000000000002</v>
          </cell>
          <cell r="E68">
            <v>3.3149999999999999</v>
          </cell>
        </row>
        <row r="69">
          <cell r="C69" t="str">
            <v>BASE_GRANULAR</v>
          </cell>
          <cell r="D69">
            <v>1.0609999999999999</v>
          </cell>
          <cell r="E69">
            <v>10.547000000000001</v>
          </cell>
        </row>
        <row r="70">
          <cell r="C70" t="str">
            <v>RECICLADO</v>
          </cell>
          <cell r="D70">
            <v>1.625</v>
          </cell>
          <cell r="E70">
            <v>16.207000000000001</v>
          </cell>
        </row>
        <row r="71">
          <cell r="C71" t="str">
            <v>CONCRETO_ASFÁLTICO</v>
          </cell>
          <cell r="D71">
            <v>0.45</v>
          </cell>
          <cell r="E71">
            <v>4.4989999999999997</v>
          </cell>
        </row>
        <row r="72">
          <cell r="C72" t="str">
            <v>CUNETA</v>
          </cell>
          <cell r="D72">
            <v>0.33200000000000002</v>
          </cell>
          <cell r="E72">
            <v>3.3149999999999999</v>
          </cell>
        </row>
        <row r="73">
          <cell r="C73" t="str">
            <v>BASE_GRANULAR</v>
          </cell>
          <cell r="D73">
            <v>1.0620000000000001</v>
          </cell>
          <cell r="E73">
            <v>10.614000000000001</v>
          </cell>
        </row>
        <row r="74">
          <cell r="C74" t="str">
            <v>RECICLADO</v>
          </cell>
          <cell r="D74">
            <v>1.6259999999999999</v>
          </cell>
          <cell r="E74">
            <v>16.254000000000001</v>
          </cell>
        </row>
        <row r="75">
          <cell r="C75" t="str">
            <v>CONCRETO_ASFÁLTICO</v>
          </cell>
          <cell r="D75">
            <v>0.45</v>
          </cell>
          <cell r="E75">
            <v>3.9220000000000002</v>
          </cell>
        </row>
        <row r="76">
          <cell r="C76" t="str">
            <v>CUNETA</v>
          </cell>
          <cell r="D76">
            <v>0.33200000000000002</v>
          </cell>
          <cell r="E76">
            <v>2.89</v>
          </cell>
        </row>
        <row r="77">
          <cell r="C77" t="str">
            <v>BASE_GRANULAR</v>
          </cell>
          <cell r="D77">
            <v>1.0620000000000001</v>
          </cell>
          <cell r="E77">
            <v>9.2579999999999991</v>
          </cell>
        </row>
        <row r="78">
          <cell r="C78" t="str">
            <v>RECICLADO</v>
          </cell>
          <cell r="D78">
            <v>1.6259999999999999</v>
          </cell>
          <cell r="E78">
            <v>14.172000000000001</v>
          </cell>
        </row>
        <row r="79">
          <cell r="C79" t="str">
            <v>CONCRETO_ASFÁLTICO</v>
          </cell>
          <cell r="D79">
            <v>0.45</v>
          </cell>
          <cell r="E79">
            <v>0</v>
          </cell>
        </row>
        <row r="80">
          <cell r="C80" t="str">
            <v>CUNETA</v>
          </cell>
          <cell r="D80">
            <v>0.33200000000000002</v>
          </cell>
          <cell r="E80">
            <v>0</v>
          </cell>
        </row>
        <row r="81">
          <cell r="C81" t="str">
            <v>BASE_GRANULAR</v>
          </cell>
          <cell r="D81">
            <v>1.0620000000000001</v>
          </cell>
          <cell r="E81">
            <v>0</v>
          </cell>
        </row>
        <row r="82">
          <cell r="C82" t="str">
            <v>RECICLADO</v>
          </cell>
          <cell r="D82">
            <v>1.6259999999999999</v>
          </cell>
          <cell r="E82">
            <v>0</v>
          </cell>
        </row>
        <row r="83">
          <cell r="C83" t="str">
            <v>CONCRETO_ASFÁLTICO</v>
          </cell>
          <cell r="D83">
            <v>0.45</v>
          </cell>
          <cell r="E83">
            <v>0.57699999999999996</v>
          </cell>
        </row>
        <row r="84">
          <cell r="C84" t="str">
            <v>CUNETA</v>
          </cell>
          <cell r="D84">
            <v>0.33200000000000002</v>
          </cell>
          <cell r="E84">
            <v>0.42599999999999999</v>
          </cell>
        </row>
        <row r="85">
          <cell r="C85" t="str">
            <v>BASE_GRANULAR</v>
          </cell>
          <cell r="D85">
            <v>1.0620000000000001</v>
          </cell>
          <cell r="E85">
            <v>1.363</v>
          </cell>
        </row>
        <row r="86">
          <cell r="C86" t="str">
            <v>RECICLADO</v>
          </cell>
          <cell r="D86">
            <v>1.6259999999999999</v>
          </cell>
          <cell r="E86">
            <v>2.0870000000000002</v>
          </cell>
        </row>
        <row r="87">
          <cell r="C87" t="str">
            <v>CONCRETO_ASFÁLTICO</v>
          </cell>
          <cell r="D87">
            <v>0.45</v>
          </cell>
          <cell r="E87">
            <v>4.4989999999999997</v>
          </cell>
        </row>
        <row r="88">
          <cell r="C88" t="str">
            <v>CUNETA</v>
          </cell>
          <cell r="D88">
            <v>0.33200000000000002</v>
          </cell>
          <cell r="E88">
            <v>3.3149999999999999</v>
          </cell>
        </row>
        <row r="89">
          <cell r="C89" t="str">
            <v>BASE_GRANULAR</v>
          </cell>
          <cell r="D89">
            <v>1.0620000000000001</v>
          </cell>
          <cell r="E89">
            <v>10.621</v>
          </cell>
        </row>
        <row r="90">
          <cell r="C90" t="str">
            <v>RECICLADO</v>
          </cell>
          <cell r="D90">
            <v>1.6259999999999999</v>
          </cell>
          <cell r="E90">
            <v>16.259</v>
          </cell>
        </row>
        <row r="91">
          <cell r="C91" t="str">
            <v>CONCRETO_ASFÁLTICO</v>
          </cell>
          <cell r="D91">
            <v>0.45</v>
          </cell>
          <cell r="E91">
            <v>4.4989999999999997</v>
          </cell>
        </row>
        <row r="92">
          <cell r="C92" t="str">
            <v>CUNETA</v>
          </cell>
          <cell r="D92">
            <v>0.33200000000000002</v>
          </cell>
          <cell r="E92">
            <v>3.3149999999999999</v>
          </cell>
        </row>
        <row r="93">
          <cell r="C93" t="str">
            <v>BASE_GRANULAR</v>
          </cell>
          <cell r="D93">
            <v>1.0609999999999999</v>
          </cell>
          <cell r="E93">
            <v>10.617000000000001</v>
          </cell>
        </row>
        <row r="94">
          <cell r="C94" t="str">
            <v>RECICLADO</v>
          </cell>
          <cell r="D94">
            <v>1.625</v>
          </cell>
          <cell r="E94">
            <v>16.256</v>
          </cell>
        </row>
        <row r="95">
          <cell r="C95" t="str">
            <v>CONCRETO_ASFÁLTICO</v>
          </cell>
          <cell r="D95">
            <v>0.45</v>
          </cell>
          <cell r="E95">
            <v>4.4619999999999997</v>
          </cell>
        </row>
        <row r="96">
          <cell r="C96" t="str">
            <v>CUNETA</v>
          </cell>
          <cell r="D96">
            <v>0.33200000000000002</v>
          </cell>
          <cell r="E96">
            <v>3.2879999999999998</v>
          </cell>
        </row>
        <row r="97">
          <cell r="C97" t="str">
            <v>BASE_GRANULAR</v>
          </cell>
          <cell r="D97">
            <v>1.0509999999999999</v>
          </cell>
          <cell r="E97">
            <v>10.473000000000001</v>
          </cell>
        </row>
        <row r="98">
          <cell r="C98" t="str">
            <v>RECICLADO</v>
          </cell>
          <cell r="D98">
            <v>1.6180000000000001</v>
          </cell>
          <cell r="E98">
            <v>16.082000000000001</v>
          </cell>
        </row>
        <row r="99">
          <cell r="C99" t="str">
            <v>CONCRETO_ASFÁLTICO</v>
          </cell>
          <cell r="D99">
            <v>0.45</v>
          </cell>
          <cell r="E99">
            <v>4.5369999999999999</v>
          </cell>
        </row>
        <row r="100">
          <cell r="C100" t="str">
            <v>CUNETA</v>
          </cell>
          <cell r="D100">
            <v>0.33200000000000002</v>
          </cell>
          <cell r="E100">
            <v>3.343</v>
          </cell>
        </row>
        <row r="101">
          <cell r="C101" t="str">
            <v>BASE_GRANULAR</v>
          </cell>
          <cell r="D101">
            <v>1.0409999999999999</v>
          </cell>
          <cell r="E101">
            <v>10.545</v>
          </cell>
        </row>
        <row r="102">
          <cell r="C102" t="str">
            <v>RECICLADO</v>
          </cell>
          <cell r="D102">
            <v>1.611</v>
          </cell>
          <cell r="E102">
            <v>16.28</v>
          </cell>
        </row>
        <row r="103">
          <cell r="C103" t="str">
            <v>CONCRETO_ASFÁLTICO</v>
          </cell>
          <cell r="D103">
            <v>0.45</v>
          </cell>
          <cell r="E103">
            <v>3.78</v>
          </cell>
        </row>
        <row r="104">
          <cell r="C104" t="str">
            <v>CUNETA</v>
          </cell>
          <cell r="D104">
            <v>0.33200000000000002</v>
          </cell>
          <cell r="E104">
            <v>2.786</v>
          </cell>
        </row>
        <row r="105">
          <cell r="C105" t="str">
            <v>BASE_GRANULAR</v>
          </cell>
          <cell r="D105">
            <v>1.07</v>
          </cell>
          <cell r="E105">
            <v>8.8689999999999998</v>
          </cell>
        </row>
        <row r="106">
          <cell r="C106" t="str">
            <v>RECICLADO</v>
          </cell>
          <cell r="D106">
            <v>1.6319999999999999</v>
          </cell>
          <cell r="E106">
            <v>13.622999999999999</v>
          </cell>
        </row>
        <row r="107">
          <cell r="C107" t="str">
            <v>CONCRETO_ASFÁLTICO</v>
          </cell>
          <cell r="D107">
            <v>0.45</v>
          </cell>
          <cell r="E107">
            <v>0.71899999999999997</v>
          </cell>
        </row>
        <row r="108">
          <cell r="C108" t="str">
            <v>CUNETA</v>
          </cell>
          <cell r="D108">
            <v>0.33200000000000002</v>
          </cell>
          <cell r="E108">
            <v>0.53</v>
          </cell>
        </row>
        <row r="109">
          <cell r="C109" t="str">
            <v>BASE_GRANULAR</v>
          </cell>
          <cell r="D109">
            <v>1.0620000000000001</v>
          </cell>
          <cell r="E109">
            <v>1.71</v>
          </cell>
        </row>
        <row r="110">
          <cell r="C110" t="str">
            <v>RECICLADO</v>
          </cell>
          <cell r="D110">
            <v>1.6259999999999999</v>
          </cell>
          <cell r="E110">
            <v>2.6070000000000002</v>
          </cell>
        </row>
        <row r="111">
          <cell r="C111" t="str">
            <v>CONCRETO_ASFÁLTICO</v>
          </cell>
          <cell r="D111">
            <v>0.45</v>
          </cell>
          <cell r="E111">
            <v>4.4989999999999997</v>
          </cell>
        </row>
        <row r="112">
          <cell r="C112" t="str">
            <v>CUNETA</v>
          </cell>
          <cell r="D112">
            <v>0.33200000000000002</v>
          </cell>
          <cell r="E112">
            <v>3.3149999999999999</v>
          </cell>
        </row>
        <row r="113">
          <cell r="C113" t="str">
            <v>BASE_GRANULAR</v>
          </cell>
          <cell r="D113">
            <v>1.0620000000000001</v>
          </cell>
          <cell r="E113">
            <v>10.676</v>
          </cell>
        </row>
        <row r="114">
          <cell r="C114" t="str">
            <v>RECICLADO</v>
          </cell>
          <cell r="D114">
            <v>1.6259999999999999</v>
          </cell>
          <cell r="E114">
            <v>16.303000000000001</v>
          </cell>
        </row>
        <row r="115">
          <cell r="C115" t="str">
            <v>CONCRETO_ASFÁLTICO</v>
          </cell>
          <cell r="D115">
            <v>0.45</v>
          </cell>
          <cell r="E115">
            <v>4.4989999999999997</v>
          </cell>
        </row>
        <row r="116">
          <cell r="C116" t="str">
            <v>CUNETA</v>
          </cell>
          <cell r="D116">
            <v>0.33200000000000002</v>
          </cell>
          <cell r="E116">
            <v>3.3149999999999999</v>
          </cell>
        </row>
        <row r="117">
          <cell r="C117" t="str">
            <v>BASE_GRANULAR</v>
          </cell>
          <cell r="D117">
            <v>1.0620000000000001</v>
          </cell>
          <cell r="E117">
            <v>10.676</v>
          </cell>
        </row>
        <row r="118">
          <cell r="C118" t="str">
            <v>RECICLADO</v>
          </cell>
          <cell r="D118">
            <v>1.6259999999999999</v>
          </cell>
          <cell r="E118">
            <v>16.303000000000001</v>
          </cell>
        </row>
        <row r="119">
          <cell r="C119" t="str">
            <v>CONCRETO_ASFÁLTICO</v>
          </cell>
          <cell r="D119">
            <v>0.45</v>
          </cell>
          <cell r="E119">
            <v>4.4989999999999997</v>
          </cell>
        </row>
        <row r="120">
          <cell r="C120" t="str">
            <v>CUNETA</v>
          </cell>
          <cell r="D120">
            <v>0.33200000000000002</v>
          </cell>
          <cell r="E120">
            <v>3.3149999999999999</v>
          </cell>
        </row>
        <row r="121">
          <cell r="C121" t="str">
            <v>BASE_GRANULAR</v>
          </cell>
          <cell r="D121">
            <v>1.0620000000000001</v>
          </cell>
          <cell r="E121">
            <v>10.676</v>
          </cell>
        </row>
        <row r="122">
          <cell r="C122" t="str">
            <v>RECICLADO</v>
          </cell>
          <cell r="D122">
            <v>1.6259999999999999</v>
          </cell>
          <cell r="E122">
            <v>16.303000000000001</v>
          </cell>
        </row>
        <row r="123">
          <cell r="C123" t="str">
            <v>CONCRETO_ASFÁLTICO</v>
          </cell>
          <cell r="D123">
            <v>0.45</v>
          </cell>
          <cell r="E123">
            <v>4.4989999999999997</v>
          </cell>
        </row>
        <row r="124">
          <cell r="C124" t="str">
            <v>CUNETA</v>
          </cell>
          <cell r="D124">
            <v>0.33200000000000002</v>
          </cell>
          <cell r="E124">
            <v>3.3149999999999999</v>
          </cell>
        </row>
        <row r="125">
          <cell r="C125" t="str">
            <v>BASE_GRANULAR</v>
          </cell>
          <cell r="D125">
            <v>1.0620000000000001</v>
          </cell>
          <cell r="E125">
            <v>10.676</v>
          </cell>
        </row>
        <row r="126">
          <cell r="C126" t="str">
            <v>RECICLADO</v>
          </cell>
          <cell r="D126">
            <v>1.6259999999999999</v>
          </cell>
          <cell r="E126">
            <v>16.303000000000001</v>
          </cell>
        </row>
        <row r="127">
          <cell r="C127" t="str">
            <v>CONCRETO_ASFÁLTICO</v>
          </cell>
          <cell r="D127">
            <v>0.45</v>
          </cell>
          <cell r="E127">
            <v>4.4989999999999997</v>
          </cell>
        </row>
        <row r="128">
          <cell r="C128" t="str">
            <v>CUNETA</v>
          </cell>
          <cell r="D128">
            <v>0.33200000000000002</v>
          </cell>
          <cell r="E128">
            <v>3.3149999999999999</v>
          </cell>
        </row>
        <row r="129">
          <cell r="C129" t="str">
            <v>BASE_GRANULAR</v>
          </cell>
          <cell r="D129">
            <v>1.0620000000000001</v>
          </cell>
          <cell r="E129">
            <v>10.676</v>
          </cell>
        </row>
        <row r="130">
          <cell r="C130" t="str">
            <v>RECICLADO</v>
          </cell>
          <cell r="D130">
            <v>1.6259999999999999</v>
          </cell>
          <cell r="E130">
            <v>16.303000000000001</v>
          </cell>
        </row>
        <row r="131">
          <cell r="C131" t="str">
            <v>CONCRETO_ASFÁLTICO</v>
          </cell>
          <cell r="D131">
            <v>0.45</v>
          </cell>
          <cell r="E131">
            <v>0.59299999999999997</v>
          </cell>
        </row>
        <row r="132">
          <cell r="C132" t="str">
            <v>CUNETA</v>
          </cell>
          <cell r="D132">
            <v>0.33200000000000002</v>
          </cell>
          <cell r="E132">
            <v>0.437</v>
          </cell>
        </row>
        <row r="133">
          <cell r="C133" t="str">
            <v>BASE_GRANULAR</v>
          </cell>
          <cell r="D133">
            <v>1.04</v>
          </cell>
          <cell r="E133">
            <v>1.39</v>
          </cell>
        </row>
        <row r="134">
          <cell r="C134" t="str">
            <v>RECICLADO</v>
          </cell>
          <cell r="D134">
            <v>1.61</v>
          </cell>
          <cell r="E134">
            <v>2.137</v>
          </cell>
        </row>
        <row r="135">
          <cell r="C135" t="str">
            <v>CONCRETO_ASFÁLTICO</v>
          </cell>
          <cell r="D135">
            <v>0.45</v>
          </cell>
          <cell r="E135">
            <v>3.8319999999999999</v>
          </cell>
        </row>
        <row r="136">
          <cell r="C136" t="str">
            <v>CUNETA</v>
          </cell>
          <cell r="D136">
            <v>0.33200000000000002</v>
          </cell>
          <cell r="E136">
            <v>2.8239999999999998</v>
          </cell>
        </row>
        <row r="137">
          <cell r="C137" t="str">
            <v>BASE_GRANULAR</v>
          </cell>
          <cell r="D137">
            <v>1.054</v>
          </cell>
          <cell r="E137">
            <v>8.9160000000000004</v>
          </cell>
        </row>
        <row r="138">
          <cell r="C138" t="str">
            <v>RECICLADO</v>
          </cell>
          <cell r="D138">
            <v>1.62</v>
          </cell>
          <cell r="E138">
            <v>13.757999999999999</v>
          </cell>
        </row>
        <row r="139">
          <cell r="C139" t="str">
            <v>CONCRETO_ASFÁLTICO</v>
          </cell>
          <cell r="D139">
            <v>0.45</v>
          </cell>
          <cell r="E139">
            <v>7.2999999999999995E-2</v>
          </cell>
        </row>
        <row r="140">
          <cell r="C140" t="str">
            <v>CUNETA</v>
          </cell>
          <cell r="D140">
            <v>0.33200000000000002</v>
          </cell>
          <cell r="E140">
            <v>5.3999999999999999E-2</v>
          </cell>
        </row>
        <row r="141">
          <cell r="C141" t="str">
            <v>BASE_GRANULAR</v>
          </cell>
          <cell r="D141">
            <v>1.0620000000000001</v>
          </cell>
          <cell r="E141">
            <v>0.17299999999999999</v>
          </cell>
        </row>
        <row r="142">
          <cell r="C142" t="str">
            <v>RECICLADO</v>
          </cell>
          <cell r="D142">
            <v>1.6259999999999999</v>
          </cell>
          <cell r="E142">
            <v>0.26500000000000001</v>
          </cell>
        </row>
        <row r="143">
          <cell r="C143" t="str">
            <v>CONCRETO_ASFÁLTICO</v>
          </cell>
          <cell r="D143">
            <v>0.45</v>
          </cell>
          <cell r="E143">
            <v>4.4989999999999997</v>
          </cell>
        </row>
        <row r="144">
          <cell r="C144" t="str">
            <v>CUNETA</v>
          </cell>
          <cell r="D144">
            <v>0.33200000000000002</v>
          </cell>
          <cell r="E144">
            <v>3.3149999999999999</v>
          </cell>
        </row>
        <row r="145">
          <cell r="C145" t="str">
            <v>BASE_GRANULAR</v>
          </cell>
          <cell r="D145">
            <v>1.0620000000000001</v>
          </cell>
          <cell r="E145">
            <v>10.621</v>
          </cell>
        </row>
        <row r="146">
          <cell r="C146" t="str">
            <v>RECICLADO</v>
          </cell>
          <cell r="D146">
            <v>1.6259999999999999</v>
          </cell>
          <cell r="E146">
            <v>16.259</v>
          </cell>
        </row>
        <row r="147">
          <cell r="C147" t="str">
            <v>CONCRETO_ASFÁLTICO</v>
          </cell>
          <cell r="D147">
            <v>0.45</v>
          </cell>
          <cell r="E147">
            <v>4.4989999999999997</v>
          </cell>
        </row>
        <row r="148">
          <cell r="C148" t="str">
            <v>CUNETA</v>
          </cell>
          <cell r="D148">
            <v>0.33200000000000002</v>
          </cell>
          <cell r="E148">
            <v>3.3149999999999999</v>
          </cell>
        </row>
        <row r="149">
          <cell r="C149" t="str">
            <v>BASE_GRANULAR</v>
          </cell>
          <cell r="D149">
            <v>1.0620000000000001</v>
          </cell>
          <cell r="E149">
            <v>10.621</v>
          </cell>
        </row>
        <row r="150">
          <cell r="C150" t="str">
            <v>RECICLADO</v>
          </cell>
          <cell r="D150">
            <v>1.6259999999999999</v>
          </cell>
          <cell r="E150">
            <v>16.259</v>
          </cell>
        </row>
        <row r="151">
          <cell r="C151" t="str">
            <v>CONCRETO_ASFÁLTICO</v>
          </cell>
          <cell r="D151">
            <v>0.45</v>
          </cell>
          <cell r="E151">
            <v>2.1760000000000002</v>
          </cell>
        </row>
        <row r="152">
          <cell r="C152" t="str">
            <v>CUNETA</v>
          </cell>
          <cell r="D152">
            <v>0.33200000000000002</v>
          </cell>
          <cell r="E152">
            <v>1.6040000000000001</v>
          </cell>
        </row>
        <row r="153">
          <cell r="C153" t="str">
            <v>BASE_GRANULAR</v>
          </cell>
          <cell r="D153">
            <v>1.0620000000000001</v>
          </cell>
          <cell r="E153">
            <v>5.1369999999999996</v>
          </cell>
        </row>
        <row r="154">
          <cell r="C154" t="str">
            <v>RECICLADO</v>
          </cell>
          <cell r="D154">
            <v>1.6259999999999999</v>
          </cell>
          <cell r="E154">
            <v>7.8639999999999999</v>
          </cell>
        </row>
        <row r="155">
          <cell r="C155" t="str">
            <v>CONCRETO_ASFÁLTICO</v>
          </cell>
          <cell r="D155">
            <v>0.45</v>
          </cell>
          <cell r="E155">
            <v>0</v>
          </cell>
        </row>
        <row r="156">
          <cell r="C156" t="str">
            <v>CUNETA</v>
          </cell>
          <cell r="D156">
            <v>0.33200000000000002</v>
          </cell>
          <cell r="E156">
            <v>0</v>
          </cell>
        </row>
        <row r="157">
          <cell r="C157" t="str">
            <v>BASE_GRANULAR</v>
          </cell>
          <cell r="D157">
            <v>1.0620000000000001</v>
          </cell>
          <cell r="E157">
            <v>0</v>
          </cell>
        </row>
        <row r="158">
          <cell r="C158" t="str">
            <v>RECICLADO</v>
          </cell>
          <cell r="D158">
            <v>1.6259999999999999</v>
          </cell>
          <cell r="E158">
            <v>0</v>
          </cell>
        </row>
        <row r="159">
          <cell r="C159" t="str">
            <v>CONCRETO_ASFÁLTICO</v>
          </cell>
          <cell r="D159">
            <v>0.45</v>
          </cell>
          <cell r="E159">
            <v>2.323</v>
          </cell>
        </row>
        <row r="160">
          <cell r="C160" t="str">
            <v>CUNETA</v>
          </cell>
          <cell r="D160">
            <v>0.33200000000000002</v>
          </cell>
          <cell r="E160">
            <v>1.712</v>
          </cell>
        </row>
        <row r="161">
          <cell r="C161" t="str">
            <v>BASE_GRANULAR</v>
          </cell>
          <cell r="D161">
            <v>1.0620000000000001</v>
          </cell>
          <cell r="E161">
            <v>5.484</v>
          </cell>
        </row>
        <row r="162">
          <cell r="C162" t="str">
            <v>RECICLADO</v>
          </cell>
          <cell r="D162">
            <v>1.6259999999999999</v>
          </cell>
          <cell r="E162">
            <v>8.3949999999999996</v>
          </cell>
        </row>
        <row r="163">
          <cell r="C163" t="str">
            <v>CONCRETO_ASFÁLTICO</v>
          </cell>
          <cell r="D163">
            <v>0.45</v>
          </cell>
          <cell r="E163">
            <v>4.4989999999999997</v>
          </cell>
        </row>
        <row r="164">
          <cell r="C164" t="str">
            <v>CUNETA</v>
          </cell>
          <cell r="D164">
            <v>0.33200000000000002</v>
          </cell>
          <cell r="E164">
            <v>3.3149999999999999</v>
          </cell>
        </row>
        <row r="165">
          <cell r="C165" t="str">
            <v>BASE_GRANULAR</v>
          </cell>
          <cell r="D165">
            <v>1.052</v>
          </cell>
          <cell r="E165">
            <v>10.569000000000001</v>
          </cell>
        </row>
        <row r="166">
          <cell r="C166" t="str">
            <v>RECICLADO</v>
          </cell>
          <cell r="D166">
            <v>1.619</v>
          </cell>
          <cell r="E166">
            <v>16.222999999999999</v>
          </cell>
        </row>
        <row r="167">
          <cell r="C167" t="str">
            <v>CONCRETO_ASFÁLTICO</v>
          </cell>
          <cell r="D167">
            <v>0.45</v>
          </cell>
          <cell r="E167">
            <v>4.4260000000000002</v>
          </cell>
        </row>
        <row r="168">
          <cell r="C168" t="str">
            <v>CUNETA</v>
          </cell>
          <cell r="D168">
            <v>0.33200000000000002</v>
          </cell>
          <cell r="E168">
            <v>3.2610000000000001</v>
          </cell>
        </row>
        <row r="169">
          <cell r="C169" t="str">
            <v>BASE_GRANULAR</v>
          </cell>
          <cell r="D169">
            <v>1.04</v>
          </cell>
          <cell r="E169">
            <v>10.287000000000001</v>
          </cell>
        </row>
        <row r="170">
          <cell r="C170" t="str">
            <v>RECICLADO</v>
          </cell>
          <cell r="D170">
            <v>1.61</v>
          </cell>
          <cell r="E170">
            <v>15.882</v>
          </cell>
        </row>
        <row r="171">
          <cell r="C171" t="str">
            <v>CONCRETO_ASFÁLTICO</v>
          </cell>
          <cell r="D171">
            <v>0.45</v>
          </cell>
          <cell r="E171">
            <v>7.2999999999999995E-2</v>
          </cell>
        </row>
        <row r="172">
          <cell r="C172" t="str">
            <v>CUNETA</v>
          </cell>
          <cell r="D172">
            <v>0.33200000000000002</v>
          </cell>
          <cell r="E172">
            <v>5.3999999999999999E-2</v>
          </cell>
        </row>
        <row r="173">
          <cell r="C173" t="str">
            <v>BASE_GRANULAR</v>
          </cell>
          <cell r="D173">
            <v>1.04</v>
          </cell>
          <cell r="E173">
            <v>0.17</v>
          </cell>
        </row>
        <row r="174">
          <cell r="C174" t="str">
            <v>RECICLADO</v>
          </cell>
          <cell r="D174">
            <v>1.61</v>
          </cell>
          <cell r="E174">
            <v>0.26300000000000001</v>
          </cell>
        </row>
        <row r="175">
          <cell r="C175" t="str">
            <v>CONCRETO_ASFÁLTICO</v>
          </cell>
          <cell r="D175">
            <v>0.45</v>
          </cell>
          <cell r="E175">
            <v>4.633</v>
          </cell>
        </row>
        <row r="176">
          <cell r="C176" t="str">
            <v>CUNETA</v>
          </cell>
          <cell r="D176">
            <v>0.33200000000000002</v>
          </cell>
          <cell r="E176">
            <v>3.4140000000000001</v>
          </cell>
        </row>
        <row r="177">
          <cell r="C177" t="str">
            <v>BASE_GRANULAR</v>
          </cell>
          <cell r="D177">
            <v>1.0509999999999999</v>
          </cell>
          <cell r="E177">
            <v>10.763</v>
          </cell>
        </row>
        <row r="178">
          <cell r="C178" t="str">
            <v>RECICLADO</v>
          </cell>
          <cell r="D178">
            <v>1.6180000000000001</v>
          </cell>
          <cell r="E178">
            <v>16.620999999999999</v>
          </cell>
        </row>
        <row r="179">
          <cell r="C179" t="str">
            <v>CONCRETO_ASFÁLTICO</v>
          </cell>
          <cell r="D179">
            <v>0.45</v>
          </cell>
          <cell r="E179">
            <v>4.3659999999999997</v>
          </cell>
        </row>
        <row r="180">
          <cell r="C180" t="str">
            <v>CUNETA</v>
          </cell>
          <cell r="D180">
            <v>0.33200000000000002</v>
          </cell>
          <cell r="E180">
            <v>3.2170000000000001</v>
          </cell>
        </row>
        <row r="181">
          <cell r="C181" t="str">
            <v>BASE_GRANULAR</v>
          </cell>
          <cell r="D181">
            <v>1.0609999999999999</v>
          </cell>
          <cell r="E181">
            <v>10.244</v>
          </cell>
        </row>
        <row r="182">
          <cell r="C182" t="str">
            <v>RECICLADO</v>
          </cell>
          <cell r="D182">
            <v>1.625</v>
          </cell>
          <cell r="E182">
            <v>15.734</v>
          </cell>
        </row>
        <row r="183">
          <cell r="C183" t="str">
            <v>CONCRETO_ASFÁLTICO</v>
          </cell>
          <cell r="D183">
            <v>0.45</v>
          </cell>
          <cell r="E183">
            <v>4.4989999999999997</v>
          </cell>
        </row>
        <row r="184">
          <cell r="C184" t="str">
            <v>CUNETA</v>
          </cell>
          <cell r="D184">
            <v>0.33200000000000002</v>
          </cell>
          <cell r="E184">
            <v>3.3149999999999999</v>
          </cell>
        </row>
        <row r="185">
          <cell r="C185" t="str">
            <v>BASE_GRANULAR</v>
          </cell>
          <cell r="D185">
            <v>1.0620000000000001</v>
          </cell>
          <cell r="E185">
            <v>10.616</v>
          </cell>
        </row>
        <row r="186">
          <cell r="C186" t="str">
            <v>RECICLADO</v>
          </cell>
          <cell r="D186">
            <v>1.6259999999999999</v>
          </cell>
          <cell r="E186">
            <v>16.256</v>
          </cell>
        </row>
        <row r="187">
          <cell r="C187" t="str">
            <v>CONCRETO_ASFÁLTICO</v>
          </cell>
          <cell r="D187">
            <v>0.45</v>
          </cell>
          <cell r="E187">
            <v>2.383</v>
          </cell>
        </row>
        <row r="188">
          <cell r="C188" t="str">
            <v>CUNETA</v>
          </cell>
          <cell r="D188">
            <v>0.33200000000000002</v>
          </cell>
          <cell r="E188">
            <v>1.756</v>
          </cell>
        </row>
        <row r="189">
          <cell r="C189" t="str">
            <v>BASE_GRANULAR</v>
          </cell>
          <cell r="D189">
            <v>1.0620000000000001</v>
          </cell>
          <cell r="E189">
            <v>5.6260000000000003</v>
          </cell>
        </row>
        <row r="190">
          <cell r="C190" t="str">
            <v>RECICLADO</v>
          </cell>
          <cell r="D190">
            <v>1.6259999999999999</v>
          </cell>
          <cell r="E190">
            <v>8.6129999999999995</v>
          </cell>
        </row>
        <row r="191">
          <cell r="C191" t="str">
            <v>CONCRETO_ASFÁLTICO</v>
          </cell>
          <cell r="D191">
            <v>0.45</v>
          </cell>
          <cell r="E191">
            <v>2.1160000000000001</v>
          </cell>
        </row>
        <row r="192">
          <cell r="C192" t="str">
            <v>CUNETA</v>
          </cell>
          <cell r="D192">
            <v>0.33200000000000002</v>
          </cell>
          <cell r="E192">
            <v>1.5589999999999999</v>
          </cell>
        </row>
        <row r="193">
          <cell r="C193" t="str">
            <v>BASE_GRANULAR</v>
          </cell>
          <cell r="D193">
            <v>1.0620000000000001</v>
          </cell>
          <cell r="E193">
            <v>5.0030000000000001</v>
          </cell>
        </row>
        <row r="194">
          <cell r="C194" t="str">
            <v>RECICLADO</v>
          </cell>
          <cell r="D194">
            <v>1.6259999999999999</v>
          </cell>
          <cell r="E194">
            <v>7.6539999999999999</v>
          </cell>
        </row>
        <row r="195">
          <cell r="C195" t="str">
            <v>CONCRETO_ASFÁLTICO</v>
          </cell>
          <cell r="D195">
            <v>0.45</v>
          </cell>
          <cell r="E195">
            <v>4.4989999999999997</v>
          </cell>
        </row>
        <row r="196">
          <cell r="C196" t="str">
            <v>CUNETA</v>
          </cell>
          <cell r="D196">
            <v>0.33200000000000002</v>
          </cell>
          <cell r="E196">
            <v>3.3149999999999999</v>
          </cell>
        </row>
        <row r="197">
          <cell r="C197" t="str">
            <v>BASE_GRANULAR</v>
          </cell>
          <cell r="D197">
            <v>1.0620000000000001</v>
          </cell>
          <cell r="E197">
            <v>10.638</v>
          </cell>
        </row>
        <row r="198">
          <cell r="C198" t="str">
            <v>RECICLADO</v>
          </cell>
          <cell r="D198">
            <v>1.6259999999999999</v>
          </cell>
          <cell r="E198">
            <v>16.273</v>
          </cell>
        </row>
        <row r="199">
          <cell r="C199" t="str">
            <v>CONCRETO_ASFÁLTICO</v>
          </cell>
          <cell r="D199">
            <v>0.45</v>
          </cell>
          <cell r="E199">
            <v>4.4989999999999997</v>
          </cell>
        </row>
        <row r="200">
          <cell r="C200" t="str">
            <v>CUNETA</v>
          </cell>
          <cell r="D200">
            <v>0.33200000000000002</v>
          </cell>
          <cell r="E200">
            <v>3.3149999999999999</v>
          </cell>
        </row>
        <row r="201">
          <cell r="C201" t="str">
            <v>BASE_GRANULAR</v>
          </cell>
          <cell r="D201">
            <v>1.0620000000000001</v>
          </cell>
          <cell r="E201">
            <v>10.638</v>
          </cell>
        </row>
        <row r="202">
          <cell r="C202" t="str">
            <v>RECICLADO</v>
          </cell>
          <cell r="D202">
            <v>1.6259999999999999</v>
          </cell>
          <cell r="E202">
            <v>16.273</v>
          </cell>
        </row>
        <row r="203">
          <cell r="C203" t="str">
            <v>CONCRETO_ASFÁLTICO</v>
          </cell>
          <cell r="D203">
            <v>0.45</v>
          </cell>
          <cell r="E203">
            <v>1.663</v>
          </cell>
        </row>
        <row r="204">
          <cell r="C204" t="str">
            <v>CUNETA</v>
          </cell>
          <cell r="D204">
            <v>0.33200000000000002</v>
          </cell>
          <cell r="E204">
            <v>1.2250000000000001</v>
          </cell>
        </row>
        <row r="205">
          <cell r="C205" t="str">
            <v>BASE_GRANULAR</v>
          </cell>
          <cell r="D205">
            <v>1.0620000000000001</v>
          </cell>
          <cell r="E205">
            <v>3.931</v>
          </cell>
        </row>
        <row r="206">
          <cell r="C206" t="str">
            <v>RECICLADO</v>
          </cell>
          <cell r="D206">
            <v>1.6259999999999999</v>
          </cell>
          <cell r="E206">
            <v>6.0140000000000002</v>
          </cell>
        </row>
        <row r="207">
          <cell r="C207" t="str">
            <v>CONCRETO_ASFÁLTICO</v>
          </cell>
          <cell r="D207">
            <v>0.45</v>
          </cell>
          <cell r="E207">
            <v>2.8359999999999999</v>
          </cell>
        </row>
        <row r="208">
          <cell r="C208" t="str">
            <v>CUNETA</v>
          </cell>
          <cell r="D208">
            <v>0.33200000000000002</v>
          </cell>
          <cell r="E208">
            <v>2.09</v>
          </cell>
        </row>
        <row r="209">
          <cell r="C209" t="str">
            <v>BASE_GRANULAR</v>
          </cell>
          <cell r="D209">
            <v>1.0620000000000001</v>
          </cell>
          <cell r="E209">
            <v>6.6970000000000001</v>
          </cell>
        </row>
        <row r="210">
          <cell r="C210" t="str">
            <v>RECICLADO</v>
          </cell>
          <cell r="D210">
            <v>1.6259999999999999</v>
          </cell>
          <cell r="E210">
            <v>10.252000000000001</v>
          </cell>
        </row>
        <row r="211">
          <cell r="C211" t="str">
            <v>CONCRETO_ASFÁLTICO</v>
          </cell>
          <cell r="D211">
            <v>0.45</v>
          </cell>
          <cell r="E211">
            <v>4.4989999999999997</v>
          </cell>
        </row>
        <row r="212">
          <cell r="C212" t="str">
            <v>CUNETA</v>
          </cell>
          <cell r="D212">
            <v>0.33200000000000002</v>
          </cell>
          <cell r="E212">
            <v>3.3149999999999999</v>
          </cell>
        </row>
        <row r="213">
          <cell r="C213" t="str">
            <v>BASE_GRANULAR</v>
          </cell>
          <cell r="D213">
            <v>1.06</v>
          </cell>
          <cell r="E213">
            <v>10.612</v>
          </cell>
        </row>
        <row r="214">
          <cell r="C214" t="str">
            <v>RECICLADO</v>
          </cell>
          <cell r="D214">
            <v>1.6240000000000001</v>
          </cell>
          <cell r="E214">
            <v>16.253</v>
          </cell>
        </row>
        <row r="215">
          <cell r="C215" t="str">
            <v>CONCRETO_ASFÁLTICO</v>
          </cell>
          <cell r="D215">
            <v>0.45</v>
          </cell>
          <cell r="E215">
            <v>3.9119999999999999</v>
          </cell>
        </row>
        <row r="216">
          <cell r="C216" t="str">
            <v>CUNETA</v>
          </cell>
          <cell r="D216">
            <v>0.33200000000000002</v>
          </cell>
          <cell r="E216">
            <v>2.883</v>
          </cell>
        </row>
        <row r="217">
          <cell r="C217" t="str">
            <v>BASE_GRANULAR</v>
          </cell>
          <cell r="D217">
            <v>1.0509999999999999</v>
          </cell>
          <cell r="E217">
            <v>9.1780000000000008</v>
          </cell>
        </row>
        <row r="218">
          <cell r="C218" t="str">
            <v>RECICLADO</v>
          </cell>
          <cell r="D218">
            <v>1.6180000000000001</v>
          </cell>
          <cell r="E218">
            <v>14.099</v>
          </cell>
        </row>
        <row r="219">
          <cell r="C219" t="str">
            <v>CONCRETO_ASFÁLTICO</v>
          </cell>
          <cell r="D219">
            <v>0.45</v>
          </cell>
          <cell r="E219">
            <v>5.0860000000000003</v>
          </cell>
        </row>
        <row r="220">
          <cell r="C220" t="str">
            <v>CUNETA</v>
          </cell>
          <cell r="D220">
            <v>0.33200000000000002</v>
          </cell>
          <cell r="E220">
            <v>3.7480000000000002</v>
          </cell>
        </row>
        <row r="221">
          <cell r="C221" t="str">
            <v>BASE_GRANULAR</v>
          </cell>
          <cell r="D221">
            <v>1.04</v>
          </cell>
          <cell r="E221">
            <v>11.818</v>
          </cell>
        </row>
        <row r="222">
          <cell r="C222" t="str">
            <v>RECICLADO</v>
          </cell>
          <cell r="D222">
            <v>1.61</v>
          </cell>
          <cell r="E222">
            <v>18.248999999999999</v>
          </cell>
        </row>
        <row r="223">
          <cell r="C223" t="str">
            <v>CONCRETO_ASFÁLTICO</v>
          </cell>
          <cell r="D223">
            <v>0.45</v>
          </cell>
          <cell r="E223">
            <v>8.9979999999999993</v>
          </cell>
        </row>
        <row r="224">
          <cell r="C224" t="str">
            <v>CUNETA</v>
          </cell>
          <cell r="D224">
            <v>0.33200000000000002</v>
          </cell>
          <cell r="E224">
            <v>6.6310000000000002</v>
          </cell>
        </row>
        <row r="225">
          <cell r="C225" t="str">
            <v>BASE_GRANULAR</v>
          </cell>
          <cell r="D225">
            <v>1.04</v>
          </cell>
          <cell r="E225">
            <v>20.797000000000001</v>
          </cell>
        </row>
        <row r="226">
          <cell r="C226" t="str">
            <v>RECICLADO</v>
          </cell>
          <cell r="D226">
            <v>1.61</v>
          </cell>
          <cell r="E226">
            <v>32.207999999999998</v>
          </cell>
        </row>
        <row r="227">
          <cell r="C227" t="str">
            <v>CONCRETO_ASFÁLTICO</v>
          </cell>
          <cell r="D227">
            <v>0.45</v>
          </cell>
          <cell r="E227">
            <v>4.4219999999999997</v>
          </cell>
        </row>
        <row r="228">
          <cell r="C228" t="str">
            <v>CUNETA</v>
          </cell>
          <cell r="D228">
            <v>0.33200000000000002</v>
          </cell>
          <cell r="E228">
            <v>3.2589999999999999</v>
          </cell>
        </row>
        <row r="229">
          <cell r="C229" t="str">
            <v>BASE_GRANULAR</v>
          </cell>
          <cell r="D229">
            <v>1.0509999999999999</v>
          </cell>
          <cell r="E229">
            <v>10.275</v>
          </cell>
        </row>
        <row r="230">
          <cell r="C230" t="str">
            <v>RECICLADO</v>
          </cell>
          <cell r="D230">
            <v>1.6180000000000001</v>
          </cell>
          <cell r="E230">
            <v>15.866</v>
          </cell>
        </row>
        <row r="231">
          <cell r="C231" t="str">
            <v>CONCRETO_ASFÁLTICO</v>
          </cell>
          <cell r="D231">
            <v>0.45</v>
          </cell>
          <cell r="E231">
            <v>7.6999999999999999E-2</v>
          </cell>
        </row>
        <row r="232">
          <cell r="C232" t="str">
            <v>CUNETA</v>
          </cell>
          <cell r="D232">
            <v>0.33200000000000002</v>
          </cell>
          <cell r="E232">
            <v>5.7000000000000002E-2</v>
          </cell>
        </row>
        <row r="233">
          <cell r="C233" t="str">
            <v>BASE_GRANULAR</v>
          </cell>
          <cell r="D233">
            <v>1.0509999999999999</v>
          </cell>
          <cell r="E233">
            <v>0.18</v>
          </cell>
        </row>
        <row r="234">
          <cell r="C234" t="str">
            <v>RECICLADO</v>
          </cell>
          <cell r="D234">
            <v>1.6180000000000001</v>
          </cell>
          <cell r="E234">
            <v>0.27700000000000002</v>
          </cell>
        </row>
        <row r="235">
          <cell r="C235" t="str">
            <v>CONCRETO_ASFÁLTICO</v>
          </cell>
          <cell r="D235">
            <v>0.45</v>
          </cell>
          <cell r="E235">
            <v>4.4989999999999997</v>
          </cell>
        </row>
        <row r="236">
          <cell r="C236" t="str">
            <v>CUNETA</v>
          </cell>
          <cell r="D236">
            <v>0.33200000000000002</v>
          </cell>
          <cell r="E236">
            <v>3.3149999999999999</v>
          </cell>
        </row>
        <row r="237">
          <cell r="C237" t="str">
            <v>BASE_GRANULAR</v>
          </cell>
          <cell r="D237">
            <v>1.0620000000000001</v>
          </cell>
          <cell r="E237">
            <v>10.567</v>
          </cell>
        </row>
        <row r="238">
          <cell r="C238" t="str">
            <v>RECICLADO</v>
          </cell>
          <cell r="D238">
            <v>1.6259999999999999</v>
          </cell>
          <cell r="E238">
            <v>16.221</v>
          </cell>
        </row>
        <row r="239">
          <cell r="C239" t="str">
            <v>CONCRETO_ASFÁLTICO</v>
          </cell>
          <cell r="D239">
            <v>0.45</v>
          </cell>
          <cell r="E239">
            <v>4.4989999999999997</v>
          </cell>
        </row>
        <row r="240">
          <cell r="C240" t="str">
            <v>CUNETA</v>
          </cell>
          <cell r="D240">
            <v>0.33200000000000002</v>
          </cell>
          <cell r="E240">
            <v>3.3149999999999999</v>
          </cell>
        </row>
        <row r="241">
          <cell r="C241" t="str">
            <v>BASE_GRANULAR</v>
          </cell>
          <cell r="D241">
            <v>1.0620000000000001</v>
          </cell>
          <cell r="E241">
            <v>10.621</v>
          </cell>
        </row>
        <row r="242">
          <cell r="C242" t="str">
            <v>RECICLADO</v>
          </cell>
          <cell r="D242">
            <v>1.6259999999999999</v>
          </cell>
          <cell r="E242">
            <v>16.259</v>
          </cell>
        </row>
        <row r="243">
          <cell r="C243" t="str">
            <v>CONCRETO_ASFÁLTICO</v>
          </cell>
          <cell r="D243">
            <v>0.45</v>
          </cell>
          <cell r="E243">
            <v>1.7230000000000001</v>
          </cell>
        </row>
        <row r="244">
          <cell r="C244" t="str">
            <v>CUNETA</v>
          </cell>
          <cell r="D244">
            <v>0.33200000000000002</v>
          </cell>
          <cell r="E244">
            <v>1.2689999999999999</v>
          </cell>
        </row>
        <row r="245">
          <cell r="C245" t="str">
            <v>BASE_GRANULAR</v>
          </cell>
          <cell r="D245">
            <v>1.0620000000000001</v>
          </cell>
          <cell r="E245">
            <v>4.0670000000000002</v>
          </cell>
        </row>
        <row r="246">
          <cell r="C246" t="str">
            <v>RECICLADO</v>
          </cell>
          <cell r="D246">
            <v>1.6259999999999999</v>
          </cell>
          <cell r="E246">
            <v>6.2249999999999996</v>
          </cell>
        </row>
        <row r="247">
          <cell r="C247" t="str">
            <v>CONCRETO_ASFÁLTICO</v>
          </cell>
          <cell r="D247">
            <v>0.45</v>
          </cell>
          <cell r="E247">
            <v>0</v>
          </cell>
        </row>
        <row r="248">
          <cell r="C248" t="str">
            <v>CUNETA</v>
          </cell>
          <cell r="D248">
            <v>0.33200000000000002</v>
          </cell>
          <cell r="E248">
            <v>0</v>
          </cell>
        </row>
        <row r="249">
          <cell r="C249" t="str">
            <v>BASE_GRANULAR</v>
          </cell>
          <cell r="D249">
            <v>1.0620000000000001</v>
          </cell>
          <cell r="E249">
            <v>0</v>
          </cell>
        </row>
        <row r="250">
          <cell r="C250" t="str">
            <v>RECICLADO</v>
          </cell>
          <cell r="D250">
            <v>1.6259999999999999</v>
          </cell>
          <cell r="E250">
            <v>0</v>
          </cell>
        </row>
        <row r="251">
          <cell r="C251" t="str">
            <v>CONCRETO_ASFÁLTICO</v>
          </cell>
          <cell r="D251">
            <v>0.45</v>
          </cell>
          <cell r="E251">
            <v>2.7759999999999998</v>
          </cell>
        </row>
        <row r="252">
          <cell r="C252" t="str">
            <v>CUNETA</v>
          </cell>
          <cell r="D252">
            <v>0.33200000000000002</v>
          </cell>
          <cell r="E252">
            <v>2.0459999999999998</v>
          </cell>
        </row>
        <row r="253">
          <cell r="C253" t="str">
            <v>BASE_GRANULAR</v>
          </cell>
          <cell r="D253">
            <v>1.0620000000000001</v>
          </cell>
          <cell r="E253">
            <v>6.5540000000000003</v>
          </cell>
        </row>
        <row r="254">
          <cell r="C254" t="str">
            <v>RECICLADO</v>
          </cell>
          <cell r="D254">
            <v>1.6259999999999999</v>
          </cell>
          <cell r="E254">
            <v>10.034000000000001</v>
          </cell>
        </row>
        <row r="255">
          <cell r="C255" t="str">
            <v>CONCRETO_ASFÁLTICO</v>
          </cell>
          <cell r="D255">
            <v>0.45</v>
          </cell>
          <cell r="E255">
            <v>4.4989999999999997</v>
          </cell>
        </row>
        <row r="256">
          <cell r="C256" t="str">
            <v>CUNETA</v>
          </cell>
          <cell r="D256">
            <v>0.33200000000000002</v>
          </cell>
          <cell r="E256">
            <v>3.3149999999999999</v>
          </cell>
        </row>
        <row r="257">
          <cell r="C257" t="str">
            <v>BASE_GRANULAR</v>
          </cell>
          <cell r="D257">
            <v>1.054</v>
          </cell>
          <cell r="E257">
            <v>10.583</v>
          </cell>
        </row>
        <row r="258">
          <cell r="C258" t="str">
            <v>RECICLADO</v>
          </cell>
          <cell r="D258">
            <v>1.621</v>
          </cell>
          <cell r="E258">
            <v>16.233000000000001</v>
          </cell>
        </row>
        <row r="259">
          <cell r="C259" t="str">
            <v>CONCRETO_ASFÁLTICO</v>
          </cell>
          <cell r="D259">
            <v>0.45</v>
          </cell>
          <cell r="E259">
            <v>3.5219999999999998</v>
          </cell>
        </row>
        <row r="260">
          <cell r="C260" t="str">
            <v>CUNETA</v>
          </cell>
          <cell r="D260">
            <v>0.33200000000000002</v>
          </cell>
          <cell r="E260">
            <v>2.5960000000000001</v>
          </cell>
        </row>
        <row r="261">
          <cell r="C261" t="str">
            <v>BASE_GRANULAR</v>
          </cell>
          <cell r="D261">
            <v>1.0409999999999999</v>
          </cell>
          <cell r="E261">
            <v>8.2010000000000005</v>
          </cell>
        </row>
        <row r="262">
          <cell r="C262" t="str">
            <v>RECICLADO</v>
          </cell>
          <cell r="D262">
            <v>1.611</v>
          </cell>
          <cell r="E262">
            <v>12.648999999999999</v>
          </cell>
        </row>
        <row r="263">
          <cell r="C263" t="str">
            <v>CONCRETO_ASFÁLTICO</v>
          </cell>
          <cell r="D263">
            <v>0.45</v>
          </cell>
          <cell r="E263">
            <v>0.26300000000000001</v>
          </cell>
        </row>
        <row r="264">
          <cell r="C264" t="str">
            <v>CUNETA</v>
          </cell>
          <cell r="D264">
            <v>0.33200000000000002</v>
          </cell>
          <cell r="E264">
            <v>0.19400000000000001</v>
          </cell>
        </row>
        <row r="265">
          <cell r="C265" t="str">
            <v>BASE_GRANULAR</v>
          </cell>
          <cell r="D265">
            <v>1.04</v>
          </cell>
          <cell r="E265">
            <v>0.60699999999999998</v>
          </cell>
        </row>
        <row r="266">
          <cell r="C266" t="str">
            <v>RECICLADO</v>
          </cell>
          <cell r="D266">
            <v>1.611</v>
          </cell>
          <cell r="E266">
            <v>0.94</v>
          </cell>
        </row>
        <row r="267">
          <cell r="C267" t="str">
            <v>CONCRETO_ASFÁLTICO</v>
          </cell>
          <cell r="D267">
            <v>0.45</v>
          </cell>
          <cell r="E267">
            <v>0.71399999999999997</v>
          </cell>
        </row>
        <row r="268">
          <cell r="C268" t="str">
            <v>CUNETA</v>
          </cell>
          <cell r="D268">
            <v>0.33200000000000002</v>
          </cell>
          <cell r="E268">
            <v>0.52600000000000002</v>
          </cell>
        </row>
        <row r="269">
          <cell r="C269" t="str">
            <v>BASE_GRANULAR</v>
          </cell>
          <cell r="D269">
            <v>1.0429999999999999</v>
          </cell>
          <cell r="E269">
            <v>1.653</v>
          </cell>
        </row>
        <row r="270">
          <cell r="C270" t="str">
            <v>RECICLADO</v>
          </cell>
          <cell r="D270">
            <v>1.613</v>
          </cell>
          <cell r="E270">
            <v>2.5579999999999998</v>
          </cell>
        </row>
        <row r="271">
          <cell r="C271" t="str">
            <v>CONCRETO_ASFÁLTICO</v>
          </cell>
          <cell r="D271">
            <v>0.45</v>
          </cell>
          <cell r="E271">
            <v>4.4989999999999997</v>
          </cell>
        </row>
        <row r="272">
          <cell r="C272" t="str">
            <v>CUNETA</v>
          </cell>
          <cell r="D272">
            <v>0.33200000000000002</v>
          </cell>
          <cell r="E272">
            <v>3.3149999999999999</v>
          </cell>
        </row>
        <row r="273">
          <cell r="C273" t="str">
            <v>BASE_GRANULAR</v>
          </cell>
          <cell r="D273">
            <v>1.0620000000000001</v>
          </cell>
          <cell r="E273">
            <v>10.526</v>
          </cell>
        </row>
        <row r="274">
          <cell r="C274" t="str">
            <v>RECICLADO</v>
          </cell>
          <cell r="D274">
            <v>1.6259999999999999</v>
          </cell>
          <cell r="E274">
            <v>16.193000000000001</v>
          </cell>
        </row>
        <row r="275">
          <cell r="C275" t="str">
            <v>CONCRETO_ASFÁLTICO</v>
          </cell>
          <cell r="D275">
            <v>0.45</v>
          </cell>
          <cell r="E275">
            <v>4.4989999999999997</v>
          </cell>
        </row>
        <row r="276">
          <cell r="C276" t="str">
            <v>CUNETA</v>
          </cell>
          <cell r="D276">
            <v>0.33200000000000002</v>
          </cell>
          <cell r="E276">
            <v>3.3149999999999999</v>
          </cell>
        </row>
        <row r="277">
          <cell r="C277" t="str">
            <v>BASE_GRANULAR</v>
          </cell>
          <cell r="D277">
            <v>1.0620000000000001</v>
          </cell>
          <cell r="E277">
            <v>10.621</v>
          </cell>
        </row>
        <row r="278">
          <cell r="C278" t="str">
            <v>RECICLADO</v>
          </cell>
          <cell r="D278">
            <v>1.6259999999999999</v>
          </cell>
          <cell r="E278">
            <v>16.259</v>
          </cell>
        </row>
        <row r="279">
          <cell r="C279" t="str">
            <v>CONCRETO_ASFÁLTICO</v>
          </cell>
          <cell r="D279">
            <v>0.45</v>
          </cell>
          <cell r="E279">
            <v>0.63600000000000001</v>
          </cell>
        </row>
        <row r="280">
          <cell r="C280" t="str">
            <v>CUNETA</v>
          </cell>
          <cell r="D280">
            <v>0.33200000000000002</v>
          </cell>
          <cell r="E280">
            <v>0.46800000000000003</v>
          </cell>
        </row>
        <row r="281">
          <cell r="C281" t="str">
            <v>BASE_GRANULAR</v>
          </cell>
          <cell r="D281">
            <v>1.0620000000000001</v>
          </cell>
          <cell r="E281">
            <v>1.5</v>
          </cell>
        </row>
        <row r="282">
          <cell r="C282" t="str">
            <v>RECICLADO</v>
          </cell>
          <cell r="D282">
            <v>1.6259999999999999</v>
          </cell>
          <cell r="E282">
            <v>2.2970000000000002</v>
          </cell>
        </row>
        <row r="283">
          <cell r="C283" t="str">
            <v>CONCRETO_ASFÁLTICO</v>
          </cell>
          <cell r="D283">
            <v>0.45</v>
          </cell>
          <cell r="E283">
            <v>0</v>
          </cell>
        </row>
        <row r="284">
          <cell r="C284" t="str">
            <v>CUNETA</v>
          </cell>
          <cell r="D284">
            <v>0.33200000000000002</v>
          </cell>
          <cell r="E284">
            <v>0</v>
          </cell>
        </row>
        <row r="285">
          <cell r="C285" t="str">
            <v>BASE_GRANULAR</v>
          </cell>
          <cell r="D285">
            <v>1.0620000000000001</v>
          </cell>
          <cell r="E285">
            <v>0</v>
          </cell>
        </row>
        <row r="286">
          <cell r="C286" t="str">
            <v>RECICLADO</v>
          </cell>
          <cell r="D286">
            <v>1.6259999999999999</v>
          </cell>
          <cell r="E286">
            <v>0</v>
          </cell>
        </row>
        <row r="287">
          <cell r="C287" t="str">
            <v>CONCRETO_ASFÁLTICO</v>
          </cell>
          <cell r="D287">
            <v>0.45</v>
          </cell>
          <cell r="E287">
            <v>3.863</v>
          </cell>
        </row>
        <row r="288">
          <cell r="C288" t="str">
            <v>CUNETA</v>
          </cell>
          <cell r="D288">
            <v>0.33200000000000002</v>
          </cell>
          <cell r="E288">
            <v>2.847</v>
          </cell>
        </row>
        <row r="289">
          <cell r="C289" t="str">
            <v>BASE_GRANULAR</v>
          </cell>
          <cell r="D289">
            <v>1.0620000000000001</v>
          </cell>
          <cell r="E289">
            <v>9.1199999999999992</v>
          </cell>
        </row>
        <row r="290">
          <cell r="C290" t="str">
            <v>RECICLADO</v>
          </cell>
          <cell r="D290">
            <v>1.6259999999999999</v>
          </cell>
          <cell r="E290">
            <v>13.962</v>
          </cell>
        </row>
        <row r="291">
          <cell r="C291" t="str">
            <v>CONCRETO_ASFÁLTICO</v>
          </cell>
          <cell r="D291">
            <v>0.45</v>
          </cell>
          <cell r="E291">
            <v>4.4989999999999997</v>
          </cell>
        </row>
        <row r="292">
          <cell r="C292" t="str">
            <v>CUNETA</v>
          </cell>
          <cell r="D292">
            <v>0.33200000000000002</v>
          </cell>
          <cell r="E292">
            <v>3.3149999999999999</v>
          </cell>
        </row>
        <row r="293">
          <cell r="C293" t="str">
            <v>BASE_GRANULAR</v>
          </cell>
          <cell r="D293">
            <v>1.0620000000000001</v>
          </cell>
          <cell r="E293">
            <v>10.621</v>
          </cell>
        </row>
        <row r="294">
          <cell r="C294" t="str">
            <v>RECICLADO</v>
          </cell>
          <cell r="D294">
            <v>1.6259999999999999</v>
          </cell>
          <cell r="E294">
            <v>16.259</v>
          </cell>
        </row>
        <row r="295">
          <cell r="C295" t="str">
            <v>CONCRETO_ASFÁLTICO</v>
          </cell>
          <cell r="D295">
            <v>0.45</v>
          </cell>
          <cell r="E295">
            <v>1.9850000000000001</v>
          </cell>
        </row>
        <row r="296">
          <cell r="C296" t="str">
            <v>CUNETA</v>
          </cell>
          <cell r="D296">
            <v>0.33200000000000002</v>
          </cell>
          <cell r="E296">
            <v>1.4630000000000001</v>
          </cell>
        </row>
        <row r="297">
          <cell r="C297" t="str">
            <v>BASE_GRANULAR</v>
          </cell>
          <cell r="D297">
            <v>1.04</v>
          </cell>
          <cell r="E297">
            <v>4.6379999999999999</v>
          </cell>
        </row>
        <row r="298">
          <cell r="C298" t="str">
            <v>RECICLADO</v>
          </cell>
          <cell r="D298">
            <v>1.61</v>
          </cell>
          <cell r="E298">
            <v>7.141</v>
          </cell>
        </row>
        <row r="299">
          <cell r="C299" t="str">
            <v>CONCRETO_ASFÁLTICO</v>
          </cell>
          <cell r="D299">
            <v>0.45</v>
          </cell>
          <cell r="E299">
            <v>7.0129999999999999</v>
          </cell>
        </row>
        <row r="300">
          <cell r="C300" t="str">
            <v>CUNETA</v>
          </cell>
          <cell r="D300">
            <v>0.33200000000000002</v>
          </cell>
          <cell r="E300">
            <v>5.1680000000000001</v>
          </cell>
        </row>
        <row r="301">
          <cell r="C301" t="str">
            <v>BASE_GRANULAR</v>
          </cell>
          <cell r="D301">
            <v>1.04</v>
          </cell>
          <cell r="E301">
            <v>16.207999999999998</v>
          </cell>
        </row>
        <row r="302">
          <cell r="C302" t="str">
            <v>RECICLADO</v>
          </cell>
          <cell r="D302">
            <v>1.61</v>
          </cell>
          <cell r="E302">
            <v>25.102</v>
          </cell>
        </row>
        <row r="303">
          <cell r="C303" t="str">
            <v>CONCRETO_ASFÁLTICO</v>
          </cell>
          <cell r="D303">
            <v>0.45</v>
          </cell>
          <cell r="E303">
            <v>3.0000000000000001E-3</v>
          </cell>
        </row>
        <row r="304">
          <cell r="C304" t="str">
            <v>CUNETA</v>
          </cell>
          <cell r="D304">
            <v>0.33200000000000002</v>
          </cell>
          <cell r="E304">
            <v>2E-3</v>
          </cell>
        </row>
        <row r="305">
          <cell r="C305" t="str">
            <v>BASE_GRANULAR</v>
          </cell>
          <cell r="D305">
            <v>1.0680000000000001</v>
          </cell>
          <cell r="E305">
            <v>8.0000000000000002E-3</v>
          </cell>
        </row>
        <row r="306">
          <cell r="C306" t="str">
            <v>RECICLADO</v>
          </cell>
          <cell r="D306">
            <v>1.63</v>
          </cell>
          <cell r="E306">
            <v>1.2E-2</v>
          </cell>
        </row>
        <row r="307">
          <cell r="C307" t="str">
            <v>CONCRETO_ASFÁLTICO</v>
          </cell>
          <cell r="D307">
            <v>0.45</v>
          </cell>
          <cell r="E307">
            <v>4.4960000000000004</v>
          </cell>
        </row>
        <row r="308">
          <cell r="C308" t="str">
            <v>CUNETA</v>
          </cell>
          <cell r="D308">
            <v>0.33200000000000002</v>
          </cell>
          <cell r="E308">
            <v>3.3130000000000002</v>
          </cell>
        </row>
        <row r="309">
          <cell r="C309" t="str">
            <v>BASE_GRANULAR</v>
          </cell>
          <cell r="D309">
            <v>1.0620000000000001</v>
          </cell>
          <cell r="E309">
            <v>10.645</v>
          </cell>
        </row>
        <row r="310">
          <cell r="C310" t="str">
            <v>RECICLADO</v>
          </cell>
          <cell r="D310">
            <v>1.6259999999999999</v>
          </cell>
          <cell r="E310">
            <v>16.27</v>
          </cell>
        </row>
        <row r="311">
          <cell r="C311" t="str">
            <v>CONCRETO_ASFÁLTICO</v>
          </cell>
          <cell r="D311">
            <v>0.45</v>
          </cell>
          <cell r="E311">
            <v>2.2530000000000001</v>
          </cell>
        </row>
        <row r="312">
          <cell r="C312" t="str">
            <v>CUNETA</v>
          </cell>
          <cell r="D312">
            <v>0.33200000000000002</v>
          </cell>
          <cell r="E312">
            <v>1.66</v>
          </cell>
        </row>
        <row r="313">
          <cell r="C313" t="str">
            <v>BASE_GRANULAR</v>
          </cell>
          <cell r="D313">
            <v>1.0620000000000001</v>
          </cell>
          <cell r="E313">
            <v>5.319</v>
          </cell>
        </row>
        <row r="314">
          <cell r="C314" t="str">
            <v>RECICLADO</v>
          </cell>
          <cell r="D314">
            <v>1.6259999999999999</v>
          </cell>
          <cell r="E314">
            <v>8.1419999999999995</v>
          </cell>
        </row>
        <row r="315">
          <cell r="C315" t="str">
            <v>CONCRETO_ASFÁLTICO</v>
          </cell>
          <cell r="D315">
            <v>0.45</v>
          </cell>
          <cell r="E315">
            <v>2.246</v>
          </cell>
        </row>
        <row r="316">
          <cell r="C316" t="str">
            <v>CUNETA</v>
          </cell>
          <cell r="D316">
            <v>0.33200000000000002</v>
          </cell>
          <cell r="E316">
            <v>1.655</v>
          </cell>
        </row>
        <row r="317">
          <cell r="C317" t="str">
            <v>BASE_GRANULAR</v>
          </cell>
          <cell r="D317">
            <v>1.0620000000000001</v>
          </cell>
          <cell r="E317">
            <v>5.3070000000000004</v>
          </cell>
        </row>
        <row r="318">
          <cell r="C318" t="str">
            <v>RECICLADO</v>
          </cell>
          <cell r="D318">
            <v>1.6259999999999999</v>
          </cell>
          <cell r="E318">
            <v>8.1210000000000004</v>
          </cell>
        </row>
        <row r="319">
          <cell r="C319" t="str">
            <v>CONCRETO_ASFÁLTICO</v>
          </cell>
          <cell r="D319">
            <v>0.45</v>
          </cell>
          <cell r="E319">
            <v>4.4989999999999997</v>
          </cell>
        </row>
        <row r="320">
          <cell r="C320" t="str">
            <v>CUNETA</v>
          </cell>
          <cell r="D320">
            <v>0.33200000000000002</v>
          </cell>
          <cell r="E320">
            <v>3.3149999999999999</v>
          </cell>
        </row>
        <row r="321">
          <cell r="C321" t="str">
            <v>BASE_GRANULAR</v>
          </cell>
          <cell r="D321">
            <v>1.0620000000000001</v>
          </cell>
          <cell r="E321">
            <v>10.63</v>
          </cell>
        </row>
        <row r="322">
          <cell r="C322" t="str">
            <v>RECICLADO</v>
          </cell>
          <cell r="D322">
            <v>1.6259999999999999</v>
          </cell>
          <cell r="E322">
            <v>16.265999999999998</v>
          </cell>
        </row>
        <row r="323">
          <cell r="C323" t="str">
            <v>CONCRETO_ASFÁLTICO</v>
          </cell>
          <cell r="D323">
            <v>0.45</v>
          </cell>
          <cell r="E323">
            <v>3.5960000000000001</v>
          </cell>
        </row>
        <row r="324">
          <cell r="C324" t="str">
            <v>CUNETA</v>
          </cell>
          <cell r="D324">
            <v>0.33200000000000002</v>
          </cell>
          <cell r="E324">
            <v>2.65</v>
          </cell>
        </row>
        <row r="325">
          <cell r="C325" t="str">
            <v>BASE_GRANULAR</v>
          </cell>
          <cell r="D325">
            <v>1.0620000000000001</v>
          </cell>
          <cell r="E325">
            <v>8.4949999999999992</v>
          </cell>
        </row>
        <row r="326">
          <cell r="C326" t="str">
            <v>RECICLADO</v>
          </cell>
          <cell r="D326">
            <v>1.6259999999999999</v>
          </cell>
          <cell r="E326">
            <v>13</v>
          </cell>
        </row>
        <row r="327">
          <cell r="C327" t="str">
            <v>CONCRETO_ASFÁLTICO</v>
          </cell>
          <cell r="D327">
            <v>0.45</v>
          </cell>
          <cell r="E327">
            <v>0.90300000000000002</v>
          </cell>
        </row>
        <row r="328">
          <cell r="C328" t="str">
            <v>CUNETA</v>
          </cell>
          <cell r="D328">
            <v>0.33200000000000002</v>
          </cell>
          <cell r="E328">
            <v>0.66600000000000004</v>
          </cell>
        </row>
        <row r="329">
          <cell r="C329" t="str">
            <v>BASE_GRANULAR</v>
          </cell>
          <cell r="D329">
            <v>1.0620000000000001</v>
          </cell>
          <cell r="E329">
            <v>2.133</v>
          </cell>
        </row>
        <row r="330">
          <cell r="C330" t="str">
            <v>RECICLADO</v>
          </cell>
          <cell r="D330">
            <v>1.6259999999999999</v>
          </cell>
          <cell r="E330">
            <v>3.2650000000000001</v>
          </cell>
        </row>
        <row r="331">
          <cell r="C331" t="str">
            <v>CONCRETO_ASFÁLTICO</v>
          </cell>
          <cell r="D331">
            <v>0.45</v>
          </cell>
          <cell r="E331">
            <v>4.4989999999999997</v>
          </cell>
        </row>
        <row r="332">
          <cell r="C332" t="str">
            <v>CUNETA</v>
          </cell>
          <cell r="D332">
            <v>0.33200000000000002</v>
          </cell>
          <cell r="E332">
            <v>3.3149999999999999</v>
          </cell>
        </row>
        <row r="333">
          <cell r="C333" t="str">
            <v>BASE_GRANULAR</v>
          </cell>
          <cell r="D333">
            <v>1.046</v>
          </cell>
          <cell r="E333">
            <v>10.544</v>
          </cell>
        </row>
        <row r="334">
          <cell r="C334" t="str">
            <v>RECICLADO</v>
          </cell>
          <cell r="D334">
            <v>1.615</v>
          </cell>
          <cell r="E334">
            <v>16.206</v>
          </cell>
        </row>
        <row r="335">
          <cell r="C335" t="str">
            <v>CONCRETO_ASFÁLTICO</v>
          </cell>
          <cell r="D335">
            <v>0.45</v>
          </cell>
          <cell r="E335">
            <v>1.3460000000000001</v>
          </cell>
        </row>
        <row r="336">
          <cell r="C336" t="str">
            <v>CUNETA</v>
          </cell>
          <cell r="D336">
            <v>0.33200000000000002</v>
          </cell>
          <cell r="E336">
            <v>0.99199999999999999</v>
          </cell>
        </row>
        <row r="337">
          <cell r="C337" t="str">
            <v>BASE_GRANULAR</v>
          </cell>
          <cell r="D337">
            <v>1.04</v>
          </cell>
          <cell r="E337">
            <v>3.121</v>
          </cell>
        </row>
        <row r="338">
          <cell r="C338" t="str">
            <v>RECICLADO</v>
          </cell>
          <cell r="D338">
            <v>1.61</v>
          </cell>
          <cell r="E338">
            <v>4.8250000000000002</v>
          </cell>
        </row>
        <row r="339">
          <cell r="C339" t="str">
            <v>CONCRETO_ASFÁLTICO</v>
          </cell>
          <cell r="D339">
            <v>0.45</v>
          </cell>
          <cell r="E339">
            <v>1.4999999999999999E-2</v>
          </cell>
        </row>
        <row r="340">
          <cell r="C340" t="str">
            <v>CUNETA</v>
          </cell>
          <cell r="D340">
            <v>0.33200000000000002</v>
          </cell>
          <cell r="E340">
            <v>1.0999999999999999E-2</v>
          </cell>
        </row>
        <row r="341">
          <cell r="C341" t="str">
            <v>BASE_GRANULAR</v>
          </cell>
          <cell r="D341">
            <v>1.04</v>
          </cell>
          <cell r="E341">
            <v>3.5000000000000003E-2</v>
          </cell>
        </row>
        <row r="342">
          <cell r="C342" t="str">
            <v>RECICLADO</v>
          </cell>
          <cell r="D342">
            <v>1.61</v>
          </cell>
          <cell r="E342">
            <v>5.3999999999999999E-2</v>
          </cell>
        </row>
        <row r="343">
          <cell r="C343" t="str">
            <v>CONCRETO_ASFÁLTICO</v>
          </cell>
          <cell r="D343">
            <v>0.45</v>
          </cell>
          <cell r="E343">
            <v>3.1379999999999999</v>
          </cell>
        </row>
        <row r="344">
          <cell r="C344" t="str">
            <v>CUNETA</v>
          </cell>
          <cell r="D344">
            <v>0.33200000000000002</v>
          </cell>
          <cell r="E344">
            <v>2.3119999999999998</v>
          </cell>
        </row>
        <row r="345">
          <cell r="C345" t="str">
            <v>BASE_GRANULAR</v>
          </cell>
          <cell r="D345">
            <v>1.0609999999999999</v>
          </cell>
          <cell r="E345">
            <v>7.3280000000000003</v>
          </cell>
        </row>
        <row r="346">
          <cell r="C346" t="str">
            <v>RECICLADO</v>
          </cell>
          <cell r="D346">
            <v>1.625</v>
          </cell>
          <cell r="E346">
            <v>11.284000000000001</v>
          </cell>
        </row>
        <row r="347">
          <cell r="C347" t="str">
            <v>CONCRETO_ASFÁLTICO</v>
          </cell>
          <cell r="D347">
            <v>0.45</v>
          </cell>
          <cell r="E347">
            <v>3.2509999999999999</v>
          </cell>
        </row>
        <row r="348">
          <cell r="C348" t="str">
            <v>CUNETA</v>
          </cell>
          <cell r="D348">
            <v>0.33200000000000002</v>
          </cell>
          <cell r="E348">
            <v>2.3959999999999999</v>
          </cell>
        </row>
        <row r="349">
          <cell r="C349" t="str">
            <v>BASE_GRANULAR</v>
          </cell>
          <cell r="D349">
            <v>1.0620000000000001</v>
          </cell>
          <cell r="E349">
            <v>7.6760000000000002</v>
          </cell>
        </row>
        <row r="350">
          <cell r="C350" t="str">
            <v>RECICLADO</v>
          </cell>
          <cell r="D350">
            <v>1.6259999999999999</v>
          </cell>
          <cell r="E350">
            <v>11.75</v>
          </cell>
        </row>
        <row r="351">
          <cell r="C351" t="str">
            <v>CONCRETO_ASFÁLTICO</v>
          </cell>
          <cell r="D351">
            <v>0.45</v>
          </cell>
          <cell r="E351">
            <v>1.248</v>
          </cell>
        </row>
        <row r="352">
          <cell r="C352" t="str">
            <v>CUNETA</v>
          </cell>
          <cell r="D352">
            <v>0.33200000000000002</v>
          </cell>
          <cell r="E352">
            <v>0.92</v>
          </cell>
        </row>
        <row r="353">
          <cell r="C353" t="str">
            <v>BASE_GRANULAR</v>
          </cell>
          <cell r="D353">
            <v>1.0620000000000001</v>
          </cell>
          <cell r="E353">
            <v>2.9580000000000002</v>
          </cell>
        </row>
        <row r="354">
          <cell r="C354" t="str">
            <v>RECICLADO</v>
          </cell>
          <cell r="D354">
            <v>1.6259999999999999</v>
          </cell>
          <cell r="E354">
            <v>4.5199999999999996</v>
          </cell>
        </row>
        <row r="355">
          <cell r="C355" t="str">
            <v>CONCRETO_ASFÁLTICO</v>
          </cell>
          <cell r="D355">
            <v>0.45</v>
          </cell>
          <cell r="E355">
            <v>4.4989999999999997</v>
          </cell>
        </row>
        <row r="356">
          <cell r="C356" t="str">
            <v>CUNETA</v>
          </cell>
          <cell r="D356">
            <v>0.33200000000000002</v>
          </cell>
          <cell r="E356">
            <v>3.3149999999999999</v>
          </cell>
        </row>
        <row r="357">
          <cell r="C357" t="str">
            <v>BASE_GRANULAR</v>
          </cell>
          <cell r="D357">
            <v>1.0620000000000001</v>
          </cell>
          <cell r="E357">
            <v>10.661</v>
          </cell>
        </row>
        <row r="358">
          <cell r="C358" t="str">
            <v>RECICLADO</v>
          </cell>
          <cell r="D358">
            <v>1.6259999999999999</v>
          </cell>
          <cell r="E358">
            <v>16.292000000000002</v>
          </cell>
        </row>
        <row r="359">
          <cell r="C359" t="str">
            <v>CONCRETO_ASFÁLTICO</v>
          </cell>
          <cell r="D359">
            <v>0.45</v>
          </cell>
          <cell r="E359">
            <v>1.9510000000000001</v>
          </cell>
        </row>
        <row r="360">
          <cell r="C360" t="str">
            <v>CUNETA</v>
          </cell>
          <cell r="D360">
            <v>0.33200000000000002</v>
          </cell>
          <cell r="E360">
            <v>1.4370000000000001</v>
          </cell>
        </row>
        <row r="361">
          <cell r="C361" t="str">
            <v>BASE_GRANULAR</v>
          </cell>
          <cell r="D361">
            <v>1.0620000000000001</v>
          </cell>
          <cell r="E361">
            <v>4.6219999999999999</v>
          </cell>
        </row>
        <row r="362">
          <cell r="C362" t="str">
            <v>RECICLADO</v>
          </cell>
          <cell r="D362">
            <v>1.6259999999999999</v>
          </cell>
          <cell r="E362">
            <v>7.0629999999999997</v>
          </cell>
        </row>
        <row r="363">
          <cell r="C363" t="str">
            <v>CONCRETO_ASFÁLTICO</v>
          </cell>
          <cell r="D363">
            <v>0.45</v>
          </cell>
          <cell r="E363">
            <v>2.5489999999999999</v>
          </cell>
        </row>
        <row r="364">
          <cell r="C364" t="str">
            <v>CUNETA</v>
          </cell>
          <cell r="D364">
            <v>0.33200000000000002</v>
          </cell>
          <cell r="E364">
            <v>1.8779999999999999</v>
          </cell>
        </row>
        <row r="365">
          <cell r="C365" t="str">
            <v>BASE_GRANULAR</v>
          </cell>
          <cell r="D365">
            <v>1.0620000000000001</v>
          </cell>
          <cell r="E365">
            <v>6.02</v>
          </cell>
        </row>
        <row r="366">
          <cell r="C366" t="str">
            <v>RECICLADO</v>
          </cell>
          <cell r="D366">
            <v>1.6259999999999999</v>
          </cell>
          <cell r="E366">
            <v>9.2129999999999992</v>
          </cell>
        </row>
        <row r="367">
          <cell r="C367" t="str">
            <v>CONCRETO_ASFÁLTICO</v>
          </cell>
          <cell r="D367">
            <v>0.45</v>
          </cell>
          <cell r="E367">
            <v>3.84</v>
          </cell>
        </row>
        <row r="368">
          <cell r="C368" t="str">
            <v>CUNETA</v>
          </cell>
          <cell r="D368">
            <v>0.33200000000000002</v>
          </cell>
          <cell r="E368">
            <v>2.83</v>
          </cell>
        </row>
        <row r="369">
          <cell r="C369" t="str">
            <v>BASE_GRANULAR</v>
          </cell>
          <cell r="D369">
            <v>1.0509999999999999</v>
          </cell>
          <cell r="E369">
            <v>9.0220000000000002</v>
          </cell>
        </row>
        <row r="370">
          <cell r="C370" t="str">
            <v>RECICLADO</v>
          </cell>
          <cell r="D370">
            <v>1.6180000000000001</v>
          </cell>
          <cell r="E370">
            <v>13.848000000000001</v>
          </cell>
        </row>
        <row r="371">
          <cell r="C371" t="str">
            <v>CONCRETO_ASFÁLTICO</v>
          </cell>
          <cell r="D371">
            <v>0.45</v>
          </cell>
          <cell r="E371">
            <v>0.65900000000000003</v>
          </cell>
        </row>
        <row r="372">
          <cell r="C372" t="str">
            <v>CUNETA</v>
          </cell>
          <cell r="D372">
            <v>0.33200000000000002</v>
          </cell>
          <cell r="E372">
            <v>0.48599999999999999</v>
          </cell>
        </row>
        <row r="373">
          <cell r="C373" t="str">
            <v>BASE_GRANULAR</v>
          </cell>
          <cell r="D373">
            <v>1.048</v>
          </cell>
          <cell r="E373">
            <v>1.5369999999999999</v>
          </cell>
        </row>
        <row r="374">
          <cell r="C374" t="str">
            <v>RECICLADO</v>
          </cell>
          <cell r="D374">
            <v>1.6160000000000001</v>
          </cell>
          <cell r="E374">
            <v>2.3679999999999999</v>
          </cell>
        </row>
        <row r="375">
          <cell r="C375" t="str">
            <v>CONCRETO_ASFÁLTICO</v>
          </cell>
          <cell r="D375">
            <v>0.45</v>
          </cell>
          <cell r="E375">
            <v>1.9219999999999999</v>
          </cell>
        </row>
        <row r="376">
          <cell r="C376" t="str">
            <v>CUNETA</v>
          </cell>
          <cell r="D376">
            <v>0.33200000000000002</v>
          </cell>
          <cell r="E376">
            <v>1.4159999999999999</v>
          </cell>
        </row>
        <row r="377">
          <cell r="C377" t="str">
            <v>BASE_GRANULAR</v>
          </cell>
          <cell r="D377">
            <v>1.0680000000000001</v>
          </cell>
          <cell r="E377">
            <v>4.5190000000000001</v>
          </cell>
        </row>
        <row r="378">
          <cell r="C378" t="str">
            <v>RECICLADO</v>
          </cell>
          <cell r="D378">
            <v>1.63</v>
          </cell>
          <cell r="E378">
            <v>6.9340000000000002</v>
          </cell>
        </row>
        <row r="379">
          <cell r="C379" t="str">
            <v>CONCRETO_ASFÁLTICO</v>
          </cell>
          <cell r="D379">
            <v>0.45</v>
          </cell>
          <cell r="E379">
            <v>2.577</v>
          </cell>
        </row>
        <row r="380">
          <cell r="C380" t="str">
            <v>CUNETA</v>
          </cell>
          <cell r="D380">
            <v>0.33200000000000002</v>
          </cell>
          <cell r="E380">
            <v>1.899</v>
          </cell>
        </row>
        <row r="381">
          <cell r="C381" t="str">
            <v>BASE_GRANULAR</v>
          </cell>
          <cell r="D381">
            <v>1.0620000000000001</v>
          </cell>
          <cell r="E381">
            <v>6.1239999999999997</v>
          </cell>
        </row>
        <row r="382">
          <cell r="C382" t="str">
            <v>RECICLADO</v>
          </cell>
          <cell r="D382">
            <v>1.6259999999999999</v>
          </cell>
          <cell r="E382">
            <v>9.3439999999999994</v>
          </cell>
        </row>
        <row r="383">
          <cell r="C383" t="str">
            <v>CONCRETO_ASFÁLTICO</v>
          </cell>
          <cell r="D383">
            <v>0.45</v>
          </cell>
          <cell r="E383">
            <v>4.4989999999999997</v>
          </cell>
        </row>
        <row r="384">
          <cell r="C384" t="str">
            <v>CUNETA</v>
          </cell>
          <cell r="D384">
            <v>0.33200000000000002</v>
          </cell>
          <cell r="E384">
            <v>3.3149999999999999</v>
          </cell>
        </row>
        <row r="385">
          <cell r="C385" t="str">
            <v>BASE_GRANULAR</v>
          </cell>
          <cell r="D385">
            <v>1.0620000000000001</v>
          </cell>
          <cell r="E385">
            <v>10.679</v>
          </cell>
        </row>
        <row r="386">
          <cell r="C386" t="str">
            <v>RECICLADO</v>
          </cell>
          <cell r="D386">
            <v>1.6259999999999999</v>
          </cell>
          <cell r="E386">
            <v>16.305</v>
          </cell>
        </row>
        <row r="387">
          <cell r="C387" t="str">
            <v>CONCRETO_ASFÁLTICO</v>
          </cell>
          <cell r="D387">
            <v>0.4</v>
          </cell>
          <cell r="E387">
            <v>3.6339999999999999</v>
          </cell>
        </row>
        <row r="388">
          <cell r="C388" t="str">
            <v>CUNETA</v>
          </cell>
          <cell r="D388">
            <v>0.33200000000000002</v>
          </cell>
          <cell r="E388">
            <v>2.835</v>
          </cell>
        </row>
        <row r="389">
          <cell r="C389" t="str">
            <v>BASE_GRANULAR</v>
          </cell>
          <cell r="D389">
            <v>0.754</v>
          </cell>
          <cell r="E389">
            <v>7.7910000000000004</v>
          </cell>
        </row>
        <row r="390">
          <cell r="C390" t="str">
            <v>RECICLADO</v>
          </cell>
          <cell r="D390">
            <v>1.881</v>
          </cell>
          <cell r="E390">
            <v>15.013999999999999</v>
          </cell>
        </row>
        <row r="391">
          <cell r="C391" t="str">
            <v>CONCRETO_ASFÁLTICO</v>
          </cell>
          <cell r="D391">
            <v>0.4</v>
          </cell>
          <cell r="E391">
            <v>3.214</v>
          </cell>
        </row>
        <row r="392">
          <cell r="C392" t="str">
            <v>CUNETA</v>
          </cell>
          <cell r="D392">
            <v>0.33200000000000002</v>
          </cell>
          <cell r="E392">
            <v>2.665</v>
          </cell>
        </row>
        <row r="393">
          <cell r="C393" t="str">
            <v>BASE_GRANULAR</v>
          </cell>
          <cell r="D393">
            <v>0.75800000000000001</v>
          </cell>
          <cell r="E393">
            <v>6.0780000000000003</v>
          </cell>
        </row>
        <row r="394">
          <cell r="C394" t="str">
            <v>RECICLADO</v>
          </cell>
          <cell r="D394">
            <v>1.8959999999999999</v>
          </cell>
          <cell r="E394">
            <v>15.179</v>
          </cell>
        </row>
        <row r="395">
          <cell r="C395" t="str">
            <v>CONCRETO_ASFÁLTICO</v>
          </cell>
          <cell r="D395">
            <v>0.4</v>
          </cell>
          <cell r="E395">
            <v>1.3640000000000001</v>
          </cell>
        </row>
        <row r="396">
          <cell r="C396" t="str">
            <v>CUNETA</v>
          </cell>
          <cell r="D396">
            <v>0.33200000000000002</v>
          </cell>
          <cell r="E396">
            <v>1.131</v>
          </cell>
        </row>
        <row r="397">
          <cell r="C397" t="str">
            <v>BASE_GRANULAR</v>
          </cell>
          <cell r="D397">
            <v>0.76100000000000001</v>
          </cell>
          <cell r="E397">
            <v>2.59</v>
          </cell>
        </row>
        <row r="398">
          <cell r="C398" t="str">
            <v>RECICLADO</v>
          </cell>
          <cell r="D398">
            <v>1.9059999999999999</v>
          </cell>
          <cell r="E398">
            <v>6.484</v>
          </cell>
        </row>
        <row r="399">
          <cell r="C399" t="str">
            <v>CONCRETO_ASFÁLTICO</v>
          </cell>
          <cell r="D399">
            <v>0.4</v>
          </cell>
          <cell r="E399">
            <v>3.9990000000000001</v>
          </cell>
        </row>
        <row r="400">
          <cell r="C400" t="str">
            <v>CUNETA</v>
          </cell>
          <cell r="D400">
            <v>0.33200000000000002</v>
          </cell>
          <cell r="E400">
            <v>3.3149999999999999</v>
          </cell>
        </row>
        <row r="401">
          <cell r="C401" t="str">
            <v>BASE_GRANULAR</v>
          </cell>
          <cell r="D401">
            <v>0.76200000000000001</v>
          </cell>
          <cell r="E401">
            <v>7.6139999999999999</v>
          </cell>
        </row>
        <row r="402">
          <cell r="C402" t="str">
            <v>RECICLADO</v>
          </cell>
          <cell r="D402">
            <v>1.911</v>
          </cell>
          <cell r="E402">
            <v>19.099</v>
          </cell>
        </row>
        <row r="403">
          <cell r="C403" t="str">
            <v>CONCRETO_ASFÁLTICO</v>
          </cell>
          <cell r="D403">
            <v>0.4</v>
          </cell>
          <cell r="E403">
            <v>0.27600000000000002</v>
          </cell>
        </row>
        <row r="404">
          <cell r="C404" t="str">
            <v>CUNETA</v>
          </cell>
          <cell r="D404">
            <v>0.33200000000000002</v>
          </cell>
          <cell r="E404">
            <v>0.22900000000000001</v>
          </cell>
        </row>
        <row r="405">
          <cell r="C405" t="str">
            <v>BASE_GRANULAR</v>
          </cell>
          <cell r="D405">
            <v>0.76200000000000001</v>
          </cell>
          <cell r="E405">
            <v>0.52500000000000002</v>
          </cell>
        </row>
        <row r="406">
          <cell r="C406" t="str">
            <v>RECICLADO</v>
          </cell>
          <cell r="D406">
            <v>1.911</v>
          </cell>
          <cell r="E406">
            <v>1.3180000000000001</v>
          </cell>
        </row>
        <row r="407">
          <cell r="C407" t="str">
            <v>CONCRETO_ASFÁLTICO</v>
          </cell>
          <cell r="D407">
            <v>0.4</v>
          </cell>
          <cell r="E407">
            <v>3.7229999999999999</v>
          </cell>
        </row>
        <row r="408">
          <cell r="C408" t="str">
            <v>CUNETA</v>
          </cell>
          <cell r="D408">
            <v>0.33200000000000002</v>
          </cell>
          <cell r="E408">
            <v>3.0870000000000002</v>
          </cell>
        </row>
        <row r="409">
          <cell r="C409" t="str">
            <v>BASE_GRANULAR</v>
          </cell>
          <cell r="D409">
            <v>0.76200000000000001</v>
          </cell>
          <cell r="E409">
            <v>7.1020000000000003</v>
          </cell>
        </row>
        <row r="410">
          <cell r="C410" t="str">
            <v>RECICLADO</v>
          </cell>
          <cell r="D410">
            <v>1.911</v>
          </cell>
          <cell r="E410">
            <v>17.841999999999999</v>
          </cell>
        </row>
        <row r="411">
          <cell r="C411" t="str">
            <v>CONCRETO_ASFÁLTICO</v>
          </cell>
          <cell r="D411">
            <v>0.4</v>
          </cell>
          <cell r="E411">
            <v>2.9780000000000002</v>
          </cell>
        </row>
        <row r="412">
          <cell r="C412" t="str">
            <v>CUNETA</v>
          </cell>
          <cell r="D412">
            <v>0.33200000000000002</v>
          </cell>
          <cell r="E412">
            <v>2.4689999999999999</v>
          </cell>
        </row>
        <row r="413">
          <cell r="C413" t="str">
            <v>BASE_GRANULAR</v>
          </cell>
          <cell r="D413">
            <v>0.76200000000000001</v>
          </cell>
          <cell r="E413">
            <v>5.681</v>
          </cell>
        </row>
        <row r="414">
          <cell r="C414" t="str">
            <v>RECICLADO</v>
          </cell>
          <cell r="D414">
            <v>1.911</v>
          </cell>
          <cell r="E414">
            <v>14.271000000000001</v>
          </cell>
        </row>
        <row r="415">
          <cell r="C415" t="str">
            <v>CONCRETO_ASFÁLTICO</v>
          </cell>
          <cell r="D415">
            <v>0.4</v>
          </cell>
          <cell r="E415">
            <v>1.0209999999999999</v>
          </cell>
        </row>
        <row r="416">
          <cell r="C416" t="str">
            <v>CUNETA</v>
          </cell>
          <cell r="D416">
            <v>0.33200000000000002</v>
          </cell>
          <cell r="E416">
            <v>0.84599999999999997</v>
          </cell>
        </row>
        <row r="417">
          <cell r="C417" t="str">
            <v>BASE_GRANULAR</v>
          </cell>
          <cell r="D417">
            <v>0.76200000000000001</v>
          </cell>
          <cell r="E417">
            <v>1.9450000000000001</v>
          </cell>
        </row>
        <row r="418">
          <cell r="C418" t="str">
            <v>RECICLADO</v>
          </cell>
          <cell r="D418">
            <v>1.911</v>
          </cell>
          <cell r="E418">
            <v>4.8810000000000002</v>
          </cell>
        </row>
        <row r="419">
          <cell r="C419" t="str">
            <v>CONCRETO_ASFÁLTICO</v>
          </cell>
          <cell r="D419">
            <v>0.4</v>
          </cell>
          <cell r="E419">
            <v>3.9990000000000001</v>
          </cell>
        </row>
        <row r="420">
          <cell r="C420" t="str">
            <v>CUNETA</v>
          </cell>
          <cell r="D420">
            <v>0.33200000000000002</v>
          </cell>
          <cell r="E420">
            <v>3.3149999999999999</v>
          </cell>
        </row>
        <row r="421">
          <cell r="C421" t="str">
            <v>BASE_GRANULAR</v>
          </cell>
          <cell r="D421">
            <v>0.76200000000000001</v>
          </cell>
          <cell r="E421">
            <v>7.6210000000000004</v>
          </cell>
        </row>
        <row r="422">
          <cell r="C422" t="str">
            <v>RECICLADO</v>
          </cell>
          <cell r="D422">
            <v>1.911</v>
          </cell>
          <cell r="E422">
            <v>19.13</v>
          </cell>
        </row>
        <row r="423">
          <cell r="C423" t="str">
            <v>CONCRETO_ASFÁLTICO</v>
          </cell>
          <cell r="D423">
            <v>0.4</v>
          </cell>
          <cell r="E423">
            <v>0.61899999999999999</v>
          </cell>
        </row>
        <row r="424">
          <cell r="C424" t="str">
            <v>CUNETA</v>
          </cell>
          <cell r="D424">
            <v>0.33200000000000002</v>
          </cell>
          <cell r="E424">
            <v>0.51300000000000001</v>
          </cell>
        </row>
        <row r="425">
          <cell r="C425" t="str">
            <v>BASE_GRANULAR</v>
          </cell>
          <cell r="D425">
            <v>0.754</v>
          </cell>
          <cell r="E425">
            <v>1.173</v>
          </cell>
        </row>
        <row r="426">
          <cell r="C426" t="str">
            <v>RECICLADO</v>
          </cell>
          <cell r="D426">
            <v>1.881</v>
          </cell>
          <cell r="E426">
            <v>2.9329999999999998</v>
          </cell>
        </row>
        <row r="427">
          <cell r="C427" t="str">
            <v>CONCRETO_ASFÁLTICO</v>
          </cell>
          <cell r="D427">
            <v>0.4</v>
          </cell>
          <cell r="E427">
            <v>0.371</v>
          </cell>
        </row>
        <row r="428">
          <cell r="C428" t="str">
            <v>CUNETA</v>
          </cell>
          <cell r="D428">
            <v>0.33200000000000002</v>
          </cell>
          <cell r="E428">
            <v>0.308</v>
          </cell>
        </row>
        <row r="429">
          <cell r="C429" t="str">
            <v>BASE_GRANULAR</v>
          </cell>
          <cell r="D429">
            <v>0.76400000000000001</v>
          </cell>
          <cell r="E429">
            <v>0.70499999999999996</v>
          </cell>
        </row>
        <row r="430">
          <cell r="C430" t="str">
            <v>RECICLADO</v>
          </cell>
          <cell r="D430">
            <v>1.919</v>
          </cell>
          <cell r="E430">
            <v>1.7649999999999999</v>
          </cell>
        </row>
        <row r="431">
          <cell r="C431" t="str">
            <v>CONCRETO_ASFÁLTICO</v>
          </cell>
          <cell r="D431">
            <v>0.4</v>
          </cell>
          <cell r="E431">
            <v>3.0089999999999999</v>
          </cell>
        </row>
        <row r="432">
          <cell r="C432" t="str">
            <v>CUNETA</v>
          </cell>
          <cell r="D432">
            <v>0.33200000000000002</v>
          </cell>
          <cell r="E432">
            <v>2.4950000000000001</v>
          </cell>
        </row>
        <row r="433">
          <cell r="C433" t="str">
            <v>BASE_GRANULAR</v>
          </cell>
          <cell r="D433">
            <v>0.76200000000000001</v>
          </cell>
          <cell r="E433">
            <v>5.7409999999999997</v>
          </cell>
        </row>
        <row r="434">
          <cell r="C434" t="str">
            <v>RECICLADO</v>
          </cell>
          <cell r="D434">
            <v>1.911</v>
          </cell>
          <cell r="E434">
            <v>14.422000000000001</v>
          </cell>
        </row>
        <row r="435">
          <cell r="C435" t="str">
            <v>CONCRETO_ASFÁLTICO</v>
          </cell>
          <cell r="D435">
            <v>0.4</v>
          </cell>
          <cell r="E435">
            <v>3.9990000000000001</v>
          </cell>
        </row>
        <row r="436">
          <cell r="C436" t="str">
            <v>CUNETA</v>
          </cell>
          <cell r="D436">
            <v>0.33200000000000002</v>
          </cell>
          <cell r="E436">
            <v>3.3149999999999999</v>
          </cell>
        </row>
        <row r="437">
          <cell r="C437" t="str">
            <v>BASE_GRANULAR</v>
          </cell>
          <cell r="D437">
            <v>0.76200000000000001</v>
          </cell>
          <cell r="E437">
            <v>7.6210000000000004</v>
          </cell>
        </row>
        <row r="438">
          <cell r="C438" t="str">
            <v>RECICLADO</v>
          </cell>
          <cell r="D438">
            <v>1.911</v>
          </cell>
          <cell r="E438">
            <v>19.13</v>
          </cell>
        </row>
        <row r="439">
          <cell r="C439" t="str">
            <v>CONCRETO_ASFÁLTICO</v>
          </cell>
          <cell r="D439">
            <v>0.4</v>
          </cell>
          <cell r="E439">
            <v>3.9990000000000001</v>
          </cell>
        </row>
        <row r="440">
          <cell r="C440" t="str">
            <v>CUNETA</v>
          </cell>
          <cell r="D440">
            <v>0.33200000000000002</v>
          </cell>
          <cell r="E440">
            <v>3.3149999999999999</v>
          </cell>
        </row>
        <row r="441">
          <cell r="C441" t="str">
            <v>BASE_GRANULAR</v>
          </cell>
          <cell r="D441">
            <v>0.76200000000000001</v>
          </cell>
          <cell r="E441">
            <v>7.6210000000000004</v>
          </cell>
        </row>
        <row r="442">
          <cell r="C442" t="str">
            <v>RECICLADO</v>
          </cell>
          <cell r="D442">
            <v>1.911</v>
          </cell>
          <cell r="E442">
            <v>19.13</v>
          </cell>
        </row>
        <row r="443">
          <cell r="C443" t="str">
            <v>CONCRETO_ASFÁLTICO</v>
          </cell>
          <cell r="D443">
            <v>0.4</v>
          </cell>
          <cell r="E443">
            <v>0.96299999999999997</v>
          </cell>
        </row>
        <row r="444">
          <cell r="C444" t="str">
            <v>CUNETA</v>
          </cell>
          <cell r="D444">
            <v>0.33200000000000002</v>
          </cell>
          <cell r="E444">
            <v>0.79800000000000004</v>
          </cell>
        </row>
        <row r="445">
          <cell r="C445" t="str">
            <v>BASE_GRANULAR</v>
          </cell>
          <cell r="D445">
            <v>0.754</v>
          </cell>
          <cell r="E445">
            <v>1.8260000000000001</v>
          </cell>
        </row>
        <row r="446">
          <cell r="C446" t="str">
            <v>RECICLADO</v>
          </cell>
          <cell r="D446">
            <v>1.881</v>
          </cell>
          <cell r="E446">
            <v>4.5679999999999996</v>
          </cell>
        </row>
        <row r="447">
          <cell r="C447" t="str">
            <v>CONCRETO_ASFÁLTICO</v>
          </cell>
          <cell r="D447">
            <v>0.4</v>
          </cell>
          <cell r="E447">
            <v>2.8679999999999999</v>
          </cell>
        </row>
        <row r="448">
          <cell r="C448" t="str">
            <v>CUNETA</v>
          </cell>
          <cell r="D448">
            <v>0.33200000000000002</v>
          </cell>
          <cell r="E448">
            <v>2.3769999999999998</v>
          </cell>
        </row>
        <row r="449">
          <cell r="C449" t="str">
            <v>BASE_GRANULAR</v>
          </cell>
          <cell r="D449">
            <v>0.76400000000000001</v>
          </cell>
          <cell r="E449">
            <v>5.4420000000000002</v>
          </cell>
        </row>
        <row r="450">
          <cell r="C450" t="str">
            <v>RECICLADO</v>
          </cell>
          <cell r="D450">
            <v>1.919</v>
          </cell>
          <cell r="E450">
            <v>13.624000000000001</v>
          </cell>
        </row>
        <row r="451">
          <cell r="C451" t="str">
            <v>CONCRETO_ASFÁLTICO</v>
          </cell>
          <cell r="D451">
            <v>0.4</v>
          </cell>
          <cell r="E451">
            <v>0.16900000000000001</v>
          </cell>
        </row>
        <row r="452">
          <cell r="C452" t="str">
            <v>CUNETA</v>
          </cell>
          <cell r="D452">
            <v>0.33200000000000002</v>
          </cell>
          <cell r="E452">
            <v>0.14000000000000001</v>
          </cell>
        </row>
        <row r="453">
          <cell r="C453" t="str">
            <v>BASE_GRANULAR</v>
          </cell>
          <cell r="D453">
            <v>0.76200000000000001</v>
          </cell>
          <cell r="E453">
            <v>0.32200000000000001</v>
          </cell>
        </row>
        <row r="454">
          <cell r="C454" t="str">
            <v>RECICLADO</v>
          </cell>
          <cell r="D454">
            <v>1.911</v>
          </cell>
          <cell r="E454">
            <v>0.80700000000000005</v>
          </cell>
        </row>
        <row r="455">
          <cell r="C455" t="str">
            <v>CONCRETO_ASFÁLTICO</v>
          </cell>
          <cell r="D455">
            <v>0.4</v>
          </cell>
          <cell r="E455">
            <v>3.9990000000000001</v>
          </cell>
        </row>
        <row r="456">
          <cell r="C456" t="str">
            <v>CUNETA</v>
          </cell>
          <cell r="D456">
            <v>0.33200000000000002</v>
          </cell>
          <cell r="E456">
            <v>3.3149999999999999</v>
          </cell>
        </row>
        <row r="457">
          <cell r="C457" t="str">
            <v>BASE_GRANULAR</v>
          </cell>
          <cell r="D457">
            <v>0.76200000000000001</v>
          </cell>
          <cell r="E457">
            <v>7.6210000000000004</v>
          </cell>
        </row>
        <row r="458">
          <cell r="C458" t="str">
            <v>RECICLADO</v>
          </cell>
          <cell r="D458">
            <v>1.911</v>
          </cell>
          <cell r="E458">
            <v>19.128</v>
          </cell>
        </row>
        <row r="459">
          <cell r="C459" t="str">
            <v>CONCRETO_ASFÁLTICO</v>
          </cell>
          <cell r="D459">
            <v>0.4</v>
          </cell>
          <cell r="E459">
            <v>1.4710000000000001</v>
          </cell>
        </row>
        <row r="460">
          <cell r="C460" t="str">
            <v>CUNETA</v>
          </cell>
          <cell r="D460">
            <v>0.33200000000000002</v>
          </cell>
          <cell r="E460">
            <v>1.22</v>
          </cell>
        </row>
        <row r="461">
          <cell r="C461" t="str">
            <v>BASE_GRANULAR</v>
          </cell>
          <cell r="D461">
            <v>0.76200000000000001</v>
          </cell>
          <cell r="E461">
            <v>2.802</v>
          </cell>
        </row>
        <row r="462">
          <cell r="C462" t="str">
            <v>RECICLADO</v>
          </cell>
          <cell r="D462">
            <v>1.911</v>
          </cell>
          <cell r="E462">
            <v>7.032</v>
          </cell>
        </row>
        <row r="463">
          <cell r="C463" t="str">
            <v>CONCRETO_ASFÁLTICO</v>
          </cell>
          <cell r="D463">
            <v>0.4</v>
          </cell>
          <cell r="E463">
            <v>2.528</v>
          </cell>
        </row>
        <row r="464">
          <cell r="C464" t="str">
            <v>CUNETA</v>
          </cell>
          <cell r="D464">
            <v>0.33200000000000002</v>
          </cell>
          <cell r="E464">
            <v>2.0960000000000001</v>
          </cell>
        </row>
        <row r="465">
          <cell r="C465" t="str">
            <v>BASE_GRANULAR</v>
          </cell>
          <cell r="D465">
            <v>0.76200000000000001</v>
          </cell>
          <cell r="E465">
            <v>4.8209999999999997</v>
          </cell>
        </row>
        <row r="466">
          <cell r="C466" t="str">
            <v>RECICLADO</v>
          </cell>
          <cell r="D466">
            <v>1.911</v>
          </cell>
          <cell r="E466">
            <v>12.11</v>
          </cell>
        </row>
        <row r="467">
          <cell r="C467" t="str">
            <v>CONCRETO_ASFÁLTICO</v>
          </cell>
          <cell r="D467">
            <v>0.4</v>
          </cell>
          <cell r="E467">
            <v>3.9990000000000001</v>
          </cell>
        </row>
        <row r="468">
          <cell r="C468" t="str">
            <v>CUNETA</v>
          </cell>
          <cell r="D468">
            <v>0.33200000000000002</v>
          </cell>
          <cell r="E468">
            <v>3.3149999999999999</v>
          </cell>
        </row>
        <row r="469">
          <cell r="C469" t="str">
            <v>BASE_GRANULAR</v>
          </cell>
          <cell r="D469">
            <v>0.76200000000000001</v>
          </cell>
          <cell r="E469">
            <v>7.6269999999999998</v>
          </cell>
        </row>
        <row r="470">
          <cell r="C470" t="str">
            <v>RECICLADO</v>
          </cell>
          <cell r="D470">
            <v>1.911</v>
          </cell>
          <cell r="E470">
            <v>19.157</v>
          </cell>
        </row>
        <row r="471">
          <cell r="C471" t="str">
            <v>CONCRETO_ASFÁLTICO</v>
          </cell>
          <cell r="D471">
            <v>0.4</v>
          </cell>
          <cell r="E471">
            <v>0.19800000000000001</v>
          </cell>
        </row>
        <row r="472">
          <cell r="C472" t="str">
            <v>CUNETA</v>
          </cell>
          <cell r="D472">
            <v>0.33200000000000002</v>
          </cell>
          <cell r="E472">
            <v>0.16400000000000001</v>
          </cell>
        </row>
        <row r="473">
          <cell r="C473" t="str">
            <v>BASE_GRANULAR</v>
          </cell>
          <cell r="D473">
            <v>0.76200000000000001</v>
          </cell>
          <cell r="E473">
            <v>0.378</v>
          </cell>
        </row>
        <row r="474">
          <cell r="C474" t="str">
            <v>RECICLADO</v>
          </cell>
          <cell r="D474">
            <v>1.911</v>
          </cell>
          <cell r="E474">
            <v>0.95</v>
          </cell>
        </row>
        <row r="475">
          <cell r="C475" t="str">
            <v>CONCRETO_ASFÁLTICO</v>
          </cell>
          <cell r="D475">
            <v>0.4</v>
          </cell>
          <cell r="E475">
            <v>3.8010000000000002</v>
          </cell>
        </row>
        <row r="476">
          <cell r="C476" t="str">
            <v>CUNETA</v>
          </cell>
          <cell r="D476">
            <v>0.33200000000000002</v>
          </cell>
          <cell r="E476">
            <v>3.1509999999999998</v>
          </cell>
        </row>
        <row r="477">
          <cell r="C477" t="str">
            <v>BASE_GRANULAR</v>
          </cell>
          <cell r="D477">
            <v>0.75900000000000001</v>
          </cell>
          <cell r="E477">
            <v>7.2279999999999998</v>
          </cell>
        </row>
        <row r="478">
          <cell r="C478" t="str">
            <v>RECICLADO</v>
          </cell>
          <cell r="D478">
            <v>1.899</v>
          </cell>
          <cell r="E478">
            <v>18.117999999999999</v>
          </cell>
        </row>
        <row r="479">
          <cell r="C479" t="str">
            <v>CONCRETO_ASFÁLTICO</v>
          </cell>
          <cell r="D479">
            <v>0.4</v>
          </cell>
          <cell r="E479">
            <v>1.8380000000000001</v>
          </cell>
        </row>
        <row r="480">
          <cell r="C480" t="str">
            <v>CUNETA</v>
          </cell>
          <cell r="D480">
            <v>0.33200000000000002</v>
          </cell>
          <cell r="E480">
            <v>1.524</v>
          </cell>
        </row>
        <row r="481">
          <cell r="C481" t="str">
            <v>BASE_GRANULAR</v>
          </cell>
          <cell r="D481">
            <v>0.754</v>
          </cell>
          <cell r="E481">
            <v>3.4769999999999999</v>
          </cell>
        </row>
        <row r="482">
          <cell r="C482" t="str">
            <v>RECICLADO</v>
          </cell>
          <cell r="D482">
            <v>1.881</v>
          </cell>
          <cell r="E482">
            <v>8.6880000000000006</v>
          </cell>
        </row>
        <row r="483">
          <cell r="C483" t="str">
            <v>CONCRETO_ASFÁLTICO</v>
          </cell>
          <cell r="D483">
            <v>0.4</v>
          </cell>
          <cell r="E483">
            <v>8.1000000000000003E-2</v>
          </cell>
        </row>
        <row r="484">
          <cell r="C484" t="str">
            <v>CUNETA</v>
          </cell>
          <cell r="D484">
            <v>0.33200000000000002</v>
          </cell>
          <cell r="E484">
            <v>6.7000000000000004E-2</v>
          </cell>
        </row>
        <row r="485">
          <cell r="C485" t="str">
            <v>BASE_GRANULAR</v>
          </cell>
          <cell r="D485">
            <v>0.754</v>
          </cell>
          <cell r="E485">
            <v>0.152</v>
          </cell>
        </row>
        <row r="486">
          <cell r="C486" t="str">
            <v>RECICLADO</v>
          </cell>
          <cell r="D486">
            <v>1.881</v>
          </cell>
          <cell r="E486">
            <v>0.38</v>
          </cell>
        </row>
        <row r="487">
          <cell r="C487" t="str">
            <v>CONCRETO_ASFÁLTICO</v>
          </cell>
          <cell r="D487">
            <v>0.4</v>
          </cell>
          <cell r="E487">
            <v>2.08</v>
          </cell>
        </row>
        <row r="488">
          <cell r="C488" t="str">
            <v>CUNETA</v>
          </cell>
          <cell r="D488">
            <v>0.33200000000000002</v>
          </cell>
          <cell r="E488">
            <v>1.7250000000000001</v>
          </cell>
        </row>
        <row r="489">
          <cell r="C489" t="str">
            <v>BASE_GRANULAR</v>
          </cell>
          <cell r="D489">
            <v>0.75800000000000001</v>
          </cell>
          <cell r="E489">
            <v>3.9340000000000002</v>
          </cell>
        </row>
        <row r="490">
          <cell r="C490" t="str">
            <v>RECICLADO</v>
          </cell>
          <cell r="D490">
            <v>1.897</v>
          </cell>
          <cell r="E490">
            <v>9.8260000000000005</v>
          </cell>
        </row>
        <row r="491">
          <cell r="C491" t="str">
            <v>CONCRETO_ASFÁLTICO</v>
          </cell>
          <cell r="D491">
            <v>0.4</v>
          </cell>
          <cell r="E491">
            <v>3.9990000000000001</v>
          </cell>
        </row>
        <row r="492">
          <cell r="C492" t="str">
            <v>CUNETA</v>
          </cell>
          <cell r="D492">
            <v>0.33200000000000002</v>
          </cell>
          <cell r="E492">
            <v>3.3149999999999999</v>
          </cell>
        </row>
        <row r="493">
          <cell r="C493" t="str">
            <v>BASE_GRANULAR</v>
          </cell>
          <cell r="D493">
            <v>0.76200000000000001</v>
          </cell>
          <cell r="E493">
            <v>7.6</v>
          </cell>
        </row>
        <row r="494">
          <cell r="C494" t="str">
            <v>RECICLADO</v>
          </cell>
          <cell r="D494">
            <v>1.911</v>
          </cell>
          <cell r="E494">
            <v>19.04</v>
          </cell>
        </row>
        <row r="495">
          <cell r="C495" t="str">
            <v>CONCRETO_ASFÁLTICO</v>
          </cell>
          <cell r="D495">
            <v>0.4</v>
          </cell>
          <cell r="E495">
            <v>1.7190000000000001</v>
          </cell>
        </row>
        <row r="496">
          <cell r="C496" t="str">
            <v>CUNETA</v>
          </cell>
          <cell r="D496">
            <v>0.33200000000000002</v>
          </cell>
          <cell r="E496">
            <v>1.425</v>
          </cell>
        </row>
        <row r="497">
          <cell r="C497" t="str">
            <v>BASE_GRANULAR</v>
          </cell>
          <cell r="D497">
            <v>0.76200000000000001</v>
          </cell>
          <cell r="E497">
            <v>3.274</v>
          </cell>
        </row>
        <row r="498">
          <cell r="C498" t="str">
            <v>RECICLADO</v>
          </cell>
          <cell r="D498">
            <v>1.911</v>
          </cell>
          <cell r="E498">
            <v>8.2140000000000004</v>
          </cell>
        </row>
        <row r="499">
          <cell r="C499" t="str">
            <v>CONCRETO_ASFÁLTICO</v>
          </cell>
          <cell r="D499">
            <v>0.4</v>
          </cell>
          <cell r="E499">
            <v>2.2799999999999998</v>
          </cell>
        </row>
        <row r="500">
          <cell r="C500" t="str">
            <v>CUNETA</v>
          </cell>
          <cell r="D500">
            <v>0.33200000000000002</v>
          </cell>
          <cell r="E500">
            <v>1.89</v>
          </cell>
        </row>
        <row r="501">
          <cell r="C501" t="str">
            <v>BASE_GRANULAR</v>
          </cell>
          <cell r="D501">
            <v>0.76200000000000001</v>
          </cell>
          <cell r="E501">
            <v>4.343</v>
          </cell>
        </row>
        <row r="502">
          <cell r="C502" t="str">
            <v>RECICLADO</v>
          </cell>
          <cell r="D502">
            <v>1.911</v>
          </cell>
          <cell r="E502">
            <v>10.898</v>
          </cell>
        </row>
        <row r="503">
          <cell r="C503" t="str">
            <v>CONCRETO_ASFÁLTICO</v>
          </cell>
          <cell r="D503">
            <v>0.4</v>
          </cell>
          <cell r="E503">
            <v>3.9990000000000001</v>
          </cell>
        </row>
        <row r="504">
          <cell r="C504" t="str">
            <v>CUNETA</v>
          </cell>
          <cell r="D504">
            <v>0.33200000000000002</v>
          </cell>
          <cell r="E504">
            <v>3.3149999999999999</v>
          </cell>
        </row>
        <row r="505">
          <cell r="C505" t="str">
            <v>BASE_GRANULAR</v>
          </cell>
          <cell r="D505">
            <v>0.75700000000000001</v>
          </cell>
          <cell r="E505">
            <v>7.5940000000000003</v>
          </cell>
        </row>
        <row r="506">
          <cell r="C506" t="str">
            <v>RECICLADO</v>
          </cell>
          <cell r="D506">
            <v>1.893</v>
          </cell>
          <cell r="E506">
            <v>19.018999999999998</v>
          </cell>
        </row>
        <row r="507">
          <cell r="C507" t="str">
            <v>CONCRETO_ASFÁLTICO</v>
          </cell>
          <cell r="D507">
            <v>0.4</v>
          </cell>
          <cell r="E507">
            <v>1.5189999999999999</v>
          </cell>
        </row>
        <row r="508">
          <cell r="C508" t="str">
            <v>CUNETA</v>
          </cell>
          <cell r="D508">
            <v>0.33200000000000002</v>
          </cell>
          <cell r="E508">
            <v>1.2589999999999999</v>
          </cell>
        </row>
        <row r="509">
          <cell r="C509" t="str">
            <v>BASE_GRANULAR</v>
          </cell>
          <cell r="D509">
            <v>0.754</v>
          </cell>
          <cell r="E509">
            <v>2.87</v>
          </cell>
        </row>
        <row r="510">
          <cell r="C510" t="str">
            <v>RECICLADO</v>
          </cell>
          <cell r="D510">
            <v>1.881</v>
          </cell>
          <cell r="E510">
            <v>7.165</v>
          </cell>
        </row>
        <row r="511">
          <cell r="C511" t="str">
            <v>CONCRETO_ASFÁLTICO</v>
          </cell>
          <cell r="D511">
            <v>0.4</v>
          </cell>
          <cell r="E511">
            <v>0.17699999999999999</v>
          </cell>
        </row>
        <row r="512">
          <cell r="C512" t="str">
            <v>CUNETA</v>
          </cell>
          <cell r="D512">
            <v>0.33200000000000002</v>
          </cell>
          <cell r="E512">
            <v>0.14699999999999999</v>
          </cell>
        </row>
        <row r="513">
          <cell r="C513" t="str">
            <v>BASE_GRANULAR</v>
          </cell>
          <cell r="D513">
            <v>0.754</v>
          </cell>
          <cell r="E513">
            <v>0.33400000000000002</v>
          </cell>
        </row>
        <row r="514">
          <cell r="C514" t="str">
            <v>RECICLADO</v>
          </cell>
          <cell r="D514">
            <v>1.881</v>
          </cell>
          <cell r="E514">
            <v>0.83299999999999996</v>
          </cell>
        </row>
        <row r="515">
          <cell r="C515" t="str">
            <v>CONCRETO_ASFÁLTICO</v>
          </cell>
          <cell r="D515">
            <v>0.4</v>
          </cell>
          <cell r="E515">
            <v>2.3029999999999999</v>
          </cell>
        </row>
        <row r="516">
          <cell r="C516" t="str">
            <v>CUNETA</v>
          </cell>
          <cell r="D516">
            <v>0.33200000000000002</v>
          </cell>
          <cell r="E516">
            <v>1.909</v>
          </cell>
        </row>
        <row r="517">
          <cell r="C517" t="str">
            <v>BASE_GRANULAR</v>
          </cell>
          <cell r="D517">
            <v>0.75600000000000001</v>
          </cell>
          <cell r="E517">
            <v>4.3499999999999996</v>
          </cell>
        </row>
        <row r="518">
          <cell r="C518" t="str">
            <v>RECICLADO</v>
          </cell>
          <cell r="D518">
            <v>1.889</v>
          </cell>
          <cell r="E518">
            <v>10.856999999999999</v>
          </cell>
        </row>
        <row r="519">
          <cell r="C519" t="str">
            <v>CONCRETO_ASFÁLTICO</v>
          </cell>
          <cell r="D519">
            <v>0.4</v>
          </cell>
          <cell r="E519">
            <v>3.9990000000000001</v>
          </cell>
        </row>
        <row r="520">
          <cell r="C520" t="str">
            <v>CUNETA</v>
          </cell>
          <cell r="D520">
            <v>0.33200000000000002</v>
          </cell>
          <cell r="E520">
            <v>3.3149999999999999</v>
          </cell>
        </row>
        <row r="521">
          <cell r="C521" t="str">
            <v>BASE_GRANULAR</v>
          </cell>
          <cell r="D521">
            <v>0.76</v>
          </cell>
          <cell r="E521">
            <v>7.5819999999999999</v>
          </cell>
        </row>
        <row r="522">
          <cell r="C522" t="str">
            <v>RECICLADO</v>
          </cell>
          <cell r="D522">
            <v>1.9039999999999999</v>
          </cell>
          <cell r="E522">
            <v>18.97</v>
          </cell>
        </row>
        <row r="523">
          <cell r="C523" t="str">
            <v>CONCRETO_ASFÁLTICO</v>
          </cell>
          <cell r="D523">
            <v>0.4</v>
          </cell>
          <cell r="E523">
            <v>3.9990000000000001</v>
          </cell>
        </row>
        <row r="524">
          <cell r="C524" t="str">
            <v>CUNETA</v>
          </cell>
          <cell r="D524">
            <v>0.33200000000000002</v>
          </cell>
          <cell r="E524">
            <v>3.3149999999999999</v>
          </cell>
        </row>
        <row r="525">
          <cell r="C525" t="str">
            <v>BASE_GRANULAR</v>
          </cell>
          <cell r="D525">
            <v>0.76200000000000001</v>
          </cell>
          <cell r="E525">
            <v>7.609</v>
          </cell>
        </row>
        <row r="526">
          <cell r="C526" t="str">
            <v>RECICLADO</v>
          </cell>
          <cell r="D526">
            <v>1.911</v>
          </cell>
          <cell r="E526">
            <v>19.079999999999998</v>
          </cell>
        </row>
        <row r="527">
          <cell r="C527" t="str">
            <v>CONCRETO_ASFÁLTICO</v>
          </cell>
          <cell r="D527">
            <v>0.4</v>
          </cell>
          <cell r="E527">
            <v>2.496</v>
          </cell>
        </row>
        <row r="528">
          <cell r="C528" t="str">
            <v>CUNETA</v>
          </cell>
          <cell r="D528">
            <v>0.33200000000000002</v>
          </cell>
          <cell r="E528">
            <v>2.069</v>
          </cell>
        </row>
        <row r="529">
          <cell r="C529" t="str">
            <v>BASE_GRANULAR</v>
          </cell>
          <cell r="D529">
            <v>0.76200000000000001</v>
          </cell>
          <cell r="E529">
            <v>4.7539999999999996</v>
          </cell>
        </row>
        <row r="530">
          <cell r="C530" t="str">
            <v>RECICLADO</v>
          </cell>
          <cell r="D530">
            <v>1.911</v>
          </cell>
          <cell r="E530">
            <v>11.928000000000001</v>
          </cell>
        </row>
        <row r="531">
          <cell r="C531" t="str">
            <v>CONCRETO_ASFÁLTICO</v>
          </cell>
          <cell r="D531">
            <v>0.4</v>
          </cell>
          <cell r="E531">
            <v>1.5029999999999999</v>
          </cell>
        </row>
        <row r="532">
          <cell r="C532" t="str">
            <v>CUNETA</v>
          </cell>
          <cell r="D532">
            <v>0.33200000000000002</v>
          </cell>
          <cell r="E532">
            <v>1.246</v>
          </cell>
        </row>
        <row r="533">
          <cell r="C533" t="str">
            <v>BASE_GRANULAR</v>
          </cell>
          <cell r="D533">
            <v>0.76200000000000001</v>
          </cell>
          <cell r="E533">
            <v>2.8650000000000002</v>
          </cell>
        </row>
        <row r="534">
          <cell r="C534" t="str">
            <v>RECICLADO</v>
          </cell>
          <cell r="D534">
            <v>1.911</v>
          </cell>
          <cell r="E534">
            <v>7.1920000000000002</v>
          </cell>
        </row>
        <row r="535">
          <cell r="C535" t="str">
            <v>CONCRETO_ASFÁLTICO</v>
          </cell>
          <cell r="D535">
            <v>0.4</v>
          </cell>
          <cell r="E535">
            <v>3.9990000000000001</v>
          </cell>
        </row>
        <row r="536">
          <cell r="C536" t="str">
            <v>CUNETA</v>
          </cell>
          <cell r="D536">
            <v>0.33200000000000002</v>
          </cell>
          <cell r="E536">
            <v>3.3149999999999999</v>
          </cell>
        </row>
        <row r="537">
          <cell r="C537" t="str">
            <v>BASE_GRANULAR</v>
          </cell>
          <cell r="D537">
            <v>0.76200000000000001</v>
          </cell>
          <cell r="E537">
            <v>7.6210000000000004</v>
          </cell>
        </row>
        <row r="538">
          <cell r="C538" t="str">
            <v>RECICLADO</v>
          </cell>
          <cell r="D538">
            <v>1.911</v>
          </cell>
          <cell r="E538">
            <v>19.131</v>
          </cell>
        </row>
        <row r="539">
          <cell r="C539" t="str">
            <v>CONCRETO_ASFÁLTICO</v>
          </cell>
          <cell r="D539">
            <v>0.4</v>
          </cell>
          <cell r="E539">
            <v>3.9990000000000001</v>
          </cell>
        </row>
        <row r="540">
          <cell r="C540" t="str">
            <v>CUNETA</v>
          </cell>
          <cell r="D540">
            <v>0.33200000000000002</v>
          </cell>
          <cell r="E540">
            <v>3.3149999999999999</v>
          </cell>
        </row>
        <row r="541">
          <cell r="C541" t="str">
            <v>BASE_GRANULAR</v>
          </cell>
          <cell r="D541">
            <v>0.76200000000000001</v>
          </cell>
          <cell r="E541">
            <v>7.6210000000000004</v>
          </cell>
        </row>
        <row r="542">
          <cell r="C542" t="str">
            <v>RECICLADO</v>
          </cell>
          <cell r="D542">
            <v>1.911</v>
          </cell>
          <cell r="E542">
            <v>19.131</v>
          </cell>
        </row>
        <row r="543">
          <cell r="C543" t="str">
            <v>CONCRETO_ASFÁLTICO</v>
          </cell>
          <cell r="D543">
            <v>0.4</v>
          </cell>
          <cell r="E543">
            <v>3.9990000000000001</v>
          </cell>
        </row>
        <row r="544">
          <cell r="C544" t="str">
            <v>CUNETA</v>
          </cell>
          <cell r="D544">
            <v>0.33200000000000002</v>
          </cell>
          <cell r="E544">
            <v>3.3149999999999999</v>
          </cell>
        </row>
        <row r="545">
          <cell r="C545" t="str">
            <v>BASE_GRANULAR</v>
          </cell>
          <cell r="D545">
            <v>0.76200000000000001</v>
          </cell>
          <cell r="E545">
            <v>7.6210000000000004</v>
          </cell>
        </row>
        <row r="546">
          <cell r="C546" t="str">
            <v>RECICLADO</v>
          </cell>
          <cell r="D546">
            <v>1.911</v>
          </cell>
          <cell r="E546">
            <v>19.131</v>
          </cell>
        </row>
        <row r="547">
          <cell r="C547" t="str">
            <v>CONCRETO_ASFÁLTICO</v>
          </cell>
          <cell r="D547">
            <v>0.4</v>
          </cell>
          <cell r="E547">
            <v>1.536</v>
          </cell>
        </row>
        <row r="548">
          <cell r="C548" t="str">
            <v>CUNETA</v>
          </cell>
          <cell r="D548">
            <v>0.33200000000000002</v>
          </cell>
          <cell r="E548">
            <v>1.2729999999999999</v>
          </cell>
        </row>
        <row r="549">
          <cell r="C549" t="str">
            <v>BASE_GRANULAR</v>
          </cell>
          <cell r="D549">
            <v>0.76200000000000001</v>
          </cell>
          <cell r="E549">
            <v>2.927</v>
          </cell>
        </row>
        <row r="550">
          <cell r="C550" t="str">
            <v>RECICLADO</v>
          </cell>
          <cell r="D550">
            <v>1.911</v>
          </cell>
          <cell r="E550">
            <v>7.3490000000000002</v>
          </cell>
        </row>
        <row r="551">
          <cell r="C551" t="str">
            <v>CONCRETO_ASFÁLTICO</v>
          </cell>
          <cell r="D551">
            <v>0.4</v>
          </cell>
          <cell r="E551">
            <v>2.4630000000000001</v>
          </cell>
        </row>
        <row r="552">
          <cell r="C552" t="str">
            <v>CUNETA</v>
          </cell>
          <cell r="D552">
            <v>0.33200000000000002</v>
          </cell>
          <cell r="E552">
            <v>2.0419999999999998</v>
          </cell>
        </row>
        <row r="553">
          <cell r="C553" t="str">
            <v>BASE_GRANULAR</v>
          </cell>
          <cell r="D553">
            <v>0.76200000000000001</v>
          </cell>
          <cell r="E553">
            <v>4.6920000000000002</v>
          </cell>
        </row>
        <row r="554">
          <cell r="C554" t="str">
            <v>RECICLADO</v>
          </cell>
          <cell r="D554">
            <v>1.911</v>
          </cell>
          <cell r="E554">
            <v>11.772</v>
          </cell>
        </row>
        <row r="555">
          <cell r="C555" t="str">
            <v>CONCRETO_ASFÁLTICO</v>
          </cell>
          <cell r="D555">
            <v>0.4</v>
          </cell>
          <cell r="E555">
            <v>3.9990000000000001</v>
          </cell>
        </row>
        <row r="556">
          <cell r="C556" t="str">
            <v>CUNETA</v>
          </cell>
          <cell r="D556">
            <v>0.33200000000000002</v>
          </cell>
          <cell r="E556">
            <v>3.3149999999999999</v>
          </cell>
        </row>
        <row r="557">
          <cell r="C557" t="str">
            <v>BASE_GRANULAR</v>
          </cell>
          <cell r="D557">
            <v>0.76</v>
          </cell>
          <cell r="E557">
            <v>7.609</v>
          </cell>
        </row>
        <row r="558">
          <cell r="C558" t="str">
            <v>RECICLADO</v>
          </cell>
          <cell r="D558">
            <v>1.905</v>
          </cell>
          <cell r="E558">
            <v>19.079999999999998</v>
          </cell>
        </row>
        <row r="559">
          <cell r="C559" t="str">
            <v>CONCRETO_ASFÁLTICO</v>
          </cell>
          <cell r="D559">
            <v>0.4</v>
          </cell>
          <cell r="E559">
            <v>3.9990000000000001</v>
          </cell>
        </row>
        <row r="560">
          <cell r="C560" t="str">
            <v>CUNETA</v>
          </cell>
          <cell r="D560">
            <v>0.33200000000000002</v>
          </cell>
          <cell r="E560">
            <v>3.3149999999999999</v>
          </cell>
        </row>
        <row r="561">
          <cell r="C561" t="str">
            <v>BASE_GRANULAR</v>
          </cell>
          <cell r="D561">
            <v>0.75600000000000001</v>
          </cell>
          <cell r="E561">
            <v>7.5830000000000002</v>
          </cell>
        </row>
        <row r="562">
          <cell r="C562" t="str">
            <v>RECICLADO</v>
          </cell>
          <cell r="D562">
            <v>1.89</v>
          </cell>
          <cell r="E562">
            <v>18.971</v>
          </cell>
        </row>
        <row r="563">
          <cell r="C563" t="str">
            <v>CONCRETO_ASFÁLTICO</v>
          </cell>
          <cell r="D563">
            <v>0.4</v>
          </cell>
          <cell r="E563">
            <v>2.3359999999999999</v>
          </cell>
        </row>
        <row r="564">
          <cell r="C564" t="str">
            <v>CUNETA</v>
          </cell>
          <cell r="D564">
            <v>0.33200000000000002</v>
          </cell>
          <cell r="E564">
            <v>1.9370000000000001</v>
          </cell>
        </row>
        <row r="565">
          <cell r="C565" t="str">
            <v>BASE_GRANULAR</v>
          </cell>
          <cell r="D565">
            <v>0.754</v>
          </cell>
          <cell r="E565">
            <v>4.4119999999999999</v>
          </cell>
        </row>
        <row r="566">
          <cell r="C566" t="str">
            <v>RECICLADO</v>
          </cell>
          <cell r="D566">
            <v>1.881</v>
          </cell>
          <cell r="E566">
            <v>11.012</v>
          </cell>
        </row>
        <row r="567">
          <cell r="C567" t="str">
            <v>CONCRETO_ASFÁLTICO</v>
          </cell>
          <cell r="D567">
            <v>0.4</v>
          </cell>
          <cell r="E567">
            <v>0.26100000000000001</v>
          </cell>
        </row>
        <row r="568">
          <cell r="C568" t="str">
            <v>CUNETA</v>
          </cell>
          <cell r="D568">
            <v>0.33200000000000002</v>
          </cell>
          <cell r="E568">
            <v>0.216</v>
          </cell>
        </row>
        <row r="569">
          <cell r="C569" t="str">
            <v>BASE_GRANULAR</v>
          </cell>
          <cell r="D569">
            <v>0.76400000000000001</v>
          </cell>
          <cell r="E569">
            <v>0.495</v>
          </cell>
        </row>
        <row r="570">
          <cell r="C570" t="str">
            <v>RECICLADO</v>
          </cell>
          <cell r="D570">
            <v>1.919</v>
          </cell>
          <cell r="E570">
            <v>1.2390000000000001</v>
          </cell>
        </row>
        <row r="571">
          <cell r="C571" t="str">
            <v>CONCRETO_ASFÁLTICO</v>
          </cell>
          <cell r="D571">
            <v>0.4</v>
          </cell>
          <cell r="E571">
            <v>1.4019999999999999</v>
          </cell>
        </row>
        <row r="572">
          <cell r="C572" t="str">
            <v>CUNETA</v>
          </cell>
          <cell r="D572">
            <v>0.33200000000000002</v>
          </cell>
          <cell r="E572">
            <v>1.163</v>
          </cell>
        </row>
        <row r="573">
          <cell r="C573" t="str">
            <v>BASE_GRANULAR</v>
          </cell>
          <cell r="D573">
            <v>0.76200000000000001</v>
          </cell>
          <cell r="E573">
            <v>2.6789999999999998</v>
          </cell>
        </row>
        <row r="574">
          <cell r="C574" t="str">
            <v>RECICLADO</v>
          </cell>
          <cell r="D574">
            <v>1.911</v>
          </cell>
          <cell r="E574">
            <v>6.7370000000000001</v>
          </cell>
        </row>
        <row r="575">
          <cell r="C575" t="str">
            <v>CONCRETO_ASFÁLTICO</v>
          </cell>
          <cell r="D575">
            <v>0.4</v>
          </cell>
          <cell r="E575">
            <v>3.9990000000000001</v>
          </cell>
        </row>
        <row r="576">
          <cell r="C576" t="str">
            <v>CUNETA</v>
          </cell>
          <cell r="D576">
            <v>0.33200000000000002</v>
          </cell>
          <cell r="E576">
            <v>3.3149999999999999</v>
          </cell>
        </row>
        <row r="577">
          <cell r="C577" t="str">
            <v>BASE_GRANULAR</v>
          </cell>
          <cell r="D577">
            <v>0.76200000000000001</v>
          </cell>
          <cell r="E577">
            <v>7.6349999999999998</v>
          </cell>
        </row>
        <row r="578">
          <cell r="C578" t="str">
            <v>RECICLADO</v>
          </cell>
          <cell r="D578">
            <v>1.911</v>
          </cell>
          <cell r="E578">
            <v>19.198</v>
          </cell>
        </row>
        <row r="579">
          <cell r="C579" t="str">
            <v>CONCRETO_ASFÁLTICO</v>
          </cell>
          <cell r="D579">
            <v>0.4</v>
          </cell>
          <cell r="E579">
            <v>3.9990000000000001</v>
          </cell>
        </row>
        <row r="580">
          <cell r="C580" t="str">
            <v>CUNETA</v>
          </cell>
          <cell r="D580">
            <v>0.33200000000000002</v>
          </cell>
          <cell r="E580">
            <v>3.3149999999999999</v>
          </cell>
        </row>
        <row r="581">
          <cell r="C581" t="str">
            <v>BASE_GRANULAR</v>
          </cell>
          <cell r="D581">
            <v>0.76200000000000001</v>
          </cell>
          <cell r="E581">
            <v>7.6349999999999998</v>
          </cell>
        </row>
        <row r="582">
          <cell r="C582" t="str">
            <v>RECICLADO</v>
          </cell>
          <cell r="D582">
            <v>1.911</v>
          </cell>
          <cell r="E582">
            <v>19.198</v>
          </cell>
        </row>
        <row r="583">
          <cell r="C583" t="str">
            <v>CONCRETO_ASFÁLTICO</v>
          </cell>
          <cell r="D583">
            <v>0.4</v>
          </cell>
          <cell r="E583">
            <v>3.9990000000000001</v>
          </cell>
        </row>
        <row r="584">
          <cell r="C584" t="str">
            <v>CUNETA</v>
          </cell>
          <cell r="D584">
            <v>0.33200000000000002</v>
          </cell>
          <cell r="E584">
            <v>3.3149999999999999</v>
          </cell>
        </row>
        <row r="585">
          <cell r="C585" t="str">
            <v>BASE_GRANULAR</v>
          </cell>
          <cell r="D585">
            <v>0.76200000000000001</v>
          </cell>
          <cell r="E585">
            <v>7.6349999999999998</v>
          </cell>
        </row>
        <row r="586">
          <cell r="C586" t="str">
            <v>RECICLADO</v>
          </cell>
          <cell r="D586">
            <v>1.911</v>
          </cell>
          <cell r="E586">
            <v>19.198</v>
          </cell>
        </row>
        <row r="587">
          <cell r="C587" t="str">
            <v>CONCRETO_ASFÁLTICO</v>
          </cell>
          <cell r="D587">
            <v>0.4</v>
          </cell>
          <cell r="E587">
            <v>2.4900000000000002</v>
          </cell>
        </row>
        <row r="588">
          <cell r="C588" t="str">
            <v>CUNETA</v>
          </cell>
          <cell r="D588">
            <v>0.33200000000000002</v>
          </cell>
          <cell r="E588">
            <v>2.0640000000000001</v>
          </cell>
        </row>
        <row r="589">
          <cell r="C589" t="str">
            <v>BASE_GRANULAR</v>
          </cell>
          <cell r="D589">
            <v>0.754</v>
          </cell>
          <cell r="E589">
            <v>4.7249999999999996</v>
          </cell>
        </row>
        <row r="590">
          <cell r="C590" t="str">
            <v>RECICLADO</v>
          </cell>
          <cell r="D590">
            <v>1.881</v>
          </cell>
          <cell r="E590">
            <v>11.83</v>
          </cell>
        </row>
        <row r="591">
          <cell r="C591" t="str">
            <v>CONCRETO_ASFÁLTICO</v>
          </cell>
          <cell r="D591">
            <v>0.4</v>
          </cell>
          <cell r="E591">
            <v>1.41</v>
          </cell>
        </row>
        <row r="592">
          <cell r="C592" t="str">
            <v>CUNETA</v>
          </cell>
          <cell r="D592">
            <v>0.33200000000000002</v>
          </cell>
          <cell r="E592">
            <v>1.169</v>
          </cell>
        </row>
        <row r="593">
          <cell r="C593" t="str">
            <v>BASE_GRANULAR</v>
          </cell>
          <cell r="D593">
            <v>0.76400000000000001</v>
          </cell>
          <cell r="E593">
            <v>2.677</v>
          </cell>
        </row>
        <row r="594">
          <cell r="C594" t="str">
            <v>RECICLADO</v>
          </cell>
          <cell r="D594">
            <v>1.919</v>
          </cell>
          <cell r="E594">
            <v>6.7</v>
          </cell>
        </row>
        <row r="595">
          <cell r="C595" t="str">
            <v>CONCRETO_ASFÁLTICO</v>
          </cell>
          <cell r="D595">
            <v>0.4</v>
          </cell>
          <cell r="E595">
            <v>9.9000000000000005E-2</v>
          </cell>
        </row>
        <row r="596">
          <cell r="C596" t="str">
            <v>CUNETA</v>
          </cell>
          <cell r="D596">
            <v>0.33200000000000002</v>
          </cell>
          <cell r="E596">
            <v>8.2000000000000003E-2</v>
          </cell>
        </row>
        <row r="597">
          <cell r="C597" t="str">
            <v>BASE_GRANULAR</v>
          </cell>
          <cell r="D597">
            <v>0.76200000000000001</v>
          </cell>
          <cell r="E597">
            <v>0.189</v>
          </cell>
        </row>
        <row r="598">
          <cell r="C598" t="str">
            <v>RECICLADO</v>
          </cell>
          <cell r="D598">
            <v>1.911</v>
          </cell>
          <cell r="E598">
            <v>0.47499999999999998</v>
          </cell>
        </row>
        <row r="599">
          <cell r="C599" t="str">
            <v>CONCRETO_ASFÁLTICO</v>
          </cell>
          <cell r="D599">
            <v>0.4</v>
          </cell>
          <cell r="E599">
            <v>3.9990000000000001</v>
          </cell>
        </row>
        <row r="600">
          <cell r="C600" t="str">
            <v>CUNETA</v>
          </cell>
          <cell r="D600">
            <v>0.33200000000000002</v>
          </cell>
          <cell r="E600">
            <v>3.3149999999999999</v>
          </cell>
        </row>
        <row r="601">
          <cell r="C601" t="str">
            <v>BASE_GRANULAR</v>
          </cell>
          <cell r="D601">
            <v>0.76200000000000001</v>
          </cell>
          <cell r="E601">
            <v>7.617</v>
          </cell>
        </row>
        <row r="602">
          <cell r="C602" t="str">
            <v>RECICLADO</v>
          </cell>
          <cell r="D602">
            <v>1.911</v>
          </cell>
          <cell r="E602">
            <v>19.114000000000001</v>
          </cell>
        </row>
        <row r="603">
          <cell r="C603" t="str">
            <v>CONCRETO_ASFÁLTICO</v>
          </cell>
          <cell r="D603">
            <v>0.4</v>
          </cell>
          <cell r="E603">
            <v>1.5409999999999999</v>
          </cell>
        </row>
        <row r="604">
          <cell r="C604" t="str">
            <v>CUNETA</v>
          </cell>
          <cell r="D604">
            <v>0.33200000000000002</v>
          </cell>
          <cell r="E604">
            <v>1.2769999999999999</v>
          </cell>
        </row>
        <row r="605">
          <cell r="C605" t="str">
            <v>BASE_GRANULAR</v>
          </cell>
          <cell r="D605">
            <v>0.76200000000000001</v>
          </cell>
          <cell r="E605">
            <v>2.9340000000000002</v>
          </cell>
        </row>
        <row r="606">
          <cell r="C606" t="str">
            <v>RECICLADO</v>
          </cell>
          <cell r="D606">
            <v>1.911</v>
          </cell>
          <cell r="E606">
            <v>7.3630000000000004</v>
          </cell>
        </row>
        <row r="607">
          <cell r="C607" t="str">
            <v>CONCRETO_ASFÁLTICO</v>
          </cell>
          <cell r="D607">
            <v>0.4</v>
          </cell>
          <cell r="E607">
            <v>2.4590000000000001</v>
          </cell>
        </row>
        <row r="608">
          <cell r="C608" t="str">
            <v>CUNETA</v>
          </cell>
          <cell r="D608">
            <v>0.33200000000000002</v>
          </cell>
          <cell r="E608">
            <v>2.0379999999999998</v>
          </cell>
        </row>
        <row r="609">
          <cell r="C609" t="str">
            <v>BASE_GRANULAR</v>
          </cell>
          <cell r="D609">
            <v>0.76200000000000001</v>
          </cell>
          <cell r="E609">
            <v>4.6829999999999998</v>
          </cell>
        </row>
        <row r="610">
          <cell r="C610" t="str">
            <v>RECICLADO</v>
          </cell>
          <cell r="D610">
            <v>1.911</v>
          </cell>
          <cell r="E610">
            <v>11.752000000000001</v>
          </cell>
        </row>
        <row r="611">
          <cell r="C611" t="str">
            <v>CONCRETO_ASFÁLTICO</v>
          </cell>
          <cell r="D611">
            <v>0.4</v>
          </cell>
          <cell r="E611">
            <v>3.9990000000000001</v>
          </cell>
        </row>
        <row r="612">
          <cell r="C612" t="str">
            <v>CUNETA</v>
          </cell>
          <cell r="D612">
            <v>0.33200000000000002</v>
          </cell>
          <cell r="E612">
            <v>3.3149999999999999</v>
          </cell>
        </row>
        <row r="613">
          <cell r="C613" t="str">
            <v>BASE_GRANULAR</v>
          </cell>
          <cell r="D613">
            <v>0.76200000000000001</v>
          </cell>
          <cell r="E613">
            <v>7.6180000000000003</v>
          </cell>
        </row>
        <row r="614">
          <cell r="C614" t="str">
            <v>RECICLADO</v>
          </cell>
          <cell r="D614">
            <v>1.911</v>
          </cell>
          <cell r="E614">
            <v>19.116</v>
          </cell>
        </row>
        <row r="615">
          <cell r="C615" t="str">
            <v>CONCRETO_ASFÁLTICO</v>
          </cell>
          <cell r="D615">
            <v>0.4</v>
          </cell>
          <cell r="E615">
            <v>0.48299999999999998</v>
          </cell>
        </row>
        <row r="616">
          <cell r="C616" t="str">
            <v>CUNETA</v>
          </cell>
          <cell r="D616">
            <v>0.33200000000000002</v>
          </cell>
          <cell r="E616">
            <v>0.40100000000000002</v>
          </cell>
        </row>
        <row r="617">
          <cell r="C617" t="str">
            <v>BASE_GRANULAR</v>
          </cell>
          <cell r="D617">
            <v>0.76200000000000001</v>
          </cell>
          <cell r="E617">
            <v>0.92100000000000004</v>
          </cell>
        </row>
        <row r="618">
          <cell r="C618" t="str">
            <v>RECICLADO</v>
          </cell>
          <cell r="D618">
            <v>1.911</v>
          </cell>
          <cell r="E618">
            <v>2.31</v>
          </cell>
        </row>
        <row r="619">
          <cell r="C619" t="str">
            <v>CONCRETO_ASFÁLTICO</v>
          </cell>
          <cell r="D619">
            <v>0.4</v>
          </cell>
          <cell r="E619">
            <v>3.516</v>
          </cell>
        </row>
        <row r="620">
          <cell r="C620" t="str">
            <v>CUNETA</v>
          </cell>
          <cell r="D620">
            <v>0.33200000000000002</v>
          </cell>
          <cell r="E620">
            <v>2.915</v>
          </cell>
        </row>
        <row r="621">
          <cell r="C621" t="str">
            <v>BASE_GRANULAR</v>
          </cell>
          <cell r="D621">
            <v>0.75800000000000001</v>
          </cell>
          <cell r="E621">
            <v>6.6779999999999999</v>
          </cell>
        </row>
        <row r="622">
          <cell r="C622" t="str">
            <v>RECICLADO</v>
          </cell>
          <cell r="D622">
            <v>1.8939999999999999</v>
          </cell>
          <cell r="E622">
            <v>16.728000000000002</v>
          </cell>
        </row>
        <row r="623">
          <cell r="C623" t="str">
            <v>CONCRETO_ASFÁLTICO</v>
          </cell>
          <cell r="D623">
            <v>0.4</v>
          </cell>
          <cell r="E623">
            <v>2.1230000000000002</v>
          </cell>
        </row>
        <row r="624">
          <cell r="C624" t="str">
            <v>CUNETA</v>
          </cell>
          <cell r="D624">
            <v>0.33200000000000002</v>
          </cell>
          <cell r="E624">
            <v>1.76</v>
          </cell>
        </row>
        <row r="625">
          <cell r="C625" t="str">
            <v>BASE_GRANULAR</v>
          </cell>
          <cell r="D625">
            <v>0.754</v>
          </cell>
          <cell r="E625">
            <v>4.0129999999999999</v>
          </cell>
        </row>
        <row r="626">
          <cell r="C626" t="str">
            <v>RECICLADO</v>
          </cell>
          <cell r="D626">
            <v>1.881</v>
          </cell>
          <cell r="E626">
            <v>10.02</v>
          </cell>
        </row>
        <row r="627">
          <cell r="C627" t="str">
            <v>CONCRETO_ASFÁLTICO</v>
          </cell>
          <cell r="D627">
            <v>0.4</v>
          </cell>
          <cell r="E627">
            <v>1.8759999999999999</v>
          </cell>
        </row>
        <row r="628">
          <cell r="C628" t="str">
            <v>CUNETA</v>
          </cell>
          <cell r="D628">
            <v>0.33200000000000002</v>
          </cell>
          <cell r="E628">
            <v>1.5549999999999999</v>
          </cell>
        </row>
        <row r="629">
          <cell r="C629" t="str">
            <v>BASE_GRANULAR</v>
          </cell>
          <cell r="D629">
            <v>0.75700000000000001</v>
          </cell>
          <cell r="E629">
            <v>3.5449999999999999</v>
          </cell>
        </row>
        <row r="630">
          <cell r="C630" t="str">
            <v>RECICLADO</v>
          </cell>
          <cell r="D630">
            <v>1.8919999999999999</v>
          </cell>
          <cell r="E630">
            <v>8.85</v>
          </cell>
        </row>
        <row r="631">
          <cell r="C631" t="str">
            <v>CONCRETO_ASFÁLTICO</v>
          </cell>
          <cell r="D631">
            <v>0.4</v>
          </cell>
          <cell r="E631">
            <v>9.6000000000000002E-2</v>
          </cell>
        </row>
        <row r="632">
          <cell r="C632" t="str">
            <v>CUNETA</v>
          </cell>
          <cell r="D632">
            <v>0.33200000000000002</v>
          </cell>
          <cell r="E632">
            <v>0.08</v>
          </cell>
        </row>
        <row r="633">
          <cell r="C633" t="str">
            <v>BASE_GRANULAR</v>
          </cell>
          <cell r="D633">
            <v>0.75700000000000001</v>
          </cell>
          <cell r="E633">
            <v>0.182</v>
          </cell>
        </row>
        <row r="634">
          <cell r="C634" t="str">
            <v>RECICLADO</v>
          </cell>
          <cell r="D634">
            <v>1.893</v>
          </cell>
          <cell r="E634">
            <v>0.45400000000000001</v>
          </cell>
        </row>
        <row r="635">
          <cell r="C635" t="str">
            <v>CONCRETO_ASFÁLTICO</v>
          </cell>
          <cell r="D635">
            <v>0.4</v>
          </cell>
          <cell r="E635">
            <v>3.903</v>
          </cell>
        </row>
        <row r="636">
          <cell r="C636" t="str">
            <v>CUNETA</v>
          </cell>
          <cell r="D636">
            <v>0.33200000000000002</v>
          </cell>
          <cell r="E636">
            <v>3.2360000000000002</v>
          </cell>
        </row>
        <row r="637">
          <cell r="C637" t="str">
            <v>BASE_GRANULAR</v>
          </cell>
          <cell r="D637">
            <v>0.76200000000000001</v>
          </cell>
          <cell r="E637">
            <v>7.4139999999999997</v>
          </cell>
        </row>
        <row r="638">
          <cell r="C638" t="str">
            <v>RECICLADO</v>
          </cell>
          <cell r="D638">
            <v>1.911</v>
          </cell>
          <cell r="E638">
            <v>18.571999999999999</v>
          </cell>
        </row>
        <row r="639">
          <cell r="C639" t="str">
            <v>CONCRETO_ASFÁLTICO</v>
          </cell>
          <cell r="D639">
            <v>0.4</v>
          </cell>
          <cell r="E639">
            <v>1.736</v>
          </cell>
        </row>
        <row r="640">
          <cell r="C640" t="str">
            <v>CUNETA</v>
          </cell>
          <cell r="D640">
            <v>0.33200000000000002</v>
          </cell>
          <cell r="E640">
            <v>1.4390000000000001</v>
          </cell>
        </row>
        <row r="641">
          <cell r="C641" t="str">
            <v>BASE_GRANULAR</v>
          </cell>
          <cell r="D641">
            <v>0.76200000000000001</v>
          </cell>
          <cell r="E641">
            <v>3.306</v>
          </cell>
        </row>
        <row r="642">
          <cell r="C642" t="str">
            <v>RECICLADO</v>
          </cell>
          <cell r="D642">
            <v>1.911</v>
          </cell>
          <cell r="E642">
            <v>8.298</v>
          </cell>
        </row>
        <row r="643">
          <cell r="C643" t="str">
            <v>CONCRETO_ASFÁLTICO</v>
          </cell>
          <cell r="D643">
            <v>0.4</v>
          </cell>
          <cell r="E643">
            <v>2.2639999999999998</v>
          </cell>
        </row>
        <row r="644">
          <cell r="C644" t="str">
            <v>CUNETA</v>
          </cell>
          <cell r="D644">
            <v>0.33200000000000002</v>
          </cell>
          <cell r="E644">
            <v>1.877</v>
          </cell>
        </row>
        <row r="645">
          <cell r="C645" t="str">
            <v>BASE_GRANULAR</v>
          </cell>
          <cell r="D645">
            <v>0.76200000000000001</v>
          </cell>
          <cell r="E645">
            <v>4.3179999999999996</v>
          </cell>
        </row>
        <row r="646">
          <cell r="C646" t="str">
            <v>RECICLADO</v>
          </cell>
          <cell r="D646">
            <v>1.911</v>
          </cell>
          <cell r="E646">
            <v>10.85</v>
          </cell>
        </row>
        <row r="647">
          <cell r="C647" t="str">
            <v>CONCRETO_ASFÁLTICO</v>
          </cell>
          <cell r="D647">
            <v>0.4</v>
          </cell>
          <cell r="E647">
            <v>3.9990000000000001</v>
          </cell>
        </row>
        <row r="648">
          <cell r="C648" t="str">
            <v>CUNETA</v>
          </cell>
          <cell r="D648">
            <v>0.33200000000000002</v>
          </cell>
          <cell r="E648">
            <v>3.3149999999999999</v>
          </cell>
        </row>
        <row r="649">
          <cell r="C649" t="str">
            <v>BASE_GRANULAR</v>
          </cell>
          <cell r="D649">
            <v>0.76200000000000001</v>
          </cell>
          <cell r="E649">
            <v>7.6289999999999996</v>
          </cell>
        </row>
        <row r="650">
          <cell r="C650" t="str">
            <v>RECICLADO</v>
          </cell>
          <cell r="D650">
            <v>1.911</v>
          </cell>
          <cell r="E650">
            <v>19.169</v>
          </cell>
        </row>
        <row r="651">
          <cell r="C651" t="str">
            <v>CONCRETO_ASFÁLTICO</v>
          </cell>
          <cell r="D651">
            <v>0.4</v>
          </cell>
          <cell r="E651">
            <v>3.6389999999999998</v>
          </cell>
        </row>
        <row r="652">
          <cell r="C652" t="str">
            <v>CUNETA</v>
          </cell>
          <cell r="D652">
            <v>0.33200000000000002</v>
          </cell>
          <cell r="E652">
            <v>3.016</v>
          </cell>
        </row>
        <row r="653">
          <cell r="C653" t="str">
            <v>BASE_GRANULAR</v>
          </cell>
          <cell r="D653">
            <v>0.76200000000000001</v>
          </cell>
          <cell r="E653">
            <v>6.9409999999999998</v>
          </cell>
        </row>
        <row r="654">
          <cell r="C654" t="str">
            <v>RECICLADO</v>
          </cell>
          <cell r="D654">
            <v>1.911</v>
          </cell>
          <cell r="E654">
            <v>17.440999999999999</v>
          </cell>
        </row>
        <row r="655">
          <cell r="C655" t="str">
            <v>CONCRETO_ASFÁLTICO</v>
          </cell>
          <cell r="D655">
            <v>0.4</v>
          </cell>
          <cell r="E655">
            <v>0.36099999999999999</v>
          </cell>
        </row>
        <row r="656">
          <cell r="C656" t="str">
            <v>CUNETA</v>
          </cell>
          <cell r="D656">
            <v>0.33200000000000002</v>
          </cell>
          <cell r="E656">
            <v>0.29899999999999999</v>
          </cell>
        </row>
        <row r="657">
          <cell r="C657" t="str">
            <v>BASE_GRANULAR</v>
          </cell>
          <cell r="D657">
            <v>0.76200000000000001</v>
          </cell>
          <cell r="E657">
            <v>0.68700000000000006</v>
          </cell>
        </row>
        <row r="658">
          <cell r="C658" t="str">
            <v>RECICLADO</v>
          </cell>
          <cell r="D658">
            <v>1.911</v>
          </cell>
          <cell r="E658">
            <v>1.7230000000000001</v>
          </cell>
        </row>
        <row r="659">
          <cell r="C659" t="str">
            <v>CONCRETO_ASFÁLTICO</v>
          </cell>
          <cell r="D659">
            <v>0.4</v>
          </cell>
          <cell r="E659">
            <v>3.9990000000000001</v>
          </cell>
        </row>
        <row r="660">
          <cell r="C660" t="str">
            <v>CUNETA</v>
          </cell>
          <cell r="D660">
            <v>0.33200000000000002</v>
          </cell>
          <cell r="E660">
            <v>3.3149999999999999</v>
          </cell>
        </row>
        <row r="661">
          <cell r="C661" t="str">
            <v>BASE_GRANULAR</v>
          </cell>
          <cell r="D661">
            <v>0.76</v>
          </cell>
          <cell r="E661">
            <v>7.61</v>
          </cell>
        </row>
        <row r="662">
          <cell r="C662" t="str">
            <v>RECICLADO</v>
          </cell>
          <cell r="D662">
            <v>1.903</v>
          </cell>
          <cell r="E662">
            <v>19.085000000000001</v>
          </cell>
        </row>
        <row r="663">
          <cell r="C663" t="str">
            <v>CONCRETO_ASFÁLTICO</v>
          </cell>
          <cell r="D663">
            <v>0.4</v>
          </cell>
          <cell r="E663">
            <v>1.2789999999999999</v>
          </cell>
        </row>
        <row r="664">
          <cell r="C664" t="str">
            <v>CUNETA</v>
          </cell>
          <cell r="D664">
            <v>0.33200000000000002</v>
          </cell>
          <cell r="E664">
            <v>1.06</v>
          </cell>
        </row>
        <row r="665">
          <cell r="C665" t="str">
            <v>BASE_GRANULAR</v>
          </cell>
          <cell r="D665">
            <v>0.75700000000000001</v>
          </cell>
          <cell r="E665">
            <v>2.4260000000000002</v>
          </cell>
        </row>
        <row r="666">
          <cell r="C666" t="str">
            <v>RECICLADO</v>
          </cell>
          <cell r="D666">
            <v>1.893</v>
          </cell>
          <cell r="E666">
            <v>6.0709999999999997</v>
          </cell>
        </row>
        <row r="667">
          <cell r="C667" t="str">
            <v>CONCRETO_ASFÁLTICO</v>
          </cell>
          <cell r="D667">
            <v>0.4</v>
          </cell>
          <cell r="E667">
            <v>2.72</v>
          </cell>
        </row>
        <row r="668">
          <cell r="C668" t="str">
            <v>CUNETA</v>
          </cell>
          <cell r="D668">
            <v>0.33200000000000002</v>
          </cell>
          <cell r="E668">
            <v>2.2549999999999999</v>
          </cell>
        </row>
        <row r="669">
          <cell r="C669" t="str">
            <v>BASE_GRANULAR</v>
          </cell>
          <cell r="D669">
            <v>0.754</v>
          </cell>
          <cell r="E669">
            <v>5.14</v>
          </cell>
        </row>
        <row r="670">
          <cell r="C670" t="str">
            <v>RECICLADO</v>
          </cell>
          <cell r="D670">
            <v>1.881</v>
          </cell>
          <cell r="E670">
            <v>12.834</v>
          </cell>
        </row>
        <row r="671">
          <cell r="C671" t="str">
            <v>CONCRETO_ASFÁLTICO</v>
          </cell>
          <cell r="D671">
            <v>0.4</v>
          </cell>
          <cell r="E671">
            <v>1.6279999999999999</v>
          </cell>
        </row>
        <row r="672">
          <cell r="C672" t="str">
            <v>CUNETA</v>
          </cell>
          <cell r="D672">
            <v>0.33200000000000002</v>
          </cell>
          <cell r="E672">
            <v>1.35</v>
          </cell>
        </row>
        <row r="673">
          <cell r="C673" t="str">
            <v>BASE_GRANULAR</v>
          </cell>
          <cell r="D673">
            <v>0.755</v>
          </cell>
          <cell r="E673">
            <v>3.0739999999999998</v>
          </cell>
        </row>
        <row r="674">
          <cell r="C674" t="str">
            <v>RECICLADO</v>
          </cell>
          <cell r="D674">
            <v>1.885</v>
          </cell>
          <cell r="E674">
            <v>7.6680000000000001</v>
          </cell>
        </row>
        <row r="675">
          <cell r="C675" t="str">
            <v>CONCRETO_ASFÁLTICO</v>
          </cell>
          <cell r="D675">
            <v>0.4</v>
          </cell>
          <cell r="E675">
            <v>2.371</v>
          </cell>
        </row>
        <row r="676">
          <cell r="C676" t="str">
            <v>CUNETA</v>
          </cell>
          <cell r="D676">
            <v>0.33200000000000002</v>
          </cell>
          <cell r="E676">
            <v>1.9650000000000001</v>
          </cell>
        </row>
        <row r="677">
          <cell r="C677" t="str">
            <v>BASE_GRANULAR</v>
          </cell>
          <cell r="D677">
            <v>0.75800000000000001</v>
          </cell>
          <cell r="E677">
            <v>4.4859999999999998</v>
          </cell>
        </row>
        <row r="678">
          <cell r="C678" t="str">
            <v>RECICLADO</v>
          </cell>
          <cell r="D678">
            <v>1.8959999999999999</v>
          </cell>
          <cell r="E678">
            <v>11.209</v>
          </cell>
        </row>
        <row r="679">
          <cell r="C679" t="str">
            <v>CONCRETO_ASFÁLTICO</v>
          </cell>
          <cell r="D679">
            <v>0.4</v>
          </cell>
          <cell r="E679">
            <v>3.2679999999999998</v>
          </cell>
        </row>
        <row r="680">
          <cell r="C680" t="str">
            <v>CUNETA</v>
          </cell>
          <cell r="D680">
            <v>0.33200000000000002</v>
          </cell>
          <cell r="E680">
            <v>2.7090000000000001</v>
          </cell>
        </row>
        <row r="681">
          <cell r="C681" t="str">
            <v>BASE_GRANULAR</v>
          </cell>
          <cell r="D681">
            <v>0.76200000000000001</v>
          </cell>
          <cell r="E681">
            <v>6.21</v>
          </cell>
        </row>
        <row r="682">
          <cell r="C682" t="str">
            <v>RECICLADO</v>
          </cell>
          <cell r="D682">
            <v>1.911</v>
          </cell>
          <cell r="E682">
            <v>15.558999999999999</v>
          </cell>
        </row>
        <row r="683">
          <cell r="C683" t="str">
            <v>CONCRETO_ASFÁLTICO</v>
          </cell>
          <cell r="D683">
            <v>0.4</v>
          </cell>
          <cell r="E683">
            <v>0.73099999999999998</v>
          </cell>
        </row>
        <row r="684">
          <cell r="C684" t="str">
            <v>CUNETA</v>
          </cell>
          <cell r="D684">
            <v>0.33200000000000002</v>
          </cell>
          <cell r="E684">
            <v>0.60599999999999998</v>
          </cell>
        </row>
        <row r="685">
          <cell r="C685" t="str">
            <v>BASE_GRANULAR</v>
          </cell>
          <cell r="D685">
            <v>0.76200000000000001</v>
          </cell>
          <cell r="E685">
            <v>1.393</v>
          </cell>
        </row>
        <row r="686">
          <cell r="C686" t="str">
            <v>RECICLADO</v>
          </cell>
          <cell r="D686">
            <v>1.911</v>
          </cell>
          <cell r="E686">
            <v>3.4940000000000002</v>
          </cell>
        </row>
        <row r="687">
          <cell r="C687" t="str">
            <v>CONCRETO_ASFÁLTICO</v>
          </cell>
          <cell r="D687">
            <v>0.4</v>
          </cell>
          <cell r="E687">
            <v>3.9990000000000001</v>
          </cell>
        </row>
        <row r="688">
          <cell r="C688" t="str">
            <v>CUNETA</v>
          </cell>
          <cell r="D688">
            <v>0.33200000000000002</v>
          </cell>
          <cell r="E688">
            <v>3.3149999999999999</v>
          </cell>
        </row>
        <row r="689">
          <cell r="C689" t="str">
            <v>BASE_GRANULAR</v>
          </cell>
          <cell r="D689">
            <v>0.76200000000000001</v>
          </cell>
          <cell r="E689">
            <v>7.6180000000000003</v>
          </cell>
        </row>
        <row r="690">
          <cell r="C690" t="str">
            <v>RECICLADO</v>
          </cell>
          <cell r="D690">
            <v>1.911</v>
          </cell>
          <cell r="E690">
            <v>19.114000000000001</v>
          </cell>
        </row>
        <row r="691">
          <cell r="C691" t="str">
            <v>CONCRETO_ASFÁLTICO</v>
          </cell>
          <cell r="D691">
            <v>0.4</v>
          </cell>
          <cell r="E691">
            <v>1.9339999999999999</v>
          </cell>
        </row>
        <row r="692">
          <cell r="C692" t="str">
            <v>CUNETA</v>
          </cell>
          <cell r="D692">
            <v>0.33200000000000002</v>
          </cell>
          <cell r="E692">
            <v>1.6040000000000001</v>
          </cell>
        </row>
        <row r="693">
          <cell r="C693" t="str">
            <v>BASE_GRANULAR</v>
          </cell>
          <cell r="D693">
            <v>0.76200000000000001</v>
          </cell>
          <cell r="E693">
            <v>3.6850000000000001</v>
          </cell>
        </row>
        <row r="694">
          <cell r="C694" t="str">
            <v>RECICLADO</v>
          </cell>
          <cell r="D694">
            <v>1.911</v>
          </cell>
          <cell r="E694">
            <v>9.2460000000000004</v>
          </cell>
        </row>
        <row r="695">
          <cell r="C695" t="str">
            <v>CONCRETO_ASFÁLTICO</v>
          </cell>
          <cell r="D695">
            <v>0.4</v>
          </cell>
          <cell r="E695">
            <v>2.0649999999999999</v>
          </cell>
        </row>
        <row r="696">
          <cell r="C696" t="str">
            <v>CUNETA</v>
          </cell>
          <cell r="D696">
            <v>0.33200000000000002</v>
          </cell>
          <cell r="E696">
            <v>1.712</v>
          </cell>
        </row>
        <row r="697">
          <cell r="C697" t="str">
            <v>BASE_GRANULAR</v>
          </cell>
          <cell r="D697">
            <v>0.76</v>
          </cell>
          <cell r="E697">
            <v>3.927</v>
          </cell>
        </row>
        <row r="698">
          <cell r="C698" t="str">
            <v>RECICLADO</v>
          </cell>
          <cell r="D698">
            <v>1.9019999999999999</v>
          </cell>
          <cell r="E698">
            <v>9.8439999999999994</v>
          </cell>
        </row>
        <row r="699">
          <cell r="C699" t="str">
            <v>CONCRETO_ASFÁLTICO</v>
          </cell>
          <cell r="D699">
            <v>0.4</v>
          </cell>
          <cell r="E699">
            <v>3.5739999999999998</v>
          </cell>
        </row>
        <row r="700">
          <cell r="C700" t="str">
            <v>CUNETA</v>
          </cell>
          <cell r="D700">
            <v>0.33200000000000002</v>
          </cell>
          <cell r="E700">
            <v>2.9630000000000001</v>
          </cell>
        </row>
        <row r="701">
          <cell r="C701" t="str">
            <v>BASE_GRANULAR</v>
          </cell>
          <cell r="D701">
            <v>0.755</v>
          </cell>
          <cell r="E701">
            <v>6.7690000000000001</v>
          </cell>
        </row>
        <row r="702">
          <cell r="C702" t="str">
            <v>RECICLADO</v>
          </cell>
          <cell r="D702">
            <v>1.885</v>
          </cell>
          <cell r="E702">
            <v>16.923999999999999</v>
          </cell>
        </row>
        <row r="703">
          <cell r="C703" t="str">
            <v>CONCRETO_ASFÁLTICO</v>
          </cell>
          <cell r="D703">
            <v>0.4</v>
          </cell>
          <cell r="E703">
            <v>2.8769999999999998</v>
          </cell>
        </row>
        <row r="704">
          <cell r="C704" t="str">
            <v>CUNETA</v>
          </cell>
          <cell r="D704">
            <v>0.33200000000000002</v>
          </cell>
          <cell r="E704">
            <v>2.3849999999999998</v>
          </cell>
        </row>
        <row r="705">
          <cell r="C705" t="str">
            <v>BASE_GRANULAR</v>
          </cell>
          <cell r="D705">
            <v>0.75800000000000001</v>
          </cell>
          <cell r="E705">
            <v>5.4420000000000002</v>
          </cell>
        </row>
        <row r="706">
          <cell r="C706" t="str">
            <v>RECICLADO</v>
          </cell>
          <cell r="D706">
            <v>1.8939999999999999</v>
          </cell>
          <cell r="E706">
            <v>13.595000000000001</v>
          </cell>
        </row>
        <row r="707">
          <cell r="C707" t="str">
            <v>CONCRETO_ASFÁLTICO</v>
          </cell>
          <cell r="D707">
            <v>0.4</v>
          </cell>
          <cell r="E707">
            <v>1.5469999999999999</v>
          </cell>
        </row>
        <row r="708">
          <cell r="C708" t="str">
            <v>CUNETA</v>
          </cell>
          <cell r="D708">
            <v>0.33200000000000002</v>
          </cell>
          <cell r="E708">
            <v>1.2829999999999999</v>
          </cell>
        </row>
        <row r="709">
          <cell r="C709" t="str">
            <v>BASE_GRANULAR</v>
          </cell>
          <cell r="D709">
            <v>0.76</v>
          </cell>
          <cell r="E709">
            <v>2.9359999999999999</v>
          </cell>
        </row>
        <row r="710">
          <cell r="C710" t="str">
            <v>RECICLADO</v>
          </cell>
          <cell r="D710">
            <v>1.905</v>
          </cell>
          <cell r="E710">
            <v>7.3490000000000002</v>
          </cell>
        </row>
        <row r="711">
          <cell r="C711" t="str">
            <v>CONCRETO_ASFÁLTICO</v>
          </cell>
          <cell r="D711">
            <v>0.4</v>
          </cell>
          <cell r="E711">
            <v>3.9990000000000001</v>
          </cell>
        </row>
        <row r="712">
          <cell r="C712" t="str">
            <v>CUNETA</v>
          </cell>
          <cell r="D712">
            <v>0.33200000000000002</v>
          </cell>
          <cell r="E712">
            <v>3.3149999999999999</v>
          </cell>
        </row>
        <row r="713">
          <cell r="C713" t="str">
            <v>BASE_GRANULAR</v>
          </cell>
          <cell r="D713">
            <v>0.76200000000000001</v>
          </cell>
          <cell r="E713">
            <v>7.61</v>
          </cell>
        </row>
        <row r="714">
          <cell r="C714" t="str">
            <v>RECICLADO</v>
          </cell>
          <cell r="D714">
            <v>1.911</v>
          </cell>
          <cell r="E714">
            <v>19.081</v>
          </cell>
        </row>
        <row r="715">
          <cell r="C715" t="str">
            <v>CONCRETO_ASFÁLTICO</v>
          </cell>
          <cell r="D715">
            <v>0.4</v>
          </cell>
          <cell r="E715">
            <v>1.252</v>
          </cell>
        </row>
        <row r="716">
          <cell r="C716" t="str">
            <v>CUNETA</v>
          </cell>
          <cell r="D716">
            <v>0.33200000000000002</v>
          </cell>
          <cell r="E716">
            <v>1.038</v>
          </cell>
        </row>
        <row r="717">
          <cell r="C717" t="str">
            <v>BASE_GRANULAR</v>
          </cell>
          <cell r="D717">
            <v>0.76200000000000001</v>
          </cell>
          <cell r="E717">
            <v>2.3849999999999998</v>
          </cell>
        </row>
        <row r="718">
          <cell r="C718" t="str">
            <v>RECICLADO</v>
          </cell>
          <cell r="D718">
            <v>1.911</v>
          </cell>
          <cell r="E718">
            <v>5.984</v>
          </cell>
        </row>
        <row r="719">
          <cell r="C719" t="str">
            <v>CONCRETO_ASFÁLTICO</v>
          </cell>
          <cell r="D719">
            <v>0.4</v>
          </cell>
          <cell r="E719">
            <v>0</v>
          </cell>
        </row>
        <row r="720">
          <cell r="C720" t="str">
            <v>CUNETA</v>
          </cell>
          <cell r="D720">
            <v>0.33200000000000002</v>
          </cell>
          <cell r="E720">
            <v>0</v>
          </cell>
        </row>
        <row r="721">
          <cell r="C721" t="str">
            <v>BASE_GRANULAR</v>
          </cell>
          <cell r="D721">
            <v>0.76200000000000001</v>
          </cell>
          <cell r="E721">
            <v>0</v>
          </cell>
        </row>
        <row r="722">
          <cell r="C722" t="str">
            <v>RECICLADO</v>
          </cell>
          <cell r="D722">
            <v>1.911</v>
          </cell>
          <cell r="E722">
            <v>0</v>
          </cell>
        </row>
        <row r="723">
          <cell r="C723" t="str">
            <v>CONCRETO_ASFÁLTICO</v>
          </cell>
          <cell r="D723">
            <v>0.4</v>
          </cell>
          <cell r="E723">
            <v>2.7469999999999999</v>
          </cell>
        </row>
        <row r="724">
          <cell r="C724" t="str">
            <v>CUNETA</v>
          </cell>
          <cell r="D724">
            <v>0.33200000000000002</v>
          </cell>
          <cell r="E724">
            <v>2.2770000000000001</v>
          </cell>
        </row>
        <row r="725">
          <cell r="C725" t="str">
            <v>BASE_GRANULAR</v>
          </cell>
          <cell r="D725">
            <v>0.76200000000000001</v>
          </cell>
          <cell r="E725">
            <v>5.2320000000000002</v>
          </cell>
        </row>
        <row r="726">
          <cell r="C726" t="str">
            <v>RECICLADO</v>
          </cell>
          <cell r="D726">
            <v>1.911</v>
          </cell>
          <cell r="E726">
            <v>13.127000000000001</v>
          </cell>
        </row>
        <row r="727">
          <cell r="C727" t="str">
            <v>CONCRETO_ASFÁLTICO</v>
          </cell>
          <cell r="D727">
            <v>0.4</v>
          </cell>
          <cell r="E727">
            <v>3.9990000000000001</v>
          </cell>
        </row>
        <row r="728">
          <cell r="C728" t="str">
            <v>CUNETA</v>
          </cell>
          <cell r="D728">
            <v>0.33200000000000002</v>
          </cell>
          <cell r="E728">
            <v>3.3149999999999999</v>
          </cell>
        </row>
        <row r="729">
          <cell r="C729" t="str">
            <v>BASE_GRANULAR</v>
          </cell>
          <cell r="D729">
            <v>0.755</v>
          </cell>
          <cell r="E729">
            <v>7.5810000000000004</v>
          </cell>
        </row>
        <row r="730">
          <cell r="C730" t="str">
            <v>RECICLADO</v>
          </cell>
          <cell r="D730">
            <v>1.8819999999999999</v>
          </cell>
          <cell r="E730">
            <v>18.965</v>
          </cell>
        </row>
        <row r="731">
          <cell r="C731" t="str">
            <v>CONCRETO_ASFÁLTICO</v>
          </cell>
          <cell r="D731">
            <v>0.4</v>
          </cell>
          <cell r="E731">
            <v>5.2999999999999999E-2</v>
          </cell>
        </row>
        <row r="732">
          <cell r="C732" t="str">
            <v>CUNETA</v>
          </cell>
          <cell r="D732">
            <v>0.33200000000000002</v>
          </cell>
          <cell r="E732">
            <v>4.3999999999999997E-2</v>
          </cell>
        </row>
        <row r="733">
          <cell r="C733" t="str">
            <v>BASE_GRANULAR</v>
          </cell>
          <cell r="D733">
            <v>0.754</v>
          </cell>
          <cell r="E733">
            <v>9.9000000000000005E-2</v>
          </cell>
        </row>
        <row r="734">
          <cell r="C734" t="str">
            <v>RECICLADO</v>
          </cell>
          <cell r="D734">
            <v>1.881</v>
          </cell>
          <cell r="E734">
            <v>0.247</v>
          </cell>
        </row>
        <row r="735">
          <cell r="C735" t="str">
            <v>CONCRETO_ASFÁLTICO</v>
          </cell>
          <cell r="D735">
            <v>0.4</v>
          </cell>
          <cell r="E735">
            <v>0.246</v>
          </cell>
        </row>
        <row r="736">
          <cell r="C736" t="str">
            <v>CUNETA</v>
          </cell>
          <cell r="D736">
            <v>0.33200000000000002</v>
          </cell>
          <cell r="E736">
            <v>0.20399999999999999</v>
          </cell>
        </row>
        <row r="737">
          <cell r="C737" t="str">
            <v>BASE_GRANULAR</v>
          </cell>
          <cell r="D737">
            <v>0.755</v>
          </cell>
          <cell r="E737">
            <v>0.46500000000000002</v>
          </cell>
        </row>
        <row r="738">
          <cell r="C738" t="str">
            <v>RECICLADO</v>
          </cell>
          <cell r="D738">
            <v>1.8819999999999999</v>
          </cell>
          <cell r="E738">
            <v>1.1579999999999999</v>
          </cell>
        </row>
        <row r="739">
          <cell r="C739" t="str">
            <v>CONCRETO_ASFÁLTICO</v>
          </cell>
          <cell r="D739">
            <v>0.4</v>
          </cell>
          <cell r="E739">
            <v>3.7</v>
          </cell>
        </row>
        <row r="740">
          <cell r="C740" t="str">
            <v>CUNETA</v>
          </cell>
          <cell r="D740">
            <v>0.33200000000000002</v>
          </cell>
          <cell r="E740">
            <v>3.0680000000000001</v>
          </cell>
        </row>
        <row r="741">
          <cell r="C741" t="str">
            <v>BASE_GRANULAR</v>
          </cell>
          <cell r="D741">
            <v>0.76200000000000001</v>
          </cell>
          <cell r="E741">
            <v>7.0149999999999997</v>
          </cell>
        </row>
        <row r="742">
          <cell r="C742" t="str">
            <v>RECICLADO</v>
          </cell>
          <cell r="D742">
            <v>1.911</v>
          </cell>
          <cell r="E742">
            <v>17.548999999999999</v>
          </cell>
        </row>
        <row r="743">
          <cell r="C743" t="str">
            <v>CONCRETO_ASFÁLTICO</v>
          </cell>
          <cell r="D743">
            <v>0.4</v>
          </cell>
          <cell r="E743">
            <v>1.9379999999999999</v>
          </cell>
        </row>
        <row r="744">
          <cell r="C744" t="str">
            <v>CUNETA</v>
          </cell>
          <cell r="D744">
            <v>0.33200000000000002</v>
          </cell>
          <cell r="E744">
            <v>1.607</v>
          </cell>
        </row>
        <row r="745">
          <cell r="C745" t="str">
            <v>BASE_GRANULAR</v>
          </cell>
          <cell r="D745">
            <v>0.76200000000000001</v>
          </cell>
          <cell r="E745">
            <v>3.6920000000000002</v>
          </cell>
        </row>
        <row r="746">
          <cell r="C746" t="str">
            <v>RECICLADO</v>
          </cell>
          <cell r="D746">
            <v>1.911</v>
          </cell>
          <cell r="E746">
            <v>9.2639999999999993</v>
          </cell>
        </row>
        <row r="747">
          <cell r="C747" t="str">
            <v>CONCRETO_ASFÁLTICO</v>
          </cell>
          <cell r="D747">
            <v>0.4</v>
          </cell>
          <cell r="E747">
            <v>2.0609999999999999</v>
          </cell>
        </row>
        <row r="748">
          <cell r="C748" t="str">
            <v>CUNETA</v>
          </cell>
          <cell r="D748">
            <v>0.33200000000000002</v>
          </cell>
          <cell r="E748">
            <v>1.708</v>
          </cell>
        </row>
        <row r="749">
          <cell r="C749" t="str">
            <v>BASE_GRANULAR</v>
          </cell>
          <cell r="D749">
            <v>0.76200000000000001</v>
          </cell>
          <cell r="E749">
            <v>3.9249999999999998</v>
          </cell>
        </row>
        <row r="750">
          <cell r="C750" t="str">
            <v>RECICLADO</v>
          </cell>
          <cell r="D750">
            <v>1.911</v>
          </cell>
          <cell r="E750">
            <v>9.8480000000000008</v>
          </cell>
        </row>
        <row r="751">
          <cell r="C751" t="str">
            <v>CONCRETO_ASFÁLTICO</v>
          </cell>
          <cell r="D751">
            <v>0.4</v>
          </cell>
          <cell r="E751">
            <v>3.5779999999999998</v>
          </cell>
        </row>
        <row r="752">
          <cell r="C752" t="str">
            <v>CUNETA</v>
          </cell>
          <cell r="D752">
            <v>0.33200000000000002</v>
          </cell>
          <cell r="E752">
            <v>2.9660000000000002</v>
          </cell>
        </row>
        <row r="753">
          <cell r="C753" t="str">
            <v>BASE_GRANULAR</v>
          </cell>
          <cell r="D753">
            <v>0.755</v>
          </cell>
          <cell r="E753">
            <v>6.7830000000000004</v>
          </cell>
        </row>
        <row r="754">
          <cell r="C754" t="str">
            <v>RECICLADO</v>
          </cell>
          <cell r="D754">
            <v>1.8819999999999999</v>
          </cell>
          <cell r="E754">
            <v>16.969000000000001</v>
          </cell>
        </row>
        <row r="755">
          <cell r="C755" t="str">
            <v>CONCRETO_ASFÁLTICO</v>
          </cell>
          <cell r="D755">
            <v>0.4</v>
          </cell>
          <cell r="E755">
            <v>0.42099999999999999</v>
          </cell>
        </row>
        <row r="756">
          <cell r="C756" t="str">
            <v>CUNETA</v>
          </cell>
          <cell r="D756">
            <v>0.33200000000000002</v>
          </cell>
          <cell r="E756">
            <v>0.34899999999999998</v>
          </cell>
        </row>
        <row r="757">
          <cell r="C757" t="str">
            <v>BASE_GRANULAR</v>
          </cell>
          <cell r="D757">
            <v>0.754</v>
          </cell>
          <cell r="E757">
            <v>0.79400000000000004</v>
          </cell>
        </row>
        <row r="758">
          <cell r="C758" t="str">
            <v>RECICLADO</v>
          </cell>
          <cell r="D758">
            <v>1.881</v>
          </cell>
          <cell r="E758">
            <v>1.9810000000000001</v>
          </cell>
        </row>
        <row r="759">
          <cell r="C759" t="str">
            <v>CONCRETO_ASFÁLTICO</v>
          </cell>
          <cell r="D759">
            <v>0.4</v>
          </cell>
          <cell r="E759">
            <v>2.85</v>
          </cell>
        </row>
        <row r="760">
          <cell r="C760" t="str">
            <v>CUNETA</v>
          </cell>
          <cell r="D760">
            <v>0.33200000000000002</v>
          </cell>
          <cell r="E760">
            <v>2.363</v>
          </cell>
        </row>
        <row r="761">
          <cell r="C761" t="str">
            <v>BASE_GRANULAR</v>
          </cell>
          <cell r="D761">
            <v>0.75800000000000001</v>
          </cell>
          <cell r="E761">
            <v>5.3890000000000002</v>
          </cell>
        </row>
        <row r="762">
          <cell r="C762" t="str">
            <v>RECICLADO</v>
          </cell>
          <cell r="D762">
            <v>1.8959999999999999</v>
          </cell>
          <cell r="E762">
            <v>13.459</v>
          </cell>
        </row>
        <row r="763">
          <cell r="C763" t="str">
            <v>CONCRETO_ASFÁLTICO</v>
          </cell>
          <cell r="D763">
            <v>0.4</v>
          </cell>
          <cell r="E763">
            <v>1.149</v>
          </cell>
        </row>
        <row r="764">
          <cell r="C764" t="str">
            <v>CUNETA</v>
          </cell>
          <cell r="D764">
            <v>0.33200000000000002</v>
          </cell>
          <cell r="E764">
            <v>0.95199999999999996</v>
          </cell>
        </row>
        <row r="765">
          <cell r="C765" t="str">
            <v>BASE_GRANULAR</v>
          </cell>
          <cell r="D765">
            <v>0.76</v>
          </cell>
          <cell r="E765">
            <v>2.181</v>
          </cell>
        </row>
        <row r="766">
          <cell r="C766" t="str">
            <v>RECICLADO</v>
          </cell>
          <cell r="D766">
            <v>1.905</v>
          </cell>
          <cell r="E766">
            <v>5.4610000000000003</v>
          </cell>
        </row>
        <row r="767">
          <cell r="C767" t="str">
            <v>CONCRETO_ASFÁLTICO</v>
          </cell>
          <cell r="D767">
            <v>0.4</v>
          </cell>
          <cell r="E767">
            <v>3.9990000000000001</v>
          </cell>
        </row>
        <row r="768">
          <cell r="C768" t="str">
            <v>CUNETA</v>
          </cell>
          <cell r="D768">
            <v>0.33200000000000002</v>
          </cell>
          <cell r="E768">
            <v>3.3149999999999999</v>
          </cell>
        </row>
        <row r="769">
          <cell r="C769" t="str">
            <v>BASE_GRANULAR</v>
          </cell>
          <cell r="D769">
            <v>0.76200000000000001</v>
          </cell>
          <cell r="E769">
            <v>7.6139999999999999</v>
          </cell>
        </row>
        <row r="770">
          <cell r="C770" t="str">
            <v>RECICLADO</v>
          </cell>
          <cell r="D770">
            <v>1.911</v>
          </cell>
          <cell r="E770">
            <v>19.100999999999999</v>
          </cell>
        </row>
        <row r="771">
          <cell r="C771" t="str">
            <v>CONCRETO_ASFÁLTICO</v>
          </cell>
          <cell r="D771">
            <v>0.4</v>
          </cell>
          <cell r="E771">
            <v>0.49099999999999999</v>
          </cell>
        </row>
        <row r="772">
          <cell r="C772" t="str">
            <v>CUNETA</v>
          </cell>
          <cell r="D772">
            <v>0.33200000000000002</v>
          </cell>
          <cell r="E772">
            <v>0.40699999999999997</v>
          </cell>
        </row>
        <row r="773">
          <cell r="C773" t="str">
            <v>BASE_GRANULAR</v>
          </cell>
          <cell r="D773">
            <v>0.76200000000000001</v>
          </cell>
          <cell r="E773">
            <v>0.93500000000000005</v>
          </cell>
        </row>
        <row r="774">
          <cell r="C774" t="str">
            <v>RECICLADO</v>
          </cell>
          <cell r="D774">
            <v>1.911</v>
          </cell>
          <cell r="E774">
            <v>2.3460000000000001</v>
          </cell>
        </row>
        <row r="775">
          <cell r="C775" t="str">
            <v>CONCRETO_ASFÁLTICO</v>
          </cell>
          <cell r="D775">
            <v>0.4</v>
          </cell>
          <cell r="E775">
            <v>3.508</v>
          </cell>
        </row>
        <row r="776">
          <cell r="C776" t="str">
            <v>CUNETA</v>
          </cell>
          <cell r="D776">
            <v>0.33200000000000002</v>
          </cell>
          <cell r="E776">
            <v>2.9089999999999998</v>
          </cell>
        </row>
        <row r="777">
          <cell r="C777" t="str">
            <v>BASE_GRANULAR</v>
          </cell>
          <cell r="D777">
            <v>0.76200000000000001</v>
          </cell>
          <cell r="E777">
            <v>6.6980000000000004</v>
          </cell>
        </row>
        <row r="778">
          <cell r="C778" t="str">
            <v>RECICLADO</v>
          </cell>
          <cell r="D778">
            <v>1.911</v>
          </cell>
          <cell r="E778">
            <v>16.841999999999999</v>
          </cell>
        </row>
        <row r="779">
          <cell r="C779" t="str">
            <v>CONCRETO_ASFÁLTICO</v>
          </cell>
          <cell r="D779">
            <v>0.4</v>
          </cell>
          <cell r="E779">
            <v>3.9990000000000001</v>
          </cell>
        </row>
        <row r="780">
          <cell r="C780" t="str">
            <v>CUNETA</v>
          </cell>
          <cell r="D780">
            <v>0.33200000000000002</v>
          </cell>
          <cell r="E780">
            <v>3.3149999999999999</v>
          </cell>
        </row>
        <row r="781">
          <cell r="C781" t="str">
            <v>BASE_GRANULAR</v>
          </cell>
          <cell r="D781">
            <v>0.76200000000000001</v>
          </cell>
          <cell r="E781">
            <v>7.6349999999999998</v>
          </cell>
        </row>
        <row r="782">
          <cell r="C782" t="str">
            <v>RECICLADO</v>
          </cell>
          <cell r="D782">
            <v>1.911</v>
          </cell>
          <cell r="E782">
            <v>19.198</v>
          </cell>
        </row>
        <row r="783">
          <cell r="C783" t="str">
            <v>CONCRETO_ASFÁLTICO</v>
          </cell>
          <cell r="D783">
            <v>0.4</v>
          </cell>
          <cell r="E783">
            <v>1.2190000000000001</v>
          </cell>
        </row>
        <row r="784">
          <cell r="C784" t="str">
            <v>CUNETA</v>
          </cell>
          <cell r="D784">
            <v>0.33200000000000002</v>
          </cell>
          <cell r="E784">
            <v>1.0109999999999999</v>
          </cell>
        </row>
        <row r="785">
          <cell r="C785" t="str">
            <v>BASE_GRANULAR</v>
          </cell>
          <cell r="D785">
            <v>0.76200000000000001</v>
          </cell>
          <cell r="E785">
            <v>2.3279999999999998</v>
          </cell>
        </row>
        <row r="786">
          <cell r="C786" t="str">
            <v>RECICLADO</v>
          </cell>
          <cell r="D786">
            <v>1.911</v>
          </cell>
          <cell r="E786">
            <v>5.8529999999999998</v>
          </cell>
        </row>
        <row r="787">
          <cell r="C787" t="str">
            <v>CONCRETO_ASFÁLTICO</v>
          </cell>
          <cell r="D787">
            <v>0.4</v>
          </cell>
          <cell r="E787">
            <v>2.78</v>
          </cell>
        </row>
        <row r="788">
          <cell r="C788" t="str">
            <v>CUNETA</v>
          </cell>
          <cell r="D788">
            <v>0.33200000000000002</v>
          </cell>
          <cell r="E788">
            <v>2.3039999999999998</v>
          </cell>
        </row>
        <row r="789">
          <cell r="C789" t="str">
            <v>BASE_GRANULAR</v>
          </cell>
          <cell r="D789">
            <v>0.76200000000000001</v>
          </cell>
          <cell r="E789">
            <v>5.2969999999999997</v>
          </cell>
        </row>
        <row r="790">
          <cell r="C790" t="str">
            <v>RECICLADO</v>
          </cell>
          <cell r="D790">
            <v>1.911</v>
          </cell>
          <cell r="E790">
            <v>13.295999999999999</v>
          </cell>
        </row>
        <row r="791">
          <cell r="C791" t="str">
            <v>CONCRETO_ASFÁLTICO</v>
          </cell>
          <cell r="D791">
            <v>0.4</v>
          </cell>
          <cell r="E791">
            <v>2.859</v>
          </cell>
        </row>
        <row r="792">
          <cell r="C792" t="str">
            <v>CUNETA</v>
          </cell>
          <cell r="D792">
            <v>0.33200000000000002</v>
          </cell>
          <cell r="E792">
            <v>2.37</v>
          </cell>
        </row>
        <row r="793">
          <cell r="C793" t="str">
            <v>BASE_GRANULAR</v>
          </cell>
          <cell r="D793">
            <v>0.75800000000000001</v>
          </cell>
          <cell r="E793">
            <v>5.4329999999999998</v>
          </cell>
        </row>
        <row r="794">
          <cell r="C794" t="str">
            <v>RECICLADO</v>
          </cell>
          <cell r="D794">
            <v>1.8959999999999999</v>
          </cell>
          <cell r="E794">
            <v>13.614000000000001</v>
          </cell>
        </row>
        <row r="795">
          <cell r="C795" t="str">
            <v>CONCRETO_ASFÁLTICO</v>
          </cell>
          <cell r="D795">
            <v>0.4</v>
          </cell>
          <cell r="E795">
            <v>1.1399999999999999</v>
          </cell>
        </row>
        <row r="796">
          <cell r="C796" t="str">
            <v>CUNETA</v>
          </cell>
          <cell r="D796">
            <v>0.33200000000000002</v>
          </cell>
          <cell r="E796">
            <v>0.94499999999999995</v>
          </cell>
        </row>
        <row r="797">
          <cell r="C797" t="str">
            <v>BASE_GRANULAR</v>
          </cell>
          <cell r="D797">
            <v>0.75600000000000001</v>
          </cell>
          <cell r="E797">
            <v>2.1579999999999999</v>
          </cell>
        </row>
        <row r="798">
          <cell r="C798" t="str">
            <v>RECICLADO</v>
          </cell>
          <cell r="D798">
            <v>1.887</v>
          </cell>
          <cell r="E798">
            <v>5.3920000000000003</v>
          </cell>
        </row>
        <row r="799">
          <cell r="C799" t="str">
            <v>CONCRETO_ASFÁLTICO</v>
          </cell>
          <cell r="D799">
            <v>0.4</v>
          </cell>
          <cell r="E799">
            <v>6.234</v>
          </cell>
        </row>
        <row r="800">
          <cell r="C800" t="str">
            <v>CUNETA</v>
          </cell>
          <cell r="D800">
            <v>0.33200000000000002</v>
          </cell>
          <cell r="E800">
            <v>5.1680000000000001</v>
          </cell>
        </row>
        <row r="801">
          <cell r="C801" t="str">
            <v>BASE_GRANULAR</v>
          </cell>
          <cell r="D801">
            <v>0.75800000000000001</v>
          </cell>
          <cell r="E801">
            <v>11.798999999999999</v>
          </cell>
        </row>
        <row r="802">
          <cell r="C802" t="str">
            <v>RECICLADO</v>
          </cell>
          <cell r="D802">
            <v>1.8959999999999999</v>
          </cell>
          <cell r="E802">
            <v>29.486000000000001</v>
          </cell>
        </row>
        <row r="803">
          <cell r="C803" t="str">
            <v>CONCRETO_ASFÁLTICO</v>
          </cell>
          <cell r="D803">
            <v>0.4</v>
          </cell>
          <cell r="E803">
            <v>1.764</v>
          </cell>
        </row>
        <row r="804">
          <cell r="C804" t="str">
            <v>CUNETA</v>
          </cell>
          <cell r="D804">
            <v>0.33200000000000002</v>
          </cell>
          <cell r="E804">
            <v>1.462</v>
          </cell>
        </row>
        <row r="805">
          <cell r="C805" t="str">
            <v>BASE_GRANULAR</v>
          </cell>
          <cell r="D805">
            <v>0.76100000000000001</v>
          </cell>
          <cell r="E805">
            <v>3.35</v>
          </cell>
        </row>
        <row r="806">
          <cell r="C806" t="str">
            <v>RECICLADO</v>
          </cell>
          <cell r="D806">
            <v>1.9079999999999999</v>
          </cell>
          <cell r="E806">
            <v>8.3889999999999993</v>
          </cell>
        </row>
        <row r="807">
          <cell r="C807" t="str">
            <v>CONCRETO_ASFÁLTICO</v>
          </cell>
          <cell r="D807">
            <v>0.4</v>
          </cell>
          <cell r="E807">
            <v>3.875</v>
          </cell>
        </row>
        <row r="808">
          <cell r="C808" t="str">
            <v>CUNETA</v>
          </cell>
          <cell r="D808">
            <v>0.33200000000000002</v>
          </cell>
          <cell r="E808">
            <v>3.2120000000000002</v>
          </cell>
        </row>
        <row r="809">
          <cell r="C809" t="str">
            <v>BASE_GRANULAR</v>
          </cell>
          <cell r="D809">
            <v>0.76200000000000001</v>
          </cell>
          <cell r="E809">
            <v>7.3780000000000001</v>
          </cell>
        </row>
        <row r="810">
          <cell r="C810" t="str">
            <v>RECICLADO</v>
          </cell>
          <cell r="D810">
            <v>1.911</v>
          </cell>
          <cell r="E810">
            <v>18.507999999999999</v>
          </cell>
        </row>
        <row r="811">
          <cell r="C811" t="str">
            <v>CONCRETO_ASFÁLTICO</v>
          </cell>
          <cell r="D811">
            <v>0.4</v>
          </cell>
          <cell r="E811">
            <v>0.124</v>
          </cell>
        </row>
        <row r="812">
          <cell r="C812" t="str">
            <v>CUNETA</v>
          </cell>
          <cell r="D812">
            <v>0.33200000000000002</v>
          </cell>
          <cell r="E812">
            <v>0.10299999999999999</v>
          </cell>
        </row>
        <row r="813">
          <cell r="C813" t="str">
            <v>BASE_GRANULAR</v>
          </cell>
          <cell r="D813">
            <v>0.76200000000000001</v>
          </cell>
          <cell r="E813">
            <v>0.23699999999999999</v>
          </cell>
        </row>
        <row r="814">
          <cell r="C814" t="str">
            <v>RECICLADO</v>
          </cell>
          <cell r="D814">
            <v>1.911</v>
          </cell>
          <cell r="E814">
            <v>0.59499999999999997</v>
          </cell>
        </row>
        <row r="815">
          <cell r="C815" t="str">
            <v>CONCRETO_ASFÁLTICO</v>
          </cell>
          <cell r="D815">
            <v>0.4</v>
          </cell>
          <cell r="E815">
            <v>3.9990000000000001</v>
          </cell>
        </row>
        <row r="816">
          <cell r="C816" t="str">
            <v>CUNETA</v>
          </cell>
          <cell r="D816">
            <v>0.33200000000000002</v>
          </cell>
          <cell r="E816">
            <v>3.3149999999999999</v>
          </cell>
        </row>
        <row r="817">
          <cell r="C817" t="str">
            <v>BASE_GRANULAR</v>
          </cell>
          <cell r="D817">
            <v>0.76200000000000001</v>
          </cell>
          <cell r="E817">
            <v>7.6239999999999997</v>
          </cell>
        </row>
        <row r="818">
          <cell r="C818" t="str">
            <v>RECICLADO</v>
          </cell>
          <cell r="D818">
            <v>1.911</v>
          </cell>
          <cell r="E818">
            <v>19.143000000000001</v>
          </cell>
        </row>
        <row r="819">
          <cell r="C819" t="str">
            <v>CONCRETO_ASFÁLTICO</v>
          </cell>
          <cell r="D819">
            <v>0.4</v>
          </cell>
          <cell r="E819">
            <v>3.4390000000000001</v>
          </cell>
        </row>
        <row r="820">
          <cell r="C820" t="str">
            <v>CUNETA</v>
          </cell>
          <cell r="D820">
            <v>0.33200000000000002</v>
          </cell>
          <cell r="E820">
            <v>2.851</v>
          </cell>
        </row>
        <row r="821">
          <cell r="C821" t="str">
            <v>BASE_GRANULAR</v>
          </cell>
          <cell r="D821">
            <v>0.76200000000000001</v>
          </cell>
          <cell r="E821">
            <v>6.5570000000000004</v>
          </cell>
        </row>
        <row r="822">
          <cell r="C822" t="str">
            <v>RECICLADO</v>
          </cell>
          <cell r="D822">
            <v>1.911</v>
          </cell>
          <cell r="E822">
            <v>16.463999999999999</v>
          </cell>
        </row>
        <row r="823">
          <cell r="C823" t="str">
            <v>CONCRETO_ASFÁLTICO</v>
          </cell>
          <cell r="D823">
            <v>0.4</v>
          </cell>
          <cell r="E823">
            <v>0.56000000000000005</v>
          </cell>
        </row>
        <row r="824">
          <cell r="C824" t="str">
            <v>CUNETA</v>
          </cell>
          <cell r="D824">
            <v>0.33200000000000002</v>
          </cell>
          <cell r="E824">
            <v>0.46400000000000002</v>
          </cell>
        </row>
        <row r="825">
          <cell r="C825" t="str">
            <v>BASE_GRANULAR</v>
          </cell>
          <cell r="D825">
            <v>0.76200000000000001</v>
          </cell>
          <cell r="E825">
            <v>1.0660000000000001</v>
          </cell>
        </row>
        <row r="826">
          <cell r="C826" t="str">
            <v>RECICLADO</v>
          </cell>
          <cell r="D826">
            <v>1.911</v>
          </cell>
          <cell r="E826">
            <v>2.6749999999999998</v>
          </cell>
        </row>
        <row r="827">
          <cell r="C827" t="str">
            <v>CONCRETO_ASFÁLTICO</v>
          </cell>
          <cell r="D827">
            <v>0.4</v>
          </cell>
          <cell r="E827">
            <v>3.9990000000000001</v>
          </cell>
        </row>
        <row r="828">
          <cell r="C828" t="str">
            <v>CUNETA</v>
          </cell>
          <cell r="D828">
            <v>0.33200000000000002</v>
          </cell>
          <cell r="E828">
            <v>3.3149999999999999</v>
          </cell>
        </row>
        <row r="829">
          <cell r="C829" t="str">
            <v>BASE_GRANULAR</v>
          </cell>
          <cell r="D829">
            <v>0.76</v>
          </cell>
          <cell r="E829">
            <v>7.609</v>
          </cell>
        </row>
        <row r="830">
          <cell r="C830" t="str">
            <v>RECICLADO</v>
          </cell>
          <cell r="D830">
            <v>1.903</v>
          </cell>
          <cell r="E830">
            <v>19.077999999999999</v>
          </cell>
        </row>
        <row r="831">
          <cell r="C831" t="str">
            <v>CONCRETO_ASFÁLTICO</v>
          </cell>
          <cell r="D831">
            <v>0.4</v>
          </cell>
          <cell r="E831">
            <v>1.08</v>
          </cell>
        </row>
        <row r="832">
          <cell r="C832" t="str">
            <v>CUNETA</v>
          </cell>
          <cell r="D832">
            <v>0.33200000000000002</v>
          </cell>
          <cell r="E832">
            <v>0.89500000000000002</v>
          </cell>
        </row>
        <row r="833">
          <cell r="C833" t="str">
            <v>BASE_GRANULAR</v>
          </cell>
          <cell r="D833">
            <v>0.75800000000000001</v>
          </cell>
          <cell r="E833">
            <v>2.0489999999999999</v>
          </cell>
        </row>
        <row r="834">
          <cell r="C834" t="str">
            <v>RECICLADO</v>
          </cell>
          <cell r="D834">
            <v>1.8959999999999999</v>
          </cell>
          <cell r="E834">
            <v>5.13</v>
          </cell>
        </row>
        <row r="835">
          <cell r="C835" t="str">
            <v>CONCRETO_ASFÁLTICO</v>
          </cell>
          <cell r="D835">
            <v>0.4</v>
          </cell>
          <cell r="E835">
            <v>6.9180000000000001</v>
          </cell>
        </row>
        <row r="836">
          <cell r="C836" t="str">
            <v>CUNETA</v>
          </cell>
          <cell r="D836">
            <v>0.33200000000000002</v>
          </cell>
          <cell r="E836">
            <v>5.7350000000000003</v>
          </cell>
        </row>
        <row r="837">
          <cell r="C837" t="str">
            <v>BASE_GRANULAR</v>
          </cell>
          <cell r="D837">
            <v>0.754</v>
          </cell>
          <cell r="E837">
            <v>13.081</v>
          </cell>
        </row>
        <row r="838">
          <cell r="C838" t="str">
            <v>RECICLADO</v>
          </cell>
          <cell r="D838">
            <v>1.881</v>
          </cell>
          <cell r="E838">
            <v>32.668999999999997</v>
          </cell>
        </row>
        <row r="839">
          <cell r="C839" t="str">
            <v>CONCRETO_ASFÁLTICO</v>
          </cell>
          <cell r="D839">
            <v>0.4</v>
          </cell>
          <cell r="E839">
            <v>7.9980000000000002</v>
          </cell>
        </row>
        <row r="840">
          <cell r="C840" t="str">
            <v>CUNETA</v>
          </cell>
          <cell r="D840">
            <v>0.33200000000000002</v>
          </cell>
          <cell r="E840">
            <v>6.6310000000000002</v>
          </cell>
        </row>
        <row r="841">
          <cell r="C841" t="str">
            <v>BASE_GRANULAR</v>
          </cell>
          <cell r="D841">
            <v>0.754</v>
          </cell>
          <cell r="E841">
            <v>15.086</v>
          </cell>
        </row>
        <row r="842">
          <cell r="C842" t="str">
            <v>RECICLADO</v>
          </cell>
          <cell r="D842">
            <v>1.881</v>
          </cell>
          <cell r="E842">
            <v>37.616999999999997</v>
          </cell>
        </row>
        <row r="843">
          <cell r="C843" t="str">
            <v>CONCRETO_ASFÁLTICO</v>
          </cell>
          <cell r="D843">
            <v>0.4</v>
          </cell>
          <cell r="E843">
            <v>7.9980000000000002</v>
          </cell>
        </row>
        <row r="844">
          <cell r="C844" t="str">
            <v>CUNETA</v>
          </cell>
          <cell r="D844">
            <v>0.33200000000000002</v>
          </cell>
          <cell r="E844">
            <v>6.6310000000000002</v>
          </cell>
        </row>
        <row r="845">
          <cell r="C845" t="str">
            <v>BASE_GRANULAR</v>
          </cell>
          <cell r="D845">
            <v>0.75700000000000001</v>
          </cell>
          <cell r="E845">
            <v>15.113</v>
          </cell>
        </row>
        <row r="846">
          <cell r="C846" t="str">
            <v>RECICLADO</v>
          </cell>
          <cell r="D846">
            <v>1.8919999999999999</v>
          </cell>
          <cell r="E846">
            <v>37.728999999999999</v>
          </cell>
        </row>
        <row r="847">
          <cell r="C847" t="str">
            <v>CONCRETO_ASFÁLTICO</v>
          </cell>
          <cell r="D847">
            <v>0.4</v>
          </cell>
          <cell r="E847">
            <v>0.68200000000000005</v>
          </cell>
        </row>
        <row r="848">
          <cell r="C848" t="str">
            <v>CUNETA</v>
          </cell>
          <cell r="D848">
            <v>0.33200000000000002</v>
          </cell>
          <cell r="E848">
            <v>0.56499999999999995</v>
          </cell>
        </row>
        <row r="849">
          <cell r="C849" t="str">
            <v>BASE_GRANULAR</v>
          </cell>
          <cell r="D849">
            <v>0.75800000000000001</v>
          </cell>
          <cell r="E849">
            <v>1.2909999999999999</v>
          </cell>
        </row>
        <row r="850">
          <cell r="C850" t="str">
            <v>RECICLADO</v>
          </cell>
          <cell r="D850">
            <v>1.8959999999999999</v>
          </cell>
          <cell r="E850">
            <v>3.2280000000000002</v>
          </cell>
        </row>
        <row r="851">
          <cell r="C851" t="str">
            <v>CONCRETO_ASFÁLTICO</v>
          </cell>
          <cell r="D851">
            <v>0.4</v>
          </cell>
          <cell r="E851">
            <v>3.3180000000000001</v>
          </cell>
        </row>
        <row r="852">
          <cell r="C852" t="str">
            <v>CUNETA</v>
          </cell>
          <cell r="D852">
            <v>0.33200000000000002</v>
          </cell>
          <cell r="E852">
            <v>2.75</v>
          </cell>
        </row>
        <row r="853">
          <cell r="C853" t="str">
            <v>BASE_GRANULAR</v>
          </cell>
          <cell r="D853">
            <v>0.76200000000000001</v>
          </cell>
          <cell r="E853">
            <v>6.3029999999999999</v>
          </cell>
        </row>
        <row r="854">
          <cell r="C854" t="str">
            <v>RECICLADO</v>
          </cell>
          <cell r="D854">
            <v>1.911</v>
          </cell>
          <cell r="E854">
            <v>15.792</v>
          </cell>
        </row>
        <row r="855">
          <cell r="C855" t="str">
            <v>CONCRETO_ASFÁLTICO</v>
          </cell>
          <cell r="D855">
            <v>0.4</v>
          </cell>
          <cell r="E855">
            <v>3.9990000000000001</v>
          </cell>
        </row>
        <row r="856">
          <cell r="C856" t="str">
            <v>CUNETA</v>
          </cell>
          <cell r="D856">
            <v>0.33200000000000002</v>
          </cell>
          <cell r="E856">
            <v>3.3149999999999999</v>
          </cell>
        </row>
        <row r="857">
          <cell r="C857" t="str">
            <v>BASE_GRANULAR</v>
          </cell>
          <cell r="D857">
            <v>0.76200000000000001</v>
          </cell>
          <cell r="E857">
            <v>7.617</v>
          </cell>
        </row>
        <row r="858">
          <cell r="C858" t="str">
            <v>RECICLADO</v>
          </cell>
          <cell r="D858">
            <v>1.911</v>
          </cell>
          <cell r="E858">
            <v>19.111999999999998</v>
          </cell>
        </row>
        <row r="859">
          <cell r="C859" t="str">
            <v>CONCRETO_ASFÁLTICO</v>
          </cell>
          <cell r="D859">
            <v>0.4</v>
          </cell>
          <cell r="E859">
            <v>8.2000000000000003E-2</v>
          </cell>
        </row>
        <row r="860">
          <cell r="C860" t="str">
            <v>CUNETA</v>
          </cell>
          <cell r="D860">
            <v>0.33200000000000002</v>
          </cell>
          <cell r="E860">
            <v>6.8000000000000005E-2</v>
          </cell>
        </row>
        <row r="861">
          <cell r="C861" t="str">
            <v>BASE_GRANULAR</v>
          </cell>
          <cell r="D861">
            <v>0.76200000000000001</v>
          </cell>
          <cell r="E861">
            <v>0.156</v>
          </cell>
        </row>
        <row r="862">
          <cell r="C862" t="str">
            <v>RECICLADO</v>
          </cell>
          <cell r="D862">
            <v>1.911</v>
          </cell>
          <cell r="E862">
            <v>0.39100000000000001</v>
          </cell>
        </row>
        <row r="863">
          <cell r="C863" t="str">
            <v>CONCRETO_ASFÁLTICO</v>
          </cell>
          <cell r="D863">
            <v>0.4</v>
          </cell>
          <cell r="E863">
            <v>0</v>
          </cell>
        </row>
        <row r="864">
          <cell r="C864" t="str">
            <v>CUNETA</v>
          </cell>
          <cell r="D864">
            <v>0.33200000000000002</v>
          </cell>
          <cell r="E864">
            <v>0</v>
          </cell>
        </row>
        <row r="865">
          <cell r="C865" t="str">
            <v>BASE_GRANULAR</v>
          </cell>
          <cell r="D865">
            <v>0.76200000000000001</v>
          </cell>
          <cell r="E865">
            <v>0</v>
          </cell>
        </row>
        <row r="866">
          <cell r="C866" t="str">
            <v>RECICLADO</v>
          </cell>
          <cell r="D866">
            <v>1.911</v>
          </cell>
          <cell r="E866">
            <v>0</v>
          </cell>
        </row>
        <row r="867">
          <cell r="C867" t="str">
            <v>CONCRETO_ASFÁLTICO</v>
          </cell>
          <cell r="D867">
            <v>0.4</v>
          </cell>
          <cell r="E867">
            <v>3.9169999999999998</v>
          </cell>
        </row>
        <row r="868">
          <cell r="C868" t="str">
            <v>CUNETA</v>
          </cell>
          <cell r="D868">
            <v>0.33200000000000002</v>
          </cell>
          <cell r="E868">
            <v>3.2469999999999999</v>
          </cell>
        </row>
        <row r="869">
          <cell r="C869" t="str">
            <v>BASE_GRANULAR</v>
          </cell>
          <cell r="D869">
            <v>0.76100000000000001</v>
          </cell>
          <cell r="E869">
            <v>7.4580000000000002</v>
          </cell>
        </row>
        <row r="870">
          <cell r="C870" t="str">
            <v>RECICLADO</v>
          </cell>
          <cell r="D870">
            <v>1.9079999999999999</v>
          </cell>
          <cell r="E870">
            <v>18.707000000000001</v>
          </cell>
        </row>
        <row r="871">
          <cell r="C871" t="str">
            <v>CONCRETO_ASFÁLTICO</v>
          </cell>
          <cell r="D871">
            <v>0.4</v>
          </cell>
          <cell r="E871">
            <v>3.4809999999999999</v>
          </cell>
        </row>
        <row r="872">
          <cell r="C872" t="str">
            <v>CUNETA</v>
          </cell>
          <cell r="D872">
            <v>0.33200000000000002</v>
          </cell>
          <cell r="E872">
            <v>2.8860000000000001</v>
          </cell>
        </row>
        <row r="873">
          <cell r="C873" t="str">
            <v>BASE_GRANULAR</v>
          </cell>
          <cell r="D873">
            <v>0.754</v>
          </cell>
          <cell r="E873">
            <v>6.5949999999999998</v>
          </cell>
        </row>
        <row r="874">
          <cell r="C874" t="str">
            <v>RECICLADO</v>
          </cell>
          <cell r="D874">
            <v>1.881</v>
          </cell>
          <cell r="E874">
            <v>16.492000000000001</v>
          </cell>
        </row>
        <row r="875">
          <cell r="C875" t="str">
            <v>CONCRETO_ASFÁLTICO</v>
          </cell>
          <cell r="D875">
            <v>0.4</v>
          </cell>
          <cell r="E875">
            <v>0.14000000000000001</v>
          </cell>
        </row>
        <row r="876">
          <cell r="C876" t="str">
            <v>CUNETA</v>
          </cell>
          <cell r="D876">
            <v>0.33200000000000002</v>
          </cell>
          <cell r="E876">
            <v>0.11600000000000001</v>
          </cell>
        </row>
        <row r="877">
          <cell r="C877" t="str">
            <v>BASE_GRANULAR</v>
          </cell>
          <cell r="D877">
            <v>0.755</v>
          </cell>
          <cell r="E877">
            <v>0.26400000000000001</v>
          </cell>
        </row>
        <row r="878">
          <cell r="C878" t="str">
            <v>RECICLADO</v>
          </cell>
          <cell r="D878">
            <v>1.8819999999999999</v>
          </cell>
          <cell r="E878">
            <v>0.65800000000000003</v>
          </cell>
        </row>
        <row r="879">
          <cell r="C879" t="str">
            <v>CONCRETO_ASFÁLTICO</v>
          </cell>
          <cell r="D879">
            <v>0.4</v>
          </cell>
          <cell r="E879">
            <v>0.378</v>
          </cell>
        </row>
        <row r="880">
          <cell r="C880" t="str">
            <v>CUNETA</v>
          </cell>
          <cell r="D880">
            <v>0.33200000000000002</v>
          </cell>
          <cell r="E880">
            <v>0.313</v>
          </cell>
        </row>
        <row r="881">
          <cell r="C881" t="str">
            <v>BASE_GRANULAR</v>
          </cell>
          <cell r="D881">
            <v>0.75600000000000001</v>
          </cell>
          <cell r="E881">
            <v>0.71399999999999997</v>
          </cell>
        </row>
        <row r="882">
          <cell r="C882" t="str">
            <v>RECICLADO</v>
          </cell>
          <cell r="D882">
            <v>1.8859999999999999</v>
          </cell>
          <cell r="E882">
            <v>1.7809999999999999</v>
          </cell>
        </row>
        <row r="883">
          <cell r="C883" t="str">
            <v>CONCRETO_ASFÁLTICO</v>
          </cell>
          <cell r="D883">
            <v>0.4</v>
          </cell>
          <cell r="E883">
            <v>3.9990000000000001</v>
          </cell>
        </row>
        <row r="884">
          <cell r="C884" t="str">
            <v>CUNETA</v>
          </cell>
          <cell r="D884">
            <v>0.33200000000000002</v>
          </cell>
          <cell r="E884">
            <v>3.3149999999999999</v>
          </cell>
        </row>
        <row r="885">
          <cell r="C885" t="str">
            <v>BASE_GRANULAR</v>
          </cell>
          <cell r="D885">
            <v>0.76200000000000001</v>
          </cell>
          <cell r="E885">
            <v>7.5880000000000001</v>
          </cell>
        </row>
        <row r="886">
          <cell r="C886" t="str">
            <v>RECICLADO</v>
          </cell>
          <cell r="D886">
            <v>1.911</v>
          </cell>
          <cell r="E886">
            <v>18.994</v>
          </cell>
        </row>
        <row r="887">
          <cell r="C887" t="str">
            <v>CONCRETO_ASFÁLTICO</v>
          </cell>
          <cell r="D887">
            <v>0.4</v>
          </cell>
          <cell r="E887">
            <v>1.262</v>
          </cell>
        </row>
        <row r="888">
          <cell r="C888" t="str">
            <v>CUNETA</v>
          </cell>
          <cell r="D888">
            <v>0.33200000000000002</v>
          </cell>
          <cell r="E888">
            <v>1.046</v>
          </cell>
        </row>
        <row r="889">
          <cell r="C889" t="str">
            <v>BASE_GRANULAR</v>
          </cell>
          <cell r="D889">
            <v>0.76200000000000001</v>
          </cell>
          <cell r="E889">
            <v>2.403</v>
          </cell>
        </row>
        <row r="890">
          <cell r="C890" t="str">
            <v>RECICLADO</v>
          </cell>
          <cell r="D890">
            <v>1.911</v>
          </cell>
          <cell r="E890">
            <v>6.0309999999999997</v>
          </cell>
        </row>
        <row r="891">
          <cell r="C891" t="str">
            <v>CONCRETO_ASFÁLTICO</v>
          </cell>
          <cell r="D891">
            <v>0.4</v>
          </cell>
          <cell r="E891">
            <v>2.738</v>
          </cell>
        </row>
        <row r="892">
          <cell r="C892" t="str">
            <v>CUNETA</v>
          </cell>
          <cell r="D892">
            <v>0.33200000000000002</v>
          </cell>
          <cell r="E892">
            <v>2.2690000000000001</v>
          </cell>
        </row>
        <row r="893">
          <cell r="C893" t="str">
            <v>BASE_GRANULAR</v>
          </cell>
          <cell r="D893">
            <v>0.76200000000000001</v>
          </cell>
          <cell r="E893">
            <v>5.2220000000000004</v>
          </cell>
        </row>
        <row r="894">
          <cell r="C894" t="str">
            <v>RECICLADO</v>
          </cell>
          <cell r="D894">
            <v>1.911</v>
          </cell>
          <cell r="E894">
            <v>13.122</v>
          </cell>
        </row>
        <row r="895">
          <cell r="C895" t="str">
            <v>CONCRETO_ASFÁLTICO</v>
          </cell>
          <cell r="D895">
            <v>0.4</v>
          </cell>
          <cell r="E895">
            <v>3.9990000000000001</v>
          </cell>
        </row>
        <row r="896">
          <cell r="C896" t="str">
            <v>CUNETA</v>
          </cell>
          <cell r="D896">
            <v>0.33200000000000002</v>
          </cell>
          <cell r="E896">
            <v>3.3149999999999999</v>
          </cell>
        </row>
        <row r="897">
          <cell r="C897" t="str">
            <v>BASE_GRANULAR</v>
          </cell>
          <cell r="D897">
            <v>0.76200000000000001</v>
          </cell>
          <cell r="E897">
            <v>7.6289999999999996</v>
          </cell>
        </row>
        <row r="898">
          <cell r="C898" t="str">
            <v>RECICLADO</v>
          </cell>
          <cell r="D898">
            <v>1.911</v>
          </cell>
          <cell r="E898">
            <v>19.167999999999999</v>
          </cell>
        </row>
        <row r="899">
          <cell r="C899" t="str">
            <v>CONCRETO_ASFÁLTICO</v>
          </cell>
          <cell r="D899">
            <v>0.4</v>
          </cell>
          <cell r="E899">
            <v>3.9990000000000001</v>
          </cell>
        </row>
        <row r="900">
          <cell r="C900" t="str">
            <v>CUNETA</v>
          </cell>
          <cell r="D900">
            <v>0.33200000000000002</v>
          </cell>
          <cell r="E900">
            <v>3.3149999999999999</v>
          </cell>
        </row>
        <row r="901">
          <cell r="C901" t="str">
            <v>BASE_GRANULAR</v>
          </cell>
          <cell r="D901">
            <v>0.76200000000000001</v>
          </cell>
          <cell r="E901">
            <v>7.6289999999999996</v>
          </cell>
        </row>
        <row r="902">
          <cell r="C902" t="str">
            <v>RECICLADO</v>
          </cell>
          <cell r="D902">
            <v>1.911</v>
          </cell>
          <cell r="E902">
            <v>19.167999999999999</v>
          </cell>
        </row>
        <row r="903">
          <cell r="C903" t="str">
            <v>CONCRETO_ASFÁLTICO</v>
          </cell>
          <cell r="D903">
            <v>0.4</v>
          </cell>
          <cell r="E903">
            <v>3.089</v>
          </cell>
        </row>
        <row r="904">
          <cell r="C904" t="str">
            <v>CUNETA</v>
          </cell>
          <cell r="D904">
            <v>0.33200000000000002</v>
          </cell>
          <cell r="E904">
            <v>2.5609999999999999</v>
          </cell>
        </row>
        <row r="905">
          <cell r="C905" t="str">
            <v>BASE_GRANULAR</v>
          </cell>
          <cell r="D905">
            <v>0.76200000000000001</v>
          </cell>
          <cell r="E905">
            <v>5.8929999999999998</v>
          </cell>
        </row>
        <row r="906">
          <cell r="C906" t="str">
            <v>RECICLADO</v>
          </cell>
          <cell r="D906">
            <v>1.911</v>
          </cell>
          <cell r="E906">
            <v>14.805999999999999</v>
          </cell>
        </row>
        <row r="907">
          <cell r="C907" t="str">
            <v>CONCRETO_ASFÁLTICO</v>
          </cell>
          <cell r="D907">
            <v>0.4</v>
          </cell>
          <cell r="E907">
            <v>0.91</v>
          </cell>
        </row>
        <row r="908">
          <cell r="C908" t="str">
            <v>CUNETA</v>
          </cell>
          <cell r="D908">
            <v>0.33200000000000002</v>
          </cell>
          <cell r="E908">
            <v>0.755</v>
          </cell>
        </row>
        <row r="909">
          <cell r="C909" t="str">
            <v>BASE_GRANULAR</v>
          </cell>
          <cell r="D909">
            <v>0.76200000000000001</v>
          </cell>
          <cell r="E909">
            <v>1.734</v>
          </cell>
        </row>
        <row r="910">
          <cell r="C910" t="str">
            <v>RECICLADO</v>
          </cell>
          <cell r="D910">
            <v>1.911</v>
          </cell>
          <cell r="E910">
            <v>4.3499999999999996</v>
          </cell>
        </row>
        <row r="911">
          <cell r="C911" t="str">
            <v>CONCRETO_ASFÁLTICO</v>
          </cell>
          <cell r="D911">
            <v>0.4</v>
          </cell>
          <cell r="E911">
            <v>3.9990000000000001</v>
          </cell>
        </row>
        <row r="912">
          <cell r="C912" t="str">
            <v>CUNETA</v>
          </cell>
          <cell r="D912">
            <v>0.33200000000000002</v>
          </cell>
          <cell r="E912">
            <v>3.3149999999999999</v>
          </cell>
        </row>
        <row r="913">
          <cell r="C913" t="str">
            <v>BASE_GRANULAR</v>
          </cell>
          <cell r="D913">
            <v>0.75600000000000001</v>
          </cell>
          <cell r="E913">
            <v>7.5910000000000002</v>
          </cell>
        </row>
        <row r="914">
          <cell r="C914" t="str">
            <v>RECICLADO</v>
          </cell>
          <cell r="D914">
            <v>1.8879999999999999</v>
          </cell>
          <cell r="E914">
            <v>19.007000000000001</v>
          </cell>
        </row>
        <row r="915">
          <cell r="C915" t="str">
            <v>CONCRETO_ASFÁLTICO</v>
          </cell>
          <cell r="D915">
            <v>0.4</v>
          </cell>
          <cell r="E915">
            <v>0.73</v>
          </cell>
        </row>
        <row r="916">
          <cell r="C916" t="str">
            <v>CUNETA</v>
          </cell>
          <cell r="D916">
            <v>0.33200000000000002</v>
          </cell>
          <cell r="E916">
            <v>0.60499999999999998</v>
          </cell>
        </row>
        <row r="917">
          <cell r="C917" t="str">
            <v>BASE_GRANULAR</v>
          </cell>
          <cell r="D917">
            <v>0.754</v>
          </cell>
          <cell r="E917">
            <v>1.3779999999999999</v>
          </cell>
        </row>
        <row r="918">
          <cell r="C918" t="str">
            <v>RECICLADO</v>
          </cell>
          <cell r="D918">
            <v>1.881</v>
          </cell>
          <cell r="E918">
            <v>3.4380000000000002</v>
          </cell>
        </row>
        <row r="919">
          <cell r="C919" t="str">
            <v>CONCRETO_ASFÁLTICO</v>
          </cell>
          <cell r="D919">
            <v>0.4</v>
          </cell>
          <cell r="E919">
            <v>4.3999999999999997E-2</v>
          </cell>
        </row>
        <row r="920">
          <cell r="C920" t="str">
            <v>CUNETA</v>
          </cell>
          <cell r="D920">
            <v>0.33200000000000002</v>
          </cell>
          <cell r="E920">
            <v>3.6999999999999998E-2</v>
          </cell>
        </row>
        <row r="921">
          <cell r="C921" t="str">
            <v>BASE_GRANULAR</v>
          </cell>
          <cell r="D921">
            <v>0.754</v>
          </cell>
          <cell r="E921">
            <v>8.3000000000000004E-2</v>
          </cell>
        </row>
        <row r="922">
          <cell r="C922" t="str">
            <v>RECICLADO</v>
          </cell>
          <cell r="D922">
            <v>1.881</v>
          </cell>
          <cell r="E922">
            <v>0.20799999999999999</v>
          </cell>
        </row>
        <row r="923">
          <cell r="C923" t="str">
            <v>CONCRETO_ASFÁLTICO</v>
          </cell>
          <cell r="D923">
            <v>0.4</v>
          </cell>
          <cell r="E923">
            <v>3.226</v>
          </cell>
        </row>
        <row r="924">
          <cell r="C924" t="str">
            <v>CUNETA</v>
          </cell>
          <cell r="D924">
            <v>0.33200000000000002</v>
          </cell>
          <cell r="E924">
            <v>2.6739999999999999</v>
          </cell>
        </row>
        <row r="925">
          <cell r="C925" t="str">
            <v>BASE_GRANULAR</v>
          </cell>
          <cell r="D925">
            <v>0.76100000000000001</v>
          </cell>
          <cell r="E925">
            <v>6.11</v>
          </cell>
        </row>
        <row r="926">
          <cell r="C926" t="str">
            <v>RECICLADO</v>
          </cell>
          <cell r="D926">
            <v>1.9079999999999999</v>
          </cell>
          <cell r="E926">
            <v>15.278</v>
          </cell>
        </row>
        <row r="927">
          <cell r="C927" t="str">
            <v>CONCRETO_ASFÁLTICO</v>
          </cell>
          <cell r="D927">
            <v>0.4</v>
          </cell>
          <cell r="E927">
            <v>3.9990000000000001</v>
          </cell>
        </row>
        <row r="928">
          <cell r="C928" t="str">
            <v>CUNETA</v>
          </cell>
          <cell r="D928">
            <v>0.33200000000000002</v>
          </cell>
          <cell r="E928">
            <v>3.3149999999999999</v>
          </cell>
        </row>
        <row r="929">
          <cell r="C929" t="str">
            <v>BASE_GRANULAR</v>
          </cell>
          <cell r="D929">
            <v>0.76200000000000001</v>
          </cell>
          <cell r="E929">
            <v>7.6130000000000004</v>
          </cell>
        </row>
        <row r="930">
          <cell r="C930" t="str">
            <v>RECICLADO</v>
          </cell>
          <cell r="D930">
            <v>1.911</v>
          </cell>
          <cell r="E930">
            <v>19.094000000000001</v>
          </cell>
        </row>
        <row r="931">
          <cell r="C931" t="str">
            <v>CONCRETO_ASFÁLTICO</v>
          </cell>
          <cell r="D931">
            <v>0.4</v>
          </cell>
          <cell r="E931">
            <v>9.4E-2</v>
          </cell>
        </row>
        <row r="932">
          <cell r="C932" t="str">
            <v>CUNETA</v>
          </cell>
          <cell r="D932">
            <v>0.33200000000000002</v>
          </cell>
          <cell r="E932">
            <v>7.8E-2</v>
          </cell>
        </row>
        <row r="933">
          <cell r="C933" t="str">
            <v>BASE_GRANULAR</v>
          </cell>
          <cell r="D933">
            <v>0.76200000000000001</v>
          </cell>
          <cell r="E933">
            <v>0.17899999999999999</v>
          </cell>
        </row>
        <row r="934">
          <cell r="C934" t="str">
            <v>RECICLADO</v>
          </cell>
          <cell r="D934">
            <v>1.911</v>
          </cell>
          <cell r="E934">
            <v>0.44800000000000001</v>
          </cell>
        </row>
        <row r="935">
          <cell r="C935" t="str">
            <v>CONCRETO_ASFÁLTICO</v>
          </cell>
          <cell r="D935">
            <v>0.4</v>
          </cell>
          <cell r="E935">
            <v>0</v>
          </cell>
        </row>
        <row r="936">
          <cell r="C936" t="str">
            <v>CUNETA</v>
          </cell>
          <cell r="D936">
            <v>0.33200000000000002</v>
          </cell>
          <cell r="E936">
            <v>0</v>
          </cell>
        </row>
        <row r="937">
          <cell r="C937" t="str">
            <v>BASE_GRANULAR</v>
          </cell>
          <cell r="D937">
            <v>0.76200000000000001</v>
          </cell>
          <cell r="E937">
            <v>0</v>
          </cell>
        </row>
        <row r="938">
          <cell r="C938" t="str">
            <v>RECICLADO</v>
          </cell>
          <cell r="D938">
            <v>1.911</v>
          </cell>
          <cell r="E938">
            <v>1E-3</v>
          </cell>
        </row>
        <row r="939">
          <cell r="C939" t="str">
            <v>CONCRETO_ASFÁLTICO</v>
          </cell>
          <cell r="D939">
            <v>0.4</v>
          </cell>
          <cell r="E939">
            <v>3.9049999999999998</v>
          </cell>
        </row>
        <row r="940">
          <cell r="C940" t="str">
            <v>CUNETA</v>
          </cell>
          <cell r="D940">
            <v>0.33200000000000002</v>
          </cell>
          <cell r="E940">
            <v>3.2370000000000001</v>
          </cell>
        </row>
        <row r="941">
          <cell r="C941" t="str">
            <v>BASE_GRANULAR</v>
          </cell>
          <cell r="D941">
            <v>0.76100000000000001</v>
          </cell>
          <cell r="E941">
            <v>7.4359999999999999</v>
          </cell>
        </row>
        <row r="942">
          <cell r="C942" t="str">
            <v>RECICLADO</v>
          </cell>
          <cell r="D942">
            <v>1.909</v>
          </cell>
          <cell r="E942">
            <v>18.652999999999999</v>
          </cell>
        </row>
        <row r="943">
          <cell r="C943" t="str">
            <v>CONCRETO_ASFÁLTICO</v>
          </cell>
          <cell r="D943">
            <v>0.4</v>
          </cell>
          <cell r="E943">
            <v>3.4129999999999998</v>
          </cell>
        </row>
        <row r="944">
          <cell r="C944" t="str">
            <v>CUNETA</v>
          </cell>
          <cell r="D944">
            <v>0.33200000000000002</v>
          </cell>
          <cell r="E944">
            <v>2.83</v>
          </cell>
        </row>
        <row r="945">
          <cell r="C945" t="str">
            <v>BASE_GRANULAR</v>
          </cell>
          <cell r="D945">
            <v>0.754</v>
          </cell>
          <cell r="E945">
            <v>6.4669999999999996</v>
          </cell>
        </row>
        <row r="946">
          <cell r="C946" t="str">
            <v>RECICLADO</v>
          </cell>
          <cell r="D946">
            <v>1.881</v>
          </cell>
          <cell r="E946">
            <v>16.173999999999999</v>
          </cell>
        </row>
        <row r="947">
          <cell r="C947" t="str">
            <v>CONCRETO_ASFÁLTICO</v>
          </cell>
          <cell r="D947">
            <v>0.4</v>
          </cell>
          <cell r="E947">
            <v>9.0999999999999998E-2</v>
          </cell>
        </row>
        <row r="948">
          <cell r="C948" t="str">
            <v>CUNETA</v>
          </cell>
          <cell r="D948">
            <v>0.33200000000000002</v>
          </cell>
          <cell r="E948">
            <v>7.4999999999999997E-2</v>
          </cell>
        </row>
        <row r="949">
          <cell r="C949" t="str">
            <v>BASE_GRANULAR</v>
          </cell>
          <cell r="D949">
            <v>0.754</v>
          </cell>
          <cell r="E949">
            <v>0.17199999999999999</v>
          </cell>
        </row>
        <row r="950">
          <cell r="C950" t="str">
            <v>RECICLADO</v>
          </cell>
          <cell r="D950">
            <v>1.881</v>
          </cell>
          <cell r="E950">
            <v>0.42799999999999999</v>
          </cell>
        </row>
        <row r="951">
          <cell r="C951" t="str">
            <v>CONCRETO_ASFÁLTICO</v>
          </cell>
          <cell r="D951">
            <v>0.4</v>
          </cell>
          <cell r="E951">
            <v>0.495</v>
          </cell>
        </row>
        <row r="952">
          <cell r="C952" t="str">
            <v>CUNETA</v>
          </cell>
          <cell r="D952">
            <v>0.33200000000000002</v>
          </cell>
          <cell r="E952">
            <v>0.41</v>
          </cell>
        </row>
        <row r="953">
          <cell r="C953" t="str">
            <v>BASE_GRANULAR</v>
          </cell>
          <cell r="D953">
            <v>0.755</v>
          </cell>
          <cell r="E953">
            <v>0.93400000000000005</v>
          </cell>
        </row>
        <row r="954">
          <cell r="C954" t="str">
            <v>RECICLADO</v>
          </cell>
          <cell r="D954">
            <v>1.885</v>
          </cell>
          <cell r="E954">
            <v>2.33</v>
          </cell>
        </row>
        <row r="955">
          <cell r="C955" t="str">
            <v>CONCRETO_ASFÁLTICO</v>
          </cell>
          <cell r="D955">
            <v>0.4</v>
          </cell>
          <cell r="E955">
            <v>3.9990000000000001</v>
          </cell>
        </row>
        <row r="956">
          <cell r="C956" t="str">
            <v>CUNETA</v>
          </cell>
          <cell r="D956">
            <v>0.33200000000000002</v>
          </cell>
          <cell r="E956">
            <v>3.3149999999999999</v>
          </cell>
        </row>
        <row r="957">
          <cell r="C957" t="str">
            <v>BASE_GRANULAR</v>
          </cell>
          <cell r="D957">
            <v>0.76200000000000001</v>
          </cell>
          <cell r="E957">
            <v>7.585</v>
          </cell>
        </row>
        <row r="958">
          <cell r="C958" t="str">
            <v>RECICLADO</v>
          </cell>
          <cell r="D958">
            <v>1.911</v>
          </cell>
          <cell r="E958">
            <v>18.978999999999999</v>
          </cell>
        </row>
        <row r="959">
          <cell r="C959" t="str">
            <v>CONCRETO_ASFÁLTICO</v>
          </cell>
          <cell r="D959">
            <v>0.4</v>
          </cell>
          <cell r="E959">
            <v>2.105</v>
          </cell>
        </row>
        <row r="960">
          <cell r="C960" t="str">
            <v>CUNETA</v>
          </cell>
          <cell r="D960">
            <v>0.33200000000000002</v>
          </cell>
          <cell r="E960">
            <v>1.7450000000000001</v>
          </cell>
        </row>
        <row r="961">
          <cell r="C961" t="str">
            <v>BASE_GRANULAR</v>
          </cell>
          <cell r="D961">
            <v>0.76200000000000001</v>
          </cell>
          <cell r="E961">
            <v>4.008</v>
          </cell>
        </row>
        <row r="962">
          <cell r="C962" t="str">
            <v>RECICLADO</v>
          </cell>
          <cell r="D962">
            <v>1.911</v>
          </cell>
          <cell r="E962">
            <v>10.058</v>
          </cell>
        </row>
        <row r="963">
          <cell r="C963" t="str">
            <v>CONCRETO_ASFÁLTICO</v>
          </cell>
          <cell r="D963">
            <v>0.4</v>
          </cell>
          <cell r="E963">
            <v>0</v>
          </cell>
        </row>
        <row r="964">
          <cell r="C964" t="str">
            <v>CUNETA</v>
          </cell>
          <cell r="D964">
            <v>0.33200000000000002</v>
          </cell>
          <cell r="E964">
            <v>0</v>
          </cell>
        </row>
        <row r="965">
          <cell r="C965" t="str">
            <v>BASE_GRANULAR</v>
          </cell>
          <cell r="D965">
            <v>0.76200000000000001</v>
          </cell>
          <cell r="E965">
            <v>0</v>
          </cell>
        </row>
        <row r="966">
          <cell r="C966" t="str">
            <v>RECICLADO</v>
          </cell>
          <cell r="D966">
            <v>1.911</v>
          </cell>
          <cell r="E966">
            <v>0</v>
          </cell>
        </row>
        <row r="967">
          <cell r="C967" t="str">
            <v>CONCRETO_ASFÁLTICO</v>
          </cell>
          <cell r="D967">
            <v>0.4</v>
          </cell>
          <cell r="E967">
            <v>1.895</v>
          </cell>
        </row>
        <row r="968">
          <cell r="C968" t="str">
            <v>CUNETA</v>
          </cell>
          <cell r="D968">
            <v>0.33200000000000002</v>
          </cell>
          <cell r="E968">
            <v>1.571</v>
          </cell>
        </row>
        <row r="969">
          <cell r="C969" t="str">
            <v>BASE_GRANULAR</v>
          </cell>
          <cell r="D969">
            <v>0.76200000000000001</v>
          </cell>
          <cell r="E969">
            <v>3.609</v>
          </cell>
        </row>
        <row r="970">
          <cell r="C970" t="str">
            <v>RECICLADO</v>
          </cell>
          <cell r="D970">
            <v>1.911</v>
          </cell>
          <cell r="E970">
            <v>9.0540000000000003</v>
          </cell>
        </row>
        <row r="971">
          <cell r="C971" t="str">
            <v>CONCRETO_ASFÁLTICO</v>
          </cell>
          <cell r="D971">
            <v>0.4</v>
          </cell>
          <cell r="E971">
            <v>3.9990000000000001</v>
          </cell>
        </row>
        <row r="972">
          <cell r="C972" t="str">
            <v>CUNETA</v>
          </cell>
          <cell r="D972">
            <v>0.33200000000000002</v>
          </cell>
          <cell r="E972">
            <v>3.3149999999999999</v>
          </cell>
        </row>
        <row r="973">
          <cell r="C973" t="str">
            <v>BASE_GRANULAR</v>
          </cell>
          <cell r="D973">
            <v>0.75600000000000001</v>
          </cell>
          <cell r="E973">
            <v>7.5869999999999997</v>
          </cell>
        </row>
        <row r="974">
          <cell r="C974" t="str">
            <v>RECICLADO</v>
          </cell>
          <cell r="D974">
            <v>1.8859999999999999</v>
          </cell>
          <cell r="E974">
            <v>18.986999999999998</v>
          </cell>
        </row>
        <row r="975">
          <cell r="C975" t="str">
            <v>CONCRETO_ASFÁLTICO</v>
          </cell>
          <cell r="D975">
            <v>0.4</v>
          </cell>
          <cell r="E975">
            <v>0.70499999999999996</v>
          </cell>
        </row>
        <row r="976">
          <cell r="C976" t="str">
            <v>CUNETA</v>
          </cell>
          <cell r="D976">
            <v>0.33200000000000002</v>
          </cell>
          <cell r="E976">
            <v>0.58399999999999996</v>
          </cell>
        </row>
        <row r="977">
          <cell r="C977" t="str">
            <v>BASE_GRANULAR</v>
          </cell>
          <cell r="D977">
            <v>0.754</v>
          </cell>
          <cell r="E977">
            <v>1.331</v>
          </cell>
        </row>
        <row r="978">
          <cell r="C978" t="str">
            <v>RECICLADO</v>
          </cell>
          <cell r="D978">
            <v>1.881</v>
          </cell>
          <cell r="E978">
            <v>3.32</v>
          </cell>
        </row>
        <row r="979">
          <cell r="C979" t="str">
            <v>CONCRETO_ASFÁLTICO</v>
          </cell>
          <cell r="D979">
            <v>0.4</v>
          </cell>
          <cell r="E979">
            <v>1.589</v>
          </cell>
        </row>
        <row r="980">
          <cell r="C980" t="str">
            <v>CUNETA</v>
          </cell>
          <cell r="D980">
            <v>0.33200000000000002</v>
          </cell>
          <cell r="E980">
            <v>1.3169999999999999</v>
          </cell>
        </row>
        <row r="981">
          <cell r="C981" t="str">
            <v>BASE_GRANULAR</v>
          </cell>
          <cell r="D981">
            <v>0.75700000000000001</v>
          </cell>
          <cell r="E981">
            <v>3.0030000000000001</v>
          </cell>
        </row>
        <row r="982">
          <cell r="C982" t="str">
            <v>RECICLADO</v>
          </cell>
          <cell r="D982">
            <v>1.8919999999999999</v>
          </cell>
          <cell r="E982">
            <v>7.4950000000000001</v>
          </cell>
        </row>
        <row r="983">
          <cell r="C983" t="str">
            <v>CONCRETO_ASFÁLTICO</v>
          </cell>
          <cell r="D983">
            <v>0.4</v>
          </cell>
          <cell r="E983">
            <v>1.7050000000000001</v>
          </cell>
        </row>
        <row r="984">
          <cell r="C984" t="str">
            <v>CUNETA</v>
          </cell>
          <cell r="D984">
            <v>0.33200000000000002</v>
          </cell>
          <cell r="E984">
            <v>1.4139999999999999</v>
          </cell>
        </row>
        <row r="985">
          <cell r="C985" t="str">
            <v>BASE_GRANULAR</v>
          </cell>
          <cell r="D985">
            <v>0.76</v>
          </cell>
          <cell r="E985">
            <v>3.2349999999999999</v>
          </cell>
        </row>
        <row r="986">
          <cell r="C986" t="str">
            <v>RECICLADO</v>
          </cell>
          <cell r="D986">
            <v>1.905</v>
          </cell>
          <cell r="E986">
            <v>8.0960000000000001</v>
          </cell>
        </row>
        <row r="987">
          <cell r="C987" t="str">
            <v>CONCRETO_ASFÁLTICO</v>
          </cell>
          <cell r="D987">
            <v>0.4</v>
          </cell>
          <cell r="E987">
            <v>3.9340000000000002</v>
          </cell>
        </row>
        <row r="988">
          <cell r="C988" t="str">
            <v>CUNETA</v>
          </cell>
          <cell r="D988">
            <v>0.33200000000000002</v>
          </cell>
          <cell r="E988">
            <v>3.2610000000000001</v>
          </cell>
        </row>
        <row r="989">
          <cell r="C989" t="str">
            <v>BASE_GRANULAR</v>
          </cell>
          <cell r="D989">
            <v>0.76200000000000001</v>
          </cell>
          <cell r="E989">
            <v>7.4870000000000001</v>
          </cell>
        </row>
        <row r="990">
          <cell r="C990" t="str">
            <v>RECICLADO</v>
          </cell>
          <cell r="D990">
            <v>1.911</v>
          </cell>
          <cell r="E990">
            <v>18.777000000000001</v>
          </cell>
        </row>
        <row r="991">
          <cell r="C991" t="str">
            <v>CONCRETO_ASFÁLTICO</v>
          </cell>
          <cell r="D991">
            <v>0.4</v>
          </cell>
          <cell r="E991">
            <v>6.6000000000000003E-2</v>
          </cell>
        </row>
        <row r="992">
          <cell r="C992" t="str">
            <v>CUNETA</v>
          </cell>
          <cell r="D992">
            <v>0.33200000000000002</v>
          </cell>
          <cell r="E992">
            <v>5.3999999999999999E-2</v>
          </cell>
        </row>
        <row r="993">
          <cell r="C993" t="str">
            <v>BASE_GRANULAR</v>
          </cell>
          <cell r="D993">
            <v>0.76200000000000001</v>
          </cell>
          <cell r="E993">
            <v>0.125</v>
          </cell>
        </row>
        <row r="994">
          <cell r="C994" t="str">
            <v>RECICLADO</v>
          </cell>
          <cell r="D994">
            <v>1.911</v>
          </cell>
          <cell r="E994">
            <v>0.314</v>
          </cell>
        </row>
        <row r="995">
          <cell r="C995" t="str">
            <v>CONCRETO_ASFÁLTICO</v>
          </cell>
          <cell r="D995">
            <v>0.4</v>
          </cell>
          <cell r="E995">
            <v>3.9990000000000001</v>
          </cell>
        </row>
        <row r="996">
          <cell r="C996" t="str">
            <v>CUNETA</v>
          </cell>
          <cell r="D996">
            <v>0.33200000000000002</v>
          </cell>
          <cell r="E996">
            <v>3.3149999999999999</v>
          </cell>
        </row>
        <row r="997">
          <cell r="C997" t="str">
            <v>BASE_GRANULAR</v>
          </cell>
          <cell r="D997">
            <v>0.76200000000000001</v>
          </cell>
          <cell r="E997">
            <v>7.625</v>
          </cell>
        </row>
        <row r="998">
          <cell r="C998" t="str">
            <v>RECICLADO</v>
          </cell>
          <cell r="D998">
            <v>1.911</v>
          </cell>
          <cell r="E998">
            <v>19.149999999999999</v>
          </cell>
        </row>
        <row r="999">
          <cell r="C999" t="str">
            <v>CONCRETO_ASFÁLTICO</v>
          </cell>
          <cell r="D999">
            <v>0.4</v>
          </cell>
          <cell r="E999">
            <v>2.7090000000000001</v>
          </cell>
        </row>
        <row r="1000">
          <cell r="C1000" t="str">
            <v>CUNETA</v>
          </cell>
          <cell r="D1000">
            <v>0.33200000000000002</v>
          </cell>
          <cell r="E1000">
            <v>2.246</v>
          </cell>
        </row>
        <row r="1001">
          <cell r="C1001" t="str">
            <v>BASE_GRANULAR</v>
          </cell>
          <cell r="D1001">
            <v>0.76200000000000001</v>
          </cell>
          <cell r="E1001">
            <v>5.165</v>
          </cell>
        </row>
        <row r="1002">
          <cell r="C1002" t="str">
            <v>RECICLADO</v>
          </cell>
          <cell r="D1002">
            <v>1.911</v>
          </cell>
          <cell r="E1002">
            <v>12.972</v>
          </cell>
        </row>
        <row r="1003">
          <cell r="C1003" t="str">
            <v>CONCRETO_ASFÁLTICO</v>
          </cell>
          <cell r="D1003">
            <v>0.4</v>
          </cell>
          <cell r="E1003">
            <v>1.29</v>
          </cell>
        </row>
        <row r="1004">
          <cell r="C1004" t="str">
            <v>CUNETA</v>
          </cell>
          <cell r="D1004">
            <v>0.33200000000000002</v>
          </cell>
          <cell r="E1004">
            <v>1.07</v>
          </cell>
        </row>
        <row r="1005">
          <cell r="C1005" t="str">
            <v>BASE_GRANULAR</v>
          </cell>
          <cell r="D1005">
            <v>0.76200000000000001</v>
          </cell>
          <cell r="E1005">
            <v>2.4580000000000002</v>
          </cell>
        </row>
        <row r="1006">
          <cell r="C1006" t="str">
            <v>RECICLADO</v>
          </cell>
          <cell r="D1006">
            <v>1.911</v>
          </cell>
          <cell r="E1006">
            <v>6.1669999999999998</v>
          </cell>
        </row>
        <row r="1007">
          <cell r="C1007" t="str">
            <v>CONCRETO_ASFÁLTICO</v>
          </cell>
          <cell r="D1007">
            <v>0.4</v>
          </cell>
          <cell r="E1007">
            <v>3.9990000000000001</v>
          </cell>
        </row>
        <row r="1008">
          <cell r="C1008" t="str">
            <v>CUNETA</v>
          </cell>
          <cell r="D1008">
            <v>0.33200000000000002</v>
          </cell>
          <cell r="E1008">
            <v>3.3149999999999999</v>
          </cell>
        </row>
        <row r="1009">
          <cell r="C1009" t="str">
            <v>BASE_GRANULAR</v>
          </cell>
          <cell r="D1009">
            <v>0.75800000000000001</v>
          </cell>
          <cell r="E1009">
            <v>7.5979999999999999</v>
          </cell>
        </row>
        <row r="1010">
          <cell r="C1010" t="str">
            <v>RECICLADO</v>
          </cell>
          <cell r="D1010">
            <v>1.895</v>
          </cell>
          <cell r="E1010">
            <v>19.036000000000001</v>
          </cell>
        </row>
        <row r="1011">
          <cell r="C1011" t="str">
            <v>CONCRETO_ASFÁLTICO</v>
          </cell>
          <cell r="D1011">
            <v>0.4</v>
          </cell>
          <cell r="E1011">
            <v>0.34899999999999998</v>
          </cell>
        </row>
        <row r="1012">
          <cell r="C1012" t="str">
            <v>CUNETA</v>
          </cell>
          <cell r="D1012">
            <v>0.33200000000000002</v>
          </cell>
          <cell r="E1012">
            <v>0.28999999999999998</v>
          </cell>
        </row>
        <row r="1013">
          <cell r="C1013" t="str">
            <v>BASE_GRANULAR</v>
          </cell>
          <cell r="D1013">
            <v>0.75700000000000001</v>
          </cell>
          <cell r="E1013">
            <v>0.66200000000000003</v>
          </cell>
        </row>
        <row r="1014">
          <cell r="C1014" t="str">
            <v>RECICLADO</v>
          </cell>
          <cell r="D1014">
            <v>1.8919999999999999</v>
          </cell>
          <cell r="E1014">
            <v>1.6539999999999999</v>
          </cell>
        </row>
        <row r="1015">
          <cell r="C1015" t="str">
            <v>CONCRETO_ASFÁLTICO</v>
          </cell>
          <cell r="D1015">
            <v>0.4</v>
          </cell>
          <cell r="E1015">
            <v>1.8049999999999999</v>
          </cell>
        </row>
        <row r="1016">
          <cell r="C1016" t="str">
            <v>CUNETA</v>
          </cell>
          <cell r="D1016">
            <v>0.33200000000000002</v>
          </cell>
          <cell r="E1016">
            <v>1.496</v>
          </cell>
        </row>
        <row r="1017">
          <cell r="C1017" t="str">
            <v>BASE_GRANULAR</v>
          </cell>
          <cell r="D1017">
            <v>0.76300000000000001</v>
          </cell>
          <cell r="E1017">
            <v>3.4289999999999998</v>
          </cell>
        </row>
        <row r="1018">
          <cell r="C1018" t="str">
            <v>RECICLADO</v>
          </cell>
          <cell r="D1018">
            <v>1.9159999999999999</v>
          </cell>
          <cell r="E1018">
            <v>8.5920000000000005</v>
          </cell>
        </row>
        <row r="1019">
          <cell r="C1019" t="str">
            <v>CONCRETO_ASFÁLTICO</v>
          </cell>
          <cell r="D1019">
            <v>0.4</v>
          </cell>
          <cell r="E1019">
            <v>1.845</v>
          </cell>
        </row>
        <row r="1020">
          <cell r="C1020" t="str">
            <v>CUNETA</v>
          </cell>
          <cell r="D1020">
            <v>0.33200000000000002</v>
          </cell>
          <cell r="E1020">
            <v>1.53</v>
          </cell>
        </row>
        <row r="1021">
          <cell r="C1021" t="str">
            <v>BASE_GRANULAR</v>
          </cell>
          <cell r="D1021">
            <v>0.76200000000000001</v>
          </cell>
          <cell r="E1021">
            <v>3.5230000000000001</v>
          </cell>
        </row>
        <row r="1022">
          <cell r="C1022" t="str">
            <v>RECICLADO</v>
          </cell>
          <cell r="D1022">
            <v>1.911</v>
          </cell>
          <cell r="E1022">
            <v>8.8580000000000005</v>
          </cell>
        </row>
        <row r="1023">
          <cell r="C1023" t="str">
            <v>CONCRETO_ASFÁLTICO</v>
          </cell>
          <cell r="D1023">
            <v>0.4</v>
          </cell>
          <cell r="E1023">
            <v>3.9990000000000001</v>
          </cell>
        </row>
        <row r="1024">
          <cell r="C1024" t="str">
            <v>CUNETA</v>
          </cell>
          <cell r="D1024">
            <v>0.33200000000000002</v>
          </cell>
          <cell r="E1024">
            <v>3.3149999999999999</v>
          </cell>
        </row>
        <row r="1025">
          <cell r="C1025" t="str">
            <v>BASE_GRANULAR</v>
          </cell>
          <cell r="D1025">
            <v>0.76200000000000001</v>
          </cell>
          <cell r="E1025">
            <v>7.6349999999999998</v>
          </cell>
        </row>
        <row r="1026">
          <cell r="C1026" t="str">
            <v>RECICLADO</v>
          </cell>
          <cell r="D1026">
            <v>1.911</v>
          </cell>
          <cell r="E1026">
            <v>19.198</v>
          </cell>
        </row>
        <row r="1027">
          <cell r="C1027" t="str">
            <v>CONCRETO_ASFÁLTICO</v>
          </cell>
          <cell r="D1027">
            <v>0.4</v>
          </cell>
          <cell r="E1027">
            <v>3.9990000000000001</v>
          </cell>
        </row>
        <row r="1028">
          <cell r="C1028" t="str">
            <v>CUNETA</v>
          </cell>
          <cell r="D1028">
            <v>0.33200000000000002</v>
          </cell>
          <cell r="E1028">
            <v>3.3149999999999999</v>
          </cell>
        </row>
        <row r="1029">
          <cell r="C1029" t="str">
            <v>BASE_GRANULAR</v>
          </cell>
          <cell r="D1029">
            <v>0.76200000000000001</v>
          </cell>
          <cell r="E1029">
            <v>7.6349999999999998</v>
          </cell>
        </row>
        <row r="1030">
          <cell r="C1030" t="str">
            <v>RECICLADO</v>
          </cell>
          <cell r="D1030">
            <v>1.911</v>
          </cell>
          <cell r="E1030">
            <v>19.198</v>
          </cell>
        </row>
        <row r="1031">
          <cell r="C1031" t="str">
            <v>CONCRETO_ASFÁLTICO</v>
          </cell>
          <cell r="D1031">
            <v>0.4</v>
          </cell>
          <cell r="E1031">
            <v>1.615</v>
          </cell>
        </row>
        <row r="1032">
          <cell r="C1032" t="str">
            <v>CUNETA</v>
          </cell>
          <cell r="D1032">
            <v>0.33200000000000002</v>
          </cell>
          <cell r="E1032">
            <v>1.339</v>
          </cell>
        </row>
        <row r="1033">
          <cell r="C1033" t="str">
            <v>BASE_GRANULAR</v>
          </cell>
          <cell r="D1033">
            <v>0.754</v>
          </cell>
          <cell r="E1033">
            <v>3.0649999999999999</v>
          </cell>
        </row>
        <row r="1034">
          <cell r="C1034" t="str">
            <v>RECICLADO</v>
          </cell>
          <cell r="D1034">
            <v>1.881</v>
          </cell>
          <cell r="E1034">
            <v>7.6760000000000002</v>
          </cell>
        </row>
        <row r="1035">
          <cell r="C1035" t="str">
            <v>CONCRETO_ASFÁLTICO</v>
          </cell>
          <cell r="D1035">
            <v>0.4</v>
          </cell>
          <cell r="E1035">
            <v>0.28299999999999997</v>
          </cell>
        </row>
        <row r="1036">
          <cell r="C1036" t="str">
            <v>CUNETA</v>
          </cell>
          <cell r="D1036">
            <v>0.33200000000000002</v>
          </cell>
          <cell r="E1036">
            <v>0.23499999999999999</v>
          </cell>
        </row>
        <row r="1037">
          <cell r="C1037" t="str">
            <v>BASE_GRANULAR</v>
          </cell>
          <cell r="D1037">
            <v>0.754</v>
          </cell>
          <cell r="E1037">
            <v>0.53400000000000003</v>
          </cell>
        </row>
        <row r="1038">
          <cell r="C1038" t="str">
            <v>RECICLADO</v>
          </cell>
          <cell r="D1038">
            <v>1.881</v>
          </cell>
          <cell r="E1038">
            <v>1.3320000000000001</v>
          </cell>
        </row>
        <row r="1039">
          <cell r="C1039" t="str">
            <v>CONCRETO_ASFÁLTICO</v>
          </cell>
          <cell r="D1039">
            <v>0.4</v>
          </cell>
          <cell r="E1039">
            <v>2.101</v>
          </cell>
        </row>
        <row r="1040">
          <cell r="C1040" t="str">
            <v>CUNETA</v>
          </cell>
          <cell r="D1040">
            <v>0.33200000000000002</v>
          </cell>
          <cell r="E1040">
            <v>1.7410000000000001</v>
          </cell>
        </row>
        <row r="1041">
          <cell r="C1041" t="str">
            <v>BASE_GRANULAR</v>
          </cell>
          <cell r="D1041">
            <v>0.75800000000000001</v>
          </cell>
          <cell r="E1041">
            <v>3.972</v>
          </cell>
        </row>
        <row r="1042">
          <cell r="C1042" t="str">
            <v>RECICLADO</v>
          </cell>
          <cell r="D1042">
            <v>1.8959999999999999</v>
          </cell>
          <cell r="E1042">
            <v>9.9179999999999993</v>
          </cell>
        </row>
        <row r="1043">
          <cell r="C1043" t="str">
            <v>CONCRETO_ASFÁLTICO</v>
          </cell>
          <cell r="D1043">
            <v>0.4</v>
          </cell>
          <cell r="E1043">
            <v>3.9990000000000001</v>
          </cell>
        </row>
        <row r="1044">
          <cell r="C1044" t="str">
            <v>CUNETA</v>
          </cell>
          <cell r="D1044">
            <v>0.33200000000000002</v>
          </cell>
          <cell r="E1044">
            <v>3.3149999999999999</v>
          </cell>
        </row>
        <row r="1045">
          <cell r="C1045" t="str">
            <v>BASE_GRANULAR</v>
          </cell>
          <cell r="D1045">
            <v>0.76200000000000001</v>
          </cell>
          <cell r="E1045">
            <v>7.5979999999999999</v>
          </cell>
        </row>
        <row r="1046">
          <cell r="C1046" t="str">
            <v>RECICLADO</v>
          </cell>
          <cell r="D1046">
            <v>1.911</v>
          </cell>
          <cell r="E1046">
            <v>19.035</v>
          </cell>
        </row>
        <row r="1047">
          <cell r="C1047" t="str">
            <v>CONCRETO_ASFÁLTICO</v>
          </cell>
          <cell r="D1047">
            <v>0.4</v>
          </cell>
          <cell r="E1047">
            <v>1.4990000000000001</v>
          </cell>
        </row>
        <row r="1048">
          <cell r="C1048" t="str">
            <v>CUNETA</v>
          </cell>
          <cell r="D1048">
            <v>0.33200000000000002</v>
          </cell>
          <cell r="E1048">
            <v>1.242</v>
          </cell>
        </row>
        <row r="1049">
          <cell r="C1049" t="str">
            <v>BASE_GRANULAR</v>
          </cell>
          <cell r="D1049">
            <v>0.76200000000000001</v>
          </cell>
          <cell r="E1049">
            <v>2.8540000000000001</v>
          </cell>
        </row>
        <row r="1050">
          <cell r="C1050" t="str">
            <v>RECICLADO</v>
          </cell>
          <cell r="D1050">
            <v>1.911</v>
          </cell>
          <cell r="E1050">
            <v>7.1619999999999999</v>
          </cell>
        </row>
        <row r="1051">
          <cell r="C1051" t="str">
            <v>CONCRETO_ASFÁLTICO</v>
          </cell>
          <cell r="D1051">
            <v>0.4</v>
          </cell>
          <cell r="E1051">
            <v>0</v>
          </cell>
        </row>
        <row r="1052">
          <cell r="C1052" t="str">
            <v>CUNETA</v>
          </cell>
          <cell r="D1052">
            <v>0.33200000000000002</v>
          </cell>
          <cell r="E1052">
            <v>0</v>
          </cell>
        </row>
        <row r="1053">
          <cell r="C1053" t="str">
            <v>BASE_GRANULAR</v>
          </cell>
          <cell r="D1053">
            <v>0.76200000000000001</v>
          </cell>
          <cell r="E1053">
            <v>0</v>
          </cell>
        </row>
        <row r="1054">
          <cell r="C1054" t="str">
            <v>RECICLADO</v>
          </cell>
          <cell r="D1054">
            <v>1.911</v>
          </cell>
          <cell r="E1054">
            <v>0</v>
          </cell>
        </row>
        <row r="1055">
          <cell r="C1055" t="str">
            <v>CONCRETO_ASFÁLTICO</v>
          </cell>
          <cell r="D1055">
            <v>0.4</v>
          </cell>
          <cell r="E1055">
            <v>2.5</v>
          </cell>
        </row>
        <row r="1056">
          <cell r="C1056" t="str">
            <v>CUNETA</v>
          </cell>
          <cell r="D1056">
            <v>0.33200000000000002</v>
          </cell>
          <cell r="E1056">
            <v>2.073</v>
          </cell>
        </row>
        <row r="1057">
          <cell r="C1057" t="str">
            <v>BASE_GRANULAR</v>
          </cell>
          <cell r="D1057">
            <v>0.76200000000000001</v>
          </cell>
          <cell r="E1057">
            <v>4.7629999999999999</v>
          </cell>
        </row>
        <row r="1058">
          <cell r="C1058" t="str">
            <v>RECICLADO</v>
          </cell>
          <cell r="D1058">
            <v>1.911</v>
          </cell>
          <cell r="E1058">
            <v>11.95</v>
          </cell>
        </row>
        <row r="1059">
          <cell r="C1059" t="str">
            <v>CONCRETO_ASFÁLTICO</v>
          </cell>
          <cell r="D1059">
            <v>0.4</v>
          </cell>
          <cell r="E1059">
            <v>3.9990000000000001</v>
          </cell>
        </row>
        <row r="1060">
          <cell r="C1060" t="str">
            <v>CUNETA</v>
          </cell>
          <cell r="D1060">
            <v>0.33200000000000002</v>
          </cell>
          <cell r="E1060">
            <v>3.3149999999999999</v>
          </cell>
        </row>
        <row r="1061">
          <cell r="C1061" t="str">
            <v>BASE_GRANULAR</v>
          </cell>
          <cell r="D1061">
            <v>0.75600000000000001</v>
          </cell>
          <cell r="E1061">
            <v>7.59</v>
          </cell>
        </row>
        <row r="1062">
          <cell r="C1062" t="str">
            <v>RECICLADO</v>
          </cell>
          <cell r="D1062">
            <v>1.889</v>
          </cell>
          <cell r="E1062">
            <v>18.998999999999999</v>
          </cell>
        </row>
        <row r="1063">
          <cell r="C1063" t="str">
            <v>CONCRETO_ASFÁLTICO</v>
          </cell>
          <cell r="D1063">
            <v>0.4</v>
          </cell>
          <cell r="E1063">
            <v>1.099</v>
          </cell>
        </row>
        <row r="1064">
          <cell r="C1064" t="str">
            <v>CUNETA</v>
          </cell>
          <cell r="D1064">
            <v>0.33200000000000002</v>
          </cell>
          <cell r="E1064">
            <v>0.91100000000000003</v>
          </cell>
        </row>
        <row r="1065">
          <cell r="C1065" t="str">
            <v>BASE_GRANULAR</v>
          </cell>
          <cell r="D1065">
            <v>0.754</v>
          </cell>
          <cell r="E1065">
            <v>2.0750000000000002</v>
          </cell>
        </row>
        <row r="1066">
          <cell r="C1066" t="str">
            <v>RECICLADO</v>
          </cell>
          <cell r="D1066">
            <v>1.881</v>
          </cell>
          <cell r="E1066">
            <v>5.1779999999999999</v>
          </cell>
        </row>
        <row r="1067">
          <cell r="C1067" t="str">
            <v>CONCRETO_ASFÁLTICO</v>
          </cell>
          <cell r="D1067">
            <v>0.4</v>
          </cell>
          <cell r="E1067">
            <v>0.13200000000000001</v>
          </cell>
        </row>
        <row r="1068">
          <cell r="C1068" t="str">
            <v>CUNETA</v>
          </cell>
          <cell r="D1068">
            <v>0.33200000000000002</v>
          </cell>
          <cell r="E1068">
            <v>0.11</v>
          </cell>
        </row>
        <row r="1069">
          <cell r="C1069" t="str">
            <v>BASE_GRANULAR</v>
          </cell>
          <cell r="D1069">
            <v>0.76300000000000001</v>
          </cell>
          <cell r="E1069">
            <v>0.251</v>
          </cell>
        </row>
        <row r="1070">
          <cell r="C1070" t="str">
            <v>RECICLADO</v>
          </cell>
          <cell r="D1070">
            <v>1.9159999999999999</v>
          </cell>
          <cell r="E1070">
            <v>0.628</v>
          </cell>
        </row>
        <row r="1071">
          <cell r="C1071" t="str">
            <v>CONCRETO_ASFÁLTICO</v>
          </cell>
          <cell r="D1071">
            <v>0.4</v>
          </cell>
          <cell r="E1071">
            <v>2.7679999999999998</v>
          </cell>
        </row>
        <row r="1072">
          <cell r="C1072" t="str">
            <v>CUNETA</v>
          </cell>
          <cell r="D1072">
            <v>0.33200000000000002</v>
          </cell>
          <cell r="E1072">
            <v>2.2949999999999999</v>
          </cell>
        </row>
        <row r="1073">
          <cell r="C1073" t="str">
            <v>BASE_GRANULAR</v>
          </cell>
          <cell r="D1073">
            <v>0.76200000000000001</v>
          </cell>
          <cell r="E1073">
            <v>5.2770000000000001</v>
          </cell>
        </row>
        <row r="1074">
          <cell r="C1074" t="str">
            <v>RECICLADO</v>
          </cell>
          <cell r="D1074">
            <v>1.911</v>
          </cell>
          <cell r="E1074">
            <v>13.25</v>
          </cell>
        </row>
        <row r="1075">
          <cell r="C1075" t="str">
            <v>CONCRETO_ASFÁLTICO</v>
          </cell>
          <cell r="D1075">
            <v>0.4</v>
          </cell>
          <cell r="E1075">
            <v>3.9990000000000001</v>
          </cell>
        </row>
        <row r="1076">
          <cell r="C1076" t="str">
            <v>CUNETA</v>
          </cell>
          <cell r="D1076">
            <v>0.33200000000000002</v>
          </cell>
          <cell r="E1076">
            <v>3.3149999999999999</v>
          </cell>
        </row>
        <row r="1077">
          <cell r="C1077" t="str">
            <v>BASE_GRANULAR</v>
          </cell>
          <cell r="D1077">
            <v>0.76200000000000001</v>
          </cell>
          <cell r="E1077">
            <v>7.6189999999999998</v>
          </cell>
        </row>
        <row r="1078">
          <cell r="C1078" t="str">
            <v>RECICLADO</v>
          </cell>
          <cell r="D1078">
            <v>1.911</v>
          </cell>
          <cell r="E1078">
            <v>19.12</v>
          </cell>
        </row>
        <row r="1079">
          <cell r="C1079" t="str">
            <v>CONCRETO_ASFÁLTICO</v>
          </cell>
          <cell r="D1079">
            <v>0.4</v>
          </cell>
          <cell r="E1079">
            <v>0.76800000000000002</v>
          </cell>
        </row>
        <row r="1080">
          <cell r="C1080" t="str">
            <v>CUNETA</v>
          </cell>
          <cell r="D1080">
            <v>0.33200000000000002</v>
          </cell>
          <cell r="E1080">
            <v>0.63700000000000001</v>
          </cell>
        </row>
        <row r="1081">
          <cell r="C1081" t="str">
            <v>BASE_GRANULAR</v>
          </cell>
          <cell r="D1081">
            <v>0.754</v>
          </cell>
          <cell r="E1081">
            <v>1.456</v>
          </cell>
        </row>
        <row r="1082">
          <cell r="C1082" t="str">
            <v>RECICLADO</v>
          </cell>
          <cell r="D1082">
            <v>1.881</v>
          </cell>
          <cell r="E1082">
            <v>3.6429999999999998</v>
          </cell>
        </row>
        <row r="1083">
          <cell r="C1083" t="str">
            <v>CONCRETO_ASFÁLTICO</v>
          </cell>
          <cell r="D1083">
            <v>0.4</v>
          </cell>
          <cell r="E1083">
            <v>4.4999999999999998E-2</v>
          </cell>
        </row>
        <row r="1084">
          <cell r="C1084" t="str">
            <v>CUNETA</v>
          </cell>
          <cell r="D1084">
            <v>0.33200000000000002</v>
          </cell>
          <cell r="E1084">
            <v>3.7999999999999999E-2</v>
          </cell>
        </row>
        <row r="1085">
          <cell r="C1085" t="str">
            <v>BASE_GRANULAR</v>
          </cell>
          <cell r="D1085">
            <v>0.754</v>
          </cell>
          <cell r="E1085">
            <v>8.5000000000000006E-2</v>
          </cell>
        </row>
        <row r="1086">
          <cell r="C1086" t="str">
            <v>RECICLADO</v>
          </cell>
          <cell r="D1086">
            <v>1.881</v>
          </cell>
          <cell r="E1086">
            <v>0.21299999999999999</v>
          </cell>
        </row>
        <row r="1087">
          <cell r="C1087" t="str">
            <v>CONCRETO_ASFÁLTICO</v>
          </cell>
          <cell r="D1087">
            <v>0.4</v>
          </cell>
          <cell r="E1087">
            <v>3.1859999999999999</v>
          </cell>
        </row>
        <row r="1088">
          <cell r="C1088" t="str">
            <v>CUNETA</v>
          </cell>
          <cell r="D1088">
            <v>0.33200000000000002</v>
          </cell>
          <cell r="E1088">
            <v>2.641</v>
          </cell>
        </row>
        <row r="1089">
          <cell r="C1089" t="str">
            <v>BASE_GRANULAR</v>
          </cell>
          <cell r="D1089">
            <v>0.75800000000000001</v>
          </cell>
          <cell r="E1089">
            <v>6.0229999999999997</v>
          </cell>
        </row>
        <row r="1090">
          <cell r="C1090" t="str">
            <v>RECICLADO</v>
          </cell>
          <cell r="D1090">
            <v>1.8959999999999999</v>
          </cell>
          <cell r="E1090">
            <v>15.041</v>
          </cell>
        </row>
        <row r="1091">
          <cell r="C1091" t="str">
            <v>CONCRETO_ASFÁLTICO</v>
          </cell>
          <cell r="D1091">
            <v>0.4</v>
          </cell>
          <cell r="E1091">
            <v>3.9990000000000001</v>
          </cell>
        </row>
        <row r="1092">
          <cell r="C1092" t="str">
            <v>CUNETA</v>
          </cell>
          <cell r="D1092">
            <v>0.33200000000000002</v>
          </cell>
          <cell r="E1092">
            <v>3.3149999999999999</v>
          </cell>
        </row>
        <row r="1093">
          <cell r="C1093" t="str">
            <v>BASE_GRANULAR</v>
          </cell>
          <cell r="D1093">
            <v>0.76200000000000001</v>
          </cell>
          <cell r="E1093">
            <v>7.5979999999999999</v>
          </cell>
        </row>
        <row r="1094">
          <cell r="C1094" t="str">
            <v>RECICLADO</v>
          </cell>
          <cell r="D1094">
            <v>1.911</v>
          </cell>
          <cell r="E1094">
            <v>19.035</v>
          </cell>
        </row>
        <row r="1095">
          <cell r="C1095" t="str">
            <v>CONCRETO_ASFÁLTICO</v>
          </cell>
          <cell r="D1095">
            <v>0.4</v>
          </cell>
          <cell r="E1095">
            <v>2.8130000000000002</v>
          </cell>
        </row>
        <row r="1096">
          <cell r="C1096" t="str">
            <v>CUNETA</v>
          </cell>
          <cell r="D1096">
            <v>0.33200000000000002</v>
          </cell>
          <cell r="E1096">
            <v>2.3319999999999999</v>
          </cell>
        </row>
        <row r="1097">
          <cell r="C1097" t="str">
            <v>BASE_GRANULAR</v>
          </cell>
          <cell r="D1097">
            <v>0.76200000000000001</v>
          </cell>
          <cell r="E1097">
            <v>5.3579999999999997</v>
          </cell>
        </row>
        <row r="1098">
          <cell r="C1098" t="str">
            <v>RECICLADO</v>
          </cell>
          <cell r="D1098">
            <v>1.911</v>
          </cell>
          <cell r="E1098">
            <v>13.445</v>
          </cell>
        </row>
        <row r="1099">
          <cell r="C1099" t="str">
            <v>CONCRETO_ASFÁLTICO</v>
          </cell>
          <cell r="D1099">
            <v>0.4</v>
          </cell>
          <cell r="E1099">
            <v>1.1859999999999999</v>
          </cell>
        </row>
        <row r="1100">
          <cell r="C1100" t="str">
            <v>CUNETA</v>
          </cell>
          <cell r="D1100">
            <v>0.33200000000000002</v>
          </cell>
          <cell r="E1100">
            <v>0.98299999999999998</v>
          </cell>
        </row>
        <row r="1101">
          <cell r="C1101" t="str">
            <v>BASE_GRANULAR</v>
          </cell>
          <cell r="D1101">
            <v>0.76200000000000001</v>
          </cell>
          <cell r="E1101">
            <v>2.2599999999999998</v>
          </cell>
        </row>
        <row r="1102">
          <cell r="C1102" t="str">
            <v>RECICLADO</v>
          </cell>
          <cell r="D1102">
            <v>1.911</v>
          </cell>
          <cell r="E1102">
            <v>5.673</v>
          </cell>
        </row>
        <row r="1103">
          <cell r="C1103" t="str">
            <v>CONCRETO_ASFÁLTICO</v>
          </cell>
          <cell r="D1103">
            <v>0.4</v>
          </cell>
          <cell r="E1103">
            <v>3.9990000000000001</v>
          </cell>
        </row>
        <row r="1104">
          <cell r="C1104" t="str">
            <v>CUNETA</v>
          </cell>
          <cell r="D1104">
            <v>0.33200000000000002</v>
          </cell>
          <cell r="E1104">
            <v>3.3149999999999999</v>
          </cell>
        </row>
        <row r="1105">
          <cell r="C1105" t="str">
            <v>BASE_GRANULAR</v>
          </cell>
          <cell r="D1105">
            <v>0.76200000000000001</v>
          </cell>
          <cell r="E1105">
            <v>7.6210000000000004</v>
          </cell>
        </row>
        <row r="1106">
          <cell r="C1106" t="str">
            <v>RECICLADO</v>
          </cell>
          <cell r="D1106">
            <v>1.911</v>
          </cell>
          <cell r="E1106">
            <v>19.128</v>
          </cell>
        </row>
        <row r="1107">
          <cell r="C1107" t="str">
            <v>CONCRETO_ASFÁLTICO</v>
          </cell>
          <cell r="D1107">
            <v>0.4</v>
          </cell>
          <cell r="E1107">
            <v>1.48</v>
          </cell>
        </row>
        <row r="1108">
          <cell r="C1108" t="str">
            <v>CUNETA</v>
          </cell>
          <cell r="D1108">
            <v>0.33200000000000002</v>
          </cell>
          <cell r="E1108">
            <v>1.2270000000000001</v>
          </cell>
        </row>
        <row r="1109">
          <cell r="C1109" t="str">
            <v>BASE_GRANULAR</v>
          </cell>
          <cell r="D1109">
            <v>0.76200000000000001</v>
          </cell>
          <cell r="E1109">
            <v>2.82</v>
          </cell>
        </row>
        <row r="1110">
          <cell r="C1110" t="str">
            <v>RECICLADO</v>
          </cell>
          <cell r="D1110">
            <v>1.911</v>
          </cell>
          <cell r="E1110">
            <v>7.077</v>
          </cell>
        </row>
        <row r="1111">
          <cell r="C1111" t="str">
            <v>CONCRETO_ASFÁLTICO</v>
          </cell>
          <cell r="D1111">
            <v>0.4</v>
          </cell>
          <cell r="E1111">
            <v>2.5190000000000001</v>
          </cell>
        </row>
        <row r="1112">
          <cell r="C1112" t="str">
            <v>CUNETA</v>
          </cell>
          <cell r="D1112">
            <v>0.33200000000000002</v>
          </cell>
          <cell r="E1112">
            <v>2.089</v>
          </cell>
        </row>
        <row r="1113">
          <cell r="C1113" t="str">
            <v>BASE_GRANULAR</v>
          </cell>
          <cell r="D1113">
            <v>0.76200000000000001</v>
          </cell>
          <cell r="E1113">
            <v>4.7990000000000004</v>
          </cell>
        </row>
        <row r="1114">
          <cell r="C1114" t="str">
            <v>RECICLADO</v>
          </cell>
          <cell r="D1114">
            <v>1.911</v>
          </cell>
          <cell r="E1114">
            <v>12.042</v>
          </cell>
        </row>
        <row r="1115">
          <cell r="C1115" t="str">
            <v>CONCRETO_ASFÁLTICO</v>
          </cell>
          <cell r="D1115">
            <v>0.4</v>
          </cell>
          <cell r="E1115">
            <v>3.9990000000000001</v>
          </cell>
        </row>
        <row r="1116">
          <cell r="C1116" t="str">
            <v>CUNETA</v>
          </cell>
          <cell r="D1116">
            <v>0.33200000000000002</v>
          </cell>
          <cell r="E1116">
            <v>3.3149999999999999</v>
          </cell>
        </row>
        <row r="1117">
          <cell r="C1117" t="str">
            <v>BASE_GRANULAR</v>
          </cell>
          <cell r="D1117">
            <v>0.76100000000000001</v>
          </cell>
          <cell r="E1117">
            <v>7.6120000000000001</v>
          </cell>
        </row>
        <row r="1118">
          <cell r="C1118" t="str">
            <v>RECICLADO</v>
          </cell>
          <cell r="D1118">
            <v>1.907</v>
          </cell>
          <cell r="E1118">
            <v>19.091999999999999</v>
          </cell>
        </row>
        <row r="1119">
          <cell r="C1119" t="str">
            <v>CONCRETO_ASFÁLTICO</v>
          </cell>
          <cell r="D1119">
            <v>0.4</v>
          </cell>
          <cell r="E1119">
            <v>3.4790000000000001</v>
          </cell>
        </row>
        <row r="1120">
          <cell r="C1120" t="str">
            <v>CUNETA</v>
          </cell>
          <cell r="D1120">
            <v>0.33200000000000002</v>
          </cell>
          <cell r="E1120">
            <v>2.8839999999999999</v>
          </cell>
        </row>
        <row r="1121">
          <cell r="C1121" t="str">
            <v>BASE_GRANULAR</v>
          </cell>
          <cell r="D1121">
            <v>0.75800000000000001</v>
          </cell>
          <cell r="E1121">
            <v>6.6059999999999999</v>
          </cell>
        </row>
        <row r="1122">
          <cell r="C1122" t="str">
            <v>RECICLADO</v>
          </cell>
          <cell r="D1122">
            <v>1.8959999999999999</v>
          </cell>
          <cell r="E1122">
            <v>16.542999999999999</v>
          </cell>
        </row>
        <row r="1123">
          <cell r="C1123" t="str">
            <v>CONCRETO_ASFÁLTICO</v>
          </cell>
          <cell r="D1123">
            <v>0.4</v>
          </cell>
          <cell r="E1123">
            <v>0.52</v>
          </cell>
        </row>
        <row r="1124">
          <cell r="C1124" t="str">
            <v>CUNETA</v>
          </cell>
          <cell r="D1124">
            <v>0.33200000000000002</v>
          </cell>
          <cell r="E1124">
            <v>0.43099999999999999</v>
          </cell>
        </row>
        <row r="1125">
          <cell r="C1125" t="str">
            <v>BASE_GRANULAR</v>
          </cell>
          <cell r="D1125">
            <v>0.75800000000000001</v>
          </cell>
          <cell r="E1125">
            <v>0.98499999999999999</v>
          </cell>
        </row>
        <row r="1126">
          <cell r="C1126" t="str">
            <v>RECICLADO</v>
          </cell>
          <cell r="D1126">
            <v>1.8939999999999999</v>
          </cell>
          <cell r="E1126">
            <v>2.464</v>
          </cell>
        </row>
        <row r="1127">
          <cell r="C1127" t="str">
            <v>CONCRETO_ASFÁLTICO</v>
          </cell>
          <cell r="D1127">
            <v>0.4</v>
          </cell>
          <cell r="E1127">
            <v>7.9980000000000002</v>
          </cell>
        </row>
        <row r="1128">
          <cell r="C1128" t="str">
            <v>CUNETA</v>
          </cell>
          <cell r="D1128">
            <v>0.33200000000000002</v>
          </cell>
          <cell r="E1128">
            <v>6.6310000000000002</v>
          </cell>
        </row>
        <row r="1129">
          <cell r="C1129" t="str">
            <v>BASE_GRANULAR</v>
          </cell>
          <cell r="D1129">
            <v>0.754</v>
          </cell>
          <cell r="E1129">
            <v>15.119</v>
          </cell>
        </row>
        <row r="1130">
          <cell r="C1130" t="str">
            <v>RECICLADO</v>
          </cell>
          <cell r="D1130">
            <v>1.881</v>
          </cell>
          <cell r="E1130">
            <v>37.752000000000002</v>
          </cell>
        </row>
        <row r="1131">
          <cell r="C1131" t="str">
            <v>CONCRETO_ASFÁLTICO</v>
          </cell>
          <cell r="D1131">
            <v>0.4</v>
          </cell>
          <cell r="E1131">
            <v>7.9980000000000002</v>
          </cell>
        </row>
        <row r="1132">
          <cell r="C1132" t="str">
            <v>CUNETA</v>
          </cell>
          <cell r="D1132">
            <v>0.33200000000000002</v>
          </cell>
          <cell r="E1132">
            <v>6.6310000000000002</v>
          </cell>
        </row>
        <row r="1133">
          <cell r="C1133" t="str">
            <v>BASE_GRANULAR</v>
          </cell>
          <cell r="D1133">
            <v>0.754</v>
          </cell>
          <cell r="E1133">
            <v>15.086</v>
          </cell>
        </row>
        <row r="1134">
          <cell r="C1134" t="str">
            <v>RECICLADO</v>
          </cell>
          <cell r="D1134">
            <v>1.881</v>
          </cell>
          <cell r="E1134">
            <v>37.616999999999997</v>
          </cell>
        </row>
        <row r="1135">
          <cell r="C1135" t="str">
            <v>CONCRETO_ASFÁLTICO</v>
          </cell>
          <cell r="D1135">
            <v>0.4</v>
          </cell>
          <cell r="E1135">
            <v>2.02</v>
          </cell>
        </row>
        <row r="1136">
          <cell r="C1136" t="str">
            <v>CUNETA</v>
          </cell>
          <cell r="D1136">
            <v>0.33200000000000002</v>
          </cell>
          <cell r="E1136">
            <v>1.6739999999999999</v>
          </cell>
        </row>
        <row r="1137">
          <cell r="C1137" t="str">
            <v>BASE_GRANULAR</v>
          </cell>
          <cell r="D1137">
            <v>0.754</v>
          </cell>
          <cell r="E1137">
            <v>3.8090000000000002</v>
          </cell>
        </row>
        <row r="1138">
          <cell r="C1138" t="str">
            <v>RECICLADO</v>
          </cell>
          <cell r="D1138">
            <v>1.881</v>
          </cell>
          <cell r="E1138">
            <v>9.4990000000000006</v>
          </cell>
        </row>
        <row r="1139">
          <cell r="C1139" t="str">
            <v>CONCRETO_ASFÁLTICO</v>
          </cell>
          <cell r="D1139">
            <v>0.4</v>
          </cell>
          <cell r="E1139">
            <v>1.9790000000000001</v>
          </cell>
        </row>
        <row r="1140">
          <cell r="C1140" t="str">
            <v>CUNETA</v>
          </cell>
          <cell r="D1140">
            <v>0.33200000000000002</v>
          </cell>
          <cell r="E1140">
            <v>1.641</v>
          </cell>
        </row>
        <row r="1141">
          <cell r="C1141" t="str">
            <v>BASE_GRANULAR</v>
          </cell>
          <cell r="D1141">
            <v>0.754</v>
          </cell>
          <cell r="E1141">
            <v>3.734</v>
          </cell>
        </row>
        <row r="1142">
          <cell r="C1142" t="str">
            <v>RECICLADO</v>
          </cell>
          <cell r="D1142">
            <v>1.881</v>
          </cell>
          <cell r="E1142">
            <v>9.31</v>
          </cell>
        </row>
        <row r="1143">
          <cell r="C1143" t="str">
            <v>CONCRETO_ASFÁLTICO</v>
          </cell>
          <cell r="D1143">
            <v>0.4</v>
          </cell>
          <cell r="E1143">
            <v>3.9990000000000001</v>
          </cell>
        </row>
        <row r="1144">
          <cell r="C1144" t="str">
            <v>CUNETA</v>
          </cell>
          <cell r="D1144">
            <v>0.33200000000000002</v>
          </cell>
          <cell r="E1144">
            <v>3.3149999999999999</v>
          </cell>
        </row>
        <row r="1145">
          <cell r="C1145" t="str">
            <v>BASE_GRANULAR</v>
          </cell>
          <cell r="D1145">
            <v>0.754</v>
          </cell>
          <cell r="E1145">
            <v>7.5430000000000001</v>
          </cell>
        </row>
        <row r="1146">
          <cell r="C1146" t="str">
            <v>RECICLADO</v>
          </cell>
          <cell r="D1146">
            <v>1.881</v>
          </cell>
          <cell r="E1146">
            <v>18.808</v>
          </cell>
        </row>
        <row r="1147">
          <cell r="C1147" t="str">
            <v>CONCRETO_ASFÁLTICO</v>
          </cell>
          <cell r="D1147">
            <v>0.4</v>
          </cell>
          <cell r="E1147">
            <v>3.9990000000000001</v>
          </cell>
        </row>
        <row r="1148">
          <cell r="C1148" t="str">
            <v>CUNETA</v>
          </cell>
          <cell r="D1148">
            <v>0.33200000000000002</v>
          </cell>
          <cell r="E1148">
            <v>3.3149999999999999</v>
          </cell>
        </row>
        <row r="1149">
          <cell r="C1149" t="str">
            <v>BASE_GRANULAR</v>
          </cell>
          <cell r="D1149">
            <v>0.754</v>
          </cell>
          <cell r="E1149">
            <v>7.5430000000000001</v>
          </cell>
        </row>
        <row r="1150">
          <cell r="C1150" t="str">
            <v>RECICLADO</v>
          </cell>
          <cell r="D1150">
            <v>1.881</v>
          </cell>
          <cell r="E1150">
            <v>18.808</v>
          </cell>
        </row>
        <row r="1151">
          <cell r="C1151" t="str">
            <v>CONCRETO_ASFÁLTICO</v>
          </cell>
          <cell r="D1151">
            <v>0.4</v>
          </cell>
          <cell r="E1151">
            <v>2.5</v>
          </cell>
        </row>
        <row r="1152">
          <cell r="C1152" t="str">
            <v>CUNETA</v>
          </cell>
          <cell r="D1152">
            <v>0.33200000000000002</v>
          </cell>
          <cell r="E1152">
            <v>2.0720000000000001</v>
          </cell>
        </row>
        <row r="1153">
          <cell r="C1153" t="str">
            <v>BASE_GRANULAR</v>
          </cell>
          <cell r="D1153">
            <v>0.754</v>
          </cell>
          <cell r="E1153">
            <v>4.7149999999999999</v>
          </cell>
        </row>
        <row r="1154">
          <cell r="C1154" t="str">
            <v>RECICLADO</v>
          </cell>
          <cell r="D1154">
            <v>1.881</v>
          </cell>
          <cell r="E1154">
            <v>11.756</v>
          </cell>
        </row>
        <row r="1155">
          <cell r="C1155" t="str">
            <v>CONCRETO_ASFÁLTICO</v>
          </cell>
          <cell r="D1155">
            <v>0.4</v>
          </cell>
          <cell r="E1155">
            <v>1.5</v>
          </cell>
        </row>
        <row r="1156">
          <cell r="C1156" t="str">
            <v>CUNETA</v>
          </cell>
          <cell r="D1156">
            <v>0.33200000000000002</v>
          </cell>
          <cell r="E1156">
            <v>1.2430000000000001</v>
          </cell>
        </row>
        <row r="1157">
          <cell r="C1157" t="str">
            <v>BASE_GRANULAR</v>
          </cell>
          <cell r="D1157">
            <v>0.754</v>
          </cell>
          <cell r="E1157">
            <v>2.8279999999999998</v>
          </cell>
        </row>
        <row r="1158">
          <cell r="C1158" t="str">
            <v>RECICLADO</v>
          </cell>
          <cell r="D1158">
            <v>1.881</v>
          </cell>
          <cell r="E1158">
            <v>7.0529999999999999</v>
          </cell>
        </row>
        <row r="1159">
          <cell r="C1159" t="str">
            <v>CONCRETO_ASFÁLTICO</v>
          </cell>
          <cell r="D1159">
            <v>0.4</v>
          </cell>
          <cell r="E1159">
            <v>3.9990000000000001</v>
          </cell>
        </row>
        <row r="1160">
          <cell r="C1160" t="str">
            <v>CUNETA</v>
          </cell>
          <cell r="D1160">
            <v>0.33200000000000002</v>
          </cell>
          <cell r="E1160">
            <v>3.3149999999999999</v>
          </cell>
        </row>
        <row r="1161">
          <cell r="C1161" t="str">
            <v>BASE_GRANULAR</v>
          </cell>
          <cell r="D1161">
            <v>0.754</v>
          </cell>
          <cell r="E1161">
            <v>7.5430000000000001</v>
          </cell>
        </row>
        <row r="1162">
          <cell r="C1162" t="str">
            <v>RECICLADO</v>
          </cell>
          <cell r="D1162">
            <v>1.881</v>
          </cell>
          <cell r="E1162">
            <v>18.808</v>
          </cell>
        </row>
        <row r="1163">
          <cell r="C1163" t="str">
            <v>CONCRETO_ASFÁLTICO</v>
          </cell>
          <cell r="D1163">
            <v>0.4</v>
          </cell>
          <cell r="E1163">
            <v>3.9990000000000001</v>
          </cell>
        </row>
        <row r="1164">
          <cell r="C1164" t="str">
            <v>CUNETA</v>
          </cell>
          <cell r="D1164">
            <v>0.33200000000000002</v>
          </cell>
          <cell r="E1164">
            <v>3.3149999999999999</v>
          </cell>
        </row>
        <row r="1165">
          <cell r="C1165" t="str">
            <v>BASE_GRANULAR</v>
          </cell>
          <cell r="D1165">
            <v>0.754</v>
          </cell>
          <cell r="E1165">
            <v>7.5430000000000001</v>
          </cell>
        </row>
        <row r="1166">
          <cell r="C1166" t="str">
            <v>RECICLADO</v>
          </cell>
          <cell r="D1166">
            <v>1.881</v>
          </cell>
          <cell r="E1166">
            <v>18.808</v>
          </cell>
        </row>
        <row r="1167">
          <cell r="C1167" t="str">
            <v>CONCRETO_ASFÁLTICO</v>
          </cell>
          <cell r="D1167">
            <v>0.4</v>
          </cell>
          <cell r="E1167">
            <v>1.5740000000000001</v>
          </cell>
        </row>
        <row r="1168">
          <cell r="C1168" t="str">
            <v>CUNETA</v>
          </cell>
          <cell r="D1168">
            <v>0.33200000000000002</v>
          </cell>
          <cell r="E1168">
            <v>1.3049999999999999</v>
          </cell>
        </row>
        <row r="1169">
          <cell r="C1169" t="str">
            <v>BASE_GRANULAR</v>
          </cell>
          <cell r="D1169">
            <v>0.754</v>
          </cell>
          <cell r="E1169">
            <v>2.9689999999999999</v>
          </cell>
        </row>
        <row r="1170">
          <cell r="C1170" t="str">
            <v>RECICLADO</v>
          </cell>
          <cell r="D1170">
            <v>1.881</v>
          </cell>
          <cell r="E1170">
            <v>7.4029999999999996</v>
          </cell>
        </row>
        <row r="1171">
          <cell r="C1171" t="str">
            <v>CONCRETO_ASFÁLTICO</v>
          </cell>
          <cell r="D1171">
            <v>0.4</v>
          </cell>
          <cell r="E1171">
            <v>2.4249999999999998</v>
          </cell>
        </row>
        <row r="1172">
          <cell r="C1172" t="str">
            <v>CUNETA</v>
          </cell>
          <cell r="D1172">
            <v>0.33200000000000002</v>
          </cell>
          <cell r="E1172">
            <v>2.0099999999999998</v>
          </cell>
        </row>
        <row r="1173">
          <cell r="C1173" t="str">
            <v>BASE_GRANULAR</v>
          </cell>
          <cell r="D1173">
            <v>0.754</v>
          </cell>
          <cell r="E1173">
            <v>4.5739999999999998</v>
          </cell>
        </row>
        <row r="1174">
          <cell r="C1174" t="str">
            <v>RECICLADO</v>
          </cell>
          <cell r="D1174">
            <v>1.881</v>
          </cell>
          <cell r="E1174">
            <v>11.404999999999999</v>
          </cell>
        </row>
        <row r="1175">
          <cell r="C1175" t="str">
            <v>CONCRETO_ASFÁLTICO</v>
          </cell>
          <cell r="D1175">
            <v>0.4</v>
          </cell>
          <cell r="E1175">
            <v>3.9990000000000001</v>
          </cell>
        </row>
        <row r="1176">
          <cell r="C1176" t="str">
            <v>CUNETA</v>
          </cell>
          <cell r="D1176">
            <v>0.33200000000000002</v>
          </cell>
          <cell r="E1176">
            <v>3.3149999999999999</v>
          </cell>
        </row>
        <row r="1177">
          <cell r="C1177" t="str">
            <v>BASE_GRANULAR</v>
          </cell>
          <cell r="D1177">
            <v>0.754</v>
          </cell>
          <cell r="E1177">
            <v>7.5430000000000001</v>
          </cell>
        </row>
        <row r="1178">
          <cell r="C1178" t="str">
            <v>RECICLADO</v>
          </cell>
          <cell r="D1178">
            <v>1.881</v>
          </cell>
          <cell r="E1178">
            <v>18.808</v>
          </cell>
        </row>
        <row r="1179">
          <cell r="C1179" t="str">
            <v>CONCRETO_ASFÁLTICO</v>
          </cell>
          <cell r="D1179">
            <v>0.4</v>
          </cell>
          <cell r="E1179">
            <v>3.9990000000000001</v>
          </cell>
        </row>
        <row r="1180">
          <cell r="C1180" t="str">
            <v>CUNETA</v>
          </cell>
          <cell r="D1180">
            <v>0.33200000000000002</v>
          </cell>
          <cell r="E1180">
            <v>3.3149999999999999</v>
          </cell>
        </row>
        <row r="1181">
          <cell r="C1181" t="str">
            <v>BASE_GRANULAR</v>
          </cell>
          <cell r="D1181">
            <v>0.754</v>
          </cell>
          <cell r="E1181">
            <v>7.5430000000000001</v>
          </cell>
        </row>
        <row r="1182">
          <cell r="C1182" t="str">
            <v>RECICLADO</v>
          </cell>
          <cell r="D1182">
            <v>1.881</v>
          </cell>
          <cell r="E1182">
            <v>18.808</v>
          </cell>
        </row>
        <row r="1183">
          <cell r="C1183" t="str">
            <v>CONCRETO_ASFÁLTICO</v>
          </cell>
          <cell r="D1183">
            <v>0.4</v>
          </cell>
          <cell r="E1183">
            <v>2.0539999999999998</v>
          </cell>
        </row>
        <row r="1184">
          <cell r="C1184" t="str">
            <v>CUNETA</v>
          </cell>
          <cell r="D1184">
            <v>0.33200000000000002</v>
          </cell>
          <cell r="E1184">
            <v>1.7030000000000001</v>
          </cell>
        </row>
        <row r="1185">
          <cell r="C1185" t="str">
            <v>BASE_GRANULAR</v>
          </cell>
          <cell r="D1185">
            <v>0.754</v>
          </cell>
          <cell r="E1185">
            <v>3.8740000000000001</v>
          </cell>
        </row>
        <row r="1186">
          <cell r="C1186" t="str">
            <v>RECICLADO</v>
          </cell>
          <cell r="D1186">
            <v>1.881</v>
          </cell>
          <cell r="E1186">
            <v>9.66</v>
          </cell>
        </row>
        <row r="1187">
          <cell r="C1187" t="str">
            <v>CONCRETO_ASFÁLTICO</v>
          </cell>
          <cell r="D1187">
            <v>0.4</v>
          </cell>
          <cell r="E1187">
            <v>1.9450000000000001</v>
          </cell>
        </row>
        <row r="1188">
          <cell r="C1188" t="str">
            <v>CUNETA</v>
          </cell>
          <cell r="D1188">
            <v>0.33200000000000002</v>
          </cell>
          <cell r="E1188">
            <v>1.613</v>
          </cell>
        </row>
        <row r="1189">
          <cell r="C1189" t="str">
            <v>BASE_GRANULAR</v>
          </cell>
          <cell r="D1189">
            <v>0.754</v>
          </cell>
          <cell r="E1189">
            <v>3.669</v>
          </cell>
        </row>
        <row r="1190">
          <cell r="C1190" t="str">
            <v>RECICLADO</v>
          </cell>
          <cell r="D1190">
            <v>1.881</v>
          </cell>
          <cell r="E1190">
            <v>9.1479999999999997</v>
          </cell>
        </row>
        <row r="1191">
          <cell r="C1191" t="str">
            <v>CONCRETO_ASFÁLTICO</v>
          </cell>
          <cell r="D1191">
            <v>0.4</v>
          </cell>
          <cell r="E1191">
            <v>7.9980000000000002</v>
          </cell>
        </row>
        <row r="1192">
          <cell r="C1192" t="str">
            <v>CUNETA</v>
          </cell>
          <cell r="D1192">
            <v>0.33200000000000002</v>
          </cell>
          <cell r="E1192">
            <v>6.6310000000000002</v>
          </cell>
        </row>
        <row r="1193">
          <cell r="C1193" t="str">
            <v>BASE_GRANULAR</v>
          </cell>
          <cell r="D1193">
            <v>0.75600000000000001</v>
          </cell>
          <cell r="E1193">
            <v>15.103</v>
          </cell>
        </row>
        <row r="1194">
          <cell r="C1194" t="str">
            <v>RECICLADO</v>
          </cell>
          <cell r="D1194">
            <v>1.8879999999999999</v>
          </cell>
          <cell r="E1194">
            <v>37.686999999999998</v>
          </cell>
        </row>
        <row r="1195">
          <cell r="C1195" t="str">
            <v>CONCRETO_ASFÁLTICO</v>
          </cell>
          <cell r="D1195">
            <v>0.4</v>
          </cell>
          <cell r="E1195">
            <v>5.1769999999999996</v>
          </cell>
        </row>
        <row r="1196">
          <cell r="C1196" t="str">
            <v>CUNETA</v>
          </cell>
          <cell r="D1196">
            <v>0.33200000000000002</v>
          </cell>
          <cell r="E1196">
            <v>4.2919999999999998</v>
          </cell>
        </row>
        <row r="1197">
          <cell r="C1197" t="str">
            <v>BASE_GRANULAR</v>
          </cell>
          <cell r="D1197">
            <v>0.75800000000000001</v>
          </cell>
          <cell r="E1197">
            <v>9.7989999999999995</v>
          </cell>
        </row>
        <row r="1198">
          <cell r="C1198" t="str">
            <v>RECICLADO</v>
          </cell>
          <cell r="D1198">
            <v>1.8959999999999999</v>
          </cell>
          <cell r="E1198">
            <v>24.49</v>
          </cell>
        </row>
        <row r="1199">
          <cell r="C1199" t="str">
            <v>CONCRETO_ASFÁLTICO</v>
          </cell>
          <cell r="D1199">
            <v>0.4</v>
          </cell>
          <cell r="E1199">
            <v>2.8220000000000001</v>
          </cell>
        </row>
        <row r="1200">
          <cell r="C1200" t="str">
            <v>CUNETA</v>
          </cell>
          <cell r="D1200">
            <v>0.33200000000000002</v>
          </cell>
          <cell r="E1200">
            <v>2.339</v>
          </cell>
        </row>
        <row r="1201">
          <cell r="C1201" t="str">
            <v>BASE_GRANULAR</v>
          </cell>
          <cell r="D1201">
            <v>0.75900000000000001</v>
          </cell>
          <cell r="E1201">
            <v>5.3520000000000003</v>
          </cell>
        </row>
        <row r="1202">
          <cell r="C1202" t="str">
            <v>RECICLADO</v>
          </cell>
          <cell r="D1202">
            <v>1.9</v>
          </cell>
          <cell r="E1202">
            <v>13.393000000000001</v>
          </cell>
        </row>
        <row r="1203">
          <cell r="C1203" t="str">
            <v>CONCRETO_ASFÁLTICO</v>
          </cell>
          <cell r="D1203">
            <v>0.4</v>
          </cell>
          <cell r="E1203">
            <v>3.9990000000000001</v>
          </cell>
        </row>
        <row r="1204">
          <cell r="C1204" t="str">
            <v>CUNETA</v>
          </cell>
          <cell r="D1204">
            <v>0.33200000000000002</v>
          </cell>
          <cell r="E1204">
            <v>3.3149999999999999</v>
          </cell>
        </row>
        <row r="1205">
          <cell r="C1205" t="str">
            <v>BASE_GRANULAR</v>
          </cell>
          <cell r="D1205">
            <v>0.76100000000000001</v>
          </cell>
          <cell r="E1205">
            <v>7.5990000000000002</v>
          </cell>
        </row>
        <row r="1206">
          <cell r="C1206" t="str">
            <v>RECICLADO</v>
          </cell>
          <cell r="D1206">
            <v>1.907</v>
          </cell>
          <cell r="E1206">
            <v>19.036999999999999</v>
          </cell>
        </row>
        <row r="1207">
          <cell r="C1207" t="str">
            <v>CONCRETO_ASFÁLTICO</v>
          </cell>
          <cell r="D1207">
            <v>0.4</v>
          </cell>
          <cell r="E1207">
            <v>3.9990000000000001</v>
          </cell>
        </row>
        <row r="1208">
          <cell r="C1208" t="str">
            <v>CUNETA</v>
          </cell>
          <cell r="D1208">
            <v>0.33200000000000002</v>
          </cell>
          <cell r="E1208">
            <v>3.3149999999999999</v>
          </cell>
        </row>
        <row r="1209">
          <cell r="C1209" t="str">
            <v>BASE_GRANULAR</v>
          </cell>
          <cell r="D1209">
            <v>0.76200000000000001</v>
          </cell>
          <cell r="E1209">
            <v>7.6120000000000001</v>
          </cell>
        </row>
        <row r="1210">
          <cell r="C1210" t="str">
            <v>RECICLADO</v>
          </cell>
          <cell r="D1210">
            <v>1.911</v>
          </cell>
          <cell r="E1210">
            <v>19.091000000000001</v>
          </cell>
        </row>
        <row r="1211">
          <cell r="C1211" t="str">
            <v>CONCRETO_ASFÁLTICO</v>
          </cell>
          <cell r="D1211">
            <v>0.4</v>
          </cell>
          <cell r="E1211">
            <v>1.657</v>
          </cell>
        </row>
        <row r="1212">
          <cell r="C1212" t="str">
            <v>CUNETA</v>
          </cell>
          <cell r="D1212">
            <v>0.33200000000000002</v>
          </cell>
          <cell r="E1212">
            <v>1.3740000000000001</v>
          </cell>
        </row>
        <row r="1213">
          <cell r="C1213" t="str">
            <v>BASE_GRANULAR</v>
          </cell>
          <cell r="D1213">
            <v>0.76200000000000001</v>
          </cell>
          <cell r="E1213">
            <v>3.157</v>
          </cell>
        </row>
        <row r="1214">
          <cell r="C1214" t="str">
            <v>RECICLADO</v>
          </cell>
          <cell r="D1214">
            <v>1.911</v>
          </cell>
          <cell r="E1214">
            <v>7.9210000000000003</v>
          </cell>
        </row>
        <row r="1215">
          <cell r="C1215" t="str">
            <v>CONCRETO_ASFÁLTICO</v>
          </cell>
          <cell r="D1215">
            <v>0.4</v>
          </cell>
          <cell r="E1215">
            <v>2.3420000000000001</v>
          </cell>
        </row>
        <row r="1216">
          <cell r="C1216" t="str">
            <v>CUNETA</v>
          </cell>
          <cell r="D1216">
            <v>0.33200000000000002</v>
          </cell>
          <cell r="E1216">
            <v>1.9410000000000001</v>
          </cell>
        </row>
        <row r="1217">
          <cell r="C1217" t="str">
            <v>BASE_GRANULAR</v>
          </cell>
          <cell r="D1217">
            <v>0.76200000000000001</v>
          </cell>
          <cell r="E1217">
            <v>4.4610000000000003</v>
          </cell>
        </row>
        <row r="1218">
          <cell r="C1218" t="str">
            <v>RECICLADO</v>
          </cell>
          <cell r="D1218">
            <v>1.911</v>
          </cell>
          <cell r="E1218">
            <v>11.193</v>
          </cell>
        </row>
        <row r="1219">
          <cell r="C1219" t="str">
            <v>CONCRETO_ASFÁLTICO</v>
          </cell>
          <cell r="D1219">
            <v>0.4</v>
          </cell>
          <cell r="E1219">
            <v>3.9990000000000001</v>
          </cell>
        </row>
        <row r="1220">
          <cell r="C1220" t="str">
            <v>CUNETA</v>
          </cell>
          <cell r="D1220">
            <v>0.33200000000000002</v>
          </cell>
          <cell r="E1220">
            <v>3.3149999999999999</v>
          </cell>
        </row>
        <row r="1221">
          <cell r="C1221" t="str">
            <v>BASE_GRANULAR</v>
          </cell>
          <cell r="D1221">
            <v>0.76200000000000001</v>
          </cell>
          <cell r="E1221">
            <v>7.6180000000000003</v>
          </cell>
        </row>
        <row r="1222">
          <cell r="C1222" t="str">
            <v>RECICLADO</v>
          </cell>
          <cell r="D1222">
            <v>1.911</v>
          </cell>
          <cell r="E1222">
            <v>19.116</v>
          </cell>
        </row>
        <row r="1223">
          <cell r="C1223" t="str">
            <v>CONCRETO_ASFÁLTICO</v>
          </cell>
          <cell r="D1223">
            <v>0.4</v>
          </cell>
          <cell r="E1223">
            <v>3.9990000000000001</v>
          </cell>
        </row>
        <row r="1224">
          <cell r="C1224" t="str">
            <v>CUNETA</v>
          </cell>
          <cell r="D1224">
            <v>0.33200000000000002</v>
          </cell>
          <cell r="E1224">
            <v>3.3149999999999999</v>
          </cell>
        </row>
        <row r="1225">
          <cell r="C1225" t="str">
            <v>BASE_GRANULAR</v>
          </cell>
          <cell r="D1225">
            <v>0.76200000000000001</v>
          </cell>
          <cell r="E1225">
            <v>7.6180000000000003</v>
          </cell>
        </row>
        <row r="1226">
          <cell r="C1226" t="str">
            <v>RECICLADO</v>
          </cell>
          <cell r="D1226">
            <v>1.911</v>
          </cell>
          <cell r="E1226">
            <v>19.116</v>
          </cell>
        </row>
        <row r="1227">
          <cell r="C1227" t="str">
            <v>CONCRETO_ASFÁLTICO</v>
          </cell>
          <cell r="D1227">
            <v>0.4</v>
          </cell>
          <cell r="E1227">
            <v>0.72</v>
          </cell>
        </row>
        <row r="1228">
          <cell r="C1228" t="str">
            <v>CUNETA</v>
          </cell>
          <cell r="D1228">
            <v>0.33200000000000002</v>
          </cell>
          <cell r="E1228">
            <v>0.59699999999999998</v>
          </cell>
        </row>
        <row r="1229">
          <cell r="C1229" t="str">
            <v>BASE_GRANULAR</v>
          </cell>
          <cell r="D1229">
            <v>0.76200000000000001</v>
          </cell>
          <cell r="E1229">
            <v>1.3720000000000001</v>
          </cell>
        </row>
        <row r="1230">
          <cell r="C1230" t="str">
            <v>RECICLADO</v>
          </cell>
          <cell r="D1230">
            <v>1.911</v>
          </cell>
          <cell r="E1230">
            <v>3.444</v>
          </cell>
        </row>
        <row r="1231">
          <cell r="C1231" t="str">
            <v>CONCRETO_ASFÁLTICO</v>
          </cell>
          <cell r="D1231">
            <v>0.4</v>
          </cell>
          <cell r="E1231">
            <v>3.2789999999999999</v>
          </cell>
        </row>
        <row r="1232">
          <cell r="C1232" t="str">
            <v>CUNETA</v>
          </cell>
          <cell r="D1232">
            <v>0.33200000000000002</v>
          </cell>
          <cell r="E1232">
            <v>2.718</v>
          </cell>
        </row>
        <row r="1233">
          <cell r="C1233" t="str">
            <v>BASE_GRANULAR</v>
          </cell>
          <cell r="D1233">
            <v>0.76200000000000001</v>
          </cell>
          <cell r="E1233">
            <v>6.2439999999999998</v>
          </cell>
        </row>
        <row r="1234">
          <cell r="C1234" t="str">
            <v>RECICLADO</v>
          </cell>
          <cell r="D1234">
            <v>1.911</v>
          </cell>
          <cell r="E1234">
            <v>15.667</v>
          </cell>
        </row>
        <row r="1235">
          <cell r="C1235" t="str">
            <v>CONCRETO_ASFÁLTICO</v>
          </cell>
          <cell r="D1235">
            <v>0.4</v>
          </cell>
          <cell r="E1235">
            <v>3.9990000000000001</v>
          </cell>
        </row>
        <row r="1236">
          <cell r="C1236" t="str">
            <v>CUNETA</v>
          </cell>
          <cell r="D1236">
            <v>0.33200000000000002</v>
          </cell>
          <cell r="E1236">
            <v>3.3149999999999999</v>
          </cell>
        </row>
        <row r="1237">
          <cell r="C1237" t="str">
            <v>BASE_GRANULAR</v>
          </cell>
          <cell r="D1237">
            <v>0.76</v>
          </cell>
          <cell r="E1237">
            <v>7.6079999999999997</v>
          </cell>
        </row>
        <row r="1238">
          <cell r="C1238" t="str">
            <v>RECICLADO</v>
          </cell>
          <cell r="D1238">
            <v>1.9039999999999999</v>
          </cell>
          <cell r="E1238">
            <v>19.074999999999999</v>
          </cell>
        </row>
        <row r="1239">
          <cell r="C1239" t="str">
            <v>CONCRETO_ASFÁLTICO</v>
          </cell>
          <cell r="D1239">
            <v>0.4</v>
          </cell>
          <cell r="E1239">
            <v>3.9990000000000001</v>
          </cell>
        </row>
        <row r="1240">
          <cell r="C1240" t="str">
            <v>CUNETA</v>
          </cell>
          <cell r="D1240">
            <v>0.33200000000000002</v>
          </cell>
          <cell r="E1240">
            <v>3.3149999999999999</v>
          </cell>
        </row>
        <row r="1241">
          <cell r="C1241" t="str">
            <v>BASE_GRANULAR</v>
          </cell>
          <cell r="D1241">
            <v>0.75800000000000001</v>
          </cell>
          <cell r="E1241">
            <v>7.593</v>
          </cell>
        </row>
        <row r="1242">
          <cell r="C1242" t="str">
            <v>RECICLADO</v>
          </cell>
          <cell r="D1242">
            <v>1.8979999999999999</v>
          </cell>
          <cell r="E1242">
            <v>19.010999999999999</v>
          </cell>
        </row>
        <row r="1243">
          <cell r="C1243" t="str">
            <v>CONCRETO_ASFÁLTICO</v>
          </cell>
          <cell r="D1243">
            <v>0.4</v>
          </cell>
          <cell r="E1243">
            <v>1.2</v>
          </cell>
        </row>
        <row r="1244">
          <cell r="C1244" t="str">
            <v>CUNETA</v>
          </cell>
          <cell r="D1244">
            <v>0.33200000000000002</v>
          </cell>
          <cell r="E1244">
            <v>0.995</v>
          </cell>
        </row>
        <row r="1245">
          <cell r="C1245" t="str">
            <v>BASE_GRANULAR</v>
          </cell>
          <cell r="D1245">
            <v>0.75800000000000001</v>
          </cell>
          <cell r="E1245">
            <v>2.2759999999999998</v>
          </cell>
        </row>
        <row r="1246">
          <cell r="C1246" t="str">
            <v>RECICLADO</v>
          </cell>
          <cell r="D1246">
            <v>1.8959999999999999</v>
          </cell>
          <cell r="E1246">
            <v>5.694</v>
          </cell>
        </row>
        <row r="1247">
          <cell r="C1247" t="str">
            <v>CONCRETO_ASFÁLTICO</v>
          </cell>
          <cell r="D1247">
            <v>0.4</v>
          </cell>
          <cell r="E1247">
            <v>6.798</v>
          </cell>
        </row>
        <row r="1248">
          <cell r="C1248" t="str">
            <v>CUNETA</v>
          </cell>
          <cell r="D1248">
            <v>0.33200000000000002</v>
          </cell>
          <cell r="E1248">
            <v>5.6360000000000001</v>
          </cell>
        </row>
        <row r="1249">
          <cell r="C1249" t="str">
            <v>BASE_GRANULAR</v>
          </cell>
          <cell r="D1249">
            <v>0.755</v>
          </cell>
          <cell r="E1249">
            <v>12.863</v>
          </cell>
        </row>
        <row r="1250">
          <cell r="C1250" t="str">
            <v>RECICLADO</v>
          </cell>
          <cell r="D1250">
            <v>1.885</v>
          </cell>
          <cell r="E1250">
            <v>32.137999999999998</v>
          </cell>
        </row>
        <row r="1251">
          <cell r="C1251" t="str">
            <v>CONCRETO_ASFÁLTICO</v>
          </cell>
          <cell r="D1251">
            <v>0.4</v>
          </cell>
          <cell r="E1251">
            <v>7.9980000000000002</v>
          </cell>
        </row>
        <row r="1252">
          <cell r="C1252" t="str">
            <v>CUNETA</v>
          </cell>
          <cell r="D1252">
            <v>0.33200000000000002</v>
          </cell>
          <cell r="E1252">
            <v>6.6310000000000002</v>
          </cell>
        </row>
        <row r="1253">
          <cell r="C1253" t="str">
            <v>BASE_GRANULAR</v>
          </cell>
          <cell r="D1253">
            <v>0.75700000000000001</v>
          </cell>
          <cell r="E1253">
            <v>15.122</v>
          </cell>
        </row>
        <row r="1254">
          <cell r="C1254" t="str">
            <v>RECICLADO</v>
          </cell>
          <cell r="D1254">
            <v>1.891</v>
          </cell>
          <cell r="E1254">
            <v>37.762999999999998</v>
          </cell>
        </row>
        <row r="1255">
          <cell r="C1255" t="str">
            <v>CONCRETO_ASFÁLTICO</v>
          </cell>
          <cell r="D1255">
            <v>0.4</v>
          </cell>
          <cell r="E1255">
            <v>0.85899999999999999</v>
          </cell>
        </row>
        <row r="1256">
          <cell r="C1256" t="str">
            <v>CUNETA</v>
          </cell>
          <cell r="D1256">
            <v>0.33200000000000002</v>
          </cell>
          <cell r="E1256">
            <v>0.71199999999999997</v>
          </cell>
        </row>
        <row r="1257">
          <cell r="C1257" t="str">
            <v>BASE_GRANULAR</v>
          </cell>
          <cell r="D1257">
            <v>0.75800000000000001</v>
          </cell>
          <cell r="E1257">
            <v>1.6259999999999999</v>
          </cell>
        </row>
        <row r="1258">
          <cell r="C1258" t="str">
            <v>RECICLADO</v>
          </cell>
          <cell r="D1258">
            <v>1.8959999999999999</v>
          </cell>
          <cell r="E1258">
            <v>4.0659999999999998</v>
          </cell>
        </row>
        <row r="1259">
          <cell r="C1259" t="str">
            <v>CONCRETO_ASFÁLTICO</v>
          </cell>
          <cell r="D1259">
            <v>0.4</v>
          </cell>
          <cell r="E1259">
            <v>3.14</v>
          </cell>
        </row>
        <row r="1260">
          <cell r="C1260" t="str">
            <v>CUNETA</v>
          </cell>
          <cell r="D1260">
            <v>0.33200000000000002</v>
          </cell>
          <cell r="E1260">
            <v>2.6030000000000002</v>
          </cell>
        </row>
        <row r="1261">
          <cell r="C1261" t="str">
            <v>BASE_GRANULAR</v>
          </cell>
          <cell r="D1261">
            <v>0.76200000000000001</v>
          </cell>
          <cell r="E1261">
            <v>5.9669999999999996</v>
          </cell>
        </row>
        <row r="1262">
          <cell r="C1262" t="str">
            <v>RECICLADO</v>
          </cell>
          <cell r="D1262">
            <v>1.911</v>
          </cell>
          <cell r="E1262">
            <v>14.949</v>
          </cell>
        </row>
        <row r="1263">
          <cell r="C1263" t="str">
            <v>CONCRETO_ASFÁLTICO</v>
          </cell>
          <cell r="D1263">
            <v>0.4</v>
          </cell>
          <cell r="E1263">
            <v>3.9990000000000001</v>
          </cell>
        </row>
        <row r="1264">
          <cell r="C1264" t="str">
            <v>CUNETA</v>
          </cell>
          <cell r="D1264">
            <v>0.33200000000000002</v>
          </cell>
          <cell r="E1264">
            <v>3.3149999999999999</v>
          </cell>
        </row>
        <row r="1265">
          <cell r="C1265" t="str">
            <v>BASE_GRANULAR</v>
          </cell>
          <cell r="D1265">
            <v>0.76200000000000001</v>
          </cell>
          <cell r="E1265">
            <v>7.617</v>
          </cell>
        </row>
        <row r="1266">
          <cell r="C1266" t="str">
            <v>RECICLADO</v>
          </cell>
          <cell r="D1266">
            <v>1.911</v>
          </cell>
          <cell r="E1266">
            <v>19.111999999999998</v>
          </cell>
        </row>
        <row r="1267">
          <cell r="C1267" t="str">
            <v>CONCRETO_ASFÁLTICO</v>
          </cell>
          <cell r="D1267">
            <v>0.4</v>
          </cell>
          <cell r="E1267">
            <v>0.65900000000000003</v>
          </cell>
        </row>
        <row r="1268">
          <cell r="C1268" t="str">
            <v>CUNETA</v>
          </cell>
          <cell r="D1268">
            <v>0.33200000000000002</v>
          </cell>
          <cell r="E1268">
            <v>0.54600000000000004</v>
          </cell>
        </row>
        <row r="1269">
          <cell r="C1269" t="str">
            <v>BASE_GRANULAR</v>
          </cell>
          <cell r="D1269">
            <v>0.76200000000000001</v>
          </cell>
          <cell r="E1269">
            <v>1.2549999999999999</v>
          </cell>
        </row>
        <row r="1270">
          <cell r="C1270" t="str">
            <v>RECICLADO</v>
          </cell>
          <cell r="D1270">
            <v>1.911</v>
          </cell>
          <cell r="E1270">
            <v>3.1480000000000001</v>
          </cell>
        </row>
        <row r="1271">
          <cell r="C1271" t="str">
            <v>CONCRETO_ASFÁLTICO</v>
          </cell>
          <cell r="D1271">
            <v>0.4</v>
          </cell>
          <cell r="E1271">
            <v>0</v>
          </cell>
        </row>
        <row r="1272">
          <cell r="C1272" t="str">
            <v>CUNETA</v>
          </cell>
          <cell r="D1272">
            <v>0.33200000000000002</v>
          </cell>
          <cell r="E1272">
            <v>0</v>
          </cell>
        </row>
        <row r="1273">
          <cell r="C1273" t="str">
            <v>BASE_GRANULAR</v>
          </cell>
          <cell r="D1273">
            <v>0.76200000000000001</v>
          </cell>
          <cell r="E1273">
            <v>0</v>
          </cell>
        </row>
        <row r="1274">
          <cell r="C1274" t="str">
            <v>RECICLADO</v>
          </cell>
          <cell r="D1274">
            <v>1.911</v>
          </cell>
          <cell r="E1274">
            <v>0</v>
          </cell>
        </row>
        <row r="1275">
          <cell r="C1275" t="str">
            <v>CONCRETO_ASFÁLTICO</v>
          </cell>
          <cell r="D1275">
            <v>0.4</v>
          </cell>
          <cell r="E1275">
            <v>3.34</v>
          </cell>
        </row>
        <row r="1276">
          <cell r="C1276" t="str">
            <v>CUNETA</v>
          </cell>
          <cell r="D1276">
            <v>0.33200000000000002</v>
          </cell>
          <cell r="E1276">
            <v>2.7690000000000001</v>
          </cell>
        </row>
        <row r="1277">
          <cell r="C1277" t="str">
            <v>BASE_GRANULAR</v>
          </cell>
          <cell r="D1277">
            <v>0.76200000000000001</v>
          </cell>
          <cell r="E1277">
            <v>6.3620000000000001</v>
          </cell>
        </row>
        <row r="1278">
          <cell r="C1278" t="str">
            <v>RECICLADO</v>
          </cell>
          <cell r="D1278">
            <v>1.911</v>
          </cell>
          <cell r="E1278">
            <v>15.964</v>
          </cell>
        </row>
        <row r="1279">
          <cell r="C1279" t="str">
            <v>CONCRETO_ASFÁLTICO</v>
          </cell>
          <cell r="D1279">
            <v>0.4</v>
          </cell>
          <cell r="E1279">
            <v>3.9990000000000001</v>
          </cell>
        </row>
        <row r="1280">
          <cell r="C1280" t="str">
            <v>CUNETA</v>
          </cell>
          <cell r="D1280">
            <v>0.33200000000000002</v>
          </cell>
          <cell r="E1280">
            <v>3.3149999999999999</v>
          </cell>
        </row>
        <row r="1281">
          <cell r="C1281" t="str">
            <v>BASE_GRANULAR</v>
          </cell>
          <cell r="D1281">
            <v>0.755</v>
          </cell>
          <cell r="E1281">
            <v>7.5839999999999996</v>
          </cell>
        </row>
        <row r="1282">
          <cell r="C1282" t="str">
            <v>RECICLADO</v>
          </cell>
          <cell r="D1282">
            <v>1.8839999999999999</v>
          </cell>
          <cell r="E1282">
            <v>18.978000000000002</v>
          </cell>
        </row>
        <row r="1283">
          <cell r="C1283" t="str">
            <v>CONCRETO_ASFÁLTICO</v>
          </cell>
          <cell r="D1283">
            <v>0.4</v>
          </cell>
          <cell r="E1283">
            <v>0.45900000000000002</v>
          </cell>
        </row>
        <row r="1284">
          <cell r="C1284" t="str">
            <v>CUNETA</v>
          </cell>
          <cell r="D1284">
            <v>0.33200000000000002</v>
          </cell>
          <cell r="E1284">
            <v>0.38</v>
          </cell>
        </row>
        <row r="1285">
          <cell r="C1285" t="str">
            <v>BASE_GRANULAR</v>
          </cell>
          <cell r="D1285">
            <v>0.754</v>
          </cell>
          <cell r="E1285">
            <v>0.86599999999999999</v>
          </cell>
        </row>
        <row r="1286">
          <cell r="C1286" t="str">
            <v>RECICLADO</v>
          </cell>
          <cell r="D1286">
            <v>1.881</v>
          </cell>
          <cell r="E1286">
            <v>2.16</v>
          </cell>
        </row>
        <row r="1287">
          <cell r="C1287" t="str">
            <v>CONCRETO_ASFÁLTICO</v>
          </cell>
          <cell r="D1287">
            <v>0.4</v>
          </cell>
          <cell r="E1287">
            <v>8.8999999999999996E-2</v>
          </cell>
        </row>
        <row r="1288">
          <cell r="C1288" t="str">
            <v>CUNETA</v>
          </cell>
          <cell r="D1288">
            <v>0.33200000000000002</v>
          </cell>
          <cell r="E1288">
            <v>7.3999999999999996E-2</v>
          </cell>
        </row>
        <row r="1289">
          <cell r="C1289" t="str">
            <v>BASE_GRANULAR</v>
          </cell>
          <cell r="D1289">
            <v>0.754</v>
          </cell>
          <cell r="E1289">
            <v>0.16800000000000001</v>
          </cell>
        </row>
        <row r="1290">
          <cell r="C1290" t="str">
            <v>RECICLADO</v>
          </cell>
          <cell r="D1290">
            <v>1.881</v>
          </cell>
          <cell r="E1290">
            <v>0.41899999999999998</v>
          </cell>
        </row>
        <row r="1291">
          <cell r="C1291" t="str">
            <v>CONCRETO_ASFÁLTICO</v>
          </cell>
          <cell r="D1291">
            <v>0.4</v>
          </cell>
          <cell r="E1291">
            <v>3.4510000000000001</v>
          </cell>
        </row>
        <row r="1292">
          <cell r="C1292" t="str">
            <v>CUNETA</v>
          </cell>
          <cell r="D1292">
            <v>0.33200000000000002</v>
          </cell>
          <cell r="E1292">
            <v>2.8610000000000002</v>
          </cell>
        </row>
        <row r="1293">
          <cell r="C1293" t="str">
            <v>BASE_GRANULAR</v>
          </cell>
          <cell r="D1293">
            <v>0.76</v>
          </cell>
          <cell r="E1293">
            <v>6.5330000000000004</v>
          </cell>
        </row>
        <row r="1294">
          <cell r="C1294" t="str">
            <v>RECICLADO</v>
          </cell>
          <cell r="D1294">
            <v>1.9039999999999999</v>
          </cell>
          <cell r="E1294">
            <v>16.329000000000001</v>
          </cell>
        </row>
        <row r="1295">
          <cell r="C1295" t="str">
            <v>CONCRETO_ASFÁLTICO</v>
          </cell>
          <cell r="D1295">
            <v>0.4</v>
          </cell>
          <cell r="E1295">
            <v>3.9470000000000001</v>
          </cell>
        </row>
        <row r="1296">
          <cell r="C1296" t="str">
            <v>CUNETA</v>
          </cell>
          <cell r="D1296">
            <v>0.33200000000000002</v>
          </cell>
          <cell r="E1296">
            <v>3.2719999999999998</v>
          </cell>
        </row>
        <row r="1297">
          <cell r="C1297" t="str">
            <v>BASE_GRANULAR</v>
          </cell>
          <cell r="D1297">
            <v>0.76200000000000001</v>
          </cell>
          <cell r="E1297">
            <v>7.5090000000000003</v>
          </cell>
        </row>
        <row r="1298">
          <cell r="C1298" t="str">
            <v>RECICLADO</v>
          </cell>
          <cell r="D1298">
            <v>1.911</v>
          </cell>
          <cell r="E1298">
            <v>18.827000000000002</v>
          </cell>
        </row>
        <row r="1299">
          <cell r="C1299" t="str">
            <v>CONCRETO_ASFÁLTICO</v>
          </cell>
          <cell r="D1299">
            <v>0.4</v>
          </cell>
          <cell r="E1299">
            <v>5.1999999999999998E-2</v>
          </cell>
        </row>
        <row r="1300">
          <cell r="C1300" t="str">
            <v>CUNETA</v>
          </cell>
          <cell r="D1300">
            <v>0.33200000000000002</v>
          </cell>
          <cell r="E1300">
            <v>4.2999999999999997E-2</v>
          </cell>
        </row>
        <row r="1301">
          <cell r="C1301" t="str">
            <v>BASE_GRANULAR</v>
          </cell>
          <cell r="D1301">
            <v>0.76200000000000001</v>
          </cell>
          <cell r="E1301">
            <v>9.9000000000000005E-2</v>
          </cell>
        </row>
        <row r="1302">
          <cell r="C1302" t="str">
            <v>RECICLADO</v>
          </cell>
          <cell r="D1302">
            <v>1.911</v>
          </cell>
          <cell r="E1302">
            <v>0.248</v>
          </cell>
        </row>
        <row r="1303">
          <cell r="C1303" t="str">
            <v>CONCRETO_ASFÁLTICO</v>
          </cell>
          <cell r="D1303">
            <v>0.4</v>
          </cell>
          <cell r="E1303">
            <v>3.9990000000000001</v>
          </cell>
        </row>
        <row r="1304">
          <cell r="C1304" t="str">
            <v>CUNETA</v>
          </cell>
          <cell r="D1304">
            <v>0.33200000000000002</v>
          </cell>
          <cell r="E1304">
            <v>3.3149999999999999</v>
          </cell>
        </row>
        <row r="1305">
          <cell r="C1305" t="str">
            <v>BASE_GRANULAR</v>
          </cell>
          <cell r="D1305">
            <v>0.76200000000000001</v>
          </cell>
          <cell r="E1305">
            <v>7.617</v>
          </cell>
        </row>
        <row r="1306">
          <cell r="C1306" t="str">
            <v>RECICLADO</v>
          </cell>
          <cell r="D1306">
            <v>1.911</v>
          </cell>
          <cell r="E1306">
            <v>19.111999999999998</v>
          </cell>
        </row>
        <row r="1307">
          <cell r="C1307" t="str">
            <v>CONCRETO_ASFÁLTICO</v>
          </cell>
          <cell r="D1307">
            <v>0.4</v>
          </cell>
          <cell r="E1307">
            <v>3.3479999999999999</v>
          </cell>
        </row>
        <row r="1308">
          <cell r="C1308" t="str">
            <v>CUNETA</v>
          </cell>
          <cell r="D1308">
            <v>0.33200000000000002</v>
          </cell>
          <cell r="E1308">
            <v>2.7749999999999999</v>
          </cell>
        </row>
        <row r="1309">
          <cell r="C1309" t="str">
            <v>BASE_GRANULAR</v>
          </cell>
          <cell r="D1309">
            <v>0.754</v>
          </cell>
          <cell r="E1309">
            <v>6.3449999999999998</v>
          </cell>
        </row>
        <row r="1310">
          <cell r="C1310" t="str">
            <v>RECICLADO</v>
          </cell>
          <cell r="D1310">
            <v>1.881</v>
          </cell>
          <cell r="E1310">
            <v>15.871</v>
          </cell>
        </row>
        <row r="1311">
          <cell r="C1311" t="str">
            <v>CONCRETO_ASFÁLTICO</v>
          </cell>
          <cell r="D1311">
            <v>0.4</v>
          </cell>
          <cell r="E1311">
            <v>0.65200000000000002</v>
          </cell>
        </row>
        <row r="1312">
          <cell r="C1312" t="str">
            <v>CUNETA</v>
          </cell>
          <cell r="D1312">
            <v>0.33200000000000002</v>
          </cell>
          <cell r="E1312">
            <v>0.54</v>
          </cell>
        </row>
        <row r="1313">
          <cell r="C1313" t="str">
            <v>BASE_GRANULAR</v>
          </cell>
          <cell r="D1313">
            <v>0.754</v>
          </cell>
          <cell r="E1313">
            <v>1.2290000000000001</v>
          </cell>
        </row>
        <row r="1314">
          <cell r="C1314" t="str">
            <v>RECICLADO</v>
          </cell>
          <cell r="D1314">
            <v>1.881</v>
          </cell>
          <cell r="E1314">
            <v>3.0649999999999999</v>
          </cell>
        </row>
        <row r="1315">
          <cell r="C1315" t="str">
            <v>CONCRETO_ASFÁLTICO</v>
          </cell>
          <cell r="D1315">
            <v>0.4</v>
          </cell>
          <cell r="E1315">
            <v>2.4420000000000002</v>
          </cell>
        </row>
        <row r="1316">
          <cell r="C1316" t="str">
            <v>CUNETA</v>
          </cell>
          <cell r="D1316">
            <v>0.33200000000000002</v>
          </cell>
          <cell r="E1316">
            <v>2.0249999999999999</v>
          </cell>
        </row>
        <row r="1317">
          <cell r="C1317" t="str">
            <v>BASE_GRANULAR</v>
          </cell>
          <cell r="D1317">
            <v>0.76200000000000001</v>
          </cell>
          <cell r="E1317">
            <v>4.6289999999999996</v>
          </cell>
        </row>
        <row r="1318">
          <cell r="C1318" t="str">
            <v>RECICLADO</v>
          </cell>
          <cell r="D1318">
            <v>1.911</v>
          </cell>
          <cell r="E1318">
            <v>11.577999999999999</v>
          </cell>
        </row>
        <row r="1319">
          <cell r="C1319" t="str">
            <v>CONCRETO_ASFÁLTICO</v>
          </cell>
          <cell r="D1319">
            <v>0.4</v>
          </cell>
          <cell r="E1319">
            <v>1.5569999999999999</v>
          </cell>
        </row>
        <row r="1320">
          <cell r="C1320" t="str">
            <v>CUNETA</v>
          </cell>
          <cell r="D1320">
            <v>0.33200000000000002</v>
          </cell>
          <cell r="E1320">
            <v>1.2909999999999999</v>
          </cell>
        </row>
        <row r="1321">
          <cell r="C1321" t="str">
            <v>BASE_GRANULAR</v>
          </cell>
          <cell r="D1321">
            <v>0.76200000000000001</v>
          </cell>
          <cell r="E1321">
            <v>2.9660000000000002</v>
          </cell>
        </row>
        <row r="1322">
          <cell r="C1322" t="str">
            <v>RECICLADO</v>
          </cell>
          <cell r="D1322">
            <v>1.911</v>
          </cell>
          <cell r="E1322">
            <v>7.4420000000000002</v>
          </cell>
        </row>
        <row r="1323">
          <cell r="C1323" t="str">
            <v>CONCRETO_ASFÁLTICO</v>
          </cell>
          <cell r="D1323">
            <v>0.4</v>
          </cell>
          <cell r="E1323">
            <v>3.9990000000000001</v>
          </cell>
        </row>
        <row r="1324">
          <cell r="C1324" t="str">
            <v>CUNETA</v>
          </cell>
          <cell r="D1324">
            <v>0.33200000000000002</v>
          </cell>
          <cell r="E1324">
            <v>3.3149999999999999</v>
          </cell>
        </row>
        <row r="1325">
          <cell r="C1325" t="str">
            <v>BASE_GRANULAR</v>
          </cell>
          <cell r="D1325">
            <v>0.76200000000000001</v>
          </cell>
          <cell r="E1325">
            <v>7.6180000000000003</v>
          </cell>
        </row>
        <row r="1326">
          <cell r="C1326" t="str">
            <v>RECICLADO</v>
          </cell>
          <cell r="D1326">
            <v>1.911</v>
          </cell>
          <cell r="E1326">
            <v>19.117000000000001</v>
          </cell>
        </row>
        <row r="1327">
          <cell r="C1327" t="str">
            <v>CONCRETO_ASFÁLTICO</v>
          </cell>
          <cell r="D1327">
            <v>0.4</v>
          </cell>
          <cell r="E1327">
            <v>8.3000000000000004E-2</v>
          </cell>
        </row>
        <row r="1328">
          <cell r="C1328" t="str">
            <v>CUNETA</v>
          </cell>
          <cell r="D1328">
            <v>0.33200000000000002</v>
          </cell>
          <cell r="E1328">
            <v>6.9000000000000006E-2</v>
          </cell>
        </row>
        <row r="1329">
          <cell r="C1329" t="str">
            <v>BASE_GRANULAR</v>
          </cell>
          <cell r="D1329">
            <v>0.76200000000000001</v>
          </cell>
          <cell r="E1329">
            <v>0.157</v>
          </cell>
        </row>
        <row r="1330">
          <cell r="C1330" t="str">
            <v>RECICLADO</v>
          </cell>
          <cell r="D1330">
            <v>1.911</v>
          </cell>
          <cell r="E1330">
            <v>0.39500000000000002</v>
          </cell>
        </row>
        <row r="1331">
          <cell r="C1331" t="str">
            <v>CONCRETO_ASFÁLTICO</v>
          </cell>
          <cell r="D1331">
            <v>0.4</v>
          </cell>
          <cell r="E1331">
            <v>3.9169999999999998</v>
          </cell>
        </row>
        <row r="1332">
          <cell r="C1332" t="str">
            <v>CUNETA</v>
          </cell>
          <cell r="D1332">
            <v>0.33200000000000002</v>
          </cell>
          <cell r="E1332">
            <v>3.2469999999999999</v>
          </cell>
        </row>
        <row r="1333">
          <cell r="C1333" t="str">
            <v>BASE_GRANULAR</v>
          </cell>
          <cell r="D1333">
            <v>0.76200000000000001</v>
          </cell>
          <cell r="E1333">
            <v>7.4619999999999997</v>
          </cell>
        </row>
        <row r="1334">
          <cell r="C1334" t="str">
            <v>RECICLADO</v>
          </cell>
          <cell r="D1334">
            <v>1.911</v>
          </cell>
          <cell r="E1334">
            <v>18.73</v>
          </cell>
        </row>
        <row r="1335">
          <cell r="C1335" t="str">
            <v>CONCRETO_ASFÁLTICO</v>
          </cell>
          <cell r="D1335">
            <v>0.4</v>
          </cell>
          <cell r="E1335">
            <v>3.4430000000000001</v>
          </cell>
        </row>
        <row r="1336">
          <cell r="C1336" t="str">
            <v>CUNETA</v>
          </cell>
          <cell r="D1336">
            <v>0.33200000000000002</v>
          </cell>
          <cell r="E1336">
            <v>2.8540000000000001</v>
          </cell>
        </row>
        <row r="1337">
          <cell r="C1337" t="str">
            <v>BASE_GRANULAR</v>
          </cell>
          <cell r="D1337">
            <v>0.76200000000000001</v>
          </cell>
          <cell r="E1337">
            <v>6.56</v>
          </cell>
        </row>
        <row r="1338">
          <cell r="C1338" t="str">
            <v>RECICLADO</v>
          </cell>
          <cell r="D1338">
            <v>1.911</v>
          </cell>
          <cell r="E1338">
            <v>16.465</v>
          </cell>
        </row>
        <row r="1339">
          <cell r="C1339" t="str">
            <v>CONCRETO_ASFÁLTICO</v>
          </cell>
          <cell r="D1339">
            <v>0.4</v>
          </cell>
          <cell r="E1339">
            <v>0.55600000000000005</v>
          </cell>
        </row>
        <row r="1340">
          <cell r="C1340" t="str">
            <v>CUNETA</v>
          </cell>
          <cell r="D1340">
            <v>0.33200000000000002</v>
          </cell>
          <cell r="E1340">
            <v>0.46100000000000002</v>
          </cell>
        </row>
        <row r="1341">
          <cell r="C1341" t="str">
            <v>BASE_GRANULAR</v>
          </cell>
          <cell r="D1341">
            <v>0.76200000000000001</v>
          </cell>
          <cell r="E1341">
            <v>1.0589999999999999</v>
          </cell>
        </row>
        <row r="1342">
          <cell r="C1342" t="str">
            <v>RECICLADO</v>
          </cell>
          <cell r="D1342">
            <v>1.911</v>
          </cell>
          <cell r="E1342">
            <v>2.6579999999999999</v>
          </cell>
        </row>
        <row r="1343">
          <cell r="C1343" t="str">
            <v>CONCRETO_ASFÁLTICO</v>
          </cell>
          <cell r="D1343">
            <v>0.4</v>
          </cell>
          <cell r="E1343">
            <v>3.9990000000000001</v>
          </cell>
        </row>
        <row r="1344">
          <cell r="C1344" t="str">
            <v>CUNETA</v>
          </cell>
          <cell r="D1344">
            <v>0.33200000000000002</v>
          </cell>
          <cell r="E1344">
            <v>3.3149999999999999</v>
          </cell>
        </row>
        <row r="1345">
          <cell r="C1345" t="str">
            <v>BASE_GRANULAR</v>
          </cell>
          <cell r="D1345">
            <v>0.75600000000000001</v>
          </cell>
          <cell r="E1345">
            <v>7.5910000000000002</v>
          </cell>
        </row>
        <row r="1346">
          <cell r="C1346" t="str">
            <v>RECICLADO</v>
          </cell>
          <cell r="D1346">
            <v>1.889</v>
          </cell>
          <cell r="E1346">
            <v>19.006</v>
          </cell>
        </row>
        <row r="1347">
          <cell r="C1347" t="str">
            <v>CONCRETO_ASFÁLTICO</v>
          </cell>
          <cell r="D1347">
            <v>0.4</v>
          </cell>
          <cell r="E1347">
            <v>1.083</v>
          </cell>
        </row>
        <row r="1348">
          <cell r="C1348" t="str">
            <v>CUNETA</v>
          </cell>
          <cell r="D1348">
            <v>0.33200000000000002</v>
          </cell>
          <cell r="E1348">
            <v>0.89800000000000002</v>
          </cell>
        </row>
        <row r="1349">
          <cell r="C1349" t="str">
            <v>BASE_GRANULAR</v>
          </cell>
          <cell r="D1349">
            <v>0.754</v>
          </cell>
          <cell r="E1349">
            <v>2.0459999999999998</v>
          </cell>
        </row>
        <row r="1350">
          <cell r="C1350" t="str">
            <v>RECICLADO</v>
          </cell>
          <cell r="D1350">
            <v>1.881</v>
          </cell>
          <cell r="E1350">
            <v>5.1070000000000002</v>
          </cell>
        </row>
        <row r="1351">
          <cell r="C1351" t="str">
            <v>CONCRETO_ASFÁLTICO</v>
          </cell>
          <cell r="D1351">
            <v>0.4</v>
          </cell>
          <cell r="E1351">
            <v>2.9159999999999999</v>
          </cell>
        </row>
        <row r="1352">
          <cell r="C1352" t="str">
            <v>CUNETA</v>
          </cell>
          <cell r="D1352">
            <v>0.33200000000000002</v>
          </cell>
          <cell r="E1352">
            <v>2.4169999999999998</v>
          </cell>
        </row>
        <row r="1353">
          <cell r="C1353" t="str">
            <v>BASE_GRANULAR</v>
          </cell>
          <cell r="D1353">
            <v>0.75700000000000001</v>
          </cell>
          <cell r="E1353">
            <v>5.5090000000000003</v>
          </cell>
        </row>
        <row r="1354">
          <cell r="C1354" t="str">
            <v>RECICLADO</v>
          </cell>
          <cell r="D1354">
            <v>1.891</v>
          </cell>
          <cell r="E1354">
            <v>13.75</v>
          </cell>
        </row>
        <row r="1355">
          <cell r="C1355" t="str">
            <v>CONCRETO_ASFÁLTICO</v>
          </cell>
          <cell r="D1355">
            <v>0.4</v>
          </cell>
          <cell r="E1355">
            <v>0.95299999999999996</v>
          </cell>
        </row>
        <row r="1356">
          <cell r="C1356" t="str">
            <v>CUNETA</v>
          </cell>
          <cell r="D1356">
            <v>0.33200000000000002</v>
          </cell>
          <cell r="E1356">
            <v>0.79</v>
          </cell>
        </row>
        <row r="1357">
          <cell r="C1357" t="str">
            <v>BASE_GRANULAR</v>
          </cell>
          <cell r="D1357">
            <v>0.75800000000000001</v>
          </cell>
          <cell r="E1357">
            <v>1.804</v>
          </cell>
        </row>
        <row r="1358">
          <cell r="C1358" t="str">
            <v>RECICLADO</v>
          </cell>
          <cell r="D1358">
            <v>1.8959999999999999</v>
          </cell>
          <cell r="E1358">
            <v>4.51</v>
          </cell>
        </row>
        <row r="1359">
          <cell r="C1359" t="str">
            <v>CONCRETO_ASFÁLTICO</v>
          </cell>
          <cell r="D1359">
            <v>0.4</v>
          </cell>
          <cell r="E1359">
            <v>3.0470000000000002</v>
          </cell>
        </row>
        <row r="1360">
          <cell r="C1360" t="str">
            <v>CUNETA</v>
          </cell>
          <cell r="D1360">
            <v>0.33200000000000002</v>
          </cell>
          <cell r="E1360">
            <v>2.5259999999999998</v>
          </cell>
        </row>
        <row r="1361">
          <cell r="C1361" t="str">
            <v>BASE_GRANULAR</v>
          </cell>
          <cell r="D1361">
            <v>0.76200000000000001</v>
          </cell>
          <cell r="E1361">
            <v>5.7889999999999997</v>
          </cell>
        </row>
        <row r="1362">
          <cell r="C1362" t="str">
            <v>RECICLADO</v>
          </cell>
          <cell r="D1362">
            <v>1.911</v>
          </cell>
          <cell r="E1362">
            <v>14.503</v>
          </cell>
        </row>
        <row r="1363">
          <cell r="C1363" t="str">
            <v>CONCRETO_ASFÁLTICO</v>
          </cell>
          <cell r="D1363">
            <v>0.4</v>
          </cell>
          <cell r="E1363">
            <v>2.5920000000000001</v>
          </cell>
        </row>
        <row r="1364">
          <cell r="C1364" t="str">
            <v>CUNETA</v>
          </cell>
          <cell r="D1364">
            <v>0.33200000000000002</v>
          </cell>
          <cell r="E1364">
            <v>2.149</v>
          </cell>
        </row>
        <row r="1365">
          <cell r="C1365" t="str">
            <v>BASE_GRANULAR</v>
          </cell>
          <cell r="D1365">
            <v>0.76200000000000001</v>
          </cell>
          <cell r="E1365">
            <v>4.9379999999999997</v>
          </cell>
        </row>
        <row r="1366">
          <cell r="C1366" t="str">
            <v>RECICLADO</v>
          </cell>
          <cell r="D1366">
            <v>1.911</v>
          </cell>
          <cell r="E1366">
            <v>12.39</v>
          </cell>
        </row>
        <row r="1367">
          <cell r="C1367" t="str">
            <v>CONCRETO_ASFÁLTICO</v>
          </cell>
          <cell r="D1367">
            <v>0.4</v>
          </cell>
          <cell r="E1367">
            <v>1.407</v>
          </cell>
        </row>
        <row r="1368">
          <cell r="C1368" t="str">
            <v>CUNETA</v>
          </cell>
          <cell r="D1368">
            <v>0.33200000000000002</v>
          </cell>
          <cell r="E1368">
            <v>1.1659999999999999</v>
          </cell>
        </row>
        <row r="1369">
          <cell r="C1369" t="str">
            <v>BASE_GRANULAR</v>
          </cell>
          <cell r="D1369">
            <v>0.76200000000000001</v>
          </cell>
          <cell r="E1369">
            <v>2.681</v>
          </cell>
        </row>
        <row r="1370">
          <cell r="C1370" t="str">
            <v>RECICLADO</v>
          </cell>
          <cell r="D1370">
            <v>1.911</v>
          </cell>
          <cell r="E1370">
            <v>6.7279999999999998</v>
          </cell>
        </row>
        <row r="1371">
          <cell r="C1371" t="str">
            <v>CONCRETO_ASFÁLTICO</v>
          </cell>
          <cell r="D1371">
            <v>0.4</v>
          </cell>
          <cell r="E1371">
            <v>3.9990000000000001</v>
          </cell>
        </row>
        <row r="1372">
          <cell r="C1372" t="str">
            <v>CUNETA</v>
          </cell>
          <cell r="D1372">
            <v>0.33200000000000002</v>
          </cell>
          <cell r="E1372">
            <v>3.3149999999999999</v>
          </cell>
        </row>
        <row r="1373">
          <cell r="C1373" t="str">
            <v>BASE_GRANULAR</v>
          </cell>
          <cell r="D1373">
            <v>0.76200000000000001</v>
          </cell>
          <cell r="E1373">
            <v>7.62</v>
          </cell>
        </row>
        <row r="1374">
          <cell r="C1374" t="str">
            <v>RECICLADO</v>
          </cell>
          <cell r="D1374">
            <v>1.911</v>
          </cell>
          <cell r="E1374">
            <v>19.125</v>
          </cell>
        </row>
        <row r="1375">
          <cell r="C1375" t="str">
            <v>CONCRETO_ASFÁLTICO</v>
          </cell>
          <cell r="D1375">
            <v>0.4</v>
          </cell>
          <cell r="E1375">
            <v>2.0680000000000001</v>
          </cell>
        </row>
        <row r="1376">
          <cell r="C1376" t="str">
            <v>CUNETA</v>
          </cell>
          <cell r="D1376">
            <v>0.33200000000000002</v>
          </cell>
          <cell r="E1376">
            <v>1.714</v>
          </cell>
        </row>
        <row r="1377">
          <cell r="C1377" t="str">
            <v>BASE_GRANULAR</v>
          </cell>
          <cell r="D1377">
            <v>0.76200000000000001</v>
          </cell>
          <cell r="E1377">
            <v>3.94</v>
          </cell>
        </row>
        <row r="1378">
          <cell r="C1378" t="str">
            <v>RECICLADO</v>
          </cell>
          <cell r="D1378">
            <v>1.911</v>
          </cell>
          <cell r="E1378">
            <v>9.8879999999999999</v>
          </cell>
        </row>
        <row r="1379">
          <cell r="C1379" t="str">
            <v>CONCRETO_ASFÁLTICO</v>
          </cell>
          <cell r="D1379">
            <v>0.4</v>
          </cell>
          <cell r="E1379">
            <v>1.9319999999999999</v>
          </cell>
        </row>
        <row r="1380">
          <cell r="C1380" t="str">
            <v>CUNETA</v>
          </cell>
          <cell r="D1380">
            <v>0.33200000000000002</v>
          </cell>
          <cell r="E1380">
            <v>1.601</v>
          </cell>
        </row>
        <row r="1381">
          <cell r="C1381" t="str">
            <v>BASE_GRANULAR</v>
          </cell>
          <cell r="D1381">
            <v>0.76100000000000001</v>
          </cell>
          <cell r="E1381">
            <v>3.6789999999999998</v>
          </cell>
        </row>
        <row r="1382">
          <cell r="C1382" t="str">
            <v>RECICLADO</v>
          </cell>
          <cell r="D1382">
            <v>1.91</v>
          </cell>
          <cell r="E1382">
            <v>9.2289999999999992</v>
          </cell>
        </row>
        <row r="1383">
          <cell r="C1383" t="str">
            <v>CONCRETO_ASFÁLTICO</v>
          </cell>
          <cell r="D1383">
            <v>0.4</v>
          </cell>
          <cell r="E1383">
            <v>3.7069999999999999</v>
          </cell>
        </row>
        <row r="1384">
          <cell r="C1384" t="str">
            <v>CUNETA</v>
          </cell>
          <cell r="D1384">
            <v>0.33200000000000002</v>
          </cell>
          <cell r="E1384">
            <v>3.073</v>
          </cell>
        </row>
        <row r="1385">
          <cell r="C1385" t="str">
            <v>BASE_GRANULAR</v>
          </cell>
          <cell r="D1385">
            <v>0.754</v>
          </cell>
          <cell r="E1385">
            <v>7.0259999999999998</v>
          </cell>
        </row>
        <row r="1386">
          <cell r="C1386" t="str">
            <v>RECICLADO</v>
          </cell>
          <cell r="D1386">
            <v>1.881</v>
          </cell>
          <cell r="E1386">
            <v>17.573</v>
          </cell>
        </row>
        <row r="1387">
          <cell r="C1387" t="str">
            <v>CONCRETO_ASFÁLTICO</v>
          </cell>
          <cell r="D1387">
            <v>0.4</v>
          </cell>
          <cell r="E1387">
            <v>0.11700000000000001</v>
          </cell>
        </row>
        <row r="1388">
          <cell r="C1388" t="str">
            <v>CUNETA</v>
          </cell>
          <cell r="D1388">
            <v>0.33200000000000002</v>
          </cell>
          <cell r="E1388">
            <v>9.7000000000000003E-2</v>
          </cell>
        </row>
        <row r="1389">
          <cell r="C1389" t="str">
            <v>BASE_GRANULAR</v>
          </cell>
          <cell r="D1389">
            <v>0.754</v>
          </cell>
          <cell r="E1389">
            <v>0.22</v>
          </cell>
        </row>
        <row r="1390">
          <cell r="C1390" t="str">
            <v>RECICLADO</v>
          </cell>
          <cell r="D1390">
            <v>1.881</v>
          </cell>
          <cell r="E1390">
            <v>0.54800000000000004</v>
          </cell>
        </row>
        <row r="1391">
          <cell r="C1391" t="str">
            <v>CONCRETO_ASFÁLTICO</v>
          </cell>
          <cell r="D1391">
            <v>0.4</v>
          </cell>
          <cell r="E1391">
            <v>0.17499999999999999</v>
          </cell>
        </row>
        <row r="1392">
          <cell r="C1392" t="str">
            <v>CUNETA</v>
          </cell>
          <cell r="D1392">
            <v>0.33200000000000002</v>
          </cell>
          <cell r="E1392">
            <v>0.14499999999999999</v>
          </cell>
        </row>
        <row r="1393">
          <cell r="C1393" t="str">
            <v>BASE_GRANULAR</v>
          </cell>
          <cell r="D1393">
            <v>0.755</v>
          </cell>
          <cell r="E1393">
            <v>0.33100000000000002</v>
          </cell>
        </row>
        <row r="1394">
          <cell r="C1394" t="str">
            <v>RECICLADO</v>
          </cell>
          <cell r="D1394">
            <v>1.8819999999999999</v>
          </cell>
          <cell r="E1394">
            <v>0.82499999999999996</v>
          </cell>
        </row>
        <row r="1395">
          <cell r="C1395" t="str">
            <v>CONCRETO_ASFÁLTICO</v>
          </cell>
          <cell r="D1395">
            <v>0.4</v>
          </cell>
          <cell r="E1395">
            <v>3.9990000000000001</v>
          </cell>
        </row>
        <row r="1396">
          <cell r="C1396" t="str">
            <v>CUNETA</v>
          </cell>
          <cell r="D1396">
            <v>0.33200000000000002</v>
          </cell>
          <cell r="E1396">
            <v>3.3149999999999999</v>
          </cell>
        </row>
        <row r="1397">
          <cell r="C1397" t="str">
            <v>BASE_GRANULAR</v>
          </cell>
          <cell r="D1397">
            <v>0.76</v>
          </cell>
          <cell r="E1397">
            <v>7.5750000000000002</v>
          </cell>
        </row>
        <row r="1398">
          <cell r="C1398" t="str">
            <v>RECICLADO</v>
          </cell>
          <cell r="D1398">
            <v>1.9059999999999999</v>
          </cell>
          <cell r="E1398">
            <v>18.939</v>
          </cell>
        </row>
        <row r="1399">
          <cell r="C1399" t="str">
            <v>CONCRETO_ASFÁLTICO</v>
          </cell>
          <cell r="D1399">
            <v>0.4</v>
          </cell>
          <cell r="E1399">
            <v>2.024</v>
          </cell>
        </row>
        <row r="1400">
          <cell r="C1400" t="str">
            <v>CUNETA</v>
          </cell>
          <cell r="D1400">
            <v>0.33200000000000002</v>
          </cell>
          <cell r="E1400">
            <v>1.6779999999999999</v>
          </cell>
        </row>
        <row r="1401">
          <cell r="C1401" t="str">
            <v>BASE_GRANULAR</v>
          </cell>
          <cell r="D1401">
            <v>0.76200000000000001</v>
          </cell>
          <cell r="E1401">
            <v>3.851</v>
          </cell>
        </row>
        <row r="1402">
          <cell r="C1402" t="str">
            <v>RECICLADO</v>
          </cell>
          <cell r="D1402">
            <v>1.911</v>
          </cell>
          <cell r="E1402">
            <v>9.657</v>
          </cell>
        </row>
        <row r="1403">
          <cell r="C1403" t="str">
            <v>CONCRETO_ASFÁLTICO</v>
          </cell>
          <cell r="D1403">
            <v>0.4</v>
          </cell>
          <cell r="E1403">
            <v>0</v>
          </cell>
        </row>
        <row r="1404">
          <cell r="C1404" t="str">
            <v>CUNETA</v>
          </cell>
          <cell r="D1404">
            <v>0.33200000000000002</v>
          </cell>
          <cell r="E1404">
            <v>0</v>
          </cell>
        </row>
        <row r="1405">
          <cell r="C1405" t="str">
            <v>BASE_GRANULAR</v>
          </cell>
          <cell r="D1405">
            <v>0.76200000000000001</v>
          </cell>
          <cell r="E1405">
            <v>1E-3</v>
          </cell>
        </row>
        <row r="1406">
          <cell r="C1406" t="str">
            <v>RECICLADO</v>
          </cell>
          <cell r="D1406">
            <v>1.911</v>
          </cell>
          <cell r="E1406">
            <v>2E-3</v>
          </cell>
        </row>
        <row r="1407">
          <cell r="C1407" t="str">
            <v>CONCRETO_ASFÁLTICO</v>
          </cell>
          <cell r="D1407">
            <v>0.4</v>
          </cell>
          <cell r="E1407">
            <v>1.9750000000000001</v>
          </cell>
        </row>
        <row r="1408">
          <cell r="C1408" t="str">
            <v>CUNETA</v>
          </cell>
          <cell r="D1408">
            <v>0.33200000000000002</v>
          </cell>
          <cell r="E1408">
            <v>1.637</v>
          </cell>
        </row>
        <row r="1409">
          <cell r="C1409" t="str">
            <v>BASE_GRANULAR</v>
          </cell>
          <cell r="D1409">
            <v>0.76200000000000001</v>
          </cell>
          <cell r="E1409">
            <v>3.762</v>
          </cell>
        </row>
        <row r="1410">
          <cell r="C1410" t="str">
            <v>RECICLADO</v>
          </cell>
          <cell r="D1410">
            <v>1.911</v>
          </cell>
          <cell r="E1410">
            <v>9.4380000000000006</v>
          </cell>
        </row>
        <row r="1411">
          <cell r="C1411" t="str">
            <v>CONCRETO_ASFÁLTICO</v>
          </cell>
          <cell r="D1411">
            <v>0.4</v>
          </cell>
          <cell r="E1411">
            <v>3.9990000000000001</v>
          </cell>
        </row>
        <row r="1412">
          <cell r="C1412" t="str">
            <v>CUNETA</v>
          </cell>
          <cell r="D1412">
            <v>0.33200000000000002</v>
          </cell>
          <cell r="E1412">
            <v>3.3149999999999999</v>
          </cell>
        </row>
        <row r="1413">
          <cell r="C1413" t="str">
            <v>BASE_GRANULAR</v>
          </cell>
          <cell r="D1413">
            <v>0.75800000000000001</v>
          </cell>
          <cell r="E1413">
            <v>7.6</v>
          </cell>
        </row>
        <row r="1414">
          <cell r="C1414" t="str">
            <v>RECICLADO</v>
          </cell>
          <cell r="D1414">
            <v>1.897</v>
          </cell>
          <cell r="E1414">
            <v>19.04</v>
          </cell>
        </row>
        <row r="1415">
          <cell r="C1415" t="str">
            <v>CONCRETO_ASFÁLTICO</v>
          </cell>
          <cell r="D1415">
            <v>0.4</v>
          </cell>
          <cell r="E1415">
            <v>0.22500000000000001</v>
          </cell>
        </row>
        <row r="1416">
          <cell r="C1416" t="str">
            <v>CUNETA</v>
          </cell>
          <cell r="D1416">
            <v>0.33200000000000002</v>
          </cell>
          <cell r="E1416">
            <v>0.187</v>
          </cell>
        </row>
        <row r="1417">
          <cell r="C1417" t="str">
            <v>BASE_GRANULAR</v>
          </cell>
          <cell r="D1417">
            <v>0.75800000000000001</v>
          </cell>
          <cell r="E1417">
            <v>0.42699999999999999</v>
          </cell>
        </row>
        <row r="1418">
          <cell r="C1418" t="str">
            <v>RECICLADO</v>
          </cell>
          <cell r="D1418">
            <v>1.8959999999999999</v>
          </cell>
          <cell r="E1418">
            <v>1.0669999999999999</v>
          </cell>
        </row>
        <row r="1419">
          <cell r="C1419" t="str">
            <v>CONCRETO_ASFÁLTICO</v>
          </cell>
          <cell r="D1419">
            <v>0.4</v>
          </cell>
          <cell r="E1419">
            <v>7.7729999999999997</v>
          </cell>
        </row>
        <row r="1420">
          <cell r="C1420" t="str">
            <v>CUNETA</v>
          </cell>
          <cell r="D1420">
            <v>0.33200000000000002</v>
          </cell>
          <cell r="E1420">
            <v>6.444</v>
          </cell>
        </row>
        <row r="1421">
          <cell r="C1421" t="str">
            <v>BASE_GRANULAR</v>
          </cell>
          <cell r="D1421">
            <v>0.75600000000000001</v>
          </cell>
          <cell r="E1421">
            <v>14.718</v>
          </cell>
        </row>
        <row r="1422">
          <cell r="C1422" t="str">
            <v>RECICLADO</v>
          </cell>
          <cell r="D1422">
            <v>1.889</v>
          </cell>
          <cell r="E1422">
            <v>36.787999999999997</v>
          </cell>
        </row>
        <row r="1423">
          <cell r="C1423" t="str">
            <v>CONCRETO_ASFÁLTICO</v>
          </cell>
          <cell r="D1423">
            <v>0.4</v>
          </cell>
          <cell r="E1423">
            <v>1.002</v>
          </cell>
        </row>
        <row r="1424">
          <cell r="C1424" t="str">
            <v>CUNETA</v>
          </cell>
          <cell r="D1424">
            <v>0.33200000000000002</v>
          </cell>
          <cell r="E1424">
            <v>0.83</v>
          </cell>
        </row>
        <row r="1425">
          <cell r="C1425" t="str">
            <v>BASE_GRANULAR</v>
          </cell>
          <cell r="D1425">
            <v>0.75800000000000001</v>
          </cell>
          <cell r="E1425">
            <v>1.897</v>
          </cell>
        </row>
        <row r="1426">
          <cell r="C1426" t="str">
            <v>RECICLADO</v>
          </cell>
          <cell r="D1426">
            <v>1.8959999999999999</v>
          </cell>
          <cell r="E1426">
            <v>4.7409999999999997</v>
          </cell>
        </row>
        <row r="1427">
          <cell r="C1427" t="str">
            <v>CONCRETO_ASFÁLTICO</v>
          </cell>
          <cell r="D1427">
            <v>0.4</v>
          </cell>
          <cell r="E1427">
            <v>2.9969999999999999</v>
          </cell>
        </row>
        <row r="1428">
          <cell r="C1428" t="str">
            <v>CUNETA</v>
          </cell>
          <cell r="D1428">
            <v>0.33200000000000002</v>
          </cell>
          <cell r="E1428">
            <v>2.4849999999999999</v>
          </cell>
        </row>
        <row r="1429">
          <cell r="C1429" t="str">
            <v>BASE_GRANULAR</v>
          </cell>
          <cell r="D1429">
            <v>0.76200000000000001</v>
          </cell>
          <cell r="E1429">
            <v>5.6959999999999997</v>
          </cell>
        </row>
        <row r="1430">
          <cell r="C1430" t="str">
            <v>RECICLADO</v>
          </cell>
          <cell r="D1430">
            <v>1.911</v>
          </cell>
          <cell r="E1430">
            <v>14.27</v>
          </cell>
        </row>
        <row r="1431">
          <cell r="C1431" t="str">
            <v>CONCRETO_ASFÁLTICO</v>
          </cell>
          <cell r="D1431">
            <v>0.4</v>
          </cell>
          <cell r="E1431">
            <v>2.641</v>
          </cell>
        </row>
        <row r="1432">
          <cell r="C1432" t="str">
            <v>CUNETA</v>
          </cell>
          <cell r="D1432">
            <v>0.33200000000000002</v>
          </cell>
          <cell r="E1432">
            <v>2.19</v>
          </cell>
        </row>
        <row r="1433">
          <cell r="C1433" t="str">
            <v>BASE_GRANULAR</v>
          </cell>
          <cell r="D1433">
            <v>0.76200000000000001</v>
          </cell>
          <cell r="E1433">
            <v>5.032</v>
          </cell>
        </row>
        <row r="1434">
          <cell r="C1434" t="str">
            <v>RECICLADO</v>
          </cell>
          <cell r="D1434">
            <v>1.911</v>
          </cell>
          <cell r="E1434">
            <v>12.627000000000001</v>
          </cell>
        </row>
        <row r="1435">
          <cell r="C1435" t="str">
            <v>CONCRETO_ASFÁLTICO</v>
          </cell>
          <cell r="D1435">
            <v>0.4</v>
          </cell>
          <cell r="E1435">
            <v>1.3580000000000001</v>
          </cell>
        </row>
        <row r="1436">
          <cell r="C1436" t="str">
            <v>CUNETA</v>
          </cell>
          <cell r="D1436">
            <v>0.33200000000000002</v>
          </cell>
          <cell r="E1436">
            <v>1.1259999999999999</v>
          </cell>
        </row>
        <row r="1437">
          <cell r="C1437" t="str">
            <v>BASE_GRANULAR</v>
          </cell>
          <cell r="D1437">
            <v>0.76200000000000001</v>
          </cell>
          <cell r="E1437">
            <v>2.589</v>
          </cell>
        </row>
        <row r="1438">
          <cell r="C1438" t="str">
            <v>RECICLADO</v>
          </cell>
          <cell r="D1438">
            <v>1.911</v>
          </cell>
          <cell r="E1438">
            <v>6.5</v>
          </cell>
        </row>
        <row r="1439">
          <cell r="C1439" t="str">
            <v>CONCRETO_ASFÁLTICO</v>
          </cell>
          <cell r="D1439">
            <v>0.4</v>
          </cell>
          <cell r="E1439">
            <v>3.9990000000000001</v>
          </cell>
        </row>
        <row r="1440">
          <cell r="C1440" t="str">
            <v>CUNETA</v>
          </cell>
          <cell r="D1440">
            <v>0.33200000000000002</v>
          </cell>
          <cell r="E1440">
            <v>3.3149999999999999</v>
          </cell>
        </row>
        <row r="1441">
          <cell r="C1441" t="str">
            <v>BASE_GRANULAR</v>
          </cell>
          <cell r="D1441">
            <v>0.76200000000000001</v>
          </cell>
          <cell r="E1441">
            <v>7.6239999999999997</v>
          </cell>
        </row>
        <row r="1442">
          <cell r="C1442" t="str">
            <v>RECICLADO</v>
          </cell>
          <cell r="D1442">
            <v>1.911</v>
          </cell>
          <cell r="E1442">
            <v>19.145</v>
          </cell>
        </row>
        <row r="1443">
          <cell r="C1443" t="str">
            <v>CONCRETO_ASFÁLTICO</v>
          </cell>
          <cell r="D1443">
            <v>0.4</v>
          </cell>
          <cell r="E1443">
            <v>3.9990000000000001</v>
          </cell>
        </row>
        <row r="1444">
          <cell r="C1444" t="str">
            <v>CUNETA</v>
          </cell>
          <cell r="D1444">
            <v>0.33200000000000002</v>
          </cell>
          <cell r="E1444">
            <v>3.3149999999999999</v>
          </cell>
        </row>
        <row r="1445">
          <cell r="C1445" t="str">
            <v>BASE_GRANULAR</v>
          </cell>
          <cell r="D1445">
            <v>0.76200000000000001</v>
          </cell>
          <cell r="E1445">
            <v>7.6239999999999997</v>
          </cell>
        </row>
        <row r="1446">
          <cell r="C1446" t="str">
            <v>RECICLADO</v>
          </cell>
          <cell r="D1446">
            <v>1.911</v>
          </cell>
          <cell r="E1446">
            <v>19.145</v>
          </cell>
        </row>
        <row r="1447">
          <cell r="C1447" t="str">
            <v>CONCRETO_ASFÁLTICO</v>
          </cell>
          <cell r="D1447">
            <v>0.4</v>
          </cell>
          <cell r="E1447">
            <v>3.9990000000000001</v>
          </cell>
        </row>
        <row r="1448">
          <cell r="C1448" t="str">
            <v>CUNETA</v>
          </cell>
          <cell r="D1448">
            <v>0.33200000000000002</v>
          </cell>
          <cell r="E1448">
            <v>3.3149999999999999</v>
          </cell>
        </row>
        <row r="1449">
          <cell r="C1449" t="str">
            <v>BASE_GRANULAR</v>
          </cell>
          <cell r="D1449">
            <v>0.76200000000000001</v>
          </cell>
          <cell r="E1449">
            <v>7.6239999999999997</v>
          </cell>
        </row>
        <row r="1450">
          <cell r="C1450" t="str">
            <v>RECICLADO</v>
          </cell>
          <cell r="D1450">
            <v>1.911</v>
          </cell>
          <cell r="E1450">
            <v>19.145</v>
          </cell>
        </row>
        <row r="1451">
          <cell r="C1451" t="str">
            <v>CONCRETO_ASFÁLTICO</v>
          </cell>
          <cell r="D1451">
            <v>0.4</v>
          </cell>
          <cell r="E1451">
            <v>0.68799999999999994</v>
          </cell>
        </row>
        <row r="1452">
          <cell r="C1452" t="str">
            <v>CUNETA</v>
          </cell>
          <cell r="D1452">
            <v>0.33200000000000002</v>
          </cell>
          <cell r="E1452">
            <v>0.56999999999999995</v>
          </cell>
        </row>
        <row r="1453">
          <cell r="C1453" t="str">
            <v>BASE_GRANULAR</v>
          </cell>
          <cell r="D1453">
            <v>0.76200000000000001</v>
          </cell>
          <cell r="E1453">
            <v>1.3109999999999999</v>
          </cell>
        </row>
        <row r="1454">
          <cell r="C1454" t="str">
            <v>RECICLADO</v>
          </cell>
          <cell r="D1454">
            <v>1.911</v>
          </cell>
          <cell r="E1454">
            <v>3.2930000000000001</v>
          </cell>
        </row>
        <row r="1455">
          <cell r="C1455" t="str">
            <v>CONCRETO_ASFÁLTICO</v>
          </cell>
          <cell r="D1455">
            <v>0.4</v>
          </cell>
          <cell r="E1455">
            <v>3.3109999999999999</v>
          </cell>
        </row>
        <row r="1456">
          <cell r="C1456" t="str">
            <v>CUNETA</v>
          </cell>
          <cell r="D1456">
            <v>0.33200000000000002</v>
          </cell>
          <cell r="E1456">
            <v>2.7450000000000001</v>
          </cell>
        </row>
        <row r="1457">
          <cell r="C1457" t="str">
            <v>BASE_GRANULAR</v>
          </cell>
          <cell r="D1457">
            <v>0.76200000000000001</v>
          </cell>
          <cell r="E1457">
            <v>6.3090000000000002</v>
          </cell>
        </row>
        <row r="1458">
          <cell r="C1458" t="str">
            <v>RECICLADO</v>
          </cell>
          <cell r="D1458">
            <v>1.911</v>
          </cell>
          <cell r="E1458">
            <v>15.833</v>
          </cell>
        </row>
        <row r="1459">
          <cell r="C1459" t="str">
            <v>CONCRETO_ASFÁLTICO</v>
          </cell>
          <cell r="D1459">
            <v>0.4</v>
          </cell>
          <cell r="E1459">
            <v>2.3279999999999998</v>
          </cell>
        </row>
        <row r="1460">
          <cell r="C1460" t="str">
            <v>CUNETA</v>
          </cell>
          <cell r="D1460">
            <v>0.33200000000000002</v>
          </cell>
          <cell r="E1460">
            <v>1.93</v>
          </cell>
        </row>
        <row r="1461">
          <cell r="C1461" t="str">
            <v>BASE_GRANULAR</v>
          </cell>
          <cell r="D1461">
            <v>0.754</v>
          </cell>
          <cell r="E1461">
            <v>4.4119999999999999</v>
          </cell>
        </row>
        <row r="1462">
          <cell r="C1462" t="str">
            <v>RECICLADO</v>
          </cell>
          <cell r="D1462">
            <v>1.881</v>
          </cell>
          <cell r="E1462">
            <v>11.037000000000001</v>
          </cell>
        </row>
        <row r="1463">
          <cell r="C1463" t="str">
            <v>CONCRETO_ASFÁLTICO</v>
          </cell>
          <cell r="D1463">
            <v>0.4</v>
          </cell>
          <cell r="E1463">
            <v>3.91</v>
          </cell>
        </row>
        <row r="1464">
          <cell r="C1464" t="str">
            <v>CUNETA</v>
          </cell>
          <cell r="D1464">
            <v>0.33200000000000002</v>
          </cell>
          <cell r="E1464">
            <v>3.242</v>
          </cell>
        </row>
        <row r="1465">
          <cell r="C1465" t="str">
            <v>BASE_GRANULAR</v>
          </cell>
          <cell r="D1465">
            <v>0.76200000000000001</v>
          </cell>
          <cell r="E1465">
            <v>7.4119999999999999</v>
          </cell>
        </row>
        <row r="1466">
          <cell r="C1466" t="str">
            <v>RECICLADO</v>
          </cell>
          <cell r="D1466">
            <v>1.911</v>
          </cell>
          <cell r="E1466">
            <v>18.54</v>
          </cell>
        </row>
        <row r="1467">
          <cell r="C1467" t="str">
            <v>CONCRETO_ASFÁLTICO</v>
          </cell>
          <cell r="D1467">
            <v>0.4</v>
          </cell>
          <cell r="E1467">
            <v>1.76</v>
          </cell>
        </row>
        <row r="1468">
          <cell r="C1468" t="str">
            <v>CUNETA</v>
          </cell>
          <cell r="D1468">
            <v>0.33200000000000002</v>
          </cell>
          <cell r="E1468">
            <v>1.4590000000000001</v>
          </cell>
        </row>
        <row r="1469">
          <cell r="C1469" t="str">
            <v>BASE_GRANULAR</v>
          </cell>
          <cell r="D1469">
            <v>0.76200000000000001</v>
          </cell>
          <cell r="E1469">
            <v>3.3530000000000002</v>
          </cell>
        </row>
        <row r="1470">
          <cell r="C1470" t="str">
            <v>RECICLADO</v>
          </cell>
          <cell r="D1470">
            <v>1.911</v>
          </cell>
          <cell r="E1470">
            <v>8.4130000000000003</v>
          </cell>
        </row>
        <row r="1471">
          <cell r="C1471" t="str">
            <v>CONCRETO_ASFÁLTICO</v>
          </cell>
          <cell r="D1471">
            <v>0.4</v>
          </cell>
          <cell r="E1471">
            <v>3.9990000000000001</v>
          </cell>
        </row>
        <row r="1472">
          <cell r="C1472" t="str">
            <v>CUNETA</v>
          </cell>
          <cell r="D1472">
            <v>0.33200000000000002</v>
          </cell>
          <cell r="E1472">
            <v>3.3149999999999999</v>
          </cell>
        </row>
        <row r="1473">
          <cell r="C1473" t="str">
            <v>BASE_GRANULAR</v>
          </cell>
          <cell r="D1473">
            <v>0.76200000000000001</v>
          </cell>
          <cell r="E1473">
            <v>7.6180000000000003</v>
          </cell>
        </row>
        <row r="1474">
          <cell r="C1474" t="str">
            <v>RECICLADO</v>
          </cell>
          <cell r="D1474">
            <v>1.911</v>
          </cell>
          <cell r="E1474">
            <v>19.114000000000001</v>
          </cell>
        </row>
        <row r="1475">
          <cell r="C1475" t="str">
            <v>CONCRETO_ASFÁLTICO</v>
          </cell>
          <cell r="D1475">
            <v>0.4</v>
          </cell>
          <cell r="E1475">
            <v>0.23899999999999999</v>
          </cell>
        </row>
        <row r="1476">
          <cell r="C1476" t="str">
            <v>CUNETA</v>
          </cell>
          <cell r="D1476">
            <v>0.33200000000000002</v>
          </cell>
          <cell r="E1476">
            <v>0.19800000000000001</v>
          </cell>
        </row>
        <row r="1477">
          <cell r="C1477" t="str">
            <v>BASE_GRANULAR</v>
          </cell>
          <cell r="D1477">
            <v>0.76200000000000001</v>
          </cell>
          <cell r="E1477">
            <v>0.45600000000000002</v>
          </cell>
        </row>
        <row r="1478">
          <cell r="C1478" t="str">
            <v>RECICLADO</v>
          </cell>
          <cell r="D1478">
            <v>1.911</v>
          </cell>
          <cell r="E1478">
            <v>1.1439999999999999</v>
          </cell>
        </row>
        <row r="1479">
          <cell r="C1479" t="str">
            <v>CONCRETO_ASFÁLTICO</v>
          </cell>
          <cell r="D1479">
            <v>0.4</v>
          </cell>
          <cell r="E1479">
            <v>3.76</v>
          </cell>
        </row>
        <row r="1480">
          <cell r="C1480" t="str">
            <v>CUNETA</v>
          </cell>
          <cell r="D1480">
            <v>0.33200000000000002</v>
          </cell>
          <cell r="E1480">
            <v>3.117</v>
          </cell>
        </row>
        <row r="1481">
          <cell r="C1481" t="str">
            <v>BASE_GRANULAR</v>
          </cell>
          <cell r="D1481">
            <v>0.76200000000000001</v>
          </cell>
          <cell r="E1481">
            <v>7.1619999999999999</v>
          </cell>
        </row>
        <row r="1482">
          <cell r="C1482" t="str">
            <v>RECICLADO</v>
          </cell>
          <cell r="D1482">
            <v>1.911</v>
          </cell>
          <cell r="E1482">
            <v>17.972999999999999</v>
          </cell>
        </row>
        <row r="1483">
          <cell r="C1483" t="str">
            <v>CONCRETO_ASFÁLTICO</v>
          </cell>
          <cell r="D1483">
            <v>0.4</v>
          </cell>
          <cell r="E1483">
            <v>3.161</v>
          </cell>
        </row>
        <row r="1484">
          <cell r="C1484" t="str">
            <v>CUNETA</v>
          </cell>
          <cell r="D1484">
            <v>0.33200000000000002</v>
          </cell>
          <cell r="E1484">
            <v>2.621</v>
          </cell>
        </row>
        <row r="1485">
          <cell r="C1485" t="str">
            <v>BASE_GRANULAR</v>
          </cell>
          <cell r="D1485">
            <v>0.76200000000000001</v>
          </cell>
          <cell r="E1485">
            <v>6.0220000000000002</v>
          </cell>
        </row>
        <row r="1486">
          <cell r="C1486" t="str">
            <v>RECICLADO</v>
          </cell>
          <cell r="D1486">
            <v>1.911</v>
          </cell>
          <cell r="E1486">
            <v>15.111000000000001</v>
          </cell>
        </row>
        <row r="1487">
          <cell r="C1487" t="str">
            <v>CONCRETO_ASFÁLTICO</v>
          </cell>
          <cell r="D1487">
            <v>0.4</v>
          </cell>
          <cell r="E1487">
            <v>0.83799999999999997</v>
          </cell>
        </row>
        <row r="1488">
          <cell r="C1488" t="str">
            <v>CUNETA</v>
          </cell>
          <cell r="D1488">
            <v>0.33200000000000002</v>
          </cell>
          <cell r="E1488">
            <v>0.69499999999999995</v>
          </cell>
        </row>
        <row r="1489">
          <cell r="C1489" t="str">
            <v>BASE_GRANULAR</v>
          </cell>
          <cell r="D1489">
            <v>0.76200000000000001</v>
          </cell>
          <cell r="E1489">
            <v>1.5960000000000001</v>
          </cell>
        </row>
        <row r="1490">
          <cell r="C1490" t="str">
            <v>RECICLADO</v>
          </cell>
          <cell r="D1490">
            <v>1.911</v>
          </cell>
          <cell r="E1490">
            <v>4.0049999999999999</v>
          </cell>
        </row>
        <row r="1491">
          <cell r="C1491" t="str">
            <v>CONCRETO_ASFÁLTICO</v>
          </cell>
          <cell r="D1491">
            <v>0.4</v>
          </cell>
          <cell r="E1491">
            <v>3.9990000000000001</v>
          </cell>
        </row>
        <row r="1492">
          <cell r="C1492" t="str">
            <v>CUNETA</v>
          </cell>
          <cell r="D1492">
            <v>0.33200000000000002</v>
          </cell>
          <cell r="E1492">
            <v>3.3149999999999999</v>
          </cell>
        </row>
        <row r="1493">
          <cell r="C1493" t="str">
            <v>BASE_GRANULAR</v>
          </cell>
          <cell r="D1493">
            <v>0.76200000000000001</v>
          </cell>
          <cell r="E1493">
            <v>7.6180000000000003</v>
          </cell>
        </row>
        <row r="1494">
          <cell r="C1494" t="str">
            <v>RECICLADO</v>
          </cell>
          <cell r="D1494">
            <v>1.911</v>
          </cell>
          <cell r="E1494">
            <v>19.114000000000001</v>
          </cell>
        </row>
        <row r="1495">
          <cell r="C1495" t="str">
            <v>CONCRETO_ASFÁLTICO</v>
          </cell>
          <cell r="D1495">
            <v>0.4</v>
          </cell>
          <cell r="E1495">
            <v>1.1619999999999999</v>
          </cell>
        </row>
        <row r="1496">
          <cell r="C1496" t="str">
            <v>CUNETA</v>
          </cell>
          <cell r="D1496">
            <v>0.33200000000000002</v>
          </cell>
          <cell r="E1496">
            <v>0.96299999999999997</v>
          </cell>
        </row>
        <row r="1497">
          <cell r="C1497" t="str">
            <v>BASE_GRANULAR</v>
          </cell>
          <cell r="D1497">
            <v>0.754</v>
          </cell>
          <cell r="E1497">
            <v>2.202</v>
          </cell>
        </row>
        <row r="1498">
          <cell r="C1498" t="str">
            <v>RECICLADO</v>
          </cell>
          <cell r="D1498">
            <v>1.881</v>
          </cell>
          <cell r="E1498">
            <v>5.5069999999999997</v>
          </cell>
        </row>
        <row r="1499">
          <cell r="C1499" t="str">
            <v>CONCRETO_ASFÁLTICO</v>
          </cell>
          <cell r="D1499">
            <v>0.4</v>
          </cell>
          <cell r="E1499">
            <v>0.151</v>
          </cell>
        </row>
        <row r="1500">
          <cell r="C1500" t="str">
            <v>CUNETA</v>
          </cell>
          <cell r="D1500">
            <v>0.33200000000000002</v>
          </cell>
          <cell r="E1500">
            <v>0.125</v>
          </cell>
        </row>
        <row r="1501">
          <cell r="C1501" t="str">
            <v>BASE_GRANULAR</v>
          </cell>
          <cell r="D1501">
            <v>0.76200000000000001</v>
          </cell>
          <cell r="E1501">
            <v>0.28599999999999998</v>
          </cell>
        </row>
        <row r="1502">
          <cell r="C1502" t="str">
            <v>RECICLADO</v>
          </cell>
          <cell r="D1502">
            <v>1.911</v>
          </cell>
          <cell r="E1502">
            <v>0.71599999999999997</v>
          </cell>
        </row>
        <row r="1503">
          <cell r="C1503" t="str">
            <v>CONCRETO_ASFÁLTICO</v>
          </cell>
          <cell r="D1503">
            <v>0.4</v>
          </cell>
          <cell r="E1503">
            <v>2.6869999999999998</v>
          </cell>
        </row>
        <row r="1504">
          <cell r="C1504" t="str">
            <v>CUNETA</v>
          </cell>
          <cell r="D1504">
            <v>0.33200000000000002</v>
          </cell>
          <cell r="E1504">
            <v>2.2269999999999999</v>
          </cell>
        </row>
        <row r="1505">
          <cell r="C1505" t="str">
            <v>BASE_GRANULAR</v>
          </cell>
          <cell r="D1505">
            <v>0.76200000000000001</v>
          </cell>
          <cell r="E1505">
            <v>5.117</v>
          </cell>
        </row>
        <row r="1506">
          <cell r="C1506" t="str">
            <v>RECICLADO</v>
          </cell>
          <cell r="D1506">
            <v>1.911</v>
          </cell>
          <cell r="E1506">
            <v>12.839</v>
          </cell>
        </row>
        <row r="1507">
          <cell r="C1507" t="str">
            <v>CONCRETO_ASFÁLTICO</v>
          </cell>
          <cell r="D1507">
            <v>0.4</v>
          </cell>
          <cell r="E1507">
            <v>3.512</v>
          </cell>
        </row>
        <row r="1508">
          <cell r="C1508" t="str">
            <v>CUNETA</v>
          </cell>
          <cell r="D1508">
            <v>0.33200000000000002</v>
          </cell>
          <cell r="E1508">
            <v>2.9119999999999999</v>
          </cell>
        </row>
        <row r="1509">
          <cell r="C1509" t="str">
            <v>BASE_GRANULAR</v>
          </cell>
          <cell r="D1509">
            <v>0.76200000000000001</v>
          </cell>
          <cell r="E1509">
            <v>6.6890000000000001</v>
          </cell>
        </row>
        <row r="1510">
          <cell r="C1510" t="str">
            <v>RECICLADO</v>
          </cell>
          <cell r="D1510">
            <v>1.911</v>
          </cell>
          <cell r="E1510">
            <v>16.783999999999999</v>
          </cell>
        </row>
        <row r="1511">
          <cell r="C1511" t="str">
            <v>CONCRETO_ASFÁLTICO</v>
          </cell>
          <cell r="D1511">
            <v>0.4</v>
          </cell>
          <cell r="E1511">
            <v>1E-3</v>
          </cell>
        </row>
        <row r="1512">
          <cell r="C1512" t="str">
            <v>CUNETA</v>
          </cell>
          <cell r="D1512">
            <v>0.33200000000000002</v>
          </cell>
          <cell r="E1512">
            <v>0</v>
          </cell>
        </row>
        <row r="1513">
          <cell r="C1513" t="str">
            <v>BASE_GRANULAR</v>
          </cell>
          <cell r="D1513">
            <v>0.76200000000000001</v>
          </cell>
          <cell r="E1513">
            <v>1E-3</v>
          </cell>
        </row>
        <row r="1514">
          <cell r="C1514" t="str">
            <v>RECICLADO</v>
          </cell>
          <cell r="D1514">
            <v>1.911</v>
          </cell>
          <cell r="E1514">
            <v>2E-3</v>
          </cell>
        </row>
        <row r="1515">
          <cell r="C1515" t="str">
            <v>CONCRETO_ASFÁLTICO</v>
          </cell>
          <cell r="D1515">
            <v>0.4</v>
          </cell>
          <cell r="E1515">
            <v>0.48699999999999999</v>
          </cell>
        </row>
        <row r="1516">
          <cell r="C1516" t="str">
            <v>CUNETA</v>
          </cell>
          <cell r="D1516">
            <v>0.33200000000000002</v>
          </cell>
          <cell r="E1516">
            <v>0.40300000000000002</v>
          </cell>
        </row>
        <row r="1517">
          <cell r="C1517" t="str">
            <v>BASE_GRANULAR</v>
          </cell>
          <cell r="D1517">
            <v>0.76200000000000001</v>
          </cell>
          <cell r="E1517">
            <v>0.92700000000000005</v>
          </cell>
        </row>
        <row r="1518">
          <cell r="C1518" t="str">
            <v>RECICLADO</v>
          </cell>
          <cell r="D1518">
            <v>1.911</v>
          </cell>
          <cell r="E1518">
            <v>2.3250000000000002</v>
          </cell>
        </row>
        <row r="1519">
          <cell r="C1519" t="str">
            <v>CONCRETO_ASFÁLTICO</v>
          </cell>
          <cell r="D1519">
            <v>0.4</v>
          </cell>
          <cell r="E1519">
            <v>3.9990000000000001</v>
          </cell>
        </row>
        <row r="1520">
          <cell r="C1520" t="str">
            <v>CUNETA</v>
          </cell>
          <cell r="D1520">
            <v>0.33200000000000002</v>
          </cell>
          <cell r="E1520">
            <v>3.3149999999999999</v>
          </cell>
        </row>
        <row r="1521">
          <cell r="C1521" t="str">
            <v>BASE_GRANULAR</v>
          </cell>
          <cell r="D1521">
            <v>0.76200000000000001</v>
          </cell>
          <cell r="E1521">
            <v>7.617</v>
          </cell>
        </row>
        <row r="1522">
          <cell r="C1522" t="str">
            <v>RECICLADO</v>
          </cell>
          <cell r="D1522">
            <v>1.911</v>
          </cell>
          <cell r="E1522">
            <v>19.111999999999998</v>
          </cell>
        </row>
        <row r="1523">
          <cell r="C1523" t="str">
            <v>CONCRETO_ASFÁLTICO</v>
          </cell>
          <cell r="D1523">
            <v>0.4</v>
          </cell>
          <cell r="E1523">
            <v>1.7130000000000001</v>
          </cell>
        </row>
        <row r="1524">
          <cell r="C1524" t="str">
            <v>CUNETA</v>
          </cell>
          <cell r="D1524">
            <v>0.33200000000000002</v>
          </cell>
          <cell r="E1524">
            <v>1.42</v>
          </cell>
        </row>
        <row r="1525">
          <cell r="C1525" t="str">
            <v>BASE_GRANULAR</v>
          </cell>
          <cell r="D1525">
            <v>0.754</v>
          </cell>
          <cell r="E1525">
            <v>3.2469999999999999</v>
          </cell>
        </row>
        <row r="1526">
          <cell r="C1526" t="str">
            <v>RECICLADO</v>
          </cell>
          <cell r="D1526">
            <v>1.881</v>
          </cell>
          <cell r="E1526">
            <v>8.1210000000000004</v>
          </cell>
        </row>
        <row r="1527">
          <cell r="C1527" t="str">
            <v>CONCRETO_ASFÁLTICO</v>
          </cell>
          <cell r="D1527">
            <v>0.4</v>
          </cell>
          <cell r="E1527">
            <v>3.5000000000000003E-2</v>
          </cell>
        </row>
        <row r="1528">
          <cell r="C1528" t="str">
            <v>CUNETA</v>
          </cell>
          <cell r="D1528">
            <v>0.33200000000000002</v>
          </cell>
          <cell r="E1528">
            <v>2.9000000000000001E-2</v>
          </cell>
        </row>
        <row r="1529">
          <cell r="C1529" t="str">
            <v>BASE_GRANULAR</v>
          </cell>
          <cell r="D1529">
            <v>0.76200000000000001</v>
          </cell>
          <cell r="E1529">
            <v>6.6000000000000003E-2</v>
          </cell>
        </row>
        <row r="1530">
          <cell r="C1530" t="str">
            <v>RECICLADO</v>
          </cell>
          <cell r="D1530">
            <v>1.911</v>
          </cell>
          <cell r="E1530">
            <v>0.16500000000000001</v>
          </cell>
        </row>
        <row r="1531">
          <cell r="C1531" t="str">
            <v>CONCRETO_ASFÁLTICO</v>
          </cell>
          <cell r="D1531">
            <v>0.4</v>
          </cell>
          <cell r="E1531">
            <v>2.2509999999999999</v>
          </cell>
        </row>
        <row r="1532">
          <cell r="C1532" t="str">
            <v>CUNETA</v>
          </cell>
          <cell r="D1532">
            <v>0.33200000000000002</v>
          </cell>
          <cell r="E1532">
            <v>1.8660000000000001</v>
          </cell>
        </row>
        <row r="1533">
          <cell r="C1533" t="str">
            <v>BASE_GRANULAR</v>
          </cell>
          <cell r="D1533">
            <v>0.76200000000000001</v>
          </cell>
          <cell r="E1533">
            <v>4.2889999999999997</v>
          </cell>
        </row>
        <row r="1534">
          <cell r="C1534" t="str">
            <v>RECICLADO</v>
          </cell>
          <cell r="D1534">
            <v>1.911</v>
          </cell>
          <cell r="E1534">
            <v>10.763</v>
          </cell>
        </row>
        <row r="1535">
          <cell r="C1535" t="str">
            <v>CONCRETO_ASFÁLTICO</v>
          </cell>
          <cell r="D1535">
            <v>0.4</v>
          </cell>
          <cell r="E1535">
            <v>3.3879999999999999</v>
          </cell>
        </row>
        <row r="1536">
          <cell r="C1536" t="str">
            <v>CUNETA</v>
          </cell>
          <cell r="D1536">
            <v>0.33200000000000002</v>
          </cell>
          <cell r="E1536">
            <v>2.8079999999999998</v>
          </cell>
        </row>
        <row r="1537">
          <cell r="C1537" t="str">
            <v>BASE_GRANULAR</v>
          </cell>
          <cell r="D1537">
            <v>0.76200000000000001</v>
          </cell>
          <cell r="E1537">
            <v>6.4539999999999997</v>
          </cell>
        </row>
        <row r="1538">
          <cell r="C1538" t="str">
            <v>RECICLADO</v>
          </cell>
          <cell r="D1538">
            <v>1.911</v>
          </cell>
          <cell r="E1538">
            <v>16.199000000000002</v>
          </cell>
        </row>
        <row r="1539">
          <cell r="C1539" t="str">
            <v>CONCRETO_ASFÁLTICO</v>
          </cell>
          <cell r="D1539">
            <v>0.4</v>
          </cell>
          <cell r="E1539">
            <v>0.61199999999999999</v>
          </cell>
        </row>
        <row r="1540">
          <cell r="C1540" t="str">
            <v>CUNETA</v>
          </cell>
          <cell r="D1540">
            <v>0.33200000000000002</v>
          </cell>
          <cell r="E1540">
            <v>0.50700000000000001</v>
          </cell>
        </row>
        <row r="1541">
          <cell r="C1541" t="str">
            <v>BASE_GRANULAR</v>
          </cell>
          <cell r="D1541">
            <v>0.76200000000000001</v>
          </cell>
          <cell r="E1541">
            <v>1.1659999999999999</v>
          </cell>
        </row>
        <row r="1542">
          <cell r="C1542" t="str">
            <v>RECICLADO</v>
          </cell>
          <cell r="D1542">
            <v>1.911</v>
          </cell>
          <cell r="E1542">
            <v>2.9289999999999998</v>
          </cell>
        </row>
        <row r="1543">
          <cell r="C1543" t="str">
            <v>CONCRETO_ASFÁLTICO</v>
          </cell>
          <cell r="D1543">
            <v>0.4</v>
          </cell>
          <cell r="E1543">
            <v>3.9990000000000001</v>
          </cell>
        </row>
        <row r="1544">
          <cell r="C1544" t="str">
            <v>CUNETA</v>
          </cell>
          <cell r="D1544">
            <v>0.33200000000000002</v>
          </cell>
          <cell r="E1544">
            <v>3.3149999999999999</v>
          </cell>
        </row>
        <row r="1545">
          <cell r="C1545" t="str">
            <v>BASE_GRANULAR</v>
          </cell>
          <cell r="D1545">
            <v>0.76200000000000001</v>
          </cell>
          <cell r="E1545">
            <v>7.625</v>
          </cell>
        </row>
        <row r="1546">
          <cell r="C1546" t="str">
            <v>RECICLADO</v>
          </cell>
          <cell r="D1546">
            <v>1.911</v>
          </cell>
          <cell r="E1546">
            <v>19.151</v>
          </cell>
        </row>
        <row r="1547">
          <cell r="C1547" t="str">
            <v>CONCRETO_ASFÁLTICO</v>
          </cell>
          <cell r="D1547">
            <v>0.4</v>
          </cell>
          <cell r="E1547">
            <v>3.0030000000000001</v>
          </cell>
        </row>
        <row r="1548">
          <cell r="C1548" t="str">
            <v>CUNETA</v>
          </cell>
          <cell r="D1548">
            <v>0.33200000000000002</v>
          </cell>
          <cell r="E1548">
            <v>2.4889999999999999</v>
          </cell>
        </row>
        <row r="1549">
          <cell r="C1549" t="str">
            <v>BASE_GRANULAR</v>
          </cell>
          <cell r="D1549">
            <v>0.76200000000000001</v>
          </cell>
          <cell r="E1549">
            <v>5.726</v>
          </cell>
        </row>
        <row r="1550">
          <cell r="C1550" t="str">
            <v>RECICLADO</v>
          </cell>
          <cell r="D1550">
            <v>1.911</v>
          </cell>
          <cell r="E1550">
            <v>14.38</v>
          </cell>
        </row>
        <row r="1551">
          <cell r="C1551" t="str">
            <v>CONCRETO_ASFÁLTICO</v>
          </cell>
          <cell r="D1551">
            <v>0.4</v>
          </cell>
          <cell r="E1551">
            <v>0.996</v>
          </cell>
        </row>
        <row r="1552">
          <cell r="C1552" t="str">
            <v>CUNETA</v>
          </cell>
          <cell r="D1552">
            <v>0.33200000000000002</v>
          </cell>
          <cell r="E1552">
            <v>0.82599999999999996</v>
          </cell>
        </row>
        <row r="1553">
          <cell r="C1553" t="str">
            <v>BASE_GRANULAR</v>
          </cell>
          <cell r="D1553">
            <v>0.76200000000000001</v>
          </cell>
          <cell r="E1553">
            <v>1.8979999999999999</v>
          </cell>
        </row>
        <row r="1554">
          <cell r="C1554" t="str">
            <v>RECICLADO</v>
          </cell>
          <cell r="D1554">
            <v>1.911</v>
          </cell>
          <cell r="E1554">
            <v>4.7619999999999996</v>
          </cell>
        </row>
        <row r="1555">
          <cell r="C1555" t="str">
            <v>CONCRETO_ASFÁLTICO</v>
          </cell>
          <cell r="D1555">
            <v>0.4</v>
          </cell>
          <cell r="E1555">
            <v>3.9990000000000001</v>
          </cell>
        </row>
        <row r="1556">
          <cell r="C1556" t="str">
            <v>CUNETA</v>
          </cell>
          <cell r="D1556">
            <v>0.33200000000000002</v>
          </cell>
          <cell r="E1556">
            <v>3.3149999999999999</v>
          </cell>
        </row>
        <row r="1557">
          <cell r="C1557" t="str">
            <v>BASE_GRANULAR</v>
          </cell>
          <cell r="D1557">
            <v>0.75600000000000001</v>
          </cell>
          <cell r="E1557">
            <v>7.59</v>
          </cell>
        </row>
        <row r="1558">
          <cell r="C1558" t="str">
            <v>RECICLADO</v>
          </cell>
          <cell r="D1558">
            <v>1.8879999999999999</v>
          </cell>
          <cell r="E1558">
            <v>19.001999999999999</v>
          </cell>
        </row>
        <row r="1559">
          <cell r="C1559" t="str">
            <v>CONCRETO_ASFÁLTICO</v>
          </cell>
          <cell r="D1559">
            <v>0.4</v>
          </cell>
          <cell r="E1559">
            <v>0.64300000000000002</v>
          </cell>
        </row>
        <row r="1560">
          <cell r="C1560" t="str">
            <v>CUNETA</v>
          </cell>
          <cell r="D1560">
            <v>0.33200000000000002</v>
          </cell>
          <cell r="E1560">
            <v>0.53300000000000003</v>
          </cell>
        </row>
        <row r="1561">
          <cell r="C1561" t="str">
            <v>BASE_GRANULAR</v>
          </cell>
          <cell r="D1561">
            <v>0.755</v>
          </cell>
          <cell r="E1561">
            <v>1.2150000000000001</v>
          </cell>
        </row>
        <row r="1562">
          <cell r="C1562" t="str">
            <v>RECICLADO</v>
          </cell>
          <cell r="D1562">
            <v>1.8819999999999999</v>
          </cell>
          <cell r="E1562">
            <v>3.0329999999999999</v>
          </cell>
        </row>
        <row r="1563">
          <cell r="C1563" t="str">
            <v>CONCRETO_ASFÁLTICO</v>
          </cell>
          <cell r="D1563">
            <v>0.4</v>
          </cell>
          <cell r="E1563">
            <v>0.53900000000000003</v>
          </cell>
        </row>
        <row r="1564">
          <cell r="C1564" t="str">
            <v>CUNETA</v>
          </cell>
          <cell r="D1564">
            <v>0.33200000000000002</v>
          </cell>
          <cell r="E1564">
            <v>0.44700000000000001</v>
          </cell>
        </row>
        <row r="1565">
          <cell r="C1565" t="str">
            <v>BASE_GRANULAR</v>
          </cell>
          <cell r="D1565">
            <v>0.755</v>
          </cell>
          <cell r="E1565">
            <v>1.018</v>
          </cell>
        </row>
        <row r="1566">
          <cell r="C1566" t="str">
            <v>RECICLADO</v>
          </cell>
          <cell r="D1566">
            <v>1.8839999999999999</v>
          </cell>
          <cell r="E1566">
            <v>2.54</v>
          </cell>
        </row>
        <row r="1567">
          <cell r="C1567" t="str">
            <v>CONCRETO_ASFÁLTICO</v>
          </cell>
          <cell r="D1567">
            <v>0.4</v>
          </cell>
          <cell r="E1567">
            <v>2.8170000000000002</v>
          </cell>
        </row>
        <row r="1568">
          <cell r="C1568" t="str">
            <v>CUNETA</v>
          </cell>
          <cell r="D1568">
            <v>0.33200000000000002</v>
          </cell>
          <cell r="E1568">
            <v>2.335</v>
          </cell>
        </row>
        <row r="1569">
          <cell r="C1569" t="str">
            <v>BASE_GRANULAR</v>
          </cell>
          <cell r="D1569">
            <v>0.76200000000000001</v>
          </cell>
          <cell r="E1569">
            <v>5.3419999999999996</v>
          </cell>
        </row>
        <row r="1570">
          <cell r="C1570" t="str">
            <v>RECICLADO</v>
          </cell>
          <cell r="D1570">
            <v>1.911</v>
          </cell>
          <cell r="E1570">
            <v>13.369</v>
          </cell>
        </row>
        <row r="1571">
          <cell r="C1571" t="str">
            <v>CONCRETO_ASFÁLTICO</v>
          </cell>
          <cell r="D1571">
            <v>0.4</v>
          </cell>
          <cell r="E1571">
            <v>2.8220000000000001</v>
          </cell>
        </row>
        <row r="1572">
          <cell r="C1572" t="str">
            <v>CUNETA</v>
          </cell>
          <cell r="D1572">
            <v>0.33200000000000002</v>
          </cell>
          <cell r="E1572">
            <v>2.34</v>
          </cell>
        </row>
        <row r="1573">
          <cell r="C1573" t="str">
            <v>BASE_GRANULAR</v>
          </cell>
          <cell r="D1573">
            <v>0.76200000000000001</v>
          </cell>
          <cell r="E1573">
            <v>5.3780000000000001</v>
          </cell>
        </row>
        <row r="1574">
          <cell r="C1574" t="str">
            <v>RECICLADO</v>
          </cell>
          <cell r="D1574">
            <v>1.911</v>
          </cell>
          <cell r="E1574">
            <v>13.497999999999999</v>
          </cell>
        </row>
        <row r="1575">
          <cell r="C1575" t="str">
            <v>CONCRETO_ASFÁLTICO</v>
          </cell>
          <cell r="D1575">
            <v>0.4</v>
          </cell>
          <cell r="E1575">
            <v>1.177</v>
          </cell>
        </row>
        <row r="1576">
          <cell r="C1576" t="str">
            <v>CUNETA</v>
          </cell>
          <cell r="D1576">
            <v>0.33200000000000002</v>
          </cell>
          <cell r="E1576">
            <v>0.97599999999999998</v>
          </cell>
        </row>
        <row r="1577">
          <cell r="C1577" t="str">
            <v>BASE_GRANULAR</v>
          </cell>
          <cell r="D1577">
            <v>0.76200000000000001</v>
          </cell>
          <cell r="E1577">
            <v>2.2469999999999999</v>
          </cell>
        </row>
        <row r="1578">
          <cell r="C1578" t="str">
            <v>RECICLADO</v>
          </cell>
          <cell r="D1578">
            <v>1.911</v>
          </cell>
          <cell r="E1578">
            <v>5.6479999999999997</v>
          </cell>
        </row>
        <row r="1579">
          <cell r="C1579" t="str">
            <v>CONCRETO_ASFÁLTICO</v>
          </cell>
          <cell r="D1579">
            <v>0.4</v>
          </cell>
          <cell r="E1579">
            <v>3.9990000000000001</v>
          </cell>
        </row>
        <row r="1580">
          <cell r="C1580" t="str">
            <v>CUNETA</v>
          </cell>
          <cell r="D1580">
            <v>0.33200000000000002</v>
          </cell>
          <cell r="E1580">
            <v>3.3149999999999999</v>
          </cell>
        </row>
        <row r="1581">
          <cell r="C1581" t="str">
            <v>BASE_GRANULAR</v>
          </cell>
          <cell r="D1581">
            <v>0.76200000000000001</v>
          </cell>
          <cell r="E1581">
            <v>7.6340000000000003</v>
          </cell>
        </row>
        <row r="1582">
          <cell r="C1582" t="str">
            <v>RECICLADO</v>
          </cell>
          <cell r="D1582">
            <v>1.911</v>
          </cell>
          <cell r="E1582">
            <v>19.193000000000001</v>
          </cell>
        </row>
        <row r="1583">
          <cell r="C1583" t="str">
            <v>CONCRETO_ASFÁLTICO</v>
          </cell>
          <cell r="D1583">
            <v>0.4</v>
          </cell>
          <cell r="E1583">
            <v>1.56</v>
          </cell>
        </row>
        <row r="1584">
          <cell r="C1584" t="str">
            <v>CUNETA</v>
          </cell>
          <cell r="D1584">
            <v>0.33200000000000002</v>
          </cell>
          <cell r="E1584">
            <v>1.294</v>
          </cell>
        </row>
        <row r="1585">
          <cell r="C1585" t="str">
            <v>BASE_GRANULAR</v>
          </cell>
          <cell r="D1585">
            <v>0.76200000000000001</v>
          </cell>
          <cell r="E1585">
            <v>2.9790000000000001</v>
          </cell>
        </row>
        <row r="1586">
          <cell r="C1586" t="str">
            <v>RECICLADO</v>
          </cell>
          <cell r="D1586">
            <v>1.911</v>
          </cell>
          <cell r="E1586">
            <v>7.4889999999999999</v>
          </cell>
        </row>
        <row r="1587">
          <cell r="C1587" t="str">
            <v>CONCRETO_ASFÁLTICO</v>
          </cell>
          <cell r="D1587">
            <v>0.4</v>
          </cell>
          <cell r="E1587">
            <v>2.4390000000000001</v>
          </cell>
        </row>
        <row r="1588">
          <cell r="C1588" t="str">
            <v>CUNETA</v>
          </cell>
          <cell r="D1588">
            <v>0.33200000000000002</v>
          </cell>
          <cell r="E1588">
            <v>2.0219999999999998</v>
          </cell>
        </row>
        <row r="1589">
          <cell r="C1589" t="str">
            <v>BASE_GRANULAR</v>
          </cell>
          <cell r="D1589">
            <v>0.76200000000000001</v>
          </cell>
          <cell r="E1589">
            <v>4.6470000000000002</v>
          </cell>
        </row>
        <row r="1590">
          <cell r="C1590" t="str">
            <v>RECICLADO</v>
          </cell>
          <cell r="D1590">
            <v>1.911</v>
          </cell>
          <cell r="E1590">
            <v>11.663</v>
          </cell>
        </row>
        <row r="1591">
          <cell r="C1591" t="str">
            <v>CONCRETO_ASFÁLTICO</v>
          </cell>
          <cell r="D1591">
            <v>0.4</v>
          </cell>
          <cell r="E1591">
            <v>3.2</v>
          </cell>
        </row>
        <row r="1592">
          <cell r="C1592" t="str">
            <v>CUNETA</v>
          </cell>
          <cell r="D1592">
            <v>0.33200000000000002</v>
          </cell>
          <cell r="E1592">
            <v>2.653</v>
          </cell>
        </row>
        <row r="1593">
          <cell r="C1593" t="str">
            <v>BASE_GRANULAR</v>
          </cell>
          <cell r="D1593">
            <v>0.755</v>
          </cell>
          <cell r="E1593">
            <v>6.07</v>
          </cell>
        </row>
        <row r="1594">
          <cell r="C1594" t="str">
            <v>RECICLADO</v>
          </cell>
          <cell r="D1594">
            <v>1.8839999999999999</v>
          </cell>
          <cell r="E1594">
            <v>15.191000000000001</v>
          </cell>
        </row>
        <row r="1595">
          <cell r="C1595" t="str">
            <v>CONCRETO_ASFÁLTICO</v>
          </cell>
          <cell r="D1595">
            <v>0.4</v>
          </cell>
          <cell r="E1595">
            <v>0.71299999999999997</v>
          </cell>
        </row>
        <row r="1596">
          <cell r="C1596" t="str">
            <v>CUNETA</v>
          </cell>
          <cell r="D1596">
            <v>0.33200000000000002</v>
          </cell>
          <cell r="E1596">
            <v>0.59099999999999997</v>
          </cell>
        </row>
        <row r="1597">
          <cell r="C1597" t="str">
            <v>BASE_GRANULAR</v>
          </cell>
          <cell r="D1597">
            <v>0.755</v>
          </cell>
          <cell r="E1597">
            <v>1.3460000000000001</v>
          </cell>
        </row>
        <row r="1598">
          <cell r="C1598" t="str">
            <v>RECICLADO</v>
          </cell>
          <cell r="D1598">
            <v>1.883</v>
          </cell>
          <cell r="E1598">
            <v>3.3570000000000002</v>
          </cell>
        </row>
        <row r="1599">
          <cell r="C1599" t="str">
            <v>CONCRETO_ASFÁLTICO</v>
          </cell>
          <cell r="D1599">
            <v>0.4</v>
          </cell>
          <cell r="E1599">
            <v>8.5999999999999993E-2</v>
          </cell>
        </row>
        <row r="1600">
          <cell r="C1600" t="str">
            <v>CUNETA</v>
          </cell>
          <cell r="D1600">
            <v>0.33200000000000002</v>
          </cell>
          <cell r="E1600">
            <v>7.1999999999999995E-2</v>
          </cell>
        </row>
        <row r="1601">
          <cell r="C1601" t="str">
            <v>BASE_GRANULAR</v>
          </cell>
          <cell r="D1601">
            <v>0.755</v>
          </cell>
          <cell r="E1601">
            <v>0.16300000000000001</v>
          </cell>
        </row>
        <row r="1602">
          <cell r="C1602" t="str">
            <v>RECICLADO</v>
          </cell>
          <cell r="D1602">
            <v>1.8839999999999999</v>
          </cell>
          <cell r="E1602">
            <v>0.40699999999999997</v>
          </cell>
        </row>
        <row r="1603">
          <cell r="C1603" t="str">
            <v>CONCRETO_ASFÁLTICO</v>
          </cell>
          <cell r="D1603">
            <v>0.4</v>
          </cell>
          <cell r="E1603">
            <v>3.9990000000000001</v>
          </cell>
        </row>
        <row r="1604">
          <cell r="C1604" t="str">
            <v>CUNETA</v>
          </cell>
          <cell r="D1604">
            <v>0.33200000000000002</v>
          </cell>
          <cell r="E1604">
            <v>3.3149999999999999</v>
          </cell>
        </row>
        <row r="1605">
          <cell r="C1605" t="str">
            <v>BASE_GRANULAR</v>
          </cell>
          <cell r="D1605">
            <v>0.76100000000000001</v>
          </cell>
          <cell r="E1605">
            <v>7.5830000000000002</v>
          </cell>
        </row>
        <row r="1606">
          <cell r="C1606" t="str">
            <v>RECICLADO</v>
          </cell>
          <cell r="D1606">
            <v>1.91</v>
          </cell>
          <cell r="E1606">
            <v>18.971</v>
          </cell>
        </row>
        <row r="1607">
          <cell r="C1607" t="str">
            <v>CONCRETO_ASFÁLTICO</v>
          </cell>
          <cell r="D1607">
            <v>0.4</v>
          </cell>
          <cell r="E1607">
            <v>2.3130000000000002</v>
          </cell>
        </row>
        <row r="1608">
          <cell r="C1608" t="str">
            <v>CUNETA</v>
          </cell>
          <cell r="D1608">
            <v>0.33200000000000002</v>
          </cell>
          <cell r="E1608">
            <v>1.9179999999999999</v>
          </cell>
        </row>
        <row r="1609">
          <cell r="C1609" t="str">
            <v>BASE_GRANULAR</v>
          </cell>
          <cell r="D1609">
            <v>0.76200000000000001</v>
          </cell>
          <cell r="E1609">
            <v>4.4050000000000002</v>
          </cell>
        </row>
        <row r="1610">
          <cell r="C1610" t="str">
            <v>RECICLADO</v>
          </cell>
          <cell r="D1610">
            <v>1.911</v>
          </cell>
          <cell r="E1610">
            <v>11.053000000000001</v>
          </cell>
        </row>
        <row r="1611">
          <cell r="C1611" t="str">
            <v>CONCRETO_ASFÁLTICO</v>
          </cell>
          <cell r="D1611">
            <v>0.4</v>
          </cell>
          <cell r="E1611">
            <v>1.6859999999999999</v>
          </cell>
        </row>
        <row r="1612">
          <cell r="C1612" t="str">
            <v>CUNETA</v>
          </cell>
          <cell r="D1612">
            <v>0.33200000000000002</v>
          </cell>
          <cell r="E1612">
            <v>1.3979999999999999</v>
          </cell>
        </row>
        <row r="1613">
          <cell r="C1613" t="str">
            <v>BASE_GRANULAR</v>
          </cell>
          <cell r="D1613">
            <v>0.76200000000000001</v>
          </cell>
          <cell r="E1613">
            <v>3.2130000000000001</v>
          </cell>
        </row>
        <row r="1614">
          <cell r="C1614" t="str">
            <v>RECICLADO</v>
          </cell>
          <cell r="D1614">
            <v>1.911</v>
          </cell>
          <cell r="E1614">
            <v>8.0630000000000006</v>
          </cell>
        </row>
        <row r="1615">
          <cell r="C1615" t="str">
            <v>CONCRETO_ASFÁLTICO</v>
          </cell>
          <cell r="D1615">
            <v>0.4</v>
          </cell>
          <cell r="E1615">
            <v>3.9990000000000001</v>
          </cell>
        </row>
        <row r="1616">
          <cell r="C1616" t="str">
            <v>CUNETA</v>
          </cell>
          <cell r="D1616">
            <v>0.33200000000000002</v>
          </cell>
          <cell r="E1616">
            <v>3.3149999999999999</v>
          </cell>
        </row>
        <row r="1617">
          <cell r="C1617" t="str">
            <v>BASE_GRANULAR</v>
          </cell>
          <cell r="D1617">
            <v>0.76200000000000001</v>
          </cell>
          <cell r="E1617">
            <v>7.62</v>
          </cell>
        </row>
        <row r="1618">
          <cell r="C1618" t="str">
            <v>RECICLADO</v>
          </cell>
          <cell r="D1618">
            <v>1.911</v>
          </cell>
          <cell r="E1618">
            <v>19.126000000000001</v>
          </cell>
        </row>
        <row r="1619">
          <cell r="C1619" t="str">
            <v>CONCRETO_ASFÁLTICO</v>
          </cell>
          <cell r="D1619">
            <v>0.4</v>
          </cell>
          <cell r="E1619">
            <v>1.087</v>
          </cell>
        </row>
        <row r="1620">
          <cell r="C1620" t="str">
            <v>CUNETA</v>
          </cell>
          <cell r="D1620">
            <v>0.33200000000000002</v>
          </cell>
          <cell r="E1620">
            <v>0.90100000000000002</v>
          </cell>
        </row>
        <row r="1621">
          <cell r="C1621" t="str">
            <v>BASE_GRANULAR</v>
          </cell>
          <cell r="D1621">
            <v>0.76200000000000001</v>
          </cell>
          <cell r="E1621">
            <v>2.0710000000000002</v>
          </cell>
        </row>
        <row r="1622">
          <cell r="C1622" t="str">
            <v>RECICLADO</v>
          </cell>
          <cell r="D1622">
            <v>1.911</v>
          </cell>
          <cell r="E1622">
            <v>5.1970000000000001</v>
          </cell>
        </row>
        <row r="1623">
          <cell r="C1623" t="str">
            <v>CONCRETO_ASFÁLTICO</v>
          </cell>
          <cell r="D1623">
            <v>0.4</v>
          </cell>
          <cell r="E1623">
            <v>2.9119999999999999</v>
          </cell>
        </row>
        <row r="1624">
          <cell r="C1624" t="str">
            <v>CUNETA</v>
          </cell>
          <cell r="D1624">
            <v>0.33200000000000002</v>
          </cell>
          <cell r="E1624">
            <v>2.4140000000000001</v>
          </cell>
        </row>
        <row r="1625">
          <cell r="C1625" t="str">
            <v>BASE_GRANULAR</v>
          </cell>
          <cell r="D1625">
            <v>0.76200000000000001</v>
          </cell>
          <cell r="E1625">
            <v>5.548</v>
          </cell>
        </row>
        <row r="1626">
          <cell r="C1626" t="str">
            <v>RECICLADO</v>
          </cell>
          <cell r="D1626">
            <v>1.911</v>
          </cell>
          <cell r="E1626">
            <v>13.920999999999999</v>
          </cell>
        </row>
        <row r="1627">
          <cell r="C1627" t="str">
            <v>CONCRETO_ASFÁLTICO</v>
          </cell>
          <cell r="D1627">
            <v>0.4</v>
          </cell>
          <cell r="E1627">
            <v>3.4860000000000002</v>
          </cell>
        </row>
        <row r="1628">
          <cell r="C1628" t="str">
            <v>CUNETA</v>
          </cell>
          <cell r="D1628">
            <v>0.33200000000000002</v>
          </cell>
          <cell r="E1628">
            <v>2.89</v>
          </cell>
        </row>
        <row r="1629">
          <cell r="C1629" t="str">
            <v>BASE_GRANULAR</v>
          </cell>
          <cell r="D1629">
            <v>0.754</v>
          </cell>
          <cell r="E1629">
            <v>6.6079999999999997</v>
          </cell>
        </row>
        <row r="1630">
          <cell r="C1630" t="str">
            <v>RECICLADO</v>
          </cell>
          <cell r="D1630">
            <v>1.881</v>
          </cell>
          <cell r="E1630">
            <v>16.53</v>
          </cell>
        </row>
        <row r="1631">
          <cell r="C1631" t="str">
            <v>CONCRETO_ASFÁLTICO</v>
          </cell>
          <cell r="D1631">
            <v>0.4</v>
          </cell>
          <cell r="E1631">
            <v>0.214</v>
          </cell>
        </row>
        <row r="1632">
          <cell r="C1632" t="str">
            <v>CUNETA</v>
          </cell>
          <cell r="D1632">
            <v>0.33200000000000002</v>
          </cell>
          <cell r="E1632">
            <v>0.17799999999999999</v>
          </cell>
        </row>
        <row r="1633">
          <cell r="C1633" t="str">
            <v>BASE_GRANULAR</v>
          </cell>
          <cell r="D1633">
            <v>0.76200000000000001</v>
          </cell>
          <cell r="E1633">
            <v>0.40699999999999997</v>
          </cell>
        </row>
        <row r="1634">
          <cell r="C1634" t="str">
            <v>RECICLADO</v>
          </cell>
          <cell r="D1634">
            <v>1.911</v>
          </cell>
          <cell r="E1634">
            <v>1.0169999999999999</v>
          </cell>
        </row>
        <row r="1635">
          <cell r="C1635" t="str">
            <v>CONCRETO_ASFÁLTICO</v>
          </cell>
          <cell r="D1635">
            <v>0.4</v>
          </cell>
          <cell r="E1635">
            <v>0.29799999999999999</v>
          </cell>
        </row>
        <row r="1636">
          <cell r="C1636" t="str">
            <v>CUNETA</v>
          </cell>
          <cell r="D1636">
            <v>0.33200000000000002</v>
          </cell>
          <cell r="E1636">
            <v>0.247</v>
          </cell>
        </row>
        <row r="1637">
          <cell r="C1637" t="str">
            <v>BASE_GRANULAR</v>
          </cell>
          <cell r="D1637">
            <v>0.76200000000000001</v>
          </cell>
          <cell r="E1637">
            <v>0.56799999999999995</v>
          </cell>
        </row>
        <row r="1638">
          <cell r="C1638" t="str">
            <v>RECICLADO</v>
          </cell>
          <cell r="D1638">
            <v>1.911</v>
          </cell>
          <cell r="E1638">
            <v>1.4259999999999999</v>
          </cell>
        </row>
        <row r="1639">
          <cell r="C1639" t="str">
            <v>CONCRETO_ASFÁLTICO</v>
          </cell>
          <cell r="D1639">
            <v>0.4</v>
          </cell>
          <cell r="E1639">
            <v>3.9990000000000001</v>
          </cell>
        </row>
        <row r="1640">
          <cell r="C1640" t="str">
            <v>CUNETA</v>
          </cell>
          <cell r="D1640">
            <v>0.33200000000000002</v>
          </cell>
          <cell r="E1640">
            <v>3.3149999999999999</v>
          </cell>
        </row>
        <row r="1641">
          <cell r="C1641" t="str">
            <v>BASE_GRANULAR</v>
          </cell>
          <cell r="D1641">
            <v>0.76200000000000001</v>
          </cell>
          <cell r="E1641">
            <v>7.6239999999999997</v>
          </cell>
        </row>
        <row r="1642">
          <cell r="C1642" t="str">
            <v>RECICLADO</v>
          </cell>
          <cell r="D1642">
            <v>1.911</v>
          </cell>
          <cell r="E1642">
            <v>19.141999999999999</v>
          </cell>
        </row>
        <row r="1643">
          <cell r="C1643" t="str">
            <v>CONCRETO_ASFÁLTICO</v>
          </cell>
          <cell r="D1643">
            <v>0.4</v>
          </cell>
          <cell r="E1643">
            <v>1.381</v>
          </cell>
        </row>
        <row r="1644">
          <cell r="C1644" t="str">
            <v>CUNETA</v>
          </cell>
          <cell r="D1644">
            <v>0.33200000000000002</v>
          </cell>
          <cell r="E1644">
            <v>1.145</v>
          </cell>
        </row>
        <row r="1645">
          <cell r="C1645" t="str">
            <v>BASE_GRANULAR</v>
          </cell>
          <cell r="D1645">
            <v>0.76200000000000001</v>
          </cell>
          <cell r="E1645">
            <v>2.6320000000000001</v>
          </cell>
        </row>
        <row r="1646">
          <cell r="C1646" t="str">
            <v>RECICLADO</v>
          </cell>
          <cell r="D1646">
            <v>1.911</v>
          </cell>
          <cell r="E1646">
            <v>6.6050000000000004</v>
          </cell>
        </row>
        <row r="1647">
          <cell r="C1647" t="str">
            <v>CONCRETO_ASFÁLTICO</v>
          </cell>
          <cell r="D1647">
            <v>0.4</v>
          </cell>
          <cell r="E1647">
            <v>2.6179999999999999</v>
          </cell>
        </row>
        <row r="1648">
          <cell r="C1648" t="str">
            <v>CUNETA</v>
          </cell>
          <cell r="D1648">
            <v>0.33200000000000002</v>
          </cell>
          <cell r="E1648">
            <v>2.17</v>
          </cell>
        </row>
        <row r="1649">
          <cell r="C1649" t="str">
            <v>BASE_GRANULAR</v>
          </cell>
          <cell r="D1649">
            <v>0.76200000000000001</v>
          </cell>
          <cell r="E1649">
            <v>4.9980000000000002</v>
          </cell>
        </row>
        <row r="1650">
          <cell r="C1650" t="str">
            <v>RECICLADO</v>
          </cell>
          <cell r="D1650">
            <v>1.911</v>
          </cell>
          <cell r="E1650">
            <v>12.567</v>
          </cell>
        </row>
        <row r="1651">
          <cell r="C1651" t="str">
            <v>CONCRETO_ASFÁLTICO</v>
          </cell>
          <cell r="D1651">
            <v>0.4</v>
          </cell>
          <cell r="E1651">
            <v>3.621</v>
          </cell>
        </row>
        <row r="1652">
          <cell r="C1652" t="str">
            <v>CUNETA</v>
          </cell>
          <cell r="D1652">
            <v>0.33200000000000002</v>
          </cell>
          <cell r="E1652">
            <v>3.0009999999999999</v>
          </cell>
        </row>
        <row r="1653">
          <cell r="C1653" t="str">
            <v>BASE_GRANULAR</v>
          </cell>
          <cell r="D1653">
            <v>0.76200000000000001</v>
          </cell>
          <cell r="E1653">
            <v>6.9119999999999999</v>
          </cell>
        </row>
        <row r="1654">
          <cell r="C1654" t="str">
            <v>RECICLADO</v>
          </cell>
          <cell r="D1654">
            <v>1.911</v>
          </cell>
          <cell r="E1654">
            <v>17.38</v>
          </cell>
        </row>
        <row r="1655">
          <cell r="C1655" t="str">
            <v>CONCRETO_ASFÁLTICO</v>
          </cell>
          <cell r="D1655">
            <v>0.4</v>
          </cell>
          <cell r="E1655">
            <v>0.379</v>
          </cell>
        </row>
        <row r="1656">
          <cell r="C1656" t="str">
            <v>CUNETA</v>
          </cell>
          <cell r="D1656">
            <v>0.33200000000000002</v>
          </cell>
          <cell r="E1656">
            <v>0.314</v>
          </cell>
        </row>
        <row r="1657">
          <cell r="C1657" t="str">
            <v>BASE_GRANULAR</v>
          </cell>
          <cell r="D1657">
            <v>0.76200000000000001</v>
          </cell>
          <cell r="E1657">
            <v>0.72099999999999997</v>
          </cell>
        </row>
        <row r="1658">
          <cell r="C1658" t="str">
            <v>RECICLADO</v>
          </cell>
          <cell r="D1658">
            <v>1.911</v>
          </cell>
          <cell r="E1658">
            <v>1.81</v>
          </cell>
        </row>
        <row r="1659">
          <cell r="C1659" t="str">
            <v>CONCRETO_ASFÁLTICO</v>
          </cell>
          <cell r="D1659">
            <v>0.4</v>
          </cell>
          <cell r="E1659">
            <v>3.9990000000000001</v>
          </cell>
        </row>
        <row r="1660">
          <cell r="C1660" t="str">
            <v>CUNETA</v>
          </cell>
          <cell r="D1660">
            <v>0.33200000000000002</v>
          </cell>
          <cell r="E1660">
            <v>3.3149999999999999</v>
          </cell>
        </row>
        <row r="1661">
          <cell r="C1661" t="str">
            <v>BASE_GRANULAR</v>
          </cell>
          <cell r="D1661">
            <v>0.76200000000000001</v>
          </cell>
          <cell r="E1661">
            <v>7.6239999999999997</v>
          </cell>
        </row>
        <row r="1662">
          <cell r="C1662" t="str">
            <v>RECICLADO</v>
          </cell>
          <cell r="D1662">
            <v>1.911</v>
          </cell>
          <cell r="E1662">
            <v>19.141999999999999</v>
          </cell>
        </row>
        <row r="1663">
          <cell r="C1663" t="str">
            <v>CONCRETO_ASFÁLTICO</v>
          </cell>
          <cell r="D1663">
            <v>0.4</v>
          </cell>
          <cell r="E1663">
            <v>1.3009999999999999</v>
          </cell>
        </row>
        <row r="1664">
          <cell r="C1664" t="str">
            <v>CUNETA</v>
          </cell>
          <cell r="D1664">
            <v>0.33200000000000002</v>
          </cell>
          <cell r="E1664">
            <v>1.079</v>
          </cell>
        </row>
        <row r="1665">
          <cell r="C1665" t="str">
            <v>BASE_GRANULAR</v>
          </cell>
          <cell r="D1665">
            <v>0.754</v>
          </cell>
          <cell r="E1665">
            <v>2.4660000000000002</v>
          </cell>
        </row>
        <row r="1666">
          <cell r="C1666" t="str">
            <v>RECICLADO</v>
          </cell>
          <cell r="D1666">
            <v>1.881</v>
          </cell>
          <cell r="E1666">
            <v>6.17</v>
          </cell>
        </row>
        <row r="1667">
          <cell r="C1667" t="str">
            <v>CONCRETO_ASFÁLTICO</v>
          </cell>
          <cell r="D1667">
            <v>0.4</v>
          </cell>
          <cell r="E1667">
            <v>2.1000000000000001E-2</v>
          </cell>
        </row>
        <row r="1668">
          <cell r="C1668" t="str">
            <v>CUNETA</v>
          </cell>
          <cell r="D1668">
            <v>0.33200000000000002</v>
          </cell>
          <cell r="E1668">
            <v>1.7000000000000001E-2</v>
          </cell>
        </row>
        <row r="1669">
          <cell r="C1669" t="str">
            <v>BASE_GRANULAR</v>
          </cell>
          <cell r="D1669">
            <v>0.76200000000000001</v>
          </cell>
          <cell r="E1669">
            <v>0.04</v>
          </cell>
        </row>
        <row r="1670">
          <cell r="C1670" t="str">
            <v>RECICLADO</v>
          </cell>
          <cell r="D1670">
            <v>1.911</v>
          </cell>
          <cell r="E1670">
            <v>9.9000000000000005E-2</v>
          </cell>
        </row>
        <row r="1671">
          <cell r="C1671" t="str">
            <v>CONCRETO_ASFÁLTICO</v>
          </cell>
          <cell r="D1671">
            <v>0.4</v>
          </cell>
          <cell r="E1671">
            <v>2.677</v>
          </cell>
        </row>
        <row r="1672">
          <cell r="C1672" t="str">
            <v>CUNETA</v>
          </cell>
          <cell r="D1672">
            <v>0.33200000000000002</v>
          </cell>
          <cell r="E1672">
            <v>2.2189999999999999</v>
          </cell>
        </row>
        <row r="1673">
          <cell r="C1673" t="str">
            <v>BASE_GRANULAR</v>
          </cell>
          <cell r="D1673">
            <v>0.76200000000000001</v>
          </cell>
          <cell r="E1673">
            <v>5.1029999999999998</v>
          </cell>
        </row>
        <row r="1674">
          <cell r="C1674" t="str">
            <v>RECICLADO</v>
          </cell>
          <cell r="D1674">
            <v>1.911</v>
          </cell>
          <cell r="E1674">
            <v>12.813000000000001</v>
          </cell>
        </row>
        <row r="1675">
          <cell r="C1675" t="str">
            <v>CONCRETO_ASFÁLTICO</v>
          </cell>
          <cell r="D1675">
            <v>0.4</v>
          </cell>
          <cell r="E1675">
            <v>2.6539999999999999</v>
          </cell>
        </row>
        <row r="1676">
          <cell r="C1676" t="str">
            <v>CUNETA</v>
          </cell>
          <cell r="D1676">
            <v>0.33200000000000002</v>
          </cell>
          <cell r="E1676">
            <v>2.2000000000000002</v>
          </cell>
        </row>
        <row r="1677">
          <cell r="C1677" t="str">
            <v>BASE_GRANULAR</v>
          </cell>
          <cell r="D1677">
            <v>0.76200000000000001</v>
          </cell>
          <cell r="E1677">
            <v>5.0579999999999998</v>
          </cell>
        </row>
        <row r="1678">
          <cell r="C1678" t="str">
            <v>RECICLADO</v>
          </cell>
          <cell r="D1678">
            <v>1.911</v>
          </cell>
          <cell r="E1678">
            <v>12.7</v>
          </cell>
        </row>
        <row r="1679">
          <cell r="C1679" t="str">
            <v>CONCRETO_ASFÁLTICO</v>
          </cell>
          <cell r="D1679">
            <v>0.4</v>
          </cell>
          <cell r="E1679">
            <v>1.3460000000000001</v>
          </cell>
        </row>
        <row r="1680">
          <cell r="C1680" t="str">
            <v>CUNETA</v>
          </cell>
          <cell r="D1680">
            <v>0.33200000000000002</v>
          </cell>
          <cell r="E1680">
            <v>1.115</v>
          </cell>
        </row>
        <row r="1681">
          <cell r="C1681" t="str">
            <v>BASE_GRANULAR</v>
          </cell>
          <cell r="D1681">
            <v>0.76200000000000001</v>
          </cell>
          <cell r="E1681">
            <v>2.5710000000000002</v>
          </cell>
        </row>
        <row r="1682">
          <cell r="C1682" t="str">
            <v>RECICLADO</v>
          </cell>
          <cell r="D1682">
            <v>1.911</v>
          </cell>
          <cell r="E1682">
            <v>6.4669999999999996</v>
          </cell>
        </row>
        <row r="1683">
          <cell r="C1683" t="str">
            <v>CONCRETO_ASFÁLTICO</v>
          </cell>
          <cell r="D1683">
            <v>0.4</v>
          </cell>
          <cell r="E1683">
            <v>3.9990000000000001</v>
          </cell>
        </row>
        <row r="1684">
          <cell r="C1684" t="str">
            <v>CUNETA</v>
          </cell>
          <cell r="D1684">
            <v>0.33200000000000002</v>
          </cell>
          <cell r="E1684">
            <v>3.3149999999999999</v>
          </cell>
        </row>
        <row r="1685">
          <cell r="C1685" t="str">
            <v>BASE_GRANULAR</v>
          </cell>
          <cell r="D1685">
            <v>0.76200000000000001</v>
          </cell>
          <cell r="E1685">
            <v>7.641</v>
          </cell>
        </row>
        <row r="1686">
          <cell r="C1686" t="str">
            <v>RECICLADO</v>
          </cell>
          <cell r="D1686">
            <v>1.911</v>
          </cell>
          <cell r="E1686">
            <v>19.222000000000001</v>
          </cell>
        </row>
        <row r="1687">
          <cell r="C1687" t="str">
            <v>CONCRETO_ASFÁLTICO</v>
          </cell>
          <cell r="D1687">
            <v>0.4</v>
          </cell>
          <cell r="E1687">
            <v>2.222</v>
          </cell>
        </row>
        <row r="1688">
          <cell r="C1688" t="str">
            <v>CUNETA</v>
          </cell>
          <cell r="D1688">
            <v>0.33200000000000002</v>
          </cell>
          <cell r="E1688">
            <v>1.8420000000000001</v>
          </cell>
        </row>
        <row r="1689">
          <cell r="C1689" t="str">
            <v>BASE_GRANULAR</v>
          </cell>
          <cell r="D1689">
            <v>0.76200000000000001</v>
          </cell>
          <cell r="E1689">
            <v>4.2439999999999998</v>
          </cell>
        </row>
        <row r="1690">
          <cell r="C1690" t="str">
            <v>RECICLADO</v>
          </cell>
          <cell r="D1690">
            <v>1.911</v>
          </cell>
          <cell r="E1690">
            <v>10.678000000000001</v>
          </cell>
        </row>
        <row r="1691">
          <cell r="C1691" t="str">
            <v>CONCRETO_ASFÁLTICO</v>
          </cell>
          <cell r="D1691">
            <v>0.4</v>
          </cell>
          <cell r="E1691">
            <v>1.778</v>
          </cell>
        </row>
        <row r="1692">
          <cell r="C1692" t="str">
            <v>CUNETA</v>
          </cell>
          <cell r="D1692">
            <v>0.33200000000000002</v>
          </cell>
          <cell r="E1692">
            <v>1.474</v>
          </cell>
        </row>
        <row r="1693">
          <cell r="C1693" t="str">
            <v>BASE_GRANULAR</v>
          </cell>
          <cell r="D1693">
            <v>0.76200000000000001</v>
          </cell>
          <cell r="E1693">
            <v>3.387</v>
          </cell>
        </row>
        <row r="1694">
          <cell r="C1694" t="str">
            <v>RECICLADO</v>
          </cell>
          <cell r="D1694">
            <v>1.911</v>
          </cell>
          <cell r="E1694">
            <v>8.5020000000000007</v>
          </cell>
        </row>
        <row r="1695">
          <cell r="C1695" t="str">
            <v>CONCRETO_ASFÁLTICO</v>
          </cell>
          <cell r="D1695">
            <v>0.4</v>
          </cell>
          <cell r="E1695">
            <v>3.5529999999999999</v>
          </cell>
        </row>
        <row r="1696">
          <cell r="C1696" t="str">
            <v>CUNETA</v>
          </cell>
          <cell r="D1696">
            <v>0.33200000000000002</v>
          </cell>
          <cell r="E1696">
            <v>2.9460000000000002</v>
          </cell>
        </row>
        <row r="1697">
          <cell r="C1697" t="str">
            <v>BASE_GRANULAR</v>
          </cell>
          <cell r="D1697">
            <v>0.75800000000000001</v>
          </cell>
          <cell r="E1697">
            <v>6.7539999999999996</v>
          </cell>
        </row>
        <row r="1698">
          <cell r="C1698" t="str">
            <v>RECICLADO</v>
          </cell>
          <cell r="D1698">
            <v>1.8959999999999999</v>
          </cell>
          <cell r="E1698">
            <v>16.928000000000001</v>
          </cell>
        </row>
        <row r="1699">
          <cell r="C1699" t="str">
            <v>CONCRETO_ASFÁLTICO</v>
          </cell>
          <cell r="D1699">
            <v>0.4</v>
          </cell>
          <cell r="E1699">
            <v>4.4450000000000003</v>
          </cell>
        </row>
        <row r="1700">
          <cell r="C1700" t="str">
            <v>CUNETA</v>
          </cell>
          <cell r="D1700">
            <v>0.33200000000000002</v>
          </cell>
          <cell r="E1700">
            <v>3.6850000000000001</v>
          </cell>
        </row>
        <row r="1701">
          <cell r="C1701" t="str">
            <v>BASE_GRANULAR</v>
          </cell>
          <cell r="D1701">
            <v>0.75800000000000001</v>
          </cell>
          <cell r="E1701">
            <v>8.423</v>
          </cell>
        </row>
        <row r="1702">
          <cell r="C1702" t="str">
            <v>RECICLADO</v>
          </cell>
          <cell r="D1702">
            <v>1.8939999999999999</v>
          </cell>
          <cell r="E1702">
            <v>21.065000000000001</v>
          </cell>
        </row>
        <row r="1703">
          <cell r="C1703" t="str">
            <v>CONCRETO_ASFÁLTICO</v>
          </cell>
          <cell r="D1703">
            <v>0.4</v>
          </cell>
          <cell r="E1703">
            <v>0.29899999999999999</v>
          </cell>
        </row>
        <row r="1704">
          <cell r="C1704" t="str">
            <v>CUNETA</v>
          </cell>
          <cell r="D1704">
            <v>0.33200000000000002</v>
          </cell>
          <cell r="E1704">
            <v>0.248</v>
          </cell>
        </row>
        <row r="1705">
          <cell r="C1705" t="str">
            <v>BASE_GRANULAR</v>
          </cell>
          <cell r="D1705">
            <v>0.75800000000000001</v>
          </cell>
          <cell r="E1705">
            <v>0.56699999999999995</v>
          </cell>
        </row>
        <row r="1706">
          <cell r="C1706" t="str">
            <v>RECICLADO</v>
          </cell>
          <cell r="D1706">
            <v>1.8959999999999999</v>
          </cell>
          <cell r="E1706">
            <v>1.419</v>
          </cell>
        </row>
        <row r="1707">
          <cell r="C1707" t="str">
            <v>CONCRETO_ASFÁLTICO</v>
          </cell>
          <cell r="D1707">
            <v>0.4</v>
          </cell>
          <cell r="E1707">
            <v>3.7</v>
          </cell>
        </row>
        <row r="1708">
          <cell r="C1708" t="str">
            <v>CUNETA</v>
          </cell>
          <cell r="D1708">
            <v>0.33200000000000002</v>
          </cell>
          <cell r="E1708">
            <v>3.0670000000000002</v>
          </cell>
        </row>
        <row r="1709">
          <cell r="C1709" t="str">
            <v>BASE_GRANULAR</v>
          </cell>
          <cell r="D1709">
            <v>0.76200000000000001</v>
          </cell>
          <cell r="E1709">
            <v>7.03</v>
          </cell>
        </row>
        <row r="1710">
          <cell r="C1710" t="str">
            <v>RECICLADO</v>
          </cell>
          <cell r="D1710">
            <v>1.911</v>
          </cell>
          <cell r="E1710">
            <v>17.613</v>
          </cell>
        </row>
        <row r="1711">
          <cell r="C1711" t="str">
            <v>CONCRETO_ASFÁLTICO</v>
          </cell>
          <cell r="D1711">
            <v>0.4</v>
          </cell>
          <cell r="E1711">
            <v>1.9790000000000001</v>
          </cell>
        </row>
        <row r="1712">
          <cell r="C1712" t="str">
            <v>CUNETA</v>
          </cell>
          <cell r="D1712">
            <v>0.33200000000000002</v>
          </cell>
          <cell r="E1712">
            <v>1.641</v>
          </cell>
        </row>
        <row r="1713">
          <cell r="C1713" t="str">
            <v>BASE_GRANULAR</v>
          </cell>
          <cell r="D1713">
            <v>0.76200000000000001</v>
          </cell>
          <cell r="E1713">
            <v>3.77</v>
          </cell>
        </row>
        <row r="1714">
          <cell r="C1714" t="str">
            <v>RECICLADO</v>
          </cell>
          <cell r="D1714">
            <v>1.911</v>
          </cell>
          <cell r="E1714">
            <v>9.4589999999999996</v>
          </cell>
        </row>
        <row r="1715">
          <cell r="C1715" t="str">
            <v>CONCRETO_ASFÁLTICO</v>
          </cell>
          <cell r="D1715">
            <v>0.4</v>
          </cell>
          <cell r="E1715">
            <v>2.02</v>
          </cell>
        </row>
        <row r="1716">
          <cell r="C1716" t="str">
            <v>CUNETA</v>
          </cell>
          <cell r="D1716">
            <v>0.33200000000000002</v>
          </cell>
          <cell r="E1716">
            <v>1.675</v>
          </cell>
        </row>
        <row r="1717">
          <cell r="C1717" t="str">
            <v>BASE_GRANULAR</v>
          </cell>
          <cell r="D1717">
            <v>0.76200000000000001</v>
          </cell>
          <cell r="E1717">
            <v>3.8490000000000002</v>
          </cell>
        </row>
        <row r="1718">
          <cell r="C1718" t="str">
            <v>RECICLADO</v>
          </cell>
          <cell r="D1718">
            <v>1.911</v>
          </cell>
          <cell r="E1718">
            <v>9.6609999999999996</v>
          </cell>
        </row>
        <row r="1719">
          <cell r="C1719" t="str">
            <v>CONCRETO_ASFÁLTICO</v>
          </cell>
          <cell r="D1719">
            <v>0.4</v>
          </cell>
          <cell r="E1719">
            <v>3.9990000000000001</v>
          </cell>
        </row>
        <row r="1720">
          <cell r="C1720" t="str">
            <v>CUNETA</v>
          </cell>
          <cell r="D1720">
            <v>0.33200000000000002</v>
          </cell>
          <cell r="E1720">
            <v>3.3149999999999999</v>
          </cell>
        </row>
        <row r="1721">
          <cell r="C1721" t="str">
            <v>BASE_GRANULAR</v>
          </cell>
          <cell r="D1721">
            <v>0.76200000000000001</v>
          </cell>
          <cell r="E1721">
            <v>7.62</v>
          </cell>
        </row>
        <row r="1722">
          <cell r="C1722" t="str">
            <v>RECICLADO</v>
          </cell>
          <cell r="D1722">
            <v>1.911</v>
          </cell>
          <cell r="E1722">
            <v>19.125</v>
          </cell>
        </row>
        <row r="1723">
          <cell r="C1723" t="str">
            <v>CONCRETO_ASFÁLTICO</v>
          </cell>
          <cell r="D1723">
            <v>0.4</v>
          </cell>
          <cell r="E1723">
            <v>3.9990000000000001</v>
          </cell>
        </row>
        <row r="1724">
          <cell r="C1724" t="str">
            <v>CUNETA</v>
          </cell>
          <cell r="D1724">
            <v>0.33200000000000002</v>
          </cell>
          <cell r="E1724">
            <v>3.3149999999999999</v>
          </cell>
        </row>
        <row r="1725">
          <cell r="C1725" t="str">
            <v>BASE_GRANULAR</v>
          </cell>
          <cell r="D1725">
            <v>0.76200000000000001</v>
          </cell>
          <cell r="E1725">
            <v>7.62</v>
          </cell>
        </row>
        <row r="1726">
          <cell r="C1726" t="str">
            <v>RECICLADO</v>
          </cell>
          <cell r="D1726">
            <v>1.911</v>
          </cell>
          <cell r="E1726">
            <v>19.125</v>
          </cell>
        </row>
        <row r="1727">
          <cell r="C1727" t="str">
            <v>CONCRETO_ASFÁLTICO</v>
          </cell>
          <cell r="D1727">
            <v>0.4</v>
          </cell>
          <cell r="E1727">
            <v>3.5369999999999999</v>
          </cell>
        </row>
        <row r="1728">
          <cell r="C1728" t="str">
            <v>CUNETA</v>
          </cell>
          <cell r="D1728">
            <v>0.33200000000000002</v>
          </cell>
          <cell r="E1728">
            <v>2.9319999999999999</v>
          </cell>
        </row>
        <row r="1729">
          <cell r="C1729" t="str">
            <v>BASE_GRANULAR</v>
          </cell>
          <cell r="D1729">
            <v>0.76200000000000001</v>
          </cell>
          <cell r="E1729">
            <v>6.74</v>
          </cell>
        </row>
        <row r="1730">
          <cell r="C1730" t="str">
            <v>RECICLADO</v>
          </cell>
          <cell r="D1730">
            <v>1.911</v>
          </cell>
          <cell r="E1730">
            <v>16.916</v>
          </cell>
        </row>
        <row r="1731">
          <cell r="C1731" t="str">
            <v>CONCRETO_ASFÁLTICO</v>
          </cell>
          <cell r="D1731">
            <v>0.4</v>
          </cell>
          <cell r="E1731">
            <v>0.46200000000000002</v>
          </cell>
        </row>
        <row r="1732">
          <cell r="C1732" t="str">
            <v>CUNETA</v>
          </cell>
          <cell r="D1732">
            <v>0.33200000000000002</v>
          </cell>
          <cell r="E1732">
            <v>0.38300000000000001</v>
          </cell>
        </row>
        <row r="1733">
          <cell r="C1733" t="str">
            <v>BASE_GRANULAR</v>
          </cell>
          <cell r="D1733">
            <v>0.76200000000000001</v>
          </cell>
          <cell r="E1733">
            <v>0.88</v>
          </cell>
        </row>
        <row r="1734">
          <cell r="C1734" t="str">
            <v>RECICLADO</v>
          </cell>
          <cell r="D1734">
            <v>1.911</v>
          </cell>
          <cell r="E1734">
            <v>2.2080000000000002</v>
          </cell>
        </row>
        <row r="1735">
          <cell r="C1735" t="str">
            <v>CONCRETO_ASFÁLTICO</v>
          </cell>
          <cell r="D1735">
            <v>0.4</v>
          </cell>
          <cell r="E1735">
            <v>3.9990000000000001</v>
          </cell>
        </row>
        <row r="1736">
          <cell r="C1736" t="str">
            <v>CUNETA</v>
          </cell>
          <cell r="D1736">
            <v>0.33200000000000002</v>
          </cell>
          <cell r="E1736">
            <v>3.3149999999999999</v>
          </cell>
        </row>
        <row r="1737">
          <cell r="C1737" t="str">
            <v>BASE_GRANULAR</v>
          </cell>
          <cell r="D1737">
            <v>0.75800000000000001</v>
          </cell>
          <cell r="E1737">
            <v>7.5990000000000002</v>
          </cell>
        </row>
        <row r="1738">
          <cell r="C1738" t="str">
            <v>RECICLADO</v>
          </cell>
          <cell r="D1738">
            <v>1.8959999999999999</v>
          </cell>
          <cell r="E1738">
            <v>19.039000000000001</v>
          </cell>
        </row>
        <row r="1739">
          <cell r="C1739" t="str">
            <v>CONCRETO_ASFÁLTICO</v>
          </cell>
          <cell r="D1739">
            <v>0.4</v>
          </cell>
          <cell r="E1739">
            <v>1.218</v>
          </cell>
        </row>
        <row r="1740">
          <cell r="C1740" t="str">
            <v>CUNETA</v>
          </cell>
          <cell r="D1740">
            <v>0.33200000000000002</v>
          </cell>
          <cell r="E1740">
            <v>1.0089999999999999</v>
          </cell>
        </row>
        <row r="1741">
          <cell r="C1741" t="str">
            <v>BASE_GRANULAR</v>
          </cell>
          <cell r="D1741">
            <v>0.75600000000000001</v>
          </cell>
          <cell r="E1741">
            <v>2.3050000000000002</v>
          </cell>
        </row>
        <row r="1742">
          <cell r="C1742" t="str">
            <v>RECICLADO</v>
          </cell>
          <cell r="D1742">
            <v>1.8879999999999999</v>
          </cell>
          <cell r="E1742">
            <v>5.7610000000000001</v>
          </cell>
        </row>
        <row r="1743">
          <cell r="C1743" t="str">
            <v>CONCRETO_ASFÁLTICO</v>
          </cell>
          <cell r="D1743">
            <v>0.4</v>
          </cell>
          <cell r="E1743">
            <v>1.879</v>
          </cell>
        </row>
        <row r="1744">
          <cell r="C1744" t="str">
            <v>CUNETA</v>
          </cell>
          <cell r="D1744">
            <v>0.33200000000000002</v>
          </cell>
          <cell r="E1744">
            <v>1.5580000000000001</v>
          </cell>
        </row>
        <row r="1745">
          <cell r="C1745" t="str">
            <v>BASE_GRANULAR</v>
          </cell>
          <cell r="D1745">
            <v>0.75600000000000001</v>
          </cell>
          <cell r="E1745">
            <v>3.552</v>
          </cell>
        </row>
        <row r="1746">
          <cell r="C1746" t="str">
            <v>RECICLADO</v>
          </cell>
          <cell r="D1746">
            <v>1.8879999999999999</v>
          </cell>
          <cell r="E1746">
            <v>8.8699999999999992</v>
          </cell>
        </row>
        <row r="1747">
          <cell r="C1747" t="str">
            <v>CONCRETO_ASFÁLTICO</v>
          </cell>
          <cell r="D1747">
            <v>0.4</v>
          </cell>
          <cell r="E1747">
            <v>0.90300000000000002</v>
          </cell>
        </row>
        <row r="1748">
          <cell r="C1748" t="str">
            <v>CUNETA</v>
          </cell>
          <cell r="D1748">
            <v>0.33200000000000002</v>
          </cell>
          <cell r="E1748">
            <v>0.748</v>
          </cell>
        </row>
        <row r="1749">
          <cell r="C1749" t="str">
            <v>BASE_GRANULAR</v>
          </cell>
          <cell r="D1749">
            <v>0.75800000000000001</v>
          </cell>
          <cell r="E1749">
            <v>1.708</v>
          </cell>
        </row>
        <row r="1750">
          <cell r="C1750" t="str">
            <v>RECICLADO</v>
          </cell>
          <cell r="D1750">
            <v>1.8959999999999999</v>
          </cell>
          <cell r="E1750">
            <v>4.2690000000000001</v>
          </cell>
        </row>
        <row r="1751">
          <cell r="C1751" t="str">
            <v>CONCRETO_ASFÁLTICO</v>
          </cell>
          <cell r="D1751">
            <v>0.4</v>
          </cell>
          <cell r="E1751">
            <v>3.9990000000000001</v>
          </cell>
        </row>
        <row r="1752">
          <cell r="C1752" t="str">
            <v>CUNETA</v>
          </cell>
          <cell r="D1752">
            <v>0.33200000000000002</v>
          </cell>
          <cell r="E1752">
            <v>3.3149999999999999</v>
          </cell>
        </row>
        <row r="1753">
          <cell r="C1753" t="str">
            <v>BASE_GRANULAR</v>
          </cell>
          <cell r="D1753">
            <v>0.76200000000000001</v>
          </cell>
          <cell r="E1753">
            <v>7.6</v>
          </cell>
        </row>
        <row r="1754">
          <cell r="C1754" t="str">
            <v>RECICLADO</v>
          </cell>
          <cell r="D1754">
            <v>1.911</v>
          </cell>
          <cell r="E1754">
            <v>19.042000000000002</v>
          </cell>
        </row>
        <row r="1755">
          <cell r="C1755" t="str">
            <v>CONCRETO_ASFÁLTICO</v>
          </cell>
          <cell r="D1755">
            <v>0.4</v>
          </cell>
          <cell r="E1755">
            <v>0.77700000000000002</v>
          </cell>
        </row>
        <row r="1756">
          <cell r="C1756" t="str">
            <v>CUNETA</v>
          </cell>
          <cell r="D1756">
            <v>0.33200000000000002</v>
          </cell>
          <cell r="E1756">
            <v>0.64400000000000002</v>
          </cell>
        </row>
        <row r="1757">
          <cell r="C1757" t="str">
            <v>BASE_GRANULAR</v>
          </cell>
          <cell r="D1757">
            <v>0.76200000000000001</v>
          </cell>
          <cell r="E1757">
            <v>1.48</v>
          </cell>
        </row>
        <row r="1758">
          <cell r="C1758" t="str">
            <v>RECICLADO</v>
          </cell>
          <cell r="D1758">
            <v>1.911</v>
          </cell>
          <cell r="E1758">
            <v>3.714</v>
          </cell>
        </row>
        <row r="1759">
          <cell r="C1759" t="str">
            <v>CONCRETO_ASFÁLTICO</v>
          </cell>
          <cell r="D1759">
            <v>0.4</v>
          </cell>
          <cell r="E1759">
            <v>3.222</v>
          </cell>
        </row>
        <row r="1760">
          <cell r="C1760" t="str">
            <v>CUNETA</v>
          </cell>
          <cell r="D1760">
            <v>0.33200000000000002</v>
          </cell>
          <cell r="E1760">
            <v>2.6709999999999998</v>
          </cell>
        </row>
        <row r="1761">
          <cell r="C1761" t="str">
            <v>BASE_GRANULAR</v>
          </cell>
          <cell r="D1761">
            <v>0.76200000000000001</v>
          </cell>
          <cell r="E1761">
            <v>6.1449999999999996</v>
          </cell>
        </row>
        <row r="1762">
          <cell r="C1762" t="str">
            <v>RECICLADO</v>
          </cell>
          <cell r="D1762">
            <v>1.911</v>
          </cell>
          <cell r="E1762">
            <v>15.433</v>
          </cell>
        </row>
        <row r="1763">
          <cell r="C1763" t="str">
            <v>CONCRETO_ASFÁLTICO</v>
          </cell>
          <cell r="D1763">
            <v>0.4</v>
          </cell>
          <cell r="E1763">
            <v>3.4460000000000002</v>
          </cell>
        </row>
        <row r="1764">
          <cell r="C1764" t="str">
            <v>CUNETA</v>
          </cell>
          <cell r="D1764">
            <v>0.33200000000000002</v>
          </cell>
          <cell r="E1764">
            <v>2.8559999999999999</v>
          </cell>
        </row>
        <row r="1765">
          <cell r="C1765" t="str">
            <v>BASE_GRANULAR</v>
          </cell>
          <cell r="D1765">
            <v>0.76200000000000001</v>
          </cell>
          <cell r="E1765">
            <v>6.5709999999999997</v>
          </cell>
        </row>
        <row r="1766">
          <cell r="C1766" t="str">
            <v>RECICLADO</v>
          </cell>
          <cell r="D1766">
            <v>1.911</v>
          </cell>
          <cell r="E1766">
            <v>16.504000000000001</v>
          </cell>
        </row>
        <row r="1767">
          <cell r="C1767" t="str">
            <v>CONCRETO_ASFÁLTICO</v>
          </cell>
          <cell r="D1767">
            <v>0.4</v>
          </cell>
          <cell r="E1767">
            <v>0.55400000000000005</v>
          </cell>
        </row>
        <row r="1768">
          <cell r="C1768" t="str">
            <v>CUNETA</v>
          </cell>
          <cell r="D1768">
            <v>0.33200000000000002</v>
          </cell>
          <cell r="E1768">
            <v>0.45900000000000002</v>
          </cell>
        </row>
        <row r="1769">
          <cell r="C1769" t="str">
            <v>BASE_GRANULAR</v>
          </cell>
          <cell r="D1769">
            <v>0.76200000000000001</v>
          </cell>
          <cell r="E1769">
            <v>1.0549999999999999</v>
          </cell>
        </row>
        <row r="1770">
          <cell r="C1770" t="str">
            <v>RECICLADO</v>
          </cell>
          <cell r="D1770">
            <v>1.911</v>
          </cell>
          <cell r="E1770">
            <v>2.6459999999999999</v>
          </cell>
        </row>
        <row r="1771">
          <cell r="C1771" t="str">
            <v>CONCRETO_ASFÁLTICO</v>
          </cell>
          <cell r="D1771">
            <v>0.4</v>
          </cell>
          <cell r="E1771">
            <v>3.9990000000000001</v>
          </cell>
        </row>
        <row r="1772">
          <cell r="C1772" t="str">
            <v>CUNETA</v>
          </cell>
          <cell r="D1772">
            <v>0.33200000000000002</v>
          </cell>
          <cell r="E1772">
            <v>3.3149999999999999</v>
          </cell>
        </row>
        <row r="1773">
          <cell r="C1773" t="str">
            <v>BASE_GRANULAR</v>
          </cell>
          <cell r="D1773">
            <v>0.76</v>
          </cell>
          <cell r="E1773">
            <v>7.61</v>
          </cell>
        </row>
        <row r="1774">
          <cell r="C1774" t="str">
            <v>RECICLADO</v>
          </cell>
          <cell r="D1774">
            <v>1.9039999999999999</v>
          </cell>
          <cell r="E1774">
            <v>19.085999999999999</v>
          </cell>
        </row>
        <row r="1775">
          <cell r="C1775" t="str">
            <v>CONCRETO_ASFÁLTICO</v>
          </cell>
          <cell r="D1775">
            <v>0.4</v>
          </cell>
          <cell r="E1775">
            <v>1.1259999999999999</v>
          </cell>
        </row>
        <row r="1776">
          <cell r="C1776" t="str">
            <v>CUNETA</v>
          </cell>
          <cell r="D1776">
            <v>0.33200000000000002</v>
          </cell>
          <cell r="E1776">
            <v>0.93300000000000005</v>
          </cell>
        </row>
        <row r="1777">
          <cell r="C1777" t="str">
            <v>BASE_GRANULAR</v>
          </cell>
          <cell r="D1777">
            <v>0.75800000000000001</v>
          </cell>
          <cell r="E1777">
            <v>2.137</v>
          </cell>
        </row>
        <row r="1778">
          <cell r="C1778" t="str">
            <v>RECICLADO</v>
          </cell>
          <cell r="D1778">
            <v>1.8959999999999999</v>
          </cell>
          <cell r="E1778">
            <v>5.35</v>
          </cell>
        </row>
        <row r="1779">
          <cell r="C1779" t="str">
            <v>CONCRETO_ASFÁLTICO</v>
          </cell>
          <cell r="D1779">
            <v>0.4</v>
          </cell>
          <cell r="E1779">
            <v>2.8730000000000002</v>
          </cell>
        </row>
        <row r="1780">
          <cell r="C1780" t="str">
            <v>CUNETA</v>
          </cell>
          <cell r="D1780">
            <v>0.33200000000000002</v>
          </cell>
          <cell r="E1780">
            <v>2.3820000000000001</v>
          </cell>
        </row>
        <row r="1781">
          <cell r="C1781" t="str">
            <v>BASE_GRANULAR</v>
          </cell>
          <cell r="D1781">
            <v>0.754</v>
          </cell>
          <cell r="E1781">
            <v>5.4329999999999998</v>
          </cell>
        </row>
        <row r="1782">
          <cell r="C1782" t="str">
            <v>RECICLADO</v>
          </cell>
          <cell r="D1782">
            <v>1.881</v>
          </cell>
          <cell r="E1782">
            <v>13.567</v>
          </cell>
        </row>
        <row r="1783">
          <cell r="C1783" t="str">
            <v>CONCRETO_ASFÁLTICO</v>
          </cell>
          <cell r="D1783">
            <v>0.4</v>
          </cell>
          <cell r="E1783">
            <v>2.4220000000000002</v>
          </cell>
        </row>
        <row r="1784">
          <cell r="C1784" t="str">
            <v>CUNETA</v>
          </cell>
          <cell r="D1784">
            <v>0.33200000000000002</v>
          </cell>
          <cell r="E1784">
            <v>2.008</v>
          </cell>
        </row>
        <row r="1785">
          <cell r="C1785" t="str">
            <v>BASE_GRANULAR</v>
          </cell>
          <cell r="D1785">
            <v>0.75800000000000001</v>
          </cell>
          <cell r="E1785">
            <v>4.5789999999999997</v>
          </cell>
        </row>
        <row r="1786">
          <cell r="C1786" t="str">
            <v>RECICLADO</v>
          </cell>
          <cell r="D1786">
            <v>1.8959999999999999</v>
          </cell>
          <cell r="E1786">
            <v>11.435</v>
          </cell>
        </row>
        <row r="1787">
          <cell r="C1787" t="str">
            <v>CONCRETO_ASFÁLTICO</v>
          </cell>
          <cell r="D1787">
            <v>0.4</v>
          </cell>
          <cell r="E1787">
            <v>1.5780000000000001</v>
          </cell>
        </row>
        <row r="1788">
          <cell r="C1788" t="str">
            <v>CUNETA</v>
          </cell>
          <cell r="D1788">
            <v>0.33200000000000002</v>
          </cell>
          <cell r="E1788">
            <v>1.3080000000000001</v>
          </cell>
        </row>
        <row r="1789">
          <cell r="C1789" t="str">
            <v>BASE_GRANULAR</v>
          </cell>
          <cell r="D1789">
            <v>0.76100000000000001</v>
          </cell>
          <cell r="E1789">
            <v>2.996</v>
          </cell>
        </row>
        <row r="1790">
          <cell r="C1790" t="str">
            <v>RECICLADO</v>
          </cell>
          <cell r="D1790">
            <v>1.9079999999999999</v>
          </cell>
          <cell r="E1790">
            <v>7.5039999999999996</v>
          </cell>
        </row>
        <row r="1791">
          <cell r="C1791" t="str">
            <v>CONCRETO_ASFÁLTICO</v>
          </cell>
          <cell r="D1791">
            <v>0.4</v>
          </cell>
          <cell r="E1791">
            <v>3.9990000000000001</v>
          </cell>
        </row>
        <row r="1792">
          <cell r="C1792" t="str">
            <v>CUNETA</v>
          </cell>
          <cell r="D1792">
            <v>0.33200000000000002</v>
          </cell>
          <cell r="E1792">
            <v>3.3149999999999999</v>
          </cell>
        </row>
        <row r="1793">
          <cell r="C1793" t="str">
            <v>BASE_GRANULAR</v>
          </cell>
          <cell r="D1793">
            <v>0.76200000000000001</v>
          </cell>
          <cell r="E1793">
            <v>7.617</v>
          </cell>
        </row>
        <row r="1794">
          <cell r="C1794" t="str">
            <v>RECICLADO</v>
          </cell>
          <cell r="D1794">
            <v>1.911</v>
          </cell>
          <cell r="E1794">
            <v>19.111999999999998</v>
          </cell>
        </row>
        <row r="1795">
          <cell r="C1795" t="str">
            <v>CONCRETO_ASFÁLTICO</v>
          </cell>
          <cell r="D1795">
            <v>0.4</v>
          </cell>
          <cell r="E1795">
            <v>6.2E-2</v>
          </cell>
        </row>
        <row r="1796">
          <cell r="C1796" t="str">
            <v>CUNETA</v>
          </cell>
          <cell r="D1796">
            <v>0.33200000000000002</v>
          </cell>
          <cell r="E1796">
            <v>5.1999999999999998E-2</v>
          </cell>
        </row>
        <row r="1797">
          <cell r="C1797" t="str">
            <v>BASE_GRANULAR</v>
          </cell>
          <cell r="D1797">
            <v>0.76200000000000001</v>
          </cell>
          <cell r="E1797">
            <v>0.11799999999999999</v>
          </cell>
        </row>
        <row r="1798">
          <cell r="C1798" t="str">
            <v>RECICLADO</v>
          </cell>
          <cell r="D1798">
            <v>1.911</v>
          </cell>
          <cell r="E1798">
            <v>0.29699999999999999</v>
          </cell>
        </row>
        <row r="1799">
          <cell r="C1799" t="str">
            <v>CONCRETO_ASFÁLTICO</v>
          </cell>
          <cell r="D1799">
            <v>0.4</v>
          </cell>
          <cell r="E1799">
            <v>3.9369999999999998</v>
          </cell>
        </row>
        <row r="1800">
          <cell r="C1800" t="str">
            <v>CUNETA</v>
          </cell>
          <cell r="D1800">
            <v>0.33200000000000002</v>
          </cell>
          <cell r="E1800">
            <v>3.2639999999999998</v>
          </cell>
        </row>
        <row r="1801">
          <cell r="C1801" t="str">
            <v>BASE_GRANULAR</v>
          </cell>
          <cell r="D1801">
            <v>0.76200000000000001</v>
          </cell>
          <cell r="E1801">
            <v>7.5119999999999996</v>
          </cell>
        </row>
        <row r="1802">
          <cell r="C1802" t="str">
            <v>RECICLADO</v>
          </cell>
          <cell r="D1802">
            <v>1.911</v>
          </cell>
          <cell r="E1802">
            <v>18.875</v>
          </cell>
        </row>
        <row r="1803">
          <cell r="C1803" t="str">
            <v>CONCRETO_ASFÁLTICO</v>
          </cell>
          <cell r="D1803">
            <v>0.4</v>
          </cell>
          <cell r="E1803">
            <v>2.74</v>
          </cell>
        </row>
        <row r="1804">
          <cell r="C1804" t="str">
            <v>CUNETA</v>
          </cell>
          <cell r="D1804">
            <v>0.33200000000000002</v>
          </cell>
          <cell r="E1804">
            <v>2.2719999999999998</v>
          </cell>
        </row>
        <row r="1805">
          <cell r="C1805" t="str">
            <v>BASE_GRANULAR</v>
          </cell>
          <cell r="D1805">
            <v>0.76200000000000001</v>
          </cell>
          <cell r="E1805">
            <v>5.2279999999999998</v>
          </cell>
        </row>
        <row r="1806">
          <cell r="C1806" t="str">
            <v>RECICLADO</v>
          </cell>
          <cell r="D1806">
            <v>1.911</v>
          </cell>
          <cell r="E1806">
            <v>13.138</v>
          </cell>
        </row>
        <row r="1807">
          <cell r="C1807" t="str">
            <v>CONCRETO_ASFÁLTICO</v>
          </cell>
          <cell r="D1807">
            <v>0.4</v>
          </cell>
          <cell r="E1807">
            <v>1.2589999999999999</v>
          </cell>
        </row>
        <row r="1808">
          <cell r="C1808" t="str">
            <v>CUNETA</v>
          </cell>
          <cell r="D1808">
            <v>0.33200000000000002</v>
          </cell>
          <cell r="E1808">
            <v>1.044</v>
          </cell>
        </row>
        <row r="1809">
          <cell r="C1809" t="str">
            <v>BASE_GRANULAR</v>
          </cell>
          <cell r="D1809">
            <v>0.76200000000000001</v>
          </cell>
          <cell r="E1809">
            <v>2.3980000000000001</v>
          </cell>
        </row>
        <row r="1810">
          <cell r="C1810" t="str">
            <v>RECICLADO</v>
          </cell>
          <cell r="D1810">
            <v>1.911</v>
          </cell>
          <cell r="E1810">
            <v>6.0179999999999998</v>
          </cell>
        </row>
        <row r="1811">
          <cell r="C1811" t="str">
            <v>CONCRETO_ASFÁLTICO</v>
          </cell>
          <cell r="D1811">
            <v>0.4</v>
          </cell>
          <cell r="E1811">
            <v>3.9990000000000001</v>
          </cell>
        </row>
        <row r="1812">
          <cell r="C1812" t="str">
            <v>CUNETA</v>
          </cell>
          <cell r="D1812">
            <v>0.33200000000000002</v>
          </cell>
          <cell r="E1812">
            <v>3.3149999999999999</v>
          </cell>
        </row>
        <row r="1813">
          <cell r="C1813" t="str">
            <v>BASE_GRANULAR</v>
          </cell>
          <cell r="D1813">
            <v>0.75900000000000001</v>
          </cell>
          <cell r="E1813">
            <v>7.6050000000000004</v>
          </cell>
        </row>
        <row r="1814">
          <cell r="C1814" t="str">
            <v>RECICLADO</v>
          </cell>
          <cell r="D1814">
            <v>1.899</v>
          </cell>
          <cell r="E1814">
            <v>19.062000000000001</v>
          </cell>
        </row>
        <row r="1815">
          <cell r="C1815" t="str">
            <v>CONCRETO_ASFÁLTICO</v>
          </cell>
          <cell r="D1815">
            <v>0.4</v>
          </cell>
          <cell r="E1815">
            <v>0.38100000000000001</v>
          </cell>
        </row>
        <row r="1816">
          <cell r="C1816" t="str">
            <v>CUNETA</v>
          </cell>
          <cell r="D1816">
            <v>0.33200000000000002</v>
          </cell>
          <cell r="E1816">
            <v>0.316</v>
          </cell>
        </row>
        <row r="1817">
          <cell r="C1817" t="str">
            <v>BASE_GRANULAR</v>
          </cell>
          <cell r="D1817">
            <v>0.75800000000000001</v>
          </cell>
          <cell r="E1817">
            <v>0.72199999999999998</v>
          </cell>
        </row>
        <row r="1818">
          <cell r="C1818" t="str">
            <v>RECICLADO</v>
          </cell>
          <cell r="D1818">
            <v>1.8959999999999999</v>
          </cell>
          <cell r="E1818">
            <v>1.8069999999999999</v>
          </cell>
        </row>
        <row r="1819">
          <cell r="C1819" t="str">
            <v>CONCRETO_ASFÁLTICO</v>
          </cell>
          <cell r="D1819">
            <v>0.4</v>
          </cell>
          <cell r="E1819">
            <v>3.6179999999999999</v>
          </cell>
        </row>
        <row r="1820">
          <cell r="C1820" t="str">
            <v>CUNETA</v>
          </cell>
          <cell r="D1820">
            <v>0.33200000000000002</v>
          </cell>
          <cell r="E1820">
            <v>3</v>
          </cell>
        </row>
        <row r="1821">
          <cell r="C1821" t="str">
            <v>BASE_GRANULAR</v>
          </cell>
          <cell r="D1821">
            <v>0.754</v>
          </cell>
          <cell r="E1821">
            <v>6.8410000000000002</v>
          </cell>
        </row>
        <row r="1822">
          <cell r="C1822" t="str">
            <v>RECICLADO</v>
          </cell>
          <cell r="D1822">
            <v>1.881</v>
          </cell>
          <cell r="E1822">
            <v>17.085999999999999</v>
          </cell>
        </row>
        <row r="1823">
          <cell r="C1823" t="str">
            <v>CONCRETO_ASFÁLTICO</v>
          </cell>
          <cell r="D1823">
            <v>0.4</v>
          </cell>
          <cell r="E1823">
            <v>7.9980000000000002</v>
          </cell>
        </row>
        <row r="1824">
          <cell r="C1824" t="str">
            <v>CUNETA</v>
          </cell>
          <cell r="D1824">
            <v>0.33200000000000002</v>
          </cell>
          <cell r="E1824">
            <v>6.6310000000000002</v>
          </cell>
        </row>
        <row r="1825">
          <cell r="C1825" t="str">
            <v>BASE_GRANULAR</v>
          </cell>
          <cell r="D1825">
            <v>1.333</v>
          </cell>
          <cell r="E1825">
            <v>20.876000000000001</v>
          </cell>
        </row>
        <row r="1826">
          <cell r="C1826" t="str">
            <v>RECICLADO</v>
          </cell>
          <cell r="D1826">
            <v>1.627</v>
          </cell>
          <cell r="E1826">
            <v>35.082000000000001</v>
          </cell>
        </row>
        <row r="1827">
          <cell r="C1827" t="str">
            <v>CONCRETO_ASFÁLTICO</v>
          </cell>
          <cell r="D1827">
            <v>0.4</v>
          </cell>
          <cell r="E1827">
            <v>7.9980000000000002</v>
          </cell>
        </row>
        <row r="1828">
          <cell r="C1828" t="str">
            <v>CUNETA</v>
          </cell>
          <cell r="D1828">
            <v>0.33200000000000002</v>
          </cell>
          <cell r="E1828">
            <v>6.6310000000000002</v>
          </cell>
        </row>
        <row r="1829">
          <cell r="C1829" t="str">
            <v>BASE_GRANULAR</v>
          </cell>
          <cell r="D1829">
            <v>1.333</v>
          </cell>
          <cell r="E1829">
            <v>26.666</v>
          </cell>
        </row>
        <row r="1830">
          <cell r="C1830" t="str">
            <v>RECICLADO</v>
          </cell>
          <cell r="D1830">
            <v>1.627</v>
          </cell>
          <cell r="E1830">
            <v>32.546999999999997</v>
          </cell>
        </row>
        <row r="1831">
          <cell r="C1831" t="str">
            <v>CONCRETO_ASFÁLTICO</v>
          </cell>
          <cell r="D1831">
            <v>0.4</v>
          </cell>
          <cell r="E1831">
            <v>7.9980000000000002</v>
          </cell>
        </row>
        <row r="1832">
          <cell r="C1832" t="str">
            <v>CUNETA</v>
          </cell>
          <cell r="D1832">
            <v>0.33200000000000002</v>
          </cell>
          <cell r="E1832">
            <v>6.6310000000000002</v>
          </cell>
        </row>
        <row r="1833">
          <cell r="C1833" t="str">
            <v>BASE_GRANULAR</v>
          </cell>
          <cell r="D1833">
            <v>1.333</v>
          </cell>
          <cell r="E1833">
            <v>26.666</v>
          </cell>
        </row>
        <row r="1834">
          <cell r="C1834" t="str">
            <v>RECICLADO</v>
          </cell>
          <cell r="D1834">
            <v>1.627</v>
          </cell>
          <cell r="E1834">
            <v>32.546999999999997</v>
          </cell>
        </row>
        <row r="1835">
          <cell r="C1835" t="str">
            <v>CONCRETO_ASFÁLTICO</v>
          </cell>
          <cell r="D1835">
            <v>0.4</v>
          </cell>
          <cell r="E1835">
            <v>7.9980000000000002</v>
          </cell>
        </row>
        <row r="1836">
          <cell r="C1836" t="str">
            <v>CUNETA</v>
          </cell>
          <cell r="D1836">
            <v>0.33200000000000002</v>
          </cell>
          <cell r="E1836">
            <v>6.6310000000000002</v>
          </cell>
        </row>
        <row r="1837">
          <cell r="C1837" t="str">
            <v>BASE_GRANULAR</v>
          </cell>
          <cell r="D1837">
            <v>1.333</v>
          </cell>
          <cell r="E1837">
            <v>26.666</v>
          </cell>
        </row>
        <row r="1838">
          <cell r="C1838" t="str">
            <v>RECICLADO</v>
          </cell>
          <cell r="D1838">
            <v>1.627</v>
          </cell>
          <cell r="E1838">
            <v>32.546999999999997</v>
          </cell>
        </row>
        <row r="1839">
          <cell r="C1839" t="str">
            <v>CONCRETO_ASFÁLTICO</v>
          </cell>
          <cell r="D1839">
            <v>0.4</v>
          </cell>
          <cell r="E1839">
            <v>7.9980000000000002</v>
          </cell>
        </row>
        <row r="1840">
          <cell r="C1840" t="str">
            <v>CUNETA</v>
          </cell>
          <cell r="D1840">
            <v>0.33200000000000002</v>
          </cell>
          <cell r="E1840">
            <v>6.6310000000000002</v>
          </cell>
        </row>
        <row r="1841">
          <cell r="C1841" t="str">
            <v>BASE_GRANULAR</v>
          </cell>
          <cell r="D1841">
            <v>1.3420000000000001</v>
          </cell>
          <cell r="E1841">
            <v>26.75</v>
          </cell>
        </row>
        <row r="1842">
          <cell r="C1842" t="str">
            <v>RECICLADO</v>
          </cell>
          <cell r="D1842">
            <v>1.629</v>
          </cell>
          <cell r="E1842">
            <v>32.561999999999998</v>
          </cell>
        </row>
        <row r="1843">
          <cell r="C1843" t="str">
            <v>CONCRETO_ASFÁLTICO</v>
          </cell>
          <cell r="D1843">
            <v>0.4</v>
          </cell>
          <cell r="E1843">
            <v>1.071</v>
          </cell>
        </row>
        <row r="1844">
          <cell r="C1844" t="str">
            <v>CUNETA</v>
          </cell>
          <cell r="D1844">
            <v>0.33200000000000002</v>
          </cell>
          <cell r="E1844">
            <v>0.88800000000000001</v>
          </cell>
        </row>
        <row r="1845">
          <cell r="C1845" t="str">
            <v>BASE_GRANULAR</v>
          </cell>
          <cell r="D1845">
            <v>1.349</v>
          </cell>
          <cell r="E1845">
            <v>3.6019999999999999</v>
          </cell>
        </row>
        <row r="1846">
          <cell r="C1846" t="str">
            <v>RECICLADO</v>
          </cell>
          <cell r="D1846">
            <v>1.63</v>
          </cell>
          <cell r="E1846">
            <v>4.3620000000000001</v>
          </cell>
        </row>
        <row r="1847">
          <cell r="C1847" t="str">
            <v>CONCRETO_ASFÁLTICO</v>
          </cell>
          <cell r="D1847">
            <v>0.4</v>
          </cell>
          <cell r="E1847">
            <v>2.9289999999999998</v>
          </cell>
        </row>
        <row r="1848">
          <cell r="C1848" t="str">
            <v>CUNETA</v>
          </cell>
          <cell r="D1848">
            <v>0.33200000000000002</v>
          </cell>
          <cell r="E1848">
            <v>2.4279999999999999</v>
          </cell>
        </row>
        <row r="1849">
          <cell r="C1849" t="str">
            <v>BASE_GRANULAR</v>
          </cell>
          <cell r="D1849">
            <v>1.365</v>
          </cell>
          <cell r="E1849">
            <v>9.94</v>
          </cell>
        </row>
        <row r="1850">
          <cell r="C1850" t="str">
            <v>RECICLADO</v>
          </cell>
          <cell r="D1850">
            <v>1.633</v>
          </cell>
          <cell r="E1850">
            <v>11.948</v>
          </cell>
        </row>
        <row r="1851">
          <cell r="C1851" t="str">
            <v>CONCRETO_ASFÁLTICO</v>
          </cell>
          <cell r="D1851">
            <v>0.4</v>
          </cell>
          <cell r="E1851">
            <v>3.75</v>
          </cell>
        </row>
        <row r="1852">
          <cell r="C1852" t="str">
            <v>CUNETA</v>
          </cell>
          <cell r="D1852">
            <v>0.33200000000000002</v>
          </cell>
          <cell r="E1852">
            <v>3.109</v>
          </cell>
        </row>
        <row r="1853">
          <cell r="C1853" t="str">
            <v>BASE_GRANULAR</v>
          </cell>
          <cell r="D1853">
            <v>1.365</v>
          </cell>
          <cell r="E1853">
            <v>12.804</v>
          </cell>
        </row>
        <row r="1854">
          <cell r="C1854" t="str">
            <v>RECICLADO</v>
          </cell>
          <cell r="D1854">
            <v>1.633</v>
          </cell>
          <cell r="E1854">
            <v>15.313000000000001</v>
          </cell>
        </row>
        <row r="1855">
          <cell r="C1855" t="str">
            <v>CONCRETO_ASFÁLTICO</v>
          </cell>
          <cell r="D1855">
            <v>0.4</v>
          </cell>
          <cell r="E1855">
            <v>0</v>
          </cell>
        </row>
        <row r="1856">
          <cell r="C1856" t="str">
            <v>CUNETA</v>
          </cell>
          <cell r="D1856">
            <v>0.33200000000000002</v>
          </cell>
          <cell r="E1856">
            <v>0</v>
          </cell>
        </row>
        <row r="1857">
          <cell r="C1857" t="str">
            <v>BASE_GRANULAR</v>
          </cell>
          <cell r="D1857">
            <v>1.365</v>
          </cell>
          <cell r="E1857">
            <v>0</v>
          </cell>
        </row>
        <row r="1858">
          <cell r="C1858" t="str">
            <v>RECICLADO</v>
          </cell>
          <cell r="D1858">
            <v>1.633</v>
          </cell>
          <cell r="E1858">
            <v>0</v>
          </cell>
        </row>
        <row r="1859">
          <cell r="C1859" t="str">
            <v>CONCRETO_ASFÁLTICO</v>
          </cell>
          <cell r="D1859">
            <v>0.4</v>
          </cell>
          <cell r="E1859">
            <v>0.249</v>
          </cell>
        </row>
        <row r="1860">
          <cell r="C1860" t="str">
            <v>CUNETA</v>
          </cell>
          <cell r="D1860">
            <v>0.33200000000000002</v>
          </cell>
          <cell r="E1860">
            <v>0.20599999999999999</v>
          </cell>
        </row>
        <row r="1861">
          <cell r="C1861" t="str">
            <v>BASE_GRANULAR</v>
          </cell>
          <cell r="D1861">
            <v>1.365</v>
          </cell>
          <cell r="E1861">
            <v>0.85</v>
          </cell>
        </row>
        <row r="1862">
          <cell r="C1862" t="str">
            <v>RECICLADO</v>
          </cell>
          <cell r="D1862">
            <v>1.633</v>
          </cell>
          <cell r="E1862">
            <v>1.0169999999999999</v>
          </cell>
        </row>
        <row r="1863">
          <cell r="C1863" t="str">
            <v>CONCRETO_ASFÁLTICO</v>
          </cell>
          <cell r="D1863">
            <v>0.4</v>
          </cell>
          <cell r="E1863">
            <v>3.9990000000000001</v>
          </cell>
        </row>
        <row r="1864">
          <cell r="C1864" t="str">
            <v>CUNETA</v>
          </cell>
          <cell r="D1864">
            <v>0.33200000000000002</v>
          </cell>
          <cell r="E1864">
            <v>3.3149999999999999</v>
          </cell>
        </row>
        <row r="1865">
          <cell r="C1865" t="str">
            <v>BASE_GRANULAR</v>
          </cell>
          <cell r="D1865">
            <v>1.365</v>
          </cell>
          <cell r="E1865">
            <v>13.654999999999999</v>
          </cell>
        </row>
        <row r="1866">
          <cell r="C1866" t="str">
            <v>RECICLADO</v>
          </cell>
          <cell r="D1866">
            <v>1.633</v>
          </cell>
          <cell r="E1866">
            <v>16.329999999999998</v>
          </cell>
        </row>
        <row r="1867">
          <cell r="C1867" t="str">
            <v>CONCRETO_ASFÁLTICO</v>
          </cell>
          <cell r="D1867">
            <v>0.4</v>
          </cell>
          <cell r="E1867">
            <v>2.4300000000000002</v>
          </cell>
        </row>
        <row r="1868">
          <cell r="C1868" t="str">
            <v>CUNETA</v>
          </cell>
          <cell r="D1868">
            <v>0.33200000000000002</v>
          </cell>
          <cell r="E1868">
            <v>2.0150000000000001</v>
          </cell>
        </row>
        <row r="1869">
          <cell r="C1869" t="str">
            <v>BASE_GRANULAR</v>
          </cell>
          <cell r="D1869">
            <v>1.349</v>
          </cell>
          <cell r="E1869">
            <v>8.2490000000000006</v>
          </cell>
        </row>
        <row r="1870">
          <cell r="C1870" t="str">
            <v>RECICLADO</v>
          </cell>
          <cell r="D1870">
            <v>1.63</v>
          </cell>
          <cell r="E1870">
            <v>9.9160000000000004</v>
          </cell>
        </row>
        <row r="1871">
          <cell r="C1871" t="str">
            <v>CONCRETO_ASFÁLTICO</v>
          </cell>
          <cell r="D1871">
            <v>0.4</v>
          </cell>
          <cell r="E1871">
            <v>1.569</v>
          </cell>
        </row>
        <row r="1872">
          <cell r="C1872" t="str">
            <v>CUNETA</v>
          </cell>
          <cell r="D1872">
            <v>0.33200000000000002</v>
          </cell>
          <cell r="E1872">
            <v>1.3009999999999999</v>
          </cell>
        </row>
        <row r="1873">
          <cell r="C1873" t="str">
            <v>BASE_GRANULAR</v>
          </cell>
          <cell r="D1873">
            <v>1.3380000000000001</v>
          </cell>
          <cell r="E1873">
            <v>5.2709999999999999</v>
          </cell>
        </row>
        <row r="1874">
          <cell r="C1874" t="str">
            <v>RECICLADO</v>
          </cell>
          <cell r="D1874">
            <v>1.6279999999999999</v>
          </cell>
          <cell r="E1874">
            <v>6.391</v>
          </cell>
        </row>
        <row r="1875">
          <cell r="C1875" t="str">
            <v>CONCRETO_ASFÁLTICO</v>
          </cell>
          <cell r="D1875">
            <v>0.4</v>
          </cell>
          <cell r="E1875">
            <v>6.8979999999999997</v>
          </cell>
        </row>
        <row r="1876">
          <cell r="C1876" t="str">
            <v>CUNETA</v>
          </cell>
          <cell r="D1876">
            <v>0.33200000000000002</v>
          </cell>
          <cell r="E1876">
            <v>5.718</v>
          </cell>
        </row>
        <row r="1877">
          <cell r="C1877" t="str">
            <v>BASE_GRANULAR</v>
          </cell>
          <cell r="D1877">
            <v>1.349</v>
          </cell>
          <cell r="E1877">
            <v>23.175999999999998</v>
          </cell>
        </row>
        <row r="1878">
          <cell r="C1878" t="str">
            <v>RECICLADO</v>
          </cell>
          <cell r="D1878">
            <v>1.63</v>
          </cell>
          <cell r="E1878">
            <v>28.1</v>
          </cell>
        </row>
        <row r="1879">
          <cell r="C1879" t="str">
            <v>CONCRETO_ASFÁLTICO</v>
          </cell>
          <cell r="D1879">
            <v>0.4</v>
          </cell>
          <cell r="E1879">
            <v>1.101</v>
          </cell>
        </row>
        <row r="1880">
          <cell r="C1880" t="str">
            <v>CUNETA</v>
          </cell>
          <cell r="D1880">
            <v>0.33200000000000002</v>
          </cell>
          <cell r="E1880">
            <v>0.91200000000000003</v>
          </cell>
        </row>
        <row r="1881">
          <cell r="C1881" t="str">
            <v>BASE_GRANULAR</v>
          </cell>
          <cell r="D1881">
            <v>1.3580000000000001</v>
          </cell>
          <cell r="E1881">
            <v>3.7269999999999999</v>
          </cell>
        </row>
        <row r="1882">
          <cell r="C1882" t="str">
            <v>RECICLADO</v>
          </cell>
          <cell r="D1882">
            <v>1.6319999999999999</v>
          </cell>
          <cell r="E1882">
            <v>4.4889999999999999</v>
          </cell>
        </row>
        <row r="1883">
          <cell r="C1883" t="str">
            <v>CONCRETO_ASFÁLTICO</v>
          </cell>
          <cell r="D1883">
            <v>0.4</v>
          </cell>
          <cell r="E1883">
            <v>3.9990000000000001</v>
          </cell>
        </row>
        <row r="1884">
          <cell r="C1884" t="str">
            <v>CUNETA</v>
          </cell>
          <cell r="D1884">
            <v>0.33200000000000002</v>
          </cell>
          <cell r="E1884">
            <v>3.3149999999999999</v>
          </cell>
        </row>
        <row r="1885">
          <cell r="C1885" t="str">
            <v>BASE_GRANULAR</v>
          </cell>
          <cell r="D1885">
            <v>1.365</v>
          </cell>
          <cell r="E1885">
            <v>13.648999999999999</v>
          </cell>
        </row>
        <row r="1886">
          <cell r="C1886" t="str">
            <v>RECICLADO</v>
          </cell>
          <cell r="D1886">
            <v>1.633</v>
          </cell>
          <cell r="E1886">
            <v>16.329999999999998</v>
          </cell>
        </row>
        <row r="1887">
          <cell r="C1887" t="str">
            <v>CONCRETO_ASFÁLTICO</v>
          </cell>
          <cell r="D1887">
            <v>0.4</v>
          </cell>
          <cell r="E1887">
            <v>0.89900000000000002</v>
          </cell>
        </row>
        <row r="1888">
          <cell r="C1888" t="str">
            <v>CUNETA</v>
          </cell>
          <cell r="D1888">
            <v>0.33200000000000002</v>
          </cell>
          <cell r="E1888">
            <v>0.745</v>
          </cell>
        </row>
        <row r="1889">
          <cell r="C1889" t="str">
            <v>BASE_GRANULAR</v>
          </cell>
          <cell r="D1889">
            <v>1.365</v>
          </cell>
          <cell r="E1889">
            <v>3.0720000000000001</v>
          </cell>
        </row>
        <row r="1890">
          <cell r="C1890" t="str">
            <v>RECICLADO</v>
          </cell>
          <cell r="D1890">
            <v>1.633</v>
          </cell>
          <cell r="E1890">
            <v>3.6709999999999998</v>
          </cell>
        </row>
        <row r="1891">
          <cell r="C1891" t="str">
            <v>CONCRETO_ASFÁLTICO</v>
          </cell>
          <cell r="D1891">
            <v>0.4</v>
          </cell>
          <cell r="E1891">
            <v>3.1</v>
          </cell>
        </row>
        <row r="1892">
          <cell r="C1892" t="str">
            <v>CUNETA</v>
          </cell>
          <cell r="D1892">
            <v>0.33200000000000002</v>
          </cell>
          <cell r="E1892">
            <v>2.57</v>
          </cell>
        </row>
        <row r="1893">
          <cell r="C1893" t="str">
            <v>BASE_GRANULAR</v>
          </cell>
          <cell r="D1893">
            <v>1.365</v>
          </cell>
          <cell r="E1893">
            <v>10.712</v>
          </cell>
        </row>
        <row r="1894">
          <cell r="C1894" t="str">
            <v>RECICLADO</v>
          </cell>
          <cell r="D1894">
            <v>1.633</v>
          </cell>
          <cell r="E1894">
            <v>12.685</v>
          </cell>
        </row>
        <row r="1895">
          <cell r="C1895" t="str">
            <v>CONCRETO_ASFÁLTICO</v>
          </cell>
          <cell r="D1895">
            <v>0.4</v>
          </cell>
          <cell r="E1895">
            <v>1.369</v>
          </cell>
        </row>
        <row r="1896">
          <cell r="C1896" t="str">
            <v>CUNETA</v>
          </cell>
          <cell r="D1896">
            <v>0.33200000000000002</v>
          </cell>
          <cell r="E1896">
            <v>1.135</v>
          </cell>
        </row>
        <row r="1897">
          <cell r="C1897" t="str">
            <v>BASE_GRANULAR</v>
          </cell>
          <cell r="D1897">
            <v>1.365</v>
          </cell>
          <cell r="E1897">
            <v>4.7300000000000004</v>
          </cell>
        </row>
        <row r="1898">
          <cell r="C1898" t="str">
            <v>RECICLADO</v>
          </cell>
          <cell r="D1898">
            <v>1.633</v>
          </cell>
          <cell r="E1898">
            <v>5.601</v>
          </cell>
        </row>
        <row r="1899">
          <cell r="C1899" t="str">
            <v>CONCRETO_ASFÁLTICO</v>
          </cell>
          <cell r="D1899">
            <v>0.4</v>
          </cell>
          <cell r="E1899">
            <v>2.63</v>
          </cell>
        </row>
        <row r="1900">
          <cell r="C1900" t="str">
            <v>CUNETA</v>
          </cell>
          <cell r="D1900">
            <v>0.33200000000000002</v>
          </cell>
          <cell r="E1900">
            <v>2.1800000000000002</v>
          </cell>
        </row>
        <row r="1901">
          <cell r="C1901" t="str">
            <v>BASE_GRANULAR</v>
          </cell>
          <cell r="D1901">
            <v>1.365</v>
          </cell>
          <cell r="E1901">
            <v>8.9990000000000006</v>
          </cell>
        </row>
        <row r="1902">
          <cell r="C1902" t="str">
            <v>RECICLADO</v>
          </cell>
          <cell r="D1902">
            <v>1.633</v>
          </cell>
          <cell r="E1902">
            <v>10.744</v>
          </cell>
        </row>
        <row r="1903">
          <cell r="C1903" t="str">
            <v>CONCRETO_ASFÁLTICO</v>
          </cell>
          <cell r="D1903">
            <v>0.4</v>
          </cell>
          <cell r="E1903">
            <v>3.3690000000000002</v>
          </cell>
        </row>
        <row r="1904">
          <cell r="C1904" t="str">
            <v>CUNETA</v>
          </cell>
          <cell r="D1904">
            <v>0.33200000000000002</v>
          </cell>
          <cell r="E1904">
            <v>2.7930000000000001</v>
          </cell>
        </row>
        <row r="1905">
          <cell r="C1905" t="str">
            <v>BASE_GRANULAR</v>
          </cell>
          <cell r="D1905">
            <v>1.349</v>
          </cell>
          <cell r="E1905">
            <v>11.448</v>
          </cell>
        </row>
        <row r="1906">
          <cell r="C1906" t="str">
            <v>RECICLADO</v>
          </cell>
          <cell r="D1906">
            <v>1.63</v>
          </cell>
          <cell r="E1906">
            <v>13.746</v>
          </cell>
        </row>
        <row r="1907">
          <cell r="C1907" t="str">
            <v>CONCRETO_ASFÁLTICO</v>
          </cell>
          <cell r="D1907">
            <v>0.4</v>
          </cell>
          <cell r="E1907">
            <v>0.63100000000000001</v>
          </cell>
        </row>
        <row r="1908">
          <cell r="C1908" t="str">
            <v>CUNETA</v>
          </cell>
          <cell r="D1908">
            <v>0.33200000000000002</v>
          </cell>
          <cell r="E1908">
            <v>0.52300000000000002</v>
          </cell>
        </row>
        <row r="1909">
          <cell r="C1909" t="str">
            <v>BASE_GRANULAR</v>
          </cell>
          <cell r="D1909">
            <v>1.3440000000000001</v>
          </cell>
          <cell r="E1909">
            <v>2.1240000000000001</v>
          </cell>
        </row>
        <row r="1910">
          <cell r="C1910" t="str">
            <v>RECICLADO</v>
          </cell>
          <cell r="D1910">
            <v>1.629</v>
          </cell>
          <cell r="E1910">
            <v>2.57</v>
          </cell>
        </row>
        <row r="1911">
          <cell r="C1911" t="str">
            <v>CONCRETO_ASFÁLTICO</v>
          </cell>
          <cell r="D1911">
            <v>0.4</v>
          </cell>
          <cell r="E1911">
            <v>7.9980000000000002</v>
          </cell>
        </row>
        <row r="1912">
          <cell r="C1912" t="str">
            <v>CUNETA</v>
          </cell>
          <cell r="D1912">
            <v>0.33200000000000002</v>
          </cell>
          <cell r="E1912">
            <v>6.6310000000000002</v>
          </cell>
        </row>
        <row r="1913">
          <cell r="C1913" t="str">
            <v>BASE_GRANULAR</v>
          </cell>
          <cell r="D1913">
            <v>1.333</v>
          </cell>
          <cell r="E1913">
            <v>26.776</v>
          </cell>
        </row>
        <row r="1914">
          <cell r="C1914" t="str">
            <v>RECICLADO</v>
          </cell>
          <cell r="D1914">
            <v>1.627</v>
          </cell>
          <cell r="E1914">
            <v>32.567</v>
          </cell>
        </row>
        <row r="1915">
          <cell r="C1915" t="str">
            <v>CONCRETO_ASFÁLTICO</v>
          </cell>
          <cell r="D1915">
            <v>0.4</v>
          </cell>
          <cell r="E1915">
            <v>7.9980000000000002</v>
          </cell>
        </row>
        <row r="1916">
          <cell r="C1916" t="str">
            <v>CUNETA</v>
          </cell>
          <cell r="D1916">
            <v>0.33200000000000002</v>
          </cell>
          <cell r="E1916">
            <v>6.6310000000000002</v>
          </cell>
        </row>
        <row r="1917">
          <cell r="C1917" t="str">
            <v>BASE_GRANULAR</v>
          </cell>
          <cell r="D1917">
            <v>1.333</v>
          </cell>
          <cell r="E1917">
            <v>26.666</v>
          </cell>
        </row>
        <row r="1918">
          <cell r="C1918" t="str">
            <v>RECICLADO</v>
          </cell>
          <cell r="D1918">
            <v>1.627</v>
          </cell>
          <cell r="E1918">
            <v>32.546999999999997</v>
          </cell>
        </row>
        <row r="1919">
          <cell r="C1919" t="str">
            <v>CONCRETO_ASFÁLTICO</v>
          </cell>
          <cell r="D1919">
            <v>0.4</v>
          </cell>
          <cell r="E1919">
            <v>7.9980000000000002</v>
          </cell>
        </row>
        <row r="1920">
          <cell r="C1920" t="str">
            <v>CUNETA</v>
          </cell>
          <cell r="D1920">
            <v>0.33200000000000002</v>
          </cell>
          <cell r="E1920">
            <v>6.6310000000000002</v>
          </cell>
        </row>
        <row r="1921">
          <cell r="C1921" t="str">
            <v>BASE_GRANULAR</v>
          </cell>
          <cell r="D1921">
            <v>1.333</v>
          </cell>
          <cell r="E1921">
            <v>26.666</v>
          </cell>
        </row>
        <row r="1922">
          <cell r="C1922" t="str">
            <v>RECICLADO</v>
          </cell>
          <cell r="D1922">
            <v>1.627</v>
          </cell>
          <cell r="E1922">
            <v>32.546999999999997</v>
          </cell>
        </row>
        <row r="1923">
          <cell r="C1923" t="str">
            <v>CONCRETO_ASFÁLTICO</v>
          </cell>
          <cell r="D1923">
            <v>0.4</v>
          </cell>
          <cell r="E1923">
            <v>7.9980000000000002</v>
          </cell>
        </row>
        <row r="1924">
          <cell r="C1924" t="str">
            <v>CUNETA</v>
          </cell>
          <cell r="D1924">
            <v>0.33200000000000002</v>
          </cell>
          <cell r="E1924">
            <v>6.6310000000000002</v>
          </cell>
        </row>
        <row r="1925">
          <cell r="C1925" t="str">
            <v>BASE_GRANULAR</v>
          </cell>
          <cell r="D1925">
            <v>1.333</v>
          </cell>
          <cell r="E1925">
            <v>26.666</v>
          </cell>
        </row>
        <row r="1926">
          <cell r="C1926" t="str">
            <v>RECICLADO</v>
          </cell>
          <cell r="D1926">
            <v>1.627</v>
          </cell>
          <cell r="E1926">
            <v>32.546999999999997</v>
          </cell>
        </row>
        <row r="1927">
          <cell r="C1927" t="str">
            <v>CONCRETO_ASFÁLTICO</v>
          </cell>
          <cell r="D1927">
            <v>0.4</v>
          </cell>
          <cell r="E1927">
            <v>2.09</v>
          </cell>
        </row>
        <row r="1928">
          <cell r="C1928" t="str">
            <v>CUNETA</v>
          </cell>
          <cell r="D1928">
            <v>0.33200000000000002</v>
          </cell>
          <cell r="E1928">
            <v>1.7330000000000001</v>
          </cell>
        </row>
        <row r="1929">
          <cell r="C1929" t="str">
            <v>BASE_GRANULAR</v>
          </cell>
          <cell r="D1929">
            <v>1.349</v>
          </cell>
          <cell r="E1929">
            <v>7.0110000000000001</v>
          </cell>
        </row>
        <row r="1930">
          <cell r="C1930" t="str">
            <v>RECICLADO</v>
          </cell>
          <cell r="D1930">
            <v>1.63</v>
          </cell>
          <cell r="E1930">
            <v>8.5129999999999999</v>
          </cell>
        </row>
        <row r="1931">
          <cell r="C1931" t="str">
            <v>CONCRETO_ASFÁLTICO</v>
          </cell>
          <cell r="D1931">
            <v>0.4</v>
          </cell>
          <cell r="E1931">
            <v>1.909</v>
          </cell>
        </row>
        <row r="1932">
          <cell r="C1932" t="str">
            <v>CUNETA</v>
          </cell>
          <cell r="D1932">
            <v>0.33200000000000002</v>
          </cell>
          <cell r="E1932">
            <v>1.583</v>
          </cell>
        </row>
        <row r="1933">
          <cell r="C1933" t="str">
            <v>BASE_GRANULAR</v>
          </cell>
          <cell r="D1933">
            <v>1.365</v>
          </cell>
          <cell r="E1933">
            <v>6.4779999999999998</v>
          </cell>
        </row>
        <row r="1934">
          <cell r="C1934" t="str">
            <v>RECICLADO</v>
          </cell>
          <cell r="D1934">
            <v>1.633</v>
          </cell>
          <cell r="E1934">
            <v>7.7880000000000003</v>
          </cell>
        </row>
        <row r="1935">
          <cell r="C1935" t="str">
            <v>CONCRETO_ASFÁLTICO</v>
          </cell>
          <cell r="D1935">
            <v>0.4</v>
          </cell>
          <cell r="E1935">
            <v>3.9990000000000001</v>
          </cell>
        </row>
        <row r="1936">
          <cell r="C1936" t="str">
            <v>CUNETA</v>
          </cell>
          <cell r="D1936">
            <v>0.33200000000000002</v>
          </cell>
          <cell r="E1936">
            <v>3.3149999999999999</v>
          </cell>
        </row>
        <row r="1937">
          <cell r="C1937" t="str">
            <v>BASE_GRANULAR</v>
          </cell>
          <cell r="D1937">
            <v>1.365</v>
          </cell>
          <cell r="E1937">
            <v>13.651</v>
          </cell>
        </row>
        <row r="1938">
          <cell r="C1938" t="str">
            <v>RECICLADO</v>
          </cell>
          <cell r="D1938">
            <v>1.633</v>
          </cell>
          <cell r="E1938">
            <v>16.329999999999998</v>
          </cell>
        </row>
        <row r="1939">
          <cell r="C1939" t="str">
            <v>CONCRETO_ASFÁLTICO</v>
          </cell>
          <cell r="D1939">
            <v>0.4</v>
          </cell>
          <cell r="E1939">
            <v>9.0999999999999998E-2</v>
          </cell>
        </row>
        <row r="1940">
          <cell r="C1940" t="str">
            <v>CUNETA</v>
          </cell>
          <cell r="D1940">
            <v>0.33200000000000002</v>
          </cell>
          <cell r="E1940">
            <v>7.4999999999999997E-2</v>
          </cell>
        </row>
        <row r="1941">
          <cell r="C1941" t="str">
            <v>BASE_GRANULAR</v>
          </cell>
          <cell r="D1941">
            <v>1.365</v>
          </cell>
          <cell r="E1941">
            <v>0.309</v>
          </cell>
        </row>
        <row r="1942">
          <cell r="C1942" t="str">
            <v>RECICLADO</v>
          </cell>
          <cell r="D1942">
            <v>1.633</v>
          </cell>
          <cell r="E1942">
            <v>0.37</v>
          </cell>
        </row>
        <row r="1943">
          <cell r="C1943" t="str">
            <v>CONCRETO_ASFÁLTICO</v>
          </cell>
          <cell r="D1943">
            <v>0.4</v>
          </cell>
          <cell r="E1943">
            <v>3.9089999999999998</v>
          </cell>
        </row>
        <row r="1944">
          <cell r="C1944" t="str">
            <v>CUNETA</v>
          </cell>
          <cell r="D1944">
            <v>0.33200000000000002</v>
          </cell>
          <cell r="E1944">
            <v>3.24</v>
          </cell>
        </row>
        <row r="1945">
          <cell r="C1945" t="str">
            <v>BASE_GRANULAR</v>
          </cell>
          <cell r="D1945">
            <v>1.3580000000000001</v>
          </cell>
          <cell r="E1945">
            <v>13.31</v>
          </cell>
        </row>
        <row r="1946">
          <cell r="C1946" t="str">
            <v>RECICLADO</v>
          </cell>
          <cell r="D1946">
            <v>1.6319999999999999</v>
          </cell>
          <cell r="E1946">
            <v>15.954000000000001</v>
          </cell>
        </row>
        <row r="1947">
          <cell r="C1947" t="str">
            <v>CONCRETO_ASFÁLTICO</v>
          </cell>
          <cell r="D1947">
            <v>0.4</v>
          </cell>
          <cell r="E1947">
            <v>2.09</v>
          </cell>
        </row>
        <row r="1948">
          <cell r="C1948" t="str">
            <v>CUNETA</v>
          </cell>
          <cell r="D1948">
            <v>0.33200000000000002</v>
          </cell>
          <cell r="E1948">
            <v>1.7330000000000001</v>
          </cell>
        </row>
        <row r="1949">
          <cell r="C1949" t="str">
            <v>BASE_GRANULAR</v>
          </cell>
          <cell r="D1949">
            <v>1.337</v>
          </cell>
          <cell r="E1949">
            <v>7.0449999999999999</v>
          </cell>
        </row>
        <row r="1950">
          <cell r="C1950" t="str">
            <v>RECICLADO</v>
          </cell>
          <cell r="D1950">
            <v>1.6279999999999999</v>
          </cell>
          <cell r="E1950">
            <v>8.5190000000000001</v>
          </cell>
        </row>
        <row r="1951">
          <cell r="C1951" t="str">
            <v>CONCRETO_ASFÁLTICO</v>
          </cell>
          <cell r="D1951">
            <v>0.4</v>
          </cell>
          <cell r="E1951">
            <v>1.179</v>
          </cell>
        </row>
        <row r="1952">
          <cell r="C1952" t="str">
            <v>CUNETA</v>
          </cell>
          <cell r="D1952">
            <v>0.33200000000000002</v>
          </cell>
          <cell r="E1952">
            <v>0.97699999999999998</v>
          </cell>
        </row>
        <row r="1953">
          <cell r="C1953" t="str">
            <v>BASE_GRANULAR</v>
          </cell>
          <cell r="D1953">
            <v>1.341</v>
          </cell>
          <cell r="E1953">
            <v>3.9470000000000001</v>
          </cell>
        </row>
        <row r="1954">
          <cell r="C1954" t="str">
            <v>RECICLADO</v>
          </cell>
          <cell r="D1954">
            <v>1.629</v>
          </cell>
          <cell r="E1954">
            <v>4.8</v>
          </cell>
        </row>
        <row r="1955">
          <cell r="C1955" t="str">
            <v>CONCRETO_ASFÁLTICO</v>
          </cell>
          <cell r="D1955">
            <v>0.4</v>
          </cell>
          <cell r="E1955">
            <v>0.73</v>
          </cell>
        </row>
        <row r="1956">
          <cell r="C1956" t="str">
            <v>CUNETA</v>
          </cell>
          <cell r="D1956">
            <v>0.33200000000000002</v>
          </cell>
          <cell r="E1956">
            <v>0.60499999999999998</v>
          </cell>
        </row>
        <row r="1957">
          <cell r="C1957" t="str">
            <v>BASE_GRANULAR</v>
          </cell>
          <cell r="D1957">
            <v>1.3480000000000001</v>
          </cell>
          <cell r="E1957">
            <v>2.456</v>
          </cell>
        </row>
        <row r="1958">
          <cell r="C1958" t="str">
            <v>RECICLADO</v>
          </cell>
          <cell r="D1958">
            <v>1.63</v>
          </cell>
          <cell r="E1958">
            <v>2.9750000000000001</v>
          </cell>
        </row>
        <row r="1959">
          <cell r="C1959" t="str">
            <v>CONCRETO_ASFÁLTICO</v>
          </cell>
          <cell r="D1959">
            <v>0.4</v>
          </cell>
          <cell r="E1959">
            <v>3.9990000000000001</v>
          </cell>
        </row>
        <row r="1960">
          <cell r="C1960" t="str">
            <v>CUNETA</v>
          </cell>
          <cell r="D1960">
            <v>0.33200000000000002</v>
          </cell>
          <cell r="E1960">
            <v>3.3149999999999999</v>
          </cell>
        </row>
        <row r="1961">
          <cell r="C1961" t="str">
            <v>BASE_GRANULAR</v>
          </cell>
          <cell r="D1961">
            <v>1.365</v>
          </cell>
          <cell r="E1961">
            <v>13.592000000000001</v>
          </cell>
        </row>
        <row r="1962">
          <cell r="C1962" t="str">
            <v>RECICLADO</v>
          </cell>
          <cell r="D1962">
            <v>1.633</v>
          </cell>
          <cell r="E1962">
            <v>16.32</v>
          </cell>
        </row>
        <row r="1963">
          <cell r="C1963" t="str">
            <v>CONCRETO_ASFÁLTICO</v>
          </cell>
          <cell r="D1963">
            <v>0.4</v>
          </cell>
          <cell r="E1963">
            <v>0.89300000000000002</v>
          </cell>
        </row>
        <row r="1964">
          <cell r="C1964" t="str">
            <v>CUNETA</v>
          </cell>
          <cell r="D1964">
            <v>0.33200000000000002</v>
          </cell>
          <cell r="E1964">
            <v>0.74099999999999999</v>
          </cell>
        </row>
        <row r="1965">
          <cell r="C1965" t="str">
            <v>BASE_GRANULAR</v>
          </cell>
          <cell r="D1965">
            <v>1.365</v>
          </cell>
          <cell r="E1965">
            <v>3.0529999999999999</v>
          </cell>
        </row>
        <row r="1966">
          <cell r="C1966" t="str">
            <v>RECICLADO</v>
          </cell>
          <cell r="D1966">
            <v>1.633</v>
          </cell>
          <cell r="E1966">
            <v>3.649</v>
          </cell>
        </row>
        <row r="1967">
          <cell r="C1967" t="str">
            <v>CONCRETO_ASFÁLTICO</v>
          </cell>
          <cell r="D1967">
            <v>0.4</v>
          </cell>
          <cell r="E1967">
            <v>3.1059999999999999</v>
          </cell>
        </row>
        <row r="1968">
          <cell r="C1968" t="str">
            <v>CUNETA</v>
          </cell>
          <cell r="D1968">
            <v>0.33200000000000002</v>
          </cell>
          <cell r="E1968">
            <v>2.5750000000000002</v>
          </cell>
        </row>
        <row r="1969">
          <cell r="C1969" t="str">
            <v>BASE_GRANULAR</v>
          </cell>
          <cell r="D1969">
            <v>1.365</v>
          </cell>
          <cell r="E1969">
            <v>10.705</v>
          </cell>
        </row>
        <row r="1970">
          <cell r="C1970" t="str">
            <v>RECICLADO</v>
          </cell>
          <cell r="D1970">
            <v>1.633</v>
          </cell>
          <cell r="E1970">
            <v>12.702</v>
          </cell>
        </row>
        <row r="1971">
          <cell r="C1971" t="str">
            <v>CONCRETO_ASFÁLTICO</v>
          </cell>
          <cell r="D1971">
            <v>0.4</v>
          </cell>
          <cell r="E1971">
            <v>3.9990000000000001</v>
          </cell>
        </row>
        <row r="1972">
          <cell r="C1972" t="str">
            <v>CUNETA</v>
          </cell>
          <cell r="D1972">
            <v>0.33200000000000002</v>
          </cell>
          <cell r="E1972">
            <v>3.3149999999999999</v>
          </cell>
        </row>
        <row r="1973">
          <cell r="C1973" t="str">
            <v>BASE_GRANULAR</v>
          </cell>
          <cell r="D1973">
            <v>1.365</v>
          </cell>
          <cell r="E1973">
            <v>13.784000000000001</v>
          </cell>
        </row>
        <row r="1974">
          <cell r="C1974" t="str">
            <v>RECICLADO</v>
          </cell>
          <cell r="D1974">
            <v>1.633</v>
          </cell>
          <cell r="E1974">
            <v>16.356000000000002</v>
          </cell>
        </row>
        <row r="1975">
          <cell r="C1975" t="str">
            <v>CONCRETO_ASFÁLTICO</v>
          </cell>
          <cell r="D1975">
            <v>0.4</v>
          </cell>
          <cell r="E1975">
            <v>0.187</v>
          </cell>
        </row>
        <row r="1976">
          <cell r="C1976" t="str">
            <v>CUNETA</v>
          </cell>
          <cell r="D1976">
            <v>0.33200000000000002</v>
          </cell>
          <cell r="E1976">
            <v>0.155</v>
          </cell>
        </row>
        <row r="1977">
          <cell r="C1977" t="str">
            <v>BASE_GRANULAR</v>
          </cell>
          <cell r="D1977">
            <v>1.365</v>
          </cell>
          <cell r="E1977">
            <v>0.64500000000000002</v>
          </cell>
        </row>
        <row r="1978">
          <cell r="C1978" t="str">
            <v>RECICLADO</v>
          </cell>
          <cell r="D1978">
            <v>1.633</v>
          </cell>
          <cell r="E1978">
            <v>0.76500000000000001</v>
          </cell>
        </row>
        <row r="1979">
          <cell r="C1979" t="str">
            <v>CONCRETO_ASFÁLTICO</v>
          </cell>
          <cell r="D1979">
            <v>0.4</v>
          </cell>
          <cell r="E1979">
            <v>3.8119999999999998</v>
          </cell>
        </row>
        <row r="1980">
          <cell r="C1980" t="str">
            <v>CUNETA</v>
          </cell>
          <cell r="D1980">
            <v>0.33200000000000002</v>
          </cell>
          <cell r="E1980">
            <v>3.16</v>
          </cell>
        </row>
        <row r="1981">
          <cell r="C1981" t="str">
            <v>BASE_GRANULAR</v>
          </cell>
          <cell r="D1981">
            <v>1.365</v>
          </cell>
          <cell r="E1981">
            <v>13.041</v>
          </cell>
        </row>
        <row r="1982">
          <cell r="C1982" t="str">
            <v>RECICLADO</v>
          </cell>
          <cell r="D1982">
            <v>1.633</v>
          </cell>
          <cell r="E1982">
            <v>15.571</v>
          </cell>
        </row>
        <row r="1983">
          <cell r="C1983" t="str">
            <v>CONCRETO_ASFÁLTICO</v>
          </cell>
          <cell r="D1983">
            <v>0.4</v>
          </cell>
          <cell r="E1983">
            <v>1.8109999999999999</v>
          </cell>
        </row>
        <row r="1984">
          <cell r="C1984" t="str">
            <v>CUNETA</v>
          </cell>
          <cell r="D1984">
            <v>0.33200000000000002</v>
          </cell>
          <cell r="E1984">
            <v>1.5009999999999999</v>
          </cell>
        </row>
        <row r="1985">
          <cell r="C1985" t="str">
            <v>BASE_GRANULAR</v>
          </cell>
          <cell r="D1985">
            <v>1.349</v>
          </cell>
          <cell r="E1985">
            <v>6.1470000000000002</v>
          </cell>
        </row>
        <row r="1986">
          <cell r="C1986" t="str">
            <v>RECICLADO</v>
          </cell>
          <cell r="D1986">
            <v>1.63</v>
          </cell>
          <cell r="E1986">
            <v>7.3879999999999999</v>
          </cell>
        </row>
        <row r="1987">
          <cell r="C1987" t="str">
            <v>CONCRETO_ASFÁLTICO</v>
          </cell>
          <cell r="D1987">
            <v>0.4</v>
          </cell>
          <cell r="E1987">
            <v>6.1879999999999997</v>
          </cell>
        </row>
        <row r="1988">
          <cell r="C1988" t="str">
            <v>CUNETA</v>
          </cell>
          <cell r="D1988">
            <v>0.33200000000000002</v>
          </cell>
          <cell r="E1988">
            <v>5.13</v>
          </cell>
        </row>
        <row r="1989">
          <cell r="C1989" t="str">
            <v>BASE_GRANULAR</v>
          </cell>
          <cell r="D1989">
            <v>1.333</v>
          </cell>
          <cell r="E1989">
            <v>20.754000000000001</v>
          </cell>
        </row>
        <row r="1990">
          <cell r="C1990" t="str">
            <v>RECICLADO</v>
          </cell>
          <cell r="D1990">
            <v>1.627</v>
          </cell>
          <cell r="E1990">
            <v>25.201000000000001</v>
          </cell>
        </row>
        <row r="1991">
          <cell r="C1991" t="str">
            <v>CONCRETO_ASFÁLTICO</v>
          </cell>
          <cell r="D1991">
            <v>0.4</v>
          </cell>
          <cell r="E1991">
            <v>7.9980000000000002</v>
          </cell>
        </row>
        <row r="1992">
          <cell r="C1992" t="str">
            <v>CUNETA</v>
          </cell>
          <cell r="D1992">
            <v>0.33200000000000002</v>
          </cell>
          <cell r="E1992">
            <v>6.6310000000000002</v>
          </cell>
        </row>
        <row r="1993">
          <cell r="C1993" t="str">
            <v>BASE_GRANULAR</v>
          </cell>
          <cell r="D1993">
            <v>1.333</v>
          </cell>
          <cell r="E1993">
            <v>26.666</v>
          </cell>
        </row>
        <row r="1994">
          <cell r="C1994" t="str">
            <v>RECICLADO</v>
          </cell>
          <cell r="D1994">
            <v>1.627</v>
          </cell>
          <cell r="E1994">
            <v>32.546999999999997</v>
          </cell>
        </row>
        <row r="1995">
          <cell r="C1995" t="str">
            <v>CONCRETO_ASFÁLTICO</v>
          </cell>
          <cell r="D1995">
            <v>0.4</v>
          </cell>
          <cell r="E1995">
            <v>7.8890000000000002</v>
          </cell>
        </row>
        <row r="1996">
          <cell r="C1996" t="str">
            <v>CUNETA</v>
          </cell>
          <cell r="D1996">
            <v>0.33200000000000002</v>
          </cell>
          <cell r="E1996">
            <v>6.54</v>
          </cell>
        </row>
        <row r="1997">
          <cell r="C1997" t="str">
            <v>BASE_GRANULAR</v>
          </cell>
          <cell r="D1997">
            <v>1.333</v>
          </cell>
          <cell r="E1997">
            <v>26.302</v>
          </cell>
        </row>
        <row r="1998">
          <cell r="C1998" t="str">
            <v>RECICLADO</v>
          </cell>
          <cell r="D1998">
            <v>1.627</v>
          </cell>
          <cell r="E1998">
            <v>32.101999999999997</v>
          </cell>
        </row>
        <row r="1999">
          <cell r="C1999" t="str">
            <v>CONCRETO_ASFÁLTICO</v>
          </cell>
          <cell r="D1999">
            <v>0.4</v>
          </cell>
          <cell r="E1999">
            <v>0.109</v>
          </cell>
        </row>
        <row r="2000">
          <cell r="C2000" t="str">
            <v>CUNETA</v>
          </cell>
          <cell r="D2000">
            <v>0.33200000000000002</v>
          </cell>
          <cell r="E2000">
            <v>9.0999999999999998E-2</v>
          </cell>
        </row>
        <row r="2001">
          <cell r="C2001" t="str">
            <v>BASE_GRANULAR</v>
          </cell>
          <cell r="D2001">
            <v>1.333</v>
          </cell>
          <cell r="E2001">
            <v>0.36399999999999999</v>
          </cell>
        </row>
        <row r="2002">
          <cell r="C2002" t="str">
            <v>RECICLADO</v>
          </cell>
          <cell r="D2002">
            <v>1.627</v>
          </cell>
          <cell r="E2002">
            <v>0.44500000000000001</v>
          </cell>
        </row>
        <row r="2003">
          <cell r="C2003" t="str">
            <v>CONCRETO_ASFÁLTICO</v>
          </cell>
          <cell r="D2003">
            <v>0.4</v>
          </cell>
          <cell r="E2003">
            <v>7.9980000000000002</v>
          </cell>
        </row>
        <row r="2004">
          <cell r="C2004" t="str">
            <v>CUNETA</v>
          </cell>
          <cell r="D2004">
            <v>0.33200000000000002</v>
          </cell>
          <cell r="E2004">
            <v>6.6310000000000002</v>
          </cell>
        </row>
        <row r="2005">
          <cell r="C2005" t="str">
            <v>BASE_GRANULAR</v>
          </cell>
          <cell r="D2005">
            <v>1.333</v>
          </cell>
          <cell r="E2005">
            <v>26.666</v>
          </cell>
        </row>
        <row r="2006">
          <cell r="C2006" t="str">
            <v>RECICLADO</v>
          </cell>
          <cell r="D2006">
            <v>1.627</v>
          </cell>
          <cell r="E2006">
            <v>32.546999999999997</v>
          </cell>
        </row>
        <row r="2007">
          <cell r="C2007" t="str">
            <v>CONCRETO_ASFÁLTICO</v>
          </cell>
          <cell r="D2007">
            <v>0.4</v>
          </cell>
          <cell r="E2007">
            <v>7.9980000000000002</v>
          </cell>
        </row>
        <row r="2008">
          <cell r="C2008" t="str">
            <v>CUNETA</v>
          </cell>
          <cell r="D2008">
            <v>0.33200000000000002</v>
          </cell>
          <cell r="E2008">
            <v>6.6310000000000002</v>
          </cell>
        </row>
        <row r="2009">
          <cell r="C2009" t="str">
            <v>BASE_GRANULAR</v>
          </cell>
          <cell r="D2009">
            <v>1.333</v>
          </cell>
          <cell r="E2009">
            <v>26.666</v>
          </cell>
        </row>
        <row r="2010">
          <cell r="C2010" t="str">
            <v>RECICLADO</v>
          </cell>
          <cell r="D2010">
            <v>1.627</v>
          </cell>
          <cell r="E2010">
            <v>32.546999999999997</v>
          </cell>
        </row>
        <row r="2011">
          <cell r="C2011" t="str">
            <v>CONCRETO_ASFÁLTICO</v>
          </cell>
          <cell r="D2011">
            <v>0.4</v>
          </cell>
          <cell r="E2011">
            <v>7.9980000000000002</v>
          </cell>
        </row>
        <row r="2012">
          <cell r="C2012" t="str">
            <v>CUNETA</v>
          </cell>
          <cell r="D2012">
            <v>0.33200000000000002</v>
          </cell>
          <cell r="E2012">
            <v>6.6310000000000002</v>
          </cell>
        </row>
        <row r="2013">
          <cell r="C2013" t="str">
            <v>BASE_GRANULAR</v>
          </cell>
          <cell r="D2013">
            <v>1.333</v>
          </cell>
          <cell r="E2013">
            <v>26.666</v>
          </cell>
        </row>
        <row r="2014">
          <cell r="C2014" t="str">
            <v>RECICLADO</v>
          </cell>
          <cell r="D2014">
            <v>1.627</v>
          </cell>
          <cell r="E2014">
            <v>32.546999999999997</v>
          </cell>
        </row>
        <row r="2015">
          <cell r="C2015" t="str">
            <v>CONCRETO_ASFÁLTICO</v>
          </cell>
          <cell r="D2015">
            <v>0.4</v>
          </cell>
          <cell r="E2015">
            <v>7.9980000000000002</v>
          </cell>
        </row>
        <row r="2016">
          <cell r="C2016" t="str">
            <v>CUNETA</v>
          </cell>
          <cell r="D2016">
            <v>0.33200000000000002</v>
          </cell>
          <cell r="E2016">
            <v>6.6310000000000002</v>
          </cell>
        </row>
        <row r="2017">
          <cell r="C2017" t="str">
            <v>BASE_GRANULAR</v>
          </cell>
          <cell r="D2017">
            <v>1.345</v>
          </cell>
          <cell r="E2017">
            <v>26.786000000000001</v>
          </cell>
        </row>
        <row r="2018">
          <cell r="C2018" t="str">
            <v>RECICLADO</v>
          </cell>
          <cell r="D2018">
            <v>1.629</v>
          </cell>
          <cell r="E2018">
            <v>32.567999999999998</v>
          </cell>
        </row>
        <row r="2019">
          <cell r="C2019" t="str">
            <v>CONCRETO_ASFÁLTICO</v>
          </cell>
          <cell r="D2019">
            <v>0.4</v>
          </cell>
          <cell r="E2019">
            <v>0.68300000000000005</v>
          </cell>
        </row>
        <row r="2020">
          <cell r="C2020" t="str">
            <v>CUNETA</v>
          </cell>
          <cell r="D2020">
            <v>0.33200000000000002</v>
          </cell>
          <cell r="E2020">
            <v>0.56699999999999995</v>
          </cell>
        </row>
        <row r="2021">
          <cell r="C2021" t="str">
            <v>BASE_GRANULAR</v>
          </cell>
          <cell r="D2021">
            <v>1.349</v>
          </cell>
          <cell r="E2021">
            <v>2.302</v>
          </cell>
        </row>
        <row r="2022">
          <cell r="C2022" t="str">
            <v>RECICLADO</v>
          </cell>
          <cell r="D2022">
            <v>1.63</v>
          </cell>
          <cell r="E2022">
            <v>2.7850000000000001</v>
          </cell>
        </row>
        <row r="2023">
          <cell r="C2023" t="str">
            <v>CONCRETO_ASFÁLTICO</v>
          </cell>
          <cell r="D2023">
            <v>0.4</v>
          </cell>
          <cell r="E2023">
            <v>3.3159999999999998</v>
          </cell>
        </row>
        <row r="2024">
          <cell r="C2024" t="str">
            <v>CUNETA</v>
          </cell>
          <cell r="D2024">
            <v>0.33200000000000002</v>
          </cell>
          <cell r="E2024">
            <v>2.7490000000000001</v>
          </cell>
        </row>
        <row r="2025">
          <cell r="C2025" t="str">
            <v>BASE_GRANULAR</v>
          </cell>
          <cell r="D2025">
            <v>1.365</v>
          </cell>
          <cell r="E2025">
            <v>11.256</v>
          </cell>
        </row>
        <row r="2026">
          <cell r="C2026" t="str">
            <v>RECICLADO</v>
          </cell>
          <cell r="D2026">
            <v>1.633</v>
          </cell>
          <cell r="E2026">
            <v>13.528</v>
          </cell>
        </row>
        <row r="2027">
          <cell r="C2027" t="str">
            <v>CONCRETO_ASFÁLTICO</v>
          </cell>
          <cell r="D2027">
            <v>0.4</v>
          </cell>
          <cell r="E2027">
            <v>2.363</v>
          </cell>
        </row>
        <row r="2028">
          <cell r="C2028" t="str">
            <v>CUNETA</v>
          </cell>
          <cell r="D2028">
            <v>0.33200000000000002</v>
          </cell>
          <cell r="E2028">
            <v>1.9590000000000001</v>
          </cell>
        </row>
        <row r="2029">
          <cell r="C2029" t="str">
            <v>BASE_GRANULAR</v>
          </cell>
          <cell r="D2029">
            <v>1.365</v>
          </cell>
          <cell r="E2029">
            <v>8.07</v>
          </cell>
        </row>
        <row r="2030">
          <cell r="C2030" t="str">
            <v>RECICLADO</v>
          </cell>
          <cell r="D2030">
            <v>1.633</v>
          </cell>
          <cell r="E2030">
            <v>9.65</v>
          </cell>
        </row>
        <row r="2031">
          <cell r="C2031" t="str">
            <v>CONCRETO_ASFÁLTICO</v>
          </cell>
          <cell r="D2031">
            <v>0.4</v>
          </cell>
          <cell r="E2031">
            <v>1.6359999999999999</v>
          </cell>
        </row>
        <row r="2032">
          <cell r="C2032" t="str">
            <v>CUNETA</v>
          </cell>
          <cell r="D2032">
            <v>0.33200000000000002</v>
          </cell>
          <cell r="E2032">
            <v>1.3560000000000001</v>
          </cell>
        </row>
        <row r="2033">
          <cell r="C2033" t="str">
            <v>BASE_GRANULAR</v>
          </cell>
          <cell r="D2033">
            <v>1.365</v>
          </cell>
          <cell r="E2033">
            <v>5.5940000000000003</v>
          </cell>
        </row>
        <row r="2034">
          <cell r="C2034" t="str">
            <v>RECICLADO</v>
          </cell>
          <cell r="D2034">
            <v>1.633</v>
          </cell>
          <cell r="E2034">
            <v>6.6820000000000004</v>
          </cell>
        </row>
        <row r="2035">
          <cell r="C2035" t="str">
            <v>CONCRETO_ASFÁLTICO</v>
          </cell>
          <cell r="D2035">
            <v>0.4</v>
          </cell>
          <cell r="E2035">
            <v>3.9990000000000001</v>
          </cell>
        </row>
        <row r="2036">
          <cell r="C2036" t="str">
            <v>CUNETA</v>
          </cell>
          <cell r="D2036">
            <v>0.33200000000000002</v>
          </cell>
          <cell r="E2036">
            <v>3.3149999999999999</v>
          </cell>
        </row>
        <row r="2037">
          <cell r="C2037" t="str">
            <v>BASE_GRANULAR</v>
          </cell>
          <cell r="D2037">
            <v>1.365</v>
          </cell>
          <cell r="E2037">
            <v>13.673999999999999</v>
          </cell>
        </row>
        <row r="2038">
          <cell r="C2038" t="str">
            <v>RECICLADO</v>
          </cell>
          <cell r="D2038">
            <v>1.633</v>
          </cell>
          <cell r="E2038">
            <v>16.334</v>
          </cell>
        </row>
        <row r="2039">
          <cell r="C2039" t="str">
            <v>CONCRETO_ASFÁLTICO</v>
          </cell>
          <cell r="D2039">
            <v>0.4</v>
          </cell>
          <cell r="E2039">
            <v>1.1279999999999999</v>
          </cell>
        </row>
        <row r="2040">
          <cell r="C2040" t="str">
            <v>CUNETA</v>
          </cell>
          <cell r="D2040">
            <v>0.33200000000000002</v>
          </cell>
          <cell r="E2040">
            <v>0.93500000000000005</v>
          </cell>
        </row>
        <row r="2041">
          <cell r="C2041" t="str">
            <v>BASE_GRANULAR</v>
          </cell>
          <cell r="D2041">
            <v>1.365</v>
          </cell>
          <cell r="E2041">
            <v>3.8580000000000001</v>
          </cell>
        </row>
        <row r="2042">
          <cell r="C2042" t="str">
            <v>RECICLADO</v>
          </cell>
          <cell r="D2042">
            <v>1.633</v>
          </cell>
          <cell r="E2042">
            <v>4.609</v>
          </cell>
        </row>
        <row r="2043">
          <cell r="C2043" t="str">
            <v>CONCRETO_ASFÁLTICO</v>
          </cell>
          <cell r="D2043">
            <v>0.4</v>
          </cell>
          <cell r="E2043">
            <v>2.871</v>
          </cell>
        </row>
        <row r="2044">
          <cell r="C2044" t="str">
            <v>CUNETA</v>
          </cell>
          <cell r="D2044">
            <v>0.33200000000000002</v>
          </cell>
          <cell r="E2044">
            <v>2.38</v>
          </cell>
        </row>
        <row r="2045">
          <cell r="C2045" t="str">
            <v>BASE_GRANULAR</v>
          </cell>
          <cell r="D2045">
            <v>1.365</v>
          </cell>
          <cell r="E2045">
            <v>9.8049999999999997</v>
          </cell>
        </row>
        <row r="2046">
          <cell r="C2046" t="str">
            <v>RECICLADO</v>
          </cell>
          <cell r="D2046">
            <v>1.633</v>
          </cell>
          <cell r="E2046">
            <v>11.723000000000001</v>
          </cell>
        </row>
        <row r="2047">
          <cell r="C2047" t="str">
            <v>CONCRETO_ASFÁLTICO</v>
          </cell>
          <cell r="D2047">
            <v>0.4</v>
          </cell>
          <cell r="E2047">
            <v>2.8079999999999998</v>
          </cell>
        </row>
        <row r="2048">
          <cell r="C2048" t="str">
            <v>CUNETA</v>
          </cell>
          <cell r="D2048">
            <v>0.33200000000000002</v>
          </cell>
          <cell r="E2048">
            <v>2.3279999999999998</v>
          </cell>
        </row>
        <row r="2049">
          <cell r="C2049" t="str">
            <v>BASE_GRANULAR</v>
          </cell>
          <cell r="D2049">
            <v>1.349</v>
          </cell>
          <cell r="E2049">
            <v>9.532</v>
          </cell>
        </row>
        <row r="2050">
          <cell r="C2050" t="str">
            <v>RECICLADO</v>
          </cell>
          <cell r="D2050">
            <v>1.63</v>
          </cell>
          <cell r="E2050">
            <v>11.457000000000001</v>
          </cell>
        </row>
        <row r="2051">
          <cell r="C2051" t="str">
            <v>CONCRETO_ASFÁLTICO</v>
          </cell>
          <cell r="D2051">
            <v>0.4</v>
          </cell>
          <cell r="E2051">
            <v>5.19</v>
          </cell>
        </row>
        <row r="2052">
          <cell r="C2052" t="str">
            <v>CUNETA</v>
          </cell>
          <cell r="D2052">
            <v>0.33200000000000002</v>
          </cell>
          <cell r="E2052">
            <v>4.3029999999999999</v>
          </cell>
        </row>
        <row r="2053">
          <cell r="C2053" t="str">
            <v>BASE_GRANULAR</v>
          </cell>
          <cell r="D2053">
            <v>1.333</v>
          </cell>
          <cell r="E2053">
            <v>17.408999999999999</v>
          </cell>
        </row>
        <row r="2054">
          <cell r="C2054" t="str">
            <v>RECICLADO</v>
          </cell>
          <cell r="D2054">
            <v>1.627</v>
          </cell>
          <cell r="E2054">
            <v>21.138999999999999</v>
          </cell>
        </row>
        <row r="2055">
          <cell r="C2055" t="str">
            <v>CONCRETO_ASFÁLTICO</v>
          </cell>
          <cell r="D2055">
            <v>0.4</v>
          </cell>
          <cell r="E2055">
            <v>7.9980000000000002</v>
          </cell>
        </row>
        <row r="2056">
          <cell r="C2056" t="str">
            <v>CUNETA</v>
          </cell>
          <cell r="D2056">
            <v>0.33200000000000002</v>
          </cell>
          <cell r="E2056">
            <v>6.6310000000000002</v>
          </cell>
        </row>
        <row r="2057">
          <cell r="C2057" t="str">
            <v>BASE_GRANULAR</v>
          </cell>
          <cell r="D2057">
            <v>1.333</v>
          </cell>
          <cell r="E2057">
            <v>26.666</v>
          </cell>
        </row>
        <row r="2058">
          <cell r="C2058" t="str">
            <v>RECICLADO</v>
          </cell>
          <cell r="D2058">
            <v>1.627</v>
          </cell>
          <cell r="E2058">
            <v>32.546999999999997</v>
          </cell>
        </row>
        <row r="2059">
          <cell r="C2059" t="str">
            <v>CONCRETO_ASFÁLTICO</v>
          </cell>
          <cell r="D2059">
            <v>0.4</v>
          </cell>
          <cell r="E2059">
            <v>6.1550000000000002</v>
          </cell>
        </row>
        <row r="2060">
          <cell r="C2060" t="str">
            <v>CUNETA</v>
          </cell>
          <cell r="D2060">
            <v>0.33200000000000002</v>
          </cell>
          <cell r="E2060">
            <v>5.1020000000000003</v>
          </cell>
        </row>
        <row r="2061">
          <cell r="C2061" t="str">
            <v>BASE_GRANULAR</v>
          </cell>
          <cell r="D2061">
            <v>1.349</v>
          </cell>
          <cell r="E2061">
            <v>20.643999999999998</v>
          </cell>
        </row>
        <row r="2062">
          <cell r="C2062" t="str">
            <v>RECICLADO</v>
          </cell>
          <cell r="D2062">
            <v>1.63</v>
          </cell>
          <cell r="E2062">
            <v>25.067</v>
          </cell>
        </row>
        <row r="2063">
          <cell r="C2063" t="str">
            <v>CONCRETO_ASFÁLTICO</v>
          </cell>
          <cell r="D2063">
            <v>0.4</v>
          </cell>
          <cell r="E2063">
            <v>1.8440000000000001</v>
          </cell>
        </row>
        <row r="2064">
          <cell r="C2064" t="str">
            <v>CUNETA</v>
          </cell>
          <cell r="D2064">
            <v>0.33200000000000002</v>
          </cell>
          <cell r="E2064">
            <v>1.528</v>
          </cell>
        </row>
        <row r="2065">
          <cell r="C2065" t="str">
            <v>BASE_GRANULAR</v>
          </cell>
          <cell r="D2065">
            <v>1.365</v>
          </cell>
          <cell r="E2065">
            <v>6.2590000000000003</v>
          </cell>
        </row>
        <row r="2066">
          <cell r="C2066" t="str">
            <v>RECICLADO</v>
          </cell>
          <cell r="D2066">
            <v>1.633</v>
          </cell>
          <cell r="E2066">
            <v>7.5220000000000002</v>
          </cell>
        </row>
        <row r="2067">
          <cell r="C2067" t="str">
            <v>CONCRETO_ASFÁLTICO</v>
          </cell>
          <cell r="D2067">
            <v>0.4</v>
          </cell>
          <cell r="E2067">
            <v>3.7789999999999999</v>
          </cell>
        </row>
        <row r="2068">
          <cell r="C2068" t="str">
            <v>CUNETA</v>
          </cell>
          <cell r="D2068">
            <v>0.33200000000000002</v>
          </cell>
          <cell r="E2068">
            <v>3.133</v>
          </cell>
        </row>
        <row r="2069">
          <cell r="C2069" t="str">
            <v>BASE_GRANULAR</v>
          </cell>
          <cell r="D2069">
            <v>1.365</v>
          </cell>
          <cell r="E2069">
            <v>12.919</v>
          </cell>
        </row>
        <row r="2070">
          <cell r="C2070" t="str">
            <v>RECICLADO</v>
          </cell>
          <cell r="D2070">
            <v>1.633</v>
          </cell>
          <cell r="E2070">
            <v>15.435</v>
          </cell>
        </row>
        <row r="2071">
          <cell r="C2071" t="str">
            <v>CONCRETO_ASFÁLTICO</v>
          </cell>
          <cell r="D2071">
            <v>0.4</v>
          </cell>
          <cell r="E2071">
            <v>0.22</v>
          </cell>
        </row>
        <row r="2072">
          <cell r="C2072" t="str">
            <v>CUNETA</v>
          </cell>
          <cell r="D2072">
            <v>0.33200000000000002</v>
          </cell>
          <cell r="E2072">
            <v>0.182</v>
          </cell>
        </row>
        <row r="2073">
          <cell r="C2073" t="str">
            <v>BASE_GRANULAR</v>
          </cell>
          <cell r="D2073">
            <v>1.365</v>
          </cell>
          <cell r="E2073">
            <v>0.755</v>
          </cell>
        </row>
        <row r="2074">
          <cell r="C2074" t="str">
            <v>RECICLADO</v>
          </cell>
          <cell r="D2074">
            <v>1.633</v>
          </cell>
          <cell r="E2074">
            <v>0.89900000000000002</v>
          </cell>
        </row>
        <row r="2075">
          <cell r="C2075" t="str">
            <v>CONCRETO_ASFÁLTICO</v>
          </cell>
          <cell r="D2075">
            <v>0.4</v>
          </cell>
          <cell r="E2075">
            <v>3.9990000000000001</v>
          </cell>
        </row>
        <row r="2076">
          <cell r="C2076" t="str">
            <v>CUNETA</v>
          </cell>
          <cell r="D2076">
            <v>0.33200000000000002</v>
          </cell>
          <cell r="E2076">
            <v>3.3149999999999999</v>
          </cell>
        </row>
        <row r="2077">
          <cell r="C2077" t="str">
            <v>BASE_GRANULAR</v>
          </cell>
          <cell r="D2077">
            <v>1.365</v>
          </cell>
          <cell r="E2077">
            <v>13.733000000000001</v>
          </cell>
        </row>
        <row r="2078">
          <cell r="C2078" t="str">
            <v>RECICLADO</v>
          </cell>
          <cell r="D2078">
            <v>1.633</v>
          </cell>
          <cell r="E2078">
            <v>16.346</v>
          </cell>
        </row>
        <row r="2079">
          <cell r="C2079" t="str">
            <v>CONCRETO_ASFÁLTICO</v>
          </cell>
          <cell r="D2079">
            <v>0.4</v>
          </cell>
          <cell r="E2079">
            <v>0.98</v>
          </cell>
        </row>
        <row r="2080">
          <cell r="C2080" t="str">
            <v>CUNETA</v>
          </cell>
          <cell r="D2080">
            <v>0.33200000000000002</v>
          </cell>
          <cell r="E2080">
            <v>0.81200000000000006</v>
          </cell>
        </row>
        <row r="2081">
          <cell r="C2081" t="str">
            <v>BASE_GRANULAR</v>
          </cell>
          <cell r="D2081">
            <v>1.365</v>
          </cell>
          <cell r="E2081">
            <v>3.3650000000000002</v>
          </cell>
        </row>
        <row r="2082">
          <cell r="C2082" t="str">
            <v>RECICLADO</v>
          </cell>
          <cell r="D2082">
            <v>1.633</v>
          </cell>
          <cell r="E2082">
            <v>4.0049999999999999</v>
          </cell>
        </row>
        <row r="2083">
          <cell r="C2083" t="str">
            <v>CONCRETO_ASFÁLTICO</v>
          </cell>
          <cell r="D2083">
            <v>0.4</v>
          </cell>
          <cell r="E2083">
            <v>3.0190000000000001</v>
          </cell>
        </row>
        <row r="2084">
          <cell r="C2084" t="str">
            <v>CUNETA</v>
          </cell>
          <cell r="D2084">
            <v>0.33200000000000002</v>
          </cell>
          <cell r="E2084">
            <v>2.5030000000000001</v>
          </cell>
        </row>
        <row r="2085">
          <cell r="C2085" t="str">
            <v>BASE_GRANULAR</v>
          </cell>
          <cell r="D2085">
            <v>1.365</v>
          </cell>
          <cell r="E2085">
            <v>10.32</v>
          </cell>
        </row>
        <row r="2086">
          <cell r="C2086" t="str">
            <v>RECICLADO</v>
          </cell>
          <cell r="D2086">
            <v>1.633</v>
          </cell>
          <cell r="E2086">
            <v>12.331</v>
          </cell>
        </row>
        <row r="2087">
          <cell r="C2087" t="str">
            <v>CONCRETO_ASFÁLTICO</v>
          </cell>
          <cell r="D2087">
            <v>0.4</v>
          </cell>
          <cell r="E2087">
            <v>2.6030000000000002</v>
          </cell>
        </row>
        <row r="2088">
          <cell r="C2088" t="str">
            <v>CUNETA</v>
          </cell>
          <cell r="D2088">
            <v>0.33200000000000002</v>
          </cell>
          <cell r="E2088">
            <v>2.1579999999999999</v>
          </cell>
        </row>
        <row r="2089">
          <cell r="C2089" t="str">
            <v>BASE_GRANULAR</v>
          </cell>
          <cell r="D2089">
            <v>1.341</v>
          </cell>
          <cell r="E2089">
            <v>8.8130000000000006</v>
          </cell>
        </row>
        <row r="2090">
          <cell r="C2090" t="str">
            <v>RECICLADO</v>
          </cell>
          <cell r="D2090">
            <v>1.629</v>
          </cell>
          <cell r="E2090">
            <v>10.618</v>
          </cell>
        </row>
        <row r="2091">
          <cell r="C2091" t="str">
            <v>CONCRETO_ASFÁLTICO</v>
          </cell>
          <cell r="D2091">
            <v>0.4</v>
          </cell>
          <cell r="E2091">
            <v>1.3959999999999999</v>
          </cell>
        </row>
        <row r="2092">
          <cell r="C2092" t="str">
            <v>CUNETA</v>
          </cell>
          <cell r="D2092">
            <v>0.33200000000000002</v>
          </cell>
          <cell r="E2092">
            <v>1.157</v>
          </cell>
        </row>
        <row r="2093">
          <cell r="C2093" t="str">
            <v>BASE_GRANULAR</v>
          </cell>
          <cell r="D2093">
            <v>1.333</v>
          </cell>
          <cell r="E2093">
            <v>4.6669999999999998</v>
          </cell>
        </row>
        <row r="2094">
          <cell r="C2094" t="str">
            <v>RECICLADO</v>
          </cell>
          <cell r="D2094">
            <v>1.627</v>
          </cell>
          <cell r="E2094">
            <v>5.6820000000000004</v>
          </cell>
        </row>
        <row r="2095">
          <cell r="C2095" t="str">
            <v>CONCRETO_ASFÁLTICO</v>
          </cell>
          <cell r="D2095">
            <v>0.4</v>
          </cell>
          <cell r="E2095">
            <v>1.581</v>
          </cell>
        </row>
        <row r="2096">
          <cell r="C2096" t="str">
            <v>CUNETA</v>
          </cell>
          <cell r="D2096">
            <v>0.33200000000000002</v>
          </cell>
          <cell r="E2096">
            <v>1.3109999999999999</v>
          </cell>
        </row>
        <row r="2097">
          <cell r="C2097" t="str">
            <v>BASE_GRANULAR</v>
          </cell>
          <cell r="D2097">
            <v>1.3440000000000001</v>
          </cell>
          <cell r="E2097">
            <v>5.2939999999999996</v>
          </cell>
        </row>
        <row r="2098">
          <cell r="C2098" t="str">
            <v>RECICLADO</v>
          </cell>
          <cell r="D2098">
            <v>1.629</v>
          </cell>
          <cell r="E2098">
            <v>6.4390000000000001</v>
          </cell>
        </row>
        <row r="2099">
          <cell r="C2099" t="str">
            <v>CONCRETO_ASFÁLTICO</v>
          </cell>
          <cell r="D2099">
            <v>0.4</v>
          </cell>
          <cell r="E2099">
            <v>2.4180000000000001</v>
          </cell>
        </row>
        <row r="2100">
          <cell r="C2100" t="str">
            <v>CUNETA</v>
          </cell>
          <cell r="D2100">
            <v>0.33200000000000002</v>
          </cell>
          <cell r="E2100">
            <v>2.004</v>
          </cell>
        </row>
        <row r="2101">
          <cell r="C2101" t="str">
            <v>BASE_GRANULAR</v>
          </cell>
          <cell r="D2101">
            <v>1.36</v>
          </cell>
          <cell r="E2101">
            <v>8.1739999999999995</v>
          </cell>
        </row>
        <row r="2102">
          <cell r="C2102" t="str">
            <v>RECICLADO</v>
          </cell>
          <cell r="D2102">
            <v>1.6319999999999999</v>
          </cell>
          <cell r="E2102">
            <v>9.8580000000000005</v>
          </cell>
        </row>
        <row r="2103">
          <cell r="C2103" t="str">
            <v>CONCRETO_ASFÁLTICO</v>
          </cell>
          <cell r="D2103">
            <v>0.4</v>
          </cell>
          <cell r="E2103">
            <v>3.9990000000000001</v>
          </cell>
        </row>
        <row r="2104">
          <cell r="C2104" t="str">
            <v>CUNETA</v>
          </cell>
          <cell r="D2104">
            <v>0.33200000000000002</v>
          </cell>
          <cell r="E2104">
            <v>3.3149999999999999</v>
          </cell>
        </row>
        <row r="2105">
          <cell r="C2105" t="str">
            <v>BASE_GRANULAR</v>
          </cell>
          <cell r="D2105">
            <v>1.365</v>
          </cell>
          <cell r="E2105">
            <v>13.628</v>
          </cell>
        </row>
        <row r="2106">
          <cell r="C2106" t="str">
            <v>RECICLADO</v>
          </cell>
          <cell r="D2106">
            <v>1.633</v>
          </cell>
          <cell r="E2106">
            <v>16.326000000000001</v>
          </cell>
        </row>
        <row r="2107">
          <cell r="C2107" t="str">
            <v>CONCRETO_ASFÁLTICO</v>
          </cell>
          <cell r="D2107">
            <v>0.4</v>
          </cell>
          <cell r="E2107">
            <v>1.581</v>
          </cell>
        </row>
        <row r="2108">
          <cell r="C2108" t="str">
            <v>CUNETA</v>
          </cell>
          <cell r="D2108">
            <v>0.33200000000000002</v>
          </cell>
          <cell r="E2108">
            <v>1.3109999999999999</v>
          </cell>
        </row>
        <row r="2109">
          <cell r="C2109" t="str">
            <v>BASE_GRANULAR</v>
          </cell>
          <cell r="D2109">
            <v>1.365</v>
          </cell>
          <cell r="E2109">
            <v>5.3979999999999997</v>
          </cell>
        </row>
        <row r="2110">
          <cell r="C2110" t="str">
            <v>RECICLADO</v>
          </cell>
          <cell r="D2110">
            <v>1.633</v>
          </cell>
          <cell r="E2110">
            <v>6.4560000000000004</v>
          </cell>
        </row>
        <row r="2111">
          <cell r="C2111" t="str">
            <v>CONCRETO_ASFÁLTICO</v>
          </cell>
          <cell r="D2111">
            <v>0.4</v>
          </cell>
          <cell r="E2111">
            <v>0</v>
          </cell>
        </row>
        <row r="2112">
          <cell r="C2112" t="str">
            <v>CUNETA</v>
          </cell>
          <cell r="D2112">
            <v>0.33200000000000002</v>
          </cell>
          <cell r="E2112">
            <v>0</v>
          </cell>
        </row>
        <row r="2113">
          <cell r="C2113" t="str">
            <v>BASE_GRANULAR</v>
          </cell>
          <cell r="D2113">
            <v>1.365</v>
          </cell>
          <cell r="E2113">
            <v>1E-3</v>
          </cell>
        </row>
        <row r="2114">
          <cell r="C2114" t="str">
            <v>RECICLADO</v>
          </cell>
          <cell r="D2114">
            <v>1.633</v>
          </cell>
          <cell r="E2114">
            <v>2E-3</v>
          </cell>
        </row>
        <row r="2115">
          <cell r="C2115" t="str">
            <v>CONCRETO_ASFÁLTICO</v>
          </cell>
          <cell r="D2115">
            <v>0.4</v>
          </cell>
          <cell r="E2115">
            <v>2.4180000000000001</v>
          </cell>
        </row>
        <row r="2116">
          <cell r="C2116" t="str">
            <v>CUNETA</v>
          </cell>
          <cell r="D2116">
            <v>0.33200000000000002</v>
          </cell>
          <cell r="E2116">
            <v>2.004</v>
          </cell>
        </row>
        <row r="2117">
          <cell r="C2117" t="str">
            <v>BASE_GRANULAR</v>
          </cell>
          <cell r="D2117">
            <v>1.365</v>
          </cell>
          <cell r="E2117">
            <v>8.2550000000000008</v>
          </cell>
        </row>
        <row r="2118">
          <cell r="C2118" t="str">
            <v>RECICLADO</v>
          </cell>
          <cell r="D2118">
            <v>1.633</v>
          </cell>
          <cell r="E2118">
            <v>9.8719999999999999</v>
          </cell>
        </row>
        <row r="2119">
          <cell r="C2119" t="str">
            <v>CONCRETO_ASFÁLTICO</v>
          </cell>
          <cell r="D2119">
            <v>0.4</v>
          </cell>
          <cell r="E2119">
            <v>3.9990000000000001</v>
          </cell>
        </row>
        <row r="2120">
          <cell r="C2120" t="str">
            <v>CUNETA</v>
          </cell>
          <cell r="D2120">
            <v>0.33200000000000002</v>
          </cell>
          <cell r="E2120">
            <v>3.3149999999999999</v>
          </cell>
        </row>
        <row r="2121">
          <cell r="C2121" t="str">
            <v>BASE_GRANULAR</v>
          </cell>
          <cell r="D2121">
            <v>1.345</v>
          </cell>
          <cell r="E2121">
            <v>13.554</v>
          </cell>
        </row>
        <row r="2122">
          <cell r="C2122" t="str">
            <v>RECICLADO</v>
          </cell>
          <cell r="D2122">
            <v>1.629</v>
          </cell>
          <cell r="E2122">
            <v>16.312000000000001</v>
          </cell>
        </row>
        <row r="2123">
          <cell r="C2123" t="str">
            <v>CONCRETO_ASFÁLTICO</v>
          </cell>
          <cell r="D2123">
            <v>0.4</v>
          </cell>
          <cell r="E2123">
            <v>0.38200000000000001</v>
          </cell>
        </row>
        <row r="2124">
          <cell r="C2124" t="str">
            <v>CUNETA</v>
          </cell>
          <cell r="D2124">
            <v>0.33200000000000002</v>
          </cell>
          <cell r="E2124">
            <v>0.317</v>
          </cell>
        </row>
        <row r="2125">
          <cell r="C2125" t="str">
            <v>BASE_GRANULAR</v>
          </cell>
          <cell r="D2125">
            <v>1.343</v>
          </cell>
          <cell r="E2125">
            <v>1.284</v>
          </cell>
        </row>
        <row r="2126">
          <cell r="C2126" t="str">
            <v>RECICLADO</v>
          </cell>
          <cell r="D2126">
            <v>1.629</v>
          </cell>
          <cell r="E2126">
            <v>1.5569999999999999</v>
          </cell>
        </row>
        <row r="2127">
          <cell r="C2127" t="str">
            <v>CONCRETO_ASFÁLTICO</v>
          </cell>
          <cell r="D2127">
            <v>0.4</v>
          </cell>
          <cell r="E2127">
            <v>6.782</v>
          </cell>
        </row>
        <row r="2128">
          <cell r="C2128" t="str">
            <v>CUNETA</v>
          </cell>
          <cell r="D2128">
            <v>0.33200000000000002</v>
          </cell>
          <cell r="E2128">
            <v>5.6219999999999999</v>
          </cell>
        </row>
        <row r="2129">
          <cell r="C2129" t="str">
            <v>BASE_GRANULAR</v>
          </cell>
          <cell r="D2129">
            <v>1.343</v>
          </cell>
          <cell r="E2129">
            <v>22.77</v>
          </cell>
        </row>
        <row r="2130">
          <cell r="C2130" t="str">
            <v>RECICLADO</v>
          </cell>
          <cell r="D2130">
            <v>1.629</v>
          </cell>
          <cell r="E2130">
            <v>27.623999999999999</v>
          </cell>
        </row>
        <row r="2131">
          <cell r="C2131" t="str">
            <v>CONCRETO_ASFÁLTICO</v>
          </cell>
          <cell r="D2131">
            <v>0.4</v>
          </cell>
          <cell r="E2131">
            <v>0.83499999999999996</v>
          </cell>
        </row>
        <row r="2132">
          <cell r="C2132" t="str">
            <v>CUNETA</v>
          </cell>
          <cell r="D2132">
            <v>0.33200000000000002</v>
          </cell>
          <cell r="E2132">
            <v>0.69199999999999995</v>
          </cell>
        </row>
        <row r="2133">
          <cell r="C2133" t="str">
            <v>BASE_GRANULAR</v>
          </cell>
          <cell r="D2133">
            <v>1.345</v>
          </cell>
          <cell r="E2133">
            <v>2.8050000000000002</v>
          </cell>
        </row>
        <row r="2134">
          <cell r="C2134" t="str">
            <v>RECICLADO</v>
          </cell>
          <cell r="D2134">
            <v>1.629</v>
          </cell>
          <cell r="E2134">
            <v>3.4</v>
          </cell>
        </row>
        <row r="2135">
          <cell r="C2135" t="str">
            <v>CONCRETO_ASFÁLTICO</v>
          </cell>
          <cell r="D2135">
            <v>0.4</v>
          </cell>
          <cell r="E2135">
            <v>3.9990000000000001</v>
          </cell>
        </row>
        <row r="2136">
          <cell r="C2136" t="str">
            <v>CUNETA</v>
          </cell>
          <cell r="D2136">
            <v>0.33200000000000002</v>
          </cell>
          <cell r="E2136">
            <v>3.3149999999999999</v>
          </cell>
        </row>
        <row r="2137">
          <cell r="C2137" t="str">
            <v>BASE_GRANULAR</v>
          </cell>
          <cell r="D2137">
            <v>1.357</v>
          </cell>
          <cell r="E2137">
            <v>13.513</v>
          </cell>
        </row>
        <row r="2138">
          <cell r="C2138" t="str">
            <v>RECICLADO</v>
          </cell>
          <cell r="D2138">
            <v>1.6319999999999999</v>
          </cell>
          <cell r="E2138">
            <v>16.305</v>
          </cell>
        </row>
        <row r="2139">
          <cell r="C2139" t="str">
            <v>CONCRETO_ASFÁLTICO</v>
          </cell>
          <cell r="D2139">
            <v>0.4</v>
          </cell>
          <cell r="E2139">
            <v>3.9990000000000001</v>
          </cell>
        </row>
        <row r="2140">
          <cell r="C2140" t="str">
            <v>CUNETA</v>
          </cell>
          <cell r="D2140">
            <v>0.33200000000000002</v>
          </cell>
          <cell r="E2140">
            <v>3.3149999999999999</v>
          </cell>
        </row>
        <row r="2141">
          <cell r="C2141" t="str">
            <v>BASE_GRANULAR</v>
          </cell>
          <cell r="D2141">
            <v>1.365</v>
          </cell>
          <cell r="E2141">
            <v>13.616</v>
          </cell>
        </row>
        <row r="2142">
          <cell r="C2142" t="str">
            <v>RECICLADO</v>
          </cell>
          <cell r="D2142">
            <v>1.633</v>
          </cell>
          <cell r="E2142">
            <v>16.323</v>
          </cell>
        </row>
        <row r="2143">
          <cell r="C2143" t="str">
            <v>CONCRETO_ASFÁLTICO</v>
          </cell>
          <cell r="D2143">
            <v>0.4</v>
          </cell>
          <cell r="E2143">
            <v>3.9990000000000001</v>
          </cell>
        </row>
        <row r="2144">
          <cell r="C2144" t="str">
            <v>CUNETA</v>
          </cell>
          <cell r="D2144">
            <v>0.33200000000000002</v>
          </cell>
          <cell r="E2144">
            <v>3.3149999999999999</v>
          </cell>
        </row>
        <row r="2145">
          <cell r="C2145" t="str">
            <v>BASE_GRANULAR</v>
          </cell>
          <cell r="D2145">
            <v>1.365</v>
          </cell>
          <cell r="E2145">
            <v>13.659000000000001</v>
          </cell>
        </row>
        <row r="2146">
          <cell r="C2146" t="str">
            <v>RECICLADO</v>
          </cell>
          <cell r="D2146">
            <v>1.633</v>
          </cell>
          <cell r="E2146">
            <v>16.331</v>
          </cell>
        </row>
        <row r="2147">
          <cell r="C2147" t="str">
            <v>CONCRETO_ASFÁLTICO</v>
          </cell>
          <cell r="D2147">
            <v>0.4</v>
          </cell>
          <cell r="E2147">
            <v>3.9990000000000001</v>
          </cell>
        </row>
        <row r="2148">
          <cell r="C2148" t="str">
            <v>CUNETA</v>
          </cell>
          <cell r="D2148">
            <v>0.33200000000000002</v>
          </cell>
          <cell r="E2148">
            <v>3.3149999999999999</v>
          </cell>
        </row>
        <row r="2149">
          <cell r="C2149" t="str">
            <v>BASE_GRANULAR</v>
          </cell>
          <cell r="D2149">
            <v>1.365</v>
          </cell>
          <cell r="E2149">
            <v>13.661</v>
          </cell>
        </row>
        <row r="2150">
          <cell r="C2150" t="str">
            <v>RECICLADO</v>
          </cell>
          <cell r="D2150">
            <v>1.633</v>
          </cell>
          <cell r="E2150">
            <v>16.331</v>
          </cell>
        </row>
        <row r="2151">
          <cell r="C2151" t="str">
            <v>CONCRETO_ASFÁLTICO</v>
          </cell>
          <cell r="D2151">
            <v>0.4</v>
          </cell>
          <cell r="E2151">
            <v>1.165</v>
          </cell>
        </row>
        <row r="2152">
          <cell r="C2152" t="str">
            <v>CUNETA</v>
          </cell>
          <cell r="D2152">
            <v>0.33200000000000002</v>
          </cell>
          <cell r="E2152">
            <v>0.96599999999999997</v>
          </cell>
        </row>
        <row r="2153">
          <cell r="C2153" t="str">
            <v>BASE_GRANULAR</v>
          </cell>
          <cell r="D2153">
            <v>1.365</v>
          </cell>
          <cell r="E2153">
            <v>3.9780000000000002</v>
          </cell>
        </row>
        <row r="2154">
          <cell r="C2154" t="str">
            <v>RECICLADO</v>
          </cell>
          <cell r="D2154">
            <v>1.633</v>
          </cell>
          <cell r="E2154">
            <v>4.7569999999999997</v>
          </cell>
        </row>
        <row r="2155">
          <cell r="C2155" t="str">
            <v>CONCRETO_ASFÁLTICO</v>
          </cell>
          <cell r="D2155">
            <v>0.4</v>
          </cell>
          <cell r="E2155">
            <v>2.8340000000000001</v>
          </cell>
        </row>
        <row r="2156">
          <cell r="C2156" t="str">
            <v>CUNETA</v>
          </cell>
          <cell r="D2156">
            <v>0.33200000000000002</v>
          </cell>
          <cell r="E2156">
            <v>2.35</v>
          </cell>
        </row>
        <row r="2157">
          <cell r="C2157" t="str">
            <v>BASE_GRANULAR</v>
          </cell>
          <cell r="D2157">
            <v>1.365</v>
          </cell>
          <cell r="E2157">
            <v>9.7149999999999999</v>
          </cell>
        </row>
        <row r="2158">
          <cell r="C2158" t="str">
            <v>RECICLADO</v>
          </cell>
          <cell r="D2158">
            <v>1.633</v>
          </cell>
          <cell r="E2158">
            <v>11.581</v>
          </cell>
        </row>
        <row r="2159">
          <cell r="C2159" t="str">
            <v>CONCRETO_ASFÁLTICO</v>
          </cell>
          <cell r="D2159">
            <v>0.4</v>
          </cell>
          <cell r="E2159">
            <v>3.9990000000000001</v>
          </cell>
        </row>
        <row r="2160">
          <cell r="C2160" t="str">
            <v>CUNETA</v>
          </cell>
          <cell r="D2160">
            <v>0.33200000000000002</v>
          </cell>
          <cell r="E2160">
            <v>3.3149999999999999</v>
          </cell>
        </row>
        <row r="2161">
          <cell r="C2161" t="str">
            <v>BASE_GRANULAR</v>
          </cell>
          <cell r="D2161">
            <v>1.365</v>
          </cell>
          <cell r="E2161">
            <v>13.686999999999999</v>
          </cell>
        </row>
        <row r="2162">
          <cell r="C2162" t="str">
            <v>RECICLADO</v>
          </cell>
          <cell r="D2162">
            <v>1.633</v>
          </cell>
          <cell r="E2162">
            <v>16.337</v>
          </cell>
        </row>
        <row r="2163">
          <cell r="C2163" t="str">
            <v>CONCRETO_ASFÁLTICO</v>
          </cell>
          <cell r="D2163">
            <v>0.4</v>
          </cell>
          <cell r="E2163">
            <v>0.432</v>
          </cell>
        </row>
        <row r="2164">
          <cell r="C2164" t="str">
            <v>CUNETA</v>
          </cell>
          <cell r="D2164">
            <v>0.33200000000000002</v>
          </cell>
          <cell r="E2164">
            <v>0.35799999999999998</v>
          </cell>
        </row>
        <row r="2165">
          <cell r="C2165" t="str">
            <v>BASE_GRANULAR</v>
          </cell>
          <cell r="D2165">
            <v>1.365</v>
          </cell>
          <cell r="E2165">
            <v>1.4770000000000001</v>
          </cell>
        </row>
        <row r="2166">
          <cell r="C2166" t="str">
            <v>RECICLADO</v>
          </cell>
          <cell r="D2166">
            <v>1.633</v>
          </cell>
          <cell r="E2166">
            <v>1.764</v>
          </cell>
        </row>
        <row r="2167">
          <cell r="C2167" t="str">
            <v>CONCRETO_ASFÁLTICO</v>
          </cell>
          <cell r="D2167">
            <v>0.4</v>
          </cell>
          <cell r="E2167">
            <v>3.5670000000000002</v>
          </cell>
        </row>
        <row r="2168">
          <cell r="C2168" t="str">
            <v>CUNETA</v>
          </cell>
          <cell r="D2168">
            <v>0.33200000000000002</v>
          </cell>
          <cell r="E2168">
            <v>2.9569999999999999</v>
          </cell>
        </row>
        <row r="2169">
          <cell r="C2169" t="str">
            <v>BASE_GRANULAR</v>
          </cell>
          <cell r="D2169">
            <v>1.3560000000000001</v>
          </cell>
          <cell r="E2169">
            <v>12.141</v>
          </cell>
        </row>
        <row r="2170">
          <cell r="C2170" t="str">
            <v>RECICLADO</v>
          </cell>
          <cell r="D2170">
            <v>1.631</v>
          </cell>
          <cell r="E2170">
            <v>14.56</v>
          </cell>
        </row>
        <row r="2171">
          <cell r="C2171" t="str">
            <v>CONCRETO_ASFÁLTICO</v>
          </cell>
          <cell r="D2171">
            <v>0.4</v>
          </cell>
          <cell r="E2171">
            <v>2.431</v>
          </cell>
        </row>
        <row r="2172">
          <cell r="C2172" t="str">
            <v>CUNETA</v>
          </cell>
          <cell r="D2172">
            <v>0.33200000000000002</v>
          </cell>
          <cell r="E2172">
            <v>2.016</v>
          </cell>
        </row>
        <row r="2173">
          <cell r="C2173" t="str">
            <v>BASE_GRANULAR</v>
          </cell>
          <cell r="D2173">
            <v>1.349</v>
          </cell>
          <cell r="E2173">
            <v>8.2249999999999996</v>
          </cell>
        </row>
        <row r="2174">
          <cell r="C2174" t="str">
            <v>RECICLADO</v>
          </cell>
          <cell r="D2174">
            <v>1.63</v>
          </cell>
          <cell r="E2174">
            <v>9.9149999999999991</v>
          </cell>
        </row>
        <row r="2175">
          <cell r="C2175" t="str">
            <v>CONCRETO_ASFÁLTICO</v>
          </cell>
          <cell r="D2175">
            <v>0.4</v>
          </cell>
          <cell r="E2175">
            <v>1.5680000000000001</v>
          </cell>
        </row>
        <row r="2176">
          <cell r="C2176" t="str">
            <v>CUNETA</v>
          </cell>
          <cell r="D2176">
            <v>0.33200000000000002</v>
          </cell>
          <cell r="E2176">
            <v>1.3</v>
          </cell>
        </row>
        <row r="2177">
          <cell r="C2177" t="str">
            <v>BASE_GRANULAR</v>
          </cell>
          <cell r="D2177">
            <v>1.345</v>
          </cell>
          <cell r="E2177">
            <v>5.282</v>
          </cell>
        </row>
        <row r="2178">
          <cell r="C2178" t="str">
            <v>RECICLADO</v>
          </cell>
          <cell r="D2178">
            <v>1.629</v>
          </cell>
          <cell r="E2178">
            <v>6.3890000000000002</v>
          </cell>
        </row>
        <row r="2179">
          <cell r="C2179" t="str">
            <v>CONCRETO_ASFÁLTICO</v>
          </cell>
          <cell r="D2179">
            <v>0.4</v>
          </cell>
          <cell r="E2179">
            <v>7.9980000000000002</v>
          </cell>
        </row>
        <row r="2180">
          <cell r="C2180" t="str">
            <v>CUNETA</v>
          </cell>
          <cell r="D2180">
            <v>0.33200000000000002</v>
          </cell>
          <cell r="E2180">
            <v>6.6310000000000002</v>
          </cell>
        </row>
        <row r="2181">
          <cell r="C2181" t="str">
            <v>BASE_GRANULAR</v>
          </cell>
          <cell r="D2181">
            <v>1.333</v>
          </cell>
          <cell r="E2181">
            <v>26.786000000000001</v>
          </cell>
        </row>
        <row r="2182">
          <cell r="C2182" t="str">
            <v>RECICLADO</v>
          </cell>
          <cell r="D2182">
            <v>1.627</v>
          </cell>
          <cell r="E2182">
            <v>32.567999999999998</v>
          </cell>
        </row>
        <row r="2183">
          <cell r="C2183" t="str">
            <v>CONCRETO_ASFÁLTICO</v>
          </cell>
          <cell r="D2183">
            <v>0.4</v>
          </cell>
          <cell r="E2183">
            <v>5.5880000000000001</v>
          </cell>
        </row>
        <row r="2184">
          <cell r="C2184" t="str">
            <v>CUNETA</v>
          </cell>
          <cell r="D2184">
            <v>0.33200000000000002</v>
          </cell>
          <cell r="E2184">
            <v>4.6319999999999997</v>
          </cell>
        </row>
        <row r="2185">
          <cell r="C2185" t="str">
            <v>BASE_GRANULAR</v>
          </cell>
          <cell r="D2185">
            <v>1.349</v>
          </cell>
          <cell r="E2185">
            <v>18.741</v>
          </cell>
        </row>
        <row r="2186">
          <cell r="C2186" t="str">
            <v>RECICLADO</v>
          </cell>
          <cell r="D2186">
            <v>1.63</v>
          </cell>
          <cell r="E2186">
            <v>22.757000000000001</v>
          </cell>
        </row>
        <row r="2187">
          <cell r="C2187" t="str">
            <v>CONCRETO_ASFÁLTICO</v>
          </cell>
          <cell r="D2187">
            <v>0.4</v>
          </cell>
          <cell r="E2187">
            <v>2.411</v>
          </cell>
        </row>
        <row r="2188">
          <cell r="C2188" t="str">
            <v>CUNETA</v>
          </cell>
          <cell r="D2188">
            <v>0.33200000000000002</v>
          </cell>
          <cell r="E2188">
            <v>1.9990000000000001</v>
          </cell>
        </row>
        <row r="2189">
          <cell r="C2189" t="str">
            <v>BASE_GRANULAR</v>
          </cell>
          <cell r="D2189">
            <v>1.365</v>
          </cell>
          <cell r="E2189">
            <v>8.1829999999999998</v>
          </cell>
        </row>
        <row r="2190">
          <cell r="C2190" t="str">
            <v>RECICLADO</v>
          </cell>
          <cell r="D2190">
            <v>1.633</v>
          </cell>
          <cell r="E2190">
            <v>9.8360000000000003</v>
          </cell>
        </row>
        <row r="2191">
          <cell r="C2191" t="str">
            <v>CONCRETO_ASFÁLTICO</v>
          </cell>
          <cell r="D2191">
            <v>0.4</v>
          </cell>
          <cell r="E2191">
            <v>3.9990000000000001</v>
          </cell>
        </row>
        <row r="2192">
          <cell r="C2192" t="str">
            <v>CUNETA</v>
          </cell>
          <cell r="D2192">
            <v>0.33200000000000002</v>
          </cell>
          <cell r="E2192">
            <v>3.3149999999999999</v>
          </cell>
        </row>
        <row r="2193">
          <cell r="C2193" t="str">
            <v>BASE_GRANULAR</v>
          </cell>
          <cell r="D2193">
            <v>1.365</v>
          </cell>
          <cell r="E2193">
            <v>13.654999999999999</v>
          </cell>
        </row>
        <row r="2194">
          <cell r="C2194" t="str">
            <v>RECICLADO</v>
          </cell>
          <cell r="D2194">
            <v>1.633</v>
          </cell>
          <cell r="E2194">
            <v>16.329999999999998</v>
          </cell>
        </row>
        <row r="2195">
          <cell r="C2195" t="str">
            <v>CONCRETO_ASFÁLTICO</v>
          </cell>
          <cell r="D2195">
            <v>0.4</v>
          </cell>
          <cell r="E2195">
            <v>0.309</v>
          </cell>
        </row>
        <row r="2196">
          <cell r="C2196" t="str">
            <v>CUNETA</v>
          </cell>
          <cell r="D2196">
            <v>0.33200000000000002</v>
          </cell>
          <cell r="E2196">
            <v>0.25600000000000001</v>
          </cell>
        </row>
        <row r="2197">
          <cell r="C2197" t="str">
            <v>BASE_GRANULAR</v>
          </cell>
          <cell r="D2197">
            <v>1.365</v>
          </cell>
          <cell r="E2197">
            <v>1.054</v>
          </cell>
        </row>
        <row r="2198">
          <cell r="C2198" t="str">
            <v>RECICLADO</v>
          </cell>
          <cell r="D2198">
            <v>1.633</v>
          </cell>
          <cell r="E2198">
            <v>1.26</v>
          </cell>
        </row>
        <row r="2199">
          <cell r="C2199" t="str">
            <v>CONCRETO_ASFÁLTICO</v>
          </cell>
          <cell r="D2199">
            <v>0.4</v>
          </cell>
          <cell r="E2199">
            <v>0</v>
          </cell>
        </row>
        <row r="2200">
          <cell r="C2200" t="str">
            <v>CUNETA</v>
          </cell>
          <cell r="D2200">
            <v>0.33200000000000002</v>
          </cell>
          <cell r="E2200">
            <v>0</v>
          </cell>
        </row>
        <row r="2201">
          <cell r="C2201" t="str">
            <v>BASE_GRANULAR</v>
          </cell>
          <cell r="D2201">
            <v>1.365</v>
          </cell>
          <cell r="E2201">
            <v>0</v>
          </cell>
        </row>
        <row r="2202">
          <cell r="C2202" t="str">
            <v>RECICLADO</v>
          </cell>
          <cell r="D2202">
            <v>1.633</v>
          </cell>
          <cell r="E2202">
            <v>0</v>
          </cell>
        </row>
        <row r="2203">
          <cell r="C2203" t="str">
            <v>CONCRETO_ASFÁLTICO</v>
          </cell>
          <cell r="D2203">
            <v>0.4</v>
          </cell>
          <cell r="E2203">
            <v>3.6909999999999998</v>
          </cell>
        </row>
        <row r="2204">
          <cell r="C2204" t="str">
            <v>CUNETA</v>
          </cell>
          <cell r="D2204">
            <v>0.33200000000000002</v>
          </cell>
          <cell r="E2204">
            <v>3.0590000000000002</v>
          </cell>
        </row>
        <row r="2205">
          <cell r="C2205" t="str">
            <v>BASE_GRANULAR</v>
          </cell>
          <cell r="D2205">
            <v>1.365</v>
          </cell>
          <cell r="E2205">
            <v>12.601000000000001</v>
          </cell>
        </row>
        <row r="2206">
          <cell r="C2206" t="str">
            <v>RECICLADO</v>
          </cell>
          <cell r="D2206">
            <v>1.633</v>
          </cell>
          <cell r="E2206">
            <v>15.07</v>
          </cell>
        </row>
        <row r="2207">
          <cell r="C2207" t="str">
            <v>CONCRETO_ASFÁLTICO</v>
          </cell>
          <cell r="D2207">
            <v>0.4</v>
          </cell>
          <cell r="E2207">
            <v>3.028</v>
          </cell>
        </row>
        <row r="2208">
          <cell r="C2208" t="str">
            <v>CUNETA</v>
          </cell>
          <cell r="D2208">
            <v>0.33200000000000002</v>
          </cell>
          <cell r="E2208">
            <v>2.5099999999999998</v>
          </cell>
        </row>
        <row r="2209">
          <cell r="C2209" t="str">
            <v>BASE_GRANULAR</v>
          </cell>
          <cell r="D2209">
            <v>1.349</v>
          </cell>
          <cell r="E2209">
            <v>10.278</v>
          </cell>
        </row>
        <row r="2210">
          <cell r="C2210" t="str">
            <v>RECICLADO</v>
          </cell>
          <cell r="D2210">
            <v>1.63</v>
          </cell>
          <cell r="E2210">
            <v>12.353999999999999</v>
          </cell>
        </row>
        <row r="2211">
          <cell r="C2211" t="str">
            <v>CONCRETO_ASFÁLTICO</v>
          </cell>
          <cell r="D2211">
            <v>0.4</v>
          </cell>
          <cell r="E2211">
            <v>4.97</v>
          </cell>
        </row>
        <row r="2212">
          <cell r="C2212" t="str">
            <v>CUNETA</v>
          </cell>
          <cell r="D2212">
            <v>0.33200000000000002</v>
          </cell>
          <cell r="E2212">
            <v>4.12</v>
          </cell>
        </row>
        <row r="2213">
          <cell r="C2213" t="str">
            <v>BASE_GRANULAR</v>
          </cell>
          <cell r="D2213">
            <v>1.333</v>
          </cell>
          <cell r="E2213">
            <v>16.670000000000002</v>
          </cell>
        </row>
        <row r="2214">
          <cell r="C2214" t="str">
            <v>RECICLADO</v>
          </cell>
          <cell r="D2214">
            <v>1.627</v>
          </cell>
          <cell r="E2214">
            <v>20.242999999999999</v>
          </cell>
        </row>
        <row r="2215">
          <cell r="C2215" t="str">
            <v>CONCRETO_ASFÁLTICO</v>
          </cell>
          <cell r="D2215">
            <v>0.4</v>
          </cell>
          <cell r="E2215">
            <v>7.9980000000000002</v>
          </cell>
        </row>
        <row r="2216">
          <cell r="C2216" t="str">
            <v>CUNETA</v>
          </cell>
          <cell r="D2216">
            <v>0.33200000000000002</v>
          </cell>
          <cell r="E2216">
            <v>6.6310000000000002</v>
          </cell>
        </row>
        <row r="2217">
          <cell r="C2217" t="str">
            <v>BASE_GRANULAR</v>
          </cell>
          <cell r="D2217">
            <v>1.333</v>
          </cell>
          <cell r="E2217">
            <v>26.666</v>
          </cell>
        </row>
        <row r="2218">
          <cell r="C2218" t="str">
            <v>RECICLADO</v>
          </cell>
          <cell r="D2218">
            <v>1.627</v>
          </cell>
          <cell r="E2218">
            <v>32.546999999999997</v>
          </cell>
        </row>
        <row r="2219">
          <cell r="C2219" t="str">
            <v>CONCRETO_ASFÁLTICO</v>
          </cell>
          <cell r="D2219">
            <v>0.4</v>
          </cell>
          <cell r="E2219">
            <v>7.9980000000000002</v>
          </cell>
        </row>
        <row r="2220">
          <cell r="C2220" t="str">
            <v>CUNETA</v>
          </cell>
          <cell r="D2220">
            <v>0.33200000000000002</v>
          </cell>
          <cell r="E2220">
            <v>6.6310000000000002</v>
          </cell>
        </row>
        <row r="2221">
          <cell r="C2221" t="str">
            <v>BASE_GRANULAR</v>
          </cell>
          <cell r="D2221">
            <v>1.333</v>
          </cell>
          <cell r="E2221">
            <v>26.666</v>
          </cell>
        </row>
        <row r="2222">
          <cell r="C2222" t="str">
            <v>RECICLADO</v>
          </cell>
          <cell r="D2222">
            <v>1.627</v>
          </cell>
          <cell r="E2222">
            <v>32.546999999999997</v>
          </cell>
        </row>
        <row r="2223">
          <cell r="C2223" t="str">
            <v>CONCRETO_ASFÁLTICO</v>
          </cell>
          <cell r="D2223">
            <v>0.4</v>
          </cell>
          <cell r="E2223">
            <v>3.7149999999999999</v>
          </cell>
        </row>
        <row r="2224">
          <cell r="C2224" t="str">
            <v>CUNETA</v>
          </cell>
          <cell r="D2224">
            <v>0.33200000000000002</v>
          </cell>
          <cell r="E2224">
            <v>3.08</v>
          </cell>
        </row>
        <row r="2225">
          <cell r="C2225" t="str">
            <v>BASE_GRANULAR</v>
          </cell>
          <cell r="D2225">
            <v>1.349</v>
          </cell>
          <cell r="E2225">
            <v>12.461</v>
          </cell>
        </row>
        <row r="2226">
          <cell r="C2226" t="str">
            <v>RECICLADO</v>
          </cell>
          <cell r="D2226">
            <v>1.63</v>
          </cell>
          <cell r="E2226">
            <v>15.131</v>
          </cell>
        </row>
        <row r="2227">
          <cell r="C2227" t="str">
            <v>CONCRETO_ASFÁLTICO</v>
          </cell>
          <cell r="D2227">
            <v>0.4</v>
          </cell>
          <cell r="E2227">
            <v>0.28399999999999997</v>
          </cell>
        </row>
        <row r="2228">
          <cell r="C2228" t="str">
            <v>CUNETA</v>
          </cell>
          <cell r="D2228">
            <v>0.33200000000000002</v>
          </cell>
          <cell r="E2228">
            <v>0.23599999999999999</v>
          </cell>
        </row>
        <row r="2229">
          <cell r="C2229" t="str">
            <v>BASE_GRANULAR</v>
          </cell>
          <cell r="D2229">
            <v>1.3520000000000001</v>
          </cell>
          <cell r="E2229">
            <v>0.96</v>
          </cell>
        </row>
        <row r="2230">
          <cell r="C2230" t="str">
            <v>RECICLADO</v>
          </cell>
          <cell r="D2230">
            <v>1.631</v>
          </cell>
          <cell r="E2230">
            <v>1.1579999999999999</v>
          </cell>
        </row>
        <row r="2231">
          <cell r="C2231" t="str">
            <v>CONCRETO_ASFÁLTICO</v>
          </cell>
          <cell r="D2231">
            <v>0.4</v>
          </cell>
          <cell r="E2231">
            <v>3.9990000000000001</v>
          </cell>
        </row>
        <row r="2232">
          <cell r="C2232" t="str">
            <v>CUNETA</v>
          </cell>
          <cell r="D2232">
            <v>0.33200000000000002</v>
          </cell>
          <cell r="E2232">
            <v>3.3149999999999999</v>
          </cell>
        </row>
        <row r="2233">
          <cell r="C2233" t="str">
            <v>BASE_GRANULAR</v>
          </cell>
          <cell r="D2233">
            <v>1.365</v>
          </cell>
          <cell r="E2233">
            <v>13.605</v>
          </cell>
        </row>
        <row r="2234">
          <cell r="C2234" t="str">
            <v>RECICLADO</v>
          </cell>
          <cell r="D2234">
            <v>1.633</v>
          </cell>
          <cell r="E2234">
            <v>16.321999999999999</v>
          </cell>
        </row>
        <row r="2235">
          <cell r="C2235" t="str">
            <v>CONCRETO_ASFÁLTICO</v>
          </cell>
          <cell r="D2235">
            <v>0.4</v>
          </cell>
          <cell r="E2235">
            <v>1.3560000000000001</v>
          </cell>
        </row>
        <row r="2236">
          <cell r="C2236" t="str">
            <v>CUNETA</v>
          </cell>
          <cell r="D2236">
            <v>0.33200000000000002</v>
          </cell>
          <cell r="E2236">
            <v>1.1240000000000001</v>
          </cell>
        </row>
        <row r="2237">
          <cell r="C2237" t="str">
            <v>BASE_GRANULAR</v>
          </cell>
          <cell r="D2237">
            <v>1.365</v>
          </cell>
          <cell r="E2237">
            <v>4.6319999999999997</v>
          </cell>
        </row>
        <row r="2238">
          <cell r="C2238" t="str">
            <v>RECICLADO</v>
          </cell>
          <cell r="D2238">
            <v>1.633</v>
          </cell>
          <cell r="E2238">
            <v>5.5359999999999996</v>
          </cell>
        </row>
        <row r="2239">
          <cell r="C2239" t="str">
            <v>CONCRETO_ASFÁLTICO</v>
          </cell>
          <cell r="D2239">
            <v>0.4</v>
          </cell>
          <cell r="E2239">
            <v>2.6440000000000001</v>
          </cell>
        </row>
        <row r="2240">
          <cell r="C2240" t="str">
            <v>CUNETA</v>
          </cell>
          <cell r="D2240">
            <v>0.33200000000000002</v>
          </cell>
          <cell r="E2240">
            <v>2.1920000000000002</v>
          </cell>
        </row>
        <row r="2241">
          <cell r="C2241" t="str">
            <v>BASE_GRANULAR</v>
          </cell>
          <cell r="D2241">
            <v>1.365</v>
          </cell>
          <cell r="E2241">
            <v>9.0969999999999995</v>
          </cell>
        </row>
        <row r="2242">
          <cell r="C2242" t="str">
            <v>RECICLADO</v>
          </cell>
          <cell r="D2242">
            <v>1.633</v>
          </cell>
          <cell r="E2242">
            <v>10.808999999999999</v>
          </cell>
        </row>
        <row r="2243">
          <cell r="C2243" t="str">
            <v>CONCRETO_ASFÁLTICO</v>
          </cell>
          <cell r="D2243">
            <v>0.4</v>
          </cell>
          <cell r="E2243">
            <v>3.9990000000000001</v>
          </cell>
        </row>
        <row r="2244">
          <cell r="C2244" t="str">
            <v>CUNETA</v>
          </cell>
          <cell r="D2244">
            <v>0.33200000000000002</v>
          </cell>
          <cell r="E2244">
            <v>3.3149999999999999</v>
          </cell>
        </row>
        <row r="2245">
          <cell r="C2245" t="str">
            <v>BASE_GRANULAR</v>
          </cell>
          <cell r="D2245">
            <v>1.365</v>
          </cell>
          <cell r="E2245">
            <v>13.760999999999999</v>
          </cell>
        </row>
        <row r="2246">
          <cell r="C2246" t="str">
            <v>RECICLADO</v>
          </cell>
          <cell r="D2246">
            <v>1.633</v>
          </cell>
          <cell r="E2246">
            <v>16.350999999999999</v>
          </cell>
        </row>
        <row r="2247">
          <cell r="C2247" t="str">
            <v>CONCRETO_ASFÁLTICO</v>
          </cell>
          <cell r="D2247">
            <v>0.4</v>
          </cell>
          <cell r="E2247">
            <v>0.64700000000000002</v>
          </cell>
        </row>
        <row r="2248">
          <cell r="C2248" t="str">
            <v>CUNETA</v>
          </cell>
          <cell r="D2248">
            <v>0.33200000000000002</v>
          </cell>
          <cell r="E2248">
            <v>0.53600000000000003</v>
          </cell>
        </row>
        <row r="2249">
          <cell r="C2249" t="str">
            <v>BASE_GRANULAR</v>
          </cell>
          <cell r="D2249">
            <v>1.365</v>
          </cell>
          <cell r="E2249">
            <v>2.226</v>
          </cell>
        </row>
        <row r="2250">
          <cell r="C2250" t="str">
            <v>RECICLADO</v>
          </cell>
          <cell r="D2250">
            <v>1.633</v>
          </cell>
          <cell r="E2250">
            <v>2.645</v>
          </cell>
        </row>
        <row r="2251">
          <cell r="C2251" t="str">
            <v>CONCRETO_ASFÁLTICO</v>
          </cell>
          <cell r="D2251">
            <v>0.4</v>
          </cell>
          <cell r="E2251">
            <v>3.3519999999999999</v>
          </cell>
        </row>
        <row r="2252">
          <cell r="C2252" t="str">
            <v>CUNETA</v>
          </cell>
          <cell r="D2252">
            <v>0.33200000000000002</v>
          </cell>
          <cell r="E2252">
            <v>2.7789999999999999</v>
          </cell>
        </row>
        <row r="2253">
          <cell r="C2253" t="str">
            <v>BASE_GRANULAR</v>
          </cell>
          <cell r="D2253">
            <v>1.365</v>
          </cell>
          <cell r="E2253">
            <v>11.461</v>
          </cell>
        </row>
        <row r="2254">
          <cell r="C2254" t="str">
            <v>RECICLADO</v>
          </cell>
          <cell r="D2254">
            <v>1.633</v>
          </cell>
          <cell r="E2254">
            <v>13.692</v>
          </cell>
        </row>
        <row r="2255">
          <cell r="C2255" t="str">
            <v>CONCRETO_ASFÁLTICO</v>
          </cell>
          <cell r="D2255">
            <v>0.4</v>
          </cell>
          <cell r="E2255">
            <v>3.9990000000000001</v>
          </cell>
        </row>
        <row r="2256">
          <cell r="C2256" t="str">
            <v>CUNETA</v>
          </cell>
          <cell r="D2256">
            <v>0.33200000000000002</v>
          </cell>
          <cell r="E2256">
            <v>3.3149999999999999</v>
          </cell>
        </row>
        <row r="2257">
          <cell r="C2257" t="str">
            <v>BASE_GRANULAR</v>
          </cell>
          <cell r="D2257">
            <v>1.365</v>
          </cell>
          <cell r="E2257">
            <v>13.67</v>
          </cell>
        </row>
        <row r="2258">
          <cell r="C2258" t="str">
            <v>RECICLADO</v>
          </cell>
          <cell r="D2258">
            <v>1.633</v>
          </cell>
          <cell r="E2258">
            <v>16.332999999999998</v>
          </cell>
        </row>
        <row r="2259">
          <cell r="C2259" t="str">
            <v>CONCRETO_ASFÁLTICO</v>
          </cell>
          <cell r="D2259">
            <v>0.4</v>
          </cell>
          <cell r="E2259">
            <v>2.2469999999999999</v>
          </cell>
        </row>
        <row r="2260">
          <cell r="C2260" t="str">
            <v>CUNETA</v>
          </cell>
          <cell r="D2260">
            <v>0.33200000000000002</v>
          </cell>
          <cell r="E2260">
            <v>1.8620000000000001</v>
          </cell>
        </row>
        <row r="2261">
          <cell r="C2261" t="str">
            <v>BASE_GRANULAR</v>
          </cell>
          <cell r="D2261">
            <v>1.349</v>
          </cell>
          <cell r="E2261">
            <v>7.6269999999999998</v>
          </cell>
        </row>
        <row r="2262">
          <cell r="C2262" t="str">
            <v>RECICLADO</v>
          </cell>
          <cell r="D2262">
            <v>1.63</v>
          </cell>
          <cell r="E2262">
            <v>9.1660000000000004</v>
          </cell>
        </row>
        <row r="2263">
          <cell r="C2263" t="str">
            <v>CONCRETO_ASFÁLTICO</v>
          </cell>
          <cell r="D2263">
            <v>0.4</v>
          </cell>
          <cell r="E2263">
            <v>5.7519999999999998</v>
          </cell>
        </row>
        <row r="2264">
          <cell r="C2264" t="str">
            <v>CUNETA</v>
          </cell>
          <cell r="D2264">
            <v>0.33200000000000002</v>
          </cell>
          <cell r="E2264">
            <v>4.7679999999999998</v>
          </cell>
        </row>
        <row r="2265">
          <cell r="C2265" t="str">
            <v>BASE_GRANULAR</v>
          </cell>
          <cell r="D2265">
            <v>1.333</v>
          </cell>
          <cell r="E2265">
            <v>19.292000000000002</v>
          </cell>
        </row>
        <row r="2266">
          <cell r="C2266" t="str">
            <v>RECICLADO</v>
          </cell>
          <cell r="D2266">
            <v>1.627</v>
          </cell>
          <cell r="E2266">
            <v>23.425999999999998</v>
          </cell>
        </row>
        <row r="2267">
          <cell r="C2267" t="str">
            <v>CONCRETO_ASFÁLTICO</v>
          </cell>
          <cell r="D2267">
            <v>0.4</v>
          </cell>
          <cell r="E2267">
            <v>7.9980000000000002</v>
          </cell>
        </row>
        <row r="2268">
          <cell r="C2268" t="str">
            <v>CUNETA</v>
          </cell>
          <cell r="D2268">
            <v>0.33200000000000002</v>
          </cell>
          <cell r="E2268">
            <v>6.6310000000000002</v>
          </cell>
        </row>
        <row r="2269">
          <cell r="C2269" t="str">
            <v>BASE_GRANULAR</v>
          </cell>
          <cell r="D2269">
            <v>1.34</v>
          </cell>
          <cell r="E2269">
            <v>26.736000000000001</v>
          </cell>
        </row>
        <row r="2270">
          <cell r="C2270" t="str">
            <v>RECICLADO</v>
          </cell>
          <cell r="D2270">
            <v>1.629</v>
          </cell>
          <cell r="E2270">
            <v>32.56</v>
          </cell>
        </row>
        <row r="2271">
          <cell r="C2271" t="str">
            <v>CONCRETO_ASFÁLTICO</v>
          </cell>
          <cell r="D2271">
            <v>0.4</v>
          </cell>
          <cell r="E2271">
            <v>2.6869999999999998</v>
          </cell>
        </row>
        <row r="2272">
          <cell r="C2272" t="str">
            <v>CUNETA</v>
          </cell>
          <cell r="D2272">
            <v>0.33200000000000002</v>
          </cell>
          <cell r="E2272">
            <v>2.2280000000000002</v>
          </cell>
        </row>
        <row r="2273">
          <cell r="C2273" t="str">
            <v>BASE_GRANULAR</v>
          </cell>
          <cell r="D2273">
            <v>1.349</v>
          </cell>
          <cell r="E2273">
            <v>9.0370000000000008</v>
          </cell>
        </row>
        <row r="2274">
          <cell r="C2274" t="str">
            <v>RECICLADO</v>
          </cell>
          <cell r="D2274">
            <v>1.63</v>
          </cell>
          <cell r="E2274">
            <v>10.949</v>
          </cell>
        </row>
        <row r="2275">
          <cell r="C2275" t="str">
            <v>CONCRETO_ASFÁLTICO</v>
          </cell>
          <cell r="D2275">
            <v>0.4</v>
          </cell>
          <cell r="E2275">
            <v>1.3120000000000001</v>
          </cell>
        </row>
        <row r="2276">
          <cell r="C2276" t="str">
            <v>CUNETA</v>
          </cell>
          <cell r="D2276">
            <v>0.33200000000000002</v>
          </cell>
          <cell r="E2276">
            <v>1.0880000000000001</v>
          </cell>
        </row>
        <row r="2277">
          <cell r="C2277" t="str">
            <v>BASE_GRANULAR</v>
          </cell>
          <cell r="D2277">
            <v>1.3540000000000001</v>
          </cell>
          <cell r="E2277">
            <v>4.4340000000000002</v>
          </cell>
        </row>
        <row r="2278">
          <cell r="C2278" t="str">
            <v>RECICLADO</v>
          </cell>
          <cell r="D2278">
            <v>1.631</v>
          </cell>
          <cell r="E2278">
            <v>5.3490000000000002</v>
          </cell>
        </row>
        <row r="2279">
          <cell r="C2279" t="str">
            <v>CONCRETO_ASFÁLTICO</v>
          </cell>
          <cell r="D2279">
            <v>0.4</v>
          </cell>
          <cell r="E2279">
            <v>3.9990000000000001</v>
          </cell>
        </row>
        <row r="2280">
          <cell r="C2280" t="str">
            <v>CUNETA</v>
          </cell>
          <cell r="D2280">
            <v>0.33200000000000002</v>
          </cell>
          <cell r="E2280">
            <v>3.3149999999999999</v>
          </cell>
        </row>
        <row r="2281">
          <cell r="C2281" t="str">
            <v>BASE_GRANULAR</v>
          </cell>
          <cell r="D2281">
            <v>1.365</v>
          </cell>
          <cell r="E2281">
            <v>13.597</v>
          </cell>
        </row>
        <row r="2282">
          <cell r="C2282" t="str">
            <v>RECICLADO</v>
          </cell>
          <cell r="D2282">
            <v>1.633</v>
          </cell>
          <cell r="E2282">
            <v>16.32</v>
          </cell>
        </row>
        <row r="2283">
          <cell r="C2283" t="str">
            <v>CONCRETO_ASFÁLTICO</v>
          </cell>
          <cell r="D2283">
            <v>0.4</v>
          </cell>
          <cell r="E2283">
            <v>3.9990000000000001</v>
          </cell>
        </row>
        <row r="2284">
          <cell r="C2284" t="str">
            <v>CUNETA</v>
          </cell>
          <cell r="D2284">
            <v>0.33200000000000002</v>
          </cell>
          <cell r="E2284">
            <v>3.3149999999999999</v>
          </cell>
        </row>
        <row r="2285">
          <cell r="C2285" t="str">
            <v>BASE_GRANULAR</v>
          </cell>
          <cell r="D2285">
            <v>1.365</v>
          </cell>
          <cell r="E2285">
            <v>13.656000000000001</v>
          </cell>
        </row>
        <row r="2286">
          <cell r="C2286" t="str">
            <v>RECICLADO</v>
          </cell>
          <cell r="D2286">
            <v>1.633</v>
          </cell>
          <cell r="E2286">
            <v>16.329999999999998</v>
          </cell>
        </row>
        <row r="2287">
          <cell r="C2287" t="str">
            <v>CONCRETO_ASFÁLTICO</v>
          </cell>
          <cell r="D2287">
            <v>0.4</v>
          </cell>
          <cell r="E2287">
            <v>0.68799999999999994</v>
          </cell>
        </row>
        <row r="2288">
          <cell r="C2288" t="str">
            <v>CUNETA</v>
          </cell>
          <cell r="D2288">
            <v>0.33200000000000002</v>
          </cell>
          <cell r="E2288">
            <v>0.56999999999999995</v>
          </cell>
        </row>
        <row r="2289">
          <cell r="C2289" t="str">
            <v>BASE_GRANULAR</v>
          </cell>
          <cell r="D2289">
            <v>1.365</v>
          </cell>
          <cell r="E2289">
            <v>2.3479999999999999</v>
          </cell>
        </row>
        <row r="2290">
          <cell r="C2290" t="str">
            <v>RECICLADO</v>
          </cell>
          <cell r="D2290">
            <v>1.633</v>
          </cell>
          <cell r="E2290">
            <v>2.8079999999999998</v>
          </cell>
        </row>
        <row r="2291">
          <cell r="C2291" t="str">
            <v>CONCRETO_ASFÁLTICO</v>
          </cell>
          <cell r="D2291">
            <v>0.4</v>
          </cell>
          <cell r="E2291">
            <v>3.3119999999999998</v>
          </cell>
        </row>
        <row r="2292">
          <cell r="C2292" t="str">
            <v>CUNETA</v>
          </cell>
          <cell r="D2292">
            <v>0.33200000000000002</v>
          </cell>
          <cell r="E2292">
            <v>2.7450000000000001</v>
          </cell>
        </row>
        <row r="2293">
          <cell r="C2293" t="str">
            <v>BASE_GRANULAR</v>
          </cell>
          <cell r="D2293">
            <v>1.365</v>
          </cell>
          <cell r="E2293">
            <v>11.311999999999999</v>
          </cell>
        </row>
        <row r="2294">
          <cell r="C2294" t="str">
            <v>RECICLADO</v>
          </cell>
          <cell r="D2294">
            <v>1.633</v>
          </cell>
          <cell r="E2294">
            <v>13.523</v>
          </cell>
        </row>
        <row r="2295">
          <cell r="C2295" t="str">
            <v>CONCRETO_ASFÁLTICO</v>
          </cell>
          <cell r="D2295">
            <v>0.4</v>
          </cell>
          <cell r="E2295">
            <v>3.9990000000000001</v>
          </cell>
        </row>
        <row r="2296">
          <cell r="C2296" t="str">
            <v>CUNETA</v>
          </cell>
          <cell r="D2296">
            <v>0.33200000000000002</v>
          </cell>
          <cell r="E2296">
            <v>3.3149999999999999</v>
          </cell>
        </row>
        <row r="2297">
          <cell r="C2297" t="str">
            <v>BASE_GRANULAR</v>
          </cell>
          <cell r="D2297">
            <v>1.365</v>
          </cell>
          <cell r="E2297">
            <v>13.661</v>
          </cell>
        </row>
        <row r="2298">
          <cell r="C2298" t="str">
            <v>RECICLADO</v>
          </cell>
          <cell r="D2298">
            <v>1.633</v>
          </cell>
          <cell r="E2298">
            <v>16.331</v>
          </cell>
        </row>
        <row r="2299">
          <cell r="C2299" t="str">
            <v>CONCRETO_ASFÁLTICO</v>
          </cell>
          <cell r="D2299">
            <v>0.4</v>
          </cell>
          <cell r="E2299">
            <v>1.6339999999999999</v>
          </cell>
        </row>
        <row r="2300">
          <cell r="C2300" t="str">
            <v>CUNETA</v>
          </cell>
          <cell r="D2300">
            <v>0.33200000000000002</v>
          </cell>
          <cell r="E2300">
            <v>1.355</v>
          </cell>
        </row>
        <row r="2301">
          <cell r="C2301" t="str">
            <v>BASE_GRANULAR</v>
          </cell>
          <cell r="D2301">
            <v>1.365</v>
          </cell>
          <cell r="E2301">
            <v>5.5819999999999999</v>
          </cell>
        </row>
        <row r="2302">
          <cell r="C2302" t="str">
            <v>RECICLADO</v>
          </cell>
          <cell r="D2302">
            <v>1.633</v>
          </cell>
          <cell r="E2302">
            <v>6.673</v>
          </cell>
        </row>
        <row r="2303">
          <cell r="C2303" t="str">
            <v>CONCRETO_ASFÁLTICO</v>
          </cell>
          <cell r="D2303">
            <v>0.4</v>
          </cell>
          <cell r="E2303">
            <v>2.3650000000000002</v>
          </cell>
        </row>
        <row r="2304">
          <cell r="C2304" t="str">
            <v>CUNETA</v>
          </cell>
          <cell r="D2304">
            <v>0.33200000000000002</v>
          </cell>
          <cell r="E2304">
            <v>1.9610000000000001</v>
          </cell>
        </row>
        <row r="2305">
          <cell r="C2305" t="str">
            <v>BASE_GRANULAR</v>
          </cell>
          <cell r="D2305">
            <v>1.365</v>
          </cell>
          <cell r="E2305">
            <v>8.0760000000000005</v>
          </cell>
        </row>
        <row r="2306">
          <cell r="C2306" t="str">
            <v>RECICLADO</v>
          </cell>
          <cell r="D2306">
            <v>1.633</v>
          </cell>
          <cell r="E2306">
            <v>9.6579999999999995</v>
          </cell>
        </row>
        <row r="2307">
          <cell r="C2307" t="str">
            <v>CONCRETO_ASFÁLTICO</v>
          </cell>
          <cell r="D2307">
            <v>0.4</v>
          </cell>
          <cell r="E2307">
            <v>3.9990000000000001</v>
          </cell>
        </row>
        <row r="2308">
          <cell r="C2308" t="str">
            <v>CUNETA</v>
          </cell>
          <cell r="D2308">
            <v>0.33200000000000002</v>
          </cell>
          <cell r="E2308">
            <v>3.3149999999999999</v>
          </cell>
        </row>
        <row r="2309">
          <cell r="C2309" t="str">
            <v>BASE_GRANULAR</v>
          </cell>
          <cell r="D2309">
            <v>1.3580000000000001</v>
          </cell>
          <cell r="E2309">
            <v>13.616</v>
          </cell>
        </row>
        <row r="2310">
          <cell r="C2310" t="str">
            <v>RECICLADO</v>
          </cell>
          <cell r="D2310">
            <v>1.6319999999999999</v>
          </cell>
          <cell r="E2310">
            <v>16.323</v>
          </cell>
        </row>
        <row r="2311">
          <cell r="C2311" t="str">
            <v>CONCRETO_ASFÁLTICO</v>
          </cell>
          <cell r="D2311">
            <v>0.4</v>
          </cell>
          <cell r="E2311">
            <v>3.6339999999999999</v>
          </cell>
        </row>
        <row r="2312">
          <cell r="C2312" t="str">
            <v>CUNETA</v>
          </cell>
          <cell r="D2312">
            <v>0.33200000000000002</v>
          </cell>
          <cell r="E2312">
            <v>3.012</v>
          </cell>
        </row>
        <row r="2313">
          <cell r="C2313" t="str">
            <v>BASE_GRANULAR</v>
          </cell>
          <cell r="D2313">
            <v>1.343</v>
          </cell>
          <cell r="E2313">
            <v>12.268000000000001</v>
          </cell>
        </row>
        <row r="2314">
          <cell r="C2314" t="str">
            <v>RECICLADO</v>
          </cell>
          <cell r="D2314">
            <v>1.629</v>
          </cell>
          <cell r="E2314">
            <v>14.813000000000001</v>
          </cell>
        </row>
        <row r="2315">
          <cell r="C2315" t="str">
            <v>CONCRETO_ASFÁLTICO</v>
          </cell>
          <cell r="D2315">
            <v>0.4</v>
          </cell>
          <cell r="E2315">
            <v>0.36599999999999999</v>
          </cell>
        </row>
        <row r="2316">
          <cell r="C2316" t="str">
            <v>CUNETA</v>
          </cell>
          <cell r="D2316">
            <v>0.33200000000000002</v>
          </cell>
          <cell r="E2316">
            <v>0.30299999999999999</v>
          </cell>
        </row>
        <row r="2317">
          <cell r="C2317" t="str">
            <v>BASE_GRANULAR</v>
          </cell>
          <cell r="D2317">
            <v>1.341</v>
          </cell>
          <cell r="E2317">
            <v>1.2270000000000001</v>
          </cell>
        </row>
        <row r="2318">
          <cell r="C2318" t="str">
            <v>RECICLADO</v>
          </cell>
          <cell r="D2318">
            <v>1.629</v>
          </cell>
          <cell r="E2318">
            <v>1.4890000000000001</v>
          </cell>
        </row>
        <row r="2319">
          <cell r="C2319" t="str">
            <v>CONCRETO_ASFÁLTICO</v>
          </cell>
          <cell r="D2319">
            <v>0.4</v>
          </cell>
          <cell r="E2319">
            <v>5.3730000000000002</v>
          </cell>
        </row>
        <row r="2320">
          <cell r="C2320" t="str">
            <v>CUNETA</v>
          </cell>
          <cell r="D2320">
            <v>0.33200000000000002</v>
          </cell>
          <cell r="E2320">
            <v>4.4550000000000001</v>
          </cell>
        </row>
        <row r="2321">
          <cell r="C2321" t="str">
            <v>BASE_GRANULAR</v>
          </cell>
          <cell r="D2321">
            <v>1.349</v>
          </cell>
          <cell r="E2321">
            <v>18.077000000000002</v>
          </cell>
        </row>
        <row r="2322">
          <cell r="C2322" t="str">
            <v>RECICLADO</v>
          </cell>
          <cell r="D2322">
            <v>1.63</v>
          </cell>
          <cell r="E2322">
            <v>21.893999999999998</v>
          </cell>
        </row>
        <row r="2323">
          <cell r="C2323" t="str">
            <v>CONCRETO_ASFÁLTICO</v>
          </cell>
          <cell r="D2323">
            <v>0.4</v>
          </cell>
          <cell r="E2323">
            <v>2.625</v>
          </cell>
        </row>
        <row r="2324">
          <cell r="C2324" t="str">
            <v>CUNETA</v>
          </cell>
          <cell r="D2324">
            <v>0.33200000000000002</v>
          </cell>
          <cell r="E2324">
            <v>2.1760000000000002</v>
          </cell>
        </row>
        <row r="2325">
          <cell r="C2325" t="str">
            <v>BASE_GRANULAR</v>
          </cell>
          <cell r="D2325">
            <v>1.365</v>
          </cell>
          <cell r="E2325">
            <v>8.9090000000000007</v>
          </cell>
        </row>
        <row r="2326">
          <cell r="C2326" t="str">
            <v>RECICLADO</v>
          </cell>
          <cell r="D2326">
            <v>1.633</v>
          </cell>
          <cell r="E2326">
            <v>10.71</v>
          </cell>
        </row>
        <row r="2327">
          <cell r="C2327" t="str">
            <v>CONCRETO_ASFÁLTICO</v>
          </cell>
          <cell r="D2327">
            <v>0.4</v>
          </cell>
          <cell r="E2327">
            <v>3.0139999999999998</v>
          </cell>
        </row>
        <row r="2328">
          <cell r="C2328" t="str">
            <v>CUNETA</v>
          </cell>
          <cell r="D2328">
            <v>0.33200000000000002</v>
          </cell>
          <cell r="E2328">
            <v>2.4980000000000002</v>
          </cell>
        </row>
        <row r="2329">
          <cell r="C2329" t="str">
            <v>BASE_GRANULAR</v>
          </cell>
          <cell r="D2329">
            <v>1.365</v>
          </cell>
          <cell r="E2329">
            <v>10.289</v>
          </cell>
        </row>
        <row r="2330">
          <cell r="C2330" t="str">
            <v>RECICLADO</v>
          </cell>
          <cell r="D2330">
            <v>1.633</v>
          </cell>
          <cell r="E2330">
            <v>12.305999999999999</v>
          </cell>
        </row>
        <row r="2331">
          <cell r="C2331" t="str">
            <v>CONCRETO_ASFÁLTICO</v>
          </cell>
          <cell r="D2331">
            <v>0.4</v>
          </cell>
          <cell r="E2331">
            <v>0.98499999999999999</v>
          </cell>
        </row>
        <row r="2332">
          <cell r="C2332" t="str">
            <v>CUNETA</v>
          </cell>
          <cell r="D2332">
            <v>0.33200000000000002</v>
          </cell>
          <cell r="E2332">
            <v>0.81699999999999995</v>
          </cell>
        </row>
        <row r="2333">
          <cell r="C2333" t="str">
            <v>BASE_GRANULAR</v>
          </cell>
          <cell r="D2333">
            <v>1.365</v>
          </cell>
          <cell r="E2333">
            <v>3.3639999999999999</v>
          </cell>
        </row>
        <row r="2334">
          <cell r="C2334" t="str">
            <v>RECICLADO</v>
          </cell>
          <cell r="D2334">
            <v>1.633</v>
          </cell>
          <cell r="E2334">
            <v>4.024</v>
          </cell>
        </row>
        <row r="2335">
          <cell r="C2335" t="str">
            <v>CONCRETO_ASFÁLTICO</v>
          </cell>
          <cell r="D2335">
            <v>0.4</v>
          </cell>
          <cell r="E2335">
            <v>3.9990000000000001</v>
          </cell>
        </row>
        <row r="2336">
          <cell r="C2336" t="str">
            <v>CUNETA</v>
          </cell>
          <cell r="D2336">
            <v>0.33200000000000002</v>
          </cell>
          <cell r="E2336">
            <v>3.3149999999999999</v>
          </cell>
        </row>
        <row r="2337">
          <cell r="C2337" t="str">
            <v>BASE_GRANULAR</v>
          </cell>
          <cell r="D2337">
            <v>1.353</v>
          </cell>
          <cell r="E2337">
            <v>13.593999999999999</v>
          </cell>
        </row>
        <row r="2338">
          <cell r="C2338" t="str">
            <v>RECICLADO</v>
          </cell>
          <cell r="D2338">
            <v>1.631</v>
          </cell>
          <cell r="E2338">
            <v>16.318999999999999</v>
          </cell>
        </row>
        <row r="2339">
          <cell r="C2339" t="str">
            <v>CONCRETO_ASFÁLTICO</v>
          </cell>
          <cell r="D2339">
            <v>0.4</v>
          </cell>
          <cell r="E2339">
            <v>0.65400000000000003</v>
          </cell>
        </row>
        <row r="2340">
          <cell r="C2340" t="str">
            <v>CUNETA</v>
          </cell>
          <cell r="D2340">
            <v>0.33200000000000002</v>
          </cell>
          <cell r="E2340">
            <v>0.54200000000000004</v>
          </cell>
        </row>
        <row r="2341">
          <cell r="C2341" t="str">
            <v>BASE_GRANULAR</v>
          </cell>
          <cell r="D2341">
            <v>1.349</v>
          </cell>
          <cell r="E2341">
            <v>2.2109999999999999</v>
          </cell>
        </row>
        <row r="2342">
          <cell r="C2342" t="str">
            <v>RECICLADO</v>
          </cell>
          <cell r="D2342">
            <v>1.63</v>
          </cell>
          <cell r="E2342">
            <v>2.6680000000000001</v>
          </cell>
        </row>
        <row r="2343">
          <cell r="C2343" t="str">
            <v>CONCRETO_ASFÁLTICO</v>
          </cell>
          <cell r="D2343">
            <v>0.4</v>
          </cell>
          <cell r="E2343">
            <v>7.3440000000000003</v>
          </cell>
        </row>
        <row r="2344">
          <cell r="C2344" t="str">
            <v>CUNETA</v>
          </cell>
          <cell r="D2344">
            <v>0.33200000000000002</v>
          </cell>
          <cell r="E2344">
            <v>6.0880000000000001</v>
          </cell>
        </row>
        <row r="2345">
          <cell r="C2345" t="str">
            <v>BASE_GRANULAR</v>
          </cell>
          <cell r="D2345">
            <v>1.347</v>
          </cell>
          <cell r="E2345">
            <v>24.757000000000001</v>
          </cell>
        </row>
        <row r="2346">
          <cell r="C2346" t="str">
            <v>RECICLADO</v>
          </cell>
          <cell r="D2346">
            <v>1.63</v>
          </cell>
          <cell r="E2346">
            <v>29.931999999999999</v>
          </cell>
        </row>
        <row r="2347">
          <cell r="C2347" t="str">
            <v>CONCRETO_ASFÁLTICO</v>
          </cell>
          <cell r="D2347">
            <v>0.4</v>
          </cell>
          <cell r="E2347">
            <v>0.30299999999999999</v>
          </cell>
        </row>
        <row r="2348">
          <cell r="C2348" t="str">
            <v>CUNETA</v>
          </cell>
          <cell r="D2348">
            <v>0.33200000000000002</v>
          </cell>
          <cell r="E2348">
            <v>0.251</v>
          </cell>
        </row>
        <row r="2349">
          <cell r="C2349" t="str">
            <v>BASE_GRANULAR</v>
          </cell>
          <cell r="D2349">
            <v>1.349</v>
          </cell>
          <cell r="E2349">
            <v>1.022</v>
          </cell>
        </row>
        <row r="2350">
          <cell r="C2350" t="str">
            <v>RECICLADO</v>
          </cell>
          <cell r="D2350">
            <v>1.63</v>
          </cell>
          <cell r="E2350">
            <v>1.236</v>
          </cell>
        </row>
        <row r="2351">
          <cell r="C2351" t="str">
            <v>CONCRETO_ASFÁLTICO</v>
          </cell>
          <cell r="D2351">
            <v>0.4</v>
          </cell>
          <cell r="E2351">
            <v>3.6960000000000002</v>
          </cell>
        </row>
        <row r="2352">
          <cell r="C2352" t="str">
            <v>CUNETA</v>
          </cell>
          <cell r="D2352">
            <v>0.33200000000000002</v>
          </cell>
          <cell r="E2352">
            <v>3.0640000000000001</v>
          </cell>
        </row>
        <row r="2353">
          <cell r="C2353" t="str">
            <v>BASE_GRANULAR</v>
          </cell>
          <cell r="D2353">
            <v>1.365</v>
          </cell>
          <cell r="E2353">
            <v>12.553000000000001</v>
          </cell>
        </row>
        <row r="2354">
          <cell r="C2354" t="str">
            <v>RECICLADO</v>
          </cell>
          <cell r="D2354">
            <v>1.633</v>
          </cell>
          <cell r="E2354">
            <v>15.08</v>
          </cell>
        </row>
        <row r="2355">
          <cell r="C2355" t="str">
            <v>CONCRETO_ASFÁLTICO</v>
          </cell>
          <cell r="D2355">
            <v>0.4</v>
          </cell>
          <cell r="E2355">
            <v>1.9430000000000001</v>
          </cell>
        </row>
        <row r="2356">
          <cell r="C2356" t="str">
            <v>CUNETA</v>
          </cell>
          <cell r="D2356">
            <v>0.33200000000000002</v>
          </cell>
          <cell r="E2356">
            <v>1.611</v>
          </cell>
        </row>
        <row r="2357">
          <cell r="C2357" t="str">
            <v>BASE_GRANULAR</v>
          </cell>
          <cell r="D2357">
            <v>1.365</v>
          </cell>
          <cell r="E2357">
            <v>6.6379999999999999</v>
          </cell>
        </row>
        <row r="2358">
          <cell r="C2358" t="str">
            <v>RECICLADO</v>
          </cell>
          <cell r="D2358">
            <v>1.633</v>
          </cell>
          <cell r="E2358">
            <v>7.9349999999999996</v>
          </cell>
        </row>
        <row r="2359">
          <cell r="C2359" t="str">
            <v>CONCRETO_ASFÁLTICO</v>
          </cell>
          <cell r="D2359">
            <v>0.4</v>
          </cell>
          <cell r="E2359">
            <v>2.056</v>
          </cell>
        </row>
        <row r="2360">
          <cell r="C2360" t="str">
            <v>CUNETA</v>
          </cell>
          <cell r="D2360">
            <v>0.33200000000000002</v>
          </cell>
          <cell r="E2360">
            <v>1.7050000000000001</v>
          </cell>
        </row>
        <row r="2361">
          <cell r="C2361" t="str">
            <v>BASE_GRANULAR</v>
          </cell>
          <cell r="D2361">
            <v>1.365</v>
          </cell>
          <cell r="E2361">
            <v>7.0529999999999999</v>
          </cell>
        </row>
        <row r="2362">
          <cell r="C2362" t="str">
            <v>RECICLADO</v>
          </cell>
          <cell r="D2362">
            <v>1.633</v>
          </cell>
          <cell r="E2362">
            <v>8.4030000000000005</v>
          </cell>
        </row>
        <row r="2363">
          <cell r="C2363" t="str">
            <v>CONCRETO_ASFÁLTICO</v>
          </cell>
          <cell r="D2363">
            <v>0.4</v>
          </cell>
          <cell r="E2363">
            <v>3.9990000000000001</v>
          </cell>
        </row>
        <row r="2364">
          <cell r="C2364" t="str">
            <v>CUNETA</v>
          </cell>
          <cell r="D2364">
            <v>0.33200000000000002</v>
          </cell>
          <cell r="E2364">
            <v>3.3149999999999999</v>
          </cell>
        </row>
        <row r="2365">
          <cell r="C2365" t="str">
            <v>BASE_GRANULAR</v>
          </cell>
          <cell r="D2365">
            <v>1.365</v>
          </cell>
          <cell r="E2365">
            <v>13.717000000000001</v>
          </cell>
        </row>
        <row r="2366">
          <cell r="C2366" t="str">
            <v>RECICLADO</v>
          </cell>
          <cell r="D2366">
            <v>1.633</v>
          </cell>
          <cell r="E2366">
            <v>16.343</v>
          </cell>
        </row>
        <row r="2367">
          <cell r="C2367" t="str">
            <v>CONCRETO_ASFÁLTICO</v>
          </cell>
          <cell r="D2367">
            <v>0.4</v>
          </cell>
          <cell r="E2367">
            <v>0.61699999999999999</v>
          </cell>
        </row>
        <row r="2368">
          <cell r="C2368" t="str">
            <v>CUNETA</v>
          </cell>
          <cell r="D2368">
            <v>0.33200000000000002</v>
          </cell>
          <cell r="E2368">
            <v>0.51200000000000001</v>
          </cell>
        </row>
        <row r="2369">
          <cell r="C2369" t="str">
            <v>BASE_GRANULAR</v>
          </cell>
          <cell r="D2369">
            <v>1.365</v>
          </cell>
          <cell r="E2369">
            <v>2.117</v>
          </cell>
        </row>
        <row r="2370">
          <cell r="C2370" t="str">
            <v>RECICLADO</v>
          </cell>
          <cell r="D2370">
            <v>1.633</v>
          </cell>
          <cell r="E2370">
            <v>2.5219999999999998</v>
          </cell>
        </row>
        <row r="2371">
          <cell r="C2371" t="str">
            <v>CONCRETO_ASFÁLTICO</v>
          </cell>
          <cell r="D2371">
            <v>0.4</v>
          </cell>
          <cell r="E2371">
            <v>3.3820000000000001</v>
          </cell>
        </row>
        <row r="2372">
          <cell r="C2372" t="str">
            <v>CUNETA</v>
          </cell>
          <cell r="D2372">
            <v>0.33200000000000002</v>
          </cell>
          <cell r="E2372">
            <v>2.8039999999999998</v>
          </cell>
        </row>
        <row r="2373">
          <cell r="C2373" t="str">
            <v>BASE_GRANULAR</v>
          </cell>
          <cell r="D2373">
            <v>1.3580000000000001</v>
          </cell>
          <cell r="E2373">
            <v>11.528</v>
          </cell>
        </row>
        <row r="2374">
          <cell r="C2374" t="str">
            <v>RECICLADO</v>
          </cell>
          <cell r="D2374">
            <v>1.6319999999999999</v>
          </cell>
          <cell r="E2374">
            <v>13.807</v>
          </cell>
        </row>
        <row r="2375">
          <cell r="C2375" t="str">
            <v>CONCRETO_ASFÁLTICO</v>
          </cell>
          <cell r="D2375">
            <v>0.4</v>
          </cell>
          <cell r="E2375">
            <v>2.2570000000000001</v>
          </cell>
        </row>
        <row r="2376">
          <cell r="C2376" t="str">
            <v>CUNETA</v>
          </cell>
          <cell r="D2376">
            <v>0.33200000000000002</v>
          </cell>
          <cell r="E2376">
            <v>1.871</v>
          </cell>
        </row>
        <row r="2377">
          <cell r="C2377" t="str">
            <v>BASE_GRANULAR</v>
          </cell>
          <cell r="D2377">
            <v>1.333</v>
          </cell>
          <cell r="E2377">
            <v>7.5960000000000001</v>
          </cell>
        </row>
        <row r="2378">
          <cell r="C2378" t="str">
            <v>RECICLADO</v>
          </cell>
          <cell r="D2378">
            <v>1.627</v>
          </cell>
          <cell r="E2378">
            <v>9.1959999999999997</v>
          </cell>
        </row>
        <row r="2379">
          <cell r="C2379" t="str">
            <v>CONCRETO_ASFÁLTICO</v>
          </cell>
          <cell r="D2379">
            <v>0.4</v>
          </cell>
          <cell r="E2379">
            <v>1.9E-2</v>
          </cell>
        </row>
        <row r="2380">
          <cell r="C2380" t="str">
            <v>CUNETA</v>
          </cell>
          <cell r="D2380">
            <v>0.33200000000000002</v>
          </cell>
          <cell r="E2380">
            <v>1.6E-2</v>
          </cell>
        </row>
        <row r="2381">
          <cell r="C2381" t="str">
            <v>BASE_GRANULAR</v>
          </cell>
          <cell r="D2381">
            <v>1.333</v>
          </cell>
          <cell r="E2381">
            <v>6.4000000000000001E-2</v>
          </cell>
        </row>
        <row r="2382">
          <cell r="C2382" t="str">
            <v>RECICLADO</v>
          </cell>
          <cell r="D2382">
            <v>1.627</v>
          </cell>
          <cell r="E2382">
            <v>7.8E-2</v>
          </cell>
        </row>
        <row r="2383">
          <cell r="C2383" t="str">
            <v>CONCRETO_ASFÁLTICO</v>
          </cell>
          <cell r="D2383">
            <v>0.4</v>
          </cell>
          <cell r="E2383">
            <v>1.7230000000000001</v>
          </cell>
        </row>
        <row r="2384">
          <cell r="C2384" t="str">
            <v>CUNETA</v>
          </cell>
          <cell r="D2384">
            <v>0.33200000000000002</v>
          </cell>
          <cell r="E2384">
            <v>1.4279999999999999</v>
          </cell>
        </row>
        <row r="2385">
          <cell r="C2385" t="str">
            <v>BASE_GRANULAR</v>
          </cell>
          <cell r="D2385">
            <v>1.353</v>
          </cell>
          <cell r="E2385">
            <v>5.7869999999999999</v>
          </cell>
        </row>
        <row r="2386">
          <cell r="C2386" t="str">
            <v>RECICLADO</v>
          </cell>
          <cell r="D2386">
            <v>1.631</v>
          </cell>
          <cell r="E2386">
            <v>7.0190000000000001</v>
          </cell>
        </row>
        <row r="2387">
          <cell r="C2387" t="str">
            <v>CONCRETO_ASFÁLTICO</v>
          </cell>
          <cell r="D2387">
            <v>0.4</v>
          </cell>
          <cell r="E2387">
            <v>3.9159999999999999</v>
          </cell>
        </row>
        <row r="2388">
          <cell r="C2388" t="str">
            <v>CUNETA</v>
          </cell>
          <cell r="D2388">
            <v>0.33200000000000002</v>
          </cell>
          <cell r="E2388">
            <v>3.246</v>
          </cell>
        </row>
        <row r="2389">
          <cell r="C2389" t="str">
            <v>BASE_GRANULAR</v>
          </cell>
          <cell r="D2389">
            <v>1.365</v>
          </cell>
          <cell r="E2389">
            <v>13.319000000000001</v>
          </cell>
        </row>
        <row r="2390">
          <cell r="C2390" t="str">
            <v>RECICLADO</v>
          </cell>
          <cell r="D2390">
            <v>1.633</v>
          </cell>
          <cell r="E2390">
            <v>15.981</v>
          </cell>
        </row>
        <row r="2391">
          <cell r="C2391" t="str">
            <v>CONCRETO_ASFÁLTICO</v>
          </cell>
          <cell r="D2391">
            <v>0.4</v>
          </cell>
          <cell r="E2391">
            <v>8.3000000000000004E-2</v>
          </cell>
        </row>
        <row r="2392">
          <cell r="C2392" t="str">
            <v>CUNETA</v>
          </cell>
          <cell r="D2392">
            <v>0.33200000000000002</v>
          </cell>
          <cell r="E2392">
            <v>6.9000000000000006E-2</v>
          </cell>
        </row>
        <row r="2393">
          <cell r="C2393" t="str">
            <v>BASE_GRANULAR</v>
          </cell>
          <cell r="D2393">
            <v>1.365</v>
          </cell>
          <cell r="E2393">
            <v>0.28599999999999998</v>
          </cell>
        </row>
        <row r="2394">
          <cell r="C2394" t="str">
            <v>RECICLADO</v>
          </cell>
          <cell r="D2394">
            <v>1.633</v>
          </cell>
          <cell r="E2394">
            <v>0.34100000000000003</v>
          </cell>
        </row>
        <row r="2395">
          <cell r="C2395" t="str">
            <v>CONCRETO_ASFÁLTICO</v>
          </cell>
          <cell r="D2395">
            <v>0.4</v>
          </cell>
          <cell r="E2395">
            <v>3.9990000000000001</v>
          </cell>
        </row>
        <row r="2396">
          <cell r="C2396" t="str">
            <v>CUNETA</v>
          </cell>
          <cell r="D2396">
            <v>0.33200000000000002</v>
          </cell>
          <cell r="E2396">
            <v>3.3149999999999999</v>
          </cell>
        </row>
        <row r="2397">
          <cell r="C2397" t="str">
            <v>BASE_GRANULAR</v>
          </cell>
          <cell r="D2397">
            <v>1.365</v>
          </cell>
          <cell r="E2397">
            <v>13.715</v>
          </cell>
        </row>
        <row r="2398">
          <cell r="C2398" t="str">
            <v>RECICLADO</v>
          </cell>
          <cell r="D2398">
            <v>1.633</v>
          </cell>
          <cell r="E2398">
            <v>16.341999999999999</v>
          </cell>
        </row>
        <row r="2399">
          <cell r="C2399" t="str">
            <v>CONCRETO_ASFÁLTICO</v>
          </cell>
          <cell r="D2399">
            <v>0.4</v>
          </cell>
          <cell r="E2399">
            <v>2.0489999999999999</v>
          </cell>
        </row>
        <row r="2400">
          <cell r="C2400" t="str">
            <v>CUNETA</v>
          </cell>
          <cell r="D2400">
            <v>0.33200000000000002</v>
          </cell>
          <cell r="E2400">
            <v>1.698</v>
          </cell>
        </row>
        <row r="2401">
          <cell r="C2401" t="str">
            <v>BASE_GRANULAR</v>
          </cell>
          <cell r="D2401">
            <v>1.365</v>
          </cell>
          <cell r="E2401">
            <v>7.0250000000000004</v>
          </cell>
        </row>
        <row r="2402">
          <cell r="C2402" t="str">
            <v>RECICLADO</v>
          </cell>
          <cell r="D2402">
            <v>1.633</v>
          </cell>
          <cell r="E2402">
            <v>8.3710000000000004</v>
          </cell>
        </row>
        <row r="2403">
          <cell r="C2403" t="str">
            <v>CONCRETO_ASFÁLTICO</v>
          </cell>
          <cell r="D2403">
            <v>0.4</v>
          </cell>
          <cell r="E2403">
            <v>1.9510000000000001</v>
          </cell>
        </row>
        <row r="2404">
          <cell r="C2404" t="str">
            <v>CUNETA</v>
          </cell>
          <cell r="D2404">
            <v>0.33200000000000002</v>
          </cell>
          <cell r="E2404">
            <v>1.617</v>
          </cell>
        </row>
        <row r="2405">
          <cell r="C2405" t="str">
            <v>BASE_GRANULAR</v>
          </cell>
          <cell r="D2405">
            <v>1.365</v>
          </cell>
          <cell r="E2405">
            <v>6.6639999999999997</v>
          </cell>
        </row>
        <row r="2406">
          <cell r="C2406" t="str">
            <v>RECICLADO</v>
          </cell>
          <cell r="D2406">
            <v>1.633</v>
          </cell>
          <cell r="E2406">
            <v>7.9660000000000002</v>
          </cell>
        </row>
        <row r="2407">
          <cell r="C2407" t="str">
            <v>CONCRETO_ASFÁLTICO</v>
          </cell>
          <cell r="D2407">
            <v>0.4</v>
          </cell>
          <cell r="E2407">
            <v>3.6880000000000002</v>
          </cell>
        </row>
        <row r="2408">
          <cell r="C2408" t="str">
            <v>CUNETA</v>
          </cell>
          <cell r="D2408">
            <v>0.33200000000000002</v>
          </cell>
          <cell r="E2408">
            <v>3.0579999999999998</v>
          </cell>
        </row>
        <row r="2409">
          <cell r="C2409" t="str">
            <v>BASE_GRANULAR</v>
          </cell>
          <cell r="D2409">
            <v>1.365</v>
          </cell>
          <cell r="E2409">
            <v>12.599</v>
          </cell>
        </row>
        <row r="2410">
          <cell r="C2410" t="str">
            <v>RECICLADO</v>
          </cell>
          <cell r="D2410">
            <v>1.633</v>
          </cell>
          <cell r="E2410">
            <v>15.061</v>
          </cell>
        </row>
        <row r="2411">
          <cell r="C2411" t="str">
            <v>CONCRETO_ASFÁLTICO</v>
          </cell>
          <cell r="D2411">
            <v>0.4</v>
          </cell>
          <cell r="E2411">
            <v>3.0000000000000001E-3</v>
          </cell>
        </row>
        <row r="2412">
          <cell r="C2412" t="str">
            <v>CUNETA</v>
          </cell>
          <cell r="D2412">
            <v>0.33200000000000002</v>
          </cell>
          <cell r="E2412">
            <v>2E-3</v>
          </cell>
        </row>
        <row r="2413">
          <cell r="C2413" t="str">
            <v>BASE_GRANULAR</v>
          </cell>
          <cell r="D2413">
            <v>1.333</v>
          </cell>
          <cell r="E2413">
            <v>0.01</v>
          </cell>
        </row>
        <row r="2414">
          <cell r="C2414" t="str">
            <v>RECICLADO</v>
          </cell>
          <cell r="D2414">
            <v>1.627</v>
          </cell>
          <cell r="E2414">
            <v>1.2E-2</v>
          </cell>
        </row>
        <row r="2415">
          <cell r="C2415" t="str">
            <v>CONCRETO_ASFÁLTICO</v>
          </cell>
          <cell r="D2415">
            <v>0.4</v>
          </cell>
          <cell r="E2415">
            <v>0.308</v>
          </cell>
        </row>
        <row r="2416">
          <cell r="C2416" t="str">
            <v>CUNETA</v>
          </cell>
          <cell r="D2416">
            <v>0.33200000000000002</v>
          </cell>
          <cell r="E2416">
            <v>0.255</v>
          </cell>
        </row>
        <row r="2417">
          <cell r="C2417" t="str">
            <v>BASE_GRANULAR</v>
          </cell>
          <cell r="D2417">
            <v>1.333</v>
          </cell>
          <cell r="E2417">
            <v>1.0269999999999999</v>
          </cell>
        </row>
        <row r="2418">
          <cell r="C2418" t="str">
            <v>RECICLADO</v>
          </cell>
          <cell r="D2418">
            <v>1.627</v>
          </cell>
          <cell r="E2418">
            <v>1.254</v>
          </cell>
        </row>
        <row r="2419">
          <cell r="C2419" t="str">
            <v>CONCRETO_ASFÁLTICO</v>
          </cell>
          <cell r="D2419">
            <v>0.4</v>
          </cell>
          <cell r="E2419">
            <v>3.9990000000000001</v>
          </cell>
        </row>
        <row r="2420">
          <cell r="C2420" t="str">
            <v>CUNETA</v>
          </cell>
          <cell r="D2420">
            <v>0.33200000000000002</v>
          </cell>
          <cell r="E2420">
            <v>3.3149999999999999</v>
          </cell>
        </row>
        <row r="2421">
          <cell r="C2421" t="str">
            <v>BASE_GRANULAR</v>
          </cell>
          <cell r="D2421">
            <v>1.333</v>
          </cell>
          <cell r="E2421">
            <v>13.333</v>
          </cell>
        </row>
        <row r="2422">
          <cell r="C2422" t="str">
            <v>RECICLADO</v>
          </cell>
          <cell r="D2422">
            <v>1.627</v>
          </cell>
          <cell r="E2422">
            <v>16.274000000000001</v>
          </cell>
        </row>
        <row r="2423">
          <cell r="C2423" t="str">
            <v>CONCRETO_ASFÁLTICO</v>
          </cell>
          <cell r="D2423">
            <v>0.4</v>
          </cell>
          <cell r="E2423">
            <v>0.13600000000000001</v>
          </cell>
        </row>
        <row r="2424">
          <cell r="C2424" t="str">
            <v>CUNETA</v>
          </cell>
          <cell r="D2424">
            <v>0.33200000000000002</v>
          </cell>
          <cell r="E2424">
            <v>0.113</v>
          </cell>
        </row>
        <row r="2425">
          <cell r="C2425" t="str">
            <v>BASE_GRANULAR</v>
          </cell>
          <cell r="D2425">
            <v>1.333</v>
          </cell>
          <cell r="E2425">
            <v>0.45300000000000001</v>
          </cell>
        </row>
        <row r="2426">
          <cell r="C2426" t="str">
            <v>RECICLADO</v>
          </cell>
          <cell r="D2426">
            <v>1.627</v>
          </cell>
          <cell r="E2426">
            <v>0.55200000000000005</v>
          </cell>
        </row>
        <row r="2427">
          <cell r="C2427" t="str">
            <v>CONCRETO_ASFÁLTICO</v>
          </cell>
          <cell r="D2427">
            <v>0.4</v>
          </cell>
          <cell r="E2427">
            <v>3.863</v>
          </cell>
        </row>
        <row r="2428">
          <cell r="C2428" t="str">
            <v>CUNETA</v>
          </cell>
          <cell r="D2428">
            <v>0.33200000000000002</v>
          </cell>
          <cell r="E2428">
            <v>3.2029999999999998</v>
          </cell>
        </row>
        <row r="2429">
          <cell r="C2429" t="str">
            <v>BASE_GRANULAR</v>
          </cell>
          <cell r="D2429">
            <v>1.333</v>
          </cell>
          <cell r="E2429">
            <v>12.881</v>
          </cell>
        </row>
        <row r="2430">
          <cell r="C2430" t="str">
            <v>RECICLADO</v>
          </cell>
          <cell r="D2430">
            <v>1.627</v>
          </cell>
          <cell r="E2430">
            <v>15.721</v>
          </cell>
        </row>
        <row r="2431">
          <cell r="C2431" t="str">
            <v>CONCRETO_ASFÁLTICO</v>
          </cell>
          <cell r="D2431">
            <v>0.4</v>
          </cell>
          <cell r="E2431">
            <v>1.655</v>
          </cell>
        </row>
        <row r="2432">
          <cell r="C2432" t="str">
            <v>CUNETA</v>
          </cell>
          <cell r="D2432">
            <v>0.33200000000000002</v>
          </cell>
          <cell r="E2432">
            <v>1.3720000000000001</v>
          </cell>
        </row>
        <row r="2433">
          <cell r="C2433" t="str">
            <v>BASE_GRANULAR</v>
          </cell>
          <cell r="D2433">
            <v>1.333</v>
          </cell>
          <cell r="E2433">
            <v>5.5190000000000001</v>
          </cell>
        </row>
        <row r="2434">
          <cell r="C2434" t="str">
            <v>RECICLADO</v>
          </cell>
          <cell r="D2434">
            <v>1.627</v>
          </cell>
          <cell r="E2434">
            <v>6.7359999999999998</v>
          </cell>
        </row>
        <row r="2435">
          <cell r="C2435" t="str">
            <v>CONCRETO_ASFÁLTICO</v>
          </cell>
          <cell r="D2435">
            <v>0.4</v>
          </cell>
          <cell r="E2435">
            <v>2.3439999999999999</v>
          </cell>
        </row>
        <row r="2436">
          <cell r="C2436" t="str">
            <v>CUNETA</v>
          </cell>
          <cell r="D2436">
            <v>0.33200000000000002</v>
          </cell>
          <cell r="E2436">
            <v>1.9430000000000001</v>
          </cell>
        </row>
        <row r="2437">
          <cell r="C2437" t="str">
            <v>BASE_GRANULAR</v>
          </cell>
          <cell r="D2437">
            <v>1.333</v>
          </cell>
          <cell r="E2437">
            <v>7.8140000000000001</v>
          </cell>
        </row>
        <row r="2438">
          <cell r="C2438" t="str">
            <v>RECICLADO</v>
          </cell>
          <cell r="D2438">
            <v>1.627</v>
          </cell>
          <cell r="E2438">
            <v>9.5370000000000008</v>
          </cell>
        </row>
        <row r="2439">
          <cell r="C2439" t="str">
            <v>CONCRETO_ASFÁLTICO</v>
          </cell>
          <cell r="D2439">
            <v>0.4</v>
          </cell>
          <cell r="E2439">
            <v>7.9980000000000002</v>
          </cell>
        </row>
        <row r="2440">
          <cell r="C2440" t="str">
            <v>CUNETA</v>
          </cell>
          <cell r="D2440">
            <v>0.33200000000000002</v>
          </cell>
          <cell r="E2440">
            <v>6.6310000000000002</v>
          </cell>
        </row>
        <row r="2441">
          <cell r="C2441" t="str">
            <v>BASE_GRANULAR</v>
          </cell>
          <cell r="D2441">
            <v>1.333</v>
          </cell>
          <cell r="E2441">
            <v>26.666</v>
          </cell>
        </row>
        <row r="2442">
          <cell r="C2442" t="str">
            <v>RECICLADO</v>
          </cell>
          <cell r="D2442">
            <v>1.627</v>
          </cell>
          <cell r="E2442">
            <v>32.546999999999997</v>
          </cell>
        </row>
        <row r="2443">
          <cell r="C2443" t="str">
            <v>CONCRETO_ASFÁLTICO</v>
          </cell>
          <cell r="D2443">
            <v>0.4</v>
          </cell>
          <cell r="E2443">
            <v>3.9990000000000001</v>
          </cell>
        </row>
        <row r="2444">
          <cell r="C2444" t="str">
            <v>CUNETA</v>
          </cell>
          <cell r="D2444">
            <v>0.33200000000000002</v>
          </cell>
          <cell r="E2444">
            <v>3.3149999999999999</v>
          </cell>
        </row>
        <row r="2445">
          <cell r="C2445" t="str">
            <v>BASE_GRANULAR</v>
          </cell>
          <cell r="D2445">
            <v>1.333</v>
          </cell>
          <cell r="E2445">
            <v>13.333</v>
          </cell>
        </row>
        <row r="2446">
          <cell r="C2446" t="str">
            <v>RECICLADO</v>
          </cell>
          <cell r="D2446">
            <v>1.627</v>
          </cell>
          <cell r="E2446">
            <v>16.274000000000001</v>
          </cell>
        </row>
        <row r="2447">
          <cell r="C2447" t="str">
            <v>CONCRETO_ASFÁLTICO</v>
          </cell>
          <cell r="D2447">
            <v>0.4</v>
          </cell>
          <cell r="E2447">
            <v>3.9990000000000001</v>
          </cell>
        </row>
        <row r="2448">
          <cell r="C2448" t="str">
            <v>CUNETA</v>
          </cell>
          <cell r="D2448">
            <v>0.33200000000000002</v>
          </cell>
          <cell r="E2448">
            <v>3.3149999999999999</v>
          </cell>
        </row>
        <row r="2449">
          <cell r="C2449" t="str">
            <v>BASE_GRANULAR</v>
          </cell>
          <cell r="D2449">
            <v>1.333</v>
          </cell>
          <cell r="E2449">
            <v>13.333</v>
          </cell>
        </row>
        <row r="2450">
          <cell r="C2450" t="str">
            <v>RECLICADO</v>
          </cell>
          <cell r="D2450">
            <v>1.627</v>
          </cell>
          <cell r="E2450">
            <v>16.274000000000001</v>
          </cell>
        </row>
        <row r="2451">
          <cell r="C2451" t="str">
            <v>CONCRETO_ASFÁLTICO</v>
          </cell>
          <cell r="D2451">
            <v>0.4</v>
          </cell>
          <cell r="E2451">
            <v>3.9990000000000001</v>
          </cell>
        </row>
        <row r="2452">
          <cell r="C2452" t="str">
            <v>CUNETA</v>
          </cell>
          <cell r="D2452">
            <v>0.33200000000000002</v>
          </cell>
          <cell r="E2452">
            <v>3.3149999999999999</v>
          </cell>
        </row>
        <row r="2453">
          <cell r="C2453" t="str">
            <v>BASE_GRANULAR</v>
          </cell>
          <cell r="D2453">
            <v>1.333</v>
          </cell>
          <cell r="E2453">
            <v>13.333</v>
          </cell>
        </row>
        <row r="2454">
          <cell r="C2454" t="str">
            <v>RECLICADO</v>
          </cell>
          <cell r="D2454">
            <v>1.627</v>
          </cell>
          <cell r="E2454">
            <v>16.274000000000001</v>
          </cell>
        </row>
        <row r="2455">
          <cell r="C2455" t="str">
            <v>CONCRETO_ASFÁLTICO</v>
          </cell>
          <cell r="D2455">
            <v>0.4</v>
          </cell>
          <cell r="E2455">
            <v>1.397</v>
          </cell>
        </row>
        <row r="2456">
          <cell r="C2456" t="str">
            <v>CUNETA</v>
          </cell>
          <cell r="D2456">
            <v>0.33200000000000002</v>
          </cell>
          <cell r="E2456">
            <v>1.1579999999999999</v>
          </cell>
        </row>
        <row r="2457">
          <cell r="C2457" t="str">
            <v>BASE_GRANULAR</v>
          </cell>
          <cell r="D2457">
            <v>1.333</v>
          </cell>
          <cell r="E2457">
            <v>4.6559999999999997</v>
          </cell>
        </row>
        <row r="2458">
          <cell r="C2458" t="str">
            <v>RECLICADO</v>
          </cell>
          <cell r="D2458">
            <v>1.627</v>
          </cell>
          <cell r="E2458">
            <v>5.6829999999999998</v>
          </cell>
        </row>
        <row r="2459">
          <cell r="C2459" t="str">
            <v>CONCRETO_ASFÁLTICO</v>
          </cell>
          <cell r="D2459">
            <v>0.4</v>
          </cell>
          <cell r="E2459">
            <v>2.6030000000000002</v>
          </cell>
        </row>
        <row r="2460">
          <cell r="C2460" t="str">
            <v>CUNETA</v>
          </cell>
          <cell r="D2460">
            <v>0.33200000000000002</v>
          </cell>
          <cell r="E2460">
            <v>2.1579999999999999</v>
          </cell>
        </row>
        <row r="2461">
          <cell r="C2461" t="str">
            <v>BASE_GRANULAR</v>
          </cell>
          <cell r="D2461">
            <v>1.333</v>
          </cell>
          <cell r="E2461">
            <v>8.6769999999999996</v>
          </cell>
        </row>
        <row r="2462">
          <cell r="C2462" t="str">
            <v>RECLICADO</v>
          </cell>
          <cell r="D2462">
            <v>1.627</v>
          </cell>
          <cell r="E2462">
            <v>10.59</v>
          </cell>
        </row>
        <row r="2463">
          <cell r="C2463" t="str">
            <v>CONCRETO_ASFÁLTICO</v>
          </cell>
          <cell r="D2463">
            <v>0.4</v>
          </cell>
          <cell r="E2463">
            <v>3.3959999999999999</v>
          </cell>
        </row>
        <row r="2464">
          <cell r="C2464" t="str">
            <v>CUNETA</v>
          </cell>
          <cell r="D2464">
            <v>0.33200000000000002</v>
          </cell>
          <cell r="E2464">
            <v>2.8149999999999999</v>
          </cell>
        </row>
        <row r="2465">
          <cell r="C2465" t="str">
            <v>BASE_GRANULAR</v>
          </cell>
          <cell r="D2465">
            <v>1.333</v>
          </cell>
          <cell r="E2465">
            <v>11.323</v>
          </cell>
        </row>
        <row r="2466">
          <cell r="C2466" t="str">
            <v>RECLICADO</v>
          </cell>
          <cell r="D2466">
            <v>1.627</v>
          </cell>
          <cell r="E2466">
            <v>13.82</v>
          </cell>
        </row>
        <row r="2467">
          <cell r="C2467" t="str">
            <v>CONCRETO_ASFÁLTICO</v>
          </cell>
          <cell r="D2467">
            <v>0.4</v>
          </cell>
          <cell r="E2467">
            <v>0.60299999999999998</v>
          </cell>
        </row>
        <row r="2468">
          <cell r="C2468" t="str">
            <v>CUNETA</v>
          </cell>
          <cell r="D2468">
            <v>0.33200000000000002</v>
          </cell>
          <cell r="E2468">
            <v>0.5</v>
          </cell>
        </row>
        <row r="2469">
          <cell r="C2469" t="str">
            <v>BASE_GRANULAR</v>
          </cell>
          <cell r="D2469">
            <v>1.333</v>
          </cell>
          <cell r="E2469">
            <v>2.0099999999999998</v>
          </cell>
        </row>
        <row r="2470">
          <cell r="C2470" t="str">
            <v>RECLICADO</v>
          </cell>
          <cell r="D2470">
            <v>1.627</v>
          </cell>
          <cell r="E2470">
            <v>2.4540000000000002</v>
          </cell>
        </row>
        <row r="2471">
          <cell r="C2471" t="str">
            <v>CONCRETO_ASFÁLTICO</v>
          </cell>
          <cell r="D2471">
            <v>0.4</v>
          </cell>
          <cell r="E2471">
            <v>3.9990000000000001</v>
          </cell>
        </row>
        <row r="2472">
          <cell r="C2472" t="str">
            <v>CUNETA</v>
          </cell>
          <cell r="D2472">
            <v>0.33200000000000002</v>
          </cell>
          <cell r="E2472">
            <v>3.3149999999999999</v>
          </cell>
        </row>
        <row r="2473">
          <cell r="C2473" t="str">
            <v>BASE_GRANULAR</v>
          </cell>
          <cell r="D2473">
            <v>1.333</v>
          </cell>
          <cell r="E2473">
            <v>13.333</v>
          </cell>
        </row>
        <row r="2474">
          <cell r="C2474" t="str">
            <v>RECLICADO</v>
          </cell>
          <cell r="D2474">
            <v>1.627</v>
          </cell>
          <cell r="E2474">
            <v>16.274000000000001</v>
          </cell>
        </row>
        <row r="2475">
          <cell r="C2475" t="str">
            <v>CONCRETO_ASFÁLTICO</v>
          </cell>
          <cell r="D2475">
            <v>0.4</v>
          </cell>
          <cell r="E2475">
            <v>3.9990000000000001</v>
          </cell>
        </row>
        <row r="2476">
          <cell r="C2476" t="str">
            <v>CUNETA</v>
          </cell>
          <cell r="D2476">
            <v>0.33200000000000002</v>
          </cell>
          <cell r="E2476">
            <v>3.3149999999999999</v>
          </cell>
        </row>
        <row r="2477">
          <cell r="C2477" t="str">
            <v>BASE_GRANULAR</v>
          </cell>
          <cell r="D2477">
            <v>1.333</v>
          </cell>
          <cell r="E2477">
            <v>13.333</v>
          </cell>
        </row>
        <row r="2478">
          <cell r="C2478" t="str">
            <v>RECLICADO</v>
          </cell>
          <cell r="D2478">
            <v>1.627</v>
          </cell>
          <cell r="E2478">
            <v>16.274000000000001</v>
          </cell>
        </row>
        <row r="2479">
          <cell r="C2479" t="str">
            <v>CONCRETO_ASFÁLTICO</v>
          </cell>
          <cell r="D2479">
            <v>0.4</v>
          </cell>
          <cell r="E2479">
            <v>3.4780000000000002</v>
          </cell>
        </row>
        <row r="2480">
          <cell r="C2480" t="str">
            <v>CUNETA</v>
          </cell>
          <cell r="D2480">
            <v>0.33200000000000002</v>
          </cell>
          <cell r="E2480">
            <v>2.883</v>
          </cell>
        </row>
        <row r="2481">
          <cell r="C2481" t="str">
            <v>BASE_GRANULAR</v>
          </cell>
          <cell r="D2481">
            <v>1.333</v>
          </cell>
          <cell r="E2481">
            <v>11.596</v>
          </cell>
        </row>
        <row r="2482">
          <cell r="C2482" t="str">
            <v>RECLICADO</v>
          </cell>
          <cell r="D2482">
            <v>1.627</v>
          </cell>
          <cell r="E2482">
            <v>14.154</v>
          </cell>
        </row>
        <row r="2483">
          <cell r="C2483" t="str">
            <v>CONCRETO_ASFÁLTICO</v>
          </cell>
          <cell r="D2483">
            <v>0.4</v>
          </cell>
          <cell r="E2483">
            <v>0.52100000000000002</v>
          </cell>
        </row>
        <row r="2484">
          <cell r="C2484" t="str">
            <v>CUNETA</v>
          </cell>
          <cell r="D2484">
            <v>0.33200000000000002</v>
          </cell>
          <cell r="E2484">
            <v>0.432</v>
          </cell>
        </row>
        <row r="2485">
          <cell r="C2485" t="str">
            <v>BASE_GRANULAR</v>
          </cell>
          <cell r="D2485">
            <v>1.333</v>
          </cell>
          <cell r="E2485">
            <v>1.7370000000000001</v>
          </cell>
        </row>
        <row r="2486">
          <cell r="C2486" t="str">
            <v>RECLICADO</v>
          </cell>
          <cell r="D2486">
            <v>1.627</v>
          </cell>
          <cell r="E2486">
            <v>2.12</v>
          </cell>
        </row>
        <row r="2487">
          <cell r="C2487" t="str">
            <v>CONCRETO_ASFÁLTICO</v>
          </cell>
          <cell r="D2487">
            <v>0.4</v>
          </cell>
          <cell r="E2487">
            <v>3.9990000000000001</v>
          </cell>
        </row>
        <row r="2488">
          <cell r="C2488" t="str">
            <v>CUNETA</v>
          </cell>
          <cell r="D2488">
            <v>0.33200000000000002</v>
          </cell>
          <cell r="E2488">
            <v>3.3149999999999999</v>
          </cell>
        </row>
        <row r="2489">
          <cell r="C2489" t="str">
            <v>BASE_GRANULAR</v>
          </cell>
          <cell r="D2489">
            <v>1.333</v>
          </cell>
          <cell r="E2489">
            <v>13.333</v>
          </cell>
        </row>
        <row r="2490">
          <cell r="C2490" t="str">
            <v>RECLICADO</v>
          </cell>
          <cell r="D2490">
            <v>1.627</v>
          </cell>
          <cell r="E2490">
            <v>16.274000000000001</v>
          </cell>
        </row>
        <row r="2491">
          <cell r="C2491" t="str">
            <v>CONCRETO_ASFÁLTICO</v>
          </cell>
          <cell r="D2491">
            <v>0.4</v>
          </cell>
          <cell r="E2491">
            <v>1.4790000000000001</v>
          </cell>
        </row>
        <row r="2492">
          <cell r="C2492" t="str">
            <v>CUNETA</v>
          </cell>
          <cell r="D2492">
            <v>0.33200000000000002</v>
          </cell>
          <cell r="E2492">
            <v>1.226</v>
          </cell>
        </row>
        <row r="2493">
          <cell r="C2493" t="str">
            <v>BASE_GRANULAR</v>
          </cell>
          <cell r="D2493">
            <v>1.333</v>
          </cell>
          <cell r="E2493">
            <v>4.93</v>
          </cell>
        </row>
        <row r="2494">
          <cell r="C2494" t="str">
            <v>RECLICADO</v>
          </cell>
          <cell r="D2494">
            <v>1.627</v>
          </cell>
          <cell r="E2494">
            <v>6.0170000000000003</v>
          </cell>
        </row>
        <row r="2495">
          <cell r="C2495" t="str">
            <v>CONCRETO_ASFÁLTICO</v>
          </cell>
          <cell r="D2495">
            <v>0.4</v>
          </cell>
          <cell r="E2495">
            <v>2.5209999999999999</v>
          </cell>
        </row>
        <row r="2496">
          <cell r="C2496" t="str">
            <v>CUNETA</v>
          </cell>
          <cell r="D2496">
            <v>0.33200000000000002</v>
          </cell>
          <cell r="E2496">
            <v>2.09</v>
          </cell>
        </row>
        <row r="2497">
          <cell r="C2497" t="str">
            <v>BASE_GRANULAR</v>
          </cell>
          <cell r="D2497">
            <v>1.333</v>
          </cell>
          <cell r="E2497">
            <v>8.4039999999999999</v>
          </cell>
        </row>
        <row r="2498">
          <cell r="C2498" t="str">
            <v>RECLICADO</v>
          </cell>
          <cell r="D2498">
            <v>1.627</v>
          </cell>
          <cell r="E2498">
            <v>10.257</v>
          </cell>
        </row>
        <row r="2499">
          <cell r="C2499" t="str">
            <v>CONCRETO_ASFÁLTICO</v>
          </cell>
          <cell r="D2499">
            <v>0.4</v>
          </cell>
          <cell r="E2499">
            <v>3.9990000000000001</v>
          </cell>
        </row>
        <row r="2500">
          <cell r="C2500" t="str">
            <v>CUNETA</v>
          </cell>
          <cell r="D2500">
            <v>0.33200000000000002</v>
          </cell>
          <cell r="E2500">
            <v>3.3149999999999999</v>
          </cell>
        </row>
        <row r="2501">
          <cell r="C2501" t="str">
            <v>BASE_GRANULAR</v>
          </cell>
          <cell r="D2501">
            <v>1.333</v>
          </cell>
          <cell r="E2501">
            <v>13.333</v>
          </cell>
        </row>
        <row r="2502">
          <cell r="C2502" t="str">
            <v>RECLICADO</v>
          </cell>
          <cell r="D2502">
            <v>1.627</v>
          </cell>
          <cell r="E2502">
            <v>16.274000000000001</v>
          </cell>
        </row>
        <row r="2503">
          <cell r="C2503" t="str">
            <v>CONCRETO_ASFÁLTICO</v>
          </cell>
          <cell r="D2503">
            <v>0.4</v>
          </cell>
          <cell r="E2503">
            <v>3.9990000000000001</v>
          </cell>
        </row>
        <row r="2504">
          <cell r="C2504" t="str">
            <v>CUNETA</v>
          </cell>
          <cell r="D2504">
            <v>0.33200000000000002</v>
          </cell>
          <cell r="E2504">
            <v>3.3149999999999999</v>
          </cell>
        </row>
        <row r="2505">
          <cell r="C2505" t="str">
            <v>BASE_GRANULAR</v>
          </cell>
          <cell r="D2505">
            <v>1.333</v>
          </cell>
          <cell r="E2505">
            <v>13.333</v>
          </cell>
        </row>
        <row r="2506">
          <cell r="C2506" t="str">
            <v>RECLICADO</v>
          </cell>
          <cell r="D2506">
            <v>1.627</v>
          </cell>
          <cell r="E2506">
            <v>16.274000000000001</v>
          </cell>
        </row>
        <row r="2507">
          <cell r="C2507" t="str">
            <v>CONCRETO_ASFÁLTICO</v>
          </cell>
          <cell r="D2507">
            <v>0.4</v>
          </cell>
          <cell r="E2507">
            <v>3.9990000000000001</v>
          </cell>
        </row>
        <row r="2508">
          <cell r="C2508" t="str">
            <v>CUNETA</v>
          </cell>
          <cell r="D2508">
            <v>0.33200000000000002</v>
          </cell>
          <cell r="E2508">
            <v>3.3149999999999999</v>
          </cell>
        </row>
        <row r="2509">
          <cell r="C2509" t="str">
            <v>BASE_GRANULAR</v>
          </cell>
          <cell r="D2509">
            <v>1.333</v>
          </cell>
          <cell r="E2509">
            <v>13.333</v>
          </cell>
        </row>
        <row r="2510">
          <cell r="C2510" t="str">
            <v>RECLICADO</v>
          </cell>
          <cell r="D2510">
            <v>1.627</v>
          </cell>
          <cell r="E2510">
            <v>16.274000000000001</v>
          </cell>
        </row>
        <row r="2511">
          <cell r="C2511" t="str">
            <v>CONCRETO_ASFÁLTICO</v>
          </cell>
          <cell r="D2511">
            <v>0.4</v>
          </cell>
          <cell r="E2511">
            <v>3.9990000000000001</v>
          </cell>
        </row>
        <row r="2512">
          <cell r="C2512" t="str">
            <v>CUNETA</v>
          </cell>
          <cell r="D2512">
            <v>0.33200000000000002</v>
          </cell>
          <cell r="E2512">
            <v>3.3149999999999999</v>
          </cell>
        </row>
        <row r="2513">
          <cell r="C2513" t="str">
            <v>BASE_GRANULAR</v>
          </cell>
          <cell r="D2513">
            <v>1.333</v>
          </cell>
          <cell r="E2513">
            <v>13.333</v>
          </cell>
        </row>
        <row r="2514">
          <cell r="C2514" t="str">
            <v>RECLICADO</v>
          </cell>
          <cell r="D2514">
            <v>1.627</v>
          </cell>
          <cell r="E2514">
            <v>16.274000000000001</v>
          </cell>
        </row>
        <row r="2515">
          <cell r="C2515" t="str">
            <v>CONCRETO_ASFÁLTICO</v>
          </cell>
          <cell r="D2515">
            <v>0.4</v>
          </cell>
          <cell r="E2515">
            <v>3.9990000000000001</v>
          </cell>
        </row>
        <row r="2516">
          <cell r="C2516" t="str">
            <v>CUNETA</v>
          </cell>
          <cell r="D2516">
            <v>0.33200000000000002</v>
          </cell>
          <cell r="E2516">
            <v>3.3149999999999999</v>
          </cell>
        </row>
        <row r="2517">
          <cell r="C2517" t="str">
            <v>BASE_GRANULAR</v>
          </cell>
          <cell r="D2517">
            <v>1.333</v>
          </cell>
          <cell r="E2517">
            <v>13.333</v>
          </cell>
        </row>
        <row r="2518">
          <cell r="C2518" t="str">
            <v>RECLICADO</v>
          </cell>
          <cell r="D2518">
            <v>1.627</v>
          </cell>
          <cell r="E2518">
            <v>16.274000000000001</v>
          </cell>
        </row>
        <row r="2519">
          <cell r="C2519" t="str">
            <v>CONCRETO_ASFÁLTICO</v>
          </cell>
          <cell r="D2519">
            <v>0.4</v>
          </cell>
          <cell r="E2519">
            <v>3.9990000000000001</v>
          </cell>
        </row>
        <row r="2520">
          <cell r="C2520" t="str">
            <v>CUNETA</v>
          </cell>
          <cell r="D2520">
            <v>0.33200000000000002</v>
          </cell>
          <cell r="E2520">
            <v>3.3149999999999999</v>
          </cell>
        </row>
        <row r="2521">
          <cell r="C2521" t="str">
            <v>BASE_GRANULAR</v>
          </cell>
          <cell r="D2521">
            <v>1.333</v>
          </cell>
          <cell r="E2521">
            <v>13.333</v>
          </cell>
        </row>
        <row r="2522">
          <cell r="C2522" t="str">
            <v>RECLICADO</v>
          </cell>
          <cell r="D2522">
            <v>1.627</v>
          </cell>
          <cell r="E2522">
            <v>16.274000000000001</v>
          </cell>
        </row>
        <row r="2523">
          <cell r="C2523" t="str">
            <v>CONCRETO_ASFÁLTICO</v>
          </cell>
          <cell r="D2523">
            <v>0.4</v>
          </cell>
          <cell r="E2523">
            <v>3.2519999999999998</v>
          </cell>
        </row>
        <row r="2524">
          <cell r="C2524" t="str">
            <v>CUNETA</v>
          </cell>
          <cell r="D2524">
            <v>0.33200000000000002</v>
          </cell>
          <cell r="E2524">
            <v>2.6960000000000002</v>
          </cell>
        </row>
        <row r="2525">
          <cell r="C2525" t="str">
            <v>BASE_GRANULAR</v>
          </cell>
          <cell r="D2525">
            <v>1.333</v>
          </cell>
          <cell r="E2525">
            <v>10.842000000000001</v>
          </cell>
        </row>
        <row r="2526">
          <cell r="C2526" t="str">
            <v>RECLICADO</v>
          </cell>
          <cell r="D2526">
            <v>1.627</v>
          </cell>
          <cell r="E2526">
            <v>13.233000000000001</v>
          </cell>
        </row>
        <row r="2527">
          <cell r="C2527" t="str">
            <v>CONCRETO_ASFÁLTICO</v>
          </cell>
          <cell r="D2527">
            <v>0.4</v>
          </cell>
          <cell r="E2527">
            <v>0.747</v>
          </cell>
        </row>
        <row r="2528">
          <cell r="C2528" t="str">
            <v>CUNETA</v>
          </cell>
          <cell r="D2528">
            <v>0.33200000000000002</v>
          </cell>
          <cell r="E2528">
            <v>0.61899999999999999</v>
          </cell>
        </row>
        <row r="2529">
          <cell r="C2529" t="str">
            <v>BASE_GRANULAR</v>
          </cell>
          <cell r="D2529">
            <v>1.333</v>
          </cell>
          <cell r="E2529">
            <v>2.4910000000000001</v>
          </cell>
        </row>
        <row r="2530">
          <cell r="C2530" t="str">
            <v>RECLICADO</v>
          </cell>
          <cell r="D2530">
            <v>1.627</v>
          </cell>
          <cell r="E2530">
            <v>3.0409999999999999</v>
          </cell>
        </row>
        <row r="2531">
          <cell r="C2531" t="str">
            <v>CONCRETO_ASFÁLTICO</v>
          </cell>
          <cell r="D2531">
            <v>0.4</v>
          </cell>
          <cell r="E2531">
            <v>3.9990000000000001</v>
          </cell>
        </row>
        <row r="2532">
          <cell r="C2532" t="str">
            <v>CUNETA</v>
          </cell>
          <cell r="D2532">
            <v>0.33200000000000002</v>
          </cell>
          <cell r="E2532">
            <v>3.3149999999999999</v>
          </cell>
        </row>
        <row r="2533">
          <cell r="C2533" t="str">
            <v>BASE_GRANULAR</v>
          </cell>
          <cell r="D2533">
            <v>1.333</v>
          </cell>
          <cell r="E2533">
            <v>13.333</v>
          </cell>
        </row>
        <row r="2534">
          <cell r="C2534" t="str">
            <v>RECLICADO</v>
          </cell>
          <cell r="D2534">
            <v>1.627</v>
          </cell>
          <cell r="E2534">
            <v>16.274000000000001</v>
          </cell>
        </row>
        <row r="2535">
          <cell r="C2535" t="str">
            <v>CONCRETO_ASFÁLTICO</v>
          </cell>
          <cell r="D2535">
            <v>0.4</v>
          </cell>
          <cell r="E2535">
            <v>2.452</v>
          </cell>
        </row>
        <row r="2536">
          <cell r="C2536" t="str">
            <v>CUNETA</v>
          </cell>
          <cell r="D2536">
            <v>0.33200000000000002</v>
          </cell>
          <cell r="E2536">
            <v>2.0329999999999999</v>
          </cell>
        </row>
        <row r="2537">
          <cell r="C2537" t="str">
            <v>BASE_GRANULAR</v>
          </cell>
          <cell r="D2537">
            <v>1.333</v>
          </cell>
          <cell r="E2537">
            <v>8.1750000000000007</v>
          </cell>
        </row>
        <row r="2538">
          <cell r="C2538" t="str">
            <v>RECLICADO</v>
          </cell>
          <cell r="D2538">
            <v>1.627</v>
          </cell>
          <cell r="E2538">
            <v>9.9779999999999998</v>
          </cell>
        </row>
        <row r="2539">
          <cell r="C2539" t="str">
            <v>CONCRETO_ASFÁLTICO</v>
          </cell>
          <cell r="D2539">
            <v>0.4</v>
          </cell>
          <cell r="E2539">
            <v>1.5469999999999999</v>
          </cell>
        </row>
        <row r="2540">
          <cell r="C2540" t="str">
            <v>CUNETA</v>
          </cell>
          <cell r="D2540">
            <v>0.33200000000000002</v>
          </cell>
          <cell r="E2540">
            <v>1.2829999999999999</v>
          </cell>
        </row>
        <row r="2541">
          <cell r="C2541" t="str">
            <v>BASE_GRANULAR</v>
          </cell>
          <cell r="D2541">
            <v>1.333</v>
          </cell>
          <cell r="E2541">
            <v>5.1580000000000004</v>
          </cell>
        </row>
        <row r="2542">
          <cell r="C2542" t="str">
            <v>RECLICADO</v>
          </cell>
          <cell r="D2542">
            <v>1.627</v>
          </cell>
          <cell r="E2542">
            <v>6.2949999999999999</v>
          </cell>
        </row>
        <row r="2543">
          <cell r="C2543" t="str">
            <v>CONCRETO_ASFÁLTICO</v>
          </cell>
          <cell r="D2543">
            <v>0.4</v>
          </cell>
          <cell r="E2543">
            <v>3.9990000000000001</v>
          </cell>
        </row>
        <row r="2544">
          <cell r="C2544" t="str">
            <v>CUNETA</v>
          </cell>
          <cell r="D2544">
            <v>0.33200000000000002</v>
          </cell>
          <cell r="E2544">
            <v>3.3149999999999999</v>
          </cell>
        </row>
        <row r="2545">
          <cell r="C2545" t="str">
            <v>BASE_GRANULAR</v>
          </cell>
          <cell r="D2545">
            <v>1.333</v>
          </cell>
          <cell r="E2545">
            <v>13.333</v>
          </cell>
        </row>
        <row r="2546">
          <cell r="C2546" t="str">
            <v>RECLICADO</v>
          </cell>
          <cell r="D2546">
            <v>1.627</v>
          </cell>
          <cell r="E2546">
            <v>16.274000000000001</v>
          </cell>
        </row>
        <row r="2547">
          <cell r="C2547" t="str">
            <v>CONCRETO_ASFÁLTICO</v>
          </cell>
          <cell r="D2547">
            <v>0.4</v>
          </cell>
          <cell r="E2547">
            <v>1.6519999999999999</v>
          </cell>
        </row>
        <row r="2548">
          <cell r="C2548" t="str">
            <v>CUNETA</v>
          </cell>
          <cell r="D2548">
            <v>0.33200000000000002</v>
          </cell>
          <cell r="E2548">
            <v>1.37</v>
          </cell>
        </row>
        <row r="2549">
          <cell r="C2549" t="str">
            <v>BASE_GRANULAR</v>
          </cell>
          <cell r="D2549">
            <v>1.333</v>
          </cell>
          <cell r="E2549">
            <v>5.5090000000000003</v>
          </cell>
        </row>
        <row r="2550">
          <cell r="C2550" t="str">
            <v>RECLICADO</v>
          </cell>
          <cell r="D2550">
            <v>1.627</v>
          </cell>
          <cell r="E2550">
            <v>6.7240000000000002</v>
          </cell>
        </row>
        <row r="2551">
          <cell r="C2551" t="str">
            <v>CONCRETO_ASFÁLTICO</v>
          </cell>
          <cell r="D2551">
            <v>0.4</v>
          </cell>
          <cell r="E2551">
            <v>2.347</v>
          </cell>
        </row>
        <row r="2552">
          <cell r="C2552" t="str">
            <v>CUNETA</v>
          </cell>
          <cell r="D2552">
            <v>0.33200000000000002</v>
          </cell>
          <cell r="E2552">
            <v>1.946</v>
          </cell>
        </row>
        <row r="2553">
          <cell r="C2553" t="str">
            <v>BASE_GRANULAR</v>
          </cell>
          <cell r="D2553">
            <v>1.333</v>
          </cell>
          <cell r="E2553">
            <v>7.8250000000000002</v>
          </cell>
        </row>
        <row r="2554">
          <cell r="C2554" t="str">
            <v>RECLICADO</v>
          </cell>
          <cell r="D2554">
            <v>1.627</v>
          </cell>
          <cell r="E2554">
            <v>9.5500000000000007</v>
          </cell>
        </row>
        <row r="2555">
          <cell r="C2555" t="str">
            <v>CONCRETO_ASFÁLTICO</v>
          </cell>
          <cell r="D2555">
            <v>0.4</v>
          </cell>
          <cell r="E2555">
            <v>3.9990000000000001</v>
          </cell>
        </row>
        <row r="2556">
          <cell r="C2556" t="str">
            <v>CUNETA</v>
          </cell>
          <cell r="D2556">
            <v>0.33200000000000002</v>
          </cell>
          <cell r="E2556">
            <v>3.3149999999999999</v>
          </cell>
        </row>
        <row r="2557">
          <cell r="C2557" t="str">
            <v>BASE_GRANULAR</v>
          </cell>
          <cell r="D2557">
            <v>1.333</v>
          </cell>
          <cell r="E2557">
            <v>13.333</v>
          </cell>
        </row>
        <row r="2558">
          <cell r="C2558" t="str">
            <v>RECLICADO</v>
          </cell>
          <cell r="D2558">
            <v>1.627</v>
          </cell>
          <cell r="E2558">
            <v>16.274000000000001</v>
          </cell>
        </row>
        <row r="2559">
          <cell r="C2559" t="str">
            <v>CONCRETO_ASFÁLTICO</v>
          </cell>
          <cell r="D2559">
            <v>0.4</v>
          </cell>
          <cell r="E2559">
            <v>3.9990000000000001</v>
          </cell>
        </row>
        <row r="2560">
          <cell r="C2560" t="str">
            <v>CUNETA</v>
          </cell>
          <cell r="D2560">
            <v>0.33200000000000002</v>
          </cell>
          <cell r="E2560">
            <v>3.3149999999999999</v>
          </cell>
        </row>
        <row r="2561">
          <cell r="C2561" t="str">
            <v>BASE_GRANULAR</v>
          </cell>
          <cell r="D2561">
            <v>1.333</v>
          </cell>
          <cell r="E2561">
            <v>13.333</v>
          </cell>
        </row>
        <row r="2562">
          <cell r="C2562" t="str">
            <v>RECLICADO</v>
          </cell>
          <cell r="D2562">
            <v>1.627</v>
          </cell>
          <cell r="E2562">
            <v>16.274000000000001</v>
          </cell>
        </row>
        <row r="2563">
          <cell r="C2563" t="str">
            <v>CONCRETO_ASFÁLTICO</v>
          </cell>
          <cell r="D2563">
            <v>0.4</v>
          </cell>
          <cell r="E2563">
            <v>3.9990000000000001</v>
          </cell>
        </row>
        <row r="2564">
          <cell r="C2564" t="str">
            <v>CUNETA</v>
          </cell>
          <cell r="D2564">
            <v>0.33200000000000002</v>
          </cell>
          <cell r="E2564">
            <v>3.3149999999999999</v>
          </cell>
        </row>
        <row r="2565">
          <cell r="C2565" t="str">
            <v>BASE_GRANULAR</v>
          </cell>
          <cell r="D2565">
            <v>1.333</v>
          </cell>
          <cell r="E2565">
            <v>13.333</v>
          </cell>
        </row>
        <row r="2566">
          <cell r="C2566" t="str">
            <v>RECLICADO</v>
          </cell>
          <cell r="D2566">
            <v>1.627</v>
          </cell>
          <cell r="E2566">
            <v>16.274000000000001</v>
          </cell>
        </row>
        <row r="2567">
          <cell r="C2567" t="str">
            <v>CONCRETO_ASFÁLTICO</v>
          </cell>
          <cell r="D2567">
            <v>0.4</v>
          </cell>
          <cell r="E2567">
            <v>3.9969999999999999</v>
          </cell>
        </row>
        <row r="2568">
          <cell r="C2568" t="str">
            <v>CUNETA</v>
          </cell>
          <cell r="D2568">
            <v>0.33200000000000002</v>
          </cell>
          <cell r="E2568">
            <v>3.3140000000000001</v>
          </cell>
        </row>
        <row r="2569">
          <cell r="C2569" t="str">
            <v>BASE_GRANULAR</v>
          </cell>
          <cell r="D2569">
            <v>1.333</v>
          </cell>
          <cell r="E2569">
            <v>13.326000000000001</v>
          </cell>
        </row>
        <row r="2570">
          <cell r="C2570" t="str">
            <v>RECLICADO</v>
          </cell>
          <cell r="D2570">
            <v>1.627</v>
          </cell>
          <cell r="E2570">
            <v>16.265000000000001</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ras de arte"/>
      <sheetName val="obras de arte (2)"/>
      <sheetName val="inventario obras"/>
      <sheetName val="Hoja3"/>
      <sheetName val="TARIF2002"/>
    </sheetNames>
    <sheetDataSet>
      <sheetData sheetId="0" refreshError="1"/>
      <sheetData sheetId="1" refreshError="1"/>
      <sheetData sheetId="2" refreshError="1"/>
      <sheetData sheetId="3">
        <row r="7">
          <cell r="B7" t="str">
            <v>BOX CULVERT EXISTENTE</v>
          </cell>
          <cell r="F7" t="str">
            <v>DEMOLER EXISTENTE</v>
          </cell>
        </row>
        <row r="8">
          <cell r="B8" t="str">
            <v>BOX CULVERT PROYECTADO</v>
          </cell>
          <cell r="F8" t="str">
            <v>MANTENER</v>
          </cell>
        </row>
        <row r="9">
          <cell r="B9" t="str">
            <v>ALCANTARILLA EXISTENTE</v>
          </cell>
          <cell r="F9" t="str">
            <v>COMPLEMENTAR</v>
          </cell>
        </row>
        <row r="10">
          <cell r="B10" t="str">
            <v>ALCANTARILLA PROYECTADA</v>
          </cell>
        </row>
        <row r="11">
          <cell r="B11" t="str">
            <v>CAJA CABEZAL PROYECTADA</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0798"/>
      <sheetName val="Análisis determinístico"/>
      <sheetName val="Modelo financiero"/>
    </sheetNames>
    <definedNames>
      <definedName name="_xlbgnm.ane7"/>
      <definedName name="_xlbgnm.ane8"/>
      <definedName name="Módulo3.anexo1"/>
      <definedName name="Módulo3.anexo10"/>
      <definedName name="Módulo3.anexo11"/>
      <definedName name="Módulo3.anexo12"/>
      <definedName name="Módulo3.anexo3"/>
      <definedName name="Módulo3.anexo4"/>
      <definedName name="Módulo3.anexo5"/>
      <definedName name="Módulo3.anexo6"/>
      <definedName name="Módulo8.anexo16"/>
      <definedName name="resu8"/>
    </definedNames>
    <sheetDataSet>
      <sheetData sheetId="0" refreshError="1"/>
      <sheetData sheetId="1" refreshError="1"/>
      <sheetData sheetId="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precios"/>
      <sheetName val="Remo. derr."/>
      <sheetName val="Limp. mec. Alcant."/>
      <sheetName val="Res-Accide-10"/>
      <sheetName val="Hoja1"/>
      <sheetName val="Equipo"/>
      <sheetName val="materiales"/>
      <sheetName val="otros"/>
    </sheetNames>
    <sheetDataSet>
      <sheetData sheetId="0">
        <row r="52">
          <cell r="H52">
            <v>46548</v>
          </cell>
        </row>
      </sheetData>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mes Renovación"/>
    </sheetNames>
    <sheetDataSet>
      <sheetData sheetId="0"/>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CCDO"/>
      <sheetName val="RRHH"/>
      <sheetName val="HrsP"/>
      <sheetName val="HSE"/>
      <sheetName val="IDO"/>
      <sheetName val="ISO"/>
      <sheetName val="AVP"/>
      <sheetName val="PENDIENTES X COBRAR"/>
      <sheetName val="BITACORA"/>
      <sheetName val="UTILI-FRENTE"/>
      <sheetName val="BALANCE"/>
    </sheetNames>
    <sheetDataSet>
      <sheetData sheetId="0" refreshError="1">
        <row r="1">
          <cell r="B1" t="str">
            <v>FECHA</v>
          </cell>
        </row>
        <row r="2">
          <cell r="B2">
            <v>39326</v>
          </cell>
        </row>
        <row r="3">
          <cell r="B3">
            <v>39327</v>
          </cell>
        </row>
        <row r="4">
          <cell r="B4">
            <v>39328</v>
          </cell>
        </row>
        <row r="5">
          <cell r="B5">
            <v>39329</v>
          </cell>
        </row>
        <row r="6">
          <cell r="B6">
            <v>39330</v>
          </cell>
        </row>
        <row r="7">
          <cell r="B7">
            <v>39330</v>
          </cell>
        </row>
        <row r="8">
          <cell r="B8">
            <v>39330</v>
          </cell>
        </row>
        <row r="9">
          <cell r="B9">
            <v>39331</v>
          </cell>
        </row>
        <row r="10">
          <cell r="B10">
            <v>39332</v>
          </cell>
        </row>
        <row r="11">
          <cell r="B11">
            <v>39333</v>
          </cell>
        </row>
        <row r="12">
          <cell r="B12">
            <v>39334</v>
          </cell>
        </row>
        <row r="13">
          <cell r="B13">
            <v>39335</v>
          </cell>
        </row>
        <row r="14">
          <cell r="B14">
            <v>39336</v>
          </cell>
        </row>
        <row r="15">
          <cell r="B15">
            <v>39337</v>
          </cell>
        </row>
        <row r="16">
          <cell r="B16">
            <v>39338</v>
          </cell>
        </row>
        <row r="17">
          <cell r="B17">
            <v>39339</v>
          </cell>
        </row>
        <row r="18">
          <cell r="B18">
            <v>39340</v>
          </cell>
        </row>
        <row r="19">
          <cell r="B19">
            <v>39341</v>
          </cell>
        </row>
        <row r="20">
          <cell r="B20">
            <v>39342</v>
          </cell>
        </row>
        <row r="21">
          <cell r="B21">
            <v>39343</v>
          </cell>
        </row>
        <row r="22">
          <cell r="B22">
            <v>39344</v>
          </cell>
        </row>
        <row r="23">
          <cell r="B23">
            <v>39345</v>
          </cell>
        </row>
        <row r="24">
          <cell r="B24">
            <v>39346</v>
          </cell>
        </row>
        <row r="25">
          <cell r="B25">
            <v>39347</v>
          </cell>
        </row>
        <row r="26">
          <cell r="B26">
            <v>39348</v>
          </cell>
        </row>
        <row r="27">
          <cell r="B27">
            <v>39349</v>
          </cell>
        </row>
        <row r="28">
          <cell r="B28">
            <v>39350</v>
          </cell>
        </row>
        <row r="29">
          <cell r="B29">
            <v>39351</v>
          </cell>
        </row>
        <row r="30">
          <cell r="B30">
            <v>39352</v>
          </cell>
        </row>
        <row r="31">
          <cell r="B31">
            <v>39353</v>
          </cell>
        </row>
        <row r="32">
          <cell r="B32">
            <v>39354</v>
          </cell>
        </row>
        <row r="33">
          <cell r="B33">
            <v>39355</v>
          </cell>
        </row>
        <row r="34">
          <cell r="B34">
            <v>39356</v>
          </cell>
        </row>
        <row r="35">
          <cell r="B35">
            <v>39358</v>
          </cell>
        </row>
        <row r="36">
          <cell r="B36">
            <v>39359</v>
          </cell>
        </row>
        <row r="37">
          <cell r="B37">
            <v>39360</v>
          </cell>
        </row>
        <row r="38">
          <cell r="B38">
            <v>39361</v>
          </cell>
        </row>
        <row r="39">
          <cell r="B39">
            <v>39362</v>
          </cell>
        </row>
        <row r="40">
          <cell r="B40">
            <v>39363</v>
          </cell>
        </row>
        <row r="41">
          <cell r="B41">
            <v>39364</v>
          </cell>
        </row>
        <row r="42">
          <cell r="B42">
            <v>39365</v>
          </cell>
        </row>
        <row r="43">
          <cell r="B43">
            <v>39366</v>
          </cell>
        </row>
        <row r="44">
          <cell r="B44">
            <v>39367</v>
          </cell>
        </row>
        <row r="45">
          <cell r="B45">
            <v>39368</v>
          </cell>
        </row>
        <row r="46">
          <cell r="B46">
            <v>39369</v>
          </cell>
        </row>
        <row r="47">
          <cell r="B47">
            <v>39370</v>
          </cell>
        </row>
        <row r="48">
          <cell r="B48">
            <v>39370</v>
          </cell>
        </row>
        <row r="49">
          <cell r="B49">
            <v>39371</v>
          </cell>
        </row>
        <row r="50">
          <cell r="B50">
            <v>39372</v>
          </cell>
        </row>
        <row r="51">
          <cell r="B51">
            <v>39373</v>
          </cell>
        </row>
        <row r="52">
          <cell r="B52">
            <v>39374</v>
          </cell>
        </row>
        <row r="53">
          <cell r="B53">
            <v>39377</v>
          </cell>
        </row>
        <row r="54">
          <cell r="B54">
            <v>39378</v>
          </cell>
        </row>
        <row r="55">
          <cell r="B55">
            <v>39380</v>
          </cell>
        </row>
        <row r="56">
          <cell r="B56">
            <v>39382</v>
          </cell>
        </row>
        <row r="57">
          <cell r="B57">
            <v>39383</v>
          </cell>
        </row>
        <row r="58">
          <cell r="B58">
            <v>39384</v>
          </cell>
        </row>
        <row r="59">
          <cell r="B59">
            <v>39384</v>
          </cell>
        </row>
        <row r="60">
          <cell r="B60">
            <v>39386</v>
          </cell>
        </row>
        <row r="61">
          <cell r="B61">
            <v>39390</v>
          </cell>
        </row>
        <row r="62">
          <cell r="B62">
            <v>39391</v>
          </cell>
        </row>
        <row r="63">
          <cell r="B63">
            <v>39348</v>
          </cell>
        </row>
        <row r="64">
          <cell r="B64">
            <v>39349</v>
          </cell>
        </row>
        <row r="65">
          <cell r="B65">
            <v>39356</v>
          </cell>
        </row>
        <row r="66">
          <cell r="B66">
            <v>39392</v>
          </cell>
        </row>
        <row r="67">
          <cell r="B67">
            <v>39393</v>
          </cell>
        </row>
        <row r="68">
          <cell r="B68">
            <v>39394</v>
          </cell>
        </row>
        <row r="69">
          <cell r="B69">
            <v>39395</v>
          </cell>
        </row>
        <row r="70">
          <cell r="B70">
            <v>39395</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422CW00"/>
    </sheetNames>
    <sheetDataSet>
      <sheetData sheetId="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CURVA"/>
      <sheetName val="PESOS %"/>
      <sheetName val="TIPO P3"/>
      <sheetName val="BASICO"/>
      <sheetName val="INF.DIARIO"/>
      <sheetName val="C-3"/>
      <sheetName val="INF.SAGA"/>
      <sheetName val="C-3 ACTAS"/>
      <sheetName val="PESOS"/>
    </sheetNames>
    <sheetDataSet>
      <sheetData sheetId="0" refreshError="1">
        <row r="33">
          <cell r="A33" t="str">
            <v xml:space="preserve">OAJA0740   </v>
          </cell>
          <cell r="B33" t="str">
            <v xml:space="preserve">ESTUCO Y PINTURA A TRES MANOS                 </v>
          </cell>
        </row>
        <row r="34">
          <cell r="A34" t="str">
            <v xml:space="preserve">OAJA0760   </v>
          </cell>
          <cell r="B34" t="str">
            <v xml:space="preserve">GRANIPLAST MUROS EXTERIORES                   </v>
          </cell>
        </row>
        <row r="35">
          <cell r="A35" t="str">
            <v xml:space="preserve">OAJA0800   </v>
          </cell>
          <cell r="B35" t="str">
            <v xml:space="preserve">SUMIN. INSTAL. TUB./ACCE  P.V.C 1" (AGUA POTA </v>
          </cell>
        </row>
        <row r="36">
          <cell r="A36" t="str">
            <v xml:space="preserve">OAJA0820   </v>
          </cell>
          <cell r="B36" t="str">
            <v xml:space="preserve">INSTALAR TUBERIA ACERO CARBON 4" (DRENAJE)    </v>
          </cell>
        </row>
        <row r="37">
          <cell r="A37" t="str">
            <v xml:space="preserve">OAJA0840   </v>
          </cell>
          <cell r="B37" t="str">
            <v xml:space="preserve">INSTALAR SIFONES ACERO CARBON 4" (DRENAJE)    </v>
          </cell>
        </row>
        <row r="38">
          <cell r="A38" t="str">
            <v xml:space="preserve">OAJA0860   </v>
          </cell>
          <cell r="B38" t="str">
            <v xml:space="preserve">INSTALAR TUBERIA ACERO CARBON  6" (DRENAJE)   </v>
          </cell>
        </row>
        <row r="39">
          <cell r="A39" t="str">
            <v xml:space="preserve">OAJA0880   </v>
          </cell>
          <cell r="B39" t="str">
            <v xml:space="preserve">INSTALAR SIFONES ACERO CARBON 6" (DRENAJE)    </v>
          </cell>
        </row>
        <row r="40">
          <cell r="A40" t="str">
            <v xml:space="preserve">OAJA00900  </v>
          </cell>
          <cell r="B40" t="str">
            <v xml:space="preserve">EXCAVAR Y REALIZAR RELLENO COMPACTADO         </v>
          </cell>
        </row>
        <row r="41">
          <cell r="A41" t="str">
            <v xml:space="preserve">OAJA00920  </v>
          </cell>
          <cell r="B41" t="str">
            <v xml:space="preserve">COLOCAR CONCRETO 3000 P.S.I (CARCAMOS Y PISOS </v>
          </cell>
        </row>
        <row r="42">
          <cell r="A42" t="str">
            <v xml:space="preserve">OAJA00940  </v>
          </cell>
          <cell r="B42" t="str">
            <v xml:space="preserve">COLOCAR CONCRETO 3000 P.S.I (CARCAMOS Y PISOS </v>
          </cell>
        </row>
        <row r="43">
          <cell r="A43" t="str">
            <v xml:space="preserve">OAJA00960  </v>
          </cell>
          <cell r="B43" t="str">
            <v xml:space="preserve">SUMINISTRAR E INSTALAR NIPLE PVC DE 4"        </v>
          </cell>
        </row>
        <row r="44">
          <cell r="A44" t="str">
            <v xml:space="preserve">OAJA00980  </v>
          </cell>
          <cell r="B44" t="str">
            <v xml:space="preserve">SUMINISTRAR E INSTALAR REJILLA METALICA DE 4" </v>
          </cell>
        </row>
        <row r="45">
          <cell r="A45" t="str">
            <v xml:space="preserve">OAJA01000  </v>
          </cell>
          <cell r="B45" t="str">
            <v xml:space="preserve">SUMINIST. E INSTALAR TUBERIA CONDUIT GALVAN.  </v>
          </cell>
        </row>
        <row r="46">
          <cell r="A46" t="str">
            <v xml:space="preserve">OAJA01020  </v>
          </cell>
          <cell r="B46" t="str">
            <v xml:space="preserve">SUMINIST. E INSTALAR TUBERIA CONDUIT GALV. 3/ </v>
          </cell>
        </row>
        <row r="47">
          <cell r="A47" t="str">
            <v xml:space="preserve">OAJA01040  </v>
          </cell>
          <cell r="B47" t="str">
            <v xml:space="preserve">SUMINIST. E INSTALAR CANAL EN C DE 4" GALV.   </v>
          </cell>
        </row>
        <row r="48">
          <cell r="A48" t="str">
            <v xml:space="preserve">OAJA01060  </v>
          </cell>
          <cell r="B48" t="str">
            <v xml:space="preserve">SUMINISTRAR E INSTALAR CABLE 2/0 AWG DESNUDO  </v>
          </cell>
        </row>
        <row r="49">
          <cell r="A49" t="str">
            <v xml:space="preserve">OAJA01080  </v>
          </cell>
          <cell r="B49" t="str">
            <v xml:space="preserve">SUMINIST. E INSTALAR BREAKER TOTAL. 3X100A TA </v>
          </cell>
        </row>
        <row r="50">
          <cell r="A50" t="str">
            <v xml:space="preserve">OAJA01100  </v>
          </cell>
          <cell r="B50" t="str">
            <v xml:space="preserve">SUMINST. E INSTALAR TUBERIA CONDUIT GALV. DE  </v>
          </cell>
        </row>
        <row r="51">
          <cell r="A51" t="str">
            <v xml:space="preserve">OAJA01120  </v>
          </cell>
          <cell r="B51" t="str">
            <v xml:space="preserve">SUMINIST. E INSTALAR CONDULETA GALV. LB CLASE </v>
          </cell>
        </row>
      </sheetData>
      <sheetData sheetId="1"/>
      <sheetData sheetId="2"/>
      <sheetData sheetId="3" refreshError="1"/>
      <sheetData sheetId="4" refreshError="1"/>
      <sheetData sheetId="5" refreshError="1"/>
      <sheetData sheetId="6" refreshError="1"/>
      <sheetData sheetId="7" refreshError="1"/>
      <sheetData sheetId="8">
        <row r="33">
          <cell r="B33" t="str">
            <v xml:space="preserve">ESPECIALIDAD  : </v>
          </cell>
        </row>
      </sheetData>
      <sheetData sheetId="9" refreshError="1"/>
      <sheetData sheetId="10" refreshError="1"/>
      <sheetData sheetId="11"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OS"/>
      <sheetName val="BASE"/>
      <sheetName val="LISTA"/>
      <sheetName val="Duitama-La Palmera"/>
      <sheetName val="CUADRO"/>
      <sheetName val="PRECIOS"/>
      <sheetName val="Análisis de precios"/>
      <sheetName val="BASEDuitama-La Palmera"/>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210.1</v>
          </cell>
          <cell r="D22">
            <v>210</v>
          </cell>
          <cell r="F22" t="str">
            <v>Excavación sin clasificar de la explanación, canales y préstamos</v>
          </cell>
          <cell r="G22" t="str">
            <v>m3</v>
          </cell>
          <cell r="H22" t="str">
            <v>No habrá pago por las excavaciones y disposición o desecho de los materiales no utilizados en las zonas de préstamo. No incluye transporte</v>
          </cell>
        </row>
        <row r="23">
          <cell r="C23">
            <v>210.2</v>
          </cell>
          <cell r="D23">
            <v>210</v>
          </cell>
          <cell r="F23" t="str">
            <v>Excavación en roca de la explanación, canales y préstamos</v>
          </cell>
          <cell r="G23" t="str">
            <v>m3</v>
          </cell>
        </row>
        <row r="24">
          <cell r="C24">
            <v>210.3</v>
          </cell>
          <cell r="D24">
            <v>210</v>
          </cell>
          <cell r="F24" t="str">
            <v>Excavación en material común  de la explanación, canales y préstamos</v>
          </cell>
          <cell r="G24" t="str">
            <v>m3</v>
          </cell>
        </row>
        <row r="25">
          <cell r="C25">
            <v>210.4</v>
          </cell>
          <cell r="D25">
            <v>210</v>
          </cell>
          <cell r="E25" t="str">
            <v>210P</v>
          </cell>
          <cell r="F25" t="str">
            <v>Limpieza de canales</v>
          </cell>
          <cell r="G25" t="str">
            <v>m3</v>
          </cell>
        </row>
        <row r="26">
          <cell r="C26">
            <v>211</v>
          </cell>
          <cell r="D26">
            <v>211</v>
          </cell>
          <cell r="F26" t="str">
            <v>Remoción de derrumbes</v>
          </cell>
          <cell r="G26" t="str">
            <v>m3</v>
          </cell>
          <cell r="H26" t="str">
            <v>No incluye el transporte a distancias mayores a 100 ml</v>
          </cell>
        </row>
        <row r="27">
          <cell r="C27">
            <v>220</v>
          </cell>
          <cell r="D27">
            <v>220</v>
          </cell>
          <cell r="F27" t="str">
            <v>Terraplenes</v>
          </cell>
          <cell r="G27" t="str">
            <v>m3</v>
          </cell>
          <cell r="H27" t="str">
            <v>No incluye el suministro de materiales y el transporte</v>
          </cell>
        </row>
        <row r="28">
          <cell r="C28">
            <v>220.1</v>
          </cell>
          <cell r="D28">
            <v>220</v>
          </cell>
          <cell r="E28" t="str">
            <v>220P</v>
          </cell>
          <cell r="F28" t="str">
            <v>Terraplenes</v>
          </cell>
          <cell r="G28" t="str">
            <v>m3</v>
          </cell>
          <cell r="H28" t="str">
            <v>Incluye el suministro y transporte de materiales</v>
          </cell>
        </row>
        <row r="29">
          <cell r="C29">
            <v>221.1</v>
          </cell>
          <cell r="D29">
            <v>221</v>
          </cell>
          <cell r="F29" t="str">
            <v>Pedraplén compacto</v>
          </cell>
          <cell r="G29" t="str">
            <v>m3</v>
          </cell>
          <cell r="H29" t="str">
            <v>No incluye la corona, el suministro de materiales y el transporte</v>
          </cell>
        </row>
        <row r="30">
          <cell r="C30">
            <v>221.2</v>
          </cell>
          <cell r="D30">
            <v>221</v>
          </cell>
          <cell r="F30" t="str">
            <v>Pedraplén suelto</v>
          </cell>
          <cell r="G30" t="str">
            <v>m3</v>
          </cell>
        </row>
        <row r="31">
          <cell r="C31">
            <v>230.1</v>
          </cell>
          <cell r="D31">
            <v>230</v>
          </cell>
          <cell r="F31" t="str">
            <v>Mejoramiento de la subrasante involucrando el suelo existente</v>
          </cell>
          <cell r="G31" t="str">
            <v>m2</v>
          </cell>
          <cell r="H31" t="str">
            <v>No incluye suministro y transporte de material adicionado y transporte de material inadecuado.</v>
          </cell>
        </row>
        <row r="32">
          <cell r="C32">
            <v>230.2</v>
          </cell>
          <cell r="D32">
            <v>230</v>
          </cell>
          <cell r="F32" t="str">
            <v>Mejoramiento de la subrasante empleando únicamente material adicionado</v>
          </cell>
          <cell r="G32" t="str">
            <v>m3</v>
          </cell>
        </row>
        <row r="33">
          <cell r="C33">
            <v>310</v>
          </cell>
          <cell r="D33">
            <v>310</v>
          </cell>
          <cell r="F33" t="str">
            <v>Conformación de la calzada existente</v>
          </cell>
          <cell r="G33" t="str">
            <v>m2</v>
          </cell>
          <cell r="H33" t="str">
            <v>No incluye suministro transporte y colocación de los materiales de afirmado y subbase.</v>
          </cell>
        </row>
        <row r="34">
          <cell r="C34">
            <v>311</v>
          </cell>
          <cell r="D34">
            <v>311</v>
          </cell>
          <cell r="F34" t="str">
            <v>Afirmado</v>
          </cell>
          <cell r="G34" t="str">
            <v>m3</v>
          </cell>
          <cell r="H34" t="str">
            <v>No incluye producto estabilizante</v>
          </cell>
        </row>
        <row r="35">
          <cell r="C35">
            <v>311.10000000000002</v>
          </cell>
          <cell r="D35">
            <v>311</v>
          </cell>
          <cell r="E35" t="str">
            <v>311P</v>
          </cell>
          <cell r="F35" t="str">
            <v>Bacheo con material de afirmado</v>
          </cell>
          <cell r="G35" t="str">
            <v>m3</v>
          </cell>
          <cell r="H35" t="str">
            <v>Varia el cálculo del volumen</v>
          </cell>
        </row>
        <row r="36">
          <cell r="C36">
            <v>311.2</v>
          </cell>
          <cell r="D36">
            <v>311</v>
          </cell>
          <cell r="E36" t="str">
            <v>311P-1</v>
          </cell>
          <cell r="F36" t="str">
            <v>Relleno con material de afirmado</v>
          </cell>
          <cell r="G36" t="str">
            <v>m3</v>
          </cell>
        </row>
        <row r="37">
          <cell r="C37">
            <v>312</v>
          </cell>
          <cell r="E37" t="str">
            <v>312P</v>
          </cell>
          <cell r="F37" t="str">
            <v>Relleno con material de afirmado para realce de cunetas</v>
          </cell>
          <cell r="G37" t="str">
            <v>m3</v>
          </cell>
        </row>
        <row r="38">
          <cell r="C38">
            <v>320.10000000000002</v>
          </cell>
          <cell r="D38">
            <v>320</v>
          </cell>
          <cell r="F38" t="str">
            <v>Subbase granular de C.B.R.&gt; 20%</v>
          </cell>
          <cell r="G38" t="str">
            <v>m3</v>
          </cell>
          <cell r="H38" t="str">
            <v>No incluye producto estabilizante</v>
          </cell>
        </row>
        <row r="39">
          <cell r="C39">
            <v>320.2</v>
          </cell>
          <cell r="D39">
            <v>320</v>
          </cell>
          <cell r="F39" t="str">
            <v>Subbase granular de C.B.R.&gt; 30%</v>
          </cell>
          <cell r="G39" t="str">
            <v>m3</v>
          </cell>
        </row>
        <row r="40">
          <cell r="C40">
            <v>320.3</v>
          </cell>
          <cell r="D40">
            <v>320</v>
          </cell>
          <cell r="F40" t="str">
            <v>Subbase granular de C.B.R.&gt; 40%</v>
          </cell>
          <cell r="G40" t="str">
            <v>m3</v>
          </cell>
        </row>
        <row r="41">
          <cell r="C41">
            <v>320.39999999999998</v>
          </cell>
          <cell r="D41">
            <v>320</v>
          </cell>
          <cell r="F41" t="str">
            <v>Subbase granular para bacheo</v>
          </cell>
          <cell r="G41" t="str">
            <v>m3</v>
          </cell>
        </row>
        <row r="42">
          <cell r="C42">
            <v>330.1</v>
          </cell>
          <cell r="D42">
            <v>330</v>
          </cell>
          <cell r="F42" t="str">
            <v>Base granular</v>
          </cell>
          <cell r="G42" t="str">
            <v>m3</v>
          </cell>
          <cell r="H42" t="str">
            <v>No incluye producto estabilizante</v>
          </cell>
        </row>
        <row r="43">
          <cell r="C43">
            <v>330.2</v>
          </cell>
          <cell r="D43">
            <v>330</v>
          </cell>
          <cell r="F43" t="str">
            <v>Base granular para bacheo</v>
          </cell>
          <cell r="G43" t="str">
            <v>m3</v>
          </cell>
        </row>
        <row r="44">
          <cell r="C44">
            <v>330.3</v>
          </cell>
          <cell r="D44">
            <v>330</v>
          </cell>
          <cell r="E44" t="str">
            <v>330P</v>
          </cell>
          <cell r="F44" t="str">
            <v>Base triturada</v>
          </cell>
          <cell r="G44" t="str">
            <v>m³</v>
          </cell>
        </row>
        <row r="45">
          <cell r="C45">
            <v>340.1</v>
          </cell>
          <cell r="D45">
            <v>340</v>
          </cell>
          <cell r="F45" t="str">
            <v>Base estabilizada con emulsión asfáltica tipo BEE-1</v>
          </cell>
          <cell r="G45" t="str">
            <v>m3</v>
          </cell>
          <cell r="H45" t="str">
            <v>No incluye la emulsión asfáltica</v>
          </cell>
        </row>
        <row r="46">
          <cell r="C46">
            <v>340.2</v>
          </cell>
          <cell r="D46">
            <v>340</v>
          </cell>
          <cell r="F46" t="str">
            <v>Base estabilizada con emulsión asfáltica tipo BEE-2</v>
          </cell>
          <cell r="G46" t="str">
            <v>m3</v>
          </cell>
        </row>
        <row r="47">
          <cell r="C47">
            <v>340.3</v>
          </cell>
          <cell r="D47">
            <v>340</v>
          </cell>
          <cell r="F47" t="str">
            <v>Base estabilizada con emulsión asfáltica tipo BEE-3</v>
          </cell>
          <cell r="G47" t="str">
            <v>m3</v>
          </cell>
        </row>
        <row r="48">
          <cell r="C48">
            <v>341.1</v>
          </cell>
          <cell r="D48">
            <v>341</v>
          </cell>
          <cell r="F48" t="str">
            <v>Base estabilizada con cemento</v>
          </cell>
          <cell r="G48" t="str">
            <v>m3</v>
          </cell>
        </row>
        <row r="49">
          <cell r="C49">
            <v>341.2</v>
          </cell>
          <cell r="D49">
            <v>341</v>
          </cell>
          <cell r="F49" t="str">
            <v>Cemento</v>
          </cell>
          <cell r="G49" t="str">
            <v>Kg</v>
          </cell>
        </row>
        <row r="50">
          <cell r="C50">
            <v>342.1</v>
          </cell>
          <cell r="D50">
            <v>342</v>
          </cell>
          <cell r="F50" t="str">
            <v>Base estabilizada con compuestos multienzimáticos orgánicos tipo BEMO-1</v>
          </cell>
          <cell r="G50" t="str">
            <v>m3</v>
          </cell>
        </row>
        <row r="51">
          <cell r="C51">
            <v>342.2</v>
          </cell>
          <cell r="D51">
            <v>342</v>
          </cell>
          <cell r="F51" t="str">
            <v>Base estabilizada con compuestos multienzimáticos orgánicos tipo BEMO-2</v>
          </cell>
          <cell r="G51" t="str">
            <v>m3</v>
          </cell>
        </row>
        <row r="52">
          <cell r="C52">
            <v>342.3</v>
          </cell>
          <cell r="D52">
            <v>342</v>
          </cell>
          <cell r="F52" t="str">
            <v>Compuesto multienzimático orgánico</v>
          </cell>
          <cell r="G52" t="str">
            <v>Cl</v>
          </cell>
        </row>
        <row r="53">
          <cell r="C53">
            <v>410</v>
          </cell>
          <cell r="D53">
            <v>410</v>
          </cell>
          <cell r="F53" t="str">
            <v>Cemento asfáltico</v>
          </cell>
          <cell r="G53" t="str">
            <v>Kg</v>
          </cell>
        </row>
        <row r="54">
          <cell r="C54">
            <v>411.1</v>
          </cell>
          <cell r="D54">
            <v>411</v>
          </cell>
          <cell r="F54" t="str">
            <v>Emulsión asfáltica de rotura media CRM</v>
          </cell>
          <cell r="G54" t="str">
            <v>Lt</v>
          </cell>
        </row>
        <row r="55">
          <cell r="C55">
            <v>411.2</v>
          </cell>
          <cell r="D55">
            <v>411</v>
          </cell>
          <cell r="F55" t="str">
            <v>Emulsión asfáltica de rotura lenta CRL-1</v>
          </cell>
          <cell r="G55" t="str">
            <v>Lt</v>
          </cell>
        </row>
        <row r="56">
          <cell r="C56">
            <v>411.3</v>
          </cell>
          <cell r="D56">
            <v>411</v>
          </cell>
          <cell r="F56" t="str">
            <v>Emulsión asfáltica de rotura lenta CRL-1h</v>
          </cell>
          <cell r="G56" t="str">
            <v>Lt</v>
          </cell>
        </row>
        <row r="57">
          <cell r="C57">
            <v>413</v>
          </cell>
          <cell r="D57">
            <v>413</v>
          </cell>
          <cell r="F57" t="str">
            <v>Excavación para reparación del pavimento existente</v>
          </cell>
          <cell r="G57" t="str">
            <v>m3</v>
          </cell>
        </row>
        <row r="58">
          <cell r="C58">
            <v>413.1</v>
          </cell>
          <cell r="D58">
            <v>413</v>
          </cell>
          <cell r="E58" t="str">
            <v>413P</v>
          </cell>
          <cell r="F58" t="str">
            <v>Excavación para reparación del pavimento existente</v>
          </cell>
          <cell r="G58" t="str">
            <v>m3</v>
          </cell>
          <cell r="H58" t="str">
            <v>Tiene en cuenta el programa PICO y PALA</v>
          </cell>
        </row>
        <row r="59">
          <cell r="C59">
            <v>420</v>
          </cell>
          <cell r="D59">
            <v>420</v>
          </cell>
          <cell r="F59" t="str">
            <v>Imprimación</v>
          </cell>
          <cell r="G59" t="str">
            <v>m2</v>
          </cell>
        </row>
        <row r="60">
          <cell r="C60">
            <v>421</v>
          </cell>
          <cell r="D60">
            <v>421</v>
          </cell>
          <cell r="F60" t="str">
            <v>Riego de liga</v>
          </cell>
          <cell r="G60" t="str">
            <v>m2</v>
          </cell>
        </row>
        <row r="61">
          <cell r="C61">
            <v>421.1</v>
          </cell>
          <cell r="D61">
            <v>421</v>
          </cell>
          <cell r="F61" t="str">
            <v>Riego de liga (cemento asfáltico)</v>
          </cell>
          <cell r="G61" t="str">
            <v>m2</v>
          </cell>
        </row>
        <row r="62">
          <cell r="C62">
            <v>421.2</v>
          </cell>
          <cell r="D62">
            <v>421</v>
          </cell>
          <cell r="F62" t="str">
            <v>Riego de liga (emulsión asfáltica)</v>
          </cell>
          <cell r="G62" t="str">
            <v>m2</v>
          </cell>
        </row>
        <row r="63">
          <cell r="C63">
            <v>430</v>
          </cell>
          <cell r="D63">
            <v>430</v>
          </cell>
          <cell r="F63" t="str">
            <v>Tratamiento superficial simple</v>
          </cell>
          <cell r="G63" t="str">
            <v>m2</v>
          </cell>
        </row>
        <row r="64">
          <cell r="C64">
            <v>431</v>
          </cell>
          <cell r="D64">
            <v>431</v>
          </cell>
          <cell r="F64" t="str">
            <v>Tratamiento superficial doble</v>
          </cell>
          <cell r="G64" t="str">
            <v>m2</v>
          </cell>
        </row>
        <row r="65">
          <cell r="C65">
            <v>432</v>
          </cell>
          <cell r="D65">
            <v>432</v>
          </cell>
          <cell r="F65" t="str">
            <v>Sello de arena - asfalto</v>
          </cell>
          <cell r="G65" t="str">
            <v>m2</v>
          </cell>
        </row>
        <row r="66">
          <cell r="C66">
            <v>433</v>
          </cell>
          <cell r="D66">
            <v>433</v>
          </cell>
          <cell r="F66" t="str">
            <v>Lechada asfáltica</v>
          </cell>
          <cell r="G66" t="str">
            <v>m2</v>
          </cell>
        </row>
        <row r="67">
          <cell r="C67">
            <v>434</v>
          </cell>
          <cell r="E67" t="str">
            <v>434P</v>
          </cell>
          <cell r="F67" t="str">
            <v>Sello de grietas</v>
          </cell>
          <cell r="G67" t="str">
            <v>ml</v>
          </cell>
        </row>
        <row r="68">
          <cell r="C68">
            <v>435</v>
          </cell>
          <cell r="E68" t="str">
            <v>435P</v>
          </cell>
          <cell r="F68" t="str">
            <v>Sello de juntas de pavimento de concreto hidráulico</v>
          </cell>
          <cell r="G68" t="str">
            <v>ml</v>
          </cell>
        </row>
        <row r="69">
          <cell r="C69">
            <v>440.1</v>
          </cell>
          <cell r="D69">
            <v>440</v>
          </cell>
          <cell r="F69" t="str">
            <v>Mezcla densa en frío tipo MDF-1</v>
          </cell>
          <cell r="G69" t="str">
            <v>m3</v>
          </cell>
          <cell r="H69" t="str">
            <v>No incluye suministro y almacenamiento del cemento asfáltico</v>
          </cell>
        </row>
        <row r="70">
          <cell r="C70">
            <v>440.2</v>
          </cell>
          <cell r="D70">
            <v>440</v>
          </cell>
          <cell r="F70" t="str">
            <v>Mezcla densa en frío tipo MDF-2</v>
          </cell>
          <cell r="G70" t="str">
            <v>m3</v>
          </cell>
        </row>
        <row r="71">
          <cell r="C71">
            <v>440.3</v>
          </cell>
          <cell r="D71">
            <v>440</v>
          </cell>
          <cell r="F71" t="str">
            <v>Mezcla densa en frío tipo MDF-3</v>
          </cell>
          <cell r="G71" t="str">
            <v>m3</v>
          </cell>
        </row>
        <row r="72">
          <cell r="C72">
            <v>440.5</v>
          </cell>
          <cell r="D72">
            <v>440</v>
          </cell>
          <cell r="F72" t="str">
            <v>Mezcla densa en frío para bacheo</v>
          </cell>
          <cell r="G72" t="str">
            <v>m3</v>
          </cell>
        </row>
        <row r="73">
          <cell r="C73">
            <v>441.1</v>
          </cell>
          <cell r="D73">
            <v>441</v>
          </cell>
          <cell r="F73" t="str">
            <v>Mezcla abierta en frío tipo MAF-1</v>
          </cell>
          <cell r="G73" t="str">
            <v>m3</v>
          </cell>
        </row>
        <row r="74">
          <cell r="C74">
            <v>441.2</v>
          </cell>
          <cell r="D74">
            <v>441</v>
          </cell>
          <cell r="F74" t="str">
            <v>Mezcla abierta en frío tipo MAF-2</v>
          </cell>
          <cell r="G74" t="str">
            <v>m3</v>
          </cell>
        </row>
        <row r="75">
          <cell r="C75">
            <v>441.3</v>
          </cell>
          <cell r="D75">
            <v>441</v>
          </cell>
          <cell r="F75" t="str">
            <v>Mezcla abierta en frío tipo MAF-3</v>
          </cell>
          <cell r="G75" t="str">
            <v>m3</v>
          </cell>
        </row>
        <row r="76">
          <cell r="C76">
            <v>441.4</v>
          </cell>
          <cell r="D76">
            <v>441</v>
          </cell>
          <cell r="F76" t="str">
            <v>Mezcla abierta en frío para bacheo</v>
          </cell>
          <cell r="G76" t="str">
            <v>m3</v>
          </cell>
        </row>
        <row r="77">
          <cell r="C77">
            <v>450.1</v>
          </cell>
          <cell r="D77">
            <v>450</v>
          </cell>
          <cell r="F77" t="str">
            <v>Mezcla densa en caliente tipo MDC-1</v>
          </cell>
          <cell r="G77" t="str">
            <v>m3</v>
          </cell>
        </row>
        <row r="78">
          <cell r="C78">
            <v>450.2</v>
          </cell>
          <cell r="D78">
            <v>450</v>
          </cell>
          <cell r="F78" t="str">
            <v>Mezcla densa en caliente tipo MDC-2</v>
          </cell>
          <cell r="G78" t="str">
            <v>m3</v>
          </cell>
        </row>
        <row r="79">
          <cell r="C79">
            <v>450.3</v>
          </cell>
          <cell r="D79">
            <v>450</v>
          </cell>
          <cell r="F79" t="str">
            <v>Mezcla densa en caliente tipo MDC-3</v>
          </cell>
          <cell r="G79" t="str">
            <v>m3</v>
          </cell>
        </row>
        <row r="80">
          <cell r="C80">
            <v>450.4</v>
          </cell>
          <cell r="D80">
            <v>450</v>
          </cell>
          <cell r="F80" t="str">
            <v>Mezcla densa en caliente para bacheo</v>
          </cell>
          <cell r="G80" t="str">
            <v>m3</v>
          </cell>
        </row>
        <row r="81">
          <cell r="C81">
            <v>450.5</v>
          </cell>
          <cell r="D81">
            <v>450</v>
          </cell>
          <cell r="E81" t="str">
            <v>450P</v>
          </cell>
          <cell r="F81" t="str">
            <v>Parcheo con mezcla densa en caliente tipo MDC-2</v>
          </cell>
          <cell r="G81" t="str">
            <v>m3</v>
          </cell>
          <cell r="H81" t="str">
            <v>Incluye cajeo, riego de liga, suministro y transporte del cemento asfáltico</v>
          </cell>
        </row>
        <row r="82">
          <cell r="C82">
            <v>450.6</v>
          </cell>
          <cell r="D82">
            <v>450</v>
          </cell>
          <cell r="E82" t="str">
            <v>450P-1</v>
          </cell>
          <cell r="F82" t="str">
            <v>Mezcla densa en caliente tipo MDC-2</v>
          </cell>
          <cell r="G82" t="str">
            <v>m3</v>
          </cell>
          <cell r="H82" t="str">
            <v>Incluye riego de liga, suministro y transporte del cemento asfáltico</v>
          </cell>
        </row>
        <row r="83">
          <cell r="C83">
            <v>450.7</v>
          </cell>
          <cell r="D83">
            <v>450</v>
          </cell>
          <cell r="E83" t="str">
            <v>450P-1</v>
          </cell>
          <cell r="F83" t="str">
            <v>Mezcla densa en caliente tipo MDC-1</v>
          </cell>
          <cell r="G83" t="str">
            <v>m3</v>
          </cell>
          <cell r="H83" t="str">
            <v>Incluye riego de liga, suministro y transporte del cemento asfáltico</v>
          </cell>
        </row>
        <row r="84">
          <cell r="C84">
            <v>450.8</v>
          </cell>
          <cell r="D84">
            <v>450</v>
          </cell>
          <cell r="E84" t="str">
            <v>450P-1</v>
          </cell>
          <cell r="F84" t="str">
            <v>Mezcla densa en caliente tipo MDC-3</v>
          </cell>
          <cell r="G84" t="str">
            <v>m3</v>
          </cell>
          <cell r="H84" t="str">
            <v>Incluye riego de liga, suministro y transporte del cemento asfáltico</v>
          </cell>
        </row>
        <row r="85">
          <cell r="C85">
            <v>450.9</v>
          </cell>
          <cell r="D85">
            <v>450</v>
          </cell>
          <cell r="E85" t="str">
            <v>450P-2</v>
          </cell>
          <cell r="F85" t="str">
            <v>Parcheo con fresado y mezcla densa en caliente tipo MDC-2</v>
          </cell>
          <cell r="G85" t="str">
            <v>m3</v>
          </cell>
          <cell r="H85" t="str">
            <v>Incluye cajeo, riego de liga, suministro y transporte del cemento asfáltico</v>
          </cell>
        </row>
        <row r="86">
          <cell r="C86">
            <v>450.11</v>
          </cell>
          <cell r="D86">
            <v>450</v>
          </cell>
          <cell r="E86" t="str">
            <v>450P-3</v>
          </cell>
          <cell r="F86" t="str">
            <v>Mezcla densa en caliente tipo MDC-1 para bacheo</v>
          </cell>
          <cell r="G86" t="str">
            <v>m3</v>
          </cell>
          <cell r="H86" t="str">
            <v>Incluye riego de liga, suministro y transporte del cemento asfáltico</v>
          </cell>
        </row>
        <row r="87">
          <cell r="C87">
            <v>450.12</v>
          </cell>
          <cell r="D87">
            <v>450</v>
          </cell>
          <cell r="E87" t="str">
            <v>450P-3</v>
          </cell>
          <cell r="F87" t="str">
            <v>Mezcla densa en caliente tipo MDC-1 para bacheo</v>
          </cell>
          <cell r="G87" t="str">
            <v>m3</v>
          </cell>
          <cell r="H87" t="str">
            <v>Incluye cajeo, riego de liga, suministro y transporte del cemento asfáltico</v>
          </cell>
        </row>
        <row r="88">
          <cell r="C88">
            <v>450.13</v>
          </cell>
          <cell r="D88">
            <v>450</v>
          </cell>
          <cell r="E88" t="str">
            <v>450P-3</v>
          </cell>
          <cell r="F88" t="str">
            <v>Mezcla densa en caliente tipo MDC-2 para bacheo</v>
          </cell>
          <cell r="G88" t="str">
            <v>m3</v>
          </cell>
          <cell r="H88" t="str">
            <v>Incluye cajeo, riego de liga, suministro y transporte del cemento asfáltico</v>
          </cell>
        </row>
        <row r="89">
          <cell r="C89">
            <v>450.14</v>
          </cell>
          <cell r="D89">
            <v>450</v>
          </cell>
          <cell r="E89" t="str">
            <v>450P-1</v>
          </cell>
          <cell r="F89" t="str">
            <v>Mezcla densa en caliente tipo MDC-1</v>
          </cell>
          <cell r="G89" t="str">
            <v>m3</v>
          </cell>
          <cell r="H89" t="str">
            <v>Incluye suministro y transporte del cemento asfáltico</v>
          </cell>
        </row>
        <row r="90">
          <cell r="C90">
            <v>450.15</v>
          </cell>
          <cell r="D90">
            <v>450</v>
          </cell>
          <cell r="E90" t="str">
            <v>450P-1</v>
          </cell>
          <cell r="F90" t="str">
            <v>Mezcla densa en caliente tipo MDC-2</v>
          </cell>
          <cell r="G90" t="str">
            <v>m3</v>
          </cell>
          <cell r="H90" t="str">
            <v>Incluye suministro y transporte del cemento asfáltico</v>
          </cell>
        </row>
        <row r="91">
          <cell r="C91">
            <v>450.16</v>
          </cell>
          <cell r="D91">
            <v>450</v>
          </cell>
          <cell r="E91" t="str">
            <v>450P</v>
          </cell>
          <cell r="F91" t="str">
            <v>Parcheo con mezcla densa en caliente tipo MDC-2</v>
          </cell>
          <cell r="G91" t="str">
            <v>m3</v>
          </cell>
          <cell r="H91" t="str">
            <v>Incluye estudios y diseños, cajeo, riego de liga, suministro y transporte del cemento asfáltico</v>
          </cell>
        </row>
        <row r="92">
          <cell r="C92">
            <v>450.17</v>
          </cell>
          <cell r="D92">
            <v>450</v>
          </cell>
          <cell r="E92" t="str">
            <v>450P-1</v>
          </cell>
          <cell r="F92" t="str">
            <v>Mezcla densa en caliente tipo MDC-2</v>
          </cell>
          <cell r="G92" t="str">
            <v>m3</v>
          </cell>
          <cell r="H92" t="str">
            <v>Incluye estudios y diseños, riego de liga, suministro y transporte del cemento asfáltico</v>
          </cell>
        </row>
        <row r="93">
          <cell r="C93">
            <v>450.18</v>
          </cell>
          <cell r="D93">
            <v>450</v>
          </cell>
          <cell r="E93" t="str">
            <v>450P</v>
          </cell>
          <cell r="F93" t="str">
            <v>Parcheo con mezcla densa en caliente tipo MDC-2</v>
          </cell>
          <cell r="G93" t="str">
            <v>m3</v>
          </cell>
          <cell r="H93" t="str">
            <v>Incluye riego de liga, suministro y transporte del cemento asfáltico</v>
          </cell>
        </row>
        <row r="94">
          <cell r="C94">
            <v>450.19</v>
          </cell>
          <cell r="D94">
            <v>450</v>
          </cell>
          <cell r="E94" t="str">
            <v>450P-3</v>
          </cell>
          <cell r="F94" t="str">
            <v>Mezcla densa en caliente tipo MDC-2 para bacheo</v>
          </cell>
          <cell r="G94" t="str">
            <v>m3</v>
          </cell>
          <cell r="H94" t="str">
            <v>Incluye riego de liga, suministro y transporte del cemento asfáltico</v>
          </cell>
        </row>
        <row r="95">
          <cell r="C95">
            <v>450.21</v>
          </cell>
          <cell r="D95">
            <v>450</v>
          </cell>
          <cell r="E95" t="str">
            <v>450P-1</v>
          </cell>
          <cell r="F95" t="str">
            <v>Mezcla densa en caliente tipo MDC-3</v>
          </cell>
          <cell r="G95" t="str">
            <v>m3</v>
          </cell>
          <cell r="H95" t="str">
            <v>Incluye estudios y diseños, riego de liga, suministro y transporte del cemento asfáltico</v>
          </cell>
        </row>
        <row r="96">
          <cell r="C96">
            <v>450.22</v>
          </cell>
          <cell r="D96">
            <v>450</v>
          </cell>
          <cell r="E96" t="str">
            <v>450P</v>
          </cell>
          <cell r="F96" t="str">
            <v>Parcheo con mezcla densa en caliente tipo MDC-3</v>
          </cell>
          <cell r="G96" t="str">
            <v>m3</v>
          </cell>
          <cell r="H96" t="str">
            <v>Incluye estudios y diseños, cajeo, riego de liga, suministro y transporte del cemento asfáltico</v>
          </cell>
        </row>
        <row r="97">
          <cell r="C97">
            <v>450.23</v>
          </cell>
          <cell r="D97">
            <v>450</v>
          </cell>
          <cell r="E97" t="str">
            <v>450P-1</v>
          </cell>
          <cell r="F97" t="str">
            <v>Mezcla densa en caliente tipo MDC-1</v>
          </cell>
          <cell r="G97" t="str">
            <v>m3</v>
          </cell>
          <cell r="H97" t="str">
            <v>Incluye estudios y diseños y suministro y transporte del cemento asfáltico</v>
          </cell>
        </row>
        <row r="98">
          <cell r="C98">
            <v>450.24</v>
          </cell>
          <cell r="D98">
            <v>450</v>
          </cell>
          <cell r="E98" t="str">
            <v>450P-1</v>
          </cell>
          <cell r="F98" t="str">
            <v>Mezcla densa en caliente tipo MDC-2</v>
          </cell>
          <cell r="G98" t="str">
            <v>m3</v>
          </cell>
          <cell r="H98" t="str">
            <v>Incluye estudios y diseños y suministro y transporte del cemento asfáltico</v>
          </cell>
        </row>
        <row r="99">
          <cell r="C99">
            <v>450.25</v>
          </cell>
          <cell r="D99">
            <v>450</v>
          </cell>
          <cell r="E99" t="str">
            <v>450P</v>
          </cell>
          <cell r="F99" t="str">
            <v>Parcheo con mezcla densa en caliente tipo MDC-2</v>
          </cell>
          <cell r="G99" t="str">
            <v>m3</v>
          </cell>
          <cell r="H99" t="str">
            <v>Incluye estudios y diseños, riego de liga, suministro y transporte del cemento asfáltico</v>
          </cell>
        </row>
        <row r="100">
          <cell r="C100">
            <v>450.26</v>
          </cell>
          <cell r="D100">
            <v>450</v>
          </cell>
          <cell r="E100" t="str">
            <v>450P-3</v>
          </cell>
          <cell r="F100" t="str">
            <v>Mezcla densa en caliente tipo MDC-2 para bacheo</v>
          </cell>
          <cell r="G100" t="str">
            <v>m3</v>
          </cell>
          <cell r="H100" t="str">
            <v>Incluye estudios y diseños, suministro y transporte del cemento asfáltico</v>
          </cell>
        </row>
        <row r="101">
          <cell r="C101">
            <v>451.1</v>
          </cell>
          <cell r="D101">
            <v>451</v>
          </cell>
          <cell r="F101" t="str">
            <v>Mezcla abierta en caliente tipo MAC-1</v>
          </cell>
          <cell r="G101" t="str">
            <v>m3</v>
          </cell>
        </row>
        <row r="102">
          <cell r="C102">
            <v>451.2</v>
          </cell>
          <cell r="D102">
            <v>451</v>
          </cell>
          <cell r="F102" t="str">
            <v>Mezcla abierta en caliente tipo MAC-2</v>
          </cell>
          <cell r="G102" t="str">
            <v>m3</v>
          </cell>
        </row>
        <row r="103">
          <cell r="C103">
            <v>451.3</v>
          </cell>
          <cell r="D103">
            <v>451</v>
          </cell>
          <cell r="F103" t="str">
            <v>Mezcla abierta en caliente tipo MAC-3</v>
          </cell>
          <cell r="G103" t="str">
            <v>m3</v>
          </cell>
        </row>
        <row r="104">
          <cell r="C104">
            <v>451.4</v>
          </cell>
          <cell r="D104">
            <v>451</v>
          </cell>
          <cell r="E104" t="str">
            <v>451P</v>
          </cell>
          <cell r="F104" t="str">
            <v>Mezcla abierta en caliente tipo MAC-3</v>
          </cell>
          <cell r="G104" t="str">
            <v>m3</v>
          </cell>
          <cell r="H104" t="str">
            <v>Incluye suministro y transporte del cemento asfáltico</v>
          </cell>
        </row>
        <row r="105">
          <cell r="C105">
            <v>460</v>
          </cell>
          <cell r="D105">
            <v>460</v>
          </cell>
          <cell r="F105" t="str">
            <v>Fresado de pavimento asfáltico</v>
          </cell>
          <cell r="G105" t="str">
            <v>m2</v>
          </cell>
        </row>
        <row r="106">
          <cell r="C106">
            <v>460.1</v>
          </cell>
          <cell r="D106">
            <v>460</v>
          </cell>
          <cell r="E106" t="str">
            <v>460P</v>
          </cell>
          <cell r="F106" t="str">
            <v>Fresado de pavimento asfáltico</v>
          </cell>
          <cell r="G106" t="str">
            <v>m³</v>
          </cell>
          <cell r="H106" t="str">
            <v>La unidad de medida es el metro cúbico</v>
          </cell>
        </row>
        <row r="107">
          <cell r="C107">
            <v>461</v>
          </cell>
          <cell r="D107">
            <v>461</v>
          </cell>
          <cell r="F107" t="str">
            <v>Pavimento asfáltico reciclado en frío</v>
          </cell>
          <cell r="G107" t="str">
            <v>m3</v>
          </cell>
          <cell r="H107" t="str">
            <v>No incluye suministro y almacenamiento del cemento asfáltico o la emulsión.</v>
          </cell>
        </row>
        <row r="108">
          <cell r="C108">
            <v>461.1</v>
          </cell>
          <cell r="D108">
            <v>461</v>
          </cell>
          <cell r="E108" t="str">
            <v>461P</v>
          </cell>
          <cell r="F108" t="str">
            <v>Pavimento asfáltico reciclado en frío</v>
          </cell>
          <cell r="G108" t="str">
            <v>m3</v>
          </cell>
          <cell r="H108" t="str">
            <v>Incluye el cemento asfáltico o la emulsión asfáltica</v>
          </cell>
        </row>
        <row r="109">
          <cell r="C109">
            <v>461.2</v>
          </cell>
          <cell r="D109">
            <v>461</v>
          </cell>
          <cell r="E109" t="str">
            <v>461P-1</v>
          </cell>
          <cell r="F109" t="str">
            <v>Pavimento asfáltico reciclado en frío</v>
          </cell>
          <cell r="G109" t="str">
            <v>m3</v>
          </cell>
          <cell r="H109" t="str">
            <v>Incluye estudios y diseños</v>
          </cell>
        </row>
        <row r="110">
          <cell r="C110">
            <v>461.3</v>
          </cell>
          <cell r="D110">
            <v>461</v>
          </cell>
          <cell r="E110" t="str">
            <v>461P-1</v>
          </cell>
          <cell r="F110" t="str">
            <v>Pavimento asfáltico reciclado en frío</v>
          </cell>
          <cell r="G110" t="str">
            <v>m3</v>
          </cell>
          <cell r="H110" t="str">
            <v>Incluye estudios y diseños y el cemento asfáltico o la emulsión.</v>
          </cell>
        </row>
        <row r="111">
          <cell r="C111">
            <v>462.1</v>
          </cell>
          <cell r="D111">
            <v>462</v>
          </cell>
          <cell r="F111" t="str">
            <v>Pavimento asfáltico reciclado en caliente tipo MDC-1</v>
          </cell>
          <cell r="G111" t="str">
            <v>m3</v>
          </cell>
          <cell r="H111" t="str">
            <v>No incluye suministro y almacenamiento del cemento asfáltico o la emulsión. Tampoco el agente rejuvenecedor</v>
          </cell>
        </row>
        <row r="112">
          <cell r="C112">
            <v>462.2</v>
          </cell>
          <cell r="D112">
            <v>462</v>
          </cell>
          <cell r="F112" t="str">
            <v>Pavimento asfáltico reciclado en caliente tipo MDC-2</v>
          </cell>
          <cell r="G112" t="str">
            <v>m3</v>
          </cell>
        </row>
        <row r="113">
          <cell r="C113">
            <v>462.3</v>
          </cell>
          <cell r="D113">
            <v>462</v>
          </cell>
          <cell r="F113" t="str">
            <v>Pavimento asfáltico reciclado en caliente tipo MDC-3</v>
          </cell>
          <cell r="G113" t="str">
            <v>m3</v>
          </cell>
        </row>
        <row r="114">
          <cell r="C114">
            <v>462.4</v>
          </cell>
          <cell r="D114">
            <v>462</v>
          </cell>
          <cell r="F114" t="str">
            <v>Pavimento asfáltico reciclado en caliente para bacheo</v>
          </cell>
          <cell r="G114" t="str">
            <v>m3</v>
          </cell>
        </row>
        <row r="115">
          <cell r="C115">
            <v>470</v>
          </cell>
          <cell r="E115" t="str">
            <v>470P</v>
          </cell>
          <cell r="F115" t="str">
            <v>Asfalto Natural (Asfaltita)</v>
          </cell>
          <cell r="G115" t="str">
            <v>m3</v>
          </cell>
        </row>
        <row r="116">
          <cell r="C116">
            <v>500</v>
          </cell>
          <cell r="D116">
            <v>500</v>
          </cell>
          <cell r="F116" t="str">
            <v>Pavimento de concreto hidráulico</v>
          </cell>
          <cell r="G116" t="str">
            <v>m3</v>
          </cell>
          <cell r="H116" t="str">
            <v>No incluye la preparación de la superficie existente</v>
          </cell>
        </row>
        <row r="117">
          <cell r="C117">
            <v>501</v>
          </cell>
          <cell r="E117" t="str">
            <v>501P</v>
          </cell>
          <cell r="F117" t="str">
            <v>Corte en losas de pavimento rígido</v>
          </cell>
          <cell r="G117" t="str">
            <v>ml</v>
          </cell>
        </row>
        <row r="118">
          <cell r="C118">
            <v>510</v>
          </cell>
          <cell r="D118">
            <v>510</v>
          </cell>
          <cell r="F118" t="str">
            <v>Pavimento de adoquines de concreto</v>
          </cell>
          <cell r="G118" t="str">
            <v>m2</v>
          </cell>
          <cell r="H118" t="str">
            <v>No incluye la preparación de la superficie existente. Tampoco las obras de confinamiento del pavimento.</v>
          </cell>
        </row>
        <row r="119">
          <cell r="C119">
            <v>510.1</v>
          </cell>
          <cell r="D119">
            <v>510</v>
          </cell>
          <cell r="E119" t="str">
            <v>510P</v>
          </cell>
          <cell r="F119" t="str">
            <v>Andenes en adoquín peatonal</v>
          </cell>
          <cell r="G119" t="str">
            <v>m2</v>
          </cell>
        </row>
        <row r="120">
          <cell r="C120">
            <v>510.2</v>
          </cell>
          <cell r="D120">
            <v>510</v>
          </cell>
          <cell r="E120" t="str">
            <v>510P</v>
          </cell>
          <cell r="F120" t="str">
            <v>Andenes en adoquín estructural vehicular Tipo 1</v>
          </cell>
          <cell r="G120" t="str">
            <v>m2</v>
          </cell>
        </row>
        <row r="121">
          <cell r="C121">
            <v>510.3</v>
          </cell>
          <cell r="D121">
            <v>510</v>
          </cell>
          <cell r="E121" t="str">
            <v>510P</v>
          </cell>
          <cell r="F121" t="str">
            <v>Andenes en adoquín estructural vehicular Tipo 2</v>
          </cell>
          <cell r="G121" t="str">
            <v>m2</v>
          </cell>
        </row>
        <row r="122">
          <cell r="C122">
            <v>600.1</v>
          </cell>
          <cell r="D122">
            <v>600</v>
          </cell>
          <cell r="F122" t="str">
            <v>Excavaciones varias sin clasificar</v>
          </cell>
          <cell r="G122" t="str">
            <v>m3</v>
          </cell>
        </row>
        <row r="123">
          <cell r="C123">
            <v>600.20000000000005</v>
          </cell>
          <cell r="D123">
            <v>600</v>
          </cell>
          <cell r="F123" t="str">
            <v>Excavaciones varias en roca en seco</v>
          </cell>
          <cell r="G123" t="str">
            <v>m3</v>
          </cell>
        </row>
        <row r="124">
          <cell r="C124">
            <v>600.29999999999995</v>
          </cell>
          <cell r="D124">
            <v>600</v>
          </cell>
          <cell r="F124" t="str">
            <v>Excavaciones varias en roca bajo agua</v>
          </cell>
          <cell r="G124" t="str">
            <v>m3</v>
          </cell>
        </row>
        <row r="125">
          <cell r="C125">
            <v>600.4</v>
          </cell>
          <cell r="D125">
            <v>600</v>
          </cell>
          <cell r="F125" t="str">
            <v>Excavaciones varias en material común en seco</v>
          </cell>
          <cell r="G125" t="str">
            <v>m3</v>
          </cell>
        </row>
        <row r="126">
          <cell r="C126">
            <v>600.5</v>
          </cell>
          <cell r="D126">
            <v>600</v>
          </cell>
          <cell r="F126" t="str">
            <v>Excavaciones varias en material común bajo agua</v>
          </cell>
          <cell r="G126" t="str">
            <v>m3</v>
          </cell>
        </row>
        <row r="127">
          <cell r="C127">
            <v>600.6</v>
          </cell>
          <cell r="D127">
            <v>600</v>
          </cell>
          <cell r="E127" t="str">
            <v>600P</v>
          </cell>
          <cell r="F127" t="str">
            <v>Excavaciones varias sin clasificar</v>
          </cell>
          <cell r="G127" t="str">
            <v>m3</v>
          </cell>
          <cell r="H127" t="str">
            <v>Tiene en cuenta el programa PICO y PALA</v>
          </cell>
        </row>
        <row r="128">
          <cell r="C128">
            <v>600.70000000000005</v>
          </cell>
          <cell r="D128">
            <v>600</v>
          </cell>
          <cell r="E128" t="str">
            <v>600P</v>
          </cell>
          <cell r="F128" t="str">
            <v>Excavaciones varias en material común en seco</v>
          </cell>
          <cell r="G128" t="str">
            <v>m3</v>
          </cell>
          <cell r="H128" t="str">
            <v>Tiene en cuenta el programa PICO y PALA</v>
          </cell>
        </row>
        <row r="129">
          <cell r="C129">
            <v>600.79999999999995</v>
          </cell>
          <cell r="D129">
            <v>600</v>
          </cell>
          <cell r="E129" t="str">
            <v>600P</v>
          </cell>
          <cell r="F129" t="str">
            <v>Excavaciones varias en material común bajo agua</v>
          </cell>
          <cell r="G129" t="str">
            <v>m3</v>
          </cell>
          <cell r="H129" t="str">
            <v>Tiene en cuenta el programa PICO y PALA</v>
          </cell>
        </row>
        <row r="130">
          <cell r="C130">
            <v>600.9</v>
          </cell>
          <cell r="D130">
            <v>600</v>
          </cell>
          <cell r="E130" t="str">
            <v>600P</v>
          </cell>
          <cell r="F130" t="str">
            <v>Excavaciones varias en roca bajo agua</v>
          </cell>
          <cell r="G130" t="str">
            <v>m³</v>
          </cell>
          <cell r="H130" t="str">
            <v>Tiene en cuenta el programa PICO y PALA</v>
          </cell>
        </row>
        <row r="131">
          <cell r="C131">
            <v>601.1</v>
          </cell>
          <cell r="D131">
            <v>601</v>
          </cell>
          <cell r="F131" t="str">
            <v>Excavaciones varias en roca en seco</v>
          </cell>
          <cell r="G131" t="str">
            <v>m3</v>
          </cell>
        </row>
        <row r="132">
          <cell r="C132">
            <v>601.20000000000005</v>
          </cell>
          <cell r="D132">
            <v>601</v>
          </cell>
          <cell r="F132" t="str">
            <v>Excavaciones varias en roca bajo agua</v>
          </cell>
          <cell r="G132" t="str">
            <v>m3</v>
          </cell>
        </row>
        <row r="133">
          <cell r="C133">
            <v>601.29999999999995</v>
          </cell>
          <cell r="D133">
            <v>601</v>
          </cell>
          <cell r="F133" t="str">
            <v>Excavaciones varias en material común en seco</v>
          </cell>
          <cell r="G133" t="str">
            <v>m3</v>
          </cell>
        </row>
        <row r="134">
          <cell r="C134">
            <v>601.4</v>
          </cell>
          <cell r="D134">
            <v>601</v>
          </cell>
          <cell r="F134" t="str">
            <v>Excavaciones varias en material común bajo agua</v>
          </cell>
          <cell r="G134" t="str">
            <v>m3</v>
          </cell>
        </row>
        <row r="135">
          <cell r="C135">
            <v>610.1</v>
          </cell>
          <cell r="D135">
            <v>610</v>
          </cell>
          <cell r="F135" t="str">
            <v>Rellenos para estructuras</v>
          </cell>
          <cell r="G135" t="str">
            <v>m3</v>
          </cell>
          <cell r="H135" t="str">
            <v>No incluye la preparación de la superficie sobre la que irá el relleno.</v>
          </cell>
        </row>
        <row r="136">
          <cell r="C136">
            <v>610.20000000000005</v>
          </cell>
          <cell r="D136">
            <v>610</v>
          </cell>
          <cell r="F136" t="str">
            <v>Material filtrante</v>
          </cell>
          <cell r="G136" t="str">
            <v>m3</v>
          </cell>
        </row>
        <row r="137">
          <cell r="C137">
            <v>612</v>
          </cell>
          <cell r="E137" t="str">
            <v>612P</v>
          </cell>
          <cell r="F137" t="str">
            <v>Geobloques</v>
          </cell>
          <cell r="G137" t="str">
            <v>m3</v>
          </cell>
        </row>
        <row r="138">
          <cell r="C138">
            <v>620.1</v>
          </cell>
          <cell r="D138">
            <v>620</v>
          </cell>
          <cell r="F138" t="str">
            <v>Pilotes prefabricados de concreto</v>
          </cell>
          <cell r="G138" t="str">
            <v>ml</v>
          </cell>
        </row>
        <row r="139">
          <cell r="C139">
            <v>620.20000000000005</v>
          </cell>
          <cell r="D139">
            <v>620</v>
          </cell>
          <cell r="F139" t="str">
            <v>Extensión de pilotes</v>
          </cell>
          <cell r="G139" t="str">
            <v>ml</v>
          </cell>
        </row>
        <row r="140">
          <cell r="C140">
            <v>620.29999999999995</v>
          </cell>
          <cell r="D140">
            <v>620</v>
          </cell>
          <cell r="F140" t="str">
            <v>Prueba de carga</v>
          </cell>
          <cell r="G140" t="str">
            <v>Un</v>
          </cell>
        </row>
        <row r="141">
          <cell r="C141">
            <v>621.1</v>
          </cell>
          <cell r="D141">
            <v>621</v>
          </cell>
          <cell r="F141" t="str">
            <v>Pilote de concreto fundido in-situ de diámetro____</v>
          </cell>
          <cell r="G141" t="str">
            <v>ml</v>
          </cell>
        </row>
        <row r="142">
          <cell r="C142">
            <v>621.20000000000005</v>
          </cell>
          <cell r="D142">
            <v>621</v>
          </cell>
          <cell r="F142" t="str">
            <v>Base acampanada</v>
          </cell>
          <cell r="G142" t="str">
            <v>m3</v>
          </cell>
        </row>
        <row r="143">
          <cell r="C143">
            <v>621.29999999999995</v>
          </cell>
          <cell r="D143">
            <v>621</v>
          </cell>
          <cell r="F143" t="str">
            <v>Pilote de prueba de diámetro ____</v>
          </cell>
          <cell r="G143" t="str">
            <v>ml</v>
          </cell>
        </row>
        <row r="144">
          <cell r="C144">
            <v>621.4</v>
          </cell>
          <cell r="D144">
            <v>621</v>
          </cell>
          <cell r="F144" t="str">
            <v>Base acampanada de prueba</v>
          </cell>
          <cell r="G144" t="str">
            <v>m3</v>
          </cell>
        </row>
        <row r="145">
          <cell r="C145">
            <v>621.5</v>
          </cell>
          <cell r="D145">
            <v>621</v>
          </cell>
          <cell r="F145" t="str">
            <v>Camisa permanente de diámetro exterior ____</v>
          </cell>
          <cell r="G145" t="str">
            <v>ml</v>
          </cell>
        </row>
        <row r="146">
          <cell r="C146">
            <v>621.6</v>
          </cell>
          <cell r="D146">
            <v>621</v>
          </cell>
          <cell r="F146" t="str">
            <v>Prueba de carga</v>
          </cell>
          <cell r="G146" t="str">
            <v>Un</v>
          </cell>
        </row>
        <row r="147">
          <cell r="C147">
            <v>622.1</v>
          </cell>
          <cell r="D147">
            <v>622</v>
          </cell>
          <cell r="F147" t="str">
            <v>Tablestacado de madera</v>
          </cell>
          <cell r="G147" t="str">
            <v>m2</v>
          </cell>
        </row>
        <row r="148">
          <cell r="C148">
            <v>622.20000000000005</v>
          </cell>
          <cell r="D148">
            <v>622</v>
          </cell>
          <cell r="F148" t="str">
            <v>Tablestacado metálico</v>
          </cell>
          <cell r="G148" t="str">
            <v>m2</v>
          </cell>
        </row>
        <row r="149">
          <cell r="C149">
            <v>622.29999999999995</v>
          </cell>
          <cell r="D149">
            <v>622</v>
          </cell>
          <cell r="F149" t="str">
            <v>Tablestacado de concreto reforzado</v>
          </cell>
          <cell r="G149" t="str">
            <v>m2</v>
          </cell>
        </row>
        <row r="150">
          <cell r="C150">
            <v>622.4</v>
          </cell>
          <cell r="D150">
            <v>622</v>
          </cell>
          <cell r="F150" t="str">
            <v>Tablestacado de concreto preesforzado</v>
          </cell>
          <cell r="G150" t="str">
            <v>m2</v>
          </cell>
        </row>
        <row r="151">
          <cell r="C151">
            <v>622.5</v>
          </cell>
          <cell r="D151">
            <v>622</v>
          </cell>
          <cell r="F151" t="str">
            <v>Corte del extremo superior del elemento</v>
          </cell>
          <cell r="G151" t="str">
            <v>ml</v>
          </cell>
        </row>
        <row r="152">
          <cell r="C152">
            <v>622.6</v>
          </cell>
          <cell r="D152">
            <v>622</v>
          </cell>
          <cell r="E152" t="str">
            <v>622P</v>
          </cell>
          <cell r="F152" t="str">
            <v>Tablestacado metálico</v>
          </cell>
          <cell r="G152" t="str">
            <v>ml</v>
          </cell>
          <cell r="H152" t="str">
            <v>La unidad de medida es el metro lineal</v>
          </cell>
        </row>
        <row r="153">
          <cell r="C153">
            <v>623.1</v>
          </cell>
          <cell r="E153" t="str">
            <v>623P</v>
          </cell>
          <cell r="F153" t="str">
            <v>Suministro e hincamiento de rieles</v>
          </cell>
          <cell r="G153" t="str">
            <v>ml</v>
          </cell>
        </row>
        <row r="154">
          <cell r="C154">
            <v>623.20000000000005</v>
          </cell>
          <cell r="E154" t="str">
            <v>623P</v>
          </cell>
          <cell r="F154" t="str">
            <v>Suministro e instalación de rieles</v>
          </cell>
          <cell r="G154" t="str">
            <v>ml</v>
          </cell>
        </row>
        <row r="155">
          <cell r="C155">
            <v>630.1</v>
          </cell>
          <cell r="D155">
            <v>630</v>
          </cell>
          <cell r="F155" t="str">
            <v>Concreto Clase A</v>
          </cell>
          <cell r="G155" t="str">
            <v>m3</v>
          </cell>
        </row>
        <row r="156">
          <cell r="C156">
            <v>630.20000000000005</v>
          </cell>
          <cell r="D156">
            <v>630</v>
          </cell>
          <cell r="F156" t="str">
            <v>Concreto Clase B</v>
          </cell>
          <cell r="G156" t="str">
            <v>m3</v>
          </cell>
        </row>
        <row r="157">
          <cell r="C157">
            <v>630.29999999999995</v>
          </cell>
          <cell r="D157">
            <v>630</v>
          </cell>
          <cell r="F157" t="str">
            <v>Concreto Clase C</v>
          </cell>
          <cell r="G157" t="str">
            <v>m3</v>
          </cell>
        </row>
        <row r="158">
          <cell r="C158">
            <v>630.4</v>
          </cell>
          <cell r="D158">
            <v>630</v>
          </cell>
          <cell r="F158" t="str">
            <v>Concreto Clase D</v>
          </cell>
          <cell r="G158" t="str">
            <v>m3</v>
          </cell>
        </row>
        <row r="159">
          <cell r="C159">
            <v>630.5</v>
          </cell>
          <cell r="D159">
            <v>630</v>
          </cell>
          <cell r="F159" t="str">
            <v>Concreto Clase E</v>
          </cell>
          <cell r="G159" t="str">
            <v>m3</v>
          </cell>
        </row>
        <row r="160">
          <cell r="C160">
            <v>630.6</v>
          </cell>
          <cell r="D160">
            <v>630</v>
          </cell>
          <cell r="F160" t="str">
            <v>Concreto Clase F</v>
          </cell>
          <cell r="G160" t="str">
            <v>m3</v>
          </cell>
        </row>
        <row r="161">
          <cell r="C161">
            <v>630.70000000000005</v>
          </cell>
          <cell r="D161">
            <v>630</v>
          </cell>
          <cell r="F161" t="str">
            <v>Concreto Clase G</v>
          </cell>
          <cell r="G161" t="str">
            <v>m3</v>
          </cell>
        </row>
        <row r="162">
          <cell r="C162">
            <v>630.79999999999995</v>
          </cell>
          <cell r="D162">
            <v>630</v>
          </cell>
          <cell r="E162" t="str">
            <v>630P</v>
          </cell>
          <cell r="F162" t="str">
            <v>Concreto Clase A con aditivo</v>
          </cell>
          <cell r="G162" t="str">
            <v>m3</v>
          </cell>
        </row>
        <row r="163">
          <cell r="C163">
            <v>630.9</v>
          </cell>
          <cell r="D163">
            <v>630</v>
          </cell>
          <cell r="E163" t="str">
            <v>630P</v>
          </cell>
          <cell r="F163" t="str">
            <v>Concreto Clase D con aditivo</v>
          </cell>
          <cell r="G163" t="str">
            <v>m3</v>
          </cell>
        </row>
        <row r="164">
          <cell r="C164">
            <v>630.1</v>
          </cell>
          <cell r="D164">
            <v>630</v>
          </cell>
          <cell r="E164" t="str">
            <v>630P-1</v>
          </cell>
          <cell r="F164" t="str">
            <v>Realce de cabezotes de alcantarillas</v>
          </cell>
          <cell r="G164" t="str">
            <v>m3</v>
          </cell>
        </row>
        <row r="165">
          <cell r="C165">
            <v>630.11</v>
          </cell>
          <cell r="D165">
            <v>630</v>
          </cell>
          <cell r="E165" t="str">
            <v>630P-2</v>
          </cell>
          <cell r="F165" t="str">
            <v>Realce de bordillo de cunetas</v>
          </cell>
          <cell r="G165" t="str">
            <v>m3</v>
          </cell>
        </row>
        <row r="166">
          <cell r="C166">
            <v>630.12</v>
          </cell>
          <cell r="D166">
            <v>630</v>
          </cell>
          <cell r="E166" t="str">
            <v>630P-3</v>
          </cell>
          <cell r="F166" t="str">
            <v>Concreto Clase G para cimientos</v>
          </cell>
          <cell r="G166" t="str">
            <v>m3</v>
          </cell>
        </row>
        <row r="167">
          <cell r="C167">
            <v>630.13</v>
          </cell>
          <cell r="D167">
            <v>630</v>
          </cell>
          <cell r="E167" t="str">
            <v>630P-3</v>
          </cell>
          <cell r="F167" t="str">
            <v>Concreto Clase G para elevaciones</v>
          </cell>
          <cell r="G167" t="str">
            <v>m3</v>
          </cell>
        </row>
        <row r="168">
          <cell r="C168">
            <v>630.14</v>
          </cell>
          <cell r="D168">
            <v>630</v>
          </cell>
          <cell r="E168" t="str">
            <v>630P-4</v>
          </cell>
          <cell r="F168" t="str">
            <v>Recubrimiento con malla y mortero 1:4, e=5cm</v>
          </cell>
          <cell r="G168" t="str">
            <v>m2</v>
          </cell>
        </row>
        <row r="169">
          <cell r="C169">
            <v>632</v>
          </cell>
          <cell r="D169">
            <v>632</v>
          </cell>
          <cell r="F169" t="str">
            <v>Baranda de concreto</v>
          </cell>
          <cell r="G169" t="str">
            <v>ml</v>
          </cell>
          <cell r="H169" t="str">
            <v>No incluye el acero de refuerzo</v>
          </cell>
        </row>
        <row r="170">
          <cell r="C170">
            <v>632.1</v>
          </cell>
          <cell r="E170" t="str">
            <v>632P</v>
          </cell>
          <cell r="F170" t="str">
            <v>Baranda metálica tubular</v>
          </cell>
          <cell r="G170" t="str">
            <v>ml</v>
          </cell>
        </row>
        <row r="171">
          <cell r="C171">
            <v>640.1</v>
          </cell>
          <cell r="D171">
            <v>640</v>
          </cell>
          <cell r="F171" t="str">
            <v>Acero de refuerzo Grado 37</v>
          </cell>
          <cell r="G171" t="str">
            <v>Kg</v>
          </cell>
        </row>
        <row r="172">
          <cell r="C172">
            <v>640.20000000000005</v>
          </cell>
          <cell r="D172">
            <v>640</v>
          </cell>
          <cell r="F172" t="str">
            <v>Acero de refuerzo Grado 40</v>
          </cell>
          <cell r="G172" t="str">
            <v>Kg</v>
          </cell>
        </row>
        <row r="173">
          <cell r="C173">
            <v>640.29999999999995</v>
          </cell>
          <cell r="D173">
            <v>640</v>
          </cell>
          <cell r="F173" t="str">
            <v>Acero de refuerzo Grado 60</v>
          </cell>
          <cell r="G173" t="str">
            <v>Kg</v>
          </cell>
        </row>
        <row r="174">
          <cell r="C174">
            <v>641</v>
          </cell>
          <cell r="D174">
            <v>641</v>
          </cell>
          <cell r="F174" t="str">
            <v>Acero de preesfuerzo</v>
          </cell>
          <cell r="G174" t="str">
            <v>t-m</v>
          </cell>
        </row>
        <row r="175">
          <cell r="C175">
            <v>642.1</v>
          </cell>
          <cell r="D175">
            <v>642</v>
          </cell>
          <cell r="F175" t="str">
            <v>Apoyo elastomérico</v>
          </cell>
          <cell r="G175" t="str">
            <v>Un</v>
          </cell>
        </row>
        <row r="176">
          <cell r="C176">
            <v>642.20000000000005</v>
          </cell>
          <cell r="D176">
            <v>642</v>
          </cell>
          <cell r="F176" t="str">
            <v>Sello para juntas de puentes</v>
          </cell>
          <cell r="G176" t="str">
            <v>ml</v>
          </cell>
        </row>
        <row r="177">
          <cell r="C177">
            <v>643</v>
          </cell>
          <cell r="E177" t="str">
            <v>643P</v>
          </cell>
          <cell r="F177" t="str">
            <v>Suministro e instalación de juntas de dilatación</v>
          </cell>
          <cell r="G177" t="str">
            <v>ml</v>
          </cell>
        </row>
        <row r="178">
          <cell r="C178">
            <v>644</v>
          </cell>
          <cell r="E178" t="str">
            <v>644P</v>
          </cell>
          <cell r="F178" t="str">
            <v>Suministro e instalación de sellos para juntas de puentes</v>
          </cell>
          <cell r="G178" t="str">
            <v>ml</v>
          </cell>
        </row>
        <row r="179">
          <cell r="C179">
            <v>645</v>
          </cell>
          <cell r="E179" t="str">
            <v>645P</v>
          </cell>
          <cell r="F179" t="str">
            <v>Rejilla en varilla (2.0m x 2.52 m), D=1".</v>
          </cell>
          <cell r="G179" t="str">
            <v>Un</v>
          </cell>
        </row>
        <row r="180">
          <cell r="C180">
            <v>646</v>
          </cell>
          <cell r="E180" t="str">
            <v>646P</v>
          </cell>
          <cell r="F180" t="str">
            <v>Anclajes o Tiebacks</v>
          </cell>
          <cell r="G180" t="str">
            <v>ml</v>
          </cell>
        </row>
        <row r="181">
          <cell r="C181">
            <v>650.1</v>
          </cell>
          <cell r="D181">
            <v>650</v>
          </cell>
          <cell r="F181" t="str">
            <v>Diseño y fabricación de estructura metálica</v>
          </cell>
          <cell r="G181" t="str">
            <v>Kg</v>
          </cell>
        </row>
        <row r="182">
          <cell r="C182">
            <v>650.20000000000005</v>
          </cell>
          <cell r="D182">
            <v>650</v>
          </cell>
          <cell r="F182" t="str">
            <v>Fabricación de la estructura metálica</v>
          </cell>
          <cell r="G182" t="str">
            <v>Kg</v>
          </cell>
        </row>
        <row r="183">
          <cell r="C183">
            <v>650.29999999999995</v>
          </cell>
          <cell r="D183">
            <v>650</v>
          </cell>
          <cell r="F183" t="str">
            <v>Transporte de estructura metálica</v>
          </cell>
          <cell r="G183" t="str">
            <v>Kg</v>
          </cell>
        </row>
        <row r="184">
          <cell r="C184">
            <v>650.4</v>
          </cell>
          <cell r="D184">
            <v>650</v>
          </cell>
          <cell r="F184" t="str">
            <v>Montaje y pintura de estructura metálica</v>
          </cell>
          <cell r="G184" t="str">
            <v>Kg</v>
          </cell>
        </row>
        <row r="185">
          <cell r="C185">
            <v>660.1</v>
          </cell>
          <cell r="D185">
            <v>660</v>
          </cell>
          <cell r="F185" t="str">
            <v>Tubería de concreto simple de diámetro 450 mm</v>
          </cell>
          <cell r="G185" t="str">
            <v>ml</v>
          </cell>
        </row>
        <row r="186">
          <cell r="C186">
            <v>660.2</v>
          </cell>
          <cell r="D186">
            <v>660</v>
          </cell>
          <cell r="F186" t="str">
            <v>Tubería de concreto simple de diámetro 600 mm</v>
          </cell>
          <cell r="G186" t="str">
            <v>ml</v>
          </cell>
        </row>
        <row r="187">
          <cell r="C187">
            <v>660.3</v>
          </cell>
          <cell r="D187">
            <v>660</v>
          </cell>
          <cell r="F187" t="str">
            <v>Tubería de concreto simple de diámetro 750 mm</v>
          </cell>
          <cell r="G187" t="str">
            <v>ml</v>
          </cell>
        </row>
        <row r="188">
          <cell r="C188">
            <v>660.4</v>
          </cell>
          <cell r="E188" t="str">
            <v>660P</v>
          </cell>
          <cell r="F188" t="str">
            <v>Tubería perforada de gres de 6 pulgadas de diámetro</v>
          </cell>
          <cell r="G188" t="str">
            <v>ml</v>
          </cell>
        </row>
        <row r="189">
          <cell r="C189">
            <v>661</v>
          </cell>
          <cell r="D189">
            <v>661</v>
          </cell>
          <cell r="F189" t="str">
            <v>Tubería de concreto reforzado de 900 mm diámetro interior</v>
          </cell>
          <cell r="G189" t="str">
            <v>ml</v>
          </cell>
        </row>
        <row r="190">
          <cell r="C190">
            <v>662.1</v>
          </cell>
          <cell r="D190">
            <v>662</v>
          </cell>
          <cell r="F190" t="str">
            <v>Tubería corrugada de acero galvanizado de lámina calibre __ y diámetro __ mm</v>
          </cell>
          <cell r="G190" t="str">
            <v>ml</v>
          </cell>
        </row>
        <row r="191">
          <cell r="C191">
            <v>662.2</v>
          </cell>
          <cell r="D191">
            <v>662</v>
          </cell>
          <cell r="F191" t="str">
            <v>Tubería corrugada de acero con recubrimiento bituminoso de lámina calibre __ y diámetro __ mm</v>
          </cell>
          <cell r="G191" t="str">
            <v>ml</v>
          </cell>
        </row>
        <row r="192">
          <cell r="C192">
            <v>669.1</v>
          </cell>
          <cell r="E192" t="str">
            <v>669P</v>
          </cell>
          <cell r="F192" t="str">
            <v>Andenes de sección 2m de ancho x 0.12 m de espesor</v>
          </cell>
          <cell r="G192" t="str">
            <v>m2</v>
          </cell>
        </row>
        <row r="193">
          <cell r="C193">
            <v>670.1</v>
          </cell>
          <cell r="D193">
            <v>670</v>
          </cell>
          <cell r="F193" t="str">
            <v>Disipadores de energía y sedimentadores en gaviones</v>
          </cell>
          <cell r="G193" t="str">
            <v>m3</v>
          </cell>
        </row>
        <row r="194">
          <cell r="C194">
            <v>670.2</v>
          </cell>
          <cell r="D194">
            <v>670</v>
          </cell>
          <cell r="F194" t="str">
            <v>Disipadores de energía y sedimentadores en concreto ciclópeo</v>
          </cell>
          <cell r="G194" t="str">
            <v>m3</v>
          </cell>
        </row>
        <row r="195">
          <cell r="C195">
            <v>671</v>
          </cell>
          <cell r="D195">
            <v>671</v>
          </cell>
          <cell r="F195" t="str">
            <v>Cunetas revestidas en concreto</v>
          </cell>
          <cell r="G195" t="str">
            <v>m3</v>
          </cell>
        </row>
        <row r="196">
          <cell r="C196">
            <v>671.1</v>
          </cell>
          <cell r="D196">
            <v>671</v>
          </cell>
          <cell r="E196" t="str">
            <v>671P</v>
          </cell>
          <cell r="F196" t="str">
            <v>Cunetas revestidas en concreto clase D, Sección # 1 y Sección No. 2</v>
          </cell>
          <cell r="G196" t="str">
            <v>m3</v>
          </cell>
        </row>
        <row r="197">
          <cell r="C197">
            <v>672</v>
          </cell>
          <cell r="D197">
            <v>672</v>
          </cell>
          <cell r="F197" t="str">
            <v>Bordillo</v>
          </cell>
          <cell r="G197" t="str">
            <v>ml</v>
          </cell>
        </row>
        <row r="198">
          <cell r="C198">
            <v>672.1</v>
          </cell>
          <cell r="D198">
            <v>672</v>
          </cell>
          <cell r="E198" t="str">
            <v>672P</v>
          </cell>
          <cell r="F198" t="str">
            <v>Realce de bordillo</v>
          </cell>
          <cell r="G198" t="str">
            <v>ml</v>
          </cell>
        </row>
        <row r="199">
          <cell r="C199">
            <v>673</v>
          </cell>
          <cell r="D199">
            <v>673</v>
          </cell>
          <cell r="F199" t="str">
            <v>Material filtrante</v>
          </cell>
          <cell r="G199" t="str">
            <v>m3</v>
          </cell>
        </row>
        <row r="200">
          <cell r="C200">
            <v>673.1</v>
          </cell>
          <cell r="D200">
            <v>673</v>
          </cell>
          <cell r="E200" t="str">
            <v>673P</v>
          </cell>
          <cell r="F200" t="str">
            <v>Dren horizontal 0-10 m</v>
          </cell>
          <cell r="G200" t="str">
            <v>ml</v>
          </cell>
        </row>
        <row r="201">
          <cell r="C201">
            <v>673.2</v>
          </cell>
          <cell r="D201">
            <v>673</v>
          </cell>
          <cell r="E201" t="str">
            <v>673P</v>
          </cell>
          <cell r="F201" t="str">
            <v>Dren horizontal 0-30 m</v>
          </cell>
          <cell r="G201" t="str">
            <v>ml</v>
          </cell>
        </row>
        <row r="202">
          <cell r="C202">
            <v>673.3</v>
          </cell>
          <cell r="D202">
            <v>673</v>
          </cell>
          <cell r="E202" t="str">
            <v>673P-1</v>
          </cell>
          <cell r="F202" t="str">
            <v>Filtros geocompuestos Tipo Geodren o Pack drain</v>
          </cell>
          <cell r="G202" t="str">
            <v>ml</v>
          </cell>
        </row>
        <row r="203">
          <cell r="C203">
            <v>673.4</v>
          </cell>
          <cell r="D203">
            <v>673</v>
          </cell>
          <cell r="E203" t="str">
            <v>673P-2</v>
          </cell>
          <cell r="F203" t="str">
            <v>Material filtrante, entre 3" y 6", para dren profundo</v>
          </cell>
          <cell r="G203" t="str">
            <v>ml</v>
          </cell>
        </row>
        <row r="204">
          <cell r="C204">
            <v>674.1</v>
          </cell>
          <cell r="E204" t="str">
            <v>674P</v>
          </cell>
          <cell r="F204" t="str">
            <v>Nivelación y reconstrucción de pozos de inspección</v>
          </cell>
          <cell r="G204" t="str">
            <v>Un</v>
          </cell>
        </row>
        <row r="205">
          <cell r="C205">
            <v>674.2</v>
          </cell>
          <cell r="E205" t="str">
            <v>674P</v>
          </cell>
          <cell r="F205" t="str">
            <v>Nivelación y reconstrucción de sumideros</v>
          </cell>
          <cell r="G205" t="str">
            <v>Un</v>
          </cell>
        </row>
        <row r="206">
          <cell r="C206">
            <v>674.3</v>
          </cell>
          <cell r="E206" t="str">
            <v>674P</v>
          </cell>
          <cell r="F206" t="str">
            <v>Nivelación y reconstrucción de cajas de válvulas de la EAAB</v>
          </cell>
          <cell r="G206" t="str">
            <v>Un</v>
          </cell>
        </row>
        <row r="207">
          <cell r="C207">
            <v>674.4</v>
          </cell>
          <cell r="E207" t="str">
            <v>674P</v>
          </cell>
          <cell r="F207" t="str">
            <v>Nivelación y reconstrucción de cajas de energía de CODENSA</v>
          </cell>
          <cell r="G207" t="str">
            <v>Un</v>
          </cell>
        </row>
        <row r="208">
          <cell r="C208">
            <v>674.5</v>
          </cell>
          <cell r="E208" t="str">
            <v>674P</v>
          </cell>
          <cell r="F208" t="str">
            <v>Nivelación y reconstrucción de cajas de la ETB</v>
          </cell>
          <cell r="G208" t="str">
            <v>Un</v>
          </cell>
        </row>
        <row r="209">
          <cell r="C209">
            <v>675</v>
          </cell>
          <cell r="E209" t="str">
            <v>675P</v>
          </cell>
          <cell r="F209" t="str">
            <v>Caja de inspección para alumbrado público</v>
          </cell>
          <cell r="G209" t="str">
            <v>Un</v>
          </cell>
        </row>
        <row r="210">
          <cell r="C210">
            <v>678.1</v>
          </cell>
          <cell r="E210" t="str">
            <v>678P</v>
          </cell>
          <cell r="F210" t="str">
            <v>Suministro y colocación de ductos de PVC o similar</v>
          </cell>
          <cell r="G210" t="str">
            <v>ml</v>
          </cell>
        </row>
        <row r="211">
          <cell r="C211">
            <v>680.1</v>
          </cell>
          <cell r="D211">
            <v>680</v>
          </cell>
          <cell r="F211" t="str">
            <v>Escamas en concreto</v>
          </cell>
          <cell r="G211" t="str">
            <v>m2</v>
          </cell>
        </row>
        <row r="212">
          <cell r="C212">
            <v>680.2</v>
          </cell>
          <cell r="D212">
            <v>680</v>
          </cell>
          <cell r="F212" t="str">
            <v>Armadura galvanizada</v>
          </cell>
          <cell r="G212" t="str">
            <v>ml</v>
          </cell>
        </row>
        <row r="213">
          <cell r="C213">
            <v>680.3</v>
          </cell>
          <cell r="D213">
            <v>680</v>
          </cell>
          <cell r="F213" t="str">
            <v>Relleno granular para tierra armada</v>
          </cell>
          <cell r="G213" t="str">
            <v>m3</v>
          </cell>
        </row>
        <row r="214">
          <cell r="C214">
            <v>681.1</v>
          </cell>
          <cell r="D214">
            <v>681</v>
          </cell>
          <cell r="F214" t="str">
            <v>Gaviones</v>
          </cell>
          <cell r="G214" t="str">
            <v>m3</v>
          </cell>
        </row>
        <row r="215">
          <cell r="C215">
            <v>682</v>
          </cell>
          <cell r="D215">
            <v>682</v>
          </cell>
          <cell r="F215" t="str">
            <v>Muro de contención de suelo reforzado con geotextil</v>
          </cell>
          <cell r="G215" t="str">
            <v>m3</v>
          </cell>
          <cell r="H215" t="str">
            <v>No incluye geotextil ni recubrimiento del muro</v>
          </cell>
        </row>
        <row r="216">
          <cell r="C216">
            <v>682.1</v>
          </cell>
          <cell r="E216" t="str">
            <v>682P</v>
          </cell>
          <cell r="F216" t="str">
            <v>Geotextil para refuerzo</v>
          </cell>
          <cell r="G216" t="str">
            <v>m²</v>
          </cell>
        </row>
        <row r="217">
          <cell r="C217">
            <v>682.2</v>
          </cell>
          <cell r="E217" t="str">
            <v>682P</v>
          </cell>
          <cell r="F217" t="str">
            <v>Suministro y colocación de malla de gallinero recubierta con mortero</v>
          </cell>
          <cell r="G217" t="str">
            <v>m²</v>
          </cell>
        </row>
        <row r="218">
          <cell r="C218">
            <v>682.3</v>
          </cell>
          <cell r="E218" t="str">
            <v>682P</v>
          </cell>
          <cell r="F218" t="str">
            <v>Relleno para muro de tierra</v>
          </cell>
          <cell r="G218" t="str">
            <v>m³</v>
          </cell>
        </row>
        <row r="219">
          <cell r="C219">
            <v>683</v>
          </cell>
          <cell r="E219" t="str">
            <v>683P</v>
          </cell>
          <cell r="F219" t="str">
            <v>Bolsacretos en concreto Clase F</v>
          </cell>
          <cell r="G219" t="str">
            <v>m3</v>
          </cell>
        </row>
        <row r="220">
          <cell r="C220">
            <v>683.1</v>
          </cell>
          <cell r="E220" t="str">
            <v>683P-1</v>
          </cell>
          <cell r="F220" t="str">
            <v>Bolsacretos en concreto Clase D</v>
          </cell>
          <cell r="G220" t="str">
            <v>m³</v>
          </cell>
        </row>
        <row r="221">
          <cell r="C221">
            <v>700.1</v>
          </cell>
          <cell r="D221">
            <v>700</v>
          </cell>
          <cell r="F221" t="str">
            <v>Línea de demarcación</v>
          </cell>
          <cell r="G221" t="str">
            <v>ml</v>
          </cell>
        </row>
        <row r="222">
          <cell r="C222">
            <v>700.2</v>
          </cell>
          <cell r="D222">
            <v>700</v>
          </cell>
          <cell r="F222" t="str">
            <v>Marca vial</v>
          </cell>
          <cell r="G222" t="str">
            <v>m2</v>
          </cell>
        </row>
        <row r="223">
          <cell r="C223">
            <v>700.3</v>
          </cell>
          <cell r="D223">
            <v>700</v>
          </cell>
          <cell r="E223" t="str">
            <v>700P</v>
          </cell>
          <cell r="F223" t="str">
            <v>Línea de demarcación sobre concreto rígido</v>
          </cell>
          <cell r="G223" t="str">
            <v>ml</v>
          </cell>
        </row>
        <row r="224">
          <cell r="C224">
            <v>701</v>
          </cell>
          <cell r="D224">
            <v>701</v>
          </cell>
          <cell r="F224" t="str">
            <v>Tacha reflectiva</v>
          </cell>
          <cell r="G224" t="str">
            <v>Un</v>
          </cell>
        </row>
        <row r="225">
          <cell r="C225">
            <v>710.1</v>
          </cell>
          <cell r="D225">
            <v>710</v>
          </cell>
          <cell r="F225" t="str">
            <v>Señal de tránsito grupo I</v>
          </cell>
          <cell r="G225" t="str">
            <v>Un</v>
          </cell>
        </row>
        <row r="226">
          <cell r="C226">
            <v>710.2</v>
          </cell>
          <cell r="D226">
            <v>710</v>
          </cell>
          <cell r="F226" t="str">
            <v>Señal de tránsito grupo II</v>
          </cell>
          <cell r="G226" t="str">
            <v>Un</v>
          </cell>
        </row>
        <row r="227">
          <cell r="C227">
            <v>710.3</v>
          </cell>
          <cell r="D227">
            <v>710</v>
          </cell>
          <cell r="F227" t="str">
            <v>Señal de tránsito grupo III</v>
          </cell>
          <cell r="G227" t="str">
            <v>Un</v>
          </cell>
        </row>
        <row r="228">
          <cell r="C228">
            <v>710.4</v>
          </cell>
          <cell r="D228">
            <v>710</v>
          </cell>
          <cell r="F228" t="str">
            <v>Señal de tránsito grupo IV</v>
          </cell>
          <cell r="G228" t="str">
            <v>Un</v>
          </cell>
        </row>
        <row r="229">
          <cell r="C229">
            <v>710.5</v>
          </cell>
          <cell r="D229">
            <v>710</v>
          </cell>
          <cell r="F229" t="str">
            <v>Señal de tránsito grupo V</v>
          </cell>
          <cell r="G229" t="str">
            <v>m2</v>
          </cell>
        </row>
        <row r="230">
          <cell r="C230">
            <v>710.6</v>
          </cell>
          <cell r="D230">
            <v>710</v>
          </cell>
          <cell r="E230" t="str">
            <v>710P</v>
          </cell>
          <cell r="F230" t="str">
            <v>Suministro e intalación de pasavías</v>
          </cell>
          <cell r="G230" t="str">
            <v>Un</v>
          </cell>
        </row>
        <row r="231">
          <cell r="C231">
            <v>720</v>
          </cell>
          <cell r="D231">
            <v>720</v>
          </cell>
          <cell r="F231" t="str">
            <v>Poste de kilometraje</v>
          </cell>
          <cell r="G231" t="str">
            <v>Un</v>
          </cell>
        </row>
        <row r="232">
          <cell r="C232">
            <v>730.1</v>
          </cell>
          <cell r="D232">
            <v>730</v>
          </cell>
          <cell r="F232" t="str">
            <v>Defensa metálica</v>
          </cell>
          <cell r="G232" t="str">
            <v>ml</v>
          </cell>
        </row>
        <row r="233">
          <cell r="C233">
            <v>730.2</v>
          </cell>
          <cell r="D233">
            <v>730</v>
          </cell>
          <cell r="F233" t="str">
            <v>Sección final</v>
          </cell>
          <cell r="G233" t="str">
            <v>Un</v>
          </cell>
        </row>
        <row r="234">
          <cell r="C234">
            <v>730.3</v>
          </cell>
          <cell r="D234">
            <v>730</v>
          </cell>
          <cell r="F234" t="str">
            <v>Sección de tope</v>
          </cell>
          <cell r="G234" t="str">
            <v>Un</v>
          </cell>
        </row>
        <row r="235">
          <cell r="C235">
            <v>731</v>
          </cell>
          <cell r="E235" t="str">
            <v>731P</v>
          </cell>
          <cell r="F235" t="str">
            <v>Amortiguadores para defensa metálica</v>
          </cell>
          <cell r="G235" t="str">
            <v>Un</v>
          </cell>
        </row>
        <row r="236">
          <cell r="C236">
            <v>740</v>
          </cell>
          <cell r="D236">
            <v>740</v>
          </cell>
          <cell r="F236" t="str">
            <v>Captafaros</v>
          </cell>
          <cell r="G236" t="str">
            <v>Un</v>
          </cell>
        </row>
        <row r="237">
          <cell r="C237">
            <v>741</v>
          </cell>
          <cell r="E237" t="str">
            <v>741P</v>
          </cell>
          <cell r="F237" t="str">
            <v>Pintura de muros</v>
          </cell>
          <cell r="G237" t="str">
            <v>m2</v>
          </cell>
        </row>
        <row r="238">
          <cell r="C238">
            <v>741.1</v>
          </cell>
          <cell r="E238" t="str">
            <v>741P-1</v>
          </cell>
          <cell r="F238" t="str">
            <v>Pintura de muros</v>
          </cell>
          <cell r="G238" t="str">
            <v>m2</v>
          </cell>
        </row>
        <row r="239">
          <cell r="C239">
            <v>750</v>
          </cell>
          <cell r="E239" t="str">
            <v>750P</v>
          </cell>
          <cell r="F239" t="str">
            <v>Bandas sonoras reductoras de velocidad</v>
          </cell>
          <cell r="G239" t="str">
            <v>m2</v>
          </cell>
        </row>
        <row r="240">
          <cell r="C240">
            <v>800.1</v>
          </cell>
          <cell r="D240">
            <v>800</v>
          </cell>
          <cell r="F240" t="str">
            <v>Cerca de alambre de púas con postes de madera</v>
          </cell>
          <cell r="G240" t="str">
            <v>ml</v>
          </cell>
        </row>
        <row r="241">
          <cell r="C241">
            <v>800.2</v>
          </cell>
          <cell r="D241">
            <v>800</v>
          </cell>
          <cell r="F241" t="str">
            <v>Cerca de alambre de púas con postes de concreto</v>
          </cell>
          <cell r="G241" t="str">
            <v>ml</v>
          </cell>
        </row>
        <row r="242">
          <cell r="C242">
            <v>800.3</v>
          </cell>
          <cell r="D242">
            <v>800</v>
          </cell>
          <cell r="F242" t="str">
            <v>Cerca de malla con postes de madera</v>
          </cell>
          <cell r="G242" t="str">
            <v>ml</v>
          </cell>
        </row>
        <row r="243">
          <cell r="C243">
            <v>800.4</v>
          </cell>
          <cell r="D243">
            <v>800</v>
          </cell>
          <cell r="F243" t="str">
            <v>Cerca de malla con postes de concreto</v>
          </cell>
          <cell r="G243" t="str">
            <v>ml</v>
          </cell>
        </row>
        <row r="244">
          <cell r="C244">
            <v>810.1</v>
          </cell>
          <cell r="D244">
            <v>810</v>
          </cell>
          <cell r="F244" t="str">
            <v>Empradización de taludes con bloques de césped</v>
          </cell>
          <cell r="G244" t="str">
            <v>m2</v>
          </cell>
          <cell r="H244" t="str">
            <v>No incluye transporte de materiales</v>
          </cell>
        </row>
        <row r="245">
          <cell r="C245">
            <v>810.2</v>
          </cell>
          <cell r="D245">
            <v>810</v>
          </cell>
          <cell r="F245" t="str">
            <v>Empradización de taludes con tierra orgánica y semillas</v>
          </cell>
          <cell r="G245" t="str">
            <v>m2</v>
          </cell>
          <cell r="H245" t="str">
            <v>No incluye transporte de materiales</v>
          </cell>
        </row>
        <row r="246">
          <cell r="C246">
            <v>810.3</v>
          </cell>
          <cell r="D246">
            <v>810</v>
          </cell>
          <cell r="E246" t="str">
            <v>810P</v>
          </cell>
          <cell r="F246" t="str">
            <v>Empradización de taludes con bloques de césped</v>
          </cell>
          <cell r="G246" t="str">
            <v>m2</v>
          </cell>
          <cell r="H246" t="str">
            <v>Incluye transporte de materiales</v>
          </cell>
        </row>
        <row r="247">
          <cell r="C247">
            <v>810.4</v>
          </cell>
          <cell r="D247">
            <v>810</v>
          </cell>
          <cell r="E247" t="str">
            <v>810P</v>
          </cell>
          <cell r="F247" t="str">
            <v>Empradización de taludes con tierra orgánica y semillas</v>
          </cell>
          <cell r="G247" t="str">
            <v>m2</v>
          </cell>
          <cell r="H247" t="str">
            <v>Incluye transporte de materiales</v>
          </cell>
        </row>
        <row r="248">
          <cell r="C248">
            <v>820.1</v>
          </cell>
          <cell r="D248">
            <v>820</v>
          </cell>
          <cell r="F248" t="str">
            <v>Geotextil</v>
          </cell>
          <cell r="G248" t="str">
            <v>m2</v>
          </cell>
        </row>
        <row r="249">
          <cell r="C249">
            <v>820.2</v>
          </cell>
          <cell r="D249">
            <v>820</v>
          </cell>
          <cell r="F249" t="str">
            <v>Geotextil para refuerzo del pavimento</v>
          </cell>
          <cell r="G249" t="str">
            <v>m2</v>
          </cell>
        </row>
        <row r="250">
          <cell r="C250">
            <v>830</v>
          </cell>
          <cell r="E250" t="str">
            <v>830P</v>
          </cell>
          <cell r="F250" t="str">
            <v>Limpieza de bermas, incluye cargue y retiro del material sobrante</v>
          </cell>
          <cell r="G250" t="str">
            <v>m2</v>
          </cell>
        </row>
        <row r="251">
          <cell r="C251">
            <v>900.1</v>
          </cell>
          <cell r="D251">
            <v>900</v>
          </cell>
          <cell r="F251" t="str">
            <v>Transporte de materiales provenientes de excavación de la explanación, canales y préstamos, entre 100m y 1000m</v>
          </cell>
          <cell r="G251" t="str">
            <v>m³-E</v>
          </cell>
        </row>
        <row r="252">
          <cell r="C252">
            <v>900.2</v>
          </cell>
          <cell r="D252">
            <v>900</v>
          </cell>
          <cell r="F252" t="str">
            <v>Transporte de materiales provenientes de la excavación de la explanación, canales y préstamos para distancias mayores de 1000m</v>
          </cell>
          <cell r="G252" t="str">
            <v>m³-km</v>
          </cell>
        </row>
        <row r="253">
          <cell r="C253">
            <v>900.3</v>
          </cell>
          <cell r="D253">
            <v>900</v>
          </cell>
          <cell r="F253" t="str">
            <v>Transporte de materiales provenientes de derrumbes</v>
          </cell>
          <cell r="G253" t="str">
            <v>m³-km</v>
          </cell>
        </row>
        <row r="254">
          <cell r="C254">
            <v>1000.1</v>
          </cell>
          <cell r="E254" t="str">
            <v>1000P</v>
          </cell>
          <cell r="F254" t="str">
            <v>Retroexcavadora sobre orugas de capacidad mínima 1.5 yardas cúbicas</v>
          </cell>
          <cell r="G254" t="str">
            <v>H-maq</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REN"/>
      <sheetName val="DEV-A"/>
      <sheetName val="DEV-B"/>
      <sheetName val="DEV-C"/>
      <sheetName val="DEV-D"/>
      <sheetName val="DEV-E"/>
      <sheetName val="Maq"/>
      <sheetName val="DisManObra"/>
      <sheetName val="PanRie"/>
      <sheetName val="Exper"/>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Presupuesto petrominerales 2"/>
    </sheetNames>
    <sheetDataSet>
      <sheetData sheetId="0">
        <row r="40">
          <cell r="N40">
            <v>0.12</v>
          </cell>
        </row>
      </sheetData>
      <sheetData sheetId="1"/>
      <sheetData sheetId="2"/>
      <sheetData sheetId="3"/>
      <sheetData sheetId="4"/>
      <sheetData sheetId="5"/>
      <sheetData sheetId="6"/>
      <sheetData sheetId="7"/>
      <sheetData sheetId="8"/>
      <sheetData sheetId="9"/>
      <sheetData sheetId="10"/>
      <sheetData sheetId="11">
        <row r="40">
          <cell r="N40">
            <v>0.12</v>
          </cell>
        </row>
        <row r="41">
          <cell r="N41">
            <v>0.03</v>
          </cell>
        </row>
        <row r="42">
          <cell r="N42">
            <v>0.05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PDT"/>
      <sheetName val="PDT_SEG"/>
      <sheetName val="CCRO"/>
      <sheetName val="CCDO"/>
      <sheetName val="HRP"/>
      <sheetName val="ISO"/>
      <sheetName val="AVP"/>
      <sheetName val="Prog. y Control_ECOBRAS_V1"/>
    </sheetNames>
    <sheetDataSet>
      <sheetData sheetId="0">
        <row r="1">
          <cell r="A1" t="str">
            <v>PROYECTADO</v>
          </cell>
        </row>
        <row r="2">
          <cell r="A2" t="str">
            <v>EJECUTADO</v>
          </cell>
        </row>
      </sheetData>
      <sheetData sheetId="1" refreshError="1"/>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SUB APU"/>
      <sheetName val="INSUMOS"/>
      <sheetName val="Cantidades de Obra"/>
      <sheetName val="FORMULARIO"/>
    </sheetNames>
    <sheetDataSet>
      <sheetData sheetId="0"/>
      <sheetData sheetId="1"/>
      <sheetData sheetId="2">
        <row r="1">
          <cell r="A1" t="str">
            <v>CODIGO</v>
          </cell>
          <cell r="B1" t="str">
            <v>RECURSO</v>
          </cell>
          <cell r="C1" t="str">
            <v>UN</v>
          </cell>
          <cell r="D1" t="str">
            <v>V/UNITARIO</v>
          </cell>
          <cell r="E1" t="str">
            <v>FECHA</v>
          </cell>
        </row>
        <row r="2">
          <cell r="B2" t="str">
            <v>MATERIALES</v>
          </cell>
        </row>
        <row r="3">
          <cell r="A3" t="str">
            <v>M010</v>
          </cell>
          <cell r="B3" t="str">
            <v>CEMENTO</v>
          </cell>
          <cell r="C3" t="str">
            <v>SACO</v>
          </cell>
          <cell r="D3">
            <v>14280.000000000002</v>
          </cell>
          <cell r="E3">
            <v>36486</v>
          </cell>
        </row>
        <row r="4">
          <cell r="A4" t="str">
            <v>M020</v>
          </cell>
          <cell r="B4" t="str">
            <v>AGUA</v>
          </cell>
          <cell r="C4" t="str">
            <v>M3</v>
          </cell>
          <cell r="D4">
            <v>742.56000000000017</v>
          </cell>
          <cell r="E4">
            <v>36486</v>
          </cell>
        </row>
        <row r="5">
          <cell r="A5" t="str">
            <v>M030</v>
          </cell>
          <cell r="B5" t="str">
            <v>ARENA CONCRETO</v>
          </cell>
          <cell r="C5" t="str">
            <v>M3</v>
          </cell>
          <cell r="D5">
            <v>25704</v>
          </cell>
          <cell r="E5">
            <v>36486</v>
          </cell>
        </row>
        <row r="6">
          <cell r="A6" t="str">
            <v>M040</v>
          </cell>
          <cell r="B6" t="str">
            <v>ARENA DE PEGA</v>
          </cell>
          <cell r="C6" t="str">
            <v>M3</v>
          </cell>
          <cell r="D6">
            <v>21939.792000000001</v>
          </cell>
          <cell r="E6">
            <v>36486</v>
          </cell>
        </row>
        <row r="7">
          <cell r="A7" t="str">
            <v>M050</v>
          </cell>
          <cell r="B7" t="str">
            <v>ARENA DE REVOQUE</v>
          </cell>
          <cell r="C7" t="str">
            <v>M3</v>
          </cell>
          <cell r="D7">
            <v>28245.84</v>
          </cell>
          <cell r="E7">
            <v>36486</v>
          </cell>
        </row>
        <row r="8">
          <cell r="A8" t="str">
            <v>M060</v>
          </cell>
          <cell r="B8" t="str">
            <v>TRITURADO 3/4</v>
          </cell>
          <cell r="C8" t="str">
            <v>M3</v>
          </cell>
          <cell r="D8">
            <v>25704</v>
          </cell>
          <cell r="E8">
            <v>36486</v>
          </cell>
        </row>
        <row r="9">
          <cell r="A9" t="str">
            <v>M070</v>
          </cell>
          <cell r="B9" t="str">
            <v>GRAVA D=2" PARA FILTRO</v>
          </cell>
          <cell r="C9" t="str">
            <v>M3</v>
          </cell>
          <cell r="D9">
            <v>23562</v>
          </cell>
          <cell r="E9">
            <v>36486</v>
          </cell>
        </row>
        <row r="10">
          <cell r="A10" t="str">
            <v>M080</v>
          </cell>
          <cell r="B10" t="str">
            <v>BASE GRANULAR</v>
          </cell>
          <cell r="C10" t="str">
            <v>M3</v>
          </cell>
          <cell r="D10">
            <v>25704</v>
          </cell>
          <cell r="E10">
            <v>36486</v>
          </cell>
        </row>
        <row r="11">
          <cell r="A11" t="str">
            <v>M090</v>
          </cell>
          <cell r="B11" t="str">
            <v xml:space="preserve">GRAVA 2 </v>
          </cell>
          <cell r="C11" t="str">
            <v>M3</v>
          </cell>
          <cell r="D11">
            <v>23562</v>
          </cell>
          <cell r="E11">
            <v>36486</v>
          </cell>
        </row>
        <row r="12">
          <cell r="A12" t="str">
            <v>M100</v>
          </cell>
          <cell r="B12" t="str">
            <v>ARENA FINA PARA FILTRO</v>
          </cell>
          <cell r="C12" t="str">
            <v>M3</v>
          </cell>
          <cell r="D12">
            <v>25704</v>
          </cell>
          <cell r="E12">
            <v>36486</v>
          </cell>
        </row>
        <row r="13">
          <cell r="A13" t="str">
            <v>M110</v>
          </cell>
          <cell r="B13" t="str">
            <v>ARENILLA</v>
          </cell>
          <cell r="C13" t="str">
            <v>M3</v>
          </cell>
          <cell r="D13">
            <v>19278</v>
          </cell>
          <cell r="E13">
            <v>36486</v>
          </cell>
        </row>
        <row r="14">
          <cell r="A14" t="str">
            <v>M120</v>
          </cell>
          <cell r="B14" t="str">
            <v>ACERO 5/8  60000</v>
          </cell>
          <cell r="C14" t="str">
            <v>KG</v>
          </cell>
          <cell r="D14">
            <v>1447.6288659793818</v>
          </cell>
          <cell r="E14">
            <v>36486</v>
          </cell>
        </row>
        <row r="15">
          <cell r="A15" t="str">
            <v>M130</v>
          </cell>
          <cell r="B15" t="str">
            <v>ACERO 1/2  60000</v>
          </cell>
          <cell r="C15" t="str">
            <v>KG</v>
          </cell>
          <cell r="D15">
            <v>953.91549295774655</v>
          </cell>
          <cell r="E15">
            <v>36486</v>
          </cell>
        </row>
        <row r="16">
          <cell r="A16" t="str">
            <v>M140</v>
          </cell>
          <cell r="B16" t="str">
            <v>ACERO 3/8  40000</v>
          </cell>
          <cell r="C16" t="str">
            <v>KG</v>
          </cell>
          <cell r="D16">
            <v>1179.8000000000002</v>
          </cell>
          <cell r="E16">
            <v>36486</v>
          </cell>
        </row>
        <row r="17">
          <cell r="A17" t="str">
            <v>M150</v>
          </cell>
          <cell r="B17" t="str">
            <v>BLOQUE DE CONCRETO 0.10X0.20X0.40m</v>
          </cell>
          <cell r="C17" t="str">
            <v>UN</v>
          </cell>
          <cell r="D17">
            <v>1028.1600000000001</v>
          </cell>
          <cell r="E17">
            <v>36486</v>
          </cell>
        </row>
        <row r="18">
          <cell r="A18" t="str">
            <v>M160</v>
          </cell>
          <cell r="B18" t="str">
            <v>CANES</v>
          </cell>
          <cell r="C18" t="str">
            <v>M</v>
          </cell>
          <cell r="D18">
            <v>1863.54</v>
          </cell>
          <cell r="E18">
            <v>36486</v>
          </cell>
        </row>
        <row r="19">
          <cell r="A19" t="str">
            <v>M170</v>
          </cell>
          <cell r="B19" t="str">
            <v>LARGUEROS</v>
          </cell>
          <cell r="C19" t="str">
            <v>M</v>
          </cell>
          <cell r="D19">
            <v>931.77</v>
          </cell>
          <cell r="E19">
            <v>36486</v>
          </cell>
        </row>
        <row r="20">
          <cell r="A20" t="str">
            <v>M180</v>
          </cell>
          <cell r="B20" t="str">
            <v>TACO DE MADERA</v>
          </cell>
          <cell r="C20" t="str">
            <v>M</v>
          </cell>
          <cell r="D20">
            <v>931.77</v>
          </cell>
          <cell r="E20">
            <v>36486</v>
          </cell>
        </row>
        <row r="21">
          <cell r="A21" t="str">
            <v>M190</v>
          </cell>
          <cell r="B21" t="str">
            <v>TABLAS</v>
          </cell>
          <cell r="C21" t="str">
            <v>M</v>
          </cell>
          <cell r="D21">
            <v>931.77</v>
          </cell>
          <cell r="E21">
            <v>36486</v>
          </cell>
        </row>
        <row r="22">
          <cell r="A22" t="str">
            <v>M200</v>
          </cell>
          <cell r="B22" t="str">
            <v>TUBERIA SANIT. DE D=2"</v>
          </cell>
          <cell r="C22" t="str">
            <v>M</v>
          </cell>
          <cell r="D22">
            <v>4981.3400000000011</v>
          </cell>
          <cell r="E22">
            <v>36486</v>
          </cell>
        </row>
        <row r="23">
          <cell r="A23" t="str">
            <v>M210</v>
          </cell>
          <cell r="B23" t="str">
            <v>TUBERIA SANIT. DE D=3"</v>
          </cell>
          <cell r="C23" t="str">
            <v>M</v>
          </cell>
          <cell r="D23">
            <v>7351.344000000001</v>
          </cell>
          <cell r="E23">
            <v>36486</v>
          </cell>
        </row>
        <row r="24">
          <cell r="A24" t="str">
            <v>M220</v>
          </cell>
          <cell r="B24" t="str">
            <v>TUBERIA SANIT. DE D=4"</v>
          </cell>
          <cell r="C24" t="str">
            <v>M</v>
          </cell>
          <cell r="D24">
            <v>10228.049999999999</v>
          </cell>
          <cell r="E24">
            <v>36486</v>
          </cell>
        </row>
        <row r="25">
          <cell r="A25" t="str">
            <v>M230</v>
          </cell>
          <cell r="B25" t="str">
            <v>TUBERIA SANIT. DE D=6"</v>
          </cell>
          <cell r="C25" t="str">
            <v>M</v>
          </cell>
          <cell r="D25">
            <v>20964.944000000003</v>
          </cell>
          <cell r="E25">
            <v>36486</v>
          </cell>
        </row>
        <row r="26">
          <cell r="A26" t="str">
            <v>M240</v>
          </cell>
          <cell r="B26" t="str">
            <v>TUBERIA AGUAS LLUVIAS DE D=2"</v>
          </cell>
          <cell r="C26" t="str">
            <v>M</v>
          </cell>
          <cell r="D26">
            <v>4981.3400000000011</v>
          </cell>
          <cell r="E26">
            <v>36486</v>
          </cell>
        </row>
        <row r="27">
          <cell r="A27" t="str">
            <v>M250</v>
          </cell>
          <cell r="B27" t="str">
            <v>TEE PVC SANITARIA D=3"</v>
          </cell>
          <cell r="C27" t="str">
            <v>UN</v>
          </cell>
          <cell r="D27">
            <v>5302.9922399999996</v>
          </cell>
          <cell r="E27">
            <v>36486</v>
          </cell>
        </row>
        <row r="28">
          <cell r="A28" t="str">
            <v>M260</v>
          </cell>
          <cell r="B28" t="str">
            <v>TEE PVC SANITARIA D=4"</v>
          </cell>
          <cell r="C28" t="str">
            <v>UN</v>
          </cell>
          <cell r="D28">
            <v>10950.977856000003</v>
          </cell>
          <cell r="E28">
            <v>36486</v>
          </cell>
        </row>
        <row r="29">
          <cell r="A29" t="str">
            <v>M270</v>
          </cell>
          <cell r="B29" t="str">
            <v>CODO 90 CxC D=2"</v>
          </cell>
          <cell r="C29" t="str">
            <v>UN</v>
          </cell>
          <cell r="D29">
            <v>1950.4080960000003</v>
          </cell>
          <cell r="E29">
            <v>36486</v>
          </cell>
        </row>
        <row r="30">
          <cell r="A30" t="str">
            <v>M280</v>
          </cell>
          <cell r="B30" t="str">
            <v>CODO 90 CxC D=3"</v>
          </cell>
          <cell r="C30" t="str">
            <v>UN</v>
          </cell>
          <cell r="D30">
            <v>4500.2848800000002</v>
          </cell>
          <cell r="E30">
            <v>36486</v>
          </cell>
        </row>
        <row r="31">
          <cell r="A31" t="str">
            <v>M290</v>
          </cell>
          <cell r="B31" t="str">
            <v>CODO 90 CxC D=4"</v>
          </cell>
          <cell r="C31" t="str">
            <v>UN</v>
          </cell>
          <cell r="D31">
            <v>8278.1331360000004</v>
          </cell>
          <cell r="E31">
            <v>36486</v>
          </cell>
        </row>
        <row r="32">
          <cell r="A32" t="str">
            <v>M300</v>
          </cell>
          <cell r="B32" t="str">
            <v>SIFON 180 PVC D=4"</v>
          </cell>
          <cell r="C32" t="str">
            <v>UN</v>
          </cell>
          <cell r="D32">
            <v>14233.538592000003</v>
          </cell>
          <cell r="E32">
            <v>36486</v>
          </cell>
        </row>
        <row r="33">
          <cell r="A33" t="str">
            <v>M310</v>
          </cell>
          <cell r="B33" t="str">
            <v>BUJE PVC 3"x2"</v>
          </cell>
          <cell r="C33" t="str">
            <v>UN</v>
          </cell>
          <cell r="D33">
            <v>2657.4737280000004</v>
          </cell>
          <cell r="E33">
            <v>36486</v>
          </cell>
        </row>
        <row r="34">
          <cell r="A34" t="str">
            <v>M320</v>
          </cell>
          <cell r="B34" t="str">
            <v>YEE PVC 2"</v>
          </cell>
          <cell r="C34" t="str">
            <v>UN</v>
          </cell>
          <cell r="D34">
            <v>3137.3902559999997</v>
          </cell>
          <cell r="E34">
            <v>36486</v>
          </cell>
        </row>
        <row r="35">
          <cell r="A35" t="str">
            <v>M330</v>
          </cell>
          <cell r="B35" t="str">
            <v>FORMALETERÍA</v>
          </cell>
          <cell r="C35" t="str">
            <v>M2</v>
          </cell>
          <cell r="D35">
            <v>68544</v>
          </cell>
          <cell r="E35">
            <v>36486</v>
          </cell>
        </row>
        <row r="36">
          <cell r="A36" t="str">
            <v>M340</v>
          </cell>
          <cell r="B36" t="str">
            <v>PLÁSTICO</v>
          </cell>
          <cell r="C36" t="str">
            <v>M2</v>
          </cell>
          <cell r="D36">
            <v>1142.4000000000001</v>
          </cell>
          <cell r="E36">
            <v>36486</v>
          </cell>
        </row>
        <row r="37">
          <cell r="A37" t="str">
            <v>M350</v>
          </cell>
          <cell r="B37" t="str">
            <v>LÁMINA CALIBRE 24</v>
          </cell>
          <cell r="C37" t="str">
            <v>M2</v>
          </cell>
          <cell r="D37">
            <v>3722.7433501078367</v>
          </cell>
          <cell r="E37">
            <v>36486</v>
          </cell>
        </row>
        <row r="38">
          <cell r="A38" t="str">
            <v>M360</v>
          </cell>
          <cell r="B38" t="str">
            <v>PINTURA ANTICORROSIVA</v>
          </cell>
          <cell r="C38" t="str">
            <v>M2</v>
          </cell>
          <cell r="D38">
            <v>661.86086400000011</v>
          </cell>
          <cell r="E38">
            <v>36486</v>
          </cell>
        </row>
        <row r="39">
          <cell r="A39" t="str">
            <v>M370</v>
          </cell>
          <cell r="B39" t="str">
            <v>PLASTOCRETE - CONCREPLAS</v>
          </cell>
          <cell r="C39" t="str">
            <v>KG</v>
          </cell>
          <cell r="D39">
            <v>2794.3675200000002</v>
          </cell>
          <cell r="E39">
            <v>36486</v>
          </cell>
        </row>
        <row r="40">
          <cell r="A40" t="str">
            <v>M380</v>
          </cell>
          <cell r="B40" t="str">
            <v>ENSAYO PERCOLACIÓN</v>
          </cell>
          <cell r="C40" t="str">
            <v>UN</v>
          </cell>
          <cell r="D40">
            <v>9139.2000000000007</v>
          </cell>
          <cell r="E40">
            <v>36486</v>
          </cell>
        </row>
        <row r="41">
          <cell r="A41" t="str">
            <v>M390</v>
          </cell>
          <cell r="B41" t="str">
            <v xml:space="preserve">IMPERMEABILIZANTE </v>
          </cell>
          <cell r="C41" t="str">
            <v>KG</v>
          </cell>
          <cell r="D41">
            <v>2513.2800000000007</v>
          </cell>
          <cell r="E41">
            <v>36486</v>
          </cell>
        </row>
        <row r="42">
          <cell r="A42" t="str">
            <v>M400</v>
          </cell>
          <cell r="B42" t="str">
            <v>SIFON 180 PVC D=2"</v>
          </cell>
          <cell r="C42" t="str">
            <v>UN</v>
          </cell>
          <cell r="D42">
            <v>3157.8849120000004</v>
          </cell>
          <cell r="E42">
            <v>36486</v>
          </cell>
        </row>
        <row r="43">
          <cell r="A43" t="str">
            <v>M410</v>
          </cell>
          <cell r="B43" t="str">
            <v>DINAMITA</v>
          </cell>
          <cell r="C43" t="str">
            <v>PULG</v>
          </cell>
          <cell r="D43">
            <v>799.68000000000018</v>
          </cell>
          <cell r="E43">
            <v>36486</v>
          </cell>
        </row>
        <row r="44">
          <cell r="A44" t="str">
            <v>M420</v>
          </cell>
          <cell r="B44" t="str">
            <v>ALAMBRE DE AMARRAR</v>
          </cell>
          <cell r="C44" t="str">
            <v>KG</v>
          </cell>
          <cell r="D44">
            <v>1606.5</v>
          </cell>
          <cell r="E44">
            <v>36486</v>
          </cell>
        </row>
        <row r="45">
          <cell r="A45" t="str">
            <v>M430</v>
          </cell>
          <cell r="B45" t="str">
            <v>MADERA</v>
          </cell>
          <cell r="C45" t="str">
            <v>M2</v>
          </cell>
          <cell r="D45">
            <v>1927.8</v>
          </cell>
          <cell r="E45">
            <v>36486</v>
          </cell>
        </row>
        <row r="46">
          <cell r="A46" t="str">
            <v>M440</v>
          </cell>
          <cell r="B46" t="str">
            <v>LIMPIADOR Y SOLDADURA</v>
          </cell>
          <cell r="C46" t="str">
            <v>GL</v>
          </cell>
          <cell r="D46">
            <v>180899.49696000002</v>
          </cell>
          <cell r="E46">
            <v>36486</v>
          </cell>
        </row>
        <row r="47">
          <cell r="A47" t="str">
            <v>M450</v>
          </cell>
          <cell r="B47" t="str">
            <v>BOTADERO</v>
          </cell>
          <cell r="C47" t="str">
            <v>M3</v>
          </cell>
          <cell r="D47">
            <v>4569.6000000000004</v>
          </cell>
          <cell r="E47">
            <v>36486</v>
          </cell>
        </row>
        <row r="48">
          <cell r="A48" t="str">
            <v>M460</v>
          </cell>
          <cell r="B48" t="str">
            <v>MORTERO</v>
          </cell>
          <cell r="C48" t="str">
            <v>M3</v>
          </cell>
          <cell r="D48">
            <v>262752.00000000006</v>
          </cell>
          <cell r="E48">
            <v>36486</v>
          </cell>
        </row>
        <row r="49">
          <cell r="A49" t="str">
            <v>M470</v>
          </cell>
          <cell r="B49" t="str">
            <v>TUBERIA POLIETILENO D=3"</v>
          </cell>
          <cell r="C49" t="str">
            <v>M</v>
          </cell>
          <cell r="D49">
            <v>6509.680800000001</v>
          </cell>
          <cell r="E49">
            <v>36486</v>
          </cell>
        </row>
        <row r="50">
          <cell r="A50" t="str">
            <v>M480</v>
          </cell>
          <cell r="B50" t="str">
            <v>CONCRETO DE Fc=210 Kg/cm2</v>
          </cell>
          <cell r="C50" t="str">
            <v>M3</v>
          </cell>
          <cell r="D50">
            <v>285600</v>
          </cell>
          <cell r="E50">
            <v>36486</v>
          </cell>
        </row>
        <row r="51">
          <cell r="A51" t="str">
            <v>M485</v>
          </cell>
          <cell r="B51" t="str">
            <v xml:space="preserve">GRAMA </v>
          </cell>
          <cell r="C51" t="str">
            <v>M2</v>
          </cell>
          <cell r="D51">
            <v>6509.680800000001</v>
          </cell>
          <cell r="E51">
            <v>36486</v>
          </cell>
        </row>
        <row r="52">
          <cell r="A52" t="str">
            <v>M490</v>
          </cell>
          <cell r="B52" t="str">
            <v>BLOQUE DE CONCRETO 0.15X0.20X0.40m</v>
          </cell>
          <cell r="C52" t="str">
            <v>UN</v>
          </cell>
          <cell r="D52">
            <v>1773.576</v>
          </cell>
          <cell r="E52">
            <v>36486</v>
          </cell>
        </row>
        <row r="53">
          <cell r="A53" t="str">
            <v>Z300</v>
          </cell>
          <cell r="B53" t="str">
            <v>CORDON DE SOLDADURA</v>
          </cell>
          <cell r="C53" t="str">
            <v>CM</v>
          </cell>
          <cell r="D53">
            <v>17136</v>
          </cell>
          <cell r="E53">
            <v>36486</v>
          </cell>
        </row>
        <row r="54">
          <cell r="B54">
            <v>0</v>
          </cell>
          <cell r="C54">
            <v>0</v>
          </cell>
          <cell r="D54">
            <v>0</v>
          </cell>
          <cell r="E54">
            <v>36486</v>
          </cell>
        </row>
        <row r="55">
          <cell r="A55" t="str">
            <v>CODIGO</v>
          </cell>
          <cell r="B55" t="str">
            <v>RECURSO</v>
          </cell>
          <cell r="C55" t="str">
            <v>UN</v>
          </cell>
          <cell r="D55" t="str">
            <v>V/UNITARIO</v>
          </cell>
        </row>
        <row r="56">
          <cell r="B56" t="str">
            <v>EQUIPO</v>
          </cell>
        </row>
        <row r="57">
          <cell r="A57" t="str">
            <v>E010</v>
          </cell>
          <cell r="B57" t="str">
            <v>RETROEXCAVADORA DE LLANTAS TIPO F555</v>
          </cell>
          <cell r="C57" t="str">
            <v>HR</v>
          </cell>
          <cell r="D57">
            <v>45696.000000000007</v>
          </cell>
          <cell r="E57">
            <v>36486</v>
          </cell>
        </row>
        <row r="58">
          <cell r="A58" t="str">
            <v>E020</v>
          </cell>
          <cell r="B58" t="str">
            <v>COMPRESOR NEUMATICO CON MARTILLO</v>
          </cell>
          <cell r="C58" t="str">
            <v>HR</v>
          </cell>
          <cell r="D58">
            <v>35471.520000000004</v>
          </cell>
          <cell r="E58">
            <v>36486</v>
          </cell>
        </row>
        <row r="59">
          <cell r="A59" t="str">
            <v>E030</v>
          </cell>
          <cell r="B59" t="str">
            <v>VIBROCOMPACTADOR</v>
          </cell>
          <cell r="C59" t="str">
            <v>DIA</v>
          </cell>
          <cell r="D59">
            <v>19706.400000000005</v>
          </cell>
          <cell r="E59">
            <v>36486</v>
          </cell>
        </row>
        <row r="60">
          <cell r="A60" t="str">
            <v>E040</v>
          </cell>
          <cell r="B60" t="str">
            <v>PLACA VIBRATORIA</v>
          </cell>
          <cell r="C60" t="str">
            <v>DIA</v>
          </cell>
          <cell r="D60">
            <v>19706.400000000005</v>
          </cell>
          <cell r="E60">
            <v>36486</v>
          </cell>
        </row>
        <row r="61">
          <cell r="A61" t="str">
            <v>E050</v>
          </cell>
          <cell r="B61" t="str">
            <v>MEZCLADORA 1 SACO ELECTRICA</v>
          </cell>
          <cell r="C61" t="str">
            <v>DIA</v>
          </cell>
          <cell r="D61">
            <v>12612.096000000001</v>
          </cell>
          <cell r="E61">
            <v>36486</v>
          </cell>
        </row>
        <row r="62">
          <cell r="A62" t="str">
            <v>E060</v>
          </cell>
          <cell r="B62" t="str">
            <v>VIBRADOR ELECTRICO</v>
          </cell>
          <cell r="C62" t="str">
            <v>DIA</v>
          </cell>
          <cell r="D62">
            <v>18635.400000000001</v>
          </cell>
          <cell r="E62">
            <v>36486</v>
          </cell>
        </row>
        <row r="63">
          <cell r="A63" t="str">
            <v>E070</v>
          </cell>
          <cell r="B63" t="str">
            <v>TRANSITO</v>
          </cell>
          <cell r="C63" t="str">
            <v>DIA</v>
          </cell>
          <cell r="D63">
            <v>26275.200000000004</v>
          </cell>
          <cell r="E63">
            <v>36486</v>
          </cell>
        </row>
        <row r="64">
          <cell r="A64" t="str">
            <v>E080</v>
          </cell>
          <cell r="B64" t="str">
            <v>NIVEL DE PRECISION</v>
          </cell>
          <cell r="C64" t="str">
            <v>DIA</v>
          </cell>
          <cell r="D64">
            <v>19706.400000000005</v>
          </cell>
          <cell r="E64">
            <v>36486</v>
          </cell>
        </row>
        <row r="65">
          <cell r="A65" t="str">
            <v>E090</v>
          </cell>
          <cell r="B65" t="str">
            <v>SOLDADOR ELECTRICO</v>
          </cell>
          <cell r="C65" t="str">
            <v>DIA</v>
          </cell>
          <cell r="D65">
            <v>10710</v>
          </cell>
          <cell r="E65">
            <v>36486</v>
          </cell>
        </row>
        <row r="66">
          <cell r="A66" t="str">
            <v>E100</v>
          </cell>
          <cell r="B66" t="str">
            <v>EQUIPO DE AUTOGENA PARA CORTES TUBERIA</v>
          </cell>
          <cell r="C66" t="str">
            <v>DIA</v>
          </cell>
          <cell r="D66">
            <v>6907.95</v>
          </cell>
          <cell r="E66">
            <v>36486</v>
          </cell>
        </row>
        <row r="67">
          <cell r="A67" t="str">
            <v>E110</v>
          </cell>
          <cell r="B67" t="str">
            <v>HERRAMIENTA MENOR</v>
          </cell>
          <cell r="C67" t="str">
            <v>SG</v>
          </cell>
          <cell r="D67">
            <v>0</v>
          </cell>
          <cell r="E67">
            <v>36486</v>
          </cell>
        </row>
        <row r="68">
          <cell r="A68" t="str">
            <v>CODIGO</v>
          </cell>
          <cell r="B68" t="str">
            <v>RECURSO</v>
          </cell>
          <cell r="C68" t="str">
            <v>UN</v>
          </cell>
          <cell r="D68" t="str">
            <v>V/UNITARIO</v>
          </cell>
        </row>
        <row r="69">
          <cell r="B69" t="str">
            <v>TRANSPORTE</v>
          </cell>
        </row>
        <row r="70">
          <cell r="A70" t="str">
            <v>T010</v>
          </cell>
          <cell r="B70" t="str">
            <v>VOLQUETAS DE 5M3</v>
          </cell>
          <cell r="C70" t="str">
            <v>M3</v>
          </cell>
          <cell r="D70">
            <v>36556.800000000003</v>
          </cell>
          <cell r="E70">
            <v>36486</v>
          </cell>
        </row>
        <row r="71">
          <cell r="A71" t="str">
            <v>T020</v>
          </cell>
          <cell r="B71" t="str">
            <v>TRANSPORTE INTERNO</v>
          </cell>
          <cell r="C71" t="str">
            <v>HR</v>
          </cell>
          <cell r="D71">
            <v>22848.000000000004</v>
          </cell>
          <cell r="E71">
            <v>36486</v>
          </cell>
        </row>
        <row r="72">
          <cell r="A72" t="str">
            <v>CODIGO</v>
          </cell>
          <cell r="B72" t="str">
            <v>RECURSO</v>
          </cell>
          <cell r="C72" t="str">
            <v>UN</v>
          </cell>
          <cell r="D72" t="str">
            <v>V/UNITARIO</v>
          </cell>
        </row>
        <row r="73">
          <cell r="B73" t="str">
            <v>MANO DE OBRA</v>
          </cell>
        </row>
        <row r="74">
          <cell r="A74" t="str">
            <v>O010</v>
          </cell>
          <cell r="B74" t="str">
            <v>ENCARGADO</v>
          </cell>
          <cell r="C74" t="str">
            <v>DIA</v>
          </cell>
          <cell r="D74">
            <v>95117.137920000008</v>
          </cell>
          <cell r="E74">
            <v>36486</v>
          </cell>
        </row>
        <row r="75">
          <cell r="A75" t="str">
            <v>O020</v>
          </cell>
          <cell r="B75" t="str">
            <v>OFICIAL</v>
          </cell>
          <cell r="C75" t="str">
            <v>DIA</v>
          </cell>
          <cell r="D75">
            <v>50608.228608000012</v>
          </cell>
          <cell r="E75">
            <v>36486</v>
          </cell>
        </row>
        <row r="76">
          <cell r="A76" t="str">
            <v>O030</v>
          </cell>
          <cell r="B76" t="str">
            <v xml:space="preserve">AYUDANTE </v>
          </cell>
          <cell r="C76" t="str">
            <v>DIA</v>
          </cell>
          <cell r="D76">
            <v>20796.797952000008</v>
          </cell>
          <cell r="E76">
            <v>36486</v>
          </cell>
        </row>
        <row r="77">
          <cell r="A77" t="str">
            <v>O040</v>
          </cell>
          <cell r="B77" t="str">
            <v>TOPOGRAFO</v>
          </cell>
          <cell r="C77" t="str">
            <v>DIA</v>
          </cell>
          <cell r="D77">
            <v>25055.573760000003</v>
          </cell>
          <cell r="E77">
            <v>36486</v>
          </cell>
        </row>
        <row r="78">
          <cell r="A78" t="str">
            <v>O050</v>
          </cell>
          <cell r="B78" t="str">
            <v>CADENERO</v>
          </cell>
          <cell r="C78" t="str">
            <v>DIA</v>
          </cell>
          <cell r="D78">
            <v>25055.708106240007</v>
          </cell>
          <cell r="E78">
            <v>36486</v>
          </cell>
        </row>
        <row r="79">
          <cell r="A79" t="str">
            <v>O060</v>
          </cell>
          <cell r="B79" t="str">
            <v>MINERO</v>
          </cell>
          <cell r="C79" t="str">
            <v>DIA</v>
          </cell>
          <cell r="D79">
            <v>36192.877056000012</v>
          </cell>
          <cell r="E79">
            <v>36486</v>
          </cell>
        </row>
        <row r="80">
          <cell r="A80" t="str">
            <v>O061</v>
          </cell>
          <cell r="B80" t="str">
            <v>ALMACENISTA Y TESORERO</v>
          </cell>
          <cell r="C80" t="str">
            <v>DIA</v>
          </cell>
          <cell r="D80">
            <v>73874.310451200014</v>
          </cell>
          <cell r="E80">
            <v>36486</v>
          </cell>
        </row>
      </sheetData>
      <sheetData sheetId="3" refreshError="1"/>
      <sheetData sheetId="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PROPUESTA CONCREARMADO "/>
      <sheetName val="APUS"/>
      <sheetName val="VARIOS CALCULOS DISEÑO ACTUAL"/>
      <sheetName val="T.REND DISEÑO ACTUAL"/>
      <sheetName val="FLUJO DE FONDOS DISEÑO ACTUAL"/>
      <sheetName val="Hoja1"/>
      <sheetName val="Hoja3"/>
      <sheetName val="Hoja2"/>
      <sheetName val="Hoja4"/>
      <sheetName val="Hoja5"/>
      <sheetName val="Hoja6"/>
      <sheetName val="TD"/>
      <sheetName val="BD"/>
      <sheetName val="PRIMARIOS"/>
      <sheetName val="subproductos"/>
      <sheetName val="licitacion"/>
      <sheetName val="BD COD LICITA"/>
      <sheetName val="3"/>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tables/table1.xml><?xml version="1.0" encoding="utf-8"?>
<table xmlns="http://schemas.openxmlformats.org/spreadsheetml/2006/main" id="3" name="Tabla3" displayName="Tabla3" ref="B5:B1072" totalsRowShown="0" headerRowDxfId="6" dataDxfId="4" headerRowBorderDxfId="5" tableBorderDxfId="3" totalsRowBorderDxfId="2" headerRowCellStyle="Normal_MANDES_AA_D_IN_2_DyA_T-6.5">
  <autoFilter ref="B5:B1072"/>
  <tableColumns count="1">
    <tableColumn id="1" name="DETALLE" dataDxfId="1"/>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9.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omments" Target="../comments10.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omments" Target="../comments11.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omments" Target="../comments12.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31.bin"/><Relationship Id="rId1" Type="http://schemas.openxmlformats.org/officeDocument/2006/relationships/hyperlink" Target="mailto:alcaldemunicipal@sanantero-cordoba.gov.co" TargetMode="External"/><Relationship Id="rId6" Type="http://schemas.openxmlformats.org/officeDocument/2006/relationships/image" Target="../media/image9.emf"/><Relationship Id="rId5" Type="http://schemas.openxmlformats.org/officeDocument/2006/relationships/oleObject" Target="../embeddings/oleObject1.bin"/><Relationship Id="rId4" Type="http://schemas.openxmlformats.org/officeDocument/2006/relationships/vmlDrawing" Target="../drawings/vmlDrawing13.v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indexed="44"/>
  </sheetPr>
  <dimension ref="A1:O51"/>
  <sheetViews>
    <sheetView workbookViewId="0">
      <selection sqref="A1:H1"/>
    </sheetView>
  </sheetViews>
  <sheetFormatPr baseColWidth="10" defaultColWidth="11.44140625" defaultRowHeight="19.2"/>
  <cols>
    <col min="1" max="1" width="17.109375" style="134" customWidth="1"/>
    <col min="2" max="2" width="42.6640625" style="134" customWidth="1"/>
    <col min="3" max="3" width="6.44140625" style="135" customWidth="1"/>
    <col min="4" max="4" width="12.5546875" style="112" customWidth="1"/>
    <col min="5" max="5" width="13.33203125" style="112" customWidth="1"/>
    <col min="6" max="6" width="16.5546875" style="136" customWidth="1"/>
    <col min="7" max="7" width="23.44140625" style="137" customWidth="1"/>
    <col min="8" max="8" width="18.88671875" style="138" customWidth="1"/>
    <col min="9" max="9" width="11.44140625" style="110"/>
    <col min="10" max="10" width="51.33203125" style="110" customWidth="1"/>
    <col min="11" max="11" width="25.109375" style="110" customWidth="1"/>
    <col min="12" max="12" width="26.109375" style="110" customWidth="1"/>
    <col min="13" max="13" width="14.6640625" style="110" customWidth="1"/>
    <col min="14" max="14" width="12.6640625" style="110" bestFit="1" customWidth="1"/>
    <col min="15" max="15" width="19.6640625" style="110" customWidth="1"/>
    <col min="16" max="16384" width="11.44140625" style="110"/>
  </cols>
  <sheetData>
    <row r="1" spans="1:15">
      <c r="A1" s="3215"/>
      <c r="B1" s="3215"/>
      <c r="C1" s="3215"/>
      <c r="D1" s="3215"/>
      <c r="E1" s="3215"/>
      <c r="F1" s="3215"/>
      <c r="G1" s="3215"/>
      <c r="H1" s="3215"/>
    </row>
    <row r="2" spans="1:15">
      <c r="A2" s="3216" t="s">
        <v>797</v>
      </c>
      <c r="B2" s="3216"/>
      <c r="C2" s="3216"/>
      <c r="D2" s="3216"/>
      <c r="E2" s="3216"/>
      <c r="F2" s="3216"/>
      <c r="G2" s="3216"/>
      <c r="H2" s="3216"/>
    </row>
    <row r="3" spans="1:15" hidden="1">
      <c r="A3" s="171"/>
      <c r="B3" s="171"/>
      <c r="C3" s="171"/>
      <c r="D3" s="171"/>
      <c r="E3" s="171"/>
      <c r="F3" s="171"/>
      <c r="G3" s="171"/>
      <c r="H3" s="171"/>
    </row>
    <row r="4" spans="1:15" ht="14.25" hidden="1" customHeight="1">
      <c r="A4" s="3217"/>
      <c r="B4" s="3217"/>
      <c r="C4" s="3217"/>
      <c r="D4" s="3217"/>
      <c r="E4" s="3217"/>
      <c r="F4" s="3217"/>
      <c r="G4" s="3217"/>
      <c r="H4" s="3217"/>
      <c r="J4" s="110" t="s">
        <v>850</v>
      </c>
    </row>
    <row r="5" spans="1:15" ht="22.5" hidden="1" customHeight="1">
      <c r="A5" s="114"/>
      <c r="B5" s="114"/>
      <c r="C5" s="114"/>
      <c r="D5" s="114"/>
      <c r="E5" s="114"/>
      <c r="F5" s="114"/>
      <c r="G5" s="114"/>
      <c r="H5" s="114"/>
      <c r="J5" s="110" t="s">
        <v>851</v>
      </c>
      <c r="K5" s="111"/>
    </row>
    <row r="6" spans="1:15" ht="16.5" customHeight="1" thickBot="1">
      <c r="A6" s="457"/>
      <c r="B6" s="457"/>
      <c r="C6" s="457"/>
      <c r="D6" s="457"/>
      <c r="E6" s="457"/>
      <c r="F6" s="457"/>
      <c r="G6" s="457"/>
      <c r="H6" s="457"/>
      <c r="K6" s="111"/>
    </row>
    <row r="7" spans="1:15" s="112" customFormat="1" ht="22.5" customHeight="1">
      <c r="A7" s="172"/>
      <c r="B7" s="3212" t="s">
        <v>713</v>
      </c>
      <c r="C7" s="3213"/>
      <c r="D7" s="3213"/>
      <c r="E7" s="3213"/>
      <c r="F7" s="3213"/>
      <c r="G7" s="3214"/>
      <c r="H7" s="173"/>
      <c r="J7" s="411" t="s">
        <v>1208</v>
      </c>
      <c r="K7" s="412" t="e">
        <f>+#REF!</f>
        <v>#REF!</v>
      </c>
      <c r="L7" s="413"/>
      <c r="M7" s="414"/>
      <c r="N7" s="414"/>
      <c r="O7" s="414"/>
    </row>
    <row r="8" spans="1:15" ht="31.5" customHeight="1" thickBot="1">
      <c r="A8" s="174" t="s">
        <v>798</v>
      </c>
      <c r="B8" s="139" t="s">
        <v>799</v>
      </c>
      <c r="C8" s="139" t="s">
        <v>427</v>
      </c>
      <c r="D8" s="140" t="s">
        <v>800</v>
      </c>
      <c r="E8" s="140" t="s">
        <v>689</v>
      </c>
      <c r="F8" s="141" t="s">
        <v>801</v>
      </c>
      <c r="G8" s="140" t="s">
        <v>268</v>
      </c>
      <c r="H8" s="175" t="s">
        <v>802</v>
      </c>
      <c r="J8" s="411" t="s">
        <v>1209</v>
      </c>
      <c r="K8" s="415">
        <v>360</v>
      </c>
      <c r="L8" s="416"/>
      <c r="M8" s="414"/>
      <c r="N8" s="414"/>
      <c r="O8" s="414"/>
    </row>
    <row r="9" spans="1:15" ht="22.5" customHeight="1">
      <c r="A9" s="142" t="s">
        <v>622</v>
      </c>
      <c r="B9" s="3206" t="s">
        <v>803</v>
      </c>
      <c r="C9" s="3206"/>
      <c r="D9" s="3206"/>
      <c r="E9" s="3206"/>
      <c r="F9" s="3206"/>
      <c r="G9" s="3206"/>
      <c r="H9" s="3207"/>
      <c r="J9" s="417"/>
      <c r="K9" s="417"/>
      <c r="L9" s="418"/>
      <c r="M9" s="417"/>
      <c r="N9" s="417"/>
      <c r="O9" s="417"/>
    </row>
    <row r="10" spans="1:15">
      <c r="A10" s="143" t="s">
        <v>34</v>
      </c>
      <c r="B10" s="121" t="s">
        <v>858</v>
      </c>
      <c r="C10" s="113" t="s">
        <v>804</v>
      </c>
      <c r="D10" s="115"/>
      <c r="E10" s="115"/>
      <c r="F10" s="116"/>
      <c r="G10" s="117"/>
      <c r="H10" s="144"/>
      <c r="J10" s="3228" t="s">
        <v>1236</v>
      </c>
      <c r="K10" s="3228"/>
      <c r="L10" s="417"/>
      <c r="M10" s="417"/>
      <c r="N10" s="417"/>
      <c r="O10" s="417"/>
    </row>
    <row r="11" spans="1:15">
      <c r="A11" s="145" t="s">
        <v>805</v>
      </c>
      <c r="B11" s="129" t="s">
        <v>806</v>
      </c>
      <c r="C11" s="118" t="s">
        <v>804</v>
      </c>
      <c r="D11" s="119"/>
      <c r="E11" s="119"/>
      <c r="F11" s="120"/>
      <c r="G11" s="117">
        <v>0.01</v>
      </c>
      <c r="H11" s="144" t="e">
        <f>+$K$7*G11</f>
        <v>#REF!</v>
      </c>
      <c r="J11" s="419" t="s">
        <v>949</v>
      </c>
      <c r="K11" s="420">
        <v>4280000</v>
      </c>
      <c r="L11" s="429"/>
      <c r="M11" s="417"/>
      <c r="N11" s="417"/>
      <c r="O11" s="417"/>
    </row>
    <row r="12" spans="1:15">
      <c r="A12" s="145" t="s">
        <v>807</v>
      </c>
      <c r="B12" s="129" t="s">
        <v>585</v>
      </c>
      <c r="C12" s="118" t="s">
        <v>804</v>
      </c>
      <c r="D12" s="119"/>
      <c r="E12" s="119"/>
      <c r="F12" s="120"/>
      <c r="G12" s="117">
        <v>1.7999999999999999E-2</v>
      </c>
      <c r="H12" s="144" t="e">
        <f t="shared" ref="H12:H15" si="0">+$K$7*G12</f>
        <v>#REF!</v>
      </c>
      <c r="J12" s="419" t="s">
        <v>818</v>
      </c>
      <c r="K12" s="420">
        <v>3500000</v>
      </c>
      <c r="L12" s="429"/>
      <c r="M12" s="421"/>
      <c r="N12" s="421"/>
      <c r="O12" s="421"/>
    </row>
    <row r="13" spans="1:15">
      <c r="A13" s="145" t="s">
        <v>808</v>
      </c>
      <c r="B13" s="129" t="s">
        <v>809</v>
      </c>
      <c r="C13" s="118" t="s">
        <v>804</v>
      </c>
      <c r="D13" s="119"/>
      <c r="E13" s="119"/>
      <c r="F13" s="120"/>
      <c r="G13" s="117">
        <v>0.02</v>
      </c>
      <c r="H13" s="144" t="e">
        <f t="shared" si="0"/>
        <v>#REF!</v>
      </c>
      <c r="J13" s="422" t="s">
        <v>950</v>
      </c>
      <c r="K13" s="420">
        <v>950000</v>
      </c>
      <c r="L13" s="429"/>
      <c r="M13" s="417"/>
      <c r="N13" s="417"/>
      <c r="O13" s="417"/>
    </row>
    <row r="14" spans="1:15">
      <c r="A14" s="145" t="s">
        <v>810</v>
      </c>
      <c r="B14" s="129" t="s">
        <v>811</v>
      </c>
      <c r="C14" s="118" t="s">
        <v>804</v>
      </c>
      <c r="D14" s="119"/>
      <c r="E14" s="119"/>
      <c r="F14" s="120"/>
      <c r="G14" s="117">
        <v>0.01</v>
      </c>
      <c r="H14" s="144" t="e">
        <f t="shared" si="0"/>
        <v>#REF!</v>
      </c>
      <c r="J14" s="419" t="s">
        <v>951</v>
      </c>
      <c r="K14" s="420">
        <v>950000</v>
      </c>
      <c r="L14" s="429"/>
      <c r="M14" s="418"/>
      <c r="N14" s="418"/>
      <c r="O14" s="418"/>
    </row>
    <row r="15" spans="1:15">
      <c r="A15" s="145" t="s">
        <v>812</v>
      </c>
      <c r="B15" s="129" t="s">
        <v>813</v>
      </c>
      <c r="C15" s="118" t="s">
        <v>804</v>
      </c>
      <c r="D15" s="119"/>
      <c r="E15" s="119"/>
      <c r="F15" s="120"/>
      <c r="G15" s="117">
        <v>1.4999999999999999E-2</v>
      </c>
      <c r="H15" s="144" t="e">
        <f t="shared" si="0"/>
        <v>#REF!</v>
      </c>
      <c r="J15" s="419" t="s">
        <v>952</v>
      </c>
      <c r="K15" s="420">
        <v>1750000</v>
      </c>
      <c r="L15" s="429"/>
      <c r="M15" s="418"/>
      <c r="N15" s="418"/>
      <c r="O15" s="418"/>
    </row>
    <row r="16" spans="1:15">
      <c r="A16" s="143" t="s">
        <v>814</v>
      </c>
      <c r="B16" s="121" t="s">
        <v>815</v>
      </c>
      <c r="C16" s="113"/>
      <c r="D16" s="115"/>
      <c r="E16" s="115"/>
      <c r="F16" s="116"/>
      <c r="G16" s="122"/>
      <c r="H16" s="144"/>
      <c r="J16" s="419" t="s">
        <v>953</v>
      </c>
      <c r="K16" s="420">
        <v>900000</v>
      </c>
      <c r="L16" s="429"/>
      <c r="M16" s="418"/>
      <c r="N16" s="418"/>
      <c r="O16" s="418"/>
    </row>
    <row r="17" spans="1:15">
      <c r="A17" s="145" t="s">
        <v>816</v>
      </c>
      <c r="B17" s="129" t="s">
        <v>949</v>
      </c>
      <c r="C17" s="155" t="s">
        <v>346</v>
      </c>
      <c r="D17" s="123">
        <f>+$K$8</f>
        <v>360</v>
      </c>
      <c r="E17" s="124">
        <v>1</v>
      </c>
      <c r="F17" s="116">
        <f>5000000*1.6/30</f>
        <v>266666.66666666669</v>
      </c>
      <c r="G17" s="117" t="e">
        <f>+H17/$K$7</f>
        <v>#REF!</v>
      </c>
      <c r="H17" s="144">
        <f t="shared" ref="H17:H25" si="1">+ROUND(D17*F17*E17,0)</f>
        <v>96000000</v>
      </c>
      <c r="J17" s="419" t="s">
        <v>954</v>
      </c>
      <c r="K17" s="420">
        <v>850000</v>
      </c>
      <c r="L17" s="429"/>
      <c r="M17" s="418"/>
      <c r="N17" s="418"/>
      <c r="O17" s="418"/>
    </row>
    <row r="18" spans="1:15">
      <c r="A18" s="145" t="s">
        <v>817</v>
      </c>
      <c r="B18" s="129" t="s">
        <v>818</v>
      </c>
      <c r="C18" s="155" t="s">
        <v>346</v>
      </c>
      <c r="D18" s="123">
        <f t="shared" ref="D18:D25" si="2">+$K$8</f>
        <v>360</v>
      </c>
      <c r="E18" s="124">
        <v>3</v>
      </c>
      <c r="F18" s="116">
        <f>4000000*1.6/30</f>
        <v>213333.33333333334</v>
      </c>
      <c r="G18" s="117" t="e">
        <f t="shared" ref="G18:G25" si="3">+H18/$K$7</f>
        <v>#REF!</v>
      </c>
      <c r="H18" s="144">
        <f t="shared" si="1"/>
        <v>230400000</v>
      </c>
      <c r="J18" s="419" t="s">
        <v>1210</v>
      </c>
      <c r="K18" s="420">
        <v>3100000</v>
      </c>
      <c r="L18" s="429"/>
      <c r="M18" s="418"/>
      <c r="N18" s="418"/>
      <c r="O18" s="418"/>
    </row>
    <row r="19" spans="1:15">
      <c r="A19" s="145" t="s">
        <v>819</v>
      </c>
      <c r="B19" s="129" t="s">
        <v>1296</v>
      </c>
      <c r="C19" s="155" t="s">
        <v>346</v>
      </c>
      <c r="D19" s="123">
        <f t="shared" si="2"/>
        <v>360</v>
      </c>
      <c r="E19" s="124">
        <v>1</v>
      </c>
      <c r="F19" s="116">
        <f>4000000*1.6/30</f>
        <v>213333.33333333334</v>
      </c>
      <c r="G19" s="117" t="e">
        <f t="shared" si="3"/>
        <v>#REF!</v>
      </c>
      <c r="H19" s="144">
        <f t="shared" si="1"/>
        <v>76800000</v>
      </c>
      <c r="J19" s="419" t="s">
        <v>1211</v>
      </c>
      <c r="K19" s="420">
        <v>4280000</v>
      </c>
      <c r="L19" s="429"/>
      <c r="M19" s="418"/>
      <c r="N19" s="418"/>
      <c r="O19" s="418"/>
    </row>
    <row r="20" spans="1:15">
      <c r="A20" s="145" t="s">
        <v>820</v>
      </c>
      <c r="B20" s="129" t="s">
        <v>950</v>
      </c>
      <c r="C20" s="155" t="s">
        <v>346</v>
      </c>
      <c r="D20" s="123">
        <f t="shared" si="2"/>
        <v>360</v>
      </c>
      <c r="E20" s="124">
        <v>2</v>
      </c>
      <c r="F20" s="116">
        <f>2000000*1.6/30</f>
        <v>106666.66666666667</v>
      </c>
      <c r="G20" s="117" t="e">
        <f t="shared" si="3"/>
        <v>#REF!</v>
      </c>
      <c r="H20" s="144">
        <f t="shared" si="1"/>
        <v>76800000</v>
      </c>
      <c r="J20" s="423" t="s">
        <v>1212</v>
      </c>
      <c r="K20" s="424">
        <f>+PRESTA!C26</f>
        <v>0.82220000000000015</v>
      </c>
      <c r="L20" s="429"/>
      <c r="M20" s="418"/>
      <c r="N20" s="418"/>
      <c r="O20" s="418"/>
    </row>
    <row r="21" spans="1:15">
      <c r="A21" s="145" t="s">
        <v>821</v>
      </c>
      <c r="B21" s="129" t="s">
        <v>951</v>
      </c>
      <c r="C21" s="155" t="s">
        <v>346</v>
      </c>
      <c r="D21" s="123">
        <f t="shared" si="2"/>
        <v>360</v>
      </c>
      <c r="E21" s="124">
        <v>2</v>
      </c>
      <c r="F21" s="116">
        <f>800000*1.6/30</f>
        <v>42666.666666666664</v>
      </c>
      <c r="G21" s="117" t="e">
        <f t="shared" si="3"/>
        <v>#REF!</v>
      </c>
      <c r="H21" s="144">
        <f t="shared" si="1"/>
        <v>30720000</v>
      </c>
      <c r="L21" s="418"/>
      <c r="M21" s="418"/>
      <c r="N21" s="418"/>
      <c r="O21" s="418"/>
    </row>
    <row r="22" spans="1:15">
      <c r="A22" s="145" t="s">
        <v>822</v>
      </c>
      <c r="B22" s="129" t="s">
        <v>952</v>
      </c>
      <c r="C22" s="155" t="s">
        <v>346</v>
      </c>
      <c r="D22" s="123">
        <f t="shared" si="2"/>
        <v>360</v>
      </c>
      <c r="E22" s="124">
        <v>2</v>
      </c>
      <c r="F22" s="116">
        <f>2000000*1.6/30</f>
        <v>106666.66666666667</v>
      </c>
      <c r="G22" s="117" t="e">
        <f t="shared" si="3"/>
        <v>#REF!</v>
      </c>
      <c r="H22" s="144">
        <f t="shared" si="1"/>
        <v>76800000</v>
      </c>
      <c r="J22" s="417"/>
      <c r="K22" s="425"/>
      <c r="L22" s="417"/>
      <c r="M22" s="417"/>
      <c r="N22" s="417"/>
      <c r="O22" s="417"/>
    </row>
    <row r="23" spans="1:15">
      <c r="A23" s="145" t="s">
        <v>823</v>
      </c>
      <c r="B23" s="129" t="s">
        <v>953</v>
      </c>
      <c r="C23" s="155" t="s">
        <v>346</v>
      </c>
      <c r="D23" s="123">
        <f t="shared" si="2"/>
        <v>360</v>
      </c>
      <c r="E23" s="124">
        <v>1</v>
      </c>
      <c r="F23" s="116">
        <f>800000*1.6/30</f>
        <v>42666.666666666664</v>
      </c>
      <c r="G23" s="117" t="e">
        <f t="shared" si="3"/>
        <v>#REF!</v>
      </c>
      <c r="H23" s="144">
        <f t="shared" si="1"/>
        <v>15360000</v>
      </c>
      <c r="J23" s="3228" t="s">
        <v>1213</v>
      </c>
      <c r="K23" s="3228"/>
      <c r="L23" s="3228"/>
      <c r="M23" s="3228"/>
      <c r="N23" s="3228"/>
      <c r="O23" s="3228"/>
    </row>
    <row r="24" spans="1:15" ht="38.4">
      <c r="A24" s="145" t="s">
        <v>824</v>
      </c>
      <c r="B24" s="129" t="s">
        <v>954</v>
      </c>
      <c r="C24" s="155" t="s">
        <v>346</v>
      </c>
      <c r="D24" s="123">
        <f t="shared" si="2"/>
        <v>360</v>
      </c>
      <c r="E24" s="124">
        <f>+E23</f>
        <v>1</v>
      </c>
      <c r="F24" s="116">
        <f>737717*1.6/30</f>
        <v>39344.906666666662</v>
      </c>
      <c r="G24" s="117" t="e">
        <f t="shared" si="3"/>
        <v>#REF!</v>
      </c>
      <c r="H24" s="144">
        <f t="shared" si="1"/>
        <v>14164166</v>
      </c>
      <c r="J24" s="426" t="s">
        <v>1214</v>
      </c>
      <c r="K24" s="427" t="s">
        <v>1215</v>
      </c>
      <c r="L24" s="426"/>
      <c r="M24" s="427" t="s">
        <v>1216</v>
      </c>
      <c r="N24" s="427" t="s">
        <v>1217</v>
      </c>
      <c r="O24" s="426" t="s">
        <v>1218</v>
      </c>
    </row>
    <row r="25" spans="1:15" s="112" customFormat="1">
      <c r="A25" s="145" t="s">
        <v>1297</v>
      </c>
      <c r="B25" s="129" t="s">
        <v>825</v>
      </c>
      <c r="C25" s="155" t="s">
        <v>346</v>
      </c>
      <c r="D25" s="123">
        <f t="shared" si="2"/>
        <v>360</v>
      </c>
      <c r="E25" s="124">
        <v>1</v>
      </c>
      <c r="F25" s="116">
        <f>4000000*1.6/30</f>
        <v>213333.33333333334</v>
      </c>
      <c r="G25" s="117" t="e">
        <f t="shared" si="3"/>
        <v>#REF!</v>
      </c>
      <c r="H25" s="144">
        <f t="shared" si="1"/>
        <v>76800000</v>
      </c>
      <c r="J25" s="419"/>
      <c r="K25" s="426" t="s">
        <v>283</v>
      </c>
      <c r="L25" s="426" t="s">
        <v>1219</v>
      </c>
      <c r="M25" s="419"/>
      <c r="N25" s="419"/>
      <c r="O25" s="419"/>
    </row>
    <row r="26" spans="1:15">
      <c r="A26" s="143" t="s">
        <v>826</v>
      </c>
      <c r="B26" s="121" t="s">
        <v>662</v>
      </c>
      <c r="C26" s="151"/>
      <c r="D26" s="123"/>
      <c r="E26" s="127"/>
      <c r="F26" s="116"/>
      <c r="G26" s="117"/>
      <c r="H26" s="144"/>
      <c r="J26" s="419" t="s">
        <v>1220</v>
      </c>
      <c r="K26" s="419">
        <v>0.3</v>
      </c>
      <c r="L26" s="419"/>
      <c r="M26" s="419"/>
      <c r="N26" s="419"/>
      <c r="O26" s="419"/>
    </row>
    <row r="27" spans="1:15">
      <c r="A27" s="145" t="s">
        <v>827</v>
      </c>
      <c r="B27" s="129" t="s">
        <v>955</v>
      </c>
      <c r="C27" s="155" t="s">
        <v>346</v>
      </c>
      <c r="D27" s="123">
        <f>+K8</f>
        <v>360</v>
      </c>
      <c r="E27" s="124">
        <v>1</v>
      </c>
      <c r="F27" s="116">
        <v>70000</v>
      </c>
      <c r="G27" s="117" t="e">
        <f>+H27/$K$7</f>
        <v>#REF!</v>
      </c>
      <c r="H27" s="144">
        <f t="shared" ref="H27:H34" si="4">+ROUND(D27*F27*E27,0)</f>
        <v>25200000</v>
      </c>
      <c r="J27" s="419" t="s">
        <v>1221</v>
      </c>
      <c r="K27" s="419">
        <v>0.2</v>
      </c>
      <c r="L27" s="430" t="e">
        <f>K7*K27</f>
        <v>#REF!</v>
      </c>
      <c r="M27" s="431">
        <f>K8+(6*30)</f>
        <v>540</v>
      </c>
      <c r="N27" s="430">
        <v>3.0000000000000001E-3</v>
      </c>
      <c r="O27" s="432" t="e">
        <f>(L27*N27)/365*M27</f>
        <v>#REF!</v>
      </c>
    </row>
    <row r="28" spans="1:15">
      <c r="A28" s="145" t="s">
        <v>828</v>
      </c>
      <c r="B28" s="129" t="s">
        <v>829</v>
      </c>
      <c r="C28" s="155" t="s">
        <v>346</v>
      </c>
      <c r="D28" s="123">
        <f>+$K$8</f>
        <v>360</v>
      </c>
      <c r="E28" s="124">
        <v>1</v>
      </c>
      <c r="F28" s="116">
        <v>20000</v>
      </c>
      <c r="G28" s="117" t="e">
        <f t="shared" ref="G28:G34" si="5">+H28/$K$7</f>
        <v>#REF!</v>
      </c>
      <c r="H28" s="144">
        <f t="shared" si="4"/>
        <v>7200000</v>
      </c>
      <c r="J28" s="419" t="s">
        <v>1222</v>
      </c>
      <c r="K28" s="419" t="s">
        <v>1223</v>
      </c>
      <c r="L28" s="430" t="e">
        <f>K7*K26</f>
        <v>#REF!</v>
      </c>
      <c r="M28" s="431">
        <f>K8+(6*30)</f>
        <v>540</v>
      </c>
      <c r="N28" s="430">
        <v>2E-3</v>
      </c>
      <c r="O28" s="432" t="e">
        <f>(L28*N28)/365*M28</f>
        <v>#REF!</v>
      </c>
    </row>
    <row r="29" spans="1:15">
      <c r="A29" s="145" t="s">
        <v>830</v>
      </c>
      <c r="B29" s="129" t="s">
        <v>831</v>
      </c>
      <c r="C29" s="155" t="s">
        <v>772</v>
      </c>
      <c r="D29" s="123">
        <v>1</v>
      </c>
      <c r="E29" s="124">
        <v>1</v>
      </c>
      <c r="F29" s="116">
        <v>2000000</v>
      </c>
      <c r="G29" s="117" t="e">
        <f t="shared" si="5"/>
        <v>#REF!</v>
      </c>
      <c r="H29" s="144">
        <f t="shared" si="4"/>
        <v>2000000</v>
      </c>
      <c r="J29" s="419" t="s">
        <v>1224</v>
      </c>
      <c r="K29" s="419">
        <v>0.1</v>
      </c>
      <c r="L29" s="511" t="e">
        <f>$K$7*K29</f>
        <v>#REF!</v>
      </c>
      <c r="M29" s="431">
        <f>K8+(3*360)</f>
        <v>1440</v>
      </c>
      <c r="N29" s="430">
        <v>2E-3</v>
      </c>
      <c r="O29" s="432" t="e">
        <f>(L29*N29)/365*M29</f>
        <v>#REF!</v>
      </c>
    </row>
    <row r="30" spans="1:15">
      <c r="A30" s="145" t="s">
        <v>832</v>
      </c>
      <c r="B30" s="129" t="s">
        <v>833</v>
      </c>
      <c r="C30" s="155" t="s">
        <v>346</v>
      </c>
      <c r="D30" s="123">
        <f>+$K$8</f>
        <v>360</v>
      </c>
      <c r="E30" s="128">
        <v>1</v>
      </c>
      <c r="F30" s="120">
        <v>30000</v>
      </c>
      <c r="G30" s="117" t="e">
        <f t="shared" si="5"/>
        <v>#REF!</v>
      </c>
      <c r="H30" s="144">
        <f t="shared" si="4"/>
        <v>10800000</v>
      </c>
      <c r="J30" s="419" t="s">
        <v>1225</v>
      </c>
      <c r="K30" s="419">
        <v>0.2</v>
      </c>
      <c r="L30" s="511" t="e">
        <f t="shared" ref="L30:L31" si="6">$K$7*K30</f>
        <v>#REF!</v>
      </c>
      <c r="M30" s="431">
        <f>K8+(5*360)</f>
        <v>2160</v>
      </c>
      <c r="N30" s="430">
        <v>3.0000000000000001E-3</v>
      </c>
      <c r="O30" s="432" t="e">
        <f>(L30*N30)/365*M30</f>
        <v>#REF!</v>
      </c>
    </row>
    <row r="31" spans="1:15">
      <c r="A31" s="145" t="s">
        <v>834</v>
      </c>
      <c r="B31" s="129" t="s">
        <v>835</v>
      </c>
      <c r="C31" s="155" t="s">
        <v>346</v>
      </c>
      <c r="D31" s="123">
        <f>+$K$8</f>
        <v>360</v>
      </c>
      <c r="E31" s="124">
        <v>1</v>
      </c>
      <c r="F31" s="116">
        <v>150000</v>
      </c>
      <c r="G31" s="117" t="e">
        <f t="shared" si="5"/>
        <v>#REF!</v>
      </c>
      <c r="H31" s="144">
        <f t="shared" si="4"/>
        <v>54000000</v>
      </c>
      <c r="J31" s="419" t="s">
        <v>1226</v>
      </c>
      <c r="K31" s="419">
        <v>0.2</v>
      </c>
      <c r="L31" s="511" t="e">
        <f t="shared" si="6"/>
        <v>#REF!</v>
      </c>
      <c r="M31" s="431">
        <f>K8</f>
        <v>360</v>
      </c>
      <c r="N31" s="430">
        <v>3.0000000000000001E-3</v>
      </c>
      <c r="O31" s="432" t="e">
        <f>(L31*N31)/365*M31</f>
        <v>#REF!</v>
      </c>
    </row>
    <row r="32" spans="1:15">
      <c r="A32" s="145" t="s">
        <v>836</v>
      </c>
      <c r="B32" s="129" t="s">
        <v>837</v>
      </c>
      <c r="C32" s="155" t="s">
        <v>346</v>
      </c>
      <c r="D32" s="123">
        <f>+$K$8</f>
        <v>360</v>
      </c>
      <c r="E32" s="124">
        <v>1</v>
      </c>
      <c r="F32" s="116">
        <v>10000</v>
      </c>
      <c r="G32" s="117" t="e">
        <f t="shared" si="5"/>
        <v>#REF!</v>
      </c>
      <c r="H32" s="144">
        <f t="shared" si="4"/>
        <v>3600000</v>
      </c>
      <c r="J32" s="419" t="s">
        <v>1227</v>
      </c>
      <c r="K32" s="419"/>
      <c r="L32" s="430"/>
      <c r="M32" s="430"/>
      <c r="N32" s="430"/>
      <c r="O32" s="430"/>
    </row>
    <row r="33" spans="1:15" ht="16.5" customHeight="1">
      <c r="A33" s="145" t="s">
        <v>838</v>
      </c>
      <c r="B33" s="129" t="s">
        <v>839</v>
      </c>
      <c r="C33" s="155" t="s">
        <v>772</v>
      </c>
      <c r="D33" s="123">
        <v>1</v>
      </c>
      <c r="E33" s="124">
        <v>1</v>
      </c>
      <c r="F33" s="116">
        <v>1800000</v>
      </c>
      <c r="G33" s="117" t="e">
        <f t="shared" si="5"/>
        <v>#REF!</v>
      </c>
      <c r="H33" s="144">
        <f t="shared" si="4"/>
        <v>1800000</v>
      </c>
      <c r="J33" s="419" t="s">
        <v>1228</v>
      </c>
      <c r="K33" s="419"/>
      <c r="L33" s="430"/>
      <c r="M33" s="430"/>
      <c r="N33" s="430"/>
      <c r="O33" s="432" t="e">
        <f>SUM(O27:O32)</f>
        <v>#REF!</v>
      </c>
    </row>
    <row r="34" spans="1:15" ht="16.5" customHeight="1">
      <c r="A34" s="458" t="s">
        <v>1300</v>
      </c>
      <c r="B34" s="459" t="s">
        <v>1299</v>
      </c>
      <c r="C34" s="155" t="s">
        <v>772</v>
      </c>
      <c r="D34" s="460">
        <v>1</v>
      </c>
      <c r="E34" s="461">
        <v>1</v>
      </c>
      <c r="F34" s="462">
        <v>16103803</v>
      </c>
      <c r="G34" s="463" t="e">
        <f t="shared" si="5"/>
        <v>#REF!</v>
      </c>
      <c r="H34" s="464">
        <f t="shared" si="4"/>
        <v>16103803</v>
      </c>
      <c r="J34" s="419"/>
      <c r="K34" s="419"/>
      <c r="L34" s="430"/>
      <c r="M34" s="430"/>
      <c r="N34" s="430"/>
      <c r="O34" s="432"/>
    </row>
    <row r="35" spans="1:15" s="114" customFormat="1" ht="22.5" customHeight="1" thickBot="1">
      <c r="A35" s="146"/>
      <c r="B35" s="3211" t="s">
        <v>840</v>
      </c>
      <c r="C35" s="3211"/>
      <c r="D35" s="3211"/>
      <c r="E35" s="3211"/>
      <c r="F35" s="3211"/>
      <c r="G35" s="147" t="e">
        <f>ROUND(SUM(G11:G34),2)</f>
        <v>#REF!</v>
      </c>
      <c r="H35" s="148" t="e">
        <f>+SUM(H10:H33)</f>
        <v>#REF!</v>
      </c>
      <c r="J35" s="419" t="s">
        <v>1229</v>
      </c>
      <c r="K35" s="419"/>
      <c r="L35" s="430"/>
      <c r="M35" s="430"/>
      <c r="N35" s="430"/>
      <c r="O35" s="432">
        <v>15000</v>
      </c>
    </row>
    <row r="36" spans="1:15" s="114" customFormat="1" ht="32.25" customHeight="1" thickBot="1">
      <c r="A36" s="3221"/>
      <c r="B36" s="3221"/>
      <c r="C36" s="3221"/>
      <c r="D36" s="3221"/>
      <c r="E36" s="3221"/>
      <c r="F36" s="3221"/>
      <c r="G36" s="3221"/>
      <c r="H36" s="3221"/>
      <c r="J36" s="419" t="s">
        <v>1230</v>
      </c>
      <c r="K36" s="419"/>
      <c r="L36" s="430"/>
      <c r="M36" s="430"/>
      <c r="N36" s="430"/>
      <c r="O36" s="432" t="e">
        <f>(O33+O35)*19%</f>
        <v>#REF!</v>
      </c>
    </row>
    <row r="37" spans="1:15" ht="22.5" customHeight="1">
      <c r="A37" s="142" t="s">
        <v>260</v>
      </c>
      <c r="B37" s="3208" t="s">
        <v>841</v>
      </c>
      <c r="C37" s="3209"/>
      <c r="D37" s="3209"/>
      <c r="E37" s="3209"/>
      <c r="F37" s="3209"/>
      <c r="G37" s="3209"/>
      <c r="H37" s="3210"/>
      <c r="J37" s="419" t="s">
        <v>1231</v>
      </c>
      <c r="K37" s="419"/>
      <c r="L37" s="430"/>
      <c r="M37" s="430"/>
      <c r="N37" s="430"/>
      <c r="O37" s="432" t="e">
        <f>ROUNDUP(O33+O35+O36,0)</f>
        <v>#REF!</v>
      </c>
    </row>
    <row r="38" spans="1:15" ht="19.5" customHeight="1">
      <c r="A38" s="145" t="s">
        <v>35</v>
      </c>
      <c r="B38" s="3225" t="s">
        <v>842</v>
      </c>
      <c r="C38" s="3226"/>
      <c r="D38" s="3226"/>
      <c r="E38" s="3226"/>
      <c r="F38" s="3227"/>
      <c r="G38" s="117">
        <v>0.08</v>
      </c>
      <c r="H38" s="149">
        <f>+$G$5*G38</f>
        <v>0</v>
      </c>
      <c r="J38" s="419" t="s">
        <v>1232</v>
      </c>
      <c r="K38" s="428" t="e">
        <f>O37/K7</f>
        <v>#REF!</v>
      </c>
      <c r="L38" s="419"/>
      <c r="M38" s="419"/>
      <c r="N38" s="419"/>
      <c r="O38" s="419"/>
    </row>
    <row r="39" spans="1:15" s="114" customFormat="1" ht="22.5" customHeight="1" thickBot="1">
      <c r="A39" s="146"/>
      <c r="B39" s="3222" t="s">
        <v>843</v>
      </c>
      <c r="C39" s="3223"/>
      <c r="D39" s="3223"/>
      <c r="E39" s="3223"/>
      <c r="F39" s="3224"/>
      <c r="G39" s="147">
        <f>+G38</f>
        <v>0.08</v>
      </c>
      <c r="H39" s="148">
        <f>+H38</f>
        <v>0</v>
      </c>
      <c r="J39" s="3229" t="s">
        <v>1233</v>
      </c>
      <c r="K39" s="3229"/>
      <c r="L39" s="3229"/>
      <c r="M39" s="3229"/>
      <c r="N39" s="3229"/>
      <c r="O39" s="3229"/>
    </row>
    <row r="40" spans="1:15" s="114" customFormat="1" ht="32.25" customHeight="1" thickBot="1">
      <c r="A40" s="3221"/>
      <c r="B40" s="3221"/>
      <c r="C40" s="3221"/>
      <c r="D40" s="3221"/>
      <c r="E40" s="3221"/>
      <c r="F40" s="3221"/>
      <c r="G40" s="3221"/>
      <c r="H40" s="3221"/>
      <c r="J40" s="419" t="s">
        <v>1234</v>
      </c>
      <c r="K40" s="512">
        <v>113340</v>
      </c>
      <c r="L40" s="419"/>
      <c r="M40" s="419"/>
      <c r="N40" s="419">
        <v>2</v>
      </c>
      <c r="O40" s="432">
        <f>+K40*N40</f>
        <v>226680</v>
      </c>
    </row>
    <row r="41" spans="1:15" ht="22.5" customHeight="1">
      <c r="A41" s="142" t="s">
        <v>844</v>
      </c>
      <c r="B41" s="3208" t="s">
        <v>845</v>
      </c>
      <c r="C41" s="3209"/>
      <c r="D41" s="3209"/>
      <c r="E41" s="3209"/>
      <c r="F41" s="3209"/>
      <c r="G41" s="3209"/>
      <c r="H41" s="3210"/>
      <c r="J41" s="419" t="s">
        <v>1235</v>
      </c>
      <c r="K41" s="419"/>
      <c r="L41" s="419"/>
      <c r="M41" s="419"/>
      <c r="N41" s="419"/>
      <c r="O41" s="432" t="e">
        <f>+O40+O37</f>
        <v>#REF!</v>
      </c>
    </row>
    <row r="42" spans="1:15" ht="18" customHeight="1">
      <c r="A42" s="145" t="s">
        <v>36</v>
      </c>
      <c r="B42" s="3225" t="s">
        <v>846</v>
      </c>
      <c r="C42" s="3226"/>
      <c r="D42" s="3226"/>
      <c r="E42" s="3226"/>
      <c r="F42" s="3227"/>
      <c r="G42" s="117">
        <v>7.0000000000000007E-2</v>
      </c>
      <c r="H42" s="149">
        <f>+$G$5*G42</f>
        <v>0</v>
      </c>
    </row>
    <row r="43" spans="1:15" s="114" customFormat="1" ht="22.5" customHeight="1" thickBot="1">
      <c r="A43" s="146"/>
      <c r="B43" s="3222" t="s">
        <v>847</v>
      </c>
      <c r="C43" s="3223"/>
      <c r="D43" s="3223"/>
      <c r="E43" s="3223"/>
      <c r="F43" s="3224"/>
      <c r="G43" s="147">
        <f>+G42</f>
        <v>7.0000000000000007E-2</v>
      </c>
      <c r="H43" s="148">
        <f>+H42</f>
        <v>0</v>
      </c>
    </row>
    <row r="44" spans="1:15" s="114" customFormat="1" ht="32.25" customHeight="1" thickBot="1">
      <c r="A44" s="3221"/>
      <c r="B44" s="3221"/>
      <c r="C44" s="3221"/>
      <c r="D44" s="3221"/>
      <c r="E44" s="3221"/>
      <c r="F44" s="3221"/>
      <c r="G44" s="3221"/>
      <c r="H44" s="3221"/>
    </row>
    <row r="45" spans="1:15" ht="22.2" thickBot="1">
      <c r="A45" s="3218" t="s">
        <v>848</v>
      </c>
      <c r="B45" s="3219"/>
      <c r="C45" s="3219"/>
      <c r="D45" s="3219"/>
      <c r="E45" s="3219"/>
      <c r="F45" s="3220"/>
      <c r="G45" s="177" t="e">
        <f>ROUND(+G35+G39+G43,2)</f>
        <v>#REF!</v>
      </c>
      <c r="H45" s="176" t="e">
        <f>+H35+H39+H43</f>
        <v>#REF!</v>
      </c>
    </row>
    <row r="46" spans="1:15" s="114" customFormat="1">
      <c r="A46" s="130"/>
      <c r="B46" s="130"/>
      <c r="C46" s="131"/>
      <c r="D46" s="126"/>
      <c r="E46" s="126"/>
      <c r="F46" s="132"/>
      <c r="G46" s="133"/>
      <c r="H46" s="125"/>
    </row>
    <row r="47" spans="1:15" s="114" customFormat="1">
      <c r="A47" s="130"/>
      <c r="B47" s="130"/>
      <c r="C47" s="131"/>
      <c r="D47" s="126"/>
      <c r="E47" s="126"/>
      <c r="F47" s="132"/>
      <c r="G47" s="133"/>
      <c r="H47" s="125" t="e">
        <f>+H45+K7</f>
        <v>#REF!</v>
      </c>
    </row>
    <row r="48" spans="1:15" s="114" customFormat="1">
      <c r="A48" s="130"/>
      <c r="B48" s="130"/>
      <c r="C48" s="131"/>
      <c r="D48" s="126"/>
      <c r="E48" s="126"/>
      <c r="F48" s="132"/>
      <c r="G48" s="133"/>
      <c r="H48" s="125"/>
    </row>
    <row r="49" spans="1:8" s="114" customFormat="1">
      <c r="A49" s="130"/>
      <c r="B49" s="130"/>
      <c r="C49" s="131"/>
      <c r="D49" s="126"/>
      <c r="E49" s="126"/>
      <c r="F49" s="132"/>
      <c r="G49" s="133"/>
      <c r="H49" s="125"/>
    </row>
    <row r="50" spans="1:8" s="114" customFormat="1">
      <c r="A50" s="130"/>
      <c r="B50" s="130"/>
      <c r="C50" s="131"/>
      <c r="D50" s="126"/>
      <c r="E50" s="126"/>
      <c r="F50" s="132"/>
      <c r="G50" s="133"/>
      <c r="H50" s="125"/>
    </row>
    <row r="51" spans="1:8" s="114" customFormat="1">
      <c r="A51" s="130"/>
      <c r="B51" s="130"/>
      <c r="C51" s="131"/>
      <c r="D51" s="126"/>
      <c r="E51" s="126"/>
      <c r="F51" s="132"/>
      <c r="G51" s="133"/>
      <c r="H51" s="125"/>
    </row>
  </sheetData>
  <mergeCells count="19">
    <mergeCell ref="J10:K10"/>
    <mergeCell ref="J23:O23"/>
    <mergeCell ref="J39:O39"/>
    <mergeCell ref="B38:F38"/>
    <mergeCell ref="A36:H36"/>
    <mergeCell ref="A45:F45"/>
    <mergeCell ref="A44:H44"/>
    <mergeCell ref="B39:F39"/>
    <mergeCell ref="B43:F43"/>
    <mergeCell ref="B41:H41"/>
    <mergeCell ref="A40:H40"/>
    <mergeCell ref="B42:F42"/>
    <mergeCell ref="B9:H9"/>
    <mergeCell ref="B37:H37"/>
    <mergeCell ref="B35:F35"/>
    <mergeCell ref="B7:G7"/>
    <mergeCell ref="A1:H1"/>
    <mergeCell ref="A2:H2"/>
    <mergeCell ref="A4:H4"/>
  </mergeCells>
  <phoneticPr fontId="0" type="noConversion"/>
  <printOptions horizontalCentered="1"/>
  <pageMargins left="0.59055118110236227" right="0.59055118110236227" top="0.78740157480314965" bottom="0.59055118110236227" header="0" footer="0"/>
  <pageSetup scale="70" orientation="portrait" horizontalDpi="300" verticalDpi="300" r:id="rId1"/>
  <headerFooter alignWithMargins="0">
    <oddFooter>&amp;C&amp;"Gill Sans MT,Normal"&amp;P de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61"/>
  <sheetViews>
    <sheetView view="pageBreakPreview" topLeftCell="A953" zoomScale="55" zoomScaleNormal="85" zoomScaleSheetLayoutView="55" workbookViewId="0">
      <selection activeCell="E60" sqref="E60"/>
    </sheetView>
  </sheetViews>
  <sheetFormatPr baseColWidth="10" defaultColWidth="11.44140625" defaultRowHeight="13.2"/>
  <cols>
    <col min="1" max="1" width="11.44140625" style="1608"/>
    <col min="2" max="2" width="57.88671875" style="1608" customWidth="1"/>
    <col min="3" max="3" width="11.44140625" style="1608"/>
    <col min="4" max="4" width="11.33203125" style="1608" bestFit="1" customWidth="1"/>
    <col min="5" max="5" width="17.44140625" style="1608" customWidth="1"/>
    <col min="6" max="6" width="26" style="1608" customWidth="1"/>
    <col min="7" max="7" width="19.33203125" style="2343" bestFit="1" customWidth="1"/>
    <col min="8" max="8" width="18.44140625" style="1717" bestFit="1" customWidth="1"/>
    <col min="9" max="9" width="11.44140625" style="1608"/>
    <col min="10" max="10" width="13.6640625" style="1608" customWidth="1"/>
    <col min="11" max="13" width="11.44140625" style="2665"/>
    <col min="14" max="16384" width="11.44140625" style="1608"/>
  </cols>
  <sheetData>
    <row r="1" spans="1:13" ht="121.5" customHeight="1" thickBot="1">
      <c r="A1" s="3337" t="s">
        <v>8794</v>
      </c>
      <c r="B1" s="3337"/>
      <c r="C1" s="3337"/>
      <c r="D1" s="3337"/>
      <c r="E1" s="3337"/>
      <c r="F1" s="3337"/>
    </row>
    <row r="2" spans="1:13" ht="117" customHeight="1" thickBot="1">
      <c r="A2" s="3338" t="s">
        <v>8795</v>
      </c>
      <c r="B2" s="3339"/>
      <c r="C2" s="3339"/>
      <c r="D2" s="3339"/>
      <c r="E2" s="3339"/>
      <c r="F2" s="3340"/>
    </row>
    <row r="3" spans="1:13" ht="15" customHeight="1">
      <c r="A3" s="3334" t="s">
        <v>5736</v>
      </c>
      <c r="B3" s="3335"/>
      <c r="C3" s="3335"/>
      <c r="D3" s="3335"/>
      <c r="E3" s="3335"/>
      <c r="F3" s="3336"/>
    </row>
    <row r="4" spans="1:13" ht="33.6">
      <c r="A4" s="1590" t="s">
        <v>22</v>
      </c>
      <c r="B4" s="1591" t="s">
        <v>23</v>
      </c>
      <c r="C4" s="1591" t="s">
        <v>150</v>
      </c>
      <c r="D4" s="1592" t="s">
        <v>539</v>
      </c>
      <c r="E4" s="1593" t="s">
        <v>151</v>
      </c>
      <c r="F4" s="1593" t="s">
        <v>540</v>
      </c>
    </row>
    <row r="5" spans="1:13" ht="16.8">
      <c r="A5" s="2925"/>
      <c r="B5" s="3341" t="s">
        <v>5737</v>
      </c>
      <c r="C5" s="3341"/>
      <c r="D5" s="3341"/>
      <c r="E5" s="3341"/>
      <c r="F5" s="3341"/>
      <c r="G5" s="2974">
        <f>+F6+F10+F16+F19+F22+F24+F26+F28+F31+F33+F35+F40+F48+F52+F54</f>
        <v>38479426</v>
      </c>
      <c r="H5" s="1717" t="s">
        <v>8225</v>
      </c>
    </row>
    <row r="6" spans="1:13" ht="16.8">
      <c r="A6" s="1594" t="s">
        <v>5193</v>
      </c>
      <c r="B6" s="1595" t="s">
        <v>5190</v>
      </c>
      <c r="C6" s="1594"/>
      <c r="D6" s="1596"/>
      <c r="E6" s="1597"/>
      <c r="F6" s="2240">
        <f>SUM(F7:F9)</f>
        <v>4669781</v>
      </c>
      <c r="G6" s="2799">
        <f>+'CAPTACION RIO SINÚ'!F59</f>
        <v>38479426</v>
      </c>
    </row>
    <row r="7" spans="1:13" ht="33.6">
      <c r="A7" s="1617" t="s">
        <v>34</v>
      </c>
      <c r="B7" s="1598" t="s">
        <v>5223</v>
      </c>
      <c r="C7" s="1599" t="s">
        <v>5191</v>
      </c>
      <c r="D7" s="1471">
        <v>1</v>
      </c>
      <c r="E7" s="1600">
        <v>334949.64875999995</v>
      </c>
      <c r="F7" s="1515">
        <f>ROUND((D7*E7),0)</f>
        <v>334950</v>
      </c>
    </row>
    <row r="8" spans="1:13" ht="16.8">
      <c r="A8" s="1617" t="s">
        <v>1443</v>
      </c>
      <c r="B8" s="1601" t="s">
        <v>5225</v>
      </c>
      <c r="C8" s="1599" t="s">
        <v>5191</v>
      </c>
      <c r="D8" s="1602">
        <v>1</v>
      </c>
      <c r="E8" s="1600">
        <v>291830.94266499998</v>
      </c>
      <c r="F8" s="1515">
        <f t="shared" ref="F8:F9" si="0">ROUND((D8*E8),0)</f>
        <v>291831</v>
      </c>
    </row>
    <row r="9" spans="1:13" s="1717" customFormat="1" ht="21" customHeight="1">
      <c r="A9" s="1617" t="s">
        <v>1444</v>
      </c>
      <c r="B9" s="1598" t="s">
        <v>5216</v>
      </c>
      <c r="C9" s="1599" t="s">
        <v>5192</v>
      </c>
      <c r="D9" s="1471">
        <v>1</v>
      </c>
      <c r="E9" s="1600">
        <v>4043000</v>
      </c>
      <c r="F9" s="1515">
        <f t="shared" si="0"/>
        <v>4043000</v>
      </c>
      <c r="G9" s="2354"/>
      <c r="K9" s="1733"/>
      <c r="L9" s="1733"/>
      <c r="M9" s="1733"/>
    </row>
    <row r="10" spans="1:13" ht="16.8">
      <c r="A10" s="1594" t="s">
        <v>5194</v>
      </c>
      <c r="B10" s="1595" t="s">
        <v>5552</v>
      </c>
      <c r="C10" s="1594"/>
      <c r="D10" s="1596"/>
      <c r="E10" s="1597"/>
      <c r="F10" s="2240">
        <f>SUM(F11:F15)</f>
        <v>9252736</v>
      </c>
    </row>
    <row r="11" spans="1:13" ht="33.6">
      <c r="A11" s="1617" t="s">
        <v>35</v>
      </c>
      <c r="B11" s="1598" t="s">
        <v>5551</v>
      </c>
      <c r="C11" s="1599" t="s">
        <v>5191</v>
      </c>
      <c r="D11" s="1471">
        <v>1</v>
      </c>
      <c r="E11" s="1600">
        <v>3682868.8532999996</v>
      </c>
      <c r="F11" s="1515">
        <f>ROUND((D11*E11),0)</f>
        <v>3682869</v>
      </c>
    </row>
    <row r="12" spans="1:13" ht="50.4">
      <c r="A12" s="1617" t="s">
        <v>1446</v>
      </c>
      <c r="B12" s="1598" t="s">
        <v>5553</v>
      </c>
      <c r="C12" s="1599" t="s">
        <v>5191</v>
      </c>
      <c r="D12" s="1471">
        <v>1</v>
      </c>
      <c r="E12" s="1600">
        <v>639899.29751999991</v>
      </c>
      <c r="F12" s="1515">
        <f t="shared" ref="F12:F25" si="1">ROUND((D12*E12),0)</f>
        <v>639899</v>
      </c>
    </row>
    <row r="13" spans="1:13" ht="50.4">
      <c r="A13" s="1617" t="s">
        <v>5540</v>
      </c>
      <c r="B13" s="1598" t="s">
        <v>5554</v>
      </c>
      <c r="C13" s="1599" t="s">
        <v>4693</v>
      </c>
      <c r="D13" s="1471">
        <v>30</v>
      </c>
      <c r="E13" s="1600">
        <v>49104.918043999998</v>
      </c>
      <c r="F13" s="1515">
        <f t="shared" si="1"/>
        <v>1473148</v>
      </c>
    </row>
    <row r="14" spans="1:13" s="1717" customFormat="1" ht="16.8">
      <c r="A14" s="1617" t="s">
        <v>5541</v>
      </c>
      <c r="B14" s="1598" t="s">
        <v>5435</v>
      </c>
      <c r="C14" s="1599" t="s">
        <v>5192</v>
      </c>
      <c r="D14" s="1471">
        <v>1</v>
      </c>
      <c r="E14" s="1600">
        <v>736573.77066000004</v>
      </c>
      <c r="F14" s="1515">
        <f t="shared" si="1"/>
        <v>736574</v>
      </c>
      <c r="G14" s="2354"/>
      <c r="K14" s="1733"/>
      <c r="L14" s="1733"/>
      <c r="M14" s="1733"/>
    </row>
    <row r="15" spans="1:13" ht="67.2">
      <c r="A15" s="1617" t="s">
        <v>5542</v>
      </c>
      <c r="B15" s="1603" t="s">
        <v>5430</v>
      </c>
      <c r="C15" s="1604" t="s">
        <v>5191</v>
      </c>
      <c r="D15" s="1492">
        <v>1</v>
      </c>
      <c r="E15" s="1600">
        <v>2720245.9021999999</v>
      </c>
      <c r="F15" s="1515">
        <f t="shared" si="1"/>
        <v>2720246</v>
      </c>
    </row>
    <row r="16" spans="1:13" ht="16.8">
      <c r="A16" s="1594" t="s">
        <v>5195</v>
      </c>
      <c r="B16" s="1595" t="s">
        <v>5526</v>
      </c>
      <c r="C16" s="1594"/>
      <c r="D16" s="1596"/>
      <c r="E16" s="1597"/>
      <c r="F16" s="2240">
        <f>SUM(F17:F18)</f>
        <v>1525760</v>
      </c>
    </row>
    <row r="17" spans="1:6" ht="16.8">
      <c r="A17" s="1617" t="s">
        <v>36</v>
      </c>
      <c r="B17" s="1598" t="s">
        <v>5440</v>
      </c>
      <c r="C17" s="1599" t="s">
        <v>5191</v>
      </c>
      <c r="D17" s="1471">
        <v>2</v>
      </c>
      <c r="E17" s="1600">
        <v>305151.91276266664</v>
      </c>
      <c r="F17" s="1515">
        <f t="shared" si="1"/>
        <v>610304</v>
      </c>
    </row>
    <row r="18" spans="1:6" ht="16.8">
      <c r="A18" s="1617" t="s">
        <v>1451</v>
      </c>
      <c r="B18" s="1598" t="s">
        <v>5228</v>
      </c>
      <c r="C18" s="1599" t="s">
        <v>5191</v>
      </c>
      <c r="D18" s="1471">
        <v>3</v>
      </c>
      <c r="E18" s="1600">
        <v>305151.91276266664</v>
      </c>
      <c r="F18" s="1515">
        <f t="shared" si="1"/>
        <v>915456</v>
      </c>
    </row>
    <row r="19" spans="1:6" ht="16.8">
      <c r="A19" s="1594" t="s">
        <v>5196</v>
      </c>
      <c r="B19" s="1595" t="s">
        <v>5527</v>
      </c>
      <c r="C19" s="1594"/>
      <c r="D19" s="1596"/>
      <c r="E19" s="1597"/>
      <c r="F19" s="2240">
        <f>SUM(F20:F21)</f>
        <v>1202333</v>
      </c>
    </row>
    <row r="20" spans="1:6" ht="33.75" customHeight="1">
      <c r="A20" s="1617" t="s">
        <v>5197</v>
      </c>
      <c r="B20" s="1605" t="s">
        <v>5229</v>
      </c>
      <c r="C20" s="1599" t="s">
        <v>5191</v>
      </c>
      <c r="D20" s="1472">
        <v>1</v>
      </c>
      <c r="E20" s="1600">
        <v>613661.88532999996</v>
      </c>
      <c r="F20" s="1515">
        <f t="shared" si="1"/>
        <v>613662</v>
      </c>
    </row>
    <row r="21" spans="1:6" ht="50.4">
      <c r="A21" s="1617" t="s">
        <v>5543</v>
      </c>
      <c r="B21" s="1606" t="s">
        <v>5230</v>
      </c>
      <c r="C21" s="1599" t="s">
        <v>5191</v>
      </c>
      <c r="D21" s="1472">
        <v>1</v>
      </c>
      <c r="E21" s="1600">
        <v>588670.90185800008</v>
      </c>
      <c r="F21" s="1515">
        <f t="shared" si="1"/>
        <v>588671</v>
      </c>
    </row>
    <row r="22" spans="1:6" ht="33.6">
      <c r="A22" s="1594" t="s">
        <v>5198</v>
      </c>
      <c r="B22" s="1595" t="s">
        <v>5528</v>
      </c>
      <c r="C22" s="1594"/>
      <c r="D22" s="1596"/>
      <c r="E22" s="1597"/>
      <c r="F22" s="2240">
        <f>SUM(F23)</f>
        <v>552430</v>
      </c>
    </row>
    <row r="23" spans="1:6" ht="50.4">
      <c r="A23" s="1617" t="s">
        <v>5199</v>
      </c>
      <c r="B23" s="1605" t="s">
        <v>5451</v>
      </c>
      <c r="C23" s="1599" t="s">
        <v>4693</v>
      </c>
      <c r="D23" s="1471">
        <v>15</v>
      </c>
      <c r="E23" s="1600">
        <v>36828.688533</v>
      </c>
      <c r="F23" s="2674">
        <f t="shared" si="1"/>
        <v>552430</v>
      </c>
    </row>
    <row r="24" spans="1:6" ht="33.6">
      <c r="A24" s="1594" t="s">
        <v>5200</v>
      </c>
      <c r="B24" s="1595" t="s">
        <v>5529</v>
      </c>
      <c r="C24" s="1594"/>
      <c r="D24" s="1596"/>
      <c r="E24" s="1597"/>
      <c r="F24" s="2240">
        <f>SUM(F25)</f>
        <v>2946295</v>
      </c>
    </row>
    <row r="25" spans="1:6" ht="134.4">
      <c r="A25" s="1617" t="s">
        <v>5201</v>
      </c>
      <c r="B25" s="1605" t="s">
        <v>5456</v>
      </c>
      <c r="C25" s="1599" t="s">
        <v>5191</v>
      </c>
      <c r="D25" s="1472">
        <v>1</v>
      </c>
      <c r="E25" s="1600">
        <v>2946295.0826400002</v>
      </c>
      <c r="F25" s="2674">
        <f t="shared" si="1"/>
        <v>2946295</v>
      </c>
    </row>
    <row r="26" spans="1:6" ht="33.6">
      <c r="A26" s="1594" t="s">
        <v>5202</v>
      </c>
      <c r="B26" s="1595" t="s">
        <v>5530</v>
      </c>
      <c r="C26" s="1594"/>
      <c r="D26" s="1596"/>
      <c r="E26" s="1597"/>
      <c r="F26" s="2240">
        <f>SUM(F27)</f>
        <v>957546</v>
      </c>
    </row>
    <row r="27" spans="1:6" ht="50.4">
      <c r="A27" s="1617" t="s">
        <v>5203</v>
      </c>
      <c r="B27" s="1605" t="s">
        <v>5463</v>
      </c>
      <c r="C27" s="1599" t="s">
        <v>4693</v>
      </c>
      <c r="D27" s="1471">
        <v>26</v>
      </c>
      <c r="E27" s="1600">
        <v>36828.688533</v>
      </c>
      <c r="F27" s="2674">
        <f>ROUND((D27*E27),0)</f>
        <v>957546</v>
      </c>
    </row>
    <row r="28" spans="1:6" ht="33.6">
      <c r="A28" s="1594" t="s">
        <v>5204</v>
      </c>
      <c r="B28" s="1595" t="s">
        <v>5531</v>
      </c>
      <c r="C28" s="1594"/>
      <c r="D28" s="1596"/>
      <c r="E28" s="1597"/>
      <c r="F28" s="2240">
        <f>SUM(F29:F30)</f>
        <v>810231</v>
      </c>
    </row>
    <row r="29" spans="1:6" ht="67.2">
      <c r="A29" s="1617" t="s">
        <v>5205</v>
      </c>
      <c r="B29" s="1605" t="s">
        <v>5465</v>
      </c>
      <c r="C29" s="1599" t="s">
        <v>4693</v>
      </c>
      <c r="D29" s="1471">
        <v>15</v>
      </c>
      <c r="E29" s="1600">
        <v>36828.688533</v>
      </c>
      <c r="F29" s="2674">
        <f>ROUND((D29*E29),0)</f>
        <v>552430</v>
      </c>
    </row>
    <row r="30" spans="1:6" ht="16.8">
      <c r="A30" s="1617" t="s">
        <v>5544</v>
      </c>
      <c r="B30" s="1605" t="s">
        <v>5467</v>
      </c>
      <c r="C30" s="1599" t="s">
        <v>4693</v>
      </c>
      <c r="D30" s="1471">
        <v>7</v>
      </c>
      <c r="E30" s="1600">
        <v>36828.688533</v>
      </c>
      <c r="F30" s="2674">
        <f>ROUND((D30*E30),0)</f>
        <v>257801</v>
      </c>
    </row>
    <row r="31" spans="1:6" ht="16.8">
      <c r="A31" s="1594" t="s">
        <v>5206</v>
      </c>
      <c r="B31" s="1595" t="s">
        <v>5532</v>
      </c>
      <c r="C31" s="1594"/>
      <c r="D31" s="1596"/>
      <c r="E31" s="1597"/>
      <c r="F31" s="2240">
        <f>SUM(F32)</f>
        <v>2454496</v>
      </c>
    </row>
    <row r="32" spans="1:6" ht="67.2">
      <c r="A32" s="1617" t="s">
        <v>5207</v>
      </c>
      <c r="B32" s="1607" t="s">
        <v>5470</v>
      </c>
      <c r="C32" s="1599" t="s">
        <v>5191</v>
      </c>
      <c r="D32" s="1471">
        <v>1</v>
      </c>
      <c r="E32" s="1600">
        <v>2454496.4875999996</v>
      </c>
      <c r="F32" s="2674">
        <f>ROUND((D32*E32),0)</f>
        <v>2454496</v>
      </c>
    </row>
    <row r="33" spans="1:6" ht="16.8">
      <c r="A33" s="1594" t="s">
        <v>5208</v>
      </c>
      <c r="B33" s="1595" t="s">
        <v>5533</v>
      </c>
      <c r="C33" s="1594"/>
      <c r="D33" s="1596"/>
      <c r="E33" s="1597"/>
      <c r="F33" s="2240">
        <f>SUM(F34)</f>
        <v>2455246</v>
      </c>
    </row>
    <row r="34" spans="1:6" ht="134.4">
      <c r="A34" s="1617" t="s">
        <v>5209</v>
      </c>
      <c r="B34" s="1598" t="s">
        <v>5555</v>
      </c>
      <c r="C34" s="1599" t="s">
        <v>5191</v>
      </c>
      <c r="D34" s="1472">
        <v>1</v>
      </c>
      <c r="E34" s="1600">
        <v>2455245.9021999999</v>
      </c>
      <c r="F34" s="2674">
        <f>ROUND((D34*E34),0)</f>
        <v>2455246</v>
      </c>
    </row>
    <row r="35" spans="1:6" ht="33.6">
      <c r="A35" s="1594" t="s">
        <v>5210</v>
      </c>
      <c r="B35" s="1595" t="s">
        <v>5534</v>
      </c>
      <c r="C35" s="1594"/>
      <c r="D35" s="1596"/>
      <c r="E35" s="1597"/>
      <c r="F35" s="2240">
        <f>SUM(F36:F39)</f>
        <v>2349339</v>
      </c>
    </row>
    <row r="36" spans="1:6" ht="50.4">
      <c r="A36" s="1617" t="s">
        <v>5121</v>
      </c>
      <c r="B36" s="1605" t="s">
        <v>5237</v>
      </c>
      <c r="C36" s="1599" t="s">
        <v>4693</v>
      </c>
      <c r="D36" s="1471">
        <v>30</v>
      </c>
      <c r="E36" s="1600">
        <v>26083.370435416669</v>
      </c>
      <c r="F36" s="2674">
        <f>ROUND((D36*E36),0)</f>
        <v>782501</v>
      </c>
    </row>
    <row r="37" spans="1:6" ht="50.4">
      <c r="A37" s="1617" t="s">
        <v>5130</v>
      </c>
      <c r="B37" s="1605" t="s">
        <v>5238</v>
      </c>
      <c r="C37" s="1599" t="s">
        <v>4693</v>
      </c>
      <c r="D37" s="1471">
        <v>10</v>
      </c>
      <c r="E37" s="1600">
        <v>26083.370435416669</v>
      </c>
      <c r="F37" s="2674">
        <f t="shared" ref="F37:F47" si="2">ROUND((D37*E37),0)</f>
        <v>260834</v>
      </c>
    </row>
    <row r="38" spans="1:6" ht="67.2">
      <c r="A38" s="1617" t="s">
        <v>5132</v>
      </c>
      <c r="B38" s="1605" t="s">
        <v>5556</v>
      </c>
      <c r="C38" s="1599" t="s">
        <v>4693</v>
      </c>
      <c r="D38" s="1471">
        <v>56</v>
      </c>
      <c r="E38" s="1600">
        <v>20237.54685875</v>
      </c>
      <c r="F38" s="2674">
        <f t="shared" si="2"/>
        <v>1133303</v>
      </c>
    </row>
    <row r="39" spans="1:6" ht="33.6">
      <c r="A39" s="1617" t="s">
        <v>5142</v>
      </c>
      <c r="B39" s="1605" t="s">
        <v>5557</v>
      </c>
      <c r="C39" s="1599" t="s">
        <v>4693</v>
      </c>
      <c r="D39" s="1471">
        <v>12</v>
      </c>
      <c r="E39" s="1600">
        <v>14391.723282083334</v>
      </c>
      <c r="F39" s="2674">
        <f t="shared" si="2"/>
        <v>172701</v>
      </c>
    </row>
    <row r="40" spans="1:6" ht="16.8">
      <c r="A40" s="1594" t="s">
        <v>5211</v>
      </c>
      <c r="B40" s="1595" t="s">
        <v>5535</v>
      </c>
      <c r="C40" s="1594"/>
      <c r="D40" s="1596"/>
      <c r="E40" s="1597"/>
      <c r="F40" s="2240">
        <f>SUM(F41:F47)</f>
        <v>2566557</v>
      </c>
    </row>
    <row r="41" spans="1:6" ht="50.4">
      <c r="A41" s="1617" t="s">
        <v>5073</v>
      </c>
      <c r="B41" s="1605" t="s">
        <v>5122</v>
      </c>
      <c r="C41" s="1599" t="s">
        <v>5191</v>
      </c>
      <c r="D41" s="1471">
        <v>1</v>
      </c>
      <c r="E41" s="1600">
        <v>178074.78342875</v>
      </c>
      <c r="F41" s="2674">
        <f t="shared" si="2"/>
        <v>178075</v>
      </c>
    </row>
    <row r="42" spans="1:6" ht="50.4">
      <c r="A42" s="1617" t="s">
        <v>5074</v>
      </c>
      <c r="B42" s="1605" t="s">
        <v>5558</v>
      </c>
      <c r="C42" s="1599" t="s">
        <v>5191</v>
      </c>
      <c r="D42" s="1471">
        <v>1</v>
      </c>
      <c r="E42" s="1600">
        <v>283299.60780875001</v>
      </c>
      <c r="F42" s="2674">
        <f t="shared" si="2"/>
        <v>283300</v>
      </c>
    </row>
    <row r="43" spans="1:6" ht="33.6">
      <c r="A43" s="1617" t="s">
        <v>5176</v>
      </c>
      <c r="B43" s="1609" t="s">
        <v>5559</v>
      </c>
      <c r="C43" s="1599" t="s">
        <v>5191</v>
      </c>
      <c r="D43" s="1471">
        <v>33</v>
      </c>
      <c r="E43" s="1600">
        <v>30760.029296749999</v>
      </c>
      <c r="F43" s="2674">
        <f t="shared" si="2"/>
        <v>1015081</v>
      </c>
    </row>
    <row r="44" spans="1:6" ht="33.6">
      <c r="A44" s="1617" t="s">
        <v>5182</v>
      </c>
      <c r="B44" s="1609" t="s">
        <v>5560</v>
      </c>
      <c r="C44" s="1599" t="s">
        <v>5191</v>
      </c>
      <c r="D44" s="1471">
        <v>5</v>
      </c>
      <c r="E44" s="1600">
        <v>30760.029296749999</v>
      </c>
      <c r="F44" s="2674">
        <f t="shared" si="2"/>
        <v>153800</v>
      </c>
    </row>
    <row r="45" spans="1:6" ht="33.6">
      <c r="A45" s="1617" t="s">
        <v>5545</v>
      </c>
      <c r="B45" s="1609" t="s">
        <v>5561</v>
      </c>
      <c r="C45" s="1599" t="s">
        <v>5191</v>
      </c>
      <c r="D45" s="1471">
        <v>2</v>
      </c>
      <c r="E45" s="1600">
        <v>37775.017588750001</v>
      </c>
      <c r="F45" s="2674">
        <f t="shared" si="2"/>
        <v>75550</v>
      </c>
    </row>
    <row r="46" spans="1:6" ht="16.8">
      <c r="A46" s="1617" t="s">
        <v>5546</v>
      </c>
      <c r="B46" s="1609" t="s">
        <v>5160</v>
      </c>
      <c r="C46" s="1599" t="s">
        <v>5191</v>
      </c>
      <c r="D46" s="1471">
        <v>19</v>
      </c>
      <c r="E46" s="1600">
        <v>26083.370435416669</v>
      </c>
      <c r="F46" s="2674">
        <f t="shared" si="2"/>
        <v>495584</v>
      </c>
    </row>
    <row r="47" spans="1:6" ht="16.8">
      <c r="A47" s="1617" t="s">
        <v>5547</v>
      </c>
      <c r="B47" s="1609" t="s">
        <v>5164</v>
      </c>
      <c r="C47" s="1599" t="s">
        <v>5191</v>
      </c>
      <c r="D47" s="1471">
        <v>14</v>
      </c>
      <c r="E47" s="1600">
        <v>26083.370435416669</v>
      </c>
      <c r="F47" s="2674">
        <f t="shared" si="2"/>
        <v>365167</v>
      </c>
    </row>
    <row r="48" spans="1:6" ht="16.8">
      <c r="A48" s="1594" t="s">
        <v>5212</v>
      </c>
      <c r="B48" s="1595" t="s">
        <v>5536</v>
      </c>
      <c r="C48" s="1594"/>
      <c r="D48" s="1596"/>
      <c r="E48" s="1597"/>
      <c r="F48" s="2240">
        <f>SUM(F49:F51)</f>
        <v>2769977</v>
      </c>
    </row>
    <row r="49" spans="1:13" ht="50.4">
      <c r="A49" s="1617" t="s">
        <v>5213</v>
      </c>
      <c r="B49" s="1482" t="s">
        <v>5167</v>
      </c>
      <c r="C49" s="364" t="s">
        <v>4693</v>
      </c>
      <c r="D49" s="1610">
        <v>90</v>
      </c>
      <c r="E49" s="1600">
        <v>16730.052712750003</v>
      </c>
      <c r="F49" s="1515">
        <f>ROUND((D49*E49),0)</f>
        <v>1505705</v>
      </c>
    </row>
    <row r="50" spans="1:13" ht="33.6">
      <c r="A50" s="1617" t="s">
        <v>5548</v>
      </c>
      <c r="B50" s="1482" t="s">
        <v>5562</v>
      </c>
      <c r="C50" s="364" t="s">
        <v>5191</v>
      </c>
      <c r="D50" s="1610">
        <v>5</v>
      </c>
      <c r="E50" s="1600">
        <v>142999.84196875</v>
      </c>
      <c r="F50" s="1515">
        <f>ROUND((D50*E50),0)</f>
        <v>714999</v>
      </c>
    </row>
    <row r="51" spans="1:13" ht="16.8">
      <c r="A51" s="1617" t="s">
        <v>5549</v>
      </c>
      <c r="B51" s="1482" t="s">
        <v>5177</v>
      </c>
      <c r="C51" s="364" t="s">
        <v>5191</v>
      </c>
      <c r="D51" s="1610">
        <v>4</v>
      </c>
      <c r="E51" s="1600">
        <v>137318.3607432</v>
      </c>
      <c r="F51" s="1515">
        <f>ROUND((D51*E51),0)</f>
        <v>549273</v>
      </c>
    </row>
    <row r="52" spans="1:13" ht="16.8">
      <c r="A52" s="1594" t="s">
        <v>5214</v>
      </c>
      <c r="B52" s="1595" t="s">
        <v>5537</v>
      </c>
      <c r="C52" s="1594"/>
      <c r="D52" s="1596"/>
      <c r="E52" s="1597"/>
      <c r="F52" s="2240">
        <f>SUM(F53)</f>
        <v>1604199</v>
      </c>
    </row>
    <row r="53" spans="1:13" ht="151.19999999999999">
      <c r="A53" s="1617" t="s">
        <v>5215</v>
      </c>
      <c r="B53" s="1709" t="s">
        <v>5244</v>
      </c>
      <c r="C53" s="1599" t="s">
        <v>5191</v>
      </c>
      <c r="D53" s="1471">
        <v>1</v>
      </c>
      <c r="E53" s="1600">
        <v>1604198.9053287501</v>
      </c>
      <c r="F53" s="1515">
        <f>ROUND((D53*E53),0)</f>
        <v>1604199</v>
      </c>
    </row>
    <row r="54" spans="1:13" ht="16.8">
      <c r="A54" s="1594" t="s">
        <v>5550</v>
      </c>
      <c r="B54" s="1595" t="s">
        <v>5657</v>
      </c>
      <c r="C54" s="1594"/>
      <c r="D54" s="1596"/>
      <c r="E54" s="1597"/>
      <c r="F54" s="2240">
        <f>SUM(F55)</f>
        <v>2362500</v>
      </c>
    </row>
    <row r="55" spans="1:13" s="1717" customFormat="1" ht="134.4">
      <c r="A55" s="1617">
        <v>15.1</v>
      </c>
      <c r="B55" s="1611" t="s">
        <v>5658</v>
      </c>
      <c r="C55" s="1612" t="s">
        <v>5191</v>
      </c>
      <c r="D55" s="1612">
        <v>3</v>
      </c>
      <c r="E55" s="1600">
        <v>787500</v>
      </c>
      <c r="F55" s="1515">
        <f>ROUND((D55*E55),0)</f>
        <v>2362500</v>
      </c>
      <c r="G55" s="2343"/>
      <c r="K55" s="1733"/>
      <c r="L55" s="1733"/>
      <c r="M55" s="1733"/>
    </row>
    <row r="56" spans="1:13" ht="15" customHeight="1">
      <c r="A56" s="3342" t="s">
        <v>5738</v>
      </c>
      <c r="B56" s="3343"/>
      <c r="C56" s="3343"/>
      <c r="D56" s="3343"/>
      <c r="E56" s="3343"/>
      <c r="F56" s="3344"/>
      <c r="H56" s="2339"/>
    </row>
    <row r="57" spans="1:13" ht="33.6" hidden="1">
      <c r="A57" s="1590" t="s">
        <v>22</v>
      </c>
      <c r="B57" s="1591" t="s">
        <v>23</v>
      </c>
      <c r="C57" s="1591" t="s">
        <v>150</v>
      </c>
      <c r="D57" s="1592" t="s">
        <v>539</v>
      </c>
      <c r="E57" s="1593" t="s">
        <v>151</v>
      </c>
      <c r="F57" s="1593" t="s">
        <v>540</v>
      </c>
    </row>
    <row r="58" spans="1:13" ht="16.8">
      <c r="A58" s="1594">
        <v>16</v>
      </c>
      <c r="B58" s="1613" t="s">
        <v>1127</v>
      </c>
      <c r="C58" s="1614"/>
      <c r="D58" s="1615"/>
      <c r="E58" s="1616" t="s">
        <v>1158</v>
      </c>
      <c r="F58" s="2241">
        <f>SUM(F59:F98)</f>
        <v>36778852</v>
      </c>
      <c r="G58" s="2344">
        <f>+F58</f>
        <v>36778852</v>
      </c>
      <c r="H58" s="2339" t="s">
        <v>8225</v>
      </c>
    </row>
    <row r="59" spans="1:13" ht="16.8">
      <c r="A59" s="1617" t="s">
        <v>5656</v>
      </c>
      <c r="B59" s="1618" t="s">
        <v>4355</v>
      </c>
      <c r="C59" s="364" t="s">
        <v>427</v>
      </c>
      <c r="D59" s="1619">
        <v>1</v>
      </c>
      <c r="E59" s="1620">
        <v>463471.72158900008</v>
      </c>
      <c r="F59" s="1621">
        <f t="shared" ref="F59:F98" si="3">ROUND((+E59*D59),0)</f>
        <v>463472</v>
      </c>
      <c r="G59" s="2344">
        <f>+'CAPTACION RIO SINÚ'!F124</f>
        <v>36778852</v>
      </c>
    </row>
    <row r="60" spans="1:13" ht="16.8">
      <c r="A60" s="1617" t="s">
        <v>6871</v>
      </c>
      <c r="B60" s="1618" t="s">
        <v>4356</v>
      </c>
      <c r="C60" s="364" t="s">
        <v>427</v>
      </c>
      <c r="D60" s="1619">
        <v>1</v>
      </c>
      <c r="E60" s="1620">
        <v>1375085.954205872</v>
      </c>
      <c r="F60" s="1621">
        <f t="shared" si="3"/>
        <v>1375086</v>
      </c>
      <c r="G60" s="2344"/>
    </row>
    <row r="61" spans="1:13" ht="16.8">
      <c r="A61" s="1617" t="s">
        <v>7218</v>
      </c>
      <c r="B61" s="1618" t="s">
        <v>4357</v>
      </c>
      <c r="C61" s="364" t="s">
        <v>427</v>
      </c>
      <c r="D61" s="1619">
        <v>3</v>
      </c>
      <c r="E61" s="1620">
        <v>638855.27904712001</v>
      </c>
      <c r="F61" s="1621">
        <f t="shared" si="3"/>
        <v>1916566</v>
      </c>
      <c r="G61" s="2344"/>
    </row>
    <row r="62" spans="1:13" ht="16.8">
      <c r="A62" s="1617" t="s">
        <v>7219</v>
      </c>
      <c r="B62" s="1618" t="s">
        <v>4358</v>
      </c>
      <c r="C62" s="364" t="s">
        <v>427</v>
      </c>
      <c r="D62" s="1619">
        <v>1</v>
      </c>
      <c r="E62" s="1620">
        <v>633411.35283829994</v>
      </c>
      <c r="F62" s="1621">
        <f t="shared" si="3"/>
        <v>633411</v>
      </c>
      <c r="G62" s="2344"/>
    </row>
    <row r="63" spans="1:13" ht="16.8">
      <c r="A63" s="1617" t="s">
        <v>7220</v>
      </c>
      <c r="B63" s="1618" t="s">
        <v>4359</v>
      </c>
      <c r="C63" s="364" t="s">
        <v>427</v>
      </c>
      <c r="D63" s="1619">
        <v>2</v>
      </c>
      <c r="E63" s="1620">
        <v>1081448.8530948001</v>
      </c>
      <c r="F63" s="1621">
        <f t="shared" si="3"/>
        <v>2162898</v>
      </c>
      <c r="G63" s="2344"/>
    </row>
    <row r="64" spans="1:13" ht="33.6">
      <c r="A64" s="1617" t="s">
        <v>7221</v>
      </c>
      <c r="B64" s="1618" t="s">
        <v>4360</v>
      </c>
      <c r="C64" s="364" t="s">
        <v>427</v>
      </c>
      <c r="D64" s="1619">
        <v>3</v>
      </c>
      <c r="E64" s="1620">
        <v>512369.79209715204</v>
      </c>
      <c r="F64" s="1621">
        <f t="shared" si="3"/>
        <v>1537109</v>
      </c>
      <c r="G64" s="2344"/>
    </row>
    <row r="65" spans="1:7" ht="16.8">
      <c r="A65" s="1617" t="s">
        <v>7222</v>
      </c>
      <c r="B65" s="1618" t="s">
        <v>4361</v>
      </c>
      <c r="C65" s="364" t="s">
        <v>427</v>
      </c>
      <c r="D65" s="1619">
        <v>3</v>
      </c>
      <c r="E65" s="1620">
        <v>348950.85429615993</v>
      </c>
      <c r="F65" s="1621">
        <f t="shared" si="3"/>
        <v>1046853</v>
      </c>
      <c r="G65" s="2344"/>
    </row>
    <row r="66" spans="1:7" ht="16.8">
      <c r="A66" s="1617" t="s">
        <v>7223</v>
      </c>
      <c r="B66" s="1618" t="s">
        <v>4409</v>
      </c>
      <c r="C66" s="364" t="s">
        <v>427</v>
      </c>
      <c r="D66" s="1619">
        <v>6</v>
      </c>
      <c r="E66" s="1620">
        <v>245060.45917248001</v>
      </c>
      <c r="F66" s="1621">
        <f t="shared" si="3"/>
        <v>1470363</v>
      </c>
      <c r="G66" s="2344"/>
    </row>
    <row r="67" spans="1:7" ht="16.8">
      <c r="A67" s="1617" t="s">
        <v>7224</v>
      </c>
      <c r="B67" s="1618" t="s">
        <v>4362</v>
      </c>
      <c r="C67" s="364" t="s">
        <v>427</v>
      </c>
      <c r="D67" s="1619">
        <v>3</v>
      </c>
      <c r="E67" s="1620">
        <v>276370.26245755999</v>
      </c>
      <c r="F67" s="1621">
        <f t="shared" si="3"/>
        <v>829111</v>
      </c>
      <c r="G67" s="2344"/>
    </row>
    <row r="68" spans="1:7" ht="16.8">
      <c r="A68" s="1617" t="s">
        <v>7225</v>
      </c>
      <c r="B68" s="1618" t="s">
        <v>4499</v>
      </c>
      <c r="C68" s="364" t="s">
        <v>427</v>
      </c>
      <c r="D68" s="1619">
        <v>3</v>
      </c>
      <c r="E68" s="1620">
        <v>130188.36893538</v>
      </c>
      <c r="F68" s="1621">
        <f t="shared" si="3"/>
        <v>390565</v>
      </c>
      <c r="G68" s="2344"/>
    </row>
    <row r="69" spans="1:7" ht="16.8">
      <c r="A69" s="1617" t="s">
        <v>7226</v>
      </c>
      <c r="B69" s="1618" t="s">
        <v>4484</v>
      </c>
      <c r="C69" s="364" t="s">
        <v>427</v>
      </c>
      <c r="D69" s="1619">
        <v>3</v>
      </c>
      <c r="E69" s="1620">
        <f>+'CAPTACION RIO SINÚ'!E135</f>
        <v>154496.50828452001</v>
      </c>
      <c r="F69" s="1621">
        <f t="shared" si="3"/>
        <v>463490</v>
      </c>
      <c r="G69" s="2344"/>
    </row>
    <row r="70" spans="1:7" ht="16.8">
      <c r="A70" s="1617" t="s">
        <v>7227</v>
      </c>
      <c r="B70" s="1618" t="s">
        <v>5099</v>
      </c>
      <c r="C70" s="364" t="s">
        <v>427</v>
      </c>
      <c r="D70" s="1619">
        <v>3</v>
      </c>
      <c r="E70" s="1620">
        <f>+'CAPTACION RIO SINÚ'!E136</f>
        <v>78113.021361227991</v>
      </c>
      <c r="F70" s="1621">
        <f t="shared" si="3"/>
        <v>234339</v>
      </c>
      <c r="G70" s="2344"/>
    </row>
    <row r="71" spans="1:7" ht="16.8">
      <c r="A71" s="1617" t="s">
        <v>7228</v>
      </c>
      <c r="B71" s="1618" t="s">
        <v>5100</v>
      </c>
      <c r="C71" s="364" t="s">
        <v>427</v>
      </c>
      <c r="D71" s="1619">
        <v>3</v>
      </c>
      <c r="E71" s="1620">
        <f>+'CAPTACION RIO SINÚ'!E137</f>
        <v>88834.416450024</v>
      </c>
      <c r="F71" s="1621">
        <f t="shared" si="3"/>
        <v>266503</v>
      </c>
      <c r="G71" s="2344"/>
    </row>
    <row r="72" spans="1:7" ht="16.8">
      <c r="A72" s="1617" t="s">
        <v>7229</v>
      </c>
      <c r="B72" s="1618" t="s">
        <v>4399</v>
      </c>
      <c r="C72" s="364" t="s">
        <v>427</v>
      </c>
      <c r="D72" s="1619">
        <v>1</v>
      </c>
      <c r="E72" s="1620">
        <f>+'CAPTACION RIO SINÚ'!E138</f>
        <v>197412.20503021998</v>
      </c>
      <c r="F72" s="1621">
        <f t="shared" si="3"/>
        <v>197412</v>
      </c>
      <c r="G72" s="2344"/>
    </row>
    <row r="73" spans="1:7" ht="16.8">
      <c r="A73" s="1617" t="s">
        <v>7230</v>
      </c>
      <c r="B73" s="1618" t="s">
        <v>4410</v>
      </c>
      <c r="C73" s="364" t="s">
        <v>427</v>
      </c>
      <c r="D73" s="1619">
        <v>1</v>
      </c>
      <c r="E73" s="1620">
        <f>+'CAPTACION RIO SINÚ'!E139</f>
        <v>228311.506687124</v>
      </c>
      <c r="F73" s="1621">
        <f t="shared" si="3"/>
        <v>228312</v>
      </c>
      <c r="G73" s="2344"/>
    </row>
    <row r="74" spans="1:7" ht="16.8">
      <c r="A74" s="1617" t="s">
        <v>7231</v>
      </c>
      <c r="B74" s="1618" t="s">
        <v>4395</v>
      </c>
      <c r="C74" s="364" t="s">
        <v>427</v>
      </c>
      <c r="D74" s="1619">
        <v>1</v>
      </c>
      <c r="E74" s="1620">
        <f>+'CAPTACION RIO SINÚ'!E140</f>
        <v>271563.823110472</v>
      </c>
      <c r="F74" s="1621">
        <f t="shared" si="3"/>
        <v>271564</v>
      </c>
      <c r="G74" s="2344"/>
    </row>
    <row r="75" spans="1:7" ht="16.8">
      <c r="A75" s="1617" t="s">
        <v>7232</v>
      </c>
      <c r="B75" s="1618" t="s">
        <v>4364</v>
      </c>
      <c r="C75" s="364" t="s">
        <v>427</v>
      </c>
      <c r="D75" s="1619">
        <v>3</v>
      </c>
      <c r="E75" s="1620">
        <f>+'CAPTACION RIO SINÚ'!E141</f>
        <v>256886.04112506</v>
      </c>
      <c r="F75" s="1621">
        <f t="shared" si="3"/>
        <v>770658</v>
      </c>
      <c r="G75" s="2344"/>
    </row>
    <row r="76" spans="1:7" ht="13.5" customHeight="1">
      <c r="A76" s="1617" t="s">
        <v>7233</v>
      </c>
      <c r="B76" s="1618" t="s">
        <v>4365</v>
      </c>
      <c r="C76" s="364" t="s">
        <v>427</v>
      </c>
      <c r="D76" s="1619">
        <v>3</v>
      </c>
      <c r="E76" s="1620">
        <f>+'CAPTACION RIO SINÚ'!E142</f>
        <v>738788.82001828006</v>
      </c>
      <c r="F76" s="1621">
        <f t="shared" si="3"/>
        <v>2216366</v>
      </c>
      <c r="G76" s="2344"/>
    </row>
    <row r="77" spans="1:7" ht="16.8">
      <c r="A77" s="1617" t="s">
        <v>7234</v>
      </c>
      <c r="B77" s="1618" t="s">
        <v>4393</v>
      </c>
      <c r="C77" s="364" t="s">
        <v>427</v>
      </c>
      <c r="D77" s="1619">
        <v>3</v>
      </c>
      <c r="E77" s="1620">
        <f>+'CAPTACION RIO SINÚ'!E143</f>
        <v>1972438.0332612002</v>
      </c>
      <c r="F77" s="1621">
        <f t="shared" si="3"/>
        <v>5917314</v>
      </c>
      <c r="G77" s="2344"/>
    </row>
    <row r="78" spans="1:7" ht="16.8">
      <c r="A78" s="1617" t="s">
        <v>7235</v>
      </c>
      <c r="B78" s="1618" t="s">
        <v>4366</v>
      </c>
      <c r="C78" s="364" t="s">
        <v>427</v>
      </c>
      <c r="D78" s="1619">
        <v>3</v>
      </c>
      <c r="E78" s="1620">
        <f>+'CAPTACION RIO SINÚ'!E144</f>
        <v>325624.33788717602</v>
      </c>
      <c r="F78" s="1621">
        <f t="shared" si="3"/>
        <v>976873</v>
      </c>
      <c r="G78" s="2344"/>
    </row>
    <row r="79" spans="1:7" ht="16.8">
      <c r="A79" s="1617" t="s">
        <v>7236</v>
      </c>
      <c r="B79" s="1618" t="s">
        <v>4390</v>
      </c>
      <c r="C79" s="364" t="s">
        <v>427</v>
      </c>
      <c r="D79" s="1619">
        <v>3</v>
      </c>
      <c r="E79" s="1620">
        <f>+'CAPTACION RIO SINÚ'!E145</f>
        <v>564756.62328284001</v>
      </c>
      <c r="F79" s="1621">
        <f t="shared" si="3"/>
        <v>1694270</v>
      </c>
      <c r="G79" s="2344"/>
    </row>
    <row r="80" spans="1:7" ht="16.8">
      <c r="A80" s="1617" t="s">
        <v>7237</v>
      </c>
      <c r="B80" s="1618" t="s">
        <v>4367</v>
      </c>
      <c r="C80" s="364" t="s">
        <v>427</v>
      </c>
      <c r="D80" s="1619">
        <v>3</v>
      </c>
      <c r="E80" s="1620">
        <f>+'CAPTACION RIO SINÚ'!E146</f>
        <v>757014.19716635998</v>
      </c>
      <c r="F80" s="1621">
        <f t="shared" si="3"/>
        <v>2271043</v>
      </c>
      <c r="G80" s="2344"/>
    </row>
    <row r="81" spans="1:7" ht="16.8">
      <c r="A81" s="1617" t="s">
        <v>7238</v>
      </c>
      <c r="B81" s="1618" t="s">
        <v>4481</v>
      </c>
      <c r="C81" s="364" t="s">
        <v>427</v>
      </c>
      <c r="D81" s="1619">
        <v>1</v>
      </c>
      <c r="E81" s="1620">
        <f>+'CAPTACION RIO SINÚ'!E147</f>
        <v>214427.90177591998</v>
      </c>
      <c r="F81" s="1621">
        <f t="shared" si="3"/>
        <v>214428</v>
      </c>
      <c r="G81" s="2344"/>
    </row>
    <row r="82" spans="1:7" ht="16.8">
      <c r="A82" s="1617" t="s">
        <v>7239</v>
      </c>
      <c r="B82" s="1618" t="s">
        <v>4482</v>
      </c>
      <c r="C82" s="364" t="s">
        <v>427</v>
      </c>
      <c r="D82" s="1619">
        <v>1</v>
      </c>
      <c r="E82" s="1620">
        <f>+'CAPTACION RIO SINÚ'!E148</f>
        <v>401757.38376338402</v>
      </c>
      <c r="F82" s="1621">
        <f t="shared" si="3"/>
        <v>401757</v>
      </c>
      <c r="G82" s="2344"/>
    </row>
    <row r="83" spans="1:7" ht="33.6">
      <c r="A83" s="1617" t="s">
        <v>7240</v>
      </c>
      <c r="B83" s="1618" t="s">
        <v>4486</v>
      </c>
      <c r="C83" s="364" t="s">
        <v>427</v>
      </c>
      <c r="D83" s="1619">
        <v>1</v>
      </c>
      <c r="E83" s="1620">
        <f>+'CAPTACION RIO SINÚ'!E149</f>
        <v>574951.23453643196</v>
      </c>
      <c r="F83" s="1621">
        <f t="shared" si="3"/>
        <v>574951</v>
      </c>
      <c r="G83" s="2344"/>
    </row>
    <row r="84" spans="1:7" ht="16.8">
      <c r="A84" s="1617" t="s">
        <v>7241</v>
      </c>
      <c r="B84" s="1618" t="s">
        <v>4483</v>
      </c>
      <c r="C84" s="364"/>
      <c r="D84" s="1619">
        <v>1</v>
      </c>
      <c r="E84" s="1620">
        <f>+'CAPTACION RIO SINÚ'!E150</f>
        <v>444595.63960564003</v>
      </c>
      <c r="F84" s="1621">
        <f t="shared" si="3"/>
        <v>444596</v>
      </c>
      <c r="G84" s="2344"/>
    </row>
    <row r="85" spans="1:7" ht="16.8">
      <c r="A85" s="1617" t="s">
        <v>7242</v>
      </c>
      <c r="B85" s="1618" t="s">
        <v>4485</v>
      </c>
      <c r="C85" s="364" t="s">
        <v>427</v>
      </c>
      <c r="D85" s="1619">
        <v>1</v>
      </c>
      <c r="E85" s="1620">
        <f>+'CAPTACION RIO SINÚ'!E151</f>
        <v>793062.49226952007</v>
      </c>
      <c r="F85" s="1621">
        <f t="shared" si="3"/>
        <v>793062</v>
      </c>
      <c r="G85" s="2344"/>
    </row>
    <row r="86" spans="1:7" ht="16.8">
      <c r="A86" s="1617" t="s">
        <v>7243</v>
      </c>
      <c r="B86" s="1618" t="s">
        <v>4487</v>
      </c>
      <c r="C86" s="364" t="s">
        <v>427</v>
      </c>
      <c r="D86" s="1619">
        <v>3</v>
      </c>
      <c r="E86" s="1620">
        <f>+'CAPTACION RIO SINÚ'!E152</f>
        <v>225428.82035571916</v>
      </c>
      <c r="F86" s="1621">
        <f t="shared" si="3"/>
        <v>676286</v>
      </c>
      <c r="G86" s="2344"/>
    </row>
    <row r="87" spans="1:7" ht="33.6">
      <c r="A87" s="1617" t="s">
        <v>7244</v>
      </c>
      <c r="B87" s="1618" t="s">
        <v>4488</v>
      </c>
      <c r="C87" s="364" t="s">
        <v>427</v>
      </c>
      <c r="D87" s="1619">
        <v>2</v>
      </c>
      <c r="E87" s="1620">
        <f>+'CAPTACION RIO SINÚ'!E153</f>
        <v>965773.39201096795</v>
      </c>
      <c r="F87" s="1621">
        <f t="shared" si="3"/>
        <v>1931547</v>
      </c>
      <c r="G87" s="2344"/>
    </row>
    <row r="88" spans="1:7" ht="16.8">
      <c r="A88" s="1617" t="s">
        <v>7245</v>
      </c>
      <c r="B88" s="1618" t="s">
        <v>4489</v>
      </c>
      <c r="C88" s="364" t="s">
        <v>427</v>
      </c>
      <c r="D88" s="1619">
        <v>1</v>
      </c>
      <c r="E88" s="1620">
        <f>+'CAPTACION RIO SINÚ'!E154</f>
        <v>617627.45610080799</v>
      </c>
      <c r="F88" s="1621">
        <f t="shared" si="3"/>
        <v>617627</v>
      </c>
      <c r="G88" s="2344"/>
    </row>
    <row r="89" spans="1:7" ht="16.8">
      <c r="A89" s="1617" t="s">
        <v>7246</v>
      </c>
      <c r="B89" s="1618" t="s">
        <v>4490</v>
      </c>
      <c r="C89" s="364" t="s">
        <v>427</v>
      </c>
      <c r="D89" s="1619">
        <v>1</v>
      </c>
      <c r="E89" s="1620">
        <f>+'CAPTACION RIO SINÚ'!E155</f>
        <v>348466.85266387998</v>
      </c>
      <c r="F89" s="1621">
        <f t="shared" si="3"/>
        <v>348467</v>
      </c>
      <c r="G89" s="2344"/>
    </row>
    <row r="90" spans="1:7" ht="16.8">
      <c r="A90" s="1617" t="s">
        <v>7247</v>
      </c>
      <c r="B90" s="1623" t="s">
        <v>4492</v>
      </c>
      <c r="C90" s="364" t="s">
        <v>427</v>
      </c>
      <c r="D90" s="1619">
        <v>1</v>
      </c>
      <c r="E90" s="1620">
        <f>+'CAPTACION RIO SINÚ'!E156</f>
        <v>480643.93470879999</v>
      </c>
      <c r="F90" s="1621">
        <f t="shared" si="3"/>
        <v>480644</v>
      </c>
      <c r="G90" s="2344"/>
    </row>
    <row r="91" spans="1:7" ht="16.8">
      <c r="A91" s="1617" t="s">
        <v>7248</v>
      </c>
      <c r="B91" s="1618" t="s">
        <v>4491</v>
      </c>
      <c r="C91" s="364" t="s">
        <v>427</v>
      </c>
      <c r="D91" s="1619">
        <v>2</v>
      </c>
      <c r="E91" s="1620">
        <f>+'CAPTACION RIO SINÚ'!E157</f>
        <v>559044.17248722003</v>
      </c>
      <c r="F91" s="1621">
        <f t="shared" si="3"/>
        <v>1118088</v>
      </c>
      <c r="G91" s="2344"/>
    </row>
    <row r="92" spans="1:7" ht="16.8">
      <c r="A92" s="1617" t="s">
        <v>7249</v>
      </c>
      <c r="B92" s="1623" t="s">
        <v>4493</v>
      </c>
      <c r="C92" s="364" t="s">
        <v>427</v>
      </c>
      <c r="D92" s="1619">
        <v>4</v>
      </c>
      <c r="E92" s="1620">
        <f>+'CAPTACION RIO SINÚ'!E158</f>
        <v>70983.029553407992</v>
      </c>
      <c r="F92" s="1621">
        <f t="shared" si="3"/>
        <v>283932</v>
      </c>
      <c r="G92" s="2344"/>
    </row>
    <row r="93" spans="1:7" ht="50.4">
      <c r="A93" s="1617" t="s">
        <v>7250</v>
      </c>
      <c r="B93" s="1618" t="s">
        <v>4521</v>
      </c>
      <c r="C93" s="364" t="s">
        <v>427</v>
      </c>
      <c r="D93" s="1619">
        <v>1</v>
      </c>
      <c r="E93" s="1620">
        <f>+'CAPTACION RIO SINÚ'!E159</f>
        <v>446806.95106648398</v>
      </c>
      <c r="F93" s="1621">
        <f t="shared" si="3"/>
        <v>446807</v>
      </c>
      <c r="G93" s="2344"/>
    </row>
    <row r="94" spans="1:7" ht="16.8">
      <c r="A94" s="1617" t="s">
        <v>7251</v>
      </c>
      <c r="B94" s="1618" t="s">
        <v>4495</v>
      </c>
      <c r="C94" s="364" t="s">
        <v>427</v>
      </c>
      <c r="D94" s="1619">
        <v>1</v>
      </c>
      <c r="E94" s="1620">
        <f>+'CAPTACION RIO SINÚ'!E160</f>
        <v>302126.50508972805</v>
      </c>
      <c r="F94" s="1621">
        <f t="shared" si="3"/>
        <v>302127</v>
      </c>
      <c r="G94" s="2344"/>
    </row>
    <row r="95" spans="1:7" ht="16.8">
      <c r="A95" s="1617" t="s">
        <v>7252</v>
      </c>
      <c r="B95" s="1623" t="s">
        <v>4496</v>
      </c>
      <c r="C95" s="364" t="s">
        <v>427</v>
      </c>
      <c r="D95" s="1619">
        <v>6</v>
      </c>
      <c r="E95" s="1620">
        <f>+'CAPTACION RIO SINÚ'!E161</f>
        <v>43255.283634108004</v>
      </c>
      <c r="F95" s="1621">
        <f t="shared" si="3"/>
        <v>259532</v>
      </c>
      <c r="G95" s="2344"/>
    </row>
    <row r="96" spans="1:7" ht="16.8">
      <c r="A96" s="1617" t="s">
        <v>7253</v>
      </c>
      <c r="B96" s="1618" t="s">
        <v>4497</v>
      </c>
      <c r="C96" s="364" t="s">
        <v>427</v>
      </c>
      <c r="D96" s="1619">
        <v>1</v>
      </c>
      <c r="E96" s="1620">
        <f>+'CAPTACION RIO SINÚ'!E162</f>
        <v>213886.55094541603</v>
      </c>
      <c r="F96" s="1621">
        <f t="shared" si="3"/>
        <v>213887</v>
      </c>
      <c r="G96" s="2344"/>
    </row>
    <row r="97" spans="1:17" ht="16.8">
      <c r="A97" s="1617" t="s">
        <v>7254</v>
      </c>
      <c r="B97" s="1618" t="s">
        <v>4498</v>
      </c>
      <c r="C97" s="364" t="s">
        <v>427</v>
      </c>
      <c r="D97" s="1619">
        <v>1</v>
      </c>
      <c r="E97" s="1620">
        <f>+'CAPTACION RIO SINÚ'!E163</f>
        <v>108745.578757788</v>
      </c>
      <c r="F97" s="1621">
        <f t="shared" si="3"/>
        <v>108746</v>
      </c>
      <c r="G97" s="2344"/>
    </row>
    <row r="98" spans="1:17" ht="56.25" customHeight="1" thickBot="1">
      <c r="A98" s="1617" t="s">
        <v>7255</v>
      </c>
      <c r="B98" s="1618" t="s">
        <v>4520</v>
      </c>
      <c r="C98" s="364" t="s">
        <v>427</v>
      </c>
      <c r="D98" s="1619">
        <v>1</v>
      </c>
      <c r="E98" s="1620">
        <f>+'CAPTACION RIO SINÚ'!E164</f>
        <v>228789.87061896003</v>
      </c>
      <c r="F98" s="1621">
        <f t="shared" si="3"/>
        <v>228790</v>
      </c>
      <c r="G98" s="2344"/>
    </row>
    <row r="99" spans="1:17" ht="16.8">
      <c r="A99" s="3334" t="s">
        <v>5757</v>
      </c>
      <c r="B99" s="3335"/>
      <c r="C99" s="3335"/>
      <c r="D99" s="3335"/>
      <c r="E99" s="3335"/>
      <c r="F99" s="3336"/>
      <c r="G99" s="2344"/>
    </row>
    <row r="100" spans="1:17" ht="33.6" hidden="1">
      <c r="A100" s="1590" t="s">
        <v>22</v>
      </c>
      <c r="B100" s="1591" t="s">
        <v>23</v>
      </c>
      <c r="C100" s="1591" t="s">
        <v>150</v>
      </c>
      <c r="D100" s="1592" t="s">
        <v>539</v>
      </c>
      <c r="E100" s="1593" t="s">
        <v>151</v>
      </c>
      <c r="F100" s="1593" t="s">
        <v>540</v>
      </c>
      <c r="G100" s="2344"/>
    </row>
    <row r="101" spans="1:17" s="1623" customFormat="1" ht="16.8">
      <c r="A101" s="1624"/>
      <c r="B101" s="3342" t="s">
        <v>1201</v>
      </c>
      <c r="C101" s="3343"/>
      <c r="D101" s="3343"/>
      <c r="E101" s="3343"/>
      <c r="F101" s="3344"/>
      <c r="G101" s="2344"/>
      <c r="H101" s="1625"/>
      <c r="I101" s="1625"/>
      <c r="J101" s="1625"/>
      <c r="K101" s="1706"/>
      <c r="L101" s="1706"/>
      <c r="M101" s="1625"/>
      <c r="N101" s="1625"/>
      <c r="O101" s="1625"/>
      <c r="P101" s="1625"/>
      <c r="Q101" s="1625"/>
    </row>
    <row r="102" spans="1:17" s="1721" customFormat="1" ht="20.100000000000001" customHeight="1">
      <c r="A102" s="1718"/>
      <c r="B102" s="1626" t="s">
        <v>1082</v>
      </c>
      <c r="C102" s="1719"/>
      <c r="D102" s="1627"/>
      <c r="E102" s="1720"/>
      <c r="F102" s="1628"/>
      <c r="G102" s="2344"/>
      <c r="H102" s="2340"/>
      <c r="K102" s="2666"/>
      <c r="L102" s="2666"/>
      <c r="M102" s="2666"/>
    </row>
    <row r="103" spans="1:17" s="1721" customFormat="1" ht="20.100000000000001" customHeight="1">
      <c r="A103" s="1722">
        <v>17</v>
      </c>
      <c r="B103" s="1629" t="s">
        <v>1083</v>
      </c>
      <c r="C103" s="1723"/>
      <c r="D103" s="1630"/>
      <c r="E103" s="1724"/>
      <c r="F103" s="2225">
        <f>SUM(F104)</f>
        <v>24257376</v>
      </c>
      <c r="G103" s="2975">
        <f>+SUM(F103,F105,F111,F122,F132)</f>
        <v>2104213397</v>
      </c>
      <c r="H103" s="1721" t="s">
        <v>8225</v>
      </c>
      <c r="K103" s="2666"/>
      <c r="L103" s="2666"/>
      <c r="M103" s="2666"/>
    </row>
    <row r="104" spans="1:17" s="1623" customFormat="1" ht="16.8">
      <c r="A104" s="1617" t="s">
        <v>6872</v>
      </c>
      <c r="B104" s="1631" t="s">
        <v>1086</v>
      </c>
      <c r="C104" s="1632" t="s">
        <v>1002</v>
      </c>
      <c r="D104" s="1633">
        <f>+'LINEAS IMPULSIÓN-CONDUCCIÓN'!D14</f>
        <v>10296</v>
      </c>
      <c r="E104" s="1634">
        <f>+'LINEAS IMPULSIÓN-CONDUCCIÓN'!E14</f>
        <v>2356</v>
      </c>
      <c r="F104" s="1634">
        <f>+ROUND(E104*D104,0)</f>
        <v>24257376</v>
      </c>
      <c r="G104" s="2346">
        <f>+'LINEAS IMPULSIÓN-CONDUCCIÓN'!F54</f>
        <v>2104213397</v>
      </c>
    </row>
    <row r="105" spans="1:17" s="1623" customFormat="1" ht="16.8">
      <c r="A105" s="1722">
        <v>18</v>
      </c>
      <c r="B105" s="1629" t="s">
        <v>1087</v>
      </c>
      <c r="C105" s="1723"/>
      <c r="D105" s="1630"/>
      <c r="E105" s="1724"/>
      <c r="F105" s="2225">
        <f>SUM(F106:F110)</f>
        <v>114229441</v>
      </c>
      <c r="G105" s="2346"/>
    </row>
    <row r="106" spans="1:17" s="1623" customFormat="1" ht="16.8">
      <c r="A106" s="1635" t="s">
        <v>6893</v>
      </c>
      <c r="B106" s="1618" t="s">
        <v>1088</v>
      </c>
      <c r="C106" s="1635" t="s">
        <v>356</v>
      </c>
      <c r="D106" s="1633">
        <f>+'LINEAS IMPULSIÓN-CONDUCCIÓN'!D16</f>
        <v>65.8</v>
      </c>
      <c r="E106" s="1634">
        <f>+'LINEAS IMPULSIÓN-CONDUCCIÓN'!E16</f>
        <v>51559</v>
      </c>
      <c r="F106" s="1637">
        <f t="shared" ref="F106:F110" si="4">+ROUND(E106*D106,0)</f>
        <v>3392582</v>
      </c>
      <c r="G106" s="2346"/>
      <c r="H106" s="1625"/>
    </row>
    <row r="107" spans="1:17" s="1623" customFormat="1" ht="16.8">
      <c r="A107" s="1635" t="s">
        <v>6894</v>
      </c>
      <c r="B107" s="1638" t="s">
        <v>1108</v>
      </c>
      <c r="C107" s="1635" t="s">
        <v>94</v>
      </c>
      <c r="D107" s="1633">
        <f>+'LINEAS IMPULSIÓN-CONDUCCIÓN'!D17</f>
        <v>10904.900000000001</v>
      </c>
      <c r="E107" s="1634">
        <f>+'LINEAS IMPULSIÓN-CONDUCCIÓN'!E17</f>
        <v>5176</v>
      </c>
      <c r="F107" s="1637">
        <f t="shared" si="4"/>
        <v>56443762</v>
      </c>
      <c r="G107" s="2346"/>
    </row>
    <row r="108" spans="1:17" s="1623" customFormat="1" ht="16.8">
      <c r="A108" s="1635" t="s">
        <v>6895</v>
      </c>
      <c r="B108" s="1638" t="s">
        <v>1089</v>
      </c>
      <c r="C108" s="1635" t="s">
        <v>94</v>
      </c>
      <c r="D108" s="1633">
        <f>+'LINEAS IMPULSIÓN-CONDUCCIÓN'!D18</f>
        <v>1369.1</v>
      </c>
      <c r="E108" s="1634">
        <f>+'LINEAS IMPULSIÓN-CONDUCCIÓN'!E18</f>
        <v>11371.692038071427</v>
      </c>
      <c r="F108" s="1637">
        <f t="shared" si="4"/>
        <v>15568984</v>
      </c>
      <c r="G108" s="2346"/>
    </row>
    <row r="109" spans="1:17" s="1623" customFormat="1" ht="16.8">
      <c r="A109" s="1635" t="s">
        <v>6896</v>
      </c>
      <c r="B109" s="1638" t="s">
        <v>1090</v>
      </c>
      <c r="C109" s="1635" t="s">
        <v>94</v>
      </c>
      <c r="D109" s="1633">
        <f>+'LINEAS IMPULSIÓN-CONDUCCIÓN'!D19</f>
        <v>3343.8</v>
      </c>
      <c r="E109" s="1634">
        <f>+'LINEAS IMPULSIÓN-CONDUCCIÓN'!E19</f>
        <v>9950.2305333125005</v>
      </c>
      <c r="F109" s="1637">
        <f t="shared" si="4"/>
        <v>33271581</v>
      </c>
      <c r="G109" s="2346"/>
    </row>
    <row r="110" spans="1:17" s="1623" customFormat="1" ht="16.8">
      <c r="A110" s="1635" t="s">
        <v>6897</v>
      </c>
      <c r="B110" s="1638" t="s">
        <v>1091</v>
      </c>
      <c r="C110" s="1635" t="s">
        <v>356</v>
      </c>
      <c r="D110" s="1633">
        <f>+'LINEAS IMPULSIÓN-CONDUCCIÓN'!D20</f>
        <v>109.5</v>
      </c>
      <c r="E110" s="1634">
        <f>+'LINEAS IMPULSIÓN-CONDUCCIÓN'!E20</f>
        <v>50708.052078235298</v>
      </c>
      <c r="F110" s="1637">
        <f t="shared" si="4"/>
        <v>5552532</v>
      </c>
      <c r="G110" s="2346"/>
    </row>
    <row r="111" spans="1:17" s="1623" customFormat="1" ht="16.8">
      <c r="A111" s="1722">
        <v>19</v>
      </c>
      <c r="B111" s="1629" t="s">
        <v>1104</v>
      </c>
      <c r="C111" s="1723"/>
      <c r="D111" s="1630"/>
      <c r="E111" s="1724"/>
      <c r="F111" s="2225">
        <f>SUM(F112:F121)</f>
        <v>1185268163</v>
      </c>
      <c r="G111" s="2346"/>
    </row>
    <row r="112" spans="1:17" s="1623" customFormat="1" ht="33.6">
      <c r="A112" s="1617" t="s">
        <v>7256</v>
      </c>
      <c r="B112" s="258" t="s">
        <v>6262</v>
      </c>
      <c r="C112" s="364" t="s">
        <v>1084</v>
      </c>
      <c r="D112" s="1633">
        <f>+'LINEAS IMPULSIÓN-CONDUCCIÓN'!D22</f>
        <v>8685.74</v>
      </c>
      <c r="E112" s="1634">
        <f>+'LINEAS IMPULSIÓN-CONDUCCIÓN'!E22</f>
        <v>10000</v>
      </c>
      <c r="F112" s="1637">
        <f t="shared" ref="F112:F121" si="5">ROUND(+E112*D112,0)</f>
        <v>86857400</v>
      </c>
      <c r="G112" s="2346"/>
      <c r="H112" s="1640"/>
      <c r="I112" s="1640"/>
    </row>
    <row r="113" spans="1:17" s="1623" customFormat="1" ht="33.75" customHeight="1">
      <c r="A113" s="1617" t="s">
        <v>7257</v>
      </c>
      <c r="B113" s="1641" t="s">
        <v>5062</v>
      </c>
      <c r="C113" s="364" t="s">
        <v>1084</v>
      </c>
      <c r="D113" s="1633">
        <f>+'LINEAS IMPULSIÓN-CONDUCCIÓN'!D23</f>
        <v>3598.3780000000002</v>
      </c>
      <c r="E113" s="1634">
        <f>+'LINEAS IMPULSIÓN-CONDUCCIÓN'!E23</f>
        <v>23473.224058666663</v>
      </c>
      <c r="F113" s="1637">
        <f t="shared" si="5"/>
        <v>84465533</v>
      </c>
      <c r="G113" s="2346"/>
      <c r="H113" s="1725"/>
      <c r="I113" s="1640"/>
      <c r="J113" s="2932"/>
      <c r="L113" s="2932"/>
      <c r="M113" s="2932"/>
      <c r="N113" s="2932"/>
      <c r="O113" s="1642"/>
    </row>
    <row r="114" spans="1:17" s="1623" customFormat="1" ht="50.4">
      <c r="A114" s="1617" t="s">
        <v>7258</v>
      </c>
      <c r="B114" s="1641" t="s">
        <v>1095</v>
      </c>
      <c r="C114" s="1643" t="s">
        <v>1084</v>
      </c>
      <c r="D114" s="1633">
        <f>+'LINEAS IMPULSIÓN-CONDUCCIÓN'!D24</f>
        <v>124.08200000000001</v>
      </c>
      <c r="E114" s="1634">
        <f>+'LINEAS IMPULSIÓN-CONDUCCIÓN'!E24</f>
        <v>75938.251377333334</v>
      </c>
      <c r="F114" s="1637">
        <f t="shared" si="5"/>
        <v>9422570</v>
      </c>
      <c r="G114" s="2346"/>
      <c r="H114" s="1640"/>
      <c r="I114" s="1640"/>
      <c r="J114" s="1644"/>
      <c r="L114" s="1625"/>
      <c r="M114" s="1625"/>
      <c r="N114" s="1625"/>
      <c r="O114" s="1625"/>
      <c r="P114" s="1625"/>
      <c r="Q114" s="1625"/>
    </row>
    <row r="115" spans="1:17" s="1623" customFormat="1" ht="33.6">
      <c r="A115" s="1617" t="s">
        <v>7259</v>
      </c>
      <c r="B115" s="1645" t="s">
        <v>1101</v>
      </c>
      <c r="C115" s="1643" t="s">
        <v>1084</v>
      </c>
      <c r="D115" s="1633">
        <f>+'LINEAS IMPULSIÓN-CONDUCCIÓN'!D25</f>
        <v>6111.8479505816122</v>
      </c>
      <c r="E115" s="1634">
        <f>+'LINEAS IMPULSIÓN-CONDUCCIÓN'!E25</f>
        <v>1826.1904761904761</v>
      </c>
      <c r="F115" s="1637">
        <f t="shared" si="5"/>
        <v>11161399</v>
      </c>
      <c r="G115" s="2346"/>
      <c r="H115" s="1640"/>
      <c r="I115" s="1640"/>
      <c r="J115" s="1644"/>
      <c r="L115" s="1625"/>
      <c r="M115" s="1625"/>
      <c r="N115" s="1625"/>
      <c r="O115" s="1625"/>
      <c r="P115" s="1625"/>
      <c r="Q115" s="1625"/>
    </row>
    <row r="116" spans="1:17" s="1623" customFormat="1" ht="50.4">
      <c r="A116" s="1617" t="s">
        <v>7260</v>
      </c>
      <c r="B116" s="1641" t="s">
        <v>5063</v>
      </c>
      <c r="C116" s="1643" t="s">
        <v>1085</v>
      </c>
      <c r="D116" s="1633">
        <f>+'LINEAS IMPULSIÓN-CONDUCCIÓN'!D26</f>
        <v>3844.0000000000005</v>
      </c>
      <c r="E116" s="1634">
        <f>+'LINEAS IMPULSIÓN-CONDUCCIÓN'!E26</f>
        <v>87012</v>
      </c>
      <c r="F116" s="1637">
        <f t="shared" si="5"/>
        <v>334474128</v>
      </c>
      <c r="G116" s="2346"/>
      <c r="H116" s="2932"/>
      <c r="I116" s="1625"/>
      <c r="J116" s="1644"/>
      <c r="K116" s="1625"/>
      <c r="L116" s="1625"/>
      <c r="M116" s="1625"/>
      <c r="N116" s="1625"/>
      <c r="O116" s="1625"/>
      <c r="P116" s="1625"/>
      <c r="Q116" s="1625"/>
    </row>
    <row r="117" spans="1:17" s="1623" customFormat="1" ht="50.4">
      <c r="A117" s="1617" t="s">
        <v>7261</v>
      </c>
      <c r="B117" s="1641" t="s">
        <v>1102</v>
      </c>
      <c r="C117" s="364" t="s">
        <v>1085</v>
      </c>
      <c r="D117" s="1633">
        <f>+'LINEAS IMPULSIÓN-CONDUCCIÓN'!D27</f>
        <v>8968.7500000000018</v>
      </c>
      <c r="E117" s="1634">
        <f>+'LINEAS IMPULSIÓN-CONDUCCIÓN'!E27</f>
        <v>12212</v>
      </c>
      <c r="F117" s="1637">
        <f t="shared" si="5"/>
        <v>109526375</v>
      </c>
      <c r="G117" s="2346"/>
      <c r="H117" s="3347"/>
      <c r="I117" s="3347"/>
      <c r="J117" s="3347"/>
      <c r="K117" s="3347"/>
      <c r="L117" s="3347"/>
      <c r="M117" s="3347"/>
      <c r="N117" s="3347"/>
      <c r="O117" s="1642"/>
    </row>
    <row r="118" spans="1:17" s="247" customFormat="1" ht="33.6">
      <c r="A118" s="1617" t="s">
        <v>7262</v>
      </c>
      <c r="B118" s="263" t="s">
        <v>6249</v>
      </c>
      <c r="C118" s="471" t="s">
        <v>1085</v>
      </c>
      <c r="D118" s="1633">
        <f>+'LINEAS IMPULSIÓN-CONDUCCIÓN'!D28</f>
        <v>1530.6</v>
      </c>
      <c r="E118" s="1634">
        <f>+'LINEAS IMPULSIÓN-CONDUCCIÓN'!E28</f>
        <v>88113</v>
      </c>
      <c r="F118" s="1637">
        <f t="shared" si="5"/>
        <v>134865758</v>
      </c>
      <c r="G118" s="2346"/>
      <c r="H118" s="2924"/>
      <c r="I118" s="2924"/>
      <c r="J118" s="2924"/>
      <c r="K118" s="2924"/>
      <c r="L118" s="2924"/>
      <c r="M118" s="2924"/>
      <c r="N118" s="2924"/>
      <c r="O118" s="261"/>
    </row>
    <row r="119" spans="1:17" s="247" customFormat="1" ht="67.2">
      <c r="A119" s="1617" t="s">
        <v>7263</v>
      </c>
      <c r="B119" s="323" t="s">
        <v>5742</v>
      </c>
      <c r="C119" s="471" t="s">
        <v>45</v>
      </c>
      <c r="D119" s="1633">
        <f>+'LINEAS IMPULSIÓN-CONDUCCIÓN'!D29</f>
        <v>60</v>
      </c>
      <c r="E119" s="1634">
        <f>+'LINEAS IMPULSIÓN-CONDUCCIÓN'!E29</f>
        <v>2454375</v>
      </c>
      <c r="F119" s="1637">
        <f t="shared" si="5"/>
        <v>147262500</v>
      </c>
      <c r="G119" s="2346"/>
      <c r="H119" s="2924"/>
      <c r="I119" s="2924"/>
      <c r="J119" s="2924"/>
      <c r="K119" s="2924"/>
      <c r="L119" s="2924"/>
      <c r="M119" s="2924"/>
      <c r="N119" s="2924"/>
      <c r="O119" s="261"/>
    </row>
    <row r="120" spans="1:17" s="247" customFormat="1" ht="67.2">
      <c r="A120" s="1617" t="s">
        <v>7264</v>
      </c>
      <c r="B120" s="323" t="s">
        <v>5743</v>
      </c>
      <c r="C120" s="471" t="s">
        <v>45</v>
      </c>
      <c r="D120" s="1633">
        <f>+'LINEAS IMPULSIÓN-CONDUCCIÓN'!D30</f>
        <v>60</v>
      </c>
      <c r="E120" s="1634">
        <f>+'LINEAS IMPULSIÓN-CONDUCCIÓN'!E30</f>
        <v>2454375</v>
      </c>
      <c r="F120" s="1637">
        <f t="shared" si="5"/>
        <v>147262500</v>
      </c>
      <c r="G120" s="2346"/>
      <c r="H120" s="2924"/>
      <c r="I120" s="2924"/>
      <c r="J120" s="2924"/>
      <c r="K120" s="2924"/>
      <c r="L120" s="2924"/>
      <c r="M120" s="2924"/>
      <c r="N120" s="2924"/>
      <c r="O120" s="261"/>
    </row>
    <row r="121" spans="1:17" s="1623" customFormat="1" ht="41.25" customHeight="1">
      <c r="A121" s="1617" t="s">
        <v>7265</v>
      </c>
      <c r="B121" s="1638" t="s">
        <v>5744</v>
      </c>
      <c r="C121" s="1632" t="s">
        <v>94</v>
      </c>
      <c r="D121" s="1633">
        <f>+'LINEAS IMPULSIÓN-CONDUCCIÓN'!D31</f>
        <v>30</v>
      </c>
      <c r="E121" s="1634">
        <f>+'LINEAS IMPULSIÓN-CONDUCCIÓN'!E31</f>
        <v>3999000</v>
      </c>
      <c r="F121" s="1634">
        <f t="shared" si="5"/>
        <v>119970000</v>
      </c>
      <c r="G121" s="2346"/>
      <c r="H121" s="2932"/>
      <c r="I121" s="2932"/>
      <c r="J121" s="2932"/>
      <c r="K121" s="2932"/>
      <c r="L121" s="2932"/>
      <c r="M121" s="2932"/>
      <c r="N121" s="2932"/>
      <c r="O121" s="1642"/>
    </row>
    <row r="122" spans="1:17" s="1623" customFormat="1" ht="16.8">
      <c r="A122" s="1594">
        <v>20</v>
      </c>
      <c r="B122" s="1613" t="s">
        <v>1106</v>
      </c>
      <c r="C122" s="1647"/>
      <c r="D122" s="1647"/>
      <c r="E122" s="1647"/>
      <c r="F122" s="2225">
        <f>SUM(F123:F131)</f>
        <v>476464015</v>
      </c>
      <c r="G122" s="2346"/>
      <c r="I122" s="273"/>
      <c r="J122" s="273"/>
      <c r="K122" s="1706"/>
      <c r="L122" s="275"/>
      <c r="M122" s="1625"/>
      <c r="N122" s="1625"/>
      <c r="O122" s="273"/>
      <c r="P122" s="276"/>
      <c r="Q122" s="276"/>
    </row>
    <row r="123" spans="1:17" s="1623" customFormat="1" ht="22.5" customHeight="1">
      <c r="A123" s="1635" t="s">
        <v>7266</v>
      </c>
      <c r="B123" s="1638" t="s">
        <v>1107</v>
      </c>
      <c r="C123" s="1635" t="s">
        <v>1084</v>
      </c>
      <c r="D123" s="1633">
        <f>+'LINEAS IMPULSIÓN-CONDUCCIÓN'!D33</f>
        <v>17</v>
      </c>
      <c r="E123" s="1634">
        <f>+'LINEAS IMPULSIÓN-CONDUCCIÓN'!E33</f>
        <v>508061.26403443597</v>
      </c>
      <c r="F123" s="1648">
        <f t="shared" ref="F123:F131" si="6">ROUND((+E123*D123),0)</f>
        <v>8637041</v>
      </c>
      <c r="G123" s="2346"/>
      <c r="I123" s="273"/>
      <c r="J123" s="273"/>
      <c r="K123" s="1706"/>
      <c r="L123" s="275"/>
      <c r="M123" s="1625"/>
      <c r="N123" s="1625"/>
      <c r="O123" s="273"/>
      <c r="P123" s="276"/>
      <c r="Q123" s="276"/>
    </row>
    <row r="124" spans="1:17" s="1623" customFormat="1" ht="22.5" customHeight="1">
      <c r="A124" s="1635" t="s">
        <v>7267</v>
      </c>
      <c r="B124" s="1638" t="s">
        <v>5086</v>
      </c>
      <c r="C124" s="1635" t="s">
        <v>1084</v>
      </c>
      <c r="D124" s="1633">
        <f>+'LINEAS IMPULSIÓN-CONDUCCIÓN'!D34</f>
        <v>5</v>
      </c>
      <c r="E124" s="1634">
        <f>+'LINEAS IMPULSIÓN-CONDUCCIÓN'!E34</f>
        <v>583833.86392370739</v>
      </c>
      <c r="F124" s="1648">
        <f t="shared" si="6"/>
        <v>2919169</v>
      </c>
      <c r="G124" s="2346"/>
      <c r="I124" s="273"/>
      <c r="J124" s="273"/>
      <c r="K124" s="1706"/>
      <c r="L124" s="275"/>
      <c r="M124" s="1625"/>
      <c r="N124" s="1625"/>
      <c r="O124" s="273"/>
      <c r="P124" s="276"/>
      <c r="Q124" s="276"/>
    </row>
    <row r="125" spans="1:17" s="1623" customFormat="1" ht="50.4">
      <c r="A125" s="1635" t="s">
        <v>7268</v>
      </c>
      <c r="B125" s="1638" t="s">
        <v>1111</v>
      </c>
      <c r="C125" s="1635" t="s">
        <v>1084</v>
      </c>
      <c r="D125" s="1633">
        <f>+'LINEAS IMPULSIÓN-CONDUCCIÓN'!D35</f>
        <v>65.8</v>
      </c>
      <c r="E125" s="1634">
        <f>+'LINEAS IMPULSIÓN-CONDUCCIÓN'!E35</f>
        <v>721312.05156987999</v>
      </c>
      <c r="F125" s="1648">
        <f t="shared" si="6"/>
        <v>47462333</v>
      </c>
      <c r="G125" s="2346"/>
      <c r="I125" s="273"/>
      <c r="J125" s="273"/>
      <c r="K125" s="1706"/>
      <c r="L125" s="275"/>
      <c r="M125" s="1625"/>
      <c r="N125" s="1625"/>
      <c r="O125" s="273"/>
      <c r="P125" s="276"/>
      <c r="Q125" s="276"/>
    </row>
    <row r="126" spans="1:17" s="1623" customFormat="1" ht="16.8">
      <c r="A126" s="1635" t="s">
        <v>7269</v>
      </c>
      <c r="B126" s="1638" t="s">
        <v>1120</v>
      </c>
      <c r="C126" s="1635" t="s">
        <v>94</v>
      </c>
      <c r="D126" s="1633">
        <f>+'LINEAS IMPULSIÓN-CONDUCCIÓN'!D36</f>
        <v>3343.8</v>
      </c>
      <c r="E126" s="1634">
        <f>+'LINEAS IMPULSIÓN-CONDUCCIÓN'!E36</f>
        <v>54299.213951898993</v>
      </c>
      <c r="F126" s="1648">
        <f t="shared" si="6"/>
        <v>181565712</v>
      </c>
      <c r="G126" s="2346"/>
      <c r="I126" s="273"/>
      <c r="J126" s="273"/>
      <c r="K126" s="1706"/>
      <c r="L126" s="275"/>
      <c r="M126" s="1625"/>
      <c r="N126" s="1625"/>
      <c r="O126" s="273"/>
      <c r="P126" s="276"/>
      <c r="Q126" s="276"/>
    </row>
    <row r="127" spans="1:17" s="1623" customFormat="1" ht="16.8">
      <c r="A127" s="1635" t="s">
        <v>7270</v>
      </c>
      <c r="B127" s="1638" t="s">
        <v>1121</v>
      </c>
      <c r="C127" s="1635" t="s">
        <v>94</v>
      </c>
      <c r="D127" s="1633">
        <f>+'LINEAS IMPULSIÓN-CONDUCCIÓN'!D37</f>
        <v>1369.1</v>
      </c>
      <c r="E127" s="1634">
        <f>+'LINEAS IMPULSIÓN-CONDUCCIÓN'!E37</f>
        <v>41838.174079316326</v>
      </c>
      <c r="F127" s="1648">
        <f t="shared" si="6"/>
        <v>57280644</v>
      </c>
      <c r="G127" s="2346"/>
      <c r="I127" s="273"/>
      <c r="J127" s="273"/>
      <c r="K127" s="1706"/>
      <c r="L127" s="275"/>
      <c r="M127" s="1625"/>
      <c r="N127" s="1625"/>
      <c r="O127" s="273"/>
      <c r="P127" s="276"/>
      <c r="Q127" s="276"/>
    </row>
    <row r="128" spans="1:17" s="1623" customFormat="1" ht="50.4">
      <c r="A128" s="1635" t="s">
        <v>7271</v>
      </c>
      <c r="B128" s="1638" t="s">
        <v>1123</v>
      </c>
      <c r="C128" s="1635" t="s">
        <v>1084</v>
      </c>
      <c r="D128" s="1633">
        <f>+'LINEAS IMPULSIÓN-CONDUCCIÓN'!D38</f>
        <v>109.5</v>
      </c>
      <c r="E128" s="1634">
        <f>+'LINEAS IMPULSIÓN-CONDUCCIÓN'!E38</f>
        <v>444652.84510301804</v>
      </c>
      <c r="F128" s="1648">
        <f t="shared" si="6"/>
        <v>48689487</v>
      </c>
      <c r="G128" s="2346"/>
      <c r="I128" s="273"/>
      <c r="J128" s="273"/>
      <c r="K128" s="1706"/>
      <c r="L128" s="275"/>
      <c r="M128" s="1625"/>
      <c r="N128" s="1625"/>
      <c r="O128" s="273"/>
      <c r="P128" s="276"/>
      <c r="Q128" s="276"/>
    </row>
    <row r="129" spans="1:17" s="1623" customFormat="1" ht="50.4">
      <c r="A129" s="1635" t="s">
        <v>7272</v>
      </c>
      <c r="B129" s="1618" t="s">
        <v>542</v>
      </c>
      <c r="C129" s="1643" t="s">
        <v>133</v>
      </c>
      <c r="D129" s="1633">
        <f>+'LINEAS IMPULSIÓN-CONDUCCIÓN'!D39</f>
        <v>17</v>
      </c>
      <c r="E129" s="1634">
        <f>+'LINEAS IMPULSIÓN-CONDUCCIÓN'!E39</f>
        <v>704362.91278373147</v>
      </c>
      <c r="F129" s="1648">
        <f t="shared" si="6"/>
        <v>11974170</v>
      </c>
      <c r="G129" s="2346"/>
      <c r="H129" s="1625"/>
      <c r="I129" s="1625"/>
      <c r="J129" s="1625"/>
      <c r="K129" s="1625"/>
    </row>
    <row r="130" spans="1:17" s="1623" customFormat="1" ht="16.8">
      <c r="A130" s="1635" t="s">
        <v>7273</v>
      </c>
      <c r="B130" s="1618" t="str">
        <f>+'LINEAS IMPULSIÓN-CONDUCCIÓN'!B40</f>
        <v>Camara de Quiebre en concreto, incluye accesorios</v>
      </c>
      <c r="C130" s="1643" t="s">
        <v>133</v>
      </c>
      <c r="D130" s="1633">
        <f>+'LINEAS IMPULSIÓN-CONDUCCIÓN'!D40</f>
        <v>1</v>
      </c>
      <c r="E130" s="1634">
        <f>+'LINEAS IMPULSIÓN-CONDUCCIÓN'!E40</f>
        <v>46725677.187705025</v>
      </c>
      <c r="F130" s="1648">
        <f>ROUND((+E130*D130),0)</f>
        <v>46725677</v>
      </c>
      <c r="G130" s="2346"/>
      <c r="H130" s="1625"/>
      <c r="I130" s="1625"/>
      <c r="J130" s="1625"/>
      <c r="K130" s="1625"/>
    </row>
    <row r="131" spans="1:17" s="1623" customFormat="1" ht="16.8">
      <c r="A131" s="1635" t="s">
        <v>8796</v>
      </c>
      <c r="B131" s="1618" t="str">
        <f>+'LINEAS IMPULSIÓN-CONDUCCIÓN'!B41</f>
        <v>Acero de refuerzo de 420 MPa (60000 psi) para estructuras varias</v>
      </c>
      <c r="C131" s="1643" t="str">
        <f>+'LINEAS IMPULSIÓN-CONDUCCIÓN'!C41</f>
        <v>kg</v>
      </c>
      <c r="D131" s="1639">
        <f>+'LINEAS IMPULSIÓN-CONDUCCIÓN'!D41</f>
        <v>18080</v>
      </c>
      <c r="E131" s="1637">
        <f>+'LINEAS IMPULSIÓN-CONDUCCIÓN'!E41</f>
        <v>3938.5941163025</v>
      </c>
      <c r="F131" s="1648">
        <f t="shared" si="6"/>
        <v>71209782</v>
      </c>
      <c r="G131" s="2346"/>
      <c r="H131" s="1625"/>
      <c r="I131" s="1625"/>
      <c r="J131" s="1625"/>
      <c r="K131" s="1625"/>
    </row>
    <row r="132" spans="1:17" s="1623" customFormat="1" ht="16.8">
      <c r="A132" s="1594">
        <v>21</v>
      </c>
      <c r="B132" s="1613" t="s">
        <v>1127</v>
      </c>
      <c r="C132" s="1647"/>
      <c r="D132" s="1647"/>
      <c r="E132" s="1647"/>
      <c r="F132" s="2225">
        <f>SUM(F133:F143)</f>
        <v>303994402</v>
      </c>
      <c r="G132" s="2346">
        <f>+'LINEAS IMPULSIÓN-CONDUCCIÓN'!F42</f>
        <v>303994402</v>
      </c>
      <c r="H132" s="1625"/>
      <c r="I132" s="1625"/>
      <c r="J132" s="1625"/>
      <c r="K132" s="1706"/>
      <c r="L132" s="1706"/>
      <c r="M132" s="1625"/>
      <c r="N132" s="1625"/>
      <c r="O132" s="1625"/>
      <c r="P132" s="1625"/>
      <c r="Q132" s="1625"/>
    </row>
    <row r="133" spans="1:17" s="1623" customFormat="1" ht="16.8">
      <c r="A133" s="1622" t="s">
        <v>7274</v>
      </c>
      <c r="B133" s="1618" t="s">
        <v>8772</v>
      </c>
      <c r="C133" s="364" t="s">
        <v>94</v>
      </c>
      <c r="D133" s="1639">
        <f>+'LINEAS IMPULSIÓN-CONDUCCIÓN'!D43</f>
        <v>1031</v>
      </c>
      <c r="E133" s="1634">
        <f>+'LINEAS IMPULSIÓN-CONDUCCIÓN'!E43</f>
        <v>30573</v>
      </c>
      <c r="F133" s="1637">
        <f>+ROUND(E133*D133,0)</f>
        <v>31520763</v>
      </c>
      <c r="G133" s="2346"/>
      <c r="H133" s="1625"/>
      <c r="I133" s="1625"/>
      <c r="J133" s="1625"/>
    </row>
    <row r="134" spans="1:17" s="1623" customFormat="1" ht="16.8">
      <c r="A134" s="1622" t="s">
        <v>7275</v>
      </c>
      <c r="B134" s="258" t="s">
        <v>8724</v>
      </c>
      <c r="C134" s="364" t="s">
        <v>94</v>
      </c>
      <c r="D134" s="1639">
        <f>+'LINEAS IMPULSIÓN-CONDUCCIÓN'!D44</f>
        <v>1057</v>
      </c>
      <c r="E134" s="1634">
        <f>+'LINEAS IMPULSIÓN-CONDUCCIÓN'!E44</f>
        <v>30573</v>
      </c>
      <c r="F134" s="1637">
        <f t="shared" ref="F134:F136" si="7">+ROUND(E134*D134,0)</f>
        <v>32315661</v>
      </c>
      <c r="G134" s="2346"/>
      <c r="H134" s="1625"/>
      <c r="I134" s="1625"/>
      <c r="J134" s="1625"/>
    </row>
    <row r="135" spans="1:17" s="1623" customFormat="1" ht="16.8">
      <c r="A135" s="1622" t="s">
        <v>7276</v>
      </c>
      <c r="B135" s="258" t="s">
        <v>8725</v>
      </c>
      <c r="C135" s="364" t="s">
        <v>94</v>
      </c>
      <c r="D135" s="1639">
        <f>+'LINEAS IMPULSIÓN-CONDUCCIÓN'!D45</f>
        <v>504</v>
      </c>
      <c r="E135" s="1634">
        <f>+'LINEAS IMPULSIÓN-CONDUCCIÓN'!E45</f>
        <v>30573</v>
      </c>
      <c r="F135" s="1637">
        <f t="shared" si="7"/>
        <v>15408792</v>
      </c>
      <c r="G135" s="2346"/>
      <c r="H135" s="1625"/>
      <c r="I135" s="1625"/>
      <c r="J135" s="1625"/>
    </row>
    <row r="136" spans="1:17" s="1623" customFormat="1" ht="16.8">
      <c r="A136" s="1622" t="s">
        <v>7277</v>
      </c>
      <c r="B136" s="258" t="s">
        <v>8726</v>
      </c>
      <c r="C136" s="364" t="s">
        <v>94</v>
      </c>
      <c r="D136" s="1639">
        <f>+'LINEAS IMPULSIÓN-CONDUCCIÓN'!D46</f>
        <v>2174</v>
      </c>
      <c r="E136" s="1634">
        <f>+'LINEAS IMPULSIÓN-CONDUCCIÓN'!E46</f>
        <v>30573</v>
      </c>
      <c r="F136" s="1637">
        <f t="shared" si="7"/>
        <v>66465702</v>
      </c>
      <c r="G136" s="2346"/>
      <c r="H136" s="1625"/>
      <c r="I136" s="1625"/>
      <c r="J136" s="1625"/>
    </row>
    <row r="137" spans="1:17" s="1623" customFormat="1" ht="16.8">
      <c r="A137" s="1622" t="s">
        <v>7278</v>
      </c>
      <c r="B137" s="258" t="s">
        <v>8769</v>
      </c>
      <c r="C137" s="364" t="s">
        <v>94</v>
      </c>
      <c r="D137" s="1639">
        <f>+'LINEAS IMPULSIÓN-CONDUCCIÓN'!D47</f>
        <v>2287</v>
      </c>
      <c r="E137" s="1634">
        <f>+'LINEAS IMPULSIÓN-CONDUCCIÓN'!E47</f>
        <v>30573</v>
      </c>
      <c r="F137" s="1637">
        <f t="shared" ref="F137" si="8">+ROUND(E137*D137,0)</f>
        <v>69920451</v>
      </c>
      <c r="G137" s="2346"/>
      <c r="H137" s="1625"/>
      <c r="I137" s="1625"/>
      <c r="J137" s="1625"/>
    </row>
    <row r="138" spans="1:17" s="1623" customFormat="1" ht="16.8">
      <c r="A138" s="1622" t="s">
        <v>8581</v>
      </c>
      <c r="B138" s="258" t="s">
        <v>8548</v>
      </c>
      <c r="C138" s="471" t="s">
        <v>94</v>
      </c>
      <c r="D138" s="1639">
        <f>+'LINEAS IMPULSIÓN-CONDUCCIÓN'!D48</f>
        <v>2757</v>
      </c>
      <c r="E138" s="1634">
        <f>+'LINEAS IMPULSIÓN-CONDUCCIÓN'!E48</f>
        <v>20992</v>
      </c>
      <c r="F138" s="1637">
        <f t="shared" ref="F138:F139" si="9">+ROUND(E138*D138,0)</f>
        <v>57874944</v>
      </c>
      <c r="G138" s="2346"/>
      <c r="H138" s="1625"/>
      <c r="I138" s="1625"/>
      <c r="J138" s="1625"/>
    </row>
    <row r="139" spans="1:17" s="1623" customFormat="1" ht="16.8">
      <c r="A139" s="1622" t="s">
        <v>8582</v>
      </c>
      <c r="B139" s="258" t="s">
        <v>8553</v>
      </c>
      <c r="C139" s="471" t="s">
        <v>94</v>
      </c>
      <c r="D139" s="1639">
        <f>+'LINEAS IMPULSIÓN-CONDUCCIÓN'!D49</f>
        <v>500.73</v>
      </c>
      <c r="E139" s="1634">
        <f>+'LINEAS IMPULSIÓN-CONDUCCIÓN'!E49</f>
        <v>18692</v>
      </c>
      <c r="F139" s="1637">
        <f t="shared" si="9"/>
        <v>9359645</v>
      </c>
      <c r="G139" s="2346"/>
      <c r="H139" s="1625"/>
      <c r="I139" s="1625"/>
      <c r="J139" s="1625"/>
    </row>
    <row r="140" spans="1:17" s="1623" customFormat="1" ht="16.8">
      <c r="A140" s="1622" t="s">
        <v>8738</v>
      </c>
      <c r="B140" s="1618" t="s">
        <v>5060</v>
      </c>
      <c r="C140" s="364" t="s">
        <v>133</v>
      </c>
      <c r="D140" s="1646">
        <v>4</v>
      </c>
      <c r="E140" s="1634">
        <f>+'LINEAS IMPULSIÓN-CONDUCCIÓN'!E50</f>
        <v>196516.08844343032</v>
      </c>
      <c r="F140" s="1637">
        <f>+ROUND(E140*D140,0)</f>
        <v>786064</v>
      </c>
      <c r="G140" s="2346"/>
      <c r="H140" s="1625"/>
      <c r="I140" s="1625"/>
      <c r="J140" s="1625"/>
    </row>
    <row r="141" spans="1:17" s="1623" customFormat="1" ht="84">
      <c r="A141" s="1622" t="s">
        <v>8739</v>
      </c>
      <c r="B141" s="269" t="s">
        <v>4525</v>
      </c>
      <c r="C141" s="1636" t="s">
        <v>133</v>
      </c>
      <c r="D141" s="1649">
        <v>12</v>
      </c>
      <c r="E141" s="1634">
        <f>+'LINEAS IMPULSIÓN-CONDUCCIÓN'!E51</f>
        <v>169049</v>
      </c>
      <c r="F141" s="1637">
        <f>+ROUND(E141*D141,0)</f>
        <v>2028588</v>
      </c>
      <c r="G141" s="2346"/>
      <c r="H141" s="1625"/>
      <c r="I141" s="1625"/>
      <c r="J141" s="1625"/>
      <c r="K141" s="1706"/>
      <c r="L141" s="275"/>
      <c r="M141" s="1625"/>
      <c r="N141" s="1625"/>
      <c r="O141" s="273"/>
      <c r="P141" s="276"/>
      <c r="Q141" s="276"/>
    </row>
    <row r="142" spans="1:17" s="1623" customFormat="1" ht="67.2">
      <c r="A142" s="1622" t="s">
        <v>8740</v>
      </c>
      <c r="B142" s="269" t="s">
        <v>4526</v>
      </c>
      <c r="C142" s="1636" t="s">
        <v>133</v>
      </c>
      <c r="D142" s="1649">
        <v>5</v>
      </c>
      <c r="E142" s="1634">
        <f>+'LINEAS IMPULSIÓN-CONDUCCIÓN'!E52</f>
        <v>135453</v>
      </c>
      <c r="F142" s="1637">
        <f>+ROUND(E142*D142,0)</f>
        <v>677265</v>
      </c>
      <c r="G142" s="2346"/>
      <c r="H142" s="1625"/>
      <c r="I142" s="1625"/>
      <c r="J142" s="1625"/>
      <c r="K142" s="1706"/>
      <c r="L142" s="275"/>
      <c r="M142" s="1625"/>
      <c r="N142" s="1625"/>
      <c r="O142" s="273"/>
      <c r="P142" s="276"/>
      <c r="Q142" s="276"/>
    </row>
    <row r="143" spans="1:17" s="1623" customFormat="1" ht="133.5" customHeight="1" thickBot="1">
      <c r="A143" s="1622" t="s">
        <v>8773</v>
      </c>
      <c r="B143" s="269" t="str">
        <f>+'LINEAS IMPULSIÓN-CONDUCCIÓN'!B53</f>
        <v>Instalación Medidor AQUASOFT de tipo Woltmann Horizontal de Velocidad,
Cuerpo de Hierro Fundido, Bridado, Cámara seca, Modulo
Removible, (Q3/Q1) R=80, Dn500mm (16"), T. 0°-50°,
Transmisión Magnética, Pre-equipado con receptáculo para
emisión de impulsos incluye, empaques, Informe de Calibración
de Fabrica. Cumplen la norma ISO 4064 y la NTC 1063.
Aprobación de Modelo por la comunidad Económica Europea CE
M10 1383 TCM142/10-4736.</v>
      </c>
      <c r="C143" s="1636" t="s">
        <v>133</v>
      </c>
      <c r="D143" s="1649">
        <v>2</v>
      </c>
      <c r="E143" s="1634">
        <f>+'LINEAS IMPULSIÓN-CONDUCCIÓN'!E53</f>
        <v>8818263.2557418458</v>
      </c>
      <c r="F143" s="1637">
        <f>+ROUND(E143*D143,0)</f>
        <v>17636527</v>
      </c>
      <c r="G143" s="2346"/>
      <c r="H143" s="1625"/>
      <c r="I143" s="1625"/>
      <c r="J143" s="1625"/>
      <c r="K143" s="1706"/>
      <c r="L143" s="275"/>
      <c r="M143" s="1625"/>
      <c r="N143" s="1625"/>
      <c r="O143" s="273"/>
      <c r="P143" s="276"/>
      <c r="Q143" s="276"/>
    </row>
    <row r="144" spans="1:17" ht="16.8">
      <c r="A144" s="3334" t="s">
        <v>5707</v>
      </c>
      <c r="B144" s="3335"/>
      <c r="C144" s="3335"/>
      <c r="D144" s="3335"/>
      <c r="E144" s="3335"/>
      <c r="F144" s="3336"/>
      <c r="G144" s="2346"/>
    </row>
    <row r="145" spans="1:13" ht="33.6">
      <c r="A145" s="1590" t="s">
        <v>22</v>
      </c>
      <c r="B145" s="1591" t="s">
        <v>23</v>
      </c>
      <c r="C145" s="1591" t="s">
        <v>150</v>
      </c>
      <c r="D145" s="1592" t="s">
        <v>539</v>
      </c>
      <c r="E145" s="1593" t="s">
        <v>151</v>
      </c>
      <c r="F145" s="1593" t="s">
        <v>540</v>
      </c>
      <c r="G145" s="2346"/>
    </row>
    <row r="146" spans="1:13" ht="18">
      <c r="A146" s="1726"/>
      <c r="B146" s="1727" t="s">
        <v>1371</v>
      </c>
      <c r="C146" s="1718"/>
      <c r="D146" s="1718"/>
      <c r="E146" s="1718"/>
      <c r="F146" s="1728"/>
      <c r="G146" s="2975">
        <f>+SUM(F147,F150,F167,F169,F171,F173,F175,F184,F218,F231,F235,F239)</f>
        <v>351020042</v>
      </c>
      <c r="H146" s="1717" t="s">
        <v>8225</v>
      </c>
    </row>
    <row r="147" spans="1:13" ht="18">
      <c r="A147" s="1650">
        <v>22</v>
      </c>
      <c r="B147" s="1727" t="s">
        <v>8528</v>
      </c>
      <c r="C147" s="1718"/>
      <c r="D147" s="1718"/>
      <c r="E147" s="1718"/>
      <c r="F147" s="2364">
        <f>SUM(F148:F149)</f>
        <v>436691</v>
      </c>
      <c r="G147" s="2346">
        <f>+'PTAP TIJERETAS'!F114</f>
        <v>351020042</v>
      </c>
      <c r="H147" s="1744"/>
    </row>
    <row r="148" spans="1:13" ht="17.399999999999999">
      <c r="A148" s="1622" t="s">
        <v>7279</v>
      </c>
      <c r="B148" s="1711" t="s">
        <v>1373</v>
      </c>
      <c r="C148" s="1730" t="s">
        <v>1125</v>
      </c>
      <c r="D148" s="1576">
        <f>+'PTAP TIJERETAS'!D10</f>
        <v>162.05000000000001</v>
      </c>
      <c r="E148" s="1731">
        <f>+'PTAP TIJERETAS'!E10</f>
        <v>2356</v>
      </c>
      <c r="F148" s="1531">
        <f>ROUND(D148*E148,0)</f>
        <v>381790</v>
      </c>
      <c r="G148" s="2346"/>
      <c r="H148" s="1744"/>
      <c r="I148" s="1732"/>
    </row>
    <row r="149" spans="1:13" ht="17.399999999999999">
      <c r="A149" s="1622" t="s">
        <v>7280</v>
      </c>
      <c r="B149" s="1711" t="s">
        <v>1374</v>
      </c>
      <c r="C149" s="1730" t="s">
        <v>1125</v>
      </c>
      <c r="D149" s="1576">
        <f>+'PTAP TIJERETAS'!D11</f>
        <v>18.899999999999999</v>
      </c>
      <c r="E149" s="1731">
        <f>+'PTAP TIJERETAS'!E11</f>
        <v>2904.8114772599997</v>
      </c>
      <c r="F149" s="1531">
        <f>ROUND(D149*E149,0)</f>
        <v>54901</v>
      </c>
      <c r="G149" s="2346"/>
      <c r="H149" s="1744"/>
      <c r="J149" s="1733"/>
      <c r="K149" s="1733"/>
      <c r="L149" s="1733"/>
      <c r="M149" s="1733"/>
    </row>
    <row r="150" spans="1:13" ht="18">
      <c r="A150" s="1650">
        <v>23</v>
      </c>
      <c r="B150" s="3348" t="s">
        <v>4756</v>
      </c>
      <c r="C150" s="3349"/>
      <c r="D150" s="3349"/>
      <c r="E150" s="3349"/>
      <c r="F150" s="2364">
        <f>+SUM(F151:F166)</f>
        <v>33797289</v>
      </c>
      <c r="G150" s="2346"/>
      <c r="H150" s="1744"/>
      <c r="J150" s="1733"/>
      <c r="K150" s="1733"/>
      <c r="L150" s="1733"/>
      <c r="M150" s="1733"/>
    </row>
    <row r="151" spans="1:13" ht="39.75" customHeight="1">
      <c r="A151" s="1622" t="s">
        <v>7281</v>
      </c>
      <c r="B151" s="1711" t="s">
        <v>4679</v>
      </c>
      <c r="C151" s="1528" t="s">
        <v>133</v>
      </c>
      <c r="D151" s="1576">
        <v>48</v>
      </c>
      <c r="E151" s="1731">
        <f>+'PTAP TIJERETAS'!E13</f>
        <v>47000.186158072698</v>
      </c>
      <c r="F151" s="1531">
        <f>ROUND(+E151*D151,0)</f>
        <v>2256009</v>
      </c>
      <c r="G151" s="2346"/>
      <c r="H151" s="1744"/>
      <c r="J151" s="1733"/>
      <c r="K151" s="2933"/>
      <c r="L151" s="2934"/>
      <c r="M151" s="1733"/>
    </row>
    <row r="152" spans="1:13" ht="37.5" customHeight="1">
      <c r="A152" s="1622" t="s">
        <v>7282</v>
      </c>
      <c r="B152" s="1711" t="s">
        <v>4681</v>
      </c>
      <c r="C152" s="1528" t="s">
        <v>133</v>
      </c>
      <c r="D152" s="1576">
        <v>12</v>
      </c>
      <c r="E152" s="1731">
        <f>+'PTAP TIJERETAS'!E14</f>
        <v>47799.551623591498</v>
      </c>
      <c r="F152" s="1531">
        <f t="shared" ref="F152:F166" si="10">ROUND(+E152*D152,0)</f>
        <v>573595</v>
      </c>
      <c r="G152" s="2346"/>
      <c r="H152" s="1744"/>
      <c r="J152" s="1733"/>
      <c r="K152" s="2933"/>
      <c r="L152" s="2934"/>
      <c r="M152" s="1733"/>
    </row>
    <row r="153" spans="1:13" ht="37.5" customHeight="1">
      <c r="A153" s="1622" t="s">
        <v>7283</v>
      </c>
      <c r="B153" s="1711" t="s">
        <v>4682</v>
      </c>
      <c r="C153" s="1528" t="s">
        <v>133</v>
      </c>
      <c r="D153" s="1576">
        <v>20</v>
      </c>
      <c r="E153" s="1731">
        <f>+'PTAP TIJERETAS'!E15</f>
        <v>57445.357594895999</v>
      </c>
      <c r="F153" s="1531">
        <f t="shared" si="10"/>
        <v>1148907</v>
      </c>
      <c r="G153" s="2346"/>
      <c r="H153" s="1744"/>
      <c r="J153" s="1733"/>
      <c r="K153" s="2933"/>
      <c r="L153" s="2934"/>
      <c r="M153" s="1733"/>
    </row>
    <row r="154" spans="1:13" ht="37.5" customHeight="1">
      <c r="A154" s="1622" t="s">
        <v>7284</v>
      </c>
      <c r="B154" s="1711" t="s">
        <v>4683</v>
      </c>
      <c r="C154" s="1528" t="s">
        <v>133</v>
      </c>
      <c r="D154" s="1576">
        <v>24</v>
      </c>
      <c r="E154" s="1731">
        <f>+'PTAP TIJERETAS'!E16</f>
        <v>77617.846541902851</v>
      </c>
      <c r="F154" s="1531">
        <f t="shared" si="10"/>
        <v>1862828</v>
      </c>
      <c r="G154" s="2346"/>
      <c r="H154" s="1744"/>
      <c r="J154" s="1733"/>
      <c r="K154" s="2933"/>
      <c r="L154" s="2934"/>
      <c r="M154" s="1733"/>
    </row>
    <row r="155" spans="1:13" ht="37.5" customHeight="1">
      <c r="A155" s="1622" t="s">
        <v>7285</v>
      </c>
      <c r="B155" s="1711" t="s">
        <v>4684</v>
      </c>
      <c r="C155" s="1528" t="s">
        <v>133</v>
      </c>
      <c r="D155" s="1576">
        <v>10</v>
      </c>
      <c r="E155" s="1731">
        <f>+'PTAP TIJERETAS'!E17</f>
        <v>39012.702118149005</v>
      </c>
      <c r="F155" s="1531">
        <f t="shared" si="10"/>
        <v>390127</v>
      </c>
      <c r="G155" s="2346"/>
      <c r="H155" s="1744"/>
      <c r="J155" s="1733"/>
      <c r="K155" s="2933"/>
      <c r="L155" s="2934"/>
      <c r="M155" s="1733"/>
    </row>
    <row r="156" spans="1:13" ht="37.5" customHeight="1">
      <c r="A156" s="1622" t="s">
        <v>7286</v>
      </c>
      <c r="B156" s="1711" t="s">
        <v>4685</v>
      </c>
      <c r="C156" s="1528" t="s">
        <v>133</v>
      </c>
      <c r="D156" s="1576">
        <v>5</v>
      </c>
      <c r="E156" s="1731">
        <f>+'PTAP TIJERETAS'!E18</f>
        <v>127179.15217429001</v>
      </c>
      <c r="F156" s="1531">
        <f t="shared" si="10"/>
        <v>635896</v>
      </c>
      <c r="G156" s="2346"/>
      <c r="H156" s="1744"/>
      <c r="J156" s="1733"/>
      <c r="K156" s="2933"/>
      <c r="L156" s="2934"/>
      <c r="M156" s="1733"/>
    </row>
    <row r="157" spans="1:13" ht="37.5" customHeight="1">
      <c r="A157" s="1622" t="s">
        <v>7287</v>
      </c>
      <c r="B157" s="1711" t="s">
        <v>4686</v>
      </c>
      <c r="C157" s="1528" t="s">
        <v>133</v>
      </c>
      <c r="D157" s="1576">
        <v>10</v>
      </c>
      <c r="E157" s="1731">
        <f>+'PTAP TIJERETAS'!E19</f>
        <v>248214.08585633102</v>
      </c>
      <c r="F157" s="1531">
        <f t="shared" si="10"/>
        <v>2482141</v>
      </c>
      <c r="G157" s="2346"/>
      <c r="H157" s="1744"/>
      <c r="J157" s="1733"/>
      <c r="K157" s="2933"/>
      <c r="L157" s="2934"/>
      <c r="M157" s="1733"/>
    </row>
    <row r="158" spans="1:13" ht="45" customHeight="1">
      <c r="A158" s="1622" t="s">
        <v>7288</v>
      </c>
      <c r="B158" s="1711" t="s">
        <v>4687</v>
      </c>
      <c r="C158" s="1528" t="s">
        <v>133</v>
      </c>
      <c r="D158" s="1576">
        <v>6</v>
      </c>
      <c r="E158" s="1731">
        <f>+'PTAP TIJERETAS'!E20</f>
        <v>74545.737295778337</v>
      </c>
      <c r="F158" s="1531">
        <f t="shared" si="10"/>
        <v>447274</v>
      </c>
      <c r="G158" s="2346"/>
      <c r="H158" s="1744"/>
      <c r="J158" s="1733"/>
      <c r="K158" s="2933"/>
      <c r="L158" s="2934"/>
      <c r="M158" s="1733"/>
    </row>
    <row r="159" spans="1:13" ht="47.25" customHeight="1">
      <c r="A159" s="1622" t="s">
        <v>7289</v>
      </c>
      <c r="B159" s="1711" t="s">
        <v>4688</v>
      </c>
      <c r="C159" s="1528" t="s">
        <v>133</v>
      </c>
      <c r="D159" s="1576">
        <v>6</v>
      </c>
      <c r="E159" s="1731">
        <f>+'PTAP TIJERETAS'!E21</f>
        <v>80689.955788027335</v>
      </c>
      <c r="F159" s="1531">
        <f t="shared" si="10"/>
        <v>484140</v>
      </c>
      <c r="G159" s="2346"/>
      <c r="H159" s="1744"/>
      <c r="J159" s="1733"/>
      <c r="K159" s="2933"/>
      <c r="L159" s="2934"/>
      <c r="M159" s="1733"/>
    </row>
    <row r="160" spans="1:13" ht="16.8">
      <c r="A160" s="1622" t="s">
        <v>7290</v>
      </c>
      <c r="B160" s="1711" t="s">
        <v>4689</v>
      </c>
      <c r="C160" s="1528" t="s">
        <v>1292</v>
      </c>
      <c r="D160" s="1576">
        <f>+'PTAP TIJERETAS'!D22</f>
        <v>113.96647694887901</v>
      </c>
      <c r="E160" s="1731">
        <f>+'PTAP TIJERETAS'!E22</f>
        <v>137814.754132</v>
      </c>
      <c r="F160" s="1531">
        <f t="shared" si="10"/>
        <v>15706262</v>
      </c>
      <c r="G160" s="2346"/>
      <c r="H160" s="1744"/>
      <c r="J160" s="1733"/>
      <c r="K160" s="2933"/>
      <c r="L160" s="2934"/>
      <c r="M160" s="1733"/>
    </row>
    <row r="161" spans="1:13" ht="33.6">
      <c r="A161" s="1622" t="s">
        <v>7291</v>
      </c>
      <c r="B161" s="1711" t="s">
        <v>4691</v>
      </c>
      <c r="C161" s="1528" t="s">
        <v>133</v>
      </c>
      <c r="D161" s="1576">
        <v>240</v>
      </c>
      <c r="E161" s="1731">
        <f>+'PTAP TIJERETAS'!E23</f>
        <v>8098.2623002400005</v>
      </c>
      <c r="F161" s="1531">
        <f t="shared" si="10"/>
        <v>1943583</v>
      </c>
      <c r="G161" s="2346"/>
      <c r="H161" s="1744"/>
      <c r="J161" s="1733"/>
      <c r="K161" s="2933"/>
      <c r="L161" s="2934"/>
      <c r="M161" s="1733"/>
    </row>
    <row r="162" spans="1:13" ht="16.8">
      <c r="A162" s="1622" t="s">
        <v>7292</v>
      </c>
      <c r="B162" s="1711" t="s">
        <v>4692</v>
      </c>
      <c r="C162" s="1528" t="s">
        <v>45</v>
      </c>
      <c r="D162" s="1576">
        <v>100</v>
      </c>
      <c r="E162" s="1731">
        <f>+'PTAP TIJERETAS'!E24</f>
        <v>4320.9836088000002</v>
      </c>
      <c r="F162" s="1531">
        <f t="shared" si="10"/>
        <v>432098</v>
      </c>
      <c r="G162" s="2346"/>
      <c r="H162" s="1744"/>
      <c r="J162" s="1733"/>
      <c r="K162" s="2933"/>
      <c r="L162" s="2934"/>
      <c r="M162" s="1733"/>
    </row>
    <row r="163" spans="1:13" ht="16.8">
      <c r="A163" s="1622" t="s">
        <v>7293</v>
      </c>
      <c r="B163" s="1711" t="s">
        <v>4694</v>
      </c>
      <c r="C163" s="1528" t="s">
        <v>133</v>
      </c>
      <c r="D163" s="1576">
        <v>20</v>
      </c>
      <c r="E163" s="1731">
        <f>+'PTAP TIJERETAS'!E25</f>
        <v>32407.377066000001</v>
      </c>
      <c r="F163" s="1531">
        <f t="shared" si="10"/>
        <v>648148</v>
      </c>
      <c r="G163" s="2346"/>
      <c r="H163" s="1744"/>
      <c r="J163" s="1733"/>
      <c r="K163" s="2933"/>
      <c r="L163" s="2934"/>
      <c r="M163" s="1733"/>
    </row>
    <row r="164" spans="1:13" ht="16.8">
      <c r="A164" s="1622" t="s">
        <v>7294</v>
      </c>
      <c r="B164" s="1711" t="s">
        <v>4695</v>
      </c>
      <c r="C164" s="1528" t="s">
        <v>1002</v>
      </c>
      <c r="D164" s="1576">
        <v>50</v>
      </c>
      <c r="E164" s="1731">
        <f>+'PTAP TIJERETAS'!E26</f>
        <v>12147.393450360001</v>
      </c>
      <c r="F164" s="1531">
        <f t="shared" si="10"/>
        <v>607370</v>
      </c>
      <c r="G164" s="2346"/>
      <c r="H164" s="1744"/>
      <c r="J164" s="1733"/>
      <c r="K164" s="2933"/>
      <c r="L164" s="2934"/>
      <c r="M164" s="1733"/>
    </row>
    <row r="165" spans="1:13" ht="16.8">
      <c r="A165" s="1622" t="s">
        <v>7295</v>
      </c>
      <c r="B165" s="1711" t="s">
        <v>4697</v>
      </c>
      <c r="C165" s="1528" t="s">
        <v>1002</v>
      </c>
      <c r="D165" s="1576">
        <v>50</v>
      </c>
      <c r="E165" s="1731">
        <f>+'PTAP TIJERETAS'!E27</f>
        <v>13497.103833733332</v>
      </c>
      <c r="F165" s="1531">
        <f t="shared" si="10"/>
        <v>674855</v>
      </c>
      <c r="G165" s="2346"/>
      <c r="H165" s="1744"/>
      <c r="J165" s="1733"/>
      <c r="K165" s="2933"/>
      <c r="L165" s="2934"/>
      <c r="M165" s="1733"/>
    </row>
    <row r="166" spans="1:13" ht="16.8">
      <c r="A166" s="1622" t="s">
        <v>7296</v>
      </c>
      <c r="B166" s="1711" t="s">
        <v>4698</v>
      </c>
      <c r="C166" s="1528" t="s">
        <v>1292</v>
      </c>
      <c r="D166" s="1576">
        <f>50*1.5</f>
        <v>75</v>
      </c>
      <c r="E166" s="1731">
        <f>+'PTAP TIJERETAS'!E28</f>
        <v>46720.744039846155</v>
      </c>
      <c r="F166" s="1531">
        <f t="shared" si="10"/>
        <v>3504056</v>
      </c>
      <c r="G166" s="2346"/>
      <c r="H166" s="1744"/>
      <c r="J166" s="1733"/>
      <c r="K166" s="3345"/>
      <c r="L166" s="3346"/>
      <c r="M166" s="1733"/>
    </row>
    <row r="167" spans="1:13" ht="18">
      <c r="A167" s="1650">
        <v>24</v>
      </c>
      <c r="B167" s="1529" t="s">
        <v>4757</v>
      </c>
      <c r="C167" s="1734"/>
      <c r="D167" s="1735"/>
      <c r="E167" s="1736"/>
      <c r="F167" s="2364">
        <f>SUM(F168:F168)</f>
        <v>1298787</v>
      </c>
      <c r="G167" s="2346"/>
      <c r="H167" s="1744"/>
      <c r="J167" s="1733"/>
      <c r="K167" s="3345"/>
      <c r="L167" s="3346"/>
      <c r="M167" s="1733"/>
    </row>
    <row r="168" spans="1:13" ht="16.8">
      <c r="A168" s="1622" t="s">
        <v>7297</v>
      </c>
      <c r="B168" s="1711" t="s">
        <v>4699</v>
      </c>
      <c r="C168" s="1530" t="s">
        <v>1292</v>
      </c>
      <c r="D168" s="1576">
        <f>+'PTAP TIJERETAS'!D30</f>
        <v>711.19999999999993</v>
      </c>
      <c r="E168" s="1731">
        <f>+'PTAP TIJERETAS'!E30</f>
        <v>1826.1904761904761</v>
      </c>
      <c r="F168" s="1531">
        <f t="shared" ref="F168:F234" si="11">ROUND(D168*E168,0)</f>
        <v>1298787</v>
      </c>
      <c r="G168" s="2346"/>
      <c r="H168" s="1744"/>
      <c r="J168" s="1733"/>
      <c r="K168" s="3345"/>
      <c r="L168" s="3346"/>
      <c r="M168" s="1733"/>
    </row>
    <row r="169" spans="1:13" ht="18">
      <c r="A169" s="1650">
        <v>25</v>
      </c>
      <c r="B169" s="1651" t="s">
        <v>4758</v>
      </c>
      <c r="C169" s="1734"/>
      <c r="D169" s="1735"/>
      <c r="E169" s="1736"/>
      <c r="F169" s="2364">
        <f>SUM(F170:F170)</f>
        <v>200614</v>
      </c>
      <c r="G169" s="2346"/>
      <c r="H169" s="1744"/>
      <c r="J169" s="1733"/>
      <c r="K169" s="3345"/>
      <c r="L169" s="3346"/>
      <c r="M169" s="1733"/>
    </row>
    <row r="170" spans="1:13" ht="33.6">
      <c r="A170" s="1622" t="s">
        <v>7298</v>
      </c>
      <c r="B170" s="1711" t="s">
        <v>4701</v>
      </c>
      <c r="C170" s="1730" t="s">
        <v>133</v>
      </c>
      <c r="D170" s="1576">
        <v>4</v>
      </c>
      <c r="E170" s="1731">
        <f>+'PTAP TIJERETAS'!E32</f>
        <v>50153.434380038561</v>
      </c>
      <c r="F170" s="1531">
        <f t="shared" si="11"/>
        <v>200614</v>
      </c>
      <c r="G170" s="2346"/>
      <c r="H170" s="1744"/>
      <c r="J170" s="1733"/>
      <c r="K170" s="3345"/>
      <c r="L170" s="3346"/>
      <c r="M170" s="1733"/>
    </row>
    <row r="171" spans="1:13" ht="18">
      <c r="A171" s="1650">
        <v>26</v>
      </c>
      <c r="B171" s="1652" t="s">
        <v>4759</v>
      </c>
      <c r="C171" s="1738"/>
      <c r="D171" s="1735"/>
      <c r="E171" s="1736"/>
      <c r="F171" s="2364">
        <f>SUM(F172:F172)</f>
        <v>1339263</v>
      </c>
      <c r="G171" s="2346"/>
      <c r="H171" s="1744"/>
      <c r="J171" s="1733"/>
      <c r="K171" s="3345"/>
      <c r="L171" s="3346"/>
      <c r="M171" s="1733"/>
    </row>
    <row r="172" spans="1:13" ht="67.2">
      <c r="A172" s="1622" t="s">
        <v>7299</v>
      </c>
      <c r="B172" s="1711" t="s">
        <v>4704</v>
      </c>
      <c r="C172" s="1730" t="s">
        <v>133</v>
      </c>
      <c r="D172" s="1576">
        <v>150</v>
      </c>
      <c r="E172" s="1731">
        <f>+'PTAP TIJERETAS'!E34</f>
        <v>8928.4180371600014</v>
      </c>
      <c r="F172" s="1531">
        <f>ROUND(D172*E172,0)</f>
        <v>1339263</v>
      </c>
      <c r="G172" s="2346"/>
      <c r="H172" s="1744"/>
      <c r="J172" s="1733"/>
      <c r="K172" s="3345"/>
      <c r="L172" s="3346"/>
      <c r="M172" s="1733"/>
    </row>
    <row r="173" spans="1:13" ht="34.5" customHeight="1">
      <c r="A173" s="1650">
        <v>27</v>
      </c>
      <c r="B173" s="1653" t="s">
        <v>1302</v>
      </c>
      <c r="C173" s="1734"/>
      <c r="D173" s="1735"/>
      <c r="E173" s="1736"/>
      <c r="F173" s="2364">
        <f>SUM(F174:F174)</f>
        <v>6749569</v>
      </c>
      <c r="G173" s="2346"/>
      <c r="H173" s="1744"/>
      <c r="J173" s="1733"/>
      <c r="K173" s="3345"/>
      <c r="L173" s="3346"/>
      <c r="M173" s="1733"/>
    </row>
    <row r="174" spans="1:13" ht="16.8">
      <c r="A174" s="1622" t="s">
        <v>7300</v>
      </c>
      <c r="B174" s="1711" t="s">
        <v>1383</v>
      </c>
      <c r="C174" s="1730" t="s">
        <v>647</v>
      </c>
      <c r="D174" s="1576">
        <v>1713.7</v>
      </c>
      <c r="E174" s="1731">
        <f>+'PTAP TIJERETAS'!E36</f>
        <v>3938.5941163025</v>
      </c>
      <c r="F174" s="1531">
        <f>ROUND(E174*D174,0)</f>
        <v>6749569</v>
      </c>
      <c r="G174" s="2346"/>
      <c r="H174" s="1744"/>
      <c r="J174" s="1733"/>
      <c r="K174" s="3345"/>
      <c r="L174" s="3346"/>
      <c r="M174" s="1733"/>
    </row>
    <row r="175" spans="1:13" ht="18">
      <c r="A175" s="1650">
        <v>28</v>
      </c>
      <c r="B175" s="1653" t="s">
        <v>852</v>
      </c>
      <c r="C175" s="1734"/>
      <c r="D175" s="1735"/>
      <c r="E175" s="1736"/>
      <c r="F175" s="2364">
        <f>SUM(F176:F183)</f>
        <v>76257178</v>
      </c>
      <c r="G175" s="2346"/>
      <c r="H175" s="1744"/>
      <c r="J175" s="1733"/>
      <c r="K175" s="1733"/>
      <c r="L175" s="1733"/>
      <c r="M175" s="1733"/>
    </row>
    <row r="176" spans="1:13" s="1717" customFormat="1" ht="33.6">
      <c r="A176" s="1622" t="s">
        <v>7301</v>
      </c>
      <c r="B176" s="1711" t="s">
        <v>4708</v>
      </c>
      <c r="C176" s="1530" t="s">
        <v>1292</v>
      </c>
      <c r="D176" s="1576">
        <v>4</v>
      </c>
      <c r="E176" s="1731">
        <f>+'PTAP TIJERETAS'!E38</f>
        <v>758816</v>
      </c>
      <c r="F176" s="1531">
        <f t="shared" si="11"/>
        <v>3035264</v>
      </c>
      <c r="G176" s="2346"/>
      <c r="H176" s="1744"/>
      <c r="J176" s="1739"/>
      <c r="K176" s="1733"/>
      <c r="L176" s="1733"/>
      <c r="M176" s="1733"/>
    </row>
    <row r="177" spans="1:13" s="1717" customFormat="1" ht="16.8">
      <c r="A177" s="1622" t="s">
        <v>7302</v>
      </c>
      <c r="B177" s="1711" t="s">
        <v>4761</v>
      </c>
      <c r="C177" s="1530" t="s">
        <v>1292</v>
      </c>
      <c r="D177" s="1576">
        <v>2</v>
      </c>
      <c r="E177" s="1731">
        <f>+'PTAP TIJERETAS'!E39</f>
        <v>813176</v>
      </c>
      <c r="F177" s="1531">
        <f t="shared" si="11"/>
        <v>1626352</v>
      </c>
      <c r="G177" s="2346"/>
      <c r="H177" s="1744"/>
      <c r="K177" s="1733"/>
      <c r="L177" s="1733"/>
      <c r="M177" s="1733"/>
    </row>
    <row r="178" spans="1:13" s="1717" customFormat="1" ht="33.6">
      <c r="A178" s="1622" t="s">
        <v>7303</v>
      </c>
      <c r="B178" s="1711" t="s">
        <v>4710</v>
      </c>
      <c r="C178" s="1530" t="s">
        <v>1292</v>
      </c>
      <c r="D178" s="1576">
        <v>48.96</v>
      </c>
      <c r="E178" s="1731">
        <f>+'PTAP TIJERETAS'!E40</f>
        <v>736509</v>
      </c>
      <c r="F178" s="1531">
        <f t="shared" si="11"/>
        <v>36059481</v>
      </c>
      <c r="G178" s="2346"/>
      <c r="H178" s="1744"/>
      <c r="K178" s="1733"/>
      <c r="L178" s="1733"/>
      <c r="M178" s="1733"/>
    </row>
    <row r="179" spans="1:13" ht="16.8">
      <c r="A179" s="1622" t="s">
        <v>7304</v>
      </c>
      <c r="B179" s="1711" t="s">
        <v>4712</v>
      </c>
      <c r="C179" s="1530" t="s">
        <v>1292</v>
      </c>
      <c r="D179" s="1576">
        <v>13.6</v>
      </c>
      <c r="E179" s="1731">
        <f>+'PTAP TIJERETAS'!E41</f>
        <v>748717</v>
      </c>
      <c r="F179" s="1531">
        <f t="shared" si="11"/>
        <v>10182551</v>
      </c>
      <c r="G179" s="2346"/>
      <c r="H179" s="1744"/>
    </row>
    <row r="180" spans="1:13" ht="33.6">
      <c r="A180" s="1622" t="s">
        <v>7305</v>
      </c>
      <c r="B180" s="1711" t="s">
        <v>4716</v>
      </c>
      <c r="C180" s="1530" t="s">
        <v>45</v>
      </c>
      <c r="D180" s="1576">
        <v>36</v>
      </c>
      <c r="E180" s="1731">
        <f>+'PTAP TIJERETAS'!E42</f>
        <v>243040</v>
      </c>
      <c r="F180" s="1531">
        <f t="shared" si="11"/>
        <v>8749440</v>
      </c>
      <c r="G180" s="2346"/>
      <c r="H180" s="1744"/>
    </row>
    <row r="181" spans="1:13" ht="33.6">
      <c r="A181" s="1622" t="s">
        <v>7306</v>
      </c>
      <c r="B181" s="1711" t="s">
        <v>4713</v>
      </c>
      <c r="C181" s="1530" t="s">
        <v>1292</v>
      </c>
      <c r="D181" s="1576">
        <v>17.440000000000001</v>
      </c>
      <c r="E181" s="1731">
        <f>+'PTAP TIJERETAS'!E43</f>
        <v>609285</v>
      </c>
      <c r="F181" s="1531">
        <f t="shared" si="11"/>
        <v>10625930</v>
      </c>
      <c r="G181" s="2346"/>
      <c r="H181" s="1744"/>
    </row>
    <row r="182" spans="1:13" ht="16.8">
      <c r="A182" s="1622" t="s">
        <v>7307</v>
      </c>
      <c r="B182" s="1711" t="s">
        <v>4714</v>
      </c>
      <c r="C182" s="1530" t="s">
        <v>1292</v>
      </c>
      <c r="D182" s="1576">
        <v>5</v>
      </c>
      <c r="E182" s="1731">
        <f>+'PTAP TIJERETAS'!E44</f>
        <v>470352</v>
      </c>
      <c r="F182" s="1531">
        <f t="shared" si="11"/>
        <v>2351760</v>
      </c>
      <c r="G182" s="2346"/>
      <c r="H182" s="1744"/>
    </row>
    <row r="183" spans="1:13" ht="16.8">
      <c r="A183" s="1622" t="s">
        <v>7308</v>
      </c>
      <c r="B183" s="1711" t="s">
        <v>4763</v>
      </c>
      <c r="C183" s="1530" t="s">
        <v>1002</v>
      </c>
      <c r="D183" s="1576">
        <v>120</v>
      </c>
      <c r="E183" s="1731">
        <f>+'PTAP TIJERETAS'!E45</f>
        <v>30220</v>
      </c>
      <c r="F183" s="1531">
        <f t="shared" si="11"/>
        <v>3626400</v>
      </c>
      <c r="G183" s="2346"/>
      <c r="H183" s="1744"/>
    </row>
    <row r="184" spans="1:13" s="492" customFormat="1" ht="26.25" customHeight="1">
      <c r="A184" s="1740">
        <v>29</v>
      </c>
      <c r="B184" s="1533" t="s">
        <v>5659</v>
      </c>
      <c r="C184" s="1734"/>
      <c r="D184" s="1735"/>
      <c r="E184" s="1736"/>
      <c r="F184" s="2365">
        <f>SUM(F186:F217)</f>
        <v>24814200</v>
      </c>
      <c r="G184" s="2346"/>
      <c r="H184" s="2220"/>
      <c r="K184" s="1495"/>
      <c r="L184" s="1495"/>
      <c r="M184" s="1495"/>
    </row>
    <row r="185" spans="1:13" s="492" customFormat="1" ht="26.25" customHeight="1">
      <c r="A185" s="1740" t="s">
        <v>7309</v>
      </c>
      <c r="B185" s="1533" t="s">
        <v>5673</v>
      </c>
      <c r="C185" s="1742"/>
      <c r="D185" s="1735"/>
      <c r="E185" s="1736"/>
      <c r="F185" s="1741"/>
      <c r="G185" s="2346"/>
      <c r="H185" s="1744"/>
      <c r="K185" s="1495"/>
      <c r="L185" s="1495"/>
      <c r="M185" s="1495"/>
    </row>
    <row r="186" spans="1:13" s="492" customFormat="1" ht="19.5" customHeight="1">
      <c r="A186" s="1622" t="s">
        <v>7310</v>
      </c>
      <c r="B186" s="1711" t="s">
        <v>5660</v>
      </c>
      <c r="C186" s="1710" t="s">
        <v>1002</v>
      </c>
      <c r="D186" s="2658">
        <f>+'PTAP TIJERETAS'!D48</f>
        <v>11.491999999999999</v>
      </c>
      <c r="E186" s="1531">
        <f>+'PTAP TIJERETAS'!E48</f>
        <v>2356</v>
      </c>
      <c r="F186" s="1531">
        <f t="shared" ref="F186:F216" si="12">ROUND(D186*E186,0)</f>
        <v>27075</v>
      </c>
      <c r="G186" s="2346"/>
      <c r="H186" s="1744"/>
      <c r="K186" s="1495"/>
      <c r="L186" s="1495"/>
      <c r="M186" s="1495"/>
    </row>
    <row r="187" spans="1:13" s="492" customFormat="1" ht="18" customHeight="1">
      <c r="A187" s="1622" t="s">
        <v>7311</v>
      </c>
      <c r="B187" s="1711" t="s">
        <v>1374</v>
      </c>
      <c r="C187" s="1710" t="s">
        <v>1002</v>
      </c>
      <c r="D187" s="2658">
        <f>+'PTAP TIJERETAS'!D49</f>
        <v>11.491999999999999</v>
      </c>
      <c r="E187" s="1531">
        <f>+'PTAP TIJERETAS'!E49</f>
        <v>2904.8114772599997</v>
      </c>
      <c r="F187" s="1531">
        <f t="shared" si="12"/>
        <v>33382</v>
      </c>
      <c r="G187" s="2346"/>
      <c r="H187" s="1744"/>
      <c r="K187" s="1495"/>
      <c r="L187" s="1495"/>
      <c r="M187" s="1495"/>
    </row>
    <row r="188" spans="1:13" s="492" customFormat="1" ht="18.75" customHeight="1">
      <c r="A188" s="1622" t="s">
        <v>7312</v>
      </c>
      <c r="B188" s="1711" t="s">
        <v>5661</v>
      </c>
      <c r="C188" s="1710" t="s">
        <v>1292</v>
      </c>
      <c r="D188" s="1576">
        <v>2.1120000000000001</v>
      </c>
      <c r="E188" s="1531">
        <f>+'PTAP TIJERETAS'!E50</f>
        <v>23473.224058666663</v>
      </c>
      <c r="F188" s="1531">
        <f t="shared" si="12"/>
        <v>49575</v>
      </c>
      <c r="G188" s="2346"/>
      <c r="H188" s="1744"/>
      <c r="K188" s="1495"/>
      <c r="L188" s="1495"/>
      <c r="M188" s="1495"/>
    </row>
    <row r="189" spans="1:13" s="492" customFormat="1" ht="29.25" customHeight="1">
      <c r="A189" s="1622" t="s">
        <v>7313</v>
      </c>
      <c r="B189" s="1711" t="s">
        <v>5662</v>
      </c>
      <c r="C189" s="1710" t="s">
        <v>45</v>
      </c>
      <c r="D189" s="1576">
        <v>13.2</v>
      </c>
      <c r="E189" s="1531">
        <f>+'PTAP TIJERETAS'!E51</f>
        <v>262233</v>
      </c>
      <c r="F189" s="1531">
        <f t="shared" si="12"/>
        <v>3461476</v>
      </c>
      <c r="G189" s="2346"/>
      <c r="H189" s="1744"/>
      <c r="K189" s="1495"/>
      <c r="L189" s="1495"/>
      <c r="M189" s="1495"/>
    </row>
    <row r="190" spans="1:13" s="492" customFormat="1" ht="18.75" customHeight="1">
      <c r="A190" s="1622" t="s">
        <v>7314</v>
      </c>
      <c r="B190" s="1711" t="s">
        <v>5663</v>
      </c>
      <c r="C190" s="1710" t="s">
        <v>45</v>
      </c>
      <c r="D190" s="1576">
        <v>13.2</v>
      </c>
      <c r="E190" s="1531">
        <f>+'PTAP TIJERETAS'!E52</f>
        <v>32627</v>
      </c>
      <c r="F190" s="1531">
        <f t="shared" si="12"/>
        <v>430676</v>
      </c>
      <c r="G190" s="2346"/>
      <c r="H190" s="1744"/>
      <c r="K190" s="1495"/>
      <c r="L190" s="1495"/>
      <c r="M190" s="1495"/>
    </row>
    <row r="191" spans="1:13" s="492" customFormat="1" ht="45" customHeight="1">
      <c r="A191" s="1622" t="s">
        <v>7315</v>
      </c>
      <c r="B191" s="1711" t="s">
        <v>5697</v>
      </c>
      <c r="C191" s="1710" t="s">
        <v>1292</v>
      </c>
      <c r="D191" s="1576">
        <v>5.4449999999999994</v>
      </c>
      <c r="E191" s="1531">
        <f>+'PTAP TIJERETAS'!E53</f>
        <v>87012</v>
      </c>
      <c r="F191" s="1531">
        <f t="shared" si="12"/>
        <v>473780</v>
      </c>
      <c r="G191" s="2346"/>
      <c r="H191" s="1744"/>
      <c r="K191" s="1495"/>
      <c r="L191" s="1495"/>
      <c r="M191" s="1495"/>
    </row>
    <row r="192" spans="1:13" s="492" customFormat="1" ht="18.75" customHeight="1">
      <c r="A192" s="1622" t="s">
        <v>7316</v>
      </c>
      <c r="B192" s="1711" t="s">
        <v>5664</v>
      </c>
      <c r="C192" s="1710" t="s">
        <v>1002</v>
      </c>
      <c r="D192" s="1576">
        <v>29.36</v>
      </c>
      <c r="E192" s="1531">
        <f>+'PTAP TIJERETAS'!E54</f>
        <v>45041</v>
      </c>
      <c r="F192" s="1531">
        <f t="shared" si="12"/>
        <v>1322404</v>
      </c>
      <c r="G192" s="2346"/>
      <c r="H192" s="1744"/>
      <c r="K192" s="1495"/>
      <c r="L192" s="1495"/>
      <c r="M192" s="1495"/>
    </row>
    <row r="193" spans="1:13" s="492" customFormat="1" ht="29.25" customHeight="1">
      <c r="A193" s="1622" t="s">
        <v>7317</v>
      </c>
      <c r="B193" s="1711" t="s">
        <v>5665</v>
      </c>
      <c r="C193" s="1710" t="s">
        <v>45</v>
      </c>
      <c r="D193" s="1576">
        <v>15.599999999999998</v>
      </c>
      <c r="E193" s="1531">
        <f>+'PTAP TIJERETAS'!E55</f>
        <v>80176</v>
      </c>
      <c r="F193" s="1531">
        <f t="shared" si="12"/>
        <v>1250746</v>
      </c>
      <c r="G193" s="2346"/>
      <c r="H193" s="1744"/>
      <c r="K193" s="1495"/>
      <c r="L193" s="1495"/>
      <c r="M193" s="1495"/>
    </row>
    <row r="194" spans="1:13" s="492" customFormat="1" ht="30" customHeight="1">
      <c r="A194" s="1622" t="s">
        <v>7318</v>
      </c>
      <c r="B194" s="1711" t="s">
        <v>5666</v>
      </c>
      <c r="C194" s="1710" t="s">
        <v>45</v>
      </c>
      <c r="D194" s="1576">
        <v>10.92</v>
      </c>
      <c r="E194" s="1531">
        <f>+'PTAP TIJERETAS'!E56</f>
        <v>99456</v>
      </c>
      <c r="F194" s="1531">
        <f t="shared" si="12"/>
        <v>1086060</v>
      </c>
      <c r="G194" s="2346"/>
      <c r="H194" s="1744"/>
      <c r="K194" s="1495"/>
      <c r="L194" s="1495"/>
      <c r="M194" s="1495"/>
    </row>
    <row r="195" spans="1:13" s="492" customFormat="1" ht="26.25" customHeight="1">
      <c r="A195" s="1622" t="s">
        <v>7319</v>
      </c>
      <c r="B195" s="1711" t="s">
        <v>5667</v>
      </c>
      <c r="C195" s="1710" t="s">
        <v>45</v>
      </c>
      <c r="D195" s="1576">
        <v>17.399999999999999</v>
      </c>
      <c r="E195" s="1531">
        <f>+'PTAP TIJERETAS'!E57</f>
        <v>57021</v>
      </c>
      <c r="F195" s="1531">
        <f t="shared" si="12"/>
        <v>992165</v>
      </c>
      <c r="G195" s="2346"/>
      <c r="H195" s="1744"/>
      <c r="K195" s="1495"/>
      <c r="L195" s="1495"/>
      <c r="M195" s="1495"/>
    </row>
    <row r="196" spans="1:13" s="492" customFormat="1" ht="33.75" customHeight="1">
      <c r="A196" s="1622" t="s">
        <v>7320</v>
      </c>
      <c r="B196" s="1711" t="s">
        <v>5668</v>
      </c>
      <c r="C196" s="1710" t="s">
        <v>1002</v>
      </c>
      <c r="D196" s="1576">
        <v>72.807999999999993</v>
      </c>
      <c r="E196" s="1531">
        <f>+'PTAP TIJERETAS'!E58</f>
        <v>38776</v>
      </c>
      <c r="F196" s="1531">
        <f t="shared" si="12"/>
        <v>2823203</v>
      </c>
      <c r="G196" s="2346"/>
      <c r="H196" s="1744"/>
      <c r="K196" s="1495"/>
      <c r="L196" s="1495"/>
      <c r="M196" s="1495"/>
    </row>
    <row r="197" spans="1:13" s="492" customFormat="1" ht="18" customHeight="1">
      <c r="A197" s="1622" t="s">
        <v>7321</v>
      </c>
      <c r="B197" s="1711" t="s">
        <v>5669</v>
      </c>
      <c r="C197" s="1710" t="s">
        <v>1002</v>
      </c>
      <c r="D197" s="1576">
        <v>10.4</v>
      </c>
      <c r="E197" s="1531">
        <f>+'PTAP TIJERETAS'!E59</f>
        <v>45955</v>
      </c>
      <c r="F197" s="1531">
        <f t="shared" si="12"/>
        <v>477932</v>
      </c>
      <c r="G197" s="2346"/>
      <c r="H197" s="1744"/>
      <c r="K197" s="1495"/>
      <c r="L197" s="1495"/>
      <c r="M197" s="1495"/>
    </row>
    <row r="198" spans="1:13" s="492" customFormat="1" ht="33.75" customHeight="1">
      <c r="A198" s="1622" t="s">
        <v>7322</v>
      </c>
      <c r="B198" s="1711" t="s">
        <v>5670</v>
      </c>
      <c r="C198" s="1710" t="s">
        <v>1002</v>
      </c>
      <c r="D198" s="1576">
        <v>72.807999999999993</v>
      </c>
      <c r="E198" s="1531">
        <f>+'PTAP TIJERETAS'!E60</f>
        <v>12603</v>
      </c>
      <c r="F198" s="1531">
        <f t="shared" si="12"/>
        <v>917599</v>
      </c>
      <c r="G198" s="2346"/>
      <c r="H198" s="1744"/>
      <c r="K198" s="1495"/>
      <c r="L198" s="1495"/>
      <c r="M198" s="1495"/>
    </row>
    <row r="199" spans="1:13" s="492" customFormat="1" ht="19.5" customHeight="1">
      <c r="A199" s="1622" t="s">
        <v>7323</v>
      </c>
      <c r="B199" s="1711" t="s">
        <v>5671</v>
      </c>
      <c r="C199" s="1710" t="s">
        <v>1002</v>
      </c>
      <c r="D199" s="1576">
        <v>36.403999999999996</v>
      </c>
      <c r="E199" s="1531">
        <f>+'PTAP TIJERETAS'!E61</f>
        <v>15681</v>
      </c>
      <c r="F199" s="1531">
        <f t="shared" si="12"/>
        <v>570851</v>
      </c>
      <c r="G199" s="2346"/>
      <c r="H199" s="1744"/>
      <c r="K199" s="1495"/>
      <c r="L199" s="1495"/>
      <c r="M199" s="1495"/>
    </row>
    <row r="200" spans="1:13" s="492" customFormat="1" ht="18" customHeight="1">
      <c r="A200" s="1622" t="s">
        <v>7324</v>
      </c>
      <c r="B200" s="1711" t="s">
        <v>5672</v>
      </c>
      <c r="C200" s="1710" t="s">
        <v>1002</v>
      </c>
      <c r="D200" s="1576">
        <v>36.403999999999996</v>
      </c>
      <c r="E200" s="1531">
        <f>+'PTAP TIJERETAS'!E62</f>
        <v>18718</v>
      </c>
      <c r="F200" s="1531">
        <f t="shared" si="12"/>
        <v>681410</v>
      </c>
      <c r="G200" s="2346"/>
      <c r="H200" s="1744"/>
      <c r="K200" s="1495"/>
      <c r="L200" s="1495"/>
      <c r="M200" s="1495"/>
    </row>
    <row r="201" spans="1:13" s="492" customFormat="1" ht="26.25" customHeight="1">
      <c r="A201" s="1740" t="s">
        <v>7325</v>
      </c>
      <c r="B201" s="1533" t="s">
        <v>5674</v>
      </c>
      <c r="C201" s="1734"/>
      <c r="D201" s="1735"/>
      <c r="E201" s="1736"/>
      <c r="F201" s="1741"/>
      <c r="G201" s="2346"/>
      <c r="H201" s="1744"/>
      <c r="K201" s="1495"/>
      <c r="L201" s="1495"/>
      <c r="M201" s="1495"/>
    </row>
    <row r="202" spans="1:13" s="492" customFormat="1" ht="26.25" customHeight="1">
      <c r="A202" s="1622" t="s">
        <v>7326</v>
      </c>
      <c r="B202" s="1711" t="s">
        <v>5675</v>
      </c>
      <c r="C202" s="1710" t="s">
        <v>1292</v>
      </c>
      <c r="D202" s="1576">
        <v>1.1499999999999999</v>
      </c>
      <c r="E202" s="1531">
        <f>+'PTAP TIJERETAS'!E64</f>
        <v>23473.224058666663</v>
      </c>
      <c r="F202" s="1531">
        <f t="shared" si="12"/>
        <v>26994</v>
      </c>
      <c r="G202" s="2346"/>
      <c r="H202" s="1744"/>
      <c r="K202" s="1495"/>
      <c r="L202" s="1495"/>
      <c r="M202" s="1495"/>
    </row>
    <row r="203" spans="1:13" s="492" customFormat="1" ht="26.25" customHeight="1">
      <c r="A203" s="1622" t="s">
        <v>7327</v>
      </c>
      <c r="B203" s="1711" t="s">
        <v>8711</v>
      </c>
      <c r="C203" s="1710" t="s">
        <v>45</v>
      </c>
      <c r="D203" s="1576">
        <f>+'PTAP TIJERETAS'!D65</f>
        <v>43.4846414795961</v>
      </c>
      <c r="E203" s="1531">
        <f>+'PTAP TIJERETAS'!E65</f>
        <v>41838.174079316326</v>
      </c>
      <c r="F203" s="1531">
        <f t="shared" si="12"/>
        <v>1819318</v>
      </c>
      <c r="G203" s="2346"/>
      <c r="H203" s="1744"/>
      <c r="K203" s="1495"/>
      <c r="L203" s="1495"/>
      <c r="M203" s="1495"/>
    </row>
    <row r="204" spans="1:13" s="492" customFormat="1" ht="16.8">
      <c r="A204" s="1622" t="s">
        <v>7328</v>
      </c>
      <c r="B204" s="1711" t="s">
        <v>5677</v>
      </c>
      <c r="C204" s="1710" t="s">
        <v>45</v>
      </c>
      <c r="D204" s="1576">
        <v>18.399999999999999</v>
      </c>
      <c r="E204" s="1531">
        <f>+'PTAP TIJERETAS'!E66</f>
        <v>26993</v>
      </c>
      <c r="F204" s="1531">
        <f t="shared" si="12"/>
        <v>496671</v>
      </c>
      <c r="G204" s="2346"/>
      <c r="H204" s="1744"/>
      <c r="K204" s="1495"/>
      <c r="L204" s="1495"/>
      <c r="M204" s="1495"/>
    </row>
    <row r="205" spans="1:13" s="492" customFormat="1" ht="45.75" customHeight="1">
      <c r="A205" s="1622" t="s">
        <v>7329</v>
      </c>
      <c r="B205" s="1711" t="s">
        <v>5704</v>
      </c>
      <c r="C205" s="1710" t="s">
        <v>1292</v>
      </c>
      <c r="D205" s="1576">
        <v>3.7919999999999998</v>
      </c>
      <c r="E205" s="1531">
        <f>+'PTAP TIJERETAS'!E67</f>
        <v>87012</v>
      </c>
      <c r="F205" s="1531">
        <f t="shared" si="12"/>
        <v>329950</v>
      </c>
      <c r="G205" s="2346"/>
      <c r="H205" s="1744"/>
      <c r="K205" s="1495"/>
      <c r="L205" s="1495"/>
      <c r="M205" s="1495"/>
    </row>
    <row r="206" spans="1:13" s="492" customFormat="1" ht="16.8">
      <c r="A206" s="1622" t="s">
        <v>7330</v>
      </c>
      <c r="B206" s="1711" t="s">
        <v>5678</v>
      </c>
      <c r="C206" s="1710" t="s">
        <v>1002</v>
      </c>
      <c r="D206" s="1576">
        <v>9.4799999999999986</v>
      </c>
      <c r="E206" s="1531">
        <f>+'PTAP TIJERETAS'!E68</f>
        <v>45955</v>
      </c>
      <c r="F206" s="1531">
        <f t="shared" si="12"/>
        <v>435653</v>
      </c>
      <c r="G206" s="2346"/>
      <c r="H206" s="1744"/>
      <c r="K206" s="1495"/>
      <c r="L206" s="1495"/>
      <c r="M206" s="1495"/>
    </row>
    <row r="207" spans="1:13" s="492" customFormat="1" ht="16.8">
      <c r="A207" s="1622" t="s">
        <v>7331</v>
      </c>
      <c r="B207" s="1711" t="s">
        <v>5679</v>
      </c>
      <c r="C207" s="1710" t="s">
        <v>1292</v>
      </c>
      <c r="D207" s="1576">
        <v>4.32</v>
      </c>
      <c r="E207" s="1531">
        <f>+'PTAP TIJERETAS'!E69</f>
        <v>1826.1904761904761</v>
      </c>
      <c r="F207" s="1531">
        <f t="shared" si="12"/>
        <v>7889</v>
      </c>
      <c r="G207" s="2346"/>
      <c r="H207" s="1744"/>
      <c r="K207" s="1495"/>
      <c r="L207" s="1495"/>
      <c r="M207" s="1495"/>
    </row>
    <row r="208" spans="1:13" s="492" customFormat="1" ht="26.25" customHeight="1">
      <c r="A208" s="1740" t="s">
        <v>7332</v>
      </c>
      <c r="B208" s="1533" t="s">
        <v>5681</v>
      </c>
      <c r="C208" s="1734"/>
      <c r="D208" s="1735"/>
      <c r="E208" s="1736"/>
      <c r="F208" s="1741"/>
      <c r="G208" s="2346"/>
      <c r="H208" s="1744"/>
      <c r="K208" s="1495"/>
      <c r="L208" s="1495"/>
      <c r="M208" s="1495"/>
    </row>
    <row r="209" spans="1:13" s="492" customFormat="1" ht="45" customHeight="1">
      <c r="A209" s="1622" t="s">
        <v>7333</v>
      </c>
      <c r="B209" s="1711" t="s">
        <v>5682</v>
      </c>
      <c r="C209" s="1710" t="s">
        <v>45</v>
      </c>
      <c r="D209" s="1576">
        <v>26.5</v>
      </c>
      <c r="E209" s="1531">
        <f>+'PTAP TIJERETAS'!E71</f>
        <v>8098</v>
      </c>
      <c r="F209" s="1531">
        <f t="shared" si="12"/>
        <v>214597</v>
      </c>
      <c r="G209" s="2346"/>
      <c r="H209" s="1744"/>
      <c r="K209" s="1495"/>
      <c r="L209" s="1495"/>
      <c r="M209" s="1495"/>
    </row>
    <row r="210" spans="1:13" s="492" customFormat="1" ht="33.6">
      <c r="A210" s="1622" t="s">
        <v>7334</v>
      </c>
      <c r="B210" s="1711" t="s">
        <v>5683</v>
      </c>
      <c r="C210" s="1710" t="s">
        <v>1002</v>
      </c>
      <c r="D210" s="1576">
        <v>16.047999999999998</v>
      </c>
      <c r="E210" s="1531">
        <f>+'PTAP TIJERETAS'!E72</f>
        <v>9507</v>
      </c>
      <c r="F210" s="1531">
        <f t="shared" si="12"/>
        <v>152568</v>
      </c>
      <c r="G210" s="2346"/>
      <c r="H210" s="1744"/>
      <c r="K210" s="1495"/>
      <c r="L210" s="1495"/>
      <c r="M210" s="1495"/>
    </row>
    <row r="211" spans="1:13" s="492" customFormat="1" ht="16.8">
      <c r="A211" s="1622" t="s">
        <v>7335</v>
      </c>
      <c r="B211" s="1711" t="s">
        <v>5684</v>
      </c>
      <c r="C211" s="1710" t="s">
        <v>363</v>
      </c>
      <c r="D211" s="1576">
        <v>2</v>
      </c>
      <c r="E211" s="1531">
        <f>+'PTAP TIJERETAS'!E73</f>
        <v>34330</v>
      </c>
      <c r="F211" s="1531">
        <f t="shared" si="12"/>
        <v>68660</v>
      </c>
      <c r="G211" s="2346"/>
      <c r="H211" s="1744"/>
      <c r="K211" s="1495"/>
      <c r="L211" s="1495"/>
      <c r="M211" s="1495"/>
    </row>
    <row r="212" spans="1:13" s="492" customFormat="1" ht="32.25" customHeight="1">
      <c r="A212" s="1622" t="s">
        <v>7336</v>
      </c>
      <c r="B212" s="1711" t="s">
        <v>5685</v>
      </c>
      <c r="C212" s="1710" t="s">
        <v>363</v>
      </c>
      <c r="D212" s="1576">
        <v>1</v>
      </c>
      <c r="E212" s="1531">
        <f>+'PTAP TIJERETAS'!E74</f>
        <v>45773</v>
      </c>
      <c r="F212" s="1531">
        <f t="shared" si="12"/>
        <v>45773</v>
      </c>
      <c r="G212" s="2346"/>
      <c r="H212" s="1744"/>
      <c r="K212" s="1495"/>
      <c r="L212" s="1495"/>
      <c r="M212" s="1495"/>
    </row>
    <row r="213" spans="1:13" s="492" customFormat="1" ht="26.25" customHeight="1">
      <c r="A213" s="1740" t="s">
        <v>7337</v>
      </c>
      <c r="B213" s="1533" t="s">
        <v>5680</v>
      </c>
      <c r="C213" s="1734"/>
      <c r="D213" s="1735"/>
      <c r="E213" s="1736"/>
      <c r="F213" s="1741"/>
      <c r="G213" s="2346"/>
      <c r="H213" s="1744"/>
      <c r="K213" s="1495"/>
      <c r="L213" s="1495"/>
      <c r="M213" s="1495"/>
    </row>
    <row r="214" spans="1:13" s="492" customFormat="1" ht="43.5" customHeight="1">
      <c r="A214" s="1622" t="s">
        <v>7338</v>
      </c>
      <c r="B214" s="1711" t="s">
        <v>5686</v>
      </c>
      <c r="C214" s="1710" t="s">
        <v>45</v>
      </c>
      <c r="D214" s="1576">
        <f>+D209</f>
        <v>26.5</v>
      </c>
      <c r="E214" s="1531">
        <f>+'PTAP TIJERETAS'!E76</f>
        <v>76780</v>
      </c>
      <c r="F214" s="1531">
        <f t="shared" si="12"/>
        <v>2034670</v>
      </c>
      <c r="G214" s="2346"/>
      <c r="H214" s="1744"/>
      <c r="K214" s="1495"/>
      <c r="L214" s="1495"/>
      <c r="M214" s="1495"/>
    </row>
    <row r="215" spans="1:13" s="492" customFormat="1" ht="26.25" customHeight="1">
      <c r="A215" s="1622" t="s">
        <v>7339</v>
      </c>
      <c r="B215" s="1711" t="s">
        <v>5687</v>
      </c>
      <c r="C215" s="1710" t="s">
        <v>1002</v>
      </c>
      <c r="D215" s="1576">
        <f t="shared" ref="D215:D217" si="13">+D210</f>
        <v>16.047999999999998</v>
      </c>
      <c r="E215" s="1531">
        <f>+'PTAP TIJERETAS'!E77</f>
        <v>120905</v>
      </c>
      <c r="F215" s="1531">
        <f t="shared" si="12"/>
        <v>1940283</v>
      </c>
      <c r="G215" s="2346"/>
      <c r="H215" s="1744"/>
      <c r="K215" s="1495"/>
      <c r="L215" s="1495"/>
      <c r="M215" s="1495"/>
    </row>
    <row r="216" spans="1:13" s="492" customFormat="1" ht="26.25" customHeight="1">
      <c r="A216" s="1622" t="s">
        <v>7340</v>
      </c>
      <c r="B216" s="1711" t="s">
        <v>5688</v>
      </c>
      <c r="C216" s="1710" t="s">
        <v>363</v>
      </c>
      <c r="D216" s="1576">
        <f t="shared" si="13"/>
        <v>2</v>
      </c>
      <c r="E216" s="1531">
        <f>+'PTAP TIJERETAS'!E78</f>
        <v>442285</v>
      </c>
      <c r="F216" s="1531">
        <f t="shared" si="12"/>
        <v>884570</v>
      </c>
      <c r="G216" s="2346"/>
      <c r="H216" s="1744"/>
      <c r="K216" s="1495"/>
      <c r="L216" s="1495"/>
      <c r="M216" s="1495"/>
    </row>
    <row r="217" spans="1:13" s="492" customFormat="1" ht="26.25" customHeight="1">
      <c r="A217" s="1622" t="s">
        <v>7341</v>
      </c>
      <c r="B217" s="1711" t="s">
        <v>5689</v>
      </c>
      <c r="C217" s="1710" t="s">
        <v>363</v>
      </c>
      <c r="D217" s="1576">
        <f t="shared" si="13"/>
        <v>1</v>
      </c>
      <c r="E217" s="1531">
        <f>+'PTAP TIJERETAS'!E79</f>
        <v>1758270</v>
      </c>
      <c r="F217" s="1531">
        <f>ROUND(D217*E217,0)</f>
        <v>1758270</v>
      </c>
      <c r="G217" s="2346"/>
      <c r="H217" s="1744"/>
      <c r="K217" s="1495"/>
      <c r="L217" s="1495"/>
      <c r="M217" s="1495"/>
    </row>
    <row r="218" spans="1:13" ht="18">
      <c r="A218" s="1740">
        <v>30</v>
      </c>
      <c r="B218" s="1653" t="s">
        <v>4771</v>
      </c>
      <c r="C218" s="1734"/>
      <c r="D218" s="1735"/>
      <c r="E218" s="1736"/>
      <c r="F218" s="2364">
        <f>SUM(F219:F230)</f>
        <v>45821728</v>
      </c>
      <c r="G218" s="2346"/>
      <c r="H218" s="2220"/>
    </row>
    <row r="219" spans="1:13" s="1717" customFormat="1" ht="33.6">
      <c r="A219" s="1622" t="s">
        <v>7342</v>
      </c>
      <c r="B219" s="1711" t="s">
        <v>4772</v>
      </c>
      <c r="C219" s="1730" t="s">
        <v>133</v>
      </c>
      <c r="D219" s="1576">
        <v>7</v>
      </c>
      <c r="E219" s="1531">
        <f>+'PTAP TIJERETAS'!E81</f>
        <v>350591</v>
      </c>
      <c r="F219" s="1531">
        <f t="shared" si="11"/>
        <v>2454137</v>
      </c>
      <c r="G219" s="2346"/>
      <c r="H219" s="2220"/>
      <c r="K219" s="1733"/>
      <c r="L219" s="1733"/>
      <c r="M219" s="1733"/>
    </row>
    <row r="220" spans="1:13" s="1717" customFormat="1" ht="16.8">
      <c r="A220" s="1622" t="s">
        <v>7343</v>
      </c>
      <c r="B220" s="1711" t="s">
        <v>4773</v>
      </c>
      <c r="C220" s="1730" t="s">
        <v>133</v>
      </c>
      <c r="D220" s="1576">
        <v>2</v>
      </c>
      <c r="E220" s="1531">
        <f>+'PTAP TIJERETAS'!E82</f>
        <v>90630</v>
      </c>
      <c r="F220" s="1531">
        <f t="shared" si="11"/>
        <v>181260</v>
      </c>
      <c r="G220" s="2346"/>
      <c r="H220" s="1744"/>
      <c r="K220" s="1733"/>
      <c r="L220" s="1733"/>
      <c r="M220" s="1733"/>
    </row>
    <row r="221" spans="1:13" s="1717" customFormat="1" ht="50.4">
      <c r="A221" s="1622" t="s">
        <v>7344</v>
      </c>
      <c r="B221" s="1711" t="s">
        <v>4774</v>
      </c>
      <c r="C221" s="1730" t="s">
        <v>133</v>
      </c>
      <c r="D221" s="1576">
        <v>14</v>
      </c>
      <c r="E221" s="1531">
        <f>+'PTAP TIJERETAS'!E83</f>
        <v>1087456</v>
      </c>
      <c r="F221" s="1531">
        <f t="shared" si="11"/>
        <v>15224384</v>
      </c>
      <c r="G221" s="2346"/>
      <c r="H221" s="1744"/>
      <c r="K221" s="1733"/>
      <c r="L221" s="1733"/>
      <c r="M221" s="1733"/>
    </row>
    <row r="222" spans="1:13" s="1717" customFormat="1" ht="50.4">
      <c r="A222" s="1622" t="s">
        <v>7345</v>
      </c>
      <c r="B222" s="1711" t="s">
        <v>4775</v>
      </c>
      <c r="C222" s="1730" t="s">
        <v>133</v>
      </c>
      <c r="D222" s="1576">
        <v>3</v>
      </c>
      <c r="E222" s="1531">
        <f>+'PTAP TIJERETAS'!E84</f>
        <v>1914535</v>
      </c>
      <c r="F222" s="1531">
        <f t="shared" si="11"/>
        <v>5743605</v>
      </c>
      <c r="G222" s="2346"/>
      <c r="H222" s="1744"/>
      <c r="K222" s="1733"/>
      <c r="L222" s="1733"/>
      <c r="M222" s="1733"/>
    </row>
    <row r="223" spans="1:13" s="1717" customFormat="1" ht="50.4">
      <c r="A223" s="1622" t="s">
        <v>7352</v>
      </c>
      <c r="B223" s="1711" t="s">
        <v>4776</v>
      </c>
      <c r="C223" s="1730" t="s">
        <v>133</v>
      </c>
      <c r="D223" s="1576">
        <v>12</v>
      </c>
      <c r="E223" s="1531">
        <f>+'PTAP TIJERETAS'!E85</f>
        <v>1087456</v>
      </c>
      <c r="F223" s="1531">
        <f t="shared" si="11"/>
        <v>13049472</v>
      </c>
      <c r="G223" s="2346"/>
      <c r="H223" s="1744"/>
      <c r="K223" s="1733"/>
      <c r="L223" s="1733"/>
      <c r="M223" s="1733"/>
    </row>
    <row r="224" spans="1:13" s="1717" customFormat="1" ht="33.6">
      <c r="A224" s="1622" t="s">
        <v>7353</v>
      </c>
      <c r="B224" s="1711" t="s">
        <v>4777</v>
      </c>
      <c r="C224" s="1730" t="s">
        <v>133</v>
      </c>
      <c r="D224" s="1576">
        <v>6</v>
      </c>
      <c r="E224" s="1531">
        <f>+'PTAP TIJERETAS'!E86</f>
        <v>761222</v>
      </c>
      <c r="F224" s="1531">
        <f t="shared" si="11"/>
        <v>4567332</v>
      </c>
      <c r="G224" s="2346"/>
      <c r="H224" s="1744"/>
      <c r="K224" s="1733"/>
      <c r="L224" s="1733"/>
      <c r="M224" s="1733"/>
    </row>
    <row r="225" spans="1:13" s="1717" customFormat="1" ht="33.6">
      <c r="A225" s="1622" t="s">
        <v>7354</v>
      </c>
      <c r="B225" s="1711" t="s">
        <v>4778</v>
      </c>
      <c r="C225" s="1730" t="s">
        <v>133</v>
      </c>
      <c r="D225" s="1576">
        <v>3</v>
      </c>
      <c r="E225" s="1531">
        <f>+'PTAP TIJERETAS'!E87</f>
        <v>144184</v>
      </c>
      <c r="F225" s="1531">
        <f t="shared" si="11"/>
        <v>432552</v>
      </c>
      <c r="G225" s="2346"/>
      <c r="H225" s="1744"/>
      <c r="K225" s="1733"/>
      <c r="L225" s="1733"/>
      <c r="M225" s="1733"/>
    </row>
    <row r="226" spans="1:13" s="1717" customFormat="1" ht="33.6">
      <c r="A226" s="1622" t="s">
        <v>7355</v>
      </c>
      <c r="B226" s="1711" t="s">
        <v>4779</v>
      </c>
      <c r="C226" s="1730" t="s">
        <v>133</v>
      </c>
      <c r="D226" s="1576">
        <v>3</v>
      </c>
      <c r="E226" s="1531">
        <f>+'PTAP TIJERETAS'!E88</f>
        <v>112601</v>
      </c>
      <c r="F226" s="1531">
        <f t="shared" si="11"/>
        <v>337803</v>
      </c>
      <c r="G226" s="2346"/>
      <c r="H226" s="1744"/>
      <c r="K226" s="1733"/>
      <c r="L226" s="1733"/>
      <c r="M226" s="1733"/>
    </row>
    <row r="227" spans="1:13" s="1717" customFormat="1" ht="33.6">
      <c r="A227" s="1622" t="s">
        <v>7356</v>
      </c>
      <c r="B227" s="1711" t="s">
        <v>4780</v>
      </c>
      <c r="C227" s="1730" t="s">
        <v>133</v>
      </c>
      <c r="D227" s="1576">
        <v>5</v>
      </c>
      <c r="E227" s="1531">
        <f>+'PTAP TIJERETAS'!E89</f>
        <v>240307</v>
      </c>
      <c r="F227" s="1531">
        <f t="shared" si="11"/>
        <v>1201535</v>
      </c>
      <c r="G227" s="2346"/>
      <c r="H227" s="1744"/>
      <c r="K227" s="1733"/>
      <c r="L227" s="1733"/>
      <c r="M227" s="1733"/>
    </row>
    <row r="228" spans="1:13" ht="33.6">
      <c r="A228" s="1622" t="s">
        <v>7357</v>
      </c>
      <c r="B228" s="1711" t="s">
        <v>4781</v>
      </c>
      <c r="C228" s="1730" t="s">
        <v>133</v>
      </c>
      <c r="D228" s="1576">
        <v>7</v>
      </c>
      <c r="E228" s="1531">
        <f>+'PTAP TIJERETAS'!E90</f>
        <v>171648</v>
      </c>
      <c r="F228" s="1531">
        <f t="shared" si="11"/>
        <v>1201536</v>
      </c>
      <c r="G228" s="2346"/>
      <c r="H228" s="1744"/>
    </row>
    <row r="229" spans="1:13" ht="33.6">
      <c r="A229" s="1622" t="s">
        <v>7358</v>
      </c>
      <c r="B229" s="1711" t="s">
        <v>4782</v>
      </c>
      <c r="C229" s="1730" t="s">
        <v>133</v>
      </c>
      <c r="D229" s="1576">
        <v>2</v>
      </c>
      <c r="E229" s="1531">
        <f>+'PTAP TIJERETAS'!E91</f>
        <v>192246</v>
      </c>
      <c r="F229" s="1531">
        <f t="shared" si="11"/>
        <v>384492</v>
      </c>
      <c r="G229" s="2346"/>
      <c r="H229" s="1744"/>
    </row>
    <row r="230" spans="1:13" ht="33.6">
      <c r="A230" s="1622" t="s">
        <v>7359</v>
      </c>
      <c r="B230" s="1711" t="s">
        <v>4783</v>
      </c>
      <c r="C230" s="1730" t="s">
        <v>133</v>
      </c>
      <c r="D230" s="1576">
        <v>4</v>
      </c>
      <c r="E230" s="1531">
        <f>+'PTAP TIJERETAS'!E92</f>
        <v>260905</v>
      </c>
      <c r="F230" s="1531">
        <f t="shared" si="11"/>
        <v>1043620</v>
      </c>
      <c r="G230" s="2346"/>
      <c r="H230" s="1744"/>
    </row>
    <row r="231" spans="1:13" ht="18">
      <c r="A231" s="1740">
        <v>31</v>
      </c>
      <c r="B231" s="1653" t="s">
        <v>4802</v>
      </c>
      <c r="C231" s="1734"/>
      <c r="D231" s="1735"/>
      <c r="E231" s="1736"/>
      <c r="F231" s="2365">
        <f>SUM(F232:F234)</f>
        <v>1181403</v>
      </c>
      <c r="G231" s="2346"/>
      <c r="H231" s="1744"/>
    </row>
    <row r="232" spans="1:13" ht="50.4">
      <c r="A232" s="1622" t="s">
        <v>7346</v>
      </c>
      <c r="B232" s="1711" t="s">
        <v>4796</v>
      </c>
      <c r="C232" s="1528" t="s">
        <v>45</v>
      </c>
      <c r="D232" s="1576">
        <v>100</v>
      </c>
      <c r="E232" s="1531">
        <f>+'PTAP TIJERETAS'!E94</f>
        <v>6866</v>
      </c>
      <c r="F232" s="1531">
        <f t="shared" si="11"/>
        <v>686600</v>
      </c>
      <c r="G232" s="2346"/>
      <c r="H232" s="1744"/>
    </row>
    <row r="233" spans="1:13" ht="33.6">
      <c r="A233" s="1622" t="s">
        <v>7347</v>
      </c>
      <c r="B233" s="1711" t="s">
        <v>4797</v>
      </c>
      <c r="C233" s="1528" t="s">
        <v>133</v>
      </c>
      <c r="D233" s="1576">
        <v>8</v>
      </c>
      <c r="E233" s="1531">
        <f>+'PTAP TIJERETAS'!E95</f>
        <v>60420</v>
      </c>
      <c r="F233" s="1531">
        <f t="shared" si="11"/>
        <v>483360</v>
      </c>
      <c r="G233" s="2346"/>
      <c r="H233" s="1744"/>
    </row>
    <row r="234" spans="1:13" ht="33.6">
      <c r="A234" s="1622" t="s">
        <v>7348</v>
      </c>
      <c r="B234" s="1711" t="s">
        <v>4798</v>
      </c>
      <c r="C234" s="1528" t="s">
        <v>133</v>
      </c>
      <c r="D234" s="1743">
        <v>1</v>
      </c>
      <c r="E234" s="1531">
        <f>+'PTAP TIJERETAS'!E96</f>
        <v>11443</v>
      </c>
      <c r="F234" s="1531">
        <f t="shared" si="11"/>
        <v>11443</v>
      </c>
      <c r="G234" s="2346"/>
      <c r="H234" s="1744"/>
    </row>
    <row r="235" spans="1:13" ht="18">
      <c r="A235" s="1740">
        <v>32</v>
      </c>
      <c r="B235" s="1653" t="s">
        <v>8226</v>
      </c>
      <c r="C235" s="1734"/>
      <c r="D235" s="1735"/>
      <c r="E235" s="1736"/>
      <c r="F235" s="2365">
        <f>SUM(F236:F238)</f>
        <v>45851440</v>
      </c>
      <c r="G235" s="2346"/>
      <c r="H235" s="1744"/>
    </row>
    <row r="236" spans="1:13" s="1717" customFormat="1" ht="16.8">
      <c r="A236" s="1622" t="s">
        <v>7349</v>
      </c>
      <c r="B236" s="1711" t="s">
        <v>5642</v>
      </c>
      <c r="C236" s="1528" t="s">
        <v>133</v>
      </c>
      <c r="D236" s="1576">
        <v>36</v>
      </c>
      <c r="E236" s="1531">
        <f>+'PTAP TIJERETAS'!E98</f>
        <v>473748.34456403996</v>
      </c>
      <c r="F236" s="1531">
        <f>+ROUND(D236*E236,0)</f>
        <v>17054940</v>
      </c>
      <c r="G236" s="2346"/>
      <c r="H236" s="1744"/>
      <c r="K236" s="1733"/>
      <c r="L236" s="1733"/>
      <c r="M236" s="1733"/>
    </row>
    <row r="237" spans="1:13" s="1717" customFormat="1" ht="33.6">
      <c r="A237" s="1622" t="s">
        <v>7350</v>
      </c>
      <c r="B237" s="1711" t="s">
        <v>5641</v>
      </c>
      <c r="C237" s="1528" t="s">
        <v>133</v>
      </c>
      <c r="D237" s="1576">
        <v>2</v>
      </c>
      <c r="E237" s="1531">
        <f>+'PTAP TIJERETAS'!E99</f>
        <v>1833620.1159217199</v>
      </c>
      <c r="F237" s="1531">
        <f t="shared" ref="F237:F238" si="14">+ROUND(D237*E237,0)</f>
        <v>3667240</v>
      </c>
      <c r="G237" s="2346"/>
      <c r="H237" s="1744"/>
      <c r="K237" s="1733"/>
      <c r="L237" s="1733"/>
      <c r="M237" s="1733"/>
    </row>
    <row r="238" spans="1:13" ht="50.4">
      <c r="A238" s="1622" t="s">
        <v>7351</v>
      </c>
      <c r="B238" s="1711" t="s">
        <v>4725</v>
      </c>
      <c r="C238" s="1528" t="s">
        <v>133</v>
      </c>
      <c r="D238" s="1576">
        <v>10</v>
      </c>
      <c r="E238" s="1531">
        <f>+'PTAP TIJERETAS'!E100</f>
        <v>2512926.0016005598</v>
      </c>
      <c r="F238" s="1531">
        <f t="shared" si="14"/>
        <v>25129260</v>
      </c>
      <c r="G238" s="2346"/>
      <c r="H238" s="1744"/>
    </row>
    <row r="239" spans="1:13" ht="18">
      <c r="A239" s="1740">
        <v>33</v>
      </c>
      <c r="B239" s="1653" t="s">
        <v>4806</v>
      </c>
      <c r="C239" s="1734"/>
      <c r="D239" s="1735"/>
      <c r="E239" s="1736"/>
      <c r="F239" s="2365">
        <f>SUM(F240:F251)</f>
        <v>113271880</v>
      </c>
      <c r="G239" s="2346"/>
      <c r="H239" s="1744"/>
    </row>
    <row r="240" spans="1:13" s="1717" customFormat="1" ht="33.6">
      <c r="A240" s="1622" t="s">
        <v>7360</v>
      </c>
      <c r="B240" s="1711" t="s">
        <v>5633</v>
      </c>
      <c r="C240" s="1710" t="s">
        <v>133</v>
      </c>
      <c r="D240" s="1576">
        <v>12</v>
      </c>
      <c r="E240" s="1531">
        <f>+'PTAP TIJERETAS'!E102</f>
        <v>810178</v>
      </c>
      <c r="F240" s="1531">
        <f t="shared" ref="F240:F250" si="15">+ROUND(D240*E240,0)</f>
        <v>9722136</v>
      </c>
      <c r="G240" s="2346"/>
      <c r="H240" s="1744"/>
      <c r="K240" s="1733"/>
      <c r="L240" s="1733"/>
      <c r="M240" s="1733"/>
    </row>
    <row r="241" spans="1:13" s="1717" customFormat="1" ht="33.6">
      <c r="A241" s="1622" t="s">
        <v>7361</v>
      </c>
      <c r="B241" s="1711" t="s">
        <v>5634</v>
      </c>
      <c r="C241" s="1710" t="s">
        <v>133</v>
      </c>
      <c r="D241" s="1576">
        <v>16</v>
      </c>
      <c r="E241" s="1531">
        <f>+'PTAP TIJERETAS'!E103</f>
        <v>707190</v>
      </c>
      <c r="F241" s="1531">
        <f t="shared" si="15"/>
        <v>11315040</v>
      </c>
      <c r="G241" s="2346"/>
      <c r="H241" s="1744"/>
      <c r="K241" s="1733"/>
      <c r="L241" s="1733"/>
      <c r="M241" s="1733"/>
    </row>
    <row r="242" spans="1:13" s="1717" customFormat="1" ht="33.6">
      <c r="A242" s="1622" t="s">
        <v>7362</v>
      </c>
      <c r="B242" s="1711" t="s">
        <v>5635</v>
      </c>
      <c r="C242" s="1710" t="s">
        <v>133</v>
      </c>
      <c r="D242" s="1576">
        <v>48</v>
      </c>
      <c r="E242" s="1531">
        <f>+'PTAP TIJERETAS'!E104</f>
        <v>631664</v>
      </c>
      <c r="F242" s="1531">
        <f t="shared" si="15"/>
        <v>30319872</v>
      </c>
      <c r="G242" s="2346"/>
      <c r="H242" s="1744"/>
      <c r="K242" s="1733"/>
      <c r="L242" s="1733"/>
      <c r="M242" s="1733"/>
    </row>
    <row r="243" spans="1:13" s="1717" customFormat="1" ht="33.6">
      <c r="A243" s="1622" t="s">
        <v>7363</v>
      </c>
      <c r="B243" s="1711" t="s">
        <v>5636</v>
      </c>
      <c r="C243" s="1710" t="s">
        <v>133</v>
      </c>
      <c r="D243" s="1576">
        <v>24</v>
      </c>
      <c r="E243" s="1531">
        <f>+'PTAP TIJERETAS'!E105</f>
        <v>2100971</v>
      </c>
      <c r="F243" s="1531">
        <f t="shared" si="15"/>
        <v>50423304</v>
      </c>
      <c r="G243" s="2346"/>
      <c r="H243" s="1744"/>
      <c r="K243" s="1733"/>
      <c r="L243" s="1733"/>
      <c r="M243" s="1733"/>
    </row>
    <row r="244" spans="1:13" s="1717" customFormat="1" ht="16.8">
      <c r="A244" s="1622" t="s">
        <v>7364</v>
      </c>
      <c r="B244" s="1711" t="s">
        <v>5637</v>
      </c>
      <c r="C244" s="1710" t="s">
        <v>133</v>
      </c>
      <c r="D244" s="1576">
        <v>240</v>
      </c>
      <c r="E244" s="1531">
        <f>+'PTAP TIJERETAS'!E106</f>
        <v>25848</v>
      </c>
      <c r="F244" s="1531">
        <f t="shared" si="15"/>
        <v>6203520</v>
      </c>
      <c r="G244" s="2346"/>
      <c r="H244" s="1744"/>
      <c r="K244" s="1733"/>
      <c r="L244" s="1733"/>
      <c r="M244" s="1733"/>
    </row>
    <row r="245" spans="1:13" ht="16.8">
      <c r="A245" s="1622" t="s">
        <v>7365</v>
      </c>
      <c r="B245" s="1711" t="s">
        <v>4733</v>
      </c>
      <c r="C245" s="1710" t="s">
        <v>133</v>
      </c>
      <c r="D245" s="1576">
        <v>14</v>
      </c>
      <c r="E245" s="1531">
        <f>+'PTAP TIJERETAS'!E107</f>
        <v>2746</v>
      </c>
      <c r="F245" s="1531">
        <f t="shared" si="15"/>
        <v>38444</v>
      </c>
      <c r="G245" s="2346"/>
      <c r="H245" s="1744"/>
    </row>
    <row r="246" spans="1:13" ht="33.6">
      <c r="A246" s="1622" t="s">
        <v>7366</v>
      </c>
      <c r="B246" s="1711" t="s">
        <v>4737</v>
      </c>
      <c r="C246" s="1710" t="s">
        <v>1002</v>
      </c>
      <c r="D246" s="1576">
        <v>50</v>
      </c>
      <c r="E246" s="1531">
        <f>+'PTAP TIJERETAS'!E108</f>
        <v>54927</v>
      </c>
      <c r="F246" s="1531">
        <f t="shared" si="15"/>
        <v>2746350</v>
      </c>
      <c r="G246" s="2346"/>
      <c r="H246" s="1744"/>
    </row>
    <row r="247" spans="1:13" ht="16.8">
      <c r="A247" s="1622" t="s">
        <v>7367</v>
      </c>
      <c r="B247" s="1711" t="s">
        <v>4765</v>
      </c>
      <c r="C247" s="1710" t="s">
        <v>1292</v>
      </c>
      <c r="D247" s="1576">
        <f>0.4*2.7*3.4*4</f>
        <v>14.688000000000001</v>
      </c>
      <c r="E247" s="1531">
        <f>+'PTAP TIJERETAS'!E109</f>
        <v>17165</v>
      </c>
      <c r="F247" s="1531">
        <f t="shared" si="15"/>
        <v>252120</v>
      </c>
      <c r="G247" s="2346"/>
      <c r="H247" s="1744"/>
    </row>
    <row r="248" spans="1:13" ht="16.8">
      <c r="A248" s="1622" t="s">
        <v>7368</v>
      </c>
      <c r="B248" s="1711" t="s">
        <v>4766</v>
      </c>
      <c r="C248" s="1710" t="s">
        <v>1292</v>
      </c>
      <c r="D248" s="1576">
        <f>0.25*2.7*3.4*4</f>
        <v>9.18</v>
      </c>
      <c r="E248" s="1531">
        <f>+'PTAP TIJERETAS'!E110</f>
        <v>18309</v>
      </c>
      <c r="F248" s="1531">
        <f t="shared" si="15"/>
        <v>168077</v>
      </c>
      <c r="G248" s="2346"/>
      <c r="H248" s="1744"/>
    </row>
    <row r="249" spans="1:13" ht="16.8">
      <c r="A249" s="1622" t="s">
        <v>7369</v>
      </c>
      <c r="B249" s="1711" t="s">
        <v>4767</v>
      </c>
      <c r="C249" s="1710" t="s">
        <v>1292</v>
      </c>
      <c r="D249" s="1576">
        <v>6.5</v>
      </c>
      <c r="E249" s="1531">
        <f>+'PTAP TIJERETAS'!E111</f>
        <v>19617</v>
      </c>
      <c r="F249" s="1531">
        <f t="shared" si="15"/>
        <v>127511</v>
      </c>
      <c r="G249" s="2346"/>
      <c r="H249" s="1744"/>
    </row>
    <row r="250" spans="1:13" ht="16.8">
      <c r="A250" s="1622" t="s">
        <v>7370</v>
      </c>
      <c r="B250" s="1711" t="s">
        <v>4768</v>
      </c>
      <c r="C250" s="1710" t="s">
        <v>45</v>
      </c>
      <c r="D250" s="1576">
        <v>346</v>
      </c>
      <c r="E250" s="1531">
        <f>+'PTAP TIJERETAS'!E112</f>
        <v>5493</v>
      </c>
      <c r="F250" s="1531">
        <f t="shared" si="15"/>
        <v>1900578</v>
      </c>
      <c r="G250" s="2346"/>
      <c r="H250" s="1744"/>
    </row>
    <row r="251" spans="1:13" ht="17.399999999999999" thickBot="1">
      <c r="A251" s="1622" t="s">
        <v>7371</v>
      </c>
      <c r="B251" s="1711" t="s">
        <v>5638</v>
      </c>
      <c r="C251" s="1710" t="s">
        <v>133</v>
      </c>
      <c r="D251" s="1576">
        <v>2</v>
      </c>
      <c r="E251" s="1531">
        <f>+'PTAP TIJERETAS'!E113</f>
        <v>27464</v>
      </c>
      <c r="F251" s="1531">
        <f>+ROUND(D251*E251,0)</f>
        <v>54928</v>
      </c>
      <c r="G251" s="2976"/>
      <c r="H251" s="1744"/>
    </row>
    <row r="252" spans="1:13" ht="16.8">
      <c r="A252" s="3334" t="s">
        <v>5739</v>
      </c>
      <c r="B252" s="3335"/>
      <c r="C252" s="3335"/>
      <c r="D252" s="3335"/>
      <c r="E252" s="3335"/>
      <c r="F252" s="3336"/>
    </row>
    <row r="253" spans="1:13" ht="33.6">
      <c r="A253" s="1590" t="s">
        <v>22</v>
      </c>
      <c r="B253" s="1591" t="s">
        <v>23</v>
      </c>
      <c r="C253" s="1591" t="s">
        <v>150</v>
      </c>
      <c r="D253" s="1592" t="s">
        <v>539</v>
      </c>
      <c r="E253" s="1593" t="s">
        <v>151</v>
      </c>
      <c r="F253" s="1593" t="s">
        <v>540</v>
      </c>
    </row>
    <row r="254" spans="1:13" ht="17.25" customHeight="1">
      <c r="A254" s="3350" t="s">
        <v>4740</v>
      </c>
      <c r="B254" s="3350"/>
      <c r="C254" s="3350"/>
      <c r="D254" s="3350"/>
      <c r="E254" s="3350"/>
      <c r="F254" s="3351"/>
    </row>
    <row r="255" spans="1:13" ht="18">
      <c r="A255" s="1650">
        <v>34</v>
      </c>
      <c r="B255" s="1727" t="s">
        <v>8528</v>
      </c>
      <c r="C255" s="1718"/>
      <c r="D255" s="1718"/>
      <c r="E255" s="1718"/>
      <c r="F255" s="2364">
        <f>SUM(F256:F257)</f>
        <v>5523852</v>
      </c>
      <c r="G255" s="2977">
        <f>+SUM(F255,F258,F261,F268,F337)</f>
        <v>561558097</v>
      </c>
      <c r="H255" s="1717" t="s">
        <v>8225</v>
      </c>
    </row>
    <row r="256" spans="1:13" ht="17.399999999999999">
      <c r="A256" s="1622" t="s">
        <v>7372</v>
      </c>
      <c r="B256" s="1711" t="s">
        <v>1373</v>
      </c>
      <c r="C256" s="1730" t="s">
        <v>1125</v>
      </c>
      <c r="D256" s="1576">
        <f>+'PTAP TIJERETAS'!D163</f>
        <v>1050</v>
      </c>
      <c r="E256" s="1731">
        <f>+'PTAP TIJERETAS'!E163</f>
        <v>2356</v>
      </c>
      <c r="F256" s="1531">
        <f>ROUND(D256*E256,0)</f>
        <v>2473800</v>
      </c>
      <c r="G256" s="2356">
        <f>+'PTAP TIJERETAS'!F250</f>
        <v>561558097</v>
      </c>
      <c r="I256" s="1732"/>
    </row>
    <row r="257" spans="1:13" ht="17.399999999999999">
      <c r="A257" s="1622" t="s">
        <v>7373</v>
      </c>
      <c r="B257" s="1711" t="s">
        <v>1374</v>
      </c>
      <c r="C257" s="1730" t="s">
        <v>1125</v>
      </c>
      <c r="D257" s="1576">
        <f>+'PTAP TIJERETAS'!D164</f>
        <v>1050</v>
      </c>
      <c r="E257" s="1731">
        <f>+'PTAP TIJERETAS'!E164</f>
        <v>2904.8114772599997</v>
      </c>
      <c r="F257" s="1531">
        <f>ROUND(D257*E257,0)</f>
        <v>3050052</v>
      </c>
    </row>
    <row r="258" spans="1:13" ht="18">
      <c r="A258" s="1650">
        <v>35</v>
      </c>
      <c r="B258" s="2928" t="s">
        <v>4988</v>
      </c>
      <c r="C258" s="2929"/>
      <c r="D258" s="2929"/>
      <c r="E258" s="2929"/>
      <c r="F258" s="2366">
        <f>SUM(F259:F260)</f>
        <v>29633480</v>
      </c>
    </row>
    <row r="259" spans="1:13" s="1717" customFormat="1" ht="30.75" customHeight="1">
      <c r="A259" s="1622" t="s">
        <v>7374</v>
      </c>
      <c r="B259" s="1618" t="s">
        <v>1094</v>
      </c>
      <c r="C259" s="1730" t="s">
        <v>1292</v>
      </c>
      <c r="D259" s="1576">
        <v>440</v>
      </c>
      <c r="E259" s="1731">
        <f>+'PTAP TIJERETAS'!E166</f>
        <v>10000</v>
      </c>
      <c r="F259" s="1531">
        <f>ROUND(D259*E259,0)</f>
        <v>4400000</v>
      </c>
      <c r="G259" s="2354"/>
      <c r="K259" s="1733"/>
      <c r="L259" s="1733"/>
      <c r="M259" s="1733"/>
    </row>
    <row r="260" spans="1:13" s="1717" customFormat="1" ht="41.25" customHeight="1">
      <c r="A260" s="1622" t="s">
        <v>7375</v>
      </c>
      <c r="B260" s="1682" t="s">
        <v>5063</v>
      </c>
      <c r="C260" s="1730" t="s">
        <v>1292</v>
      </c>
      <c r="D260" s="1576">
        <v>290</v>
      </c>
      <c r="E260" s="1731">
        <f>+'PTAP TIJERETAS'!E167</f>
        <v>87012</v>
      </c>
      <c r="F260" s="1531">
        <f>ROUND(D260*E260,0)</f>
        <v>25233480</v>
      </c>
      <c r="G260" s="2354"/>
      <c r="K260" s="1733"/>
      <c r="L260" s="1733"/>
      <c r="M260" s="1733"/>
    </row>
    <row r="261" spans="1:13" ht="18">
      <c r="A261" s="1650">
        <v>36</v>
      </c>
      <c r="B261" s="1745" t="s">
        <v>852</v>
      </c>
      <c r="C261" s="1746"/>
      <c r="D261" s="1746"/>
      <c r="E261" s="1746"/>
      <c r="F261" s="2223">
        <f>SUM(F262:F267)</f>
        <v>496273675</v>
      </c>
    </row>
    <row r="262" spans="1:13" s="1717" customFormat="1" ht="33.6">
      <c r="A262" s="1622" t="s">
        <v>7376</v>
      </c>
      <c r="B262" s="1544" t="s">
        <v>5651</v>
      </c>
      <c r="C262" s="364" t="s">
        <v>1292</v>
      </c>
      <c r="D262" s="1750">
        <v>108.324</v>
      </c>
      <c r="E262" s="1731">
        <f>+'PTAP TIJERETAS'!E169</f>
        <v>716404</v>
      </c>
      <c r="F262" s="1531">
        <f t="shared" ref="F262:F278" si="16">+ROUND(D262*E262,0)</f>
        <v>77603747</v>
      </c>
      <c r="G262" s="2355"/>
      <c r="K262" s="1733"/>
      <c r="L262" s="1733"/>
      <c r="M262" s="1733"/>
    </row>
    <row r="263" spans="1:13" ht="16.8">
      <c r="A263" s="1622" t="s">
        <v>7377</v>
      </c>
      <c r="B263" s="1544" t="s">
        <v>4826</v>
      </c>
      <c r="C263" s="364" t="s">
        <v>363</v>
      </c>
      <c r="D263" s="1749">
        <v>15</v>
      </c>
      <c r="E263" s="1731">
        <f>+'PTAP TIJERETAS'!E170</f>
        <v>2438617.5063487096</v>
      </c>
      <c r="F263" s="1531">
        <f t="shared" si="16"/>
        <v>36579263</v>
      </c>
      <c r="G263" s="2356"/>
    </row>
    <row r="264" spans="1:13" ht="16.8">
      <c r="A264" s="1622" t="s">
        <v>7378</v>
      </c>
      <c r="B264" s="1544" t="s">
        <v>5652</v>
      </c>
      <c r="C264" s="364" t="s">
        <v>1292</v>
      </c>
      <c r="D264" s="1749">
        <v>163.44</v>
      </c>
      <c r="E264" s="1731">
        <f>+'PTAP TIJERETAS'!E171</f>
        <v>716404</v>
      </c>
      <c r="F264" s="1531">
        <f t="shared" si="16"/>
        <v>117089070</v>
      </c>
      <c r="G264" s="2356"/>
    </row>
    <row r="265" spans="1:13" ht="16.8">
      <c r="A265" s="1622" t="s">
        <v>7379</v>
      </c>
      <c r="B265" s="1544" t="s">
        <v>5759</v>
      </c>
      <c r="C265" s="364" t="s">
        <v>1292</v>
      </c>
      <c r="D265" s="1749">
        <v>126.4</v>
      </c>
      <c r="E265" s="1731">
        <f>+'PTAP TIJERETAS'!E172</f>
        <v>716404</v>
      </c>
      <c r="F265" s="1531">
        <f t="shared" si="16"/>
        <v>90553466</v>
      </c>
      <c r="G265" s="2356"/>
    </row>
    <row r="266" spans="1:13" ht="16.8">
      <c r="A266" s="1622" t="s">
        <v>7380</v>
      </c>
      <c r="B266" s="1544" t="s">
        <v>1383</v>
      </c>
      <c r="C266" s="364" t="s">
        <v>647</v>
      </c>
      <c r="D266" s="1749">
        <v>43456.6</v>
      </c>
      <c r="E266" s="1731">
        <f>+'PTAP TIJERETAS'!E173</f>
        <v>3938.5941163025</v>
      </c>
      <c r="F266" s="1531">
        <f t="shared" si="16"/>
        <v>171157909</v>
      </c>
      <c r="G266" s="2356"/>
    </row>
    <row r="267" spans="1:13" s="1717" customFormat="1" ht="33.6">
      <c r="A267" s="1622" t="s">
        <v>7381</v>
      </c>
      <c r="B267" s="1544" t="s">
        <v>4829</v>
      </c>
      <c r="C267" s="364" t="s">
        <v>94</v>
      </c>
      <c r="D267" s="1749">
        <v>12</v>
      </c>
      <c r="E267" s="1731">
        <f>+'PTAP TIJERETAS'!E174</f>
        <v>274185</v>
      </c>
      <c r="F267" s="1531">
        <f t="shared" si="16"/>
        <v>3290220</v>
      </c>
      <c r="G267" s="2355"/>
      <c r="K267" s="1733"/>
      <c r="L267" s="1733"/>
      <c r="M267" s="1733"/>
    </row>
    <row r="268" spans="1:13" ht="18">
      <c r="A268" s="1650">
        <v>37</v>
      </c>
      <c r="B268" s="1745" t="s">
        <v>5747</v>
      </c>
      <c r="C268" s="1746"/>
      <c r="D268" s="1746"/>
      <c r="E268" s="1746"/>
      <c r="F268" s="2223">
        <f>SUM(F269:F336)</f>
        <v>23949989</v>
      </c>
      <c r="H268" s="2341"/>
    </row>
    <row r="269" spans="1:13" ht="33.6">
      <c r="A269" s="1622" t="s">
        <v>7382</v>
      </c>
      <c r="B269" s="1544" t="s">
        <v>4823</v>
      </c>
      <c r="C269" s="364" t="s">
        <v>94</v>
      </c>
      <c r="D269" s="1752">
        <f>+'PTAP TIJERETAS'!D176</f>
        <v>12.4</v>
      </c>
      <c r="E269" s="1731">
        <f>+'PTAP TIJERETAS'!E176</f>
        <v>6866</v>
      </c>
      <c r="F269" s="1531">
        <f t="shared" si="16"/>
        <v>85138</v>
      </c>
    </row>
    <row r="270" spans="1:13" ht="33.6">
      <c r="A270" s="1622" t="s">
        <v>7383</v>
      </c>
      <c r="B270" s="1544" t="s">
        <v>4824</v>
      </c>
      <c r="C270" s="364" t="s">
        <v>94</v>
      </c>
      <c r="D270" s="1752">
        <f>+'PTAP TIJERETAS'!D177</f>
        <v>2.4</v>
      </c>
      <c r="E270" s="1731">
        <f>+'PTAP TIJERETAS'!E177</f>
        <v>6866</v>
      </c>
      <c r="F270" s="1531">
        <f t="shared" si="16"/>
        <v>16478</v>
      </c>
    </row>
    <row r="271" spans="1:13" ht="33.6">
      <c r="A271" s="1622" t="s">
        <v>7384</v>
      </c>
      <c r="B271" s="1544" t="s">
        <v>4887</v>
      </c>
      <c r="C271" s="364" t="s">
        <v>94</v>
      </c>
      <c r="D271" s="1752">
        <f>+'PTAP TIJERETAS'!D178</f>
        <v>8</v>
      </c>
      <c r="E271" s="1731">
        <f>+'PTAP TIJERETAS'!E178</f>
        <v>6866</v>
      </c>
      <c r="F271" s="1531">
        <f t="shared" si="16"/>
        <v>54928</v>
      </c>
    </row>
    <row r="272" spans="1:13" ht="16.8">
      <c r="A272" s="1622" t="s">
        <v>7385</v>
      </c>
      <c r="B272" s="1544" t="s">
        <v>4801</v>
      </c>
      <c r="C272" s="364" t="s">
        <v>133</v>
      </c>
      <c r="D272" s="1752">
        <f>+'PTAP TIJERETAS'!D179</f>
        <v>1</v>
      </c>
      <c r="E272" s="1731">
        <f>+'PTAP TIJERETAS'!E179</f>
        <v>45315</v>
      </c>
      <c r="F272" s="1531">
        <f t="shared" si="16"/>
        <v>45315</v>
      </c>
    </row>
    <row r="273" spans="1:6" ht="16.8">
      <c r="A273" s="1622" t="s">
        <v>7386</v>
      </c>
      <c r="B273" s="1544" t="s">
        <v>4746</v>
      </c>
      <c r="C273" s="364" t="s">
        <v>133</v>
      </c>
      <c r="D273" s="1752">
        <f>+'PTAP TIJERETAS'!D180</f>
        <v>5</v>
      </c>
      <c r="E273" s="1731">
        <f>+'PTAP TIJERETAS'!E180</f>
        <v>27464</v>
      </c>
      <c r="F273" s="1531">
        <f t="shared" si="16"/>
        <v>137320</v>
      </c>
    </row>
    <row r="274" spans="1:6" ht="16.8">
      <c r="A274" s="1622" t="s">
        <v>7387</v>
      </c>
      <c r="B274" s="1544" t="s">
        <v>4954</v>
      </c>
      <c r="C274" s="364" t="s">
        <v>133</v>
      </c>
      <c r="D274" s="1752">
        <f>+'PTAP TIJERETAS'!D181</f>
        <v>2</v>
      </c>
      <c r="E274" s="1731">
        <f>+'PTAP TIJERETAS'!E181</f>
        <v>41196</v>
      </c>
      <c r="F274" s="1531">
        <f t="shared" si="16"/>
        <v>82392</v>
      </c>
    </row>
    <row r="275" spans="1:6" ht="16.8">
      <c r="A275" s="1622" t="s">
        <v>7388</v>
      </c>
      <c r="B275" s="1544" t="s">
        <v>4747</v>
      </c>
      <c r="C275" s="364" t="s">
        <v>133</v>
      </c>
      <c r="D275" s="1752">
        <f>+'PTAP TIJERETAS'!D182</f>
        <v>2</v>
      </c>
      <c r="E275" s="1731">
        <f>+'PTAP TIJERETAS'!E182</f>
        <v>685905</v>
      </c>
      <c r="F275" s="1531">
        <f t="shared" si="16"/>
        <v>1371810</v>
      </c>
    </row>
    <row r="276" spans="1:6" ht="16.8">
      <c r="A276" s="1622" t="s">
        <v>7389</v>
      </c>
      <c r="B276" s="1544" t="s">
        <v>4955</v>
      </c>
      <c r="C276" s="364"/>
      <c r="D276" s="1752">
        <f>+'PTAP TIJERETAS'!D183</f>
        <v>2</v>
      </c>
      <c r="E276" s="1731">
        <f>+'PTAP TIJERETAS'!E183</f>
        <v>74152</v>
      </c>
      <c r="F276" s="1531">
        <f t="shared" si="16"/>
        <v>148304</v>
      </c>
    </row>
    <row r="277" spans="1:6" ht="16.8">
      <c r="A277" s="1622" t="s">
        <v>7390</v>
      </c>
      <c r="B277" s="1544" t="s">
        <v>4754</v>
      </c>
      <c r="C277" s="364" t="s">
        <v>133</v>
      </c>
      <c r="D277" s="1752">
        <f>+'PTAP TIJERETAS'!D184</f>
        <v>1</v>
      </c>
      <c r="E277" s="1731">
        <f>+'PTAP TIJERETAS'!E184</f>
        <v>94750</v>
      </c>
      <c r="F277" s="1531">
        <f t="shared" si="16"/>
        <v>94750</v>
      </c>
    </row>
    <row r="278" spans="1:6" ht="16.8">
      <c r="A278" s="1622" t="s">
        <v>7391</v>
      </c>
      <c r="B278" s="1544" t="s">
        <v>4755</v>
      </c>
      <c r="C278" s="364" t="s">
        <v>133</v>
      </c>
      <c r="D278" s="1752">
        <f>+'PTAP TIJERETAS'!D185</f>
        <v>6</v>
      </c>
      <c r="E278" s="1731">
        <f>+'PTAP TIJERETAS'!E185</f>
        <v>79645</v>
      </c>
      <c r="F278" s="1531">
        <f t="shared" si="16"/>
        <v>477870</v>
      </c>
    </row>
    <row r="279" spans="1:6" ht="16.8">
      <c r="A279" s="1622" t="s">
        <v>7392</v>
      </c>
      <c r="B279" s="1545" t="s">
        <v>4858</v>
      </c>
      <c r="C279" s="364" t="s">
        <v>133</v>
      </c>
      <c r="D279" s="1752">
        <f>+'PTAP TIJERETAS'!D186</f>
        <v>2</v>
      </c>
      <c r="E279" s="1731">
        <f>+'PTAP TIJERETAS'!E186</f>
        <v>61793</v>
      </c>
      <c r="F279" s="1531">
        <f t="shared" ref="F279:F336" si="17">ROUND(D279*E279,0)</f>
        <v>123586</v>
      </c>
    </row>
    <row r="280" spans="1:6" ht="16.8">
      <c r="A280" s="1622" t="s">
        <v>7393</v>
      </c>
      <c r="B280" s="1546" t="s">
        <v>4957</v>
      </c>
      <c r="C280" s="364" t="s">
        <v>133</v>
      </c>
      <c r="D280" s="1752">
        <f>+'PTAP TIJERETAS'!D187</f>
        <v>2</v>
      </c>
      <c r="E280" s="1731">
        <f>+'PTAP TIJERETAS'!E187</f>
        <v>260905</v>
      </c>
      <c r="F280" s="1531">
        <f t="shared" si="17"/>
        <v>521810</v>
      </c>
    </row>
    <row r="281" spans="1:6" ht="16.8">
      <c r="A281" s="1622" t="s">
        <v>7394</v>
      </c>
      <c r="B281" s="1546" t="s">
        <v>4958</v>
      </c>
      <c r="C281" s="364" t="s">
        <v>133</v>
      </c>
      <c r="D281" s="1752">
        <f>+'PTAP TIJERETAS'!D188</f>
        <v>2</v>
      </c>
      <c r="E281" s="1731">
        <f>+'PTAP TIJERETAS'!E188</f>
        <v>219709</v>
      </c>
      <c r="F281" s="1531">
        <f t="shared" si="17"/>
        <v>439418</v>
      </c>
    </row>
    <row r="282" spans="1:6" ht="16.8">
      <c r="A282" s="1622" t="s">
        <v>7395</v>
      </c>
      <c r="B282" s="1545" t="s">
        <v>4860</v>
      </c>
      <c r="C282" s="364" t="s">
        <v>133</v>
      </c>
      <c r="D282" s="1752">
        <f>+'PTAP TIJERETAS'!D189</f>
        <v>2</v>
      </c>
      <c r="E282" s="1731">
        <f>+'PTAP TIJERETAS'!E189</f>
        <v>278756</v>
      </c>
      <c r="F282" s="1531">
        <f t="shared" si="17"/>
        <v>557512</v>
      </c>
    </row>
    <row r="283" spans="1:6" ht="33.6">
      <c r="A283" s="1622" t="s">
        <v>7396</v>
      </c>
      <c r="B283" s="1547" t="s">
        <v>4861</v>
      </c>
      <c r="C283" s="364" t="s">
        <v>133</v>
      </c>
      <c r="D283" s="1752">
        <f>+'PTAP TIJERETAS'!D190</f>
        <v>2</v>
      </c>
      <c r="E283" s="1731">
        <f>+'PTAP TIJERETAS'!E190</f>
        <v>157916</v>
      </c>
      <c r="F283" s="1531">
        <f t="shared" si="17"/>
        <v>315832</v>
      </c>
    </row>
    <row r="284" spans="1:6" ht="16.8">
      <c r="A284" s="1622" t="s">
        <v>7397</v>
      </c>
      <c r="B284" s="1545" t="s">
        <v>4862</v>
      </c>
      <c r="C284" s="364" t="s">
        <v>133</v>
      </c>
      <c r="D284" s="1752">
        <f>+'PTAP TIJERETAS'!D191</f>
        <v>2</v>
      </c>
      <c r="E284" s="1731">
        <f>+'PTAP TIJERETAS'!E191</f>
        <v>96123</v>
      </c>
      <c r="F284" s="1531">
        <f t="shared" si="17"/>
        <v>192246</v>
      </c>
    </row>
    <row r="285" spans="1:6" ht="16.8">
      <c r="A285" s="1622" t="s">
        <v>7398</v>
      </c>
      <c r="B285" s="1546" t="s">
        <v>4959</v>
      </c>
      <c r="C285" s="364" t="s">
        <v>133</v>
      </c>
      <c r="D285" s="1752">
        <f>+'PTAP TIJERETAS'!D192</f>
        <v>1</v>
      </c>
      <c r="E285" s="1731">
        <f>+'PTAP TIJERETAS'!E192</f>
        <v>212843</v>
      </c>
      <c r="F285" s="1531">
        <f t="shared" si="17"/>
        <v>212843</v>
      </c>
    </row>
    <row r="286" spans="1:6" ht="16.8">
      <c r="A286" s="1622" t="s">
        <v>7399</v>
      </c>
      <c r="B286" s="1545" t="s">
        <v>4960</v>
      </c>
      <c r="C286" s="364" t="s">
        <v>133</v>
      </c>
      <c r="D286" s="1752">
        <f>+'PTAP TIJERETAS'!D193</f>
        <v>1</v>
      </c>
      <c r="E286" s="1731">
        <f>+'PTAP TIJERETAS'!E193</f>
        <v>241997.20343282403</v>
      </c>
      <c r="F286" s="1531">
        <f t="shared" si="17"/>
        <v>241997</v>
      </c>
    </row>
    <row r="287" spans="1:6" ht="16.8">
      <c r="A287" s="1622" t="s">
        <v>7400</v>
      </c>
      <c r="B287" s="1546" t="s">
        <v>4961</v>
      </c>
      <c r="C287" s="364" t="s">
        <v>133</v>
      </c>
      <c r="D287" s="1752">
        <f>+'PTAP TIJERETAS'!D194</f>
        <v>1</v>
      </c>
      <c r="E287" s="1731">
        <f>+'PTAP TIJERETAS'!E194</f>
        <v>151050</v>
      </c>
      <c r="F287" s="1531">
        <f t="shared" si="17"/>
        <v>151050</v>
      </c>
    </row>
    <row r="288" spans="1:6" ht="16.8">
      <c r="A288" s="1622" t="s">
        <v>7401</v>
      </c>
      <c r="B288" s="1545" t="s">
        <v>4863</v>
      </c>
      <c r="C288" s="364" t="s">
        <v>133</v>
      </c>
      <c r="D288" s="1752">
        <f>+'PTAP TIJERETAS'!D195</f>
        <v>1</v>
      </c>
      <c r="E288" s="1731">
        <f>+'PTAP TIJERETAS'!E195</f>
        <v>178514</v>
      </c>
      <c r="F288" s="1531">
        <f t="shared" si="17"/>
        <v>178514</v>
      </c>
    </row>
    <row r="289" spans="1:6" ht="16.8">
      <c r="A289" s="1622" t="s">
        <v>7402</v>
      </c>
      <c r="B289" s="1546" t="s">
        <v>4962</v>
      </c>
      <c r="C289" s="364" t="s">
        <v>133</v>
      </c>
      <c r="D289" s="1752">
        <f>+'PTAP TIJERETAS'!D196</f>
        <v>1</v>
      </c>
      <c r="E289" s="1731">
        <f>+'PTAP TIJERETAS'!E196</f>
        <v>144184</v>
      </c>
      <c r="F289" s="1531">
        <f t="shared" si="17"/>
        <v>144184</v>
      </c>
    </row>
    <row r="290" spans="1:6" ht="16.8">
      <c r="A290" s="1622" t="s">
        <v>7403</v>
      </c>
      <c r="B290" s="1546" t="s">
        <v>4864</v>
      </c>
      <c r="C290" s="364" t="s">
        <v>133</v>
      </c>
      <c r="D290" s="1752">
        <f>+'PTAP TIJERETAS'!D197</f>
        <v>1</v>
      </c>
      <c r="E290" s="1731">
        <f>+'PTAP TIJERETAS'!E197</f>
        <v>185380</v>
      </c>
      <c r="F290" s="1531">
        <f t="shared" si="17"/>
        <v>185380</v>
      </c>
    </row>
    <row r="291" spans="1:6" ht="16.8">
      <c r="A291" s="1622" t="s">
        <v>7404</v>
      </c>
      <c r="B291" s="1545" t="s">
        <v>4865</v>
      </c>
      <c r="C291" s="364" t="s">
        <v>133</v>
      </c>
      <c r="D291" s="1752">
        <f>+'PTAP TIJERETAS'!D198</f>
        <v>1</v>
      </c>
      <c r="E291" s="1731">
        <f>+'PTAP TIJERETAS'!E198</f>
        <v>68659</v>
      </c>
      <c r="F291" s="1531">
        <f t="shared" si="17"/>
        <v>68659</v>
      </c>
    </row>
    <row r="292" spans="1:6" ht="16.8">
      <c r="A292" s="1622" t="s">
        <v>7405</v>
      </c>
      <c r="B292" s="1546" t="s">
        <v>4866</v>
      </c>
      <c r="C292" s="364" t="s">
        <v>133</v>
      </c>
      <c r="D292" s="1752">
        <f>+'PTAP TIJERETAS'!D199</f>
        <v>1</v>
      </c>
      <c r="E292" s="1731">
        <f>+'PTAP TIJERETAS'!E199</f>
        <v>171648</v>
      </c>
      <c r="F292" s="1531">
        <f t="shared" si="17"/>
        <v>171648</v>
      </c>
    </row>
    <row r="293" spans="1:6" ht="16.8">
      <c r="A293" s="1622" t="s">
        <v>7406</v>
      </c>
      <c r="B293" s="1546" t="s">
        <v>4867</v>
      </c>
      <c r="C293" s="364" t="s">
        <v>133</v>
      </c>
      <c r="D293" s="1752">
        <f>+'PTAP TIJERETAS'!D200</f>
        <v>1</v>
      </c>
      <c r="E293" s="1731">
        <f>+'PTAP TIJERETAS'!E200</f>
        <v>82391</v>
      </c>
      <c r="F293" s="1531">
        <f t="shared" si="17"/>
        <v>82391</v>
      </c>
    </row>
    <row r="294" spans="1:6" ht="16.8">
      <c r="A294" s="1622" t="s">
        <v>7407</v>
      </c>
      <c r="B294" s="1545" t="s">
        <v>4868</v>
      </c>
      <c r="C294" s="364" t="s">
        <v>133</v>
      </c>
      <c r="D294" s="1752">
        <f>+'PTAP TIJERETAS'!D201</f>
        <v>1</v>
      </c>
      <c r="E294" s="1731">
        <f>+'PTAP TIJERETAS'!E201</f>
        <v>68659</v>
      </c>
      <c r="F294" s="1531">
        <f t="shared" si="17"/>
        <v>68659</v>
      </c>
    </row>
    <row r="295" spans="1:6" ht="16.8">
      <c r="A295" s="1622" t="s">
        <v>7408</v>
      </c>
      <c r="B295" s="1546" t="s">
        <v>4869</v>
      </c>
      <c r="C295" s="364" t="s">
        <v>133</v>
      </c>
      <c r="D295" s="1752">
        <f>+'PTAP TIJERETAS'!D202</f>
        <v>1</v>
      </c>
      <c r="E295" s="1731">
        <f>+'PTAP TIJERETAS'!E202</f>
        <v>350591</v>
      </c>
      <c r="F295" s="1531">
        <f t="shared" si="17"/>
        <v>350591</v>
      </c>
    </row>
    <row r="296" spans="1:6" ht="16.8">
      <c r="A296" s="1622" t="s">
        <v>7409</v>
      </c>
      <c r="B296" s="1546" t="s">
        <v>4870</v>
      </c>
      <c r="C296" s="364" t="s">
        <v>133</v>
      </c>
      <c r="D296" s="1752">
        <f>+'PTAP TIJERETAS'!D203</f>
        <v>1</v>
      </c>
      <c r="E296" s="1731">
        <f>+'PTAP TIJERETAS'!E203</f>
        <v>134572</v>
      </c>
      <c r="F296" s="1531">
        <f t="shared" si="17"/>
        <v>134572</v>
      </c>
    </row>
    <row r="297" spans="1:6" ht="16.8">
      <c r="A297" s="1622" t="s">
        <v>7410</v>
      </c>
      <c r="B297" s="1545" t="s">
        <v>4871</v>
      </c>
      <c r="C297" s="364" t="s">
        <v>133</v>
      </c>
      <c r="D297" s="1752">
        <f>+'PTAP TIJERETAS'!D204</f>
        <v>1</v>
      </c>
      <c r="E297" s="1731">
        <f>+'PTAP TIJERETAS'!E204</f>
        <v>43942</v>
      </c>
      <c r="F297" s="1531">
        <f t="shared" si="17"/>
        <v>43942</v>
      </c>
    </row>
    <row r="298" spans="1:6" ht="16.8">
      <c r="A298" s="1622" t="s">
        <v>7411</v>
      </c>
      <c r="B298" s="1546" t="s">
        <v>4963</v>
      </c>
      <c r="C298" s="364" t="s">
        <v>133</v>
      </c>
      <c r="D298" s="1752">
        <f>+'PTAP TIJERETAS'!D205</f>
        <v>1</v>
      </c>
      <c r="E298" s="1731">
        <f>+'PTAP TIJERETAS'!E205</f>
        <v>590469</v>
      </c>
      <c r="F298" s="1531">
        <f t="shared" si="17"/>
        <v>590469</v>
      </c>
    </row>
    <row r="299" spans="1:6" ht="16.8">
      <c r="A299" s="1622" t="s">
        <v>7412</v>
      </c>
      <c r="B299" s="1546" t="s">
        <v>4964</v>
      </c>
      <c r="C299" s="364" t="s">
        <v>133</v>
      </c>
      <c r="D299" s="1752">
        <f>+'PTAP TIJERETAS'!D206</f>
        <v>1</v>
      </c>
      <c r="E299" s="1731">
        <f>+'PTAP TIJERETAS'!E206</f>
        <v>384491</v>
      </c>
      <c r="F299" s="1531">
        <f t="shared" si="17"/>
        <v>384491</v>
      </c>
    </row>
    <row r="300" spans="1:6" ht="105.75" customHeight="1">
      <c r="A300" s="1622" t="s">
        <v>7413</v>
      </c>
      <c r="B300" s="1544" t="s">
        <v>5618</v>
      </c>
      <c r="C300" s="364" t="s">
        <v>133</v>
      </c>
      <c r="D300" s="1752">
        <f>+'PTAP TIJERETAS'!D207</f>
        <v>2</v>
      </c>
      <c r="E300" s="1731">
        <f>+'PTAP TIJERETAS'!E207</f>
        <v>1724930</v>
      </c>
      <c r="F300" s="1531">
        <f t="shared" si="17"/>
        <v>3449860</v>
      </c>
    </row>
    <row r="301" spans="1:6" ht="95.25" customHeight="1">
      <c r="A301" s="1622" t="s">
        <v>7414</v>
      </c>
      <c r="B301" s="1544" t="s">
        <v>5654</v>
      </c>
      <c r="C301" s="364" t="s">
        <v>133</v>
      </c>
      <c r="D301" s="1752">
        <f>+'PTAP TIJERETAS'!D208</f>
        <v>2</v>
      </c>
      <c r="E301" s="1731">
        <f>+'PTAP TIJERETAS'!E208</f>
        <v>2380889</v>
      </c>
      <c r="F301" s="1531">
        <f t="shared" si="17"/>
        <v>4761778</v>
      </c>
    </row>
    <row r="302" spans="1:6" ht="16.8">
      <c r="A302" s="1622" t="s">
        <v>7415</v>
      </c>
      <c r="B302" s="1544" t="s">
        <v>4965</v>
      </c>
      <c r="C302" s="364" t="s">
        <v>133</v>
      </c>
      <c r="D302" s="1752">
        <f>+'PTAP TIJERETAS'!D209</f>
        <v>2</v>
      </c>
      <c r="E302" s="1731">
        <f>+'PTAP TIJERETAS'!E209</f>
        <v>144184</v>
      </c>
      <c r="F302" s="1531">
        <f t="shared" si="17"/>
        <v>288368</v>
      </c>
    </row>
    <row r="303" spans="1:6" ht="16.8">
      <c r="A303" s="1622" t="s">
        <v>7416</v>
      </c>
      <c r="B303" s="1544" t="s">
        <v>4966</v>
      </c>
      <c r="C303" s="364" t="s">
        <v>133</v>
      </c>
      <c r="D303" s="1752">
        <f>+'PTAP TIJERETAS'!D210</f>
        <v>2</v>
      </c>
      <c r="E303" s="1731">
        <f>+'PTAP TIJERETAS'!E210</f>
        <v>48061</v>
      </c>
      <c r="F303" s="1531">
        <f t="shared" si="17"/>
        <v>96122</v>
      </c>
    </row>
    <row r="304" spans="1:6" ht="33.6">
      <c r="A304" s="1622" t="s">
        <v>7417</v>
      </c>
      <c r="B304" s="1544" t="s">
        <v>4967</v>
      </c>
      <c r="C304" s="364" t="s">
        <v>133</v>
      </c>
      <c r="D304" s="1752">
        <f>+'PTAP TIJERETAS'!D211</f>
        <v>2</v>
      </c>
      <c r="E304" s="1731">
        <f>+'PTAP TIJERETAS'!E211</f>
        <v>126333</v>
      </c>
      <c r="F304" s="1531">
        <f t="shared" si="17"/>
        <v>252666</v>
      </c>
    </row>
    <row r="305" spans="1:6" ht="16.8">
      <c r="A305" s="1622" t="s">
        <v>7418</v>
      </c>
      <c r="B305" s="1544" t="s">
        <v>4895</v>
      </c>
      <c r="C305" s="364" t="s">
        <v>133</v>
      </c>
      <c r="D305" s="1752">
        <f>+'PTAP TIJERETAS'!D212</f>
        <v>2</v>
      </c>
      <c r="E305" s="1731">
        <f>+'PTAP TIJERETAS'!E212</f>
        <v>130452</v>
      </c>
      <c r="F305" s="1531">
        <f t="shared" si="17"/>
        <v>260904</v>
      </c>
    </row>
    <row r="306" spans="1:6" ht="33.6">
      <c r="A306" s="1622" t="s">
        <v>7419</v>
      </c>
      <c r="B306" s="1544" t="s">
        <v>4896</v>
      </c>
      <c r="C306" s="364" t="s">
        <v>133</v>
      </c>
      <c r="D306" s="1752">
        <f>+'PTAP TIJERETAS'!D213</f>
        <v>2</v>
      </c>
      <c r="E306" s="1731">
        <f>+'PTAP TIJERETAS'!E213</f>
        <v>82391</v>
      </c>
      <c r="F306" s="1531">
        <f t="shared" si="17"/>
        <v>164782</v>
      </c>
    </row>
    <row r="307" spans="1:6" ht="33.6">
      <c r="A307" s="1622" t="s">
        <v>7420</v>
      </c>
      <c r="B307" s="1544" t="s">
        <v>4897</v>
      </c>
      <c r="C307" s="364" t="s">
        <v>133</v>
      </c>
      <c r="D307" s="1752">
        <f>+'PTAP TIJERETAS'!D214</f>
        <v>2</v>
      </c>
      <c r="E307" s="1731">
        <f>+'PTAP TIJERETAS'!E214</f>
        <v>59047</v>
      </c>
      <c r="F307" s="1531">
        <f t="shared" si="17"/>
        <v>118094</v>
      </c>
    </row>
    <row r="308" spans="1:6" ht="16.8">
      <c r="A308" s="1622" t="s">
        <v>7421</v>
      </c>
      <c r="B308" s="1544" t="s">
        <v>4968</v>
      </c>
      <c r="C308" s="364" t="s">
        <v>133</v>
      </c>
      <c r="D308" s="1752">
        <f>+'PTAP TIJERETAS'!D215</f>
        <v>2</v>
      </c>
      <c r="E308" s="1731">
        <f>+'PTAP TIJERETAS'!E215</f>
        <v>164782</v>
      </c>
      <c r="F308" s="1531">
        <f t="shared" si="17"/>
        <v>329564</v>
      </c>
    </row>
    <row r="309" spans="1:6" ht="16.8">
      <c r="A309" s="1622" t="s">
        <v>7422</v>
      </c>
      <c r="B309" s="1544" t="s">
        <v>4899</v>
      </c>
      <c r="C309" s="364" t="s">
        <v>133</v>
      </c>
      <c r="D309" s="1752">
        <f>+'PTAP TIJERETAS'!D216</f>
        <v>1</v>
      </c>
      <c r="E309" s="1731">
        <f>+'PTAP TIJERETAS'!E216</f>
        <v>82391</v>
      </c>
      <c r="F309" s="1531">
        <f t="shared" si="17"/>
        <v>82391</v>
      </c>
    </row>
    <row r="310" spans="1:6" ht="16.8">
      <c r="A310" s="1622" t="s">
        <v>7423</v>
      </c>
      <c r="B310" s="1544" t="s">
        <v>4969</v>
      </c>
      <c r="C310" s="364" t="s">
        <v>133</v>
      </c>
      <c r="D310" s="1752">
        <f>+'PTAP TIJERETAS'!D217</f>
        <v>1</v>
      </c>
      <c r="E310" s="1731">
        <f>+'PTAP TIJERETAS'!E217</f>
        <v>109855</v>
      </c>
      <c r="F310" s="1531">
        <f t="shared" si="17"/>
        <v>109855</v>
      </c>
    </row>
    <row r="311" spans="1:6" ht="16.8">
      <c r="A311" s="1622" t="s">
        <v>7424</v>
      </c>
      <c r="B311" s="1548" t="s">
        <v>4900</v>
      </c>
      <c r="C311" s="364" t="s">
        <v>133</v>
      </c>
      <c r="D311" s="1752">
        <f>+'PTAP TIJERETAS'!D218</f>
        <v>1</v>
      </c>
      <c r="E311" s="1731">
        <f>+'PTAP TIJERETAS'!E218</f>
        <v>102989</v>
      </c>
      <c r="F311" s="1531">
        <f t="shared" si="17"/>
        <v>102989</v>
      </c>
    </row>
    <row r="312" spans="1:6" ht="33.6">
      <c r="A312" s="1622" t="s">
        <v>7425</v>
      </c>
      <c r="B312" s="1549" t="s">
        <v>4970</v>
      </c>
      <c r="C312" s="364" t="s">
        <v>133</v>
      </c>
      <c r="D312" s="1752">
        <f>+'PTAP TIJERETAS'!D219</f>
        <v>1</v>
      </c>
      <c r="E312" s="1731">
        <f>+'PTAP TIJERETAS'!E219</f>
        <v>122213</v>
      </c>
      <c r="F312" s="1531">
        <f t="shared" si="17"/>
        <v>122213</v>
      </c>
    </row>
    <row r="313" spans="1:6" ht="16.8">
      <c r="A313" s="1622" t="s">
        <v>7426</v>
      </c>
      <c r="B313" s="1549" t="s">
        <v>4901</v>
      </c>
      <c r="C313" s="364" t="s">
        <v>133</v>
      </c>
      <c r="D313" s="1752">
        <f>+'PTAP TIJERETAS'!D220</f>
        <v>2</v>
      </c>
      <c r="E313" s="1731">
        <f>+'PTAP TIJERETAS'!E220</f>
        <v>593215</v>
      </c>
      <c r="F313" s="1531">
        <f t="shared" si="17"/>
        <v>1186430</v>
      </c>
    </row>
    <row r="314" spans="1:6" ht="16.8">
      <c r="A314" s="1622" t="s">
        <v>7427</v>
      </c>
      <c r="B314" s="1549" t="s">
        <v>4902</v>
      </c>
      <c r="C314" s="364" t="s">
        <v>133</v>
      </c>
      <c r="D314" s="1752">
        <f>+'PTAP TIJERETAS'!D221</f>
        <v>1</v>
      </c>
      <c r="E314" s="1731">
        <f>+'PTAP TIJERETAS'!E221</f>
        <v>54927</v>
      </c>
      <c r="F314" s="1531">
        <f t="shared" si="17"/>
        <v>54927</v>
      </c>
    </row>
    <row r="315" spans="1:6" ht="16.8">
      <c r="A315" s="1622" t="s">
        <v>7428</v>
      </c>
      <c r="B315" s="1549" t="s">
        <v>4903</v>
      </c>
      <c r="C315" s="364" t="s">
        <v>133</v>
      </c>
      <c r="D315" s="1752">
        <f>+'PTAP TIJERETAS'!D222</f>
        <v>1</v>
      </c>
      <c r="E315" s="1731">
        <f>+'PTAP TIJERETAS'!E222</f>
        <v>97496</v>
      </c>
      <c r="F315" s="1531">
        <f t="shared" si="17"/>
        <v>97496</v>
      </c>
    </row>
    <row r="316" spans="1:6" ht="16.8">
      <c r="A316" s="1622" t="s">
        <v>7429</v>
      </c>
      <c r="B316" s="1549" t="s">
        <v>4904</v>
      </c>
      <c r="C316" s="364" t="s">
        <v>133</v>
      </c>
      <c r="D316" s="1752">
        <f>+'PTAP TIJERETAS'!D223</f>
        <v>1</v>
      </c>
      <c r="E316" s="1731">
        <f>+'PTAP TIJERETAS'!E223</f>
        <v>107108</v>
      </c>
      <c r="F316" s="1531">
        <f t="shared" si="17"/>
        <v>107108</v>
      </c>
    </row>
    <row r="317" spans="1:6" ht="16.8">
      <c r="A317" s="1622" t="s">
        <v>7430</v>
      </c>
      <c r="B317" s="1549" t="s">
        <v>4905</v>
      </c>
      <c r="C317" s="364" t="s">
        <v>133</v>
      </c>
      <c r="D317" s="1752">
        <f>+'PTAP TIJERETAS'!D224</f>
        <v>1</v>
      </c>
      <c r="E317" s="1731">
        <f>+'PTAP TIJERETAS'!E224</f>
        <v>125646</v>
      </c>
      <c r="F317" s="1531">
        <f t="shared" si="17"/>
        <v>125646</v>
      </c>
    </row>
    <row r="318" spans="1:6" ht="16.8">
      <c r="A318" s="1622" t="s">
        <v>7431</v>
      </c>
      <c r="B318" s="1549" t="s">
        <v>5733</v>
      </c>
      <c r="C318" s="364" t="s">
        <v>45</v>
      </c>
      <c r="D318" s="1752">
        <f>+'PTAP TIJERETAS'!D225</f>
        <v>1</v>
      </c>
      <c r="E318" s="1731">
        <f>+'PTAP TIJERETAS'!E225</f>
        <v>718296</v>
      </c>
      <c r="F318" s="1531">
        <f t="shared" si="17"/>
        <v>718296</v>
      </c>
    </row>
    <row r="319" spans="1:6" ht="16.8">
      <c r="A319" s="1622" t="s">
        <v>7432</v>
      </c>
      <c r="B319" s="1549" t="s">
        <v>4922</v>
      </c>
      <c r="C319" s="364" t="s">
        <v>133</v>
      </c>
      <c r="D319" s="1752">
        <f>+'PTAP TIJERETAS'!D226</f>
        <v>1</v>
      </c>
      <c r="E319" s="1731">
        <f>+'PTAP TIJERETAS'!E226</f>
        <v>342246</v>
      </c>
      <c r="F319" s="1531">
        <f t="shared" si="17"/>
        <v>342246</v>
      </c>
    </row>
    <row r="320" spans="1:6" ht="16.8">
      <c r="A320" s="1622" t="s">
        <v>7433</v>
      </c>
      <c r="B320" s="1549" t="s">
        <v>4906</v>
      </c>
      <c r="C320" s="364" t="s">
        <v>133</v>
      </c>
      <c r="D320" s="1752">
        <f>+'PTAP TIJERETAS'!D227</f>
        <v>1</v>
      </c>
      <c r="E320" s="1731">
        <f>+'PTAP TIJERETAS'!E227</f>
        <v>138692</v>
      </c>
      <c r="F320" s="1531">
        <f t="shared" si="17"/>
        <v>138692</v>
      </c>
    </row>
    <row r="321" spans="1:6" ht="16.8">
      <c r="A321" s="1622" t="s">
        <v>7434</v>
      </c>
      <c r="B321" s="1549" t="s">
        <v>4907</v>
      </c>
      <c r="C321" s="364" t="s">
        <v>133</v>
      </c>
      <c r="D321" s="1752">
        <f>+'PTAP TIJERETAS'!D228</f>
        <v>1</v>
      </c>
      <c r="E321" s="1731">
        <f>+'PTAP TIJERETAS'!E228</f>
        <v>45315</v>
      </c>
      <c r="F321" s="1531">
        <f t="shared" si="17"/>
        <v>45315</v>
      </c>
    </row>
    <row r="322" spans="1:6" ht="16.8">
      <c r="A322" s="1622" t="s">
        <v>7435</v>
      </c>
      <c r="B322" s="1549" t="s">
        <v>4921</v>
      </c>
      <c r="C322" s="364" t="s">
        <v>133</v>
      </c>
      <c r="D322" s="1752">
        <f>+'PTAP TIJERETAS'!D229</f>
        <v>1</v>
      </c>
      <c r="E322" s="1731">
        <f>+'PTAP TIJERETAS'!E229</f>
        <v>314782</v>
      </c>
      <c r="F322" s="1531">
        <f t="shared" si="17"/>
        <v>314782</v>
      </c>
    </row>
    <row r="323" spans="1:6" ht="16.8">
      <c r="A323" s="1622" t="s">
        <v>7436</v>
      </c>
      <c r="B323" s="1549" t="s">
        <v>4908</v>
      </c>
      <c r="C323" s="364" t="s">
        <v>133</v>
      </c>
      <c r="D323" s="1752">
        <f>+'PTAP TIJERETAS'!D230</f>
        <v>2</v>
      </c>
      <c r="E323" s="1731">
        <f>+'PTAP TIJERETAS'!E230</f>
        <v>28837</v>
      </c>
      <c r="F323" s="1531">
        <f t="shared" si="17"/>
        <v>57674</v>
      </c>
    </row>
    <row r="324" spans="1:6" ht="16.8">
      <c r="A324" s="1622" t="s">
        <v>7437</v>
      </c>
      <c r="B324" s="1549" t="s">
        <v>4920</v>
      </c>
      <c r="C324" s="364" t="s">
        <v>133</v>
      </c>
      <c r="D324" s="1752">
        <f>+'PTAP TIJERETAS'!D231</f>
        <v>1</v>
      </c>
      <c r="E324" s="1731">
        <f>+'PTAP TIJERETAS'!E231</f>
        <v>425687</v>
      </c>
      <c r="F324" s="1531">
        <f t="shared" si="17"/>
        <v>425687</v>
      </c>
    </row>
    <row r="325" spans="1:6" ht="16.8">
      <c r="A325" s="1622" t="s">
        <v>7438</v>
      </c>
      <c r="B325" s="1549" t="s">
        <v>4909</v>
      </c>
      <c r="C325" s="364" t="s">
        <v>133</v>
      </c>
      <c r="D325" s="1752">
        <f>+'PTAP TIJERETAS'!D232</f>
        <v>2</v>
      </c>
      <c r="E325" s="1731">
        <f>+'PTAP TIJERETAS'!E232</f>
        <v>76898</v>
      </c>
      <c r="F325" s="1531">
        <f t="shared" si="17"/>
        <v>153796</v>
      </c>
    </row>
    <row r="326" spans="1:6" ht="16.8">
      <c r="A326" s="1622" t="s">
        <v>7439</v>
      </c>
      <c r="B326" s="1549" t="s">
        <v>4910</v>
      </c>
      <c r="C326" s="364" t="s">
        <v>133</v>
      </c>
      <c r="D326" s="1752">
        <f>+'PTAP TIJERETAS'!D233</f>
        <v>6</v>
      </c>
      <c r="E326" s="1731">
        <f>+'PTAP TIJERETAS'!E233</f>
        <v>86511</v>
      </c>
      <c r="F326" s="1531">
        <f t="shared" si="17"/>
        <v>519066</v>
      </c>
    </row>
    <row r="327" spans="1:6" ht="16.8">
      <c r="A327" s="1622" t="s">
        <v>7440</v>
      </c>
      <c r="B327" s="1549" t="s">
        <v>4911</v>
      </c>
      <c r="C327" s="364" t="s">
        <v>133</v>
      </c>
      <c r="D327" s="1752">
        <f>+'PTAP TIJERETAS'!D234</f>
        <v>2</v>
      </c>
      <c r="E327" s="1731">
        <f>+'PTAP TIJERETAS'!E234</f>
        <v>65913</v>
      </c>
      <c r="F327" s="1531">
        <f t="shared" si="17"/>
        <v>131826</v>
      </c>
    </row>
    <row r="328" spans="1:6" ht="16.8">
      <c r="A328" s="1622" t="s">
        <v>7441</v>
      </c>
      <c r="B328" s="1549" t="s">
        <v>4912</v>
      </c>
      <c r="C328" s="364" t="s">
        <v>133</v>
      </c>
      <c r="D328" s="1752">
        <f>+'PTAP TIJERETAS'!D235</f>
        <v>8</v>
      </c>
      <c r="E328" s="1731">
        <f>+'PTAP TIJERETAS'!E235</f>
        <v>32956</v>
      </c>
      <c r="F328" s="1531">
        <f t="shared" si="17"/>
        <v>263648</v>
      </c>
    </row>
    <row r="329" spans="1:6" ht="16.8">
      <c r="A329" s="1622" t="s">
        <v>7442</v>
      </c>
      <c r="B329" s="1549" t="s">
        <v>4913</v>
      </c>
      <c r="C329" s="364" t="s">
        <v>133</v>
      </c>
      <c r="D329" s="1752">
        <f>+'PTAP TIJERETAS'!D236</f>
        <v>8</v>
      </c>
      <c r="E329" s="1731">
        <f>+'PTAP TIJERETAS'!E236</f>
        <v>5493</v>
      </c>
      <c r="F329" s="1531">
        <f t="shared" si="17"/>
        <v>43944</v>
      </c>
    </row>
    <row r="330" spans="1:6" ht="16.8">
      <c r="A330" s="1622" t="s">
        <v>7443</v>
      </c>
      <c r="B330" s="1549" t="s">
        <v>4914</v>
      </c>
      <c r="C330" s="364" t="s">
        <v>133</v>
      </c>
      <c r="D330" s="1752">
        <f>+'PTAP TIJERETAS'!D237</f>
        <v>24</v>
      </c>
      <c r="E330" s="1731">
        <f>+'PTAP TIJERETAS'!E237</f>
        <v>4120</v>
      </c>
      <c r="F330" s="1531">
        <f t="shared" si="17"/>
        <v>98880</v>
      </c>
    </row>
    <row r="331" spans="1:6" ht="16.8">
      <c r="A331" s="1622" t="s">
        <v>7444</v>
      </c>
      <c r="B331" s="1549" t="s">
        <v>4915</v>
      </c>
      <c r="C331" s="364" t="s">
        <v>133</v>
      </c>
      <c r="D331" s="1752">
        <f>+'PTAP TIJERETAS'!D238</f>
        <v>8</v>
      </c>
      <c r="E331" s="1731">
        <f>+'PTAP TIJERETAS'!E238</f>
        <v>3433</v>
      </c>
      <c r="F331" s="1531">
        <f t="shared" si="17"/>
        <v>27464</v>
      </c>
    </row>
    <row r="332" spans="1:6" ht="16.8">
      <c r="A332" s="1622" t="s">
        <v>7445</v>
      </c>
      <c r="B332" s="1549" t="s">
        <v>4916</v>
      </c>
      <c r="C332" s="364" t="s">
        <v>133</v>
      </c>
      <c r="D332" s="1752">
        <f>+'PTAP TIJERETAS'!D239</f>
        <v>8</v>
      </c>
      <c r="E332" s="1731">
        <f>+'PTAP TIJERETAS'!E239</f>
        <v>23619</v>
      </c>
      <c r="F332" s="1531">
        <f t="shared" si="17"/>
        <v>188952</v>
      </c>
    </row>
    <row r="333" spans="1:6" ht="16.8">
      <c r="A333" s="1622" t="s">
        <v>7446</v>
      </c>
      <c r="B333" s="1549" t="s">
        <v>4973</v>
      </c>
      <c r="C333" s="364" t="s">
        <v>133</v>
      </c>
      <c r="D333" s="1752">
        <f>+'PTAP TIJERETAS'!D240</f>
        <v>2</v>
      </c>
      <c r="E333" s="1731">
        <f>+'PTAP TIJERETAS'!E240</f>
        <v>181260</v>
      </c>
      <c r="F333" s="1531">
        <f t="shared" si="17"/>
        <v>362520</v>
      </c>
    </row>
    <row r="334" spans="1:6" ht="16.8">
      <c r="A334" s="1622" t="s">
        <v>7447</v>
      </c>
      <c r="B334" s="1549" t="s">
        <v>4917</v>
      </c>
      <c r="C334" s="364" t="s">
        <v>133</v>
      </c>
      <c r="D334" s="1752">
        <f>+'PTAP TIJERETAS'!D241</f>
        <v>10</v>
      </c>
      <c r="E334" s="1731">
        <f>+'PTAP TIJERETAS'!E241</f>
        <v>10299</v>
      </c>
      <c r="F334" s="1531">
        <f t="shared" si="17"/>
        <v>102990</v>
      </c>
    </row>
    <row r="335" spans="1:6" ht="16.8">
      <c r="A335" s="1622" t="s">
        <v>7448</v>
      </c>
      <c r="B335" s="455" t="s">
        <v>4972</v>
      </c>
      <c r="C335" s="364" t="s">
        <v>133</v>
      </c>
      <c r="D335" s="1752">
        <f>+'PTAP TIJERETAS'!D242</f>
        <v>1</v>
      </c>
      <c r="E335" s="1731">
        <f>+'PTAP TIJERETAS'!E242</f>
        <v>230695</v>
      </c>
      <c r="F335" s="1531">
        <f t="shared" si="17"/>
        <v>230695</v>
      </c>
    </row>
    <row r="336" spans="1:6" ht="16.8">
      <c r="A336" s="1622" t="s">
        <v>7449</v>
      </c>
      <c r="B336" s="455" t="s">
        <v>4971</v>
      </c>
      <c r="C336" s="364" t="s">
        <v>133</v>
      </c>
      <c r="D336" s="1752">
        <f>+'PTAP TIJERETAS'!D243</f>
        <v>2</v>
      </c>
      <c r="E336" s="1731">
        <f>+'PTAP TIJERETAS'!E243</f>
        <v>199112</v>
      </c>
      <c r="F336" s="1531">
        <f t="shared" si="17"/>
        <v>398224</v>
      </c>
    </row>
    <row r="337" spans="1:13" s="492" customFormat="1" ht="18">
      <c r="A337" s="1003">
        <v>38</v>
      </c>
      <c r="B337" s="1745" t="s">
        <v>5712</v>
      </c>
      <c r="C337" s="1746"/>
      <c r="D337" s="1746"/>
      <c r="E337" s="1746"/>
      <c r="F337" s="2367">
        <f>SUM(F338:F342)</f>
        <v>6177101</v>
      </c>
      <c r="G337" s="711"/>
      <c r="H337" s="61"/>
      <c r="K337" s="1495"/>
      <c r="L337" s="1495"/>
      <c r="M337" s="1495"/>
    </row>
    <row r="338" spans="1:13" s="492" customFormat="1" ht="18">
      <c r="A338" s="1748"/>
      <c r="B338" s="1696" t="s">
        <v>5713</v>
      </c>
      <c r="C338" s="471"/>
      <c r="D338" s="1752"/>
      <c r="E338" s="260"/>
      <c r="F338" s="1531"/>
      <c r="G338" s="711"/>
      <c r="H338" s="61"/>
      <c r="K338" s="1495"/>
      <c r="L338" s="1495"/>
      <c r="M338" s="1495"/>
    </row>
    <row r="339" spans="1:13" s="492" customFormat="1" ht="134.4">
      <c r="A339" s="1622" t="s">
        <v>7450</v>
      </c>
      <c r="B339" s="1544" t="s">
        <v>5714</v>
      </c>
      <c r="C339" s="471" t="s">
        <v>133</v>
      </c>
      <c r="D339" s="1749">
        <v>1</v>
      </c>
      <c r="E339" s="260">
        <f>+'PTAP TIJERETAS'!E246</f>
        <v>1021085.2465519999</v>
      </c>
      <c r="F339" s="1531">
        <f t="shared" ref="F339" si="18">ROUND(D339*E339,0)</f>
        <v>1021085</v>
      </c>
      <c r="G339" s="711"/>
      <c r="H339" s="61"/>
      <c r="K339" s="1495"/>
      <c r="L339" s="1495"/>
      <c r="M339" s="1495"/>
    </row>
    <row r="340" spans="1:13" s="492" customFormat="1" ht="33.6">
      <c r="A340" s="1748"/>
      <c r="B340" s="1697" t="s">
        <v>5715</v>
      </c>
      <c r="C340" s="471"/>
      <c r="D340" s="1749"/>
      <c r="E340" s="260"/>
      <c r="F340" s="1531"/>
      <c r="G340" s="711"/>
      <c r="H340" s="61"/>
      <c r="K340" s="1495"/>
      <c r="L340" s="1495"/>
      <c r="M340" s="1495"/>
    </row>
    <row r="341" spans="1:13" s="492" customFormat="1" ht="100.8">
      <c r="A341" s="1622" t="s">
        <v>7451</v>
      </c>
      <c r="B341" s="1544" t="s">
        <v>5239</v>
      </c>
      <c r="C341" s="471" t="s">
        <v>45</v>
      </c>
      <c r="D341" s="1749">
        <v>140</v>
      </c>
      <c r="E341" s="260">
        <f>+'PTAP TIJERETAS'!E248</f>
        <v>24552.459021999999</v>
      </c>
      <c r="F341" s="1531">
        <f t="shared" ref="F341:F342" si="19">ROUND(D341*E341,0)</f>
        <v>3437344</v>
      </c>
      <c r="G341" s="711"/>
      <c r="H341" s="61"/>
      <c r="K341" s="1495"/>
      <c r="L341" s="1495"/>
      <c r="M341" s="1495"/>
    </row>
    <row r="342" spans="1:13" s="492" customFormat="1" ht="101.4" thickBot="1">
      <c r="A342" s="1622" t="s">
        <v>7452</v>
      </c>
      <c r="B342" s="1544" t="s">
        <v>5118</v>
      </c>
      <c r="C342" s="471" t="s">
        <v>45</v>
      </c>
      <c r="D342" s="1749">
        <v>70</v>
      </c>
      <c r="E342" s="260">
        <f>+'PTAP TIJERETAS'!E249</f>
        <v>24552.459021999999</v>
      </c>
      <c r="F342" s="1531">
        <f t="shared" si="19"/>
        <v>1718672</v>
      </c>
      <c r="G342" s="711"/>
      <c r="H342" s="61"/>
      <c r="K342" s="1495"/>
      <c r="L342" s="1495"/>
      <c r="M342" s="1495"/>
    </row>
    <row r="343" spans="1:13" ht="16.8">
      <c r="A343" s="3334" t="s">
        <v>5748</v>
      </c>
      <c r="B343" s="3335"/>
      <c r="C343" s="3335"/>
      <c r="D343" s="3335"/>
      <c r="E343" s="3335"/>
      <c r="F343" s="3336"/>
    </row>
    <row r="344" spans="1:13" ht="33.6">
      <c r="A344" s="1590" t="s">
        <v>22</v>
      </c>
      <c r="B344" s="1591" t="s">
        <v>23</v>
      </c>
      <c r="C344" s="1591" t="s">
        <v>150</v>
      </c>
      <c r="D344" s="1592" t="s">
        <v>539</v>
      </c>
      <c r="E344" s="1593" t="s">
        <v>151</v>
      </c>
      <c r="F344" s="1593" t="s">
        <v>540</v>
      </c>
    </row>
    <row r="345" spans="1:13" ht="18">
      <c r="A345" s="3352" t="s">
        <v>5619</v>
      </c>
      <c r="B345" s="3352"/>
      <c r="C345" s="3352"/>
      <c r="D345" s="3352"/>
      <c r="E345" s="3352"/>
      <c r="F345" s="3353"/>
    </row>
    <row r="346" spans="1:13" ht="16.8">
      <c r="B346" s="1654"/>
      <c r="C346" s="1654"/>
      <c r="E346" s="1655"/>
      <c r="F346" s="1655"/>
    </row>
    <row r="347" spans="1:13" ht="16.8">
      <c r="A347" s="1718"/>
      <c r="B347" s="1656" t="s">
        <v>1082</v>
      </c>
      <c r="C347" s="1738"/>
      <c r="D347" s="1657"/>
      <c r="E347" s="1755"/>
      <c r="F347" s="1658"/>
      <c r="G347" s="2220">
        <f>+SUM(F348+F355+F357+F360+F362+F364+F366+F368+F370+F372+F376+F384+F388+F390+F392)</f>
        <v>39097805</v>
      </c>
      <c r="H347" s="1717" t="s">
        <v>8225</v>
      </c>
    </row>
    <row r="348" spans="1:13" ht="16.8">
      <c r="A348" s="1594">
        <v>39</v>
      </c>
      <c r="B348" s="1595" t="s">
        <v>5190</v>
      </c>
      <c r="C348" s="1594"/>
      <c r="D348" s="1596"/>
      <c r="E348" s="1597"/>
      <c r="F348" s="2223">
        <f>SUM(F349:F354)</f>
        <v>6409110</v>
      </c>
      <c r="G348" s="2356">
        <f>+'PTAP TIJERETAS'!F390</f>
        <v>39097805</v>
      </c>
    </row>
    <row r="349" spans="1:13" ht="33.6">
      <c r="A349" s="1622" t="s">
        <v>7453</v>
      </c>
      <c r="B349" s="1618" t="s">
        <v>5222</v>
      </c>
      <c r="C349" s="364" t="s">
        <v>5191</v>
      </c>
      <c r="D349" s="1619">
        <v>1</v>
      </c>
      <c r="E349" s="1659">
        <f>+'PTAP TIJERETAS'!E343</f>
        <v>281732.37706600002</v>
      </c>
      <c r="F349" s="2370">
        <f>ROUND(E349*D349,0)</f>
        <v>281732</v>
      </c>
    </row>
    <row r="350" spans="1:13" ht="33.6">
      <c r="A350" s="1622" t="s">
        <v>7454</v>
      </c>
      <c r="B350" s="1618" t="s">
        <v>5223</v>
      </c>
      <c r="C350" s="364" t="s">
        <v>5191</v>
      </c>
      <c r="D350" s="1619">
        <v>2</v>
      </c>
      <c r="E350" s="1659">
        <f>+'PTAP TIJERETAS'!E344</f>
        <v>334949.64875999995</v>
      </c>
      <c r="F350" s="2370">
        <f t="shared" ref="F350:F354" si="20">ROUND(E350*D350,0)</f>
        <v>669899</v>
      </c>
    </row>
    <row r="351" spans="1:13" ht="16.8">
      <c r="A351" s="1622" t="s">
        <v>7455</v>
      </c>
      <c r="B351" s="1618" t="s">
        <v>5224</v>
      </c>
      <c r="C351" s="364" t="s">
        <v>4693</v>
      </c>
      <c r="D351" s="1619">
        <v>30</v>
      </c>
      <c r="E351" s="1659">
        <f>+'PTAP TIJERETAS'!E345</f>
        <v>5536.6188533000031</v>
      </c>
      <c r="F351" s="2370">
        <f t="shared" si="20"/>
        <v>166099</v>
      </c>
    </row>
    <row r="352" spans="1:13" ht="16.8">
      <c r="A352" s="1622" t="s">
        <v>7456</v>
      </c>
      <c r="B352" s="1618" t="s">
        <v>5225</v>
      </c>
      <c r="C352" s="364" t="s">
        <v>5191</v>
      </c>
      <c r="D352" s="1619">
        <v>1</v>
      </c>
      <c r="E352" s="1659">
        <f>+'PTAP TIJERETAS'!E346</f>
        <v>291830.94266499998</v>
      </c>
      <c r="F352" s="2370">
        <f t="shared" si="20"/>
        <v>291831</v>
      </c>
    </row>
    <row r="353" spans="1:13" ht="33.6">
      <c r="A353" s="1622" t="s">
        <v>7457</v>
      </c>
      <c r="B353" s="1618" t="s">
        <v>5226</v>
      </c>
      <c r="C353" s="364" t="s">
        <v>5191</v>
      </c>
      <c r="D353" s="1619">
        <v>1</v>
      </c>
      <c r="E353" s="1659">
        <f>+'PTAP TIJERETAS'!E347</f>
        <v>956549.18044000003</v>
      </c>
      <c r="F353" s="2370">
        <f t="shared" si="20"/>
        <v>956549</v>
      </c>
    </row>
    <row r="354" spans="1:13" s="1717" customFormat="1" ht="16.8">
      <c r="A354" s="1622" t="s">
        <v>7458</v>
      </c>
      <c r="B354" s="1618" t="s">
        <v>5227</v>
      </c>
      <c r="C354" s="364" t="s">
        <v>5192</v>
      </c>
      <c r="D354" s="1619">
        <v>1</v>
      </c>
      <c r="E354" s="2981">
        <f>+'PTAP TIJERETAS'!E348</f>
        <v>4043000</v>
      </c>
      <c r="F354" s="2674">
        <f t="shared" si="20"/>
        <v>4043000</v>
      </c>
      <c r="G354" s="2354"/>
      <c r="K354" s="1733"/>
      <c r="L354" s="1733"/>
      <c r="M354" s="1733"/>
    </row>
    <row r="355" spans="1:13" ht="16.8">
      <c r="A355" s="1594">
        <v>40</v>
      </c>
      <c r="B355" s="1660" t="s">
        <v>5526</v>
      </c>
      <c r="C355" s="1594"/>
      <c r="D355" s="1596"/>
      <c r="E355" s="1597"/>
      <c r="F355" s="2223">
        <f>SUM(F356)</f>
        <v>2471730</v>
      </c>
    </row>
    <row r="356" spans="1:13" ht="16.8">
      <c r="A356" s="1622" t="s">
        <v>7459</v>
      </c>
      <c r="B356" s="1618" t="s">
        <v>5228</v>
      </c>
      <c r="C356" s="1599" t="s">
        <v>5191</v>
      </c>
      <c r="D356" s="1471">
        <v>9</v>
      </c>
      <c r="E356" s="1659">
        <f>+'PTAP TIJERETAS'!E350</f>
        <v>274636.7214864</v>
      </c>
      <c r="F356" s="2370">
        <f>ROUND(E356*D356,0)</f>
        <v>2471730</v>
      </c>
    </row>
    <row r="357" spans="1:13" ht="16.8">
      <c r="A357" s="1594">
        <v>41</v>
      </c>
      <c r="B357" s="1595" t="s">
        <v>5527</v>
      </c>
      <c r="C357" s="1594"/>
      <c r="D357" s="1596"/>
      <c r="E357" s="1597"/>
      <c r="F357" s="2224">
        <f>SUM(F358:F359)</f>
        <v>1168995</v>
      </c>
    </row>
    <row r="358" spans="1:13" ht="34.5" customHeight="1">
      <c r="A358" s="1622" t="s">
        <v>7460</v>
      </c>
      <c r="B358" s="1618" t="s">
        <v>5229</v>
      </c>
      <c r="C358" s="364" t="s">
        <v>5191</v>
      </c>
      <c r="D358" s="1619">
        <v>1</v>
      </c>
      <c r="E358" s="1659">
        <f>+'PTAP TIJERETAS'!E352</f>
        <v>619934.836259</v>
      </c>
      <c r="F358" s="2370">
        <f>ROUND(E358*D358,0)</f>
        <v>619935</v>
      </c>
    </row>
    <row r="359" spans="1:13" ht="50.4">
      <c r="A359" s="1622" t="s">
        <v>7461</v>
      </c>
      <c r="B359" s="1618" t="s">
        <v>5230</v>
      </c>
      <c r="C359" s="364" t="s">
        <v>5191</v>
      </c>
      <c r="D359" s="1619">
        <v>1</v>
      </c>
      <c r="E359" s="1659">
        <f>+'PTAP TIJERETAS'!E353</f>
        <v>549059.836259</v>
      </c>
      <c r="F359" s="2370">
        <f>ROUND(E359*D359,0)</f>
        <v>549060</v>
      </c>
    </row>
    <row r="360" spans="1:13" ht="33.6">
      <c r="A360" s="1594">
        <v>42</v>
      </c>
      <c r="B360" s="1595" t="s">
        <v>5528</v>
      </c>
      <c r="C360" s="1594"/>
      <c r="D360" s="1596"/>
      <c r="E360" s="1597"/>
      <c r="F360" s="2223">
        <f>SUM(F361:F361)</f>
        <v>420899</v>
      </c>
    </row>
    <row r="361" spans="1:13" ht="50.4">
      <c r="A361" s="1622" t="s">
        <v>7462</v>
      </c>
      <c r="B361" s="1618" t="s">
        <v>5231</v>
      </c>
      <c r="C361" s="364" t="s">
        <v>4693</v>
      </c>
      <c r="D361" s="1619">
        <v>20</v>
      </c>
      <c r="E361" s="1659">
        <f>+'PTAP TIJERETAS'!E355</f>
        <v>21044.964875999998</v>
      </c>
      <c r="F361" s="2370">
        <f>ROUND(E361*D361,0)</f>
        <v>420899</v>
      </c>
    </row>
    <row r="362" spans="1:13" ht="33.6">
      <c r="A362" s="1594">
        <v>43</v>
      </c>
      <c r="B362" s="1595" t="s">
        <v>5529</v>
      </c>
      <c r="C362" s="1594"/>
      <c r="D362" s="1596"/>
      <c r="E362" s="1597"/>
      <c r="F362" s="1747">
        <f>SUM(F363)</f>
        <v>2455246</v>
      </c>
    </row>
    <row r="363" spans="1:13" ht="117.6">
      <c r="A363" s="1622" t="s">
        <v>7463</v>
      </c>
      <c r="B363" s="1661" t="s">
        <v>5232</v>
      </c>
      <c r="C363" s="1599" t="s">
        <v>5191</v>
      </c>
      <c r="D363" s="1472">
        <v>1</v>
      </c>
      <c r="E363" s="1659">
        <f>+'PTAP TIJERETAS'!E357</f>
        <v>2455245.9021999999</v>
      </c>
      <c r="F363" s="2370">
        <f>ROUND(E363*D363,0)</f>
        <v>2455246</v>
      </c>
    </row>
    <row r="364" spans="1:13" ht="33.6">
      <c r="A364" s="1594">
        <v>44</v>
      </c>
      <c r="B364" s="1595" t="s">
        <v>5530</v>
      </c>
      <c r="C364" s="1594"/>
      <c r="D364" s="1596"/>
      <c r="E364" s="1597"/>
      <c r="F364" s="2223">
        <f>SUM(F365)</f>
        <v>252540</v>
      </c>
    </row>
    <row r="365" spans="1:13" ht="50.4">
      <c r="A365" s="1622" t="s">
        <v>7464</v>
      </c>
      <c r="B365" s="1661" t="s">
        <v>5233</v>
      </c>
      <c r="C365" s="1599" t="s">
        <v>4693</v>
      </c>
      <c r="D365" s="1471">
        <v>12</v>
      </c>
      <c r="E365" s="1659">
        <f>+'PTAP TIJERETAS'!E359</f>
        <v>21044.964875999998</v>
      </c>
      <c r="F365" s="2370">
        <f>ROUND(E365*D365,0)</f>
        <v>252540</v>
      </c>
    </row>
    <row r="366" spans="1:13" ht="33.6">
      <c r="A366" s="1594">
        <v>45</v>
      </c>
      <c r="B366" s="1595" t="s">
        <v>5531</v>
      </c>
      <c r="C366" s="1594"/>
      <c r="D366" s="1596"/>
      <c r="E366" s="1597"/>
      <c r="F366" s="2223">
        <f>SUM(F367)</f>
        <v>315674</v>
      </c>
    </row>
    <row r="367" spans="1:13" ht="50.4">
      <c r="A367" s="1622" t="s">
        <v>7465</v>
      </c>
      <c r="B367" s="1661" t="s">
        <v>5234</v>
      </c>
      <c r="C367" s="1599" t="s">
        <v>4693</v>
      </c>
      <c r="D367" s="1471">
        <v>15</v>
      </c>
      <c r="E367" s="1659">
        <f>+'PTAP TIJERETAS'!E361</f>
        <v>21044.964875999998</v>
      </c>
      <c r="F367" s="2370">
        <f>ROUND(E367*D367,0)</f>
        <v>315674</v>
      </c>
    </row>
    <row r="368" spans="1:13" ht="16.8">
      <c r="A368" s="1594">
        <v>46</v>
      </c>
      <c r="B368" s="1595" t="s">
        <v>5532</v>
      </c>
      <c r="C368" s="1594"/>
      <c r="D368" s="1596"/>
      <c r="E368" s="1597"/>
      <c r="F368" s="2223">
        <f>SUM(F369)</f>
        <v>2454496</v>
      </c>
    </row>
    <row r="369" spans="1:6" ht="67.2">
      <c r="A369" s="1622" t="s">
        <v>7466</v>
      </c>
      <c r="B369" s="1662" t="s">
        <v>5235</v>
      </c>
      <c r="C369" s="1599" t="s">
        <v>5191</v>
      </c>
      <c r="D369" s="1471">
        <v>1</v>
      </c>
      <c r="E369" s="1659">
        <f>+'PTAP TIJERETAS'!E363</f>
        <v>2454496.4875999996</v>
      </c>
      <c r="F369" s="2370">
        <f>ROUND(E369*D369,0)</f>
        <v>2454496</v>
      </c>
    </row>
    <row r="370" spans="1:6" ht="16.8">
      <c r="A370" s="1594">
        <v>47</v>
      </c>
      <c r="B370" s="1595" t="s">
        <v>5533</v>
      </c>
      <c r="C370" s="1594"/>
      <c r="D370" s="1596"/>
      <c r="E370" s="1597"/>
      <c r="F370" s="2223">
        <f>SUM(F371)</f>
        <v>2552713</v>
      </c>
    </row>
    <row r="371" spans="1:6" ht="201.6">
      <c r="A371" s="1622" t="s">
        <v>7467</v>
      </c>
      <c r="B371" s="1618" t="s">
        <v>5236</v>
      </c>
      <c r="C371" s="1599" t="s">
        <v>5191</v>
      </c>
      <c r="D371" s="1472">
        <v>1</v>
      </c>
      <c r="E371" s="1659">
        <f>+'PTAP TIJERETAS'!E365</f>
        <v>2552713.11638</v>
      </c>
      <c r="F371" s="2370">
        <f>ROUND(E371*D371,0)</f>
        <v>2552713</v>
      </c>
    </row>
    <row r="372" spans="1:6" ht="33.6">
      <c r="A372" s="1594">
        <v>48</v>
      </c>
      <c r="B372" s="1595" t="s">
        <v>5534</v>
      </c>
      <c r="C372" s="1594"/>
      <c r="D372" s="1596"/>
      <c r="E372" s="1597"/>
      <c r="F372" s="2223">
        <f>SUM(F373:F375)</f>
        <v>2013302</v>
      </c>
    </row>
    <row r="373" spans="1:6" ht="50.4">
      <c r="A373" s="1622" t="s">
        <v>7468</v>
      </c>
      <c r="B373" s="1661" t="s">
        <v>5237</v>
      </c>
      <c r="C373" s="1599" t="s">
        <v>4693</v>
      </c>
      <c r="D373" s="1471">
        <v>10</v>
      </c>
      <c r="E373" s="1659">
        <f>+'PTAP TIJERETAS'!E367</f>
        <v>24552.459021999999</v>
      </c>
      <c r="F373" s="2370">
        <f>ROUND(E373*D373,0)</f>
        <v>245525</v>
      </c>
    </row>
    <row r="374" spans="1:6" ht="50.4">
      <c r="A374" s="1622" t="s">
        <v>7469</v>
      </c>
      <c r="B374" s="1661" t="s">
        <v>5238</v>
      </c>
      <c r="C374" s="1599" t="s">
        <v>4693</v>
      </c>
      <c r="D374" s="1471">
        <v>30</v>
      </c>
      <c r="E374" s="1659">
        <f>+'PTAP TIJERETAS'!E368</f>
        <v>24552.459021999999</v>
      </c>
      <c r="F374" s="2370">
        <f t="shared" ref="F374:F375" si="21">ROUND(E374*D374,0)</f>
        <v>736574</v>
      </c>
    </row>
    <row r="375" spans="1:6" ht="67.2">
      <c r="A375" s="1622" t="s">
        <v>7470</v>
      </c>
      <c r="B375" s="1661" t="s">
        <v>5108</v>
      </c>
      <c r="C375" s="1599" t="s">
        <v>4693</v>
      </c>
      <c r="D375" s="1471">
        <v>56</v>
      </c>
      <c r="E375" s="1659">
        <f>+'PTAP TIJERETAS'!E369</f>
        <v>18414.3442665</v>
      </c>
      <c r="F375" s="2370">
        <f t="shared" si="21"/>
        <v>1031203</v>
      </c>
    </row>
    <row r="376" spans="1:6" ht="16.8">
      <c r="A376" s="1594">
        <v>49</v>
      </c>
      <c r="B376" s="1595" t="s">
        <v>5535</v>
      </c>
      <c r="C376" s="1594"/>
      <c r="D376" s="1596"/>
      <c r="E376" s="1597"/>
      <c r="F376" s="2223">
        <f>SUM(F377:F383)</f>
        <v>1312855</v>
      </c>
    </row>
    <row r="377" spans="1:6" ht="50.4">
      <c r="A377" s="1622" t="s">
        <v>7471</v>
      </c>
      <c r="B377" s="1661" t="s">
        <v>5122</v>
      </c>
      <c r="C377" s="1599" t="s">
        <v>5191</v>
      </c>
      <c r="D377" s="1471">
        <v>1</v>
      </c>
      <c r="E377" s="1659">
        <f>+'PTAP TIJERETAS'!E371</f>
        <v>184143.44266500001</v>
      </c>
      <c r="F377" s="2370">
        <f>ROUND(E377*D377,0)</f>
        <v>184143</v>
      </c>
    </row>
    <row r="378" spans="1:6" ht="50.4">
      <c r="A378" s="1622" t="s">
        <v>7472</v>
      </c>
      <c r="B378" s="1661" t="s">
        <v>5128</v>
      </c>
      <c r="C378" s="1599" t="s">
        <v>5191</v>
      </c>
      <c r="D378" s="1471">
        <v>1</v>
      </c>
      <c r="E378" s="1659">
        <f>+'PTAP TIJERETAS'!E372</f>
        <v>210449.64876000001</v>
      </c>
      <c r="F378" s="2370">
        <f t="shared" ref="F378:F395" si="22">ROUND(E378*D378,0)</f>
        <v>210450</v>
      </c>
    </row>
    <row r="379" spans="1:6" ht="33.6">
      <c r="A379" s="1622" t="s">
        <v>7473</v>
      </c>
      <c r="B379" s="1663" t="s">
        <v>5240</v>
      </c>
      <c r="C379" s="1599" t="s">
        <v>5191</v>
      </c>
      <c r="D379" s="1471">
        <v>14</v>
      </c>
      <c r="E379" s="1659">
        <f>+'PTAP TIJERETAS'!E373</f>
        <v>29462.9508264</v>
      </c>
      <c r="F379" s="2370">
        <f t="shared" si="22"/>
        <v>412481</v>
      </c>
    </row>
    <row r="380" spans="1:6" ht="33.6">
      <c r="A380" s="1622" t="s">
        <v>7474</v>
      </c>
      <c r="B380" s="1663" t="s">
        <v>5241</v>
      </c>
      <c r="C380" s="1599" t="s">
        <v>5191</v>
      </c>
      <c r="D380" s="1471">
        <v>3</v>
      </c>
      <c r="E380" s="1659">
        <f>+'PTAP TIJERETAS'!E374</f>
        <v>29462.9508264</v>
      </c>
      <c r="F380" s="2370">
        <f t="shared" si="22"/>
        <v>88389</v>
      </c>
    </row>
    <row r="381" spans="1:6" ht="33.6">
      <c r="A381" s="1622" t="s">
        <v>7475</v>
      </c>
      <c r="B381" s="1663" t="s">
        <v>5242</v>
      </c>
      <c r="C381" s="1599" t="s">
        <v>5191</v>
      </c>
      <c r="D381" s="1471">
        <v>2</v>
      </c>
      <c r="E381" s="1659">
        <f>+'PTAP TIJERETAS'!E375</f>
        <v>36828.688533</v>
      </c>
      <c r="F381" s="2370">
        <f t="shared" si="22"/>
        <v>73657</v>
      </c>
    </row>
    <row r="382" spans="1:6" ht="16.8">
      <c r="A382" s="1622" t="s">
        <v>7476</v>
      </c>
      <c r="B382" s="1663" t="s">
        <v>5160</v>
      </c>
      <c r="C382" s="1599" t="s">
        <v>5191</v>
      </c>
      <c r="D382" s="1471">
        <v>6</v>
      </c>
      <c r="E382" s="1659">
        <f>+'PTAP TIJERETAS'!E376</f>
        <v>24552.459021999999</v>
      </c>
      <c r="F382" s="2370">
        <f t="shared" si="22"/>
        <v>147315</v>
      </c>
    </row>
    <row r="383" spans="1:6" ht="16.8">
      <c r="A383" s="1622" t="s">
        <v>7477</v>
      </c>
      <c r="B383" s="1663" t="s">
        <v>5164</v>
      </c>
      <c r="C383" s="1599" t="s">
        <v>5191</v>
      </c>
      <c r="D383" s="1471">
        <v>8</v>
      </c>
      <c r="E383" s="1659">
        <f>+'PTAP TIJERETAS'!E377</f>
        <v>24552.459021999999</v>
      </c>
      <c r="F383" s="2370">
        <f t="shared" si="22"/>
        <v>196420</v>
      </c>
    </row>
    <row r="384" spans="1:6" ht="16.8">
      <c r="A384" s="1594">
        <v>50</v>
      </c>
      <c r="B384" s="1595" t="s">
        <v>5536</v>
      </c>
      <c r="C384" s="1594"/>
      <c r="D384" s="1596"/>
      <c r="E384" s="1597"/>
      <c r="F384" s="2223">
        <f>SUM(F385:F387)</f>
        <v>5076046</v>
      </c>
    </row>
    <row r="385" spans="1:17" ht="50.4">
      <c r="A385" s="1622" t="s">
        <v>7478</v>
      </c>
      <c r="B385" s="1465" t="s">
        <v>5167</v>
      </c>
      <c r="C385" s="364" t="s">
        <v>4693</v>
      </c>
      <c r="D385" s="1610">
        <v>180</v>
      </c>
      <c r="E385" s="1659">
        <f>+'PTAP TIJERETAS'!E379</f>
        <v>14731.4754132</v>
      </c>
      <c r="F385" s="2370">
        <f t="shared" si="22"/>
        <v>2651666</v>
      </c>
    </row>
    <row r="386" spans="1:17" ht="33.6">
      <c r="A386" s="1622" t="s">
        <v>7479</v>
      </c>
      <c r="B386" s="1465" t="s">
        <v>5243</v>
      </c>
      <c r="C386" s="364" t="s">
        <v>5191</v>
      </c>
      <c r="D386" s="1610">
        <v>9</v>
      </c>
      <c r="E386" s="1659">
        <f>+'PTAP TIJERETAS'!E380</f>
        <v>147314.754132</v>
      </c>
      <c r="F386" s="2370">
        <f t="shared" si="22"/>
        <v>1325833</v>
      </c>
    </row>
    <row r="387" spans="1:17" ht="16.8">
      <c r="A387" s="1622" t="s">
        <v>7480</v>
      </c>
      <c r="B387" s="1465" t="s">
        <v>5177</v>
      </c>
      <c r="C387" s="364" t="s">
        <v>5191</v>
      </c>
      <c r="D387" s="1610">
        <v>8</v>
      </c>
      <c r="E387" s="1659">
        <f>+'PTAP TIJERETAS'!E381</f>
        <v>137318.3607432</v>
      </c>
      <c r="F387" s="2370">
        <f t="shared" si="22"/>
        <v>1098547</v>
      </c>
    </row>
    <row r="388" spans="1:17" ht="16.8">
      <c r="A388" s="1594">
        <v>51</v>
      </c>
      <c r="B388" s="1595" t="s">
        <v>5537</v>
      </c>
      <c r="C388" s="1594"/>
      <c r="D388" s="1596"/>
      <c r="E388" s="1597"/>
      <c r="F388" s="2223">
        <f>SUM(F389)</f>
        <v>1604199</v>
      </c>
    </row>
    <row r="389" spans="1:17" ht="151.19999999999999">
      <c r="A389" s="1622" t="s">
        <v>7481</v>
      </c>
      <c r="B389" s="1618" t="s">
        <v>5244</v>
      </c>
      <c r="C389" s="1599" t="s">
        <v>5191</v>
      </c>
      <c r="D389" s="1471">
        <v>1</v>
      </c>
      <c r="E389" s="1659">
        <f>+'PTAP TIJERETAS'!E383</f>
        <v>1604198.9053287501</v>
      </c>
      <c r="F389" s="2370">
        <f t="shared" si="22"/>
        <v>1604199</v>
      </c>
    </row>
    <row r="390" spans="1:17" ht="16.8">
      <c r="A390" s="1594">
        <v>52</v>
      </c>
      <c r="B390" s="1595" t="s">
        <v>5538</v>
      </c>
      <c r="C390" s="1594"/>
      <c r="D390" s="1596"/>
      <c r="E390" s="1597"/>
      <c r="F390" s="2223">
        <f>SUM(F391)</f>
        <v>6810000</v>
      </c>
    </row>
    <row r="391" spans="1:17" s="1717" customFormat="1" ht="16.8">
      <c r="A391" s="1622" t="s">
        <v>7482</v>
      </c>
      <c r="B391" s="2982" t="s">
        <v>5189</v>
      </c>
      <c r="C391" s="1599" t="s">
        <v>5076</v>
      </c>
      <c r="D391" s="1610">
        <v>1</v>
      </c>
      <c r="E391" s="2981">
        <f>+'PTAP TIJERETAS'!E385</f>
        <v>6810000</v>
      </c>
      <c r="F391" s="2674">
        <f t="shared" si="22"/>
        <v>6810000</v>
      </c>
      <c r="G391" s="2354"/>
      <c r="K391" s="1733"/>
      <c r="L391" s="1733"/>
      <c r="M391" s="1733"/>
    </row>
    <row r="392" spans="1:17" ht="16.8">
      <c r="A392" s="1594">
        <v>53</v>
      </c>
      <c r="B392" s="1595" t="s">
        <v>5657</v>
      </c>
      <c r="C392" s="1594"/>
      <c r="D392" s="1596"/>
      <c r="E392" s="1597"/>
      <c r="F392" s="2223">
        <f>SUM(F393:F395)</f>
        <v>3780000</v>
      </c>
    </row>
    <row r="393" spans="1:17" s="1717" customFormat="1" ht="134.4">
      <c r="A393" s="1622" t="s">
        <v>7483</v>
      </c>
      <c r="B393" s="349" t="s">
        <v>6228</v>
      </c>
      <c r="C393" s="1635" t="s">
        <v>5191</v>
      </c>
      <c r="D393" s="1635">
        <v>2</v>
      </c>
      <c r="E393" s="1659">
        <f>+'PTAP TIJERETAS'!E387</f>
        <v>630000</v>
      </c>
      <c r="F393" s="2370">
        <f t="shared" si="22"/>
        <v>1260000</v>
      </c>
      <c r="G393" s="2354"/>
      <c r="K393" s="1733"/>
      <c r="L393" s="1733"/>
      <c r="M393" s="1733"/>
    </row>
    <row r="394" spans="1:17" s="1717" customFormat="1" ht="102.75" customHeight="1">
      <c r="A394" s="1622" t="s">
        <v>7484</v>
      </c>
      <c r="B394" s="349" t="s">
        <v>6232</v>
      </c>
      <c r="C394" s="1635" t="s">
        <v>5191</v>
      </c>
      <c r="D394" s="1635">
        <v>2</v>
      </c>
      <c r="E394" s="1659">
        <f>+'PTAP TIJERETAS'!E388</f>
        <v>630000</v>
      </c>
      <c r="F394" s="2370">
        <f t="shared" si="22"/>
        <v>1260000</v>
      </c>
      <c r="G394" s="2354"/>
      <c r="K394" s="1733"/>
      <c r="L394" s="1733"/>
      <c r="M394" s="1733"/>
    </row>
    <row r="395" spans="1:17" s="61" customFormat="1" ht="114" customHeight="1">
      <c r="A395" s="1622" t="s">
        <v>7485</v>
      </c>
      <c r="B395" s="349" t="s">
        <v>6308</v>
      </c>
      <c r="C395" s="2926" t="s">
        <v>5191</v>
      </c>
      <c r="D395" s="2926">
        <v>2</v>
      </c>
      <c r="E395" s="1659">
        <f>+'PTAP TIJERETAS'!E389</f>
        <v>630000</v>
      </c>
      <c r="F395" s="2370">
        <f t="shared" si="22"/>
        <v>1260000</v>
      </c>
      <c r="G395" s="95"/>
      <c r="K395" s="2739"/>
      <c r="L395" s="2739"/>
      <c r="M395" s="2739"/>
    </row>
    <row r="396" spans="1:17" s="1623" customFormat="1" ht="16.8">
      <c r="A396" s="3354" t="s">
        <v>5749</v>
      </c>
      <c r="B396" s="3354"/>
      <c r="C396" s="3354"/>
      <c r="D396" s="3354"/>
      <c r="E396" s="3354"/>
      <c r="F396" s="3354"/>
      <c r="G396" s="2349"/>
      <c r="H396" s="2342"/>
      <c r="I396" s="1625"/>
      <c r="J396" s="1625"/>
      <c r="K396" s="1706"/>
      <c r="L396" s="1706"/>
      <c r="M396" s="1625"/>
      <c r="N396" s="1625"/>
      <c r="O396" s="1625"/>
      <c r="P396" s="1625"/>
      <c r="Q396" s="1625"/>
    </row>
    <row r="397" spans="1:17" s="1623" customFormat="1" ht="16.8">
      <c r="A397" s="1594">
        <v>54</v>
      </c>
      <c r="B397" s="1613" t="s">
        <v>1127</v>
      </c>
      <c r="C397" s="1647"/>
      <c r="D397" s="1647"/>
      <c r="E397" s="1647" t="s">
        <v>1158</v>
      </c>
      <c r="F397" s="2225">
        <f>SUM(F398:F415)</f>
        <v>4222464</v>
      </c>
      <c r="G397" s="2978">
        <f>+F397</f>
        <v>4222464</v>
      </c>
      <c r="H397" s="1625" t="s">
        <v>8225</v>
      </c>
      <c r="I397" s="1625"/>
      <c r="J397" s="1625"/>
      <c r="K397" s="1706"/>
      <c r="L397" s="1706"/>
      <c r="M397" s="1625"/>
      <c r="N397" s="1625"/>
      <c r="O397" s="1625"/>
      <c r="P397" s="1625"/>
      <c r="Q397" s="1625"/>
    </row>
    <row r="398" spans="1:17" s="1623" customFormat="1" ht="16.8">
      <c r="A398" s="2221" t="s">
        <v>7487</v>
      </c>
      <c r="B398" s="1618" t="s">
        <v>4407</v>
      </c>
      <c r="C398" s="364" t="s">
        <v>427</v>
      </c>
      <c r="D398" s="1639">
        <v>2</v>
      </c>
      <c r="E398" s="1637">
        <f>+'PTAP TIJERETAS'!E450</f>
        <v>52180.977082416</v>
      </c>
      <c r="F398" s="1648">
        <f t="shared" ref="F398:F415" si="23">ROUND((+E398*D398),0)</f>
        <v>104362</v>
      </c>
      <c r="G398" s="2800">
        <f>+'PTAP TIJERETAS'!H449</f>
        <v>4222464</v>
      </c>
      <c r="I398" s="1625"/>
      <c r="J398" s="1625"/>
      <c r="K398" s="1706"/>
      <c r="L398" s="1706"/>
      <c r="M398" s="1625"/>
      <c r="N398" s="1625"/>
      <c r="O398" s="1625"/>
      <c r="P398" s="1625"/>
      <c r="Q398" s="1625"/>
    </row>
    <row r="399" spans="1:17" s="1623" customFormat="1" ht="16.8">
      <c r="A399" s="2221" t="s">
        <v>7488</v>
      </c>
      <c r="B399" s="1618" t="s">
        <v>4408</v>
      </c>
      <c r="C399" s="364" t="s">
        <v>427</v>
      </c>
      <c r="D399" s="1639">
        <v>2</v>
      </c>
      <c r="E399" s="1637">
        <f>+'PTAP TIJERETAS'!E451</f>
        <v>96701.948368746002</v>
      </c>
      <c r="F399" s="1648">
        <f t="shared" si="23"/>
        <v>193404</v>
      </c>
      <c r="G399" s="1704"/>
      <c r="H399" s="1625"/>
      <c r="I399" s="1625"/>
      <c r="J399" s="1625"/>
      <c r="K399" s="1706"/>
      <c r="L399" s="1706"/>
      <c r="M399" s="1625"/>
      <c r="N399" s="1625"/>
      <c r="O399" s="1625"/>
      <c r="P399" s="1625"/>
      <c r="Q399" s="1625"/>
    </row>
    <row r="400" spans="1:17" s="1623" customFormat="1" ht="16.8">
      <c r="A400" s="2221" t="s">
        <v>7489</v>
      </c>
      <c r="B400" s="1618" t="s">
        <v>4411</v>
      </c>
      <c r="C400" s="364" t="s">
        <v>427</v>
      </c>
      <c r="D400" s="1639">
        <v>5</v>
      </c>
      <c r="E400" s="1637">
        <f>+'PTAP TIJERETAS'!E452</f>
        <v>94750</v>
      </c>
      <c r="F400" s="1648">
        <f t="shared" si="23"/>
        <v>473750</v>
      </c>
      <c r="G400" s="1704"/>
      <c r="H400" s="1625"/>
      <c r="I400" s="1625"/>
      <c r="J400" s="1625"/>
      <c r="K400" s="1706"/>
      <c r="L400" s="1706"/>
      <c r="M400" s="1625"/>
      <c r="N400" s="1625"/>
      <c r="O400" s="1625"/>
      <c r="P400" s="1625"/>
      <c r="Q400" s="1625"/>
    </row>
    <row r="401" spans="1:17" s="1623" customFormat="1" ht="16.8">
      <c r="A401" s="2221" t="s">
        <v>7490</v>
      </c>
      <c r="B401" s="1618" t="s">
        <v>4412</v>
      </c>
      <c r="C401" s="364" t="s">
        <v>427</v>
      </c>
      <c r="D401" s="1639">
        <v>2</v>
      </c>
      <c r="E401" s="1637">
        <f>+'PTAP TIJERETAS'!E453</f>
        <v>97731.836074320003</v>
      </c>
      <c r="F401" s="1648">
        <f t="shared" si="23"/>
        <v>195464</v>
      </c>
      <c r="G401" s="1704"/>
      <c r="H401" s="1625"/>
      <c r="I401" s="1625"/>
      <c r="J401" s="1625"/>
      <c r="K401" s="1706"/>
      <c r="L401" s="1706"/>
      <c r="M401" s="1625"/>
      <c r="N401" s="1625"/>
      <c r="O401" s="1625"/>
      <c r="P401" s="1625"/>
      <c r="Q401" s="1625"/>
    </row>
    <row r="402" spans="1:17" s="1623" customFormat="1" ht="16.8">
      <c r="A402" s="2221" t="s">
        <v>7491</v>
      </c>
      <c r="B402" s="1618" t="s">
        <v>4413</v>
      </c>
      <c r="C402" s="364" t="s">
        <v>427</v>
      </c>
      <c r="D402" s="1639">
        <v>2</v>
      </c>
      <c r="E402" s="1637">
        <f>+'PTAP TIJERETAS'!E454</f>
        <v>69463.672148639991</v>
      </c>
      <c r="F402" s="1648">
        <f t="shared" si="23"/>
        <v>138927</v>
      </c>
      <c r="G402" s="1704"/>
      <c r="H402" s="1625"/>
      <c r="I402" s="1625"/>
      <c r="J402" s="1625"/>
      <c r="K402" s="1706"/>
      <c r="L402" s="1706"/>
      <c r="M402" s="1625"/>
      <c r="N402" s="1625"/>
      <c r="O402" s="1625"/>
      <c r="P402" s="1625"/>
      <c r="Q402" s="1625"/>
    </row>
    <row r="403" spans="1:17" s="1623" customFormat="1" ht="16.8">
      <c r="A403" s="2221" t="s">
        <v>7492</v>
      </c>
      <c r="B403" s="1618" t="s">
        <v>4414</v>
      </c>
      <c r="C403" s="364" t="s">
        <v>427</v>
      </c>
      <c r="D403" s="1639">
        <v>2</v>
      </c>
      <c r="E403" s="1637">
        <f>+'PTAP TIJERETAS'!E455</f>
        <v>102989</v>
      </c>
      <c r="F403" s="1648">
        <f t="shared" si="23"/>
        <v>205978</v>
      </c>
      <c r="G403" s="1704"/>
      <c r="H403" s="1625"/>
      <c r="I403" s="1625"/>
      <c r="J403" s="1625"/>
      <c r="K403" s="1706"/>
      <c r="L403" s="1706"/>
      <c r="M403" s="1625"/>
      <c r="N403" s="1625"/>
      <c r="O403" s="1625"/>
      <c r="P403" s="1625"/>
      <c r="Q403" s="1625"/>
    </row>
    <row r="404" spans="1:17" s="1623" customFormat="1" ht="16.8">
      <c r="A404" s="2221" t="s">
        <v>7493</v>
      </c>
      <c r="B404" s="1618" t="s">
        <v>4415</v>
      </c>
      <c r="C404" s="364" t="s">
        <v>427</v>
      </c>
      <c r="D404" s="1639">
        <v>2</v>
      </c>
      <c r="E404" s="1637">
        <f>+'PTAP TIJERETAS'!E456</f>
        <v>98869</v>
      </c>
      <c r="F404" s="1648">
        <f t="shared" si="23"/>
        <v>197738</v>
      </c>
      <c r="G404" s="1704"/>
      <c r="H404" s="1625"/>
      <c r="I404" s="1625"/>
      <c r="J404" s="1625"/>
      <c r="K404" s="1706"/>
      <c r="L404" s="1706"/>
      <c r="M404" s="1625"/>
      <c r="N404" s="1625"/>
      <c r="O404" s="1625"/>
      <c r="P404" s="1625"/>
      <c r="Q404" s="1625"/>
    </row>
    <row r="405" spans="1:17" s="1623" customFormat="1" ht="16.8">
      <c r="A405" s="2221" t="s">
        <v>7494</v>
      </c>
      <c r="B405" s="1618" t="s">
        <v>4416</v>
      </c>
      <c r="C405" s="364" t="s">
        <v>427</v>
      </c>
      <c r="D405" s="1639">
        <v>2</v>
      </c>
      <c r="E405" s="1637">
        <f>+'PTAP TIJERETAS'!E457</f>
        <v>69463.672148639991</v>
      </c>
      <c r="F405" s="1648">
        <f t="shared" si="23"/>
        <v>138927</v>
      </c>
      <c r="G405" s="1704"/>
      <c r="H405" s="1625"/>
      <c r="I405" s="1625"/>
      <c r="J405" s="1625"/>
      <c r="K405" s="1706"/>
      <c r="L405" s="1706"/>
      <c r="M405" s="1625"/>
      <c r="N405" s="1625"/>
      <c r="O405" s="1625"/>
      <c r="P405" s="1625"/>
      <c r="Q405" s="1625"/>
    </row>
    <row r="406" spans="1:17" s="1623" customFormat="1" ht="16.8">
      <c r="A406" s="2221" t="s">
        <v>7495</v>
      </c>
      <c r="B406" s="1618" t="s">
        <v>4417</v>
      </c>
      <c r="C406" s="364" t="s">
        <v>427</v>
      </c>
      <c r="D406" s="1639">
        <v>2</v>
      </c>
      <c r="E406" s="1637">
        <f>+'PTAP TIJERETAS'!E458</f>
        <v>69463.672148639991</v>
      </c>
      <c r="F406" s="1648">
        <f t="shared" si="23"/>
        <v>138927</v>
      </c>
      <c r="G406" s="1704"/>
      <c r="H406" s="1625"/>
      <c r="I406" s="1625"/>
      <c r="J406" s="1625"/>
      <c r="K406" s="1706"/>
      <c r="L406" s="1706"/>
      <c r="M406" s="1625"/>
      <c r="N406" s="1625"/>
      <c r="O406" s="1625"/>
      <c r="P406" s="1625"/>
      <c r="Q406" s="1625"/>
    </row>
    <row r="407" spans="1:17" s="1623" customFormat="1" ht="16.8">
      <c r="A407" s="2221" t="s">
        <v>7496</v>
      </c>
      <c r="B407" s="1618" t="s">
        <v>4418</v>
      </c>
      <c r="C407" s="364" t="s">
        <v>427</v>
      </c>
      <c r="D407" s="1639">
        <v>2</v>
      </c>
      <c r="E407" s="1637">
        <f>+'PTAP TIJERETAS'!E459</f>
        <v>74293.362334439997</v>
      </c>
      <c r="F407" s="1648">
        <f t="shared" si="23"/>
        <v>148587</v>
      </c>
      <c r="G407" s="1704"/>
      <c r="H407" s="1625"/>
      <c r="I407" s="1625"/>
      <c r="J407" s="1625"/>
      <c r="K407" s="1706"/>
      <c r="L407" s="1706"/>
      <c r="M407" s="1625"/>
      <c r="N407" s="1625"/>
      <c r="O407" s="1625"/>
      <c r="P407" s="1625"/>
      <c r="Q407" s="1625"/>
    </row>
    <row r="408" spans="1:17" s="1623" customFormat="1" ht="33.6">
      <c r="A408" s="2221" t="s">
        <v>7497</v>
      </c>
      <c r="B408" s="1618" t="s">
        <v>4419</v>
      </c>
      <c r="C408" s="364" t="s">
        <v>427</v>
      </c>
      <c r="D408" s="1639">
        <v>2</v>
      </c>
      <c r="E408" s="1637">
        <f>+'PTAP TIJERETAS'!E460</f>
        <v>339718.65756071999</v>
      </c>
      <c r="F408" s="1648">
        <f t="shared" si="23"/>
        <v>679437</v>
      </c>
      <c r="G408" s="1704"/>
      <c r="H408" s="1625"/>
      <c r="I408" s="1625"/>
      <c r="J408" s="1625"/>
      <c r="K408" s="1706"/>
      <c r="L408" s="1706"/>
      <c r="M408" s="1625"/>
      <c r="N408" s="1625"/>
      <c r="O408" s="1625"/>
      <c r="P408" s="1625"/>
      <c r="Q408" s="1625"/>
    </row>
    <row r="409" spans="1:17" s="1623" customFormat="1" ht="16.8">
      <c r="A409" s="2221" t="s">
        <v>7498</v>
      </c>
      <c r="B409" s="1618" t="s">
        <v>4420</v>
      </c>
      <c r="C409" s="364" t="s">
        <v>427</v>
      </c>
      <c r="D409" s="1639">
        <v>4</v>
      </c>
      <c r="E409" s="1637">
        <f>+'PTAP TIJERETAS'!E461</f>
        <v>163609.27878036001</v>
      </c>
      <c r="F409" s="1648">
        <f t="shared" si="23"/>
        <v>654437</v>
      </c>
      <c r="G409" s="1704"/>
      <c r="H409" s="1625"/>
      <c r="I409" s="1625"/>
      <c r="J409" s="1625"/>
      <c r="K409" s="1706"/>
      <c r="L409" s="1706"/>
      <c r="M409" s="1625"/>
      <c r="N409" s="1625"/>
      <c r="O409" s="1625"/>
      <c r="P409" s="1625"/>
      <c r="Q409" s="1625"/>
    </row>
    <row r="410" spans="1:17" s="1623" customFormat="1" ht="16.8">
      <c r="A410" s="2221" t="s">
        <v>7499</v>
      </c>
      <c r="B410" s="1618" t="s">
        <v>4421</v>
      </c>
      <c r="C410" s="364" t="s">
        <v>427</v>
      </c>
      <c r="D410" s="1639">
        <v>2</v>
      </c>
      <c r="E410" s="1637">
        <f>+'PTAP TIJERETAS'!E462</f>
        <v>68659.180371599999</v>
      </c>
      <c r="F410" s="1648">
        <f t="shared" si="23"/>
        <v>137318</v>
      </c>
      <c r="G410" s="1704"/>
      <c r="H410" s="1625"/>
      <c r="I410" s="1625"/>
      <c r="J410" s="1625"/>
      <c r="K410" s="1706"/>
      <c r="L410" s="1706"/>
      <c r="M410" s="1625"/>
      <c r="N410" s="1625"/>
      <c r="O410" s="1625"/>
      <c r="P410" s="1625"/>
      <c r="Q410" s="1625"/>
    </row>
    <row r="411" spans="1:17" s="1623" customFormat="1" ht="16.8">
      <c r="A411" s="2221" t="s">
        <v>7500</v>
      </c>
      <c r="B411" s="1618" t="s">
        <v>4422</v>
      </c>
      <c r="C411" s="364" t="s">
        <v>427</v>
      </c>
      <c r="D411" s="1639">
        <v>1</v>
      </c>
      <c r="E411" s="1637">
        <f>+'PTAP TIJERETAS'!E463</f>
        <v>64657.529522628007</v>
      </c>
      <c r="F411" s="1648">
        <f t="shared" si="23"/>
        <v>64658</v>
      </c>
      <c r="G411" s="1704"/>
      <c r="H411" s="1625"/>
      <c r="I411" s="1625"/>
      <c r="J411" s="1625"/>
      <c r="K411" s="1706"/>
      <c r="L411" s="1706"/>
      <c r="M411" s="1625"/>
      <c r="N411" s="1625"/>
      <c r="O411" s="1625"/>
      <c r="P411" s="1625"/>
      <c r="Q411" s="1625"/>
    </row>
    <row r="412" spans="1:17" s="1623" customFormat="1" ht="16.8">
      <c r="A412" s="2221" t="s">
        <v>7501</v>
      </c>
      <c r="B412" s="1618" t="s">
        <v>4423</v>
      </c>
      <c r="C412" s="364" t="s">
        <v>427</v>
      </c>
      <c r="D412" s="1639">
        <v>5</v>
      </c>
      <c r="E412" s="1637">
        <f>+'PTAP TIJERETAS'!E464</f>
        <v>96701.948368746002</v>
      </c>
      <c r="F412" s="1648">
        <f t="shared" si="23"/>
        <v>483510</v>
      </c>
      <c r="G412" s="1704"/>
      <c r="H412" s="1625"/>
      <c r="I412" s="1625"/>
      <c r="J412" s="1625"/>
      <c r="K412" s="1706"/>
      <c r="L412" s="1706"/>
      <c r="M412" s="1625"/>
      <c r="N412" s="1625"/>
      <c r="O412" s="1625"/>
      <c r="P412" s="1625"/>
      <c r="Q412" s="1625"/>
    </row>
    <row r="413" spans="1:17" s="1623" customFormat="1" ht="16.8">
      <c r="A413" s="2221" t="s">
        <v>7502</v>
      </c>
      <c r="B413" s="1618" t="s">
        <v>4424</v>
      </c>
      <c r="C413" s="364" t="s">
        <v>427</v>
      </c>
      <c r="D413" s="1639">
        <v>1</v>
      </c>
      <c r="E413" s="1637">
        <f>+'PTAP TIJERETAS'!E465</f>
        <v>95672.060663172</v>
      </c>
      <c r="F413" s="1648">
        <f t="shared" si="23"/>
        <v>95672</v>
      </c>
      <c r="G413" s="1704"/>
      <c r="H413" s="1625"/>
      <c r="I413" s="1625"/>
      <c r="J413" s="1625"/>
      <c r="K413" s="1706"/>
      <c r="L413" s="1706"/>
      <c r="M413" s="1625"/>
      <c r="N413" s="1625"/>
      <c r="O413" s="1625"/>
      <c r="P413" s="1625"/>
      <c r="Q413" s="1625"/>
    </row>
    <row r="414" spans="1:17" s="1623" customFormat="1" ht="16.8">
      <c r="A414" s="2221" t="s">
        <v>7503</v>
      </c>
      <c r="B414" s="1618" t="s">
        <v>4527</v>
      </c>
      <c r="C414" s="364" t="s">
        <v>427</v>
      </c>
      <c r="D414" s="1639">
        <v>1</v>
      </c>
      <c r="E414" s="1637">
        <f>+'PTAP TIJERETAS'!E466</f>
        <v>129079.25909860797</v>
      </c>
      <c r="F414" s="1648">
        <f t="shared" si="23"/>
        <v>129079</v>
      </c>
      <c r="G414" s="1704"/>
      <c r="H414" s="1625"/>
      <c r="I414" s="1625"/>
      <c r="J414" s="1625"/>
      <c r="K414" s="1706"/>
      <c r="L414" s="1706"/>
      <c r="M414" s="1625"/>
      <c r="N414" s="1625"/>
      <c r="O414" s="1625"/>
      <c r="P414" s="1625"/>
      <c r="Q414" s="1625"/>
    </row>
    <row r="415" spans="1:17" s="1623" customFormat="1" ht="15.75" customHeight="1" thickBot="1">
      <c r="A415" s="2221" t="s">
        <v>7504</v>
      </c>
      <c r="B415" s="1618" t="s">
        <v>4528</v>
      </c>
      <c r="C415" s="364" t="s">
        <v>427</v>
      </c>
      <c r="D415" s="1639">
        <v>1</v>
      </c>
      <c r="E415" s="1637">
        <f>+'PTAP TIJERETAS'!E467</f>
        <v>42288.581996041408</v>
      </c>
      <c r="F415" s="1648">
        <f t="shared" si="23"/>
        <v>42289</v>
      </c>
      <c r="G415" s="1704"/>
      <c r="H415" s="1625"/>
      <c r="I415" s="1625"/>
      <c r="J415" s="1625"/>
      <c r="K415" s="1706"/>
      <c r="L415" s="1706"/>
      <c r="M415" s="1625"/>
      <c r="N415" s="1625"/>
      <c r="O415" s="1625"/>
      <c r="P415" s="1625"/>
      <c r="Q415" s="1625"/>
    </row>
    <row r="416" spans="1:17" ht="16.8">
      <c r="A416" s="3355" t="s">
        <v>5708</v>
      </c>
      <c r="B416" s="3335"/>
      <c r="C416" s="3335"/>
      <c r="D416" s="3335"/>
      <c r="E416" s="3335"/>
      <c r="F416" s="3336"/>
    </row>
    <row r="417" spans="1:17" ht="33.6">
      <c r="A417" s="1590" t="s">
        <v>22</v>
      </c>
      <c r="B417" s="1591" t="s">
        <v>23</v>
      </c>
      <c r="C417" s="1591" t="s">
        <v>150</v>
      </c>
      <c r="D417" s="1592" t="s">
        <v>539</v>
      </c>
      <c r="E417" s="1593" t="s">
        <v>151</v>
      </c>
      <c r="F417" s="1593" t="s">
        <v>540</v>
      </c>
    </row>
    <row r="418" spans="1:17" s="1623" customFormat="1" ht="15" customHeight="1">
      <c r="A418" s="1624" t="s">
        <v>1081</v>
      </c>
      <c r="B418" s="3342" t="s">
        <v>7486</v>
      </c>
      <c r="C418" s="3343"/>
      <c r="D418" s="3343"/>
      <c r="E418" s="3343"/>
      <c r="F418" s="3344"/>
      <c r="G418" s="1705"/>
      <c r="H418" s="1625"/>
      <c r="I418" s="1625"/>
      <c r="J418" s="1625"/>
      <c r="K418" s="1706"/>
      <c r="L418" s="1706"/>
      <c r="M418" s="1625"/>
      <c r="N418" s="1625"/>
      <c r="O418" s="1625"/>
      <c r="P418" s="1625"/>
      <c r="Q418" s="1625"/>
    </row>
    <row r="419" spans="1:17" s="1721" customFormat="1" ht="20.100000000000001" customHeight="1">
      <c r="A419" s="1718"/>
      <c r="B419" s="1666" t="s">
        <v>1082</v>
      </c>
      <c r="C419" s="1667"/>
      <c r="D419" s="1667"/>
      <c r="E419" s="1667"/>
      <c r="F419" s="1668"/>
      <c r="G419" s="2345"/>
      <c r="H419" s="2340" t="e">
        <f>+F420+F422+F429+F438+F448+F446</f>
        <v>#REF!</v>
      </c>
      <c r="I419" s="1721" t="s">
        <v>8225</v>
      </c>
      <c r="K419" s="2666"/>
      <c r="L419" s="2666"/>
      <c r="M419" s="2666"/>
    </row>
    <row r="420" spans="1:17" s="1721" customFormat="1" ht="20.100000000000001" customHeight="1">
      <c r="A420" s="1722">
        <v>55</v>
      </c>
      <c r="B420" s="1629" t="s">
        <v>1083</v>
      </c>
      <c r="C420" s="1723"/>
      <c r="D420" s="1630"/>
      <c r="E420" s="1724"/>
      <c r="F420" s="2225">
        <f>+F421</f>
        <v>24723110</v>
      </c>
      <c r="G420" s="2357"/>
      <c r="H420" s="2402">
        <f>+'LINEAS IMPULSIÓN-CONDUCCIÓN'!F123</f>
        <v>1146701883</v>
      </c>
      <c r="K420" s="2666"/>
      <c r="L420" s="2666"/>
      <c r="M420" s="2666"/>
    </row>
    <row r="421" spans="1:17" s="1623" customFormat="1" ht="16.8">
      <c r="A421" s="1617" t="s">
        <v>7505</v>
      </c>
      <c r="B421" s="1631" t="s">
        <v>1086</v>
      </c>
      <c r="C421" s="1632" t="s">
        <v>1002</v>
      </c>
      <c r="D421" s="1633">
        <f>+'LINEAS IMPULSIÓN-CONDUCCIÓN'!D81</f>
        <v>10493.68</v>
      </c>
      <c r="E421" s="1634">
        <f>+'LINEAS IMPULSIÓN-CONDUCCIÓN'!E81</f>
        <v>2356</v>
      </c>
      <c r="F421" s="1634">
        <f>ROUND(+E421*D421,0)</f>
        <v>24723110</v>
      </c>
      <c r="G421" s="2347"/>
    </row>
    <row r="422" spans="1:17" s="1623" customFormat="1" ht="16.8">
      <c r="A422" s="1722">
        <v>56</v>
      </c>
      <c r="B422" s="1629" t="s">
        <v>1087</v>
      </c>
      <c r="C422" s="1723"/>
      <c r="D422" s="1630"/>
      <c r="E422" s="1724"/>
      <c r="F422" s="2225">
        <f>SUM(F423:F428)</f>
        <v>25524375</v>
      </c>
      <c r="G422" s="2348"/>
    </row>
    <row r="423" spans="1:17" s="1623" customFormat="1" ht="16.8">
      <c r="A423" s="1635" t="s">
        <v>7506</v>
      </c>
      <c r="B423" s="1618" t="s">
        <v>1088</v>
      </c>
      <c r="C423" s="1635" t="s">
        <v>356</v>
      </c>
      <c r="D423" s="1633">
        <f>+'LINEAS IMPULSIÓN-CONDUCCIÓN'!D83</f>
        <v>82.2</v>
      </c>
      <c r="E423" s="1634">
        <f>+'LINEAS IMPULSIÓN-CONDUCCIÓN'!E83</f>
        <v>51559</v>
      </c>
      <c r="F423" s="1637">
        <f t="shared" ref="F423:F428" si="24">+ROUND(E423*D423,0)</f>
        <v>4238150</v>
      </c>
      <c r="G423" s="2349"/>
    </row>
    <row r="424" spans="1:17" s="1623" customFormat="1" ht="16.8">
      <c r="A424" s="1635" t="s">
        <v>7507</v>
      </c>
      <c r="B424" s="1638" t="s">
        <v>1108</v>
      </c>
      <c r="C424" s="1635" t="s">
        <v>94</v>
      </c>
      <c r="D424" s="1633">
        <f>+'LINEAS IMPULSIÓN-CONDUCCIÓN'!D84</f>
        <v>1370.8</v>
      </c>
      <c r="E424" s="1634">
        <f>+'LINEAS IMPULSIÓN-CONDUCCIÓN'!E84</f>
        <v>5176</v>
      </c>
      <c r="F424" s="1637">
        <f t="shared" si="24"/>
        <v>7095261</v>
      </c>
      <c r="G424" s="2349"/>
    </row>
    <row r="425" spans="1:17" s="1623" customFormat="1" ht="16.8">
      <c r="A425" s="1635" t="s">
        <v>7508</v>
      </c>
      <c r="B425" s="1638" t="s">
        <v>1089</v>
      </c>
      <c r="C425" s="1635" t="s">
        <v>94</v>
      </c>
      <c r="D425" s="1633">
        <f>+'LINEAS IMPULSIÓN-CONDUCCIÓN'!D85</f>
        <v>92.3</v>
      </c>
      <c r="E425" s="1634">
        <f>+'LINEAS IMPULSIÓN-CONDUCCIÓN'!E85</f>
        <v>11371.692038071427</v>
      </c>
      <c r="F425" s="1637">
        <f t="shared" si="24"/>
        <v>1049607</v>
      </c>
      <c r="G425" s="2349"/>
    </row>
    <row r="426" spans="1:17" s="1623" customFormat="1" ht="16.8">
      <c r="A426" s="1635" t="s">
        <v>7509</v>
      </c>
      <c r="B426" s="1638" t="s">
        <v>1090</v>
      </c>
      <c r="C426" s="1635" t="s">
        <v>94</v>
      </c>
      <c r="D426" s="1633">
        <f>+'LINEAS IMPULSIÓN-CONDUCCIÓN'!D86</f>
        <v>1269.51</v>
      </c>
      <c r="E426" s="1634">
        <f>+'LINEAS IMPULSIÓN-CONDUCCIÓN'!E86</f>
        <v>9950.2305333125005</v>
      </c>
      <c r="F426" s="1637">
        <f t="shared" si="24"/>
        <v>12631917</v>
      </c>
      <c r="G426" s="2349"/>
    </row>
    <row r="427" spans="1:17" s="1623" customFormat="1" ht="16.8">
      <c r="A427" s="1635" t="s">
        <v>7510</v>
      </c>
      <c r="B427" s="1638" t="s">
        <v>1091</v>
      </c>
      <c r="C427" s="1635" t="s">
        <v>356</v>
      </c>
      <c r="D427" s="1633">
        <f>+'LINEAS IMPULSIÓN-CONDUCCIÓN'!D87</f>
        <v>9</v>
      </c>
      <c r="E427" s="1634">
        <f>+'LINEAS IMPULSIÓN-CONDUCCIÓN'!E87</f>
        <v>50708.052078235298</v>
      </c>
      <c r="F427" s="1637">
        <f t="shared" si="24"/>
        <v>456372</v>
      </c>
      <c r="G427" s="2349"/>
    </row>
    <row r="428" spans="1:17" s="1623" customFormat="1" ht="16.8">
      <c r="A428" s="1635" t="s">
        <v>7511</v>
      </c>
      <c r="B428" s="1638" t="s">
        <v>1129</v>
      </c>
      <c r="C428" s="1635" t="s">
        <v>356</v>
      </c>
      <c r="D428" s="1633">
        <f>+'LINEAS IMPULSIÓN-CONDUCCIÓN'!D88</f>
        <v>1</v>
      </c>
      <c r="E428" s="1634">
        <f>+'LINEAS IMPULSIÓN-CONDUCCIÓN'!E88</f>
        <v>53068</v>
      </c>
      <c r="F428" s="1637">
        <f t="shared" si="24"/>
        <v>53068</v>
      </c>
      <c r="G428" s="2349"/>
    </row>
    <row r="429" spans="1:17" s="1623" customFormat="1" ht="16.8">
      <c r="A429" s="1722">
        <v>57</v>
      </c>
      <c r="B429" s="1629" t="s">
        <v>1104</v>
      </c>
      <c r="C429" s="1723"/>
      <c r="D429" s="1630"/>
      <c r="E429" s="1724"/>
      <c r="F429" s="2225">
        <f>SUM(F430:F437)</f>
        <v>520938851</v>
      </c>
      <c r="G429" s="2349"/>
    </row>
    <row r="430" spans="1:17" s="1623" customFormat="1" ht="24" customHeight="1">
      <c r="A430" s="1617" t="s">
        <v>7512</v>
      </c>
      <c r="B430" s="1618" t="s">
        <v>6287</v>
      </c>
      <c r="C430" s="364" t="s">
        <v>1084</v>
      </c>
      <c r="D430" s="1633">
        <f>+'LINEAS IMPULSIÓN-CONDUCCIÓN'!D90</f>
        <v>7057.3434999999999</v>
      </c>
      <c r="E430" s="1634">
        <f>+'LINEAS IMPULSIÓN-CONDUCCIÓN'!E90</f>
        <v>10000</v>
      </c>
      <c r="F430" s="1637">
        <f>+ROUND(E430*D430,0)</f>
        <v>70573435</v>
      </c>
      <c r="G430" s="2350"/>
      <c r="H430" s="1640"/>
      <c r="I430" s="1640"/>
    </row>
    <row r="431" spans="1:17" s="1623" customFormat="1" ht="17.399999999999999">
      <c r="A431" s="1617" t="s">
        <v>7513</v>
      </c>
      <c r="B431" s="1641" t="s">
        <v>6261</v>
      </c>
      <c r="C431" s="364" t="s">
        <v>1084</v>
      </c>
      <c r="D431" s="1633">
        <f>+'LINEAS IMPULSIÓN-CONDUCCIÓN'!D91</f>
        <v>788.53000000000009</v>
      </c>
      <c r="E431" s="1634">
        <f>+'LINEAS IMPULSIÓN-CONDUCCIÓN'!E91</f>
        <v>23473.224058666663</v>
      </c>
      <c r="F431" s="1637">
        <f>ROUND(+E431*D431,0)</f>
        <v>18509341</v>
      </c>
      <c r="G431" s="2351"/>
      <c r="H431" s="1725"/>
      <c r="I431" s="1640"/>
      <c r="J431" s="2932"/>
      <c r="L431" s="2932"/>
      <c r="M431" s="2932"/>
      <c r="N431" s="2932"/>
      <c r="O431" s="1642"/>
    </row>
    <row r="432" spans="1:17" s="1623" customFormat="1" ht="17.399999999999999">
      <c r="A432" s="1617" t="s">
        <v>7514</v>
      </c>
      <c r="B432" s="1641" t="s">
        <v>6292</v>
      </c>
      <c r="C432" s="1643" t="s">
        <v>1084</v>
      </c>
      <c r="D432" s="1633">
        <f>+'LINEAS IMPULSIÓN-CONDUCCIÓN'!D92</f>
        <v>39.426500000000004</v>
      </c>
      <c r="E432" s="1634">
        <f>+'LINEAS IMPULSIÓN-CONDUCCIÓN'!E92</f>
        <v>75938.251377333334</v>
      </c>
      <c r="F432" s="1637">
        <f t="shared" ref="F432:F437" si="25">+ROUND(E432*D432,0)</f>
        <v>2993979</v>
      </c>
      <c r="G432" s="2352"/>
      <c r="H432" s="1640"/>
      <c r="I432" s="1640"/>
      <c r="J432" s="1644"/>
      <c r="L432" s="1625"/>
      <c r="M432" s="1625"/>
      <c r="N432" s="1625"/>
      <c r="O432" s="1625"/>
      <c r="P432" s="1625"/>
      <c r="Q432" s="1625"/>
    </row>
    <row r="433" spans="1:17" s="1623" customFormat="1" ht="33.6">
      <c r="A433" s="1617" t="s">
        <v>7515</v>
      </c>
      <c r="B433" s="1645" t="s">
        <v>6333</v>
      </c>
      <c r="C433" s="1643" t="s">
        <v>1084</v>
      </c>
      <c r="D433" s="1633">
        <f>+'LINEAS IMPULSIÓN-CONDUCCIÓN'!D93</f>
        <v>2963.299439999998</v>
      </c>
      <c r="E433" s="1634">
        <f>+'LINEAS IMPULSIÓN-CONDUCCIÓN'!E93</f>
        <v>1826.1904761904761</v>
      </c>
      <c r="F433" s="1637">
        <f t="shared" si="25"/>
        <v>5411549</v>
      </c>
      <c r="G433" s="2352"/>
      <c r="H433" s="1640"/>
      <c r="I433" s="1640"/>
      <c r="J433" s="1644"/>
      <c r="L433" s="1625"/>
      <c r="M433" s="1625"/>
      <c r="N433" s="1625"/>
      <c r="O433" s="1625"/>
      <c r="P433" s="1625"/>
      <c r="Q433" s="1625"/>
    </row>
    <row r="434" spans="1:17" s="1623" customFormat="1" ht="50.4">
      <c r="A434" s="1617" t="s">
        <v>7516</v>
      </c>
      <c r="B434" s="1641" t="s">
        <v>5065</v>
      </c>
      <c r="C434" s="1643" t="s">
        <v>1085</v>
      </c>
      <c r="D434" s="1633">
        <f>+'LINEAS IMPULSIÓN-CONDUCCIÓN'!D94</f>
        <v>2649.2499999999991</v>
      </c>
      <c r="E434" s="1634">
        <f>+'LINEAS IMPULSIÓN-CONDUCCIÓN'!E94</f>
        <v>87012</v>
      </c>
      <c r="F434" s="1637">
        <f t="shared" si="25"/>
        <v>230516541</v>
      </c>
      <c r="G434" s="2352"/>
      <c r="H434" s="2932"/>
      <c r="I434" s="1625"/>
      <c r="J434" s="1644"/>
      <c r="K434" s="1625"/>
      <c r="L434" s="1625"/>
      <c r="M434" s="1625"/>
      <c r="N434" s="1625"/>
      <c r="O434" s="1625"/>
      <c r="P434" s="1625"/>
      <c r="Q434" s="1625"/>
    </row>
    <row r="435" spans="1:17" s="1623" customFormat="1" ht="42" customHeight="1">
      <c r="A435" s="1617" t="s">
        <v>7517</v>
      </c>
      <c r="B435" s="1641" t="s">
        <v>1102</v>
      </c>
      <c r="C435" s="364" t="s">
        <v>1085</v>
      </c>
      <c r="D435" s="1633">
        <f>+'LINEAS IMPULSIÓN-CONDUCCIÓN'!D95</f>
        <v>6181.1250000000018</v>
      </c>
      <c r="E435" s="1634">
        <f>+'LINEAS IMPULSIÓN-CONDUCCIÓN'!E95</f>
        <v>12212</v>
      </c>
      <c r="F435" s="1637">
        <f t="shared" si="25"/>
        <v>75483899</v>
      </c>
      <c r="G435" s="2351"/>
      <c r="H435" s="3347"/>
      <c r="I435" s="3347"/>
      <c r="J435" s="3347"/>
      <c r="K435" s="3347"/>
      <c r="L435" s="3347"/>
      <c r="M435" s="3347"/>
      <c r="N435" s="3347"/>
      <c r="O435" s="1642"/>
    </row>
    <row r="436" spans="1:17" s="247" customFormat="1" ht="33.6">
      <c r="A436" s="1617" t="s">
        <v>7518</v>
      </c>
      <c r="B436" s="263" t="s">
        <v>6249</v>
      </c>
      <c r="C436" s="471" t="s">
        <v>1085</v>
      </c>
      <c r="D436" s="1633">
        <f>+'LINEAS IMPULSIÓN-CONDUCCIÓN'!D96</f>
        <v>794.97517000000005</v>
      </c>
      <c r="E436" s="1634">
        <f>+'LINEAS IMPULSIÓN-CONDUCCIÓN'!E96</f>
        <v>88113</v>
      </c>
      <c r="F436" s="1637">
        <f t="shared" si="25"/>
        <v>70047647</v>
      </c>
      <c r="G436" s="249"/>
      <c r="H436" s="2924"/>
      <c r="I436" s="2924"/>
      <c r="J436" s="2924"/>
      <c r="K436" s="2924"/>
      <c r="L436" s="2924"/>
      <c r="M436" s="2924"/>
      <c r="N436" s="2924"/>
      <c r="O436" s="261"/>
    </row>
    <row r="437" spans="1:17" s="1623" customFormat="1" ht="42" customHeight="1">
      <c r="A437" s="1617" t="s">
        <v>7519</v>
      </c>
      <c r="B437" s="1638" t="s">
        <v>5744</v>
      </c>
      <c r="C437" s="364" t="s">
        <v>94</v>
      </c>
      <c r="D437" s="1633">
        <f>+'LINEAS IMPULSIÓN-CONDUCCIÓN'!D97</f>
        <v>20</v>
      </c>
      <c r="E437" s="1634">
        <f>+'LINEAS IMPULSIÓN-CONDUCCIÓN'!E97</f>
        <v>2370123</v>
      </c>
      <c r="F437" s="1637">
        <f t="shared" si="25"/>
        <v>47402460</v>
      </c>
      <c r="G437" s="2351"/>
      <c r="H437" s="2932"/>
      <c r="I437" s="2932"/>
      <c r="J437" s="2932"/>
      <c r="K437" s="2932"/>
      <c r="L437" s="2932"/>
      <c r="M437" s="2932"/>
      <c r="N437" s="2932"/>
      <c r="O437" s="1642"/>
    </row>
    <row r="438" spans="1:17" s="1623" customFormat="1" ht="16.8">
      <c r="A438" s="1594">
        <v>58</v>
      </c>
      <c r="B438" s="1613" t="s">
        <v>1106</v>
      </c>
      <c r="C438" s="1647"/>
      <c r="D438" s="1647"/>
      <c r="E438" s="1647"/>
      <c r="F438" s="2225">
        <f>SUM(F439:F445)</f>
        <v>197103050</v>
      </c>
      <c r="G438" s="2351"/>
      <c r="I438" s="273"/>
      <c r="J438" s="273"/>
      <c r="K438" s="1706"/>
      <c r="L438" s="275"/>
      <c r="M438" s="1625"/>
      <c r="N438" s="1625"/>
      <c r="O438" s="273"/>
      <c r="P438" s="276"/>
      <c r="Q438" s="276"/>
    </row>
    <row r="439" spans="1:17" s="1623" customFormat="1" ht="17.399999999999999">
      <c r="A439" s="1617" t="s">
        <v>7520</v>
      </c>
      <c r="B439" s="1638" t="s">
        <v>1107</v>
      </c>
      <c r="C439" s="1635" t="s">
        <v>1084</v>
      </c>
      <c r="D439" s="1633">
        <f>+'LINEAS IMPULSIÓN-CONDUCCIÓN'!D99</f>
        <v>99.3</v>
      </c>
      <c r="E439" s="1634">
        <f>+'LINEAS IMPULSIÓN-CONDUCCIÓN'!E99</f>
        <v>508061.26403443597</v>
      </c>
      <c r="F439" s="1648">
        <f t="shared" ref="F439:F444" si="26">ROUND((+E439*D439),0)</f>
        <v>50450484</v>
      </c>
      <c r="G439" s="2351"/>
      <c r="I439" s="273"/>
      <c r="J439" s="273"/>
      <c r="K439" s="1706"/>
      <c r="L439" s="275"/>
      <c r="M439" s="1625"/>
      <c r="N439" s="1625"/>
      <c r="O439" s="273"/>
      <c r="P439" s="276"/>
      <c r="Q439" s="276"/>
    </row>
    <row r="440" spans="1:17" s="1623" customFormat="1" ht="50.4">
      <c r="A440" s="1617" t="s">
        <v>7521</v>
      </c>
      <c r="B440" s="1638" t="s">
        <v>1111</v>
      </c>
      <c r="C440" s="1635" t="s">
        <v>1084</v>
      </c>
      <c r="D440" s="1633">
        <f>+'LINEAS IMPULSIÓN-CONDUCCIÓN'!D100</f>
        <v>82.2</v>
      </c>
      <c r="E440" s="1634">
        <f>+'LINEAS IMPULSIÓN-CONDUCCIÓN'!E100</f>
        <v>721312.05156987999</v>
      </c>
      <c r="F440" s="1648">
        <f t="shared" si="26"/>
        <v>59291851</v>
      </c>
      <c r="G440" s="2351"/>
      <c r="I440" s="273"/>
      <c r="J440" s="273"/>
      <c r="K440" s="1706"/>
      <c r="L440" s="275"/>
      <c r="M440" s="1625"/>
      <c r="N440" s="1625"/>
      <c r="O440" s="273"/>
      <c r="P440" s="276"/>
      <c r="Q440" s="276"/>
    </row>
    <row r="441" spans="1:17" s="1623" customFormat="1" ht="16.8">
      <c r="A441" s="1617" t="s">
        <v>7522</v>
      </c>
      <c r="B441" s="1638" t="s">
        <v>1120</v>
      </c>
      <c r="C441" s="1635" t="s">
        <v>94</v>
      </c>
      <c r="D441" s="1633">
        <f>+'LINEAS IMPULSIÓN-CONDUCCIÓN'!D101</f>
        <v>1269.51</v>
      </c>
      <c r="E441" s="1634">
        <f>+'LINEAS IMPULSIÓN-CONDUCCIÓN'!E101</f>
        <v>54299.213951898993</v>
      </c>
      <c r="F441" s="1648">
        <f t="shared" si="26"/>
        <v>68933395</v>
      </c>
      <c r="G441" s="2351"/>
      <c r="I441" s="273"/>
      <c r="J441" s="273"/>
      <c r="K441" s="1706"/>
      <c r="L441" s="275"/>
      <c r="M441" s="1625"/>
      <c r="N441" s="1625"/>
      <c r="O441" s="273"/>
      <c r="P441" s="276"/>
      <c r="Q441" s="276"/>
    </row>
    <row r="442" spans="1:17" s="1623" customFormat="1" ht="16.8">
      <c r="A442" s="1617" t="s">
        <v>7523</v>
      </c>
      <c r="B442" s="1638" t="s">
        <v>1121</v>
      </c>
      <c r="C442" s="1635" t="s">
        <v>94</v>
      </c>
      <c r="D442" s="1633">
        <f>+'LINEAS IMPULSIÓN-CONDUCCIÓN'!D102</f>
        <v>50</v>
      </c>
      <c r="E442" s="1634">
        <f>+'LINEAS IMPULSIÓN-CONDUCCIÓN'!E102</f>
        <v>41838.174079316326</v>
      </c>
      <c r="F442" s="1648">
        <f t="shared" si="26"/>
        <v>2091909</v>
      </c>
      <c r="G442" s="2351"/>
      <c r="I442" s="273"/>
      <c r="J442" s="273"/>
      <c r="K442" s="1706"/>
      <c r="L442" s="275"/>
      <c r="M442" s="1625"/>
      <c r="N442" s="1625"/>
      <c r="O442" s="273"/>
      <c r="P442" s="276"/>
      <c r="Q442" s="276"/>
    </row>
    <row r="443" spans="1:17" s="1623" customFormat="1" ht="50.4">
      <c r="A443" s="1617" t="s">
        <v>7524</v>
      </c>
      <c r="B443" s="1638" t="s">
        <v>1123</v>
      </c>
      <c r="C443" s="1635" t="s">
        <v>1084</v>
      </c>
      <c r="D443" s="1633">
        <f>+'LINEAS IMPULSIÓN-CONDUCCIÓN'!D103</f>
        <v>1.8</v>
      </c>
      <c r="E443" s="1634">
        <f>+'LINEAS IMPULSIÓN-CONDUCCIÓN'!E103</f>
        <v>444652.84510301804</v>
      </c>
      <c r="F443" s="1648">
        <f t="shared" si="26"/>
        <v>800375</v>
      </c>
      <c r="G443" s="2351"/>
      <c r="I443" s="273"/>
      <c r="J443" s="273"/>
      <c r="K443" s="1706"/>
      <c r="L443" s="275"/>
      <c r="M443" s="1625"/>
      <c r="N443" s="1625"/>
      <c r="O443" s="273"/>
      <c r="P443" s="276"/>
      <c r="Q443" s="276"/>
    </row>
    <row r="444" spans="1:17" s="1623" customFormat="1" ht="50.4">
      <c r="A444" s="1617" t="s">
        <v>7525</v>
      </c>
      <c r="B444" s="1618" t="s">
        <v>542</v>
      </c>
      <c r="C444" s="1643" t="s">
        <v>133</v>
      </c>
      <c r="D444" s="1633">
        <f>+'LINEAS IMPULSIÓN-CONDUCCIÓN'!D104</f>
        <v>21</v>
      </c>
      <c r="E444" s="1634">
        <f>+'LINEAS IMPULSIÓN-CONDUCCIÓN'!E104</f>
        <v>704362.91278373147</v>
      </c>
      <c r="F444" s="1648">
        <f t="shared" si="26"/>
        <v>14791621</v>
      </c>
      <c r="G444" s="2353"/>
      <c r="H444" s="1625"/>
      <c r="I444" s="1625"/>
      <c r="J444" s="1625"/>
      <c r="K444" s="1625"/>
    </row>
    <row r="445" spans="1:17" s="1623" customFormat="1" ht="33.6">
      <c r="A445" s="1617" t="s">
        <v>7526</v>
      </c>
      <c r="B445" s="1618" t="s">
        <v>1130</v>
      </c>
      <c r="C445" s="1635" t="s">
        <v>1084</v>
      </c>
      <c r="D445" s="1633">
        <f>+'LINEAS IMPULSIÓN-CONDUCCIÓN'!D105</f>
        <v>1</v>
      </c>
      <c r="E445" s="1634">
        <f>+'LINEAS IMPULSIÓN-CONDUCCIÓN'!E105</f>
        <v>743415.25079918758</v>
      </c>
      <c r="F445" s="1648">
        <f>ROUND((+E445*D445),0)</f>
        <v>743415</v>
      </c>
      <c r="G445" s="2349"/>
    </row>
    <row r="446" spans="1:17" s="247" customFormat="1" ht="16.8">
      <c r="A446" s="2923">
        <v>59</v>
      </c>
      <c r="B446" s="981" t="s">
        <v>5734</v>
      </c>
      <c r="C446" s="982"/>
      <c r="D446" s="982"/>
      <c r="E446" s="982" t="s">
        <v>1158</v>
      </c>
      <c r="F446" s="2244">
        <f>+F447</f>
        <v>240774300</v>
      </c>
      <c r="G446" s="254"/>
      <c r="H446" s="255"/>
      <c r="I446" s="255"/>
      <c r="J446" s="255"/>
      <c r="K446" s="1706"/>
      <c r="L446" s="1706"/>
      <c r="M446" s="255"/>
      <c r="N446" s="255"/>
      <c r="O446" s="255"/>
      <c r="P446" s="255"/>
      <c r="Q446" s="255"/>
    </row>
    <row r="447" spans="1:17" s="247" customFormat="1" ht="16.8">
      <c r="A447" s="1635" t="s">
        <v>7527</v>
      </c>
      <c r="B447" s="323" t="s">
        <v>5735</v>
      </c>
      <c r="C447" s="2926" t="s">
        <v>363</v>
      </c>
      <c r="D447" s="2926">
        <v>1300</v>
      </c>
      <c r="E447" s="1634">
        <f>+'LINEAS IMPULSIÓN-CONDUCCIÓN'!E107</f>
        <v>185211</v>
      </c>
      <c r="F447" s="1648">
        <f>ROUND((+E447*D447),0)</f>
        <v>240774300</v>
      </c>
      <c r="G447" s="254"/>
      <c r="H447" s="255"/>
      <c r="I447" s="255"/>
      <c r="J447" s="255"/>
      <c r="K447" s="1706"/>
      <c r="L447" s="1706"/>
      <c r="M447" s="255"/>
      <c r="N447" s="255"/>
      <c r="O447" s="255"/>
      <c r="P447" s="255"/>
      <c r="Q447" s="255"/>
    </row>
    <row r="448" spans="1:17" s="1623" customFormat="1" ht="16.8">
      <c r="A448" s="1594">
        <v>60</v>
      </c>
      <c r="B448" s="1613" t="s">
        <v>1127</v>
      </c>
      <c r="C448" s="1647"/>
      <c r="D448" s="1647"/>
      <c r="E448" s="1647"/>
      <c r="F448" s="2225" t="e">
        <f>SUM(F449:F462)</f>
        <v>#REF!</v>
      </c>
      <c r="G448" s="1705"/>
      <c r="H448" s="1625"/>
      <c r="I448" s="1625"/>
      <c r="J448" s="1625"/>
      <c r="K448" s="1706"/>
      <c r="L448" s="1706"/>
      <c r="M448" s="1625"/>
      <c r="N448" s="1625"/>
      <c r="O448" s="1625"/>
      <c r="P448" s="1625"/>
      <c r="Q448" s="1625"/>
    </row>
    <row r="449" spans="1:17" s="1623" customFormat="1" ht="16.8">
      <c r="A449" s="2221" t="s">
        <v>7528</v>
      </c>
      <c r="B449" s="1618" t="str">
        <f>+'LINEAS IMPULSIÓN-CONDUCCIÓN'!B109</f>
        <v>Instalación Tubería PEAD Ø 160mm (6") PN 25 RDE 7.4</v>
      </c>
      <c r="C449" s="364" t="s">
        <v>94</v>
      </c>
      <c r="D449" s="1639">
        <f>+'LINEAS IMPULSIÓN-CONDUCCIÓN'!D109</f>
        <v>774</v>
      </c>
      <c r="E449" s="1637">
        <f>+'LINEAS IMPULSIÓN-CONDUCCIÓN'!E109</f>
        <v>12525</v>
      </c>
      <c r="F449" s="1637">
        <f t="shared" ref="F449:F462" si="27">ROUND(+E449*D449,0)</f>
        <v>9694350</v>
      </c>
      <c r="G449" s="1704"/>
      <c r="H449" s="1625"/>
      <c r="I449" s="1625"/>
    </row>
    <row r="450" spans="1:17" s="1623" customFormat="1" ht="16.8">
      <c r="A450" s="2221" t="s">
        <v>7529</v>
      </c>
      <c r="B450" s="1618" t="str">
        <f>+'LINEAS IMPULSIÓN-CONDUCCIÓN'!B110</f>
        <v>Instalación Tubería PEAD Ø 160mm (6") PN 16 RDE 11</v>
      </c>
      <c r="C450" s="364" t="s">
        <v>94</v>
      </c>
      <c r="D450" s="1639">
        <f>+'LINEAS IMPULSIÓN-CONDUCCIÓN'!D110</f>
        <v>1441</v>
      </c>
      <c r="E450" s="1637">
        <f>+'LINEAS IMPULSIÓN-CONDUCCIÓN'!E110</f>
        <v>12525</v>
      </c>
      <c r="F450" s="1637">
        <f t="shared" si="27"/>
        <v>18048525</v>
      </c>
      <c r="G450" s="1704"/>
      <c r="H450" s="1625"/>
      <c r="I450" s="1625"/>
    </row>
    <row r="451" spans="1:17" s="1623" customFormat="1" ht="16.8">
      <c r="A451" s="2221" t="s">
        <v>7530</v>
      </c>
      <c r="B451" s="1618" t="str">
        <f>+'LINEAS IMPULSIÓN-CONDUCCIÓN'!B111</f>
        <v>Instalación Tubería PEAD Ø 160mm (6") PN 12.5 RDE 13.6</v>
      </c>
      <c r="C451" s="364" t="s">
        <v>94</v>
      </c>
      <c r="D451" s="1639">
        <f>+'LINEAS IMPULSIÓN-CONDUCCIÓN'!D111</f>
        <v>3207</v>
      </c>
      <c r="E451" s="1637">
        <f>+'LINEAS IMPULSIÓN-CONDUCCIÓN'!E111</f>
        <v>12525</v>
      </c>
      <c r="F451" s="1637">
        <f t="shared" si="27"/>
        <v>40167675</v>
      </c>
      <c r="G451" s="1704"/>
      <c r="H451" s="1625"/>
      <c r="I451" s="1625"/>
    </row>
    <row r="452" spans="1:17" s="1623" customFormat="1" ht="16.8">
      <c r="A452" s="2221" t="s">
        <v>7531</v>
      </c>
      <c r="B452" s="1618" t="str">
        <f>+'LINEAS IMPULSIÓN-CONDUCCIÓN'!B112</f>
        <v>Instalación Tubería PEAD Ø 160mm (6") PN 10 RDE 17</v>
      </c>
      <c r="C452" s="364" t="s">
        <v>94</v>
      </c>
      <c r="D452" s="1639">
        <f>+'LINEAS IMPULSIÓN-CONDUCCIÓN'!D112</f>
        <v>1178</v>
      </c>
      <c r="E452" s="1637">
        <f>+'LINEAS IMPULSIÓN-CONDUCCIÓN'!E112</f>
        <v>12525</v>
      </c>
      <c r="F452" s="1637">
        <f t="shared" si="27"/>
        <v>14754450</v>
      </c>
      <c r="G452" s="1704"/>
      <c r="H452" s="1625"/>
      <c r="I452" s="1625"/>
    </row>
    <row r="453" spans="1:17" s="1623" customFormat="1" ht="16.8">
      <c r="A453" s="2221" t="s">
        <v>7532</v>
      </c>
      <c r="B453" s="1618" t="str">
        <f>+'LINEAS IMPULSIÓN-CONDUCCIÓN'!B113</f>
        <v>Instalación Tubería PEAD Ø 160mm (6") PN 8 RDE 21</v>
      </c>
      <c r="C453" s="364" t="s">
        <v>94</v>
      </c>
      <c r="D453" s="1639">
        <f>+'LINEAS IMPULSIÓN-CONDUCCIÓN'!D113</f>
        <v>643</v>
      </c>
      <c r="E453" s="1637">
        <f>+'LINEAS IMPULSIÓN-CONDUCCIÓN'!E113</f>
        <v>12525</v>
      </c>
      <c r="F453" s="1637">
        <f t="shared" si="27"/>
        <v>8053575</v>
      </c>
      <c r="G453" s="1704"/>
      <c r="H453" s="1625"/>
      <c r="I453" s="1625"/>
    </row>
    <row r="454" spans="1:17" s="1623" customFormat="1" ht="16.8">
      <c r="A454" s="2221" t="s">
        <v>7533</v>
      </c>
      <c r="B454" s="1618" t="str">
        <f>+'LINEAS IMPULSIÓN-CONDUCCIÓN'!B114</f>
        <v>Instalación Tubería PEAD Ø 160mm (6") PN 6 RDE 26</v>
      </c>
      <c r="C454" s="364" t="s">
        <v>94</v>
      </c>
      <c r="D454" s="1639">
        <f>+'LINEAS IMPULSIÓN-CONDUCCIÓN'!D114</f>
        <v>1130</v>
      </c>
      <c r="E454" s="1637">
        <f>+'LINEAS IMPULSIÓN-CONDUCCIÓN'!E114</f>
        <v>12525</v>
      </c>
      <c r="F454" s="1637">
        <f t="shared" si="27"/>
        <v>14153250</v>
      </c>
      <c r="G454" s="1704"/>
      <c r="H454" s="1625"/>
      <c r="I454" s="1625"/>
    </row>
    <row r="455" spans="1:17" s="1623" customFormat="1" ht="16.8">
      <c r="A455" s="2221" t="s">
        <v>7534</v>
      </c>
      <c r="B455" s="1618" t="str">
        <f>+'LINEAS IMPULSIÓN-CONDUCCIÓN'!B115</f>
        <v>Instalación Tubería PEAD Ø 160mm (6") PN 9 RDE 20</v>
      </c>
      <c r="C455" s="364" t="s">
        <v>94</v>
      </c>
      <c r="D455" s="1639">
        <f>+'LINEAS IMPULSIÓN-CONDUCCIÓN'!D115</f>
        <v>2130</v>
      </c>
      <c r="E455" s="1637">
        <f>+'LINEAS IMPULSIÓN-CONDUCCIÓN'!E115</f>
        <v>12525</v>
      </c>
      <c r="F455" s="1637">
        <f t="shared" si="27"/>
        <v>26678250</v>
      </c>
      <c r="G455" s="1704"/>
      <c r="H455" s="1625"/>
      <c r="I455" s="1625"/>
    </row>
    <row r="456" spans="1:17" s="1623" customFormat="1" ht="16.8">
      <c r="A456" s="2221" t="s">
        <v>7535</v>
      </c>
      <c r="B456" s="1618" t="s">
        <v>1190</v>
      </c>
      <c r="C456" s="364" t="s">
        <v>427</v>
      </c>
      <c r="D456" s="1646">
        <v>9</v>
      </c>
      <c r="E456" s="1637">
        <f>+'LINEAS IMPULSIÓN-CONDUCCIÓN'!E116</f>
        <v>88893.861667976977</v>
      </c>
      <c r="F456" s="1637">
        <f t="shared" si="27"/>
        <v>800045</v>
      </c>
      <c r="G456" s="1704"/>
      <c r="H456" s="1625"/>
      <c r="I456" s="1625"/>
      <c r="J456" s="1669"/>
    </row>
    <row r="457" spans="1:17" s="1623" customFormat="1" ht="16.8">
      <c r="A457" s="2221" t="s">
        <v>7536</v>
      </c>
      <c r="B457" s="1618" t="s">
        <v>4468</v>
      </c>
      <c r="C457" s="364" t="s">
        <v>427</v>
      </c>
      <c r="D457" s="1646">
        <v>8</v>
      </c>
      <c r="E457" s="1637">
        <f>+'LINEAS IMPULSIÓN-CONDUCCIÓN'!E117</f>
        <v>88893.861667976977</v>
      </c>
      <c r="F457" s="1637">
        <f t="shared" si="27"/>
        <v>711151</v>
      </c>
      <c r="G457" s="1704"/>
      <c r="H457" s="1625"/>
      <c r="I457" s="1625"/>
      <c r="J457" s="1669"/>
    </row>
    <row r="458" spans="1:17" s="1623" customFormat="1" ht="15.75" customHeight="1">
      <c r="A458" s="1665" t="s">
        <v>7537</v>
      </c>
      <c r="B458" s="1618" t="s">
        <v>4469</v>
      </c>
      <c r="C458" s="364" t="s">
        <v>427</v>
      </c>
      <c r="D458" s="1646">
        <v>8</v>
      </c>
      <c r="E458" s="1637">
        <f>+'LINEAS IMPULSIÓN-CONDUCCIÓN'!E118</f>
        <v>88893.861667976977</v>
      </c>
      <c r="F458" s="1637">
        <f t="shared" si="27"/>
        <v>711151</v>
      </c>
      <c r="G458" s="1704"/>
      <c r="H458" s="1625"/>
      <c r="I458" s="1625"/>
      <c r="J458" s="1669"/>
    </row>
    <row r="459" spans="1:17" s="1623" customFormat="1" ht="84">
      <c r="A459" s="2221" t="s">
        <v>8779</v>
      </c>
      <c r="B459" s="269" t="s">
        <v>5071</v>
      </c>
      <c r="C459" s="364" t="s">
        <v>427</v>
      </c>
      <c r="D459" s="1649">
        <v>10</v>
      </c>
      <c r="E459" s="1637">
        <f>+'LINEAS IMPULSIÓN-CONDUCCIÓN'!E119</f>
        <v>110366</v>
      </c>
      <c r="F459" s="1637">
        <f t="shared" si="27"/>
        <v>1103660</v>
      </c>
      <c r="G459" s="1704"/>
      <c r="I459" s="1625"/>
      <c r="J459" s="273"/>
      <c r="K459" s="1706"/>
      <c r="L459" s="275"/>
      <c r="M459" s="1625"/>
      <c r="N459" s="1625"/>
      <c r="O459" s="273"/>
      <c r="P459" s="276"/>
      <c r="Q459" s="276"/>
    </row>
    <row r="460" spans="1:17" s="1623" customFormat="1" ht="67.2">
      <c r="A460" s="2221" t="s">
        <v>8780</v>
      </c>
      <c r="B460" s="269" t="s">
        <v>4529</v>
      </c>
      <c r="C460" s="364" t="s">
        <v>427</v>
      </c>
      <c r="D460" s="1649">
        <v>9</v>
      </c>
      <c r="E460" s="1637" t="e">
        <f>+#REF!</f>
        <v>#REF!</v>
      </c>
      <c r="F460" s="1637" t="e">
        <f t="shared" si="27"/>
        <v>#REF!</v>
      </c>
      <c r="G460" s="1704"/>
      <c r="I460" s="1625"/>
      <c r="J460" s="273"/>
      <c r="K460" s="1706"/>
      <c r="L460" s="275"/>
      <c r="M460" s="1625"/>
      <c r="N460" s="1625"/>
      <c r="O460" s="273"/>
      <c r="P460" s="276"/>
      <c r="Q460" s="276"/>
    </row>
    <row r="461" spans="1:17" s="1623" customFormat="1" ht="33.6">
      <c r="A461" s="2221" t="s">
        <v>8781</v>
      </c>
      <c r="B461" s="269" t="s">
        <v>4530</v>
      </c>
      <c r="C461" s="364" t="s">
        <v>427</v>
      </c>
      <c r="D461" s="1649">
        <v>1</v>
      </c>
      <c r="E461" s="1637">
        <f>+'LINEAS IMPULSIÓN-CONDUCCIÓN'!E121</f>
        <v>157916</v>
      </c>
      <c r="F461" s="1637">
        <f t="shared" si="27"/>
        <v>157916</v>
      </c>
      <c r="G461" s="1704"/>
      <c r="I461" s="1625"/>
      <c r="J461" s="273"/>
      <c r="K461" s="1706"/>
      <c r="L461" s="275"/>
      <c r="M461" s="1625"/>
      <c r="N461" s="1625"/>
      <c r="O461" s="273"/>
      <c r="P461" s="276"/>
      <c r="Q461" s="276"/>
    </row>
    <row r="462" spans="1:17" s="1623" customFormat="1" ht="17.399999999999999" thickBot="1">
      <c r="A462" s="2221" t="s">
        <v>8782</v>
      </c>
      <c r="B462" s="2884" t="s">
        <v>4531</v>
      </c>
      <c r="C462" s="1632" t="s">
        <v>427</v>
      </c>
      <c r="D462" s="2885">
        <v>2</v>
      </c>
      <c r="E462" s="1634">
        <f>+'LINEAS IMPULSIÓN-CONDUCCIÓN'!E122</f>
        <v>861036.31183025776</v>
      </c>
      <c r="F462" s="1634">
        <f t="shared" si="27"/>
        <v>1722073</v>
      </c>
      <c r="G462" s="1704"/>
      <c r="I462" s="1625"/>
      <c r="J462" s="273"/>
      <c r="K462" s="1706"/>
      <c r="L462" s="275"/>
      <c r="M462" s="1625"/>
      <c r="N462" s="1625"/>
      <c r="O462" s="273"/>
      <c r="P462" s="276"/>
      <c r="Q462" s="276"/>
    </row>
    <row r="463" spans="1:17" ht="16.8">
      <c r="A463" s="3334" t="s">
        <v>5740</v>
      </c>
      <c r="B463" s="3335"/>
      <c r="C463" s="3335"/>
      <c r="D463" s="3335"/>
      <c r="E463" s="3335"/>
      <c r="F463" s="3356"/>
    </row>
    <row r="464" spans="1:17" ht="33.6">
      <c r="A464" s="1590" t="s">
        <v>22</v>
      </c>
      <c r="B464" s="1591" t="s">
        <v>23</v>
      </c>
      <c r="C464" s="1591" t="s">
        <v>150</v>
      </c>
      <c r="D464" s="1592" t="s">
        <v>539</v>
      </c>
      <c r="E464" s="1593" t="s">
        <v>151</v>
      </c>
      <c r="F464" s="1593" t="s">
        <v>540</v>
      </c>
    </row>
    <row r="465" spans="1:7" ht="18">
      <c r="A465" s="3350"/>
      <c r="B465" s="3350"/>
      <c r="C465" s="3350"/>
      <c r="D465" s="3350"/>
      <c r="E465" s="3350"/>
      <c r="F465" s="3351"/>
    </row>
    <row r="466" spans="1:7" ht="18">
      <c r="A466" s="1726">
        <v>61</v>
      </c>
      <c r="B466" s="1756" t="s">
        <v>8528</v>
      </c>
      <c r="C466" s="1757"/>
      <c r="D466" s="1757"/>
      <c r="E466" s="1757"/>
      <c r="F466" s="2373">
        <f>SUM(F467:F471)</f>
        <v>4031477</v>
      </c>
      <c r="G466" s="2220">
        <f>+SUM(F466,F472,F476,F479,F483,F485,F493,F495,F497,F499,F502,F504,F507)</f>
        <v>591791109</v>
      </c>
    </row>
    <row r="467" spans="1:7" ht="19.8">
      <c r="A467" s="2221" t="s">
        <v>7538</v>
      </c>
      <c r="B467" s="1711" t="s">
        <v>1442</v>
      </c>
      <c r="C467" s="1751" t="s">
        <v>623</v>
      </c>
      <c r="D467" s="1737">
        <f>+' TANQUE PATAGONIA'!E10</f>
        <v>225.28000000000003</v>
      </c>
      <c r="E467" s="1759">
        <f>+' TANQUE PATAGONIA'!F10</f>
        <v>2356</v>
      </c>
      <c r="F467" s="1760">
        <f>ROUND(D467*E467,0)</f>
        <v>530760</v>
      </c>
      <c r="G467" s="2356">
        <f>+' TANQUE PATAGONIA'!G53</f>
        <v>591791109</v>
      </c>
    </row>
    <row r="468" spans="1:7" ht="19.8">
      <c r="A468" s="2221" t="s">
        <v>7539</v>
      </c>
      <c r="B468" s="1711" t="s">
        <v>1374</v>
      </c>
      <c r="C468" s="1751" t="s">
        <v>623</v>
      </c>
      <c r="D468" s="1737">
        <f>+' TANQUE PATAGONIA'!E11</f>
        <v>225.28000000000003</v>
      </c>
      <c r="E468" s="1759">
        <f>+' TANQUE PATAGONIA'!F11</f>
        <v>2904.8114772599997</v>
      </c>
      <c r="F468" s="1760">
        <f t="shared" ref="F468:F500" si="28">ROUND(D468*E468,0)</f>
        <v>654396</v>
      </c>
      <c r="G468" s="2358"/>
    </row>
    <row r="469" spans="1:7" ht="19.8">
      <c r="A469" s="2221" t="s">
        <v>7540</v>
      </c>
      <c r="B469" s="1711" t="s">
        <v>1375</v>
      </c>
      <c r="C469" s="1751" t="s">
        <v>5760</v>
      </c>
      <c r="D469" s="1751">
        <f>+' TANQUE PATAGONIA'!E12</f>
        <v>67.584000000000003</v>
      </c>
      <c r="E469" s="1759">
        <f>+' TANQUE PATAGONIA'!F12</f>
        <v>24714.739345036</v>
      </c>
      <c r="F469" s="1760">
        <f t="shared" si="28"/>
        <v>1670321</v>
      </c>
    </row>
    <row r="470" spans="1:7" ht="33.6">
      <c r="A470" s="2221" t="s">
        <v>7541</v>
      </c>
      <c r="B470" s="1711" t="s">
        <v>1376</v>
      </c>
      <c r="C470" s="1751" t="s">
        <v>363</v>
      </c>
      <c r="D470" s="1751">
        <v>2</v>
      </c>
      <c r="E470" s="1759">
        <f>+' TANQUE PATAGONIA'!F13</f>
        <v>218000</v>
      </c>
      <c r="F470" s="1760">
        <f t="shared" si="28"/>
        <v>436000</v>
      </c>
    </row>
    <row r="471" spans="1:7" ht="33.6">
      <c r="A471" s="2221" t="s">
        <v>7542</v>
      </c>
      <c r="B471" s="1711" t="s">
        <v>1377</v>
      </c>
      <c r="C471" s="1751" t="s">
        <v>363</v>
      </c>
      <c r="D471" s="1751">
        <v>2</v>
      </c>
      <c r="E471" s="1759">
        <f>+' TANQUE PATAGONIA'!F14</f>
        <v>370000</v>
      </c>
      <c r="F471" s="1760">
        <f t="shared" si="28"/>
        <v>740000</v>
      </c>
    </row>
    <row r="472" spans="1:7" ht="18">
      <c r="A472" s="1038">
        <v>62</v>
      </c>
      <c r="B472" s="1670" t="s">
        <v>8529</v>
      </c>
      <c r="C472" s="1757"/>
      <c r="D472" s="1757"/>
      <c r="E472" s="1757"/>
      <c r="F472" s="2373">
        <f>SUM(F473:F475)</f>
        <v>40703892</v>
      </c>
    </row>
    <row r="473" spans="1:7" ht="26.25" customHeight="1">
      <c r="A473" s="2221" t="s">
        <v>7543</v>
      </c>
      <c r="B473" s="1548" t="s">
        <v>6329</v>
      </c>
      <c r="C473" s="1751" t="s">
        <v>5760</v>
      </c>
      <c r="D473" s="1748">
        <f>1489+200</f>
        <v>1689</v>
      </c>
      <c r="E473" s="1759">
        <f>+' TANQUE PATAGONIA'!F16</f>
        <v>10000</v>
      </c>
      <c r="F473" s="1760">
        <f t="shared" si="28"/>
        <v>16890000</v>
      </c>
    </row>
    <row r="474" spans="1:7" ht="28.5" customHeight="1">
      <c r="A474" s="2221" t="s">
        <v>7544</v>
      </c>
      <c r="B474" s="1548" t="s">
        <v>6330</v>
      </c>
      <c r="C474" s="1751" t="s">
        <v>1084</v>
      </c>
      <c r="D474" s="1748">
        <f>934+120</f>
        <v>1054</v>
      </c>
      <c r="E474" s="1759">
        <f>+' TANQUE PATAGONIA'!F17</f>
        <v>15000</v>
      </c>
      <c r="F474" s="1760">
        <f t="shared" si="28"/>
        <v>15810000</v>
      </c>
    </row>
    <row r="475" spans="1:7" ht="19.8">
      <c r="A475" s="2221" t="s">
        <v>7545</v>
      </c>
      <c r="B475" s="1671" t="s">
        <v>6292</v>
      </c>
      <c r="C475" s="1751" t="s">
        <v>5760</v>
      </c>
      <c r="D475" s="1737">
        <f>+D474*0.1</f>
        <v>105.4</v>
      </c>
      <c r="E475" s="1759">
        <f>+' TANQUE PATAGONIA'!F18</f>
        <v>75938.251377333334</v>
      </c>
      <c r="F475" s="1760">
        <f t="shared" si="28"/>
        <v>8003892</v>
      </c>
    </row>
    <row r="476" spans="1:7" ht="18">
      <c r="A476" s="1038">
        <v>63</v>
      </c>
      <c r="B476" s="1651" t="s">
        <v>8530</v>
      </c>
      <c r="C476" s="1672"/>
      <c r="D476" s="1673"/>
      <c r="E476" s="1674"/>
      <c r="F476" s="2373">
        <f>SUM(F477:F478)</f>
        <v>9489050</v>
      </c>
    </row>
    <row r="477" spans="1:7" ht="18">
      <c r="A477" s="2221" t="s">
        <v>7546</v>
      </c>
      <c r="B477" s="1645" t="s">
        <v>1380</v>
      </c>
      <c r="C477" s="1751" t="s">
        <v>1125</v>
      </c>
      <c r="D477" s="1737">
        <v>500</v>
      </c>
      <c r="E477" s="1759">
        <f>+' TANQUE PATAGONIA'!F20</f>
        <v>18238</v>
      </c>
      <c r="F477" s="1760">
        <f t="shared" si="28"/>
        <v>9119000</v>
      </c>
    </row>
    <row r="478" spans="1:7" ht="18">
      <c r="A478" s="2221" t="s">
        <v>7547</v>
      </c>
      <c r="B478" s="1645" t="s">
        <v>1452</v>
      </c>
      <c r="C478" s="1751" t="s">
        <v>1125</v>
      </c>
      <c r="D478" s="1737">
        <v>10</v>
      </c>
      <c r="E478" s="1759">
        <f>+' TANQUE PATAGONIA'!F21</f>
        <v>37005</v>
      </c>
      <c r="F478" s="1760">
        <f t="shared" si="28"/>
        <v>370050</v>
      </c>
    </row>
    <row r="479" spans="1:7" ht="18">
      <c r="A479" s="1038">
        <v>64</v>
      </c>
      <c r="B479" s="1675" t="s">
        <v>8531</v>
      </c>
      <c r="C479" s="1761"/>
      <c r="D479" s="1762"/>
      <c r="E479" s="1763"/>
      <c r="F479" s="2373">
        <f>SUM(F480:F482)</f>
        <v>12126528</v>
      </c>
    </row>
    <row r="480" spans="1:7" ht="50.4">
      <c r="A480" s="2221" t="s">
        <v>7548</v>
      </c>
      <c r="B480" s="1548" t="s">
        <v>1102</v>
      </c>
      <c r="C480" s="1751" t="s">
        <v>5760</v>
      </c>
      <c r="D480" s="1764">
        <v>624</v>
      </c>
      <c r="E480" s="1759">
        <f>+' TANQUE PATAGONIA'!F23</f>
        <v>12212</v>
      </c>
      <c r="F480" s="1760">
        <f t="shared" si="28"/>
        <v>7620288</v>
      </c>
    </row>
    <row r="481" spans="1:6" ht="33.6">
      <c r="A481" s="2221" t="s">
        <v>7549</v>
      </c>
      <c r="B481" s="1671" t="s">
        <v>1454</v>
      </c>
      <c r="C481" s="1751" t="s">
        <v>5760</v>
      </c>
      <c r="D481" s="1737">
        <v>37.200000000000003</v>
      </c>
      <c r="E481" s="1759">
        <f>+' TANQUE PATAGONIA'!F24</f>
        <v>87012</v>
      </c>
      <c r="F481" s="1760">
        <f t="shared" si="28"/>
        <v>3236846</v>
      </c>
    </row>
    <row r="482" spans="1:6" ht="19.8">
      <c r="A482" s="2221" t="s">
        <v>7550</v>
      </c>
      <c r="B482" s="1548" t="s">
        <v>1455</v>
      </c>
      <c r="C482" s="1751" t="s">
        <v>5760</v>
      </c>
      <c r="D482" s="1748">
        <v>24.5</v>
      </c>
      <c r="E482" s="1759">
        <f>+' TANQUE PATAGONIA'!F25</f>
        <v>51812</v>
      </c>
      <c r="F482" s="1760">
        <f t="shared" si="28"/>
        <v>1269394</v>
      </c>
    </row>
    <row r="483" spans="1:6" ht="18">
      <c r="A483" s="1038">
        <v>65</v>
      </c>
      <c r="B483" s="1676" t="s">
        <v>8532</v>
      </c>
      <c r="C483" s="1761"/>
      <c r="D483" s="1765"/>
      <c r="E483" s="1766"/>
      <c r="F483" s="2373">
        <f>SUM(F484:F484)</f>
        <v>70333900</v>
      </c>
    </row>
    <row r="484" spans="1:6" ht="19.8">
      <c r="A484" s="2221" t="s">
        <v>7551</v>
      </c>
      <c r="B484" s="1641" t="s">
        <v>1384</v>
      </c>
      <c r="C484" s="1751" t="s">
        <v>5760</v>
      </c>
      <c r="D484" s="1737">
        <f>+' TANQUE PATAGONIA'!E27</f>
        <v>38514</v>
      </c>
      <c r="E484" s="1759">
        <f>+' TANQUE PATAGONIA'!F27</f>
        <v>1826.1904761904761</v>
      </c>
      <c r="F484" s="1760">
        <f t="shared" si="28"/>
        <v>70333900</v>
      </c>
    </row>
    <row r="485" spans="1:6" ht="18">
      <c r="A485" s="1038">
        <v>66</v>
      </c>
      <c r="B485" s="1677" t="s">
        <v>852</v>
      </c>
      <c r="C485" s="1761"/>
      <c r="D485" s="1765"/>
      <c r="E485" s="1766"/>
      <c r="F485" s="2373">
        <f>SUM(F486:F492)</f>
        <v>300381057</v>
      </c>
    </row>
    <row r="486" spans="1:6" ht="19.8">
      <c r="A486" s="2221" t="s">
        <v>7552</v>
      </c>
      <c r="B486" s="1548" t="s">
        <v>1458</v>
      </c>
      <c r="C486" s="1751" t="s">
        <v>5760</v>
      </c>
      <c r="D486" s="1748">
        <v>40</v>
      </c>
      <c r="E486" s="1759">
        <f>+' TANQUE PATAGONIA'!F29</f>
        <v>481933.30964979</v>
      </c>
      <c r="F486" s="1760">
        <f t="shared" si="28"/>
        <v>19277332</v>
      </c>
    </row>
    <row r="487" spans="1:6" ht="33.6">
      <c r="A487" s="2221" t="s">
        <v>7553</v>
      </c>
      <c r="B487" s="1548" t="s">
        <v>1459</v>
      </c>
      <c r="C487" s="1751" t="s">
        <v>5760</v>
      </c>
      <c r="D487" s="1748">
        <v>45</v>
      </c>
      <c r="E487" s="1759">
        <f>+' TANQUE PATAGONIA'!F30</f>
        <v>710152.3017086701</v>
      </c>
      <c r="F487" s="1760">
        <f t="shared" si="28"/>
        <v>31956854</v>
      </c>
    </row>
    <row r="488" spans="1:6" ht="33.6">
      <c r="A488" s="2221" t="s">
        <v>7554</v>
      </c>
      <c r="B488" s="1548" t="s">
        <v>1460</v>
      </c>
      <c r="C488" s="1751" t="s">
        <v>5760</v>
      </c>
      <c r="D488" s="1748">
        <v>144</v>
      </c>
      <c r="E488" s="1759">
        <f>+' TANQUE PATAGONIA'!F31</f>
        <v>724892.74177067797</v>
      </c>
      <c r="F488" s="1760">
        <f t="shared" si="28"/>
        <v>104384555</v>
      </c>
    </row>
    <row r="489" spans="1:6" ht="33.6">
      <c r="A489" s="2221" t="s">
        <v>7555</v>
      </c>
      <c r="B489" s="1548" t="s">
        <v>1461</v>
      </c>
      <c r="C489" s="1751" t="s">
        <v>3852</v>
      </c>
      <c r="D489" s="1748">
        <v>67</v>
      </c>
      <c r="E489" s="1759">
        <f>+' TANQUE PATAGONIA'!F32</f>
        <v>759372.49177067808</v>
      </c>
      <c r="F489" s="1760">
        <f t="shared" si="28"/>
        <v>50877957</v>
      </c>
    </row>
    <row r="490" spans="1:6" ht="32.25" customHeight="1">
      <c r="A490" s="2221" t="s">
        <v>7556</v>
      </c>
      <c r="B490" s="1548" t="s">
        <v>1462</v>
      </c>
      <c r="C490" s="1751" t="s">
        <v>5760</v>
      </c>
      <c r="D490" s="1748">
        <v>130</v>
      </c>
      <c r="E490" s="1759">
        <f>+' TANQUE PATAGONIA'!F33</f>
        <v>703325</v>
      </c>
      <c r="F490" s="1760">
        <f t="shared" si="28"/>
        <v>91432250</v>
      </c>
    </row>
    <row r="491" spans="1:6" ht="33.6">
      <c r="A491" s="2221" t="s">
        <v>7557</v>
      </c>
      <c r="B491" s="1548" t="s">
        <v>1381</v>
      </c>
      <c r="C491" s="1751" t="s">
        <v>5760</v>
      </c>
      <c r="D491" s="1748">
        <v>2</v>
      </c>
      <c r="E491" s="1759">
        <f>+' TANQUE PATAGONIA'!F34</f>
        <v>727437.63504200336</v>
      </c>
      <c r="F491" s="1760">
        <f t="shared" si="28"/>
        <v>1454875</v>
      </c>
    </row>
    <row r="492" spans="1:6" ht="33.6">
      <c r="A492" s="2221" t="s">
        <v>7558</v>
      </c>
      <c r="B492" s="1548" t="s">
        <v>1463</v>
      </c>
      <c r="C492" s="1751" t="s">
        <v>363</v>
      </c>
      <c r="D492" s="1748">
        <v>1</v>
      </c>
      <c r="E492" s="1759">
        <f>+' TANQUE PATAGONIA'!F35</f>
        <v>997234.17301162367</v>
      </c>
      <c r="F492" s="1760">
        <f t="shared" si="28"/>
        <v>997234</v>
      </c>
    </row>
    <row r="493" spans="1:6" ht="18">
      <c r="A493" s="1718">
        <v>67</v>
      </c>
      <c r="B493" s="1677" t="s">
        <v>1302</v>
      </c>
      <c r="C493" s="1761"/>
      <c r="D493" s="1765"/>
      <c r="E493" s="1766"/>
      <c r="F493" s="2373">
        <f>SUM(F494)</f>
        <v>111694591</v>
      </c>
    </row>
    <row r="494" spans="1:6" ht="18">
      <c r="A494" s="2221" t="s">
        <v>7559</v>
      </c>
      <c r="B494" s="1548" t="s">
        <v>1464</v>
      </c>
      <c r="C494" s="1748" t="s">
        <v>647</v>
      </c>
      <c r="D494" s="1748">
        <v>28359</v>
      </c>
      <c r="E494" s="1759">
        <f>+' TANQUE PATAGONIA'!F37</f>
        <v>3938.5941163025</v>
      </c>
      <c r="F494" s="1760">
        <f t="shared" si="28"/>
        <v>111694591</v>
      </c>
    </row>
    <row r="495" spans="1:6" ht="18">
      <c r="A495" s="1718">
        <v>68</v>
      </c>
      <c r="B495" s="1767" t="s">
        <v>8533</v>
      </c>
      <c r="C495" s="1768"/>
      <c r="D495" s="1768"/>
      <c r="E495" s="1768"/>
      <c r="F495" s="2373">
        <f>SUM(F496)</f>
        <v>18551413</v>
      </c>
    </row>
    <row r="496" spans="1:6" ht="18">
      <c r="A496" s="2221" t="s">
        <v>7560</v>
      </c>
      <c r="B496" s="1548" t="s">
        <v>1466</v>
      </c>
      <c r="C496" s="1748" t="s">
        <v>94</v>
      </c>
      <c r="D496" s="1748">
        <v>424</v>
      </c>
      <c r="E496" s="1759">
        <f>+' TANQUE PATAGONIA'!F39</f>
        <v>43753.333333333372</v>
      </c>
      <c r="F496" s="1760">
        <f t="shared" si="28"/>
        <v>18551413</v>
      </c>
    </row>
    <row r="497" spans="1:16" ht="18">
      <c r="A497" s="1718">
        <v>69</v>
      </c>
      <c r="B497" s="1677" t="s">
        <v>8534</v>
      </c>
      <c r="C497" s="1765"/>
      <c r="D497" s="1765"/>
      <c r="E497" s="1766"/>
      <c r="F497" s="2373">
        <f>SUM(F498)</f>
        <v>19945908</v>
      </c>
    </row>
    <row r="498" spans="1:16" ht="33.6">
      <c r="A498" s="2221" t="s">
        <v>7561</v>
      </c>
      <c r="B498" s="1678" t="s">
        <v>5755</v>
      </c>
      <c r="C498" s="1748" t="s">
        <v>94</v>
      </c>
      <c r="D498" s="1748">
        <v>195</v>
      </c>
      <c r="E498" s="1759">
        <f>+' TANQUE PATAGONIA'!F41</f>
        <v>102286.7096074</v>
      </c>
      <c r="F498" s="1760">
        <f t="shared" si="28"/>
        <v>19945908</v>
      </c>
    </row>
    <row r="499" spans="1:16" ht="18">
      <c r="A499" s="1718">
        <v>70</v>
      </c>
      <c r="B499" s="1677" t="s">
        <v>8535</v>
      </c>
      <c r="C499" s="1761"/>
      <c r="D499" s="1762"/>
      <c r="E499" s="1763"/>
      <c r="F499" s="2373">
        <f>SUM(F500:F500)</f>
        <v>2438618</v>
      </c>
    </row>
    <row r="500" spans="1:16" ht="33.6">
      <c r="A500" s="2221" t="s">
        <v>7562</v>
      </c>
      <c r="B500" s="1671" t="s">
        <v>6661</v>
      </c>
      <c r="C500" s="1769" t="s">
        <v>363</v>
      </c>
      <c r="D500" s="1748">
        <v>1</v>
      </c>
      <c r="E500" s="1759">
        <f>+' TANQUE PATAGONIA'!F43</f>
        <v>2438617.5063487096</v>
      </c>
      <c r="F500" s="1760">
        <f t="shared" si="28"/>
        <v>2438618</v>
      </c>
    </row>
    <row r="501" spans="1:16" ht="18">
      <c r="A501" s="1679"/>
      <c r="B501" s="3350" t="s">
        <v>1389</v>
      </c>
      <c r="C501" s="3350"/>
      <c r="D501" s="3350"/>
      <c r="E501" s="3350"/>
      <c r="F501" s="1680"/>
    </row>
    <row r="502" spans="1:16" ht="18">
      <c r="A502" s="1718">
        <v>71</v>
      </c>
      <c r="B502" s="1047" t="s">
        <v>8536</v>
      </c>
      <c r="C502" s="1765"/>
      <c r="D502" s="1765"/>
      <c r="E502" s="1766"/>
      <c r="F502" s="2373">
        <f>SUM(F503)</f>
        <v>344610</v>
      </c>
    </row>
    <row r="503" spans="1:16" ht="18">
      <c r="A503" s="2221" t="s">
        <v>7563</v>
      </c>
      <c r="B503" s="1671" t="s">
        <v>1477</v>
      </c>
      <c r="C503" s="1751" t="s">
        <v>94</v>
      </c>
      <c r="D503" s="1737">
        <v>90</v>
      </c>
      <c r="E503" s="1759">
        <f>+' TANQUE PATAGONIA'!F46</f>
        <v>3829</v>
      </c>
      <c r="F503" s="1760">
        <f>ROUND(D503*E503,0)</f>
        <v>344610</v>
      </c>
    </row>
    <row r="504" spans="1:16" ht="18">
      <c r="A504" s="1718">
        <v>72</v>
      </c>
      <c r="B504" s="1677" t="s">
        <v>8537</v>
      </c>
      <c r="C504" s="1765"/>
      <c r="D504" s="1765"/>
      <c r="E504" s="1770"/>
      <c r="F504" s="2373">
        <f>SUM(F505:F506)</f>
        <v>708558</v>
      </c>
    </row>
    <row r="505" spans="1:16" ht="18">
      <c r="A505" s="2221" t="s">
        <v>7564</v>
      </c>
      <c r="B505" s="1671" t="s">
        <v>7208</v>
      </c>
      <c r="C505" s="1748" t="s">
        <v>363</v>
      </c>
      <c r="D505" s="1748">
        <v>12</v>
      </c>
      <c r="E505" s="1759">
        <f>+' TANQUE PATAGONIA'!F48</f>
        <v>44628</v>
      </c>
      <c r="F505" s="1760">
        <f>ROUND(D505*E505,0)</f>
        <v>535536</v>
      </c>
    </row>
    <row r="506" spans="1:16" ht="18">
      <c r="A506" s="2221" t="s">
        <v>7565</v>
      </c>
      <c r="B506" s="1671" t="s">
        <v>7209</v>
      </c>
      <c r="C506" s="1748" t="s">
        <v>363</v>
      </c>
      <c r="D506" s="1748">
        <v>3</v>
      </c>
      <c r="E506" s="1759">
        <f>+' TANQUE PATAGONIA'!F49</f>
        <v>57674</v>
      </c>
      <c r="F506" s="1760">
        <f>ROUND(D506*E506,0)</f>
        <v>173022</v>
      </c>
    </row>
    <row r="507" spans="1:16" ht="18">
      <c r="A507" s="1718">
        <v>73</v>
      </c>
      <c r="B507" s="1677" t="s">
        <v>5734</v>
      </c>
      <c r="C507" s="1765"/>
      <c r="D507" s="1765"/>
      <c r="E507" s="1770"/>
      <c r="F507" s="2373">
        <f>SUM(F508:F509)</f>
        <v>1041507</v>
      </c>
    </row>
    <row r="508" spans="1:16" ht="50.4">
      <c r="A508" s="2221" t="s">
        <v>7566</v>
      </c>
      <c r="B508" s="1678" t="s">
        <v>1515</v>
      </c>
      <c r="C508" s="1748" t="s">
        <v>363</v>
      </c>
      <c r="D508" s="1748">
        <v>1</v>
      </c>
      <c r="E508" s="1759">
        <f>+' TANQUE PATAGONIA'!F51</f>
        <v>145504.64763366</v>
      </c>
      <c r="F508" s="1760">
        <f t="shared" ref="F508:F509" si="29">+ROUND(E508*D508,0)</f>
        <v>145505</v>
      </c>
    </row>
    <row r="509" spans="1:16" ht="51" thickBot="1">
      <c r="A509" s="2221" t="s">
        <v>7567</v>
      </c>
      <c r="B509" s="1678" t="s">
        <v>1517</v>
      </c>
      <c r="C509" s="1748" t="s">
        <v>363</v>
      </c>
      <c r="D509" s="1748">
        <v>1</v>
      </c>
      <c r="E509" s="1759">
        <f>+' TANQUE PATAGONIA'!F52</f>
        <v>896002.30384937988</v>
      </c>
      <c r="F509" s="1760">
        <f t="shared" si="29"/>
        <v>896002</v>
      </c>
    </row>
    <row r="510" spans="1:16" ht="16.8">
      <c r="A510" s="3334" t="s">
        <v>5709</v>
      </c>
      <c r="B510" s="3335"/>
      <c r="C510" s="3335"/>
      <c r="D510" s="3335"/>
      <c r="E510" s="3335"/>
      <c r="F510" s="3336"/>
    </row>
    <row r="511" spans="1:16" ht="33.6">
      <c r="A511" s="1590" t="s">
        <v>22</v>
      </c>
      <c r="B511" s="1591" t="s">
        <v>23</v>
      </c>
      <c r="C511" s="1591" t="s">
        <v>150</v>
      </c>
      <c r="D511" s="1592" t="s">
        <v>539</v>
      </c>
      <c r="E511" s="1593" t="s">
        <v>151</v>
      </c>
      <c r="F511" s="1593" t="s">
        <v>540</v>
      </c>
    </row>
    <row r="512" spans="1:16" s="1623" customFormat="1" ht="15" customHeight="1">
      <c r="A512" s="1594">
        <v>75</v>
      </c>
      <c r="B512" s="1613" t="s">
        <v>1127</v>
      </c>
      <c r="C512" s="1647"/>
      <c r="D512" s="1647"/>
      <c r="E512" s="1647"/>
      <c r="F512" s="2225">
        <f>SUM(F513:F533)</f>
        <v>20845315</v>
      </c>
      <c r="G512" s="2800">
        <f>+F512</f>
        <v>20845315</v>
      </c>
      <c r="H512" s="1623" t="s">
        <v>8225</v>
      </c>
      <c r="I512" s="1625"/>
      <c r="J512" s="1706"/>
      <c r="K512" s="1706"/>
      <c r="L512" s="1625"/>
      <c r="M512" s="1625"/>
      <c r="N512" s="1625"/>
      <c r="O512" s="1625"/>
      <c r="P512" s="1625"/>
    </row>
    <row r="513" spans="1:7" ht="16.8">
      <c r="A513" s="1681" t="s">
        <v>7568</v>
      </c>
      <c r="B513" s="1618" t="s">
        <v>4362</v>
      </c>
      <c r="C513" s="364" t="s">
        <v>427</v>
      </c>
      <c r="D513" s="364">
        <v>7</v>
      </c>
      <c r="E513" s="1637">
        <f>+' TANQUE PATAGONIA'!F79</f>
        <v>276370.26245755999</v>
      </c>
      <c r="F513" s="1648">
        <f t="shared" ref="F513:F533" si="30">ROUND((+E513*D513),0)</f>
        <v>1934592</v>
      </c>
      <c r="G513" s="2344">
        <f>+' TANQUE PATAGONIA'!G100</f>
        <v>20845315</v>
      </c>
    </row>
    <row r="514" spans="1:7" ht="16.8">
      <c r="A514" s="1681" t="s">
        <v>7569</v>
      </c>
      <c r="B514" s="1618" t="s">
        <v>4533</v>
      </c>
      <c r="C514" s="364" t="s">
        <v>427</v>
      </c>
      <c r="D514" s="364">
        <v>4</v>
      </c>
      <c r="E514" s="1637">
        <f>+' TANQUE PATAGONIA'!F80</f>
        <v>352274.41006043996</v>
      </c>
      <c r="F514" s="1648">
        <f t="shared" si="30"/>
        <v>1409098</v>
      </c>
    </row>
    <row r="515" spans="1:7" ht="33.6">
      <c r="A515" s="1681" t="s">
        <v>7570</v>
      </c>
      <c r="B515" s="1618" t="s">
        <v>4534</v>
      </c>
      <c r="C515" s="364" t="s">
        <v>427</v>
      </c>
      <c r="D515" s="364">
        <v>8</v>
      </c>
      <c r="E515" s="1637">
        <f>+' TANQUE PATAGONIA'!F81</f>
        <v>512369.79209715204</v>
      </c>
      <c r="F515" s="1648">
        <f t="shared" si="30"/>
        <v>4098958</v>
      </c>
    </row>
    <row r="516" spans="1:7" ht="16.8">
      <c r="A516" s="1681" t="s">
        <v>7571</v>
      </c>
      <c r="B516" s="1618" t="s">
        <v>4535</v>
      </c>
      <c r="C516" s="364" t="s">
        <v>427</v>
      </c>
      <c r="D516" s="364">
        <v>1</v>
      </c>
      <c r="E516" s="1637">
        <f>+' TANQUE PATAGONIA'!F82</f>
        <v>70983.029553407992</v>
      </c>
      <c r="F516" s="1648">
        <f t="shared" si="30"/>
        <v>70983</v>
      </c>
    </row>
    <row r="517" spans="1:7" ht="16.8">
      <c r="A517" s="1681" t="s">
        <v>7572</v>
      </c>
      <c r="B517" s="1618" t="s">
        <v>4536</v>
      </c>
      <c r="C517" s="364" t="s">
        <v>427</v>
      </c>
      <c r="D517" s="364">
        <v>3</v>
      </c>
      <c r="E517" s="1637">
        <f>+' TANQUE PATAGONIA'!F83</f>
        <v>333894.87562250404</v>
      </c>
      <c r="F517" s="1648">
        <f t="shared" si="30"/>
        <v>1001685</v>
      </c>
    </row>
    <row r="518" spans="1:7" ht="16.8">
      <c r="A518" s="1681" t="s">
        <v>7573</v>
      </c>
      <c r="B518" s="1618" t="s">
        <v>4537</v>
      </c>
      <c r="C518" s="364" t="s">
        <v>427</v>
      </c>
      <c r="D518" s="364">
        <v>1</v>
      </c>
      <c r="E518" s="1637">
        <f>+' TANQUE PATAGONIA'!F84</f>
        <v>367590.68875872</v>
      </c>
      <c r="F518" s="1648">
        <f t="shared" si="30"/>
        <v>367591</v>
      </c>
    </row>
    <row r="519" spans="1:7" ht="16.8">
      <c r="A519" s="1681" t="s">
        <v>7574</v>
      </c>
      <c r="B519" s="1618" t="s">
        <v>4538</v>
      </c>
      <c r="C519" s="364" t="s">
        <v>427</v>
      </c>
      <c r="D519" s="364">
        <v>2</v>
      </c>
      <c r="E519" s="1637">
        <f>+' TANQUE PATAGONIA'!F85</f>
        <v>313983.71331473999</v>
      </c>
      <c r="F519" s="1648">
        <f t="shared" si="30"/>
        <v>627967</v>
      </c>
    </row>
    <row r="520" spans="1:7" ht="16.8">
      <c r="A520" s="1681" t="s">
        <v>7575</v>
      </c>
      <c r="B520" s="1618" t="s">
        <v>4539</v>
      </c>
      <c r="C520" s="364" t="s">
        <v>427</v>
      </c>
      <c r="D520" s="364">
        <v>2</v>
      </c>
      <c r="E520" s="1637">
        <f>+' TANQUE PATAGONIA'!F86</f>
        <v>1044998.0987986401</v>
      </c>
      <c r="F520" s="1648">
        <f t="shared" si="30"/>
        <v>2089996</v>
      </c>
    </row>
    <row r="521" spans="1:7" ht="16.8">
      <c r="A521" s="1681" t="s">
        <v>7576</v>
      </c>
      <c r="B521" s="1618" t="s">
        <v>4540</v>
      </c>
      <c r="C521" s="364" t="s">
        <v>427</v>
      </c>
      <c r="D521" s="364">
        <v>2</v>
      </c>
      <c r="E521" s="1637">
        <f>+' TANQUE PATAGONIA'!F87</f>
        <v>983385.06924523204</v>
      </c>
      <c r="F521" s="1648">
        <f t="shared" si="30"/>
        <v>1966770</v>
      </c>
    </row>
    <row r="522" spans="1:7" ht="16.8">
      <c r="A522" s="1681" t="s">
        <v>7577</v>
      </c>
      <c r="B522" s="1618" t="s">
        <v>4541</v>
      </c>
      <c r="C522" s="364" t="s">
        <v>427</v>
      </c>
      <c r="D522" s="364">
        <v>1</v>
      </c>
      <c r="E522" s="1637">
        <f>+' TANQUE PATAGONIA'!F88</f>
        <v>727086.94617785211</v>
      </c>
      <c r="F522" s="1648">
        <f t="shared" si="30"/>
        <v>727087</v>
      </c>
    </row>
    <row r="523" spans="1:7" ht="16.8">
      <c r="A523" s="1681" t="s">
        <v>7578</v>
      </c>
      <c r="B523" s="1618" t="s">
        <v>4542</v>
      </c>
      <c r="C523" s="364" t="s">
        <v>427</v>
      </c>
      <c r="D523" s="364">
        <v>1</v>
      </c>
      <c r="E523" s="1637">
        <f>+' TANQUE PATAGONIA'!F89</f>
        <v>3352549.8701563203</v>
      </c>
      <c r="F523" s="1648">
        <f t="shared" si="30"/>
        <v>3352550</v>
      </c>
    </row>
    <row r="524" spans="1:7" ht="16.8">
      <c r="A524" s="1681" t="s">
        <v>7579</v>
      </c>
      <c r="B524" s="1618" t="s">
        <v>4543</v>
      </c>
      <c r="C524" s="364" t="s">
        <v>427</v>
      </c>
      <c r="D524" s="364">
        <v>1</v>
      </c>
      <c r="E524" s="1637">
        <f>+' TANQUE PATAGONIA'!F90</f>
        <v>1044998.0987986401</v>
      </c>
      <c r="F524" s="1648">
        <f t="shared" si="30"/>
        <v>1044998</v>
      </c>
    </row>
    <row r="525" spans="1:7" ht="16.8">
      <c r="A525" s="1681" t="s">
        <v>7580</v>
      </c>
      <c r="B525" s="1618" t="s">
        <v>4544</v>
      </c>
      <c r="C525" s="364" t="s">
        <v>427</v>
      </c>
      <c r="D525" s="364">
        <v>1</v>
      </c>
      <c r="E525" s="1637">
        <f>+' TANQUE PATAGONIA'!F91</f>
        <v>467146.50029753998</v>
      </c>
      <c r="F525" s="1648">
        <f t="shared" si="30"/>
        <v>467147</v>
      </c>
    </row>
    <row r="526" spans="1:7" ht="16.8">
      <c r="A526" s="1681" t="s">
        <v>7581</v>
      </c>
      <c r="B526" s="1618" t="s">
        <v>4545</v>
      </c>
      <c r="C526" s="364" t="s">
        <v>427</v>
      </c>
      <c r="D526" s="364">
        <v>1</v>
      </c>
      <c r="E526" s="1637">
        <f>+' TANQUE PATAGONIA'!F92</f>
        <v>240465.57556299603</v>
      </c>
      <c r="F526" s="1648">
        <f t="shared" si="30"/>
        <v>240466</v>
      </c>
    </row>
    <row r="527" spans="1:7" ht="16.8">
      <c r="A527" s="1681" t="s">
        <v>7582</v>
      </c>
      <c r="B527" s="1618" t="s">
        <v>5082</v>
      </c>
      <c r="C527" s="364" t="s">
        <v>427</v>
      </c>
      <c r="D527" s="364">
        <v>2</v>
      </c>
      <c r="E527" s="1637">
        <f>+' TANQUE PATAGONIA'!F93</f>
        <v>190534.50700660318</v>
      </c>
      <c r="F527" s="1648">
        <f t="shared" si="30"/>
        <v>381069</v>
      </c>
    </row>
    <row r="528" spans="1:7" ht="16.8">
      <c r="A528" s="1681" t="s">
        <v>7583</v>
      </c>
      <c r="B528" s="1618" t="s">
        <v>4547</v>
      </c>
      <c r="C528" s="364" t="s">
        <v>427</v>
      </c>
      <c r="D528" s="364">
        <v>2</v>
      </c>
      <c r="E528" s="1637">
        <f>+' TANQUE PATAGONIA'!F94</f>
        <v>71986.509881916005</v>
      </c>
      <c r="F528" s="1648">
        <f t="shared" si="30"/>
        <v>143973</v>
      </c>
    </row>
    <row r="529" spans="1:17" ht="16.8">
      <c r="A529" s="1681" t="s">
        <v>7584</v>
      </c>
      <c r="B529" s="1618" t="s">
        <v>4484</v>
      </c>
      <c r="C529" s="364" t="s">
        <v>427</v>
      </c>
      <c r="D529" s="364">
        <v>1</v>
      </c>
      <c r="E529" s="1637">
        <f>+' TANQUE PATAGONIA'!F95</f>
        <v>154496.50828452001</v>
      </c>
      <c r="F529" s="1648">
        <f t="shared" si="30"/>
        <v>154497</v>
      </c>
    </row>
    <row r="530" spans="1:17" ht="16.8">
      <c r="A530" s="1681" t="s">
        <v>7585</v>
      </c>
      <c r="B530" s="1618" t="s">
        <v>5066</v>
      </c>
      <c r="C530" s="364" t="s">
        <v>427</v>
      </c>
      <c r="D530" s="364">
        <v>1</v>
      </c>
      <c r="E530" s="1637">
        <f>+' TANQUE PATAGONIA'!F96</f>
        <v>195695.57716039199</v>
      </c>
      <c r="F530" s="1648">
        <f t="shared" si="30"/>
        <v>195696</v>
      </c>
    </row>
    <row r="531" spans="1:17" ht="16.8">
      <c r="A531" s="1681" t="s">
        <v>7586</v>
      </c>
      <c r="B531" s="1618" t="s">
        <v>5085</v>
      </c>
      <c r="C531" s="364" t="s">
        <v>427</v>
      </c>
      <c r="D531" s="364">
        <v>1</v>
      </c>
      <c r="E531" s="1637">
        <f>+' TANQUE PATAGONIA'!F97</f>
        <v>229585.73621180397</v>
      </c>
      <c r="F531" s="1648">
        <f t="shared" si="30"/>
        <v>229586</v>
      </c>
    </row>
    <row r="532" spans="1:17" ht="16.8">
      <c r="A532" s="1681" t="s">
        <v>7587</v>
      </c>
      <c r="B532" s="1618" t="s">
        <v>5081</v>
      </c>
      <c r="C532" s="364" t="s">
        <v>427</v>
      </c>
      <c r="D532" s="364">
        <v>1</v>
      </c>
      <c r="E532" s="1637">
        <f>+' TANQUE PATAGONIA'!F98</f>
        <v>241997.20343282403</v>
      </c>
      <c r="F532" s="1648">
        <f t="shared" si="30"/>
        <v>241997</v>
      </c>
    </row>
    <row r="533" spans="1:17" ht="17.399999999999999" thickBot="1">
      <c r="A533" s="1681" t="s">
        <v>7588</v>
      </c>
      <c r="B533" s="1618" t="s">
        <v>5083</v>
      </c>
      <c r="C533" s="364" t="s">
        <v>427</v>
      </c>
      <c r="D533" s="364">
        <v>1</v>
      </c>
      <c r="E533" s="1637">
        <f>+' TANQUE PATAGONIA'!F99</f>
        <v>98609.139227045103</v>
      </c>
      <c r="F533" s="1648">
        <f t="shared" si="30"/>
        <v>98609</v>
      </c>
    </row>
    <row r="534" spans="1:17" ht="16.8">
      <c r="A534" s="3334" t="s">
        <v>5756</v>
      </c>
      <c r="B534" s="3335"/>
      <c r="C534" s="3335"/>
      <c r="D534" s="3335"/>
      <c r="E534" s="3335"/>
      <c r="F534" s="3336"/>
    </row>
    <row r="535" spans="1:17" ht="33.6">
      <c r="A535" s="1590" t="s">
        <v>22</v>
      </c>
      <c r="B535" s="1591" t="s">
        <v>23</v>
      </c>
      <c r="C535" s="1591" t="s">
        <v>150</v>
      </c>
      <c r="D535" s="1592" t="s">
        <v>539</v>
      </c>
      <c r="E535" s="1593" t="s">
        <v>151</v>
      </c>
      <c r="F535" s="1593" t="s">
        <v>540</v>
      </c>
    </row>
    <row r="536" spans="1:17" s="1623" customFormat="1" ht="16.8">
      <c r="A536" s="1624" t="s">
        <v>1073</v>
      </c>
      <c r="B536" s="3342" t="s">
        <v>1237</v>
      </c>
      <c r="C536" s="3343"/>
      <c r="D536" s="3343"/>
      <c r="E536" s="3343"/>
      <c r="F536" s="3344"/>
      <c r="G536" s="1705"/>
      <c r="H536" s="1625"/>
      <c r="I536" s="1625"/>
      <c r="J536" s="1625"/>
      <c r="K536" s="1706"/>
      <c r="L536" s="1706"/>
      <c r="M536" s="1625"/>
      <c r="N536" s="1625"/>
      <c r="O536" s="1625"/>
      <c r="P536" s="1625"/>
      <c r="Q536" s="1625"/>
    </row>
    <row r="537" spans="1:17" s="1721" customFormat="1" ht="20.100000000000001" customHeight="1">
      <c r="A537" s="1718"/>
      <c r="B537" s="1626" t="s">
        <v>1082</v>
      </c>
      <c r="C537" s="1719"/>
      <c r="D537" s="1627"/>
      <c r="E537" s="1720"/>
      <c r="F537" s="1628"/>
      <c r="G537" s="2340">
        <f>+SUM(F538,F540,F546,F554,F561,F563)</f>
        <v>935364455</v>
      </c>
      <c r="H537" s="1721" t="s">
        <v>8225</v>
      </c>
      <c r="K537" s="2666"/>
      <c r="L537" s="2666"/>
      <c r="M537" s="2666"/>
    </row>
    <row r="538" spans="1:17" s="1721" customFormat="1" ht="20.100000000000001" customHeight="1">
      <c r="A538" s="1722">
        <v>76</v>
      </c>
      <c r="B538" s="1629" t="s">
        <v>1083</v>
      </c>
      <c r="C538" s="1723"/>
      <c r="D538" s="1630"/>
      <c r="E538" s="1724"/>
      <c r="F538" s="2225">
        <f>+F539</f>
        <v>17810182</v>
      </c>
      <c r="G538" s="2801">
        <f>+'LINEAS IMPULSIÓN-CONDUCCIÓN'!F193</f>
        <v>935364455</v>
      </c>
      <c r="K538" s="2666"/>
      <c r="L538" s="2666"/>
      <c r="M538" s="2666"/>
    </row>
    <row r="539" spans="1:17" s="1623" customFormat="1" ht="16.8">
      <c r="A539" s="1617" t="s">
        <v>7589</v>
      </c>
      <c r="B539" s="1631" t="s">
        <v>1086</v>
      </c>
      <c r="C539" s="1632" t="s">
        <v>1002</v>
      </c>
      <c r="D539" s="1633">
        <f>+'LINEAS IMPULSIÓN-CONDUCCIÓN'!D153</f>
        <v>7559.5</v>
      </c>
      <c r="E539" s="1634">
        <f>+'LINEAS IMPULSIÓN-CONDUCCIÓN'!E153</f>
        <v>2356</v>
      </c>
      <c r="F539" s="1634">
        <f>+ROUND(E539*D539,0)</f>
        <v>17810182</v>
      </c>
      <c r="G539" s="2349"/>
    </row>
    <row r="540" spans="1:17" s="1623" customFormat="1" ht="16.8">
      <c r="A540" s="1722">
        <v>77</v>
      </c>
      <c r="B540" s="1629" t="s">
        <v>1087</v>
      </c>
      <c r="C540" s="1723"/>
      <c r="D540" s="1630"/>
      <c r="E540" s="1724"/>
      <c r="F540" s="2225">
        <f>+ROUND(SUM(F541:F545),0)</f>
        <v>12435278</v>
      </c>
      <c r="G540" s="2359"/>
    </row>
    <row r="541" spans="1:17" s="1623" customFormat="1" ht="16.8">
      <c r="A541" s="1635" t="s">
        <v>7590</v>
      </c>
      <c r="B541" s="1618" t="s">
        <v>1088</v>
      </c>
      <c r="C541" s="1635" t="s">
        <v>356</v>
      </c>
      <c r="D541" s="1633">
        <f>+'LINEAS IMPULSIÓN-CONDUCCIÓN'!D155</f>
        <v>57.2</v>
      </c>
      <c r="E541" s="1634">
        <f>+'LINEAS IMPULSIÓN-CONDUCCIÓN'!E155</f>
        <v>51559</v>
      </c>
      <c r="F541" s="1637">
        <f>+ROUND(E541*D541,0)</f>
        <v>2949175</v>
      </c>
      <c r="G541" s="2349"/>
    </row>
    <row r="542" spans="1:17" s="1623" customFormat="1" ht="16.8">
      <c r="A542" s="1635" t="s">
        <v>7591</v>
      </c>
      <c r="B542" s="1638" t="s">
        <v>1108</v>
      </c>
      <c r="C542" s="1635" t="s">
        <v>94</v>
      </c>
      <c r="D542" s="1633">
        <f>+'LINEAS IMPULSIÓN-CONDUCCIÓN'!D156</f>
        <v>952.58000000000015</v>
      </c>
      <c r="E542" s="1634">
        <f>+'LINEAS IMPULSIÓN-CONDUCCIÓN'!E156</f>
        <v>5176</v>
      </c>
      <c r="F542" s="1637">
        <f t="shared" ref="F542:F545" si="31">+ROUND(E542*D542,0)</f>
        <v>4930554</v>
      </c>
      <c r="G542" s="2349"/>
    </row>
    <row r="543" spans="1:17" s="1623" customFormat="1" ht="16.8">
      <c r="A543" s="1635" t="s">
        <v>7592</v>
      </c>
      <c r="B543" s="1638" t="s">
        <v>1089</v>
      </c>
      <c r="C543" s="1635" t="s">
        <v>94</v>
      </c>
      <c r="D543" s="1633">
        <f>+'LINEAS IMPULSIÓN-CONDUCCIÓN'!D157</f>
        <v>150</v>
      </c>
      <c r="E543" s="1634">
        <f>+'LINEAS IMPULSIÓN-CONDUCCIÓN'!E157</f>
        <v>11371.692038071427</v>
      </c>
      <c r="F543" s="1637">
        <f t="shared" si="31"/>
        <v>1705754</v>
      </c>
      <c r="G543" s="2349"/>
    </row>
    <row r="544" spans="1:17" s="1623" customFormat="1" ht="16.8">
      <c r="A544" s="1635" t="s">
        <v>7593</v>
      </c>
      <c r="B544" s="1638" t="s">
        <v>1090</v>
      </c>
      <c r="C544" s="1635" t="s">
        <v>94</v>
      </c>
      <c r="D544" s="1633">
        <f>+'LINEAS IMPULSIÓN-CONDUCCIÓN'!D158</f>
        <v>75.423600000000008</v>
      </c>
      <c r="E544" s="1634">
        <f>+'LINEAS IMPULSIÓN-CONDUCCIÓN'!E158</f>
        <v>9950.2305333125005</v>
      </c>
      <c r="F544" s="1637">
        <f t="shared" si="31"/>
        <v>750482</v>
      </c>
      <c r="G544" s="2349"/>
    </row>
    <row r="545" spans="1:17" s="1623" customFormat="1" ht="16.8">
      <c r="A545" s="1635" t="s">
        <v>7594</v>
      </c>
      <c r="B545" s="1638" t="s">
        <v>1091</v>
      </c>
      <c r="C545" s="1635" t="s">
        <v>356</v>
      </c>
      <c r="D545" s="1633">
        <f>+'LINEAS IMPULSIÓN-CONDUCCIÓN'!D159</f>
        <v>41.4</v>
      </c>
      <c r="E545" s="1634">
        <f>+'LINEAS IMPULSIÓN-CONDUCCIÓN'!E159</f>
        <v>50708.052078235298</v>
      </c>
      <c r="F545" s="1637">
        <f t="shared" si="31"/>
        <v>2099313</v>
      </c>
      <c r="G545" s="2349"/>
    </row>
    <row r="546" spans="1:17" s="1623" customFormat="1" ht="16.8">
      <c r="A546" s="1722">
        <v>78</v>
      </c>
      <c r="B546" s="1629" t="s">
        <v>1104</v>
      </c>
      <c r="C546" s="1723"/>
      <c r="D546" s="1630"/>
      <c r="E546" s="1724"/>
      <c r="F546" s="2225">
        <f>SUM(F547:F553)</f>
        <v>434179792</v>
      </c>
      <c r="G546" s="2349"/>
    </row>
    <row r="547" spans="1:17" s="1623" customFormat="1" ht="33.6">
      <c r="A547" s="1617" t="s">
        <v>7595</v>
      </c>
      <c r="B547" s="258" t="s">
        <v>6327</v>
      </c>
      <c r="C547" s="364" t="s">
        <v>1084</v>
      </c>
      <c r="D547" s="1633">
        <f>+'LINEAS IMPULSIÓN-CONDUCCIÓN'!D161</f>
        <v>5851.9890000000005</v>
      </c>
      <c r="E547" s="1634">
        <f>+'LINEAS IMPULSIÓN-CONDUCCIÓN'!E161</f>
        <v>10000</v>
      </c>
      <c r="F547" s="1637">
        <f>+ROUND(E547*D547,0)</f>
        <v>58519890</v>
      </c>
      <c r="G547" s="2350"/>
      <c r="H547" s="1640"/>
      <c r="I547" s="1640"/>
    </row>
    <row r="548" spans="1:17" s="1623" customFormat="1" ht="17.399999999999999">
      <c r="A548" s="1617" t="s">
        <v>7596</v>
      </c>
      <c r="B548" s="263" t="s">
        <v>6292</v>
      </c>
      <c r="C548" s="1643" t="s">
        <v>1084</v>
      </c>
      <c r="D548" s="1633">
        <f>+'LINEAS IMPULSIÓN-CONDUCCIÓN'!D162</f>
        <v>59.111000000000004</v>
      </c>
      <c r="E548" s="1634">
        <f>+'LINEAS IMPULSIÓN-CONDUCCIÓN'!E162</f>
        <v>75938.251377333334</v>
      </c>
      <c r="F548" s="1637">
        <f t="shared" ref="F548:F553" si="32">+ROUND(E548*D548,0)</f>
        <v>4488786</v>
      </c>
      <c r="G548" s="2352"/>
      <c r="H548" s="1640"/>
      <c r="I548" s="1640"/>
      <c r="J548" s="1644"/>
      <c r="L548" s="1625"/>
      <c r="M548" s="1625"/>
      <c r="N548" s="1625"/>
      <c r="O548" s="1625"/>
      <c r="P548" s="1625"/>
      <c r="Q548" s="1625"/>
    </row>
    <row r="549" spans="1:17" s="1623" customFormat="1" ht="33.6">
      <c r="A549" s="1617" t="s">
        <v>7597</v>
      </c>
      <c r="B549" s="349" t="s">
        <v>6293</v>
      </c>
      <c r="C549" s="1643" t="s">
        <v>1084</v>
      </c>
      <c r="D549" s="1633">
        <f>+'LINEAS IMPULSIÓN-CONDUCCIÓN'!D163</f>
        <v>3036.7540800000011</v>
      </c>
      <c r="E549" s="1634">
        <f>+'LINEAS IMPULSIÓN-CONDUCCIÓN'!E163</f>
        <v>1826.1904761904761</v>
      </c>
      <c r="F549" s="1637">
        <f t="shared" si="32"/>
        <v>5545691</v>
      </c>
      <c r="G549" s="2352"/>
      <c r="H549" s="1640"/>
      <c r="I549" s="1640"/>
      <c r="J549" s="1644"/>
      <c r="L549" s="1625"/>
      <c r="M549" s="1625"/>
      <c r="N549" s="1625"/>
      <c r="O549" s="1625"/>
      <c r="P549" s="1625"/>
      <c r="Q549" s="1625"/>
    </row>
    <row r="550" spans="1:17" s="1623" customFormat="1" ht="50.4">
      <c r="A550" s="1617" t="s">
        <v>7598</v>
      </c>
      <c r="B550" s="1641" t="s">
        <v>5064</v>
      </c>
      <c r="C550" s="1643" t="s">
        <v>1085</v>
      </c>
      <c r="D550" s="1633">
        <f>+'LINEAS IMPULSIÓN-CONDUCCIÓN'!D164</f>
        <v>2648.875</v>
      </c>
      <c r="E550" s="1634">
        <f>+'LINEAS IMPULSIÓN-CONDUCCIÓN'!E164</f>
        <v>87012</v>
      </c>
      <c r="F550" s="1637">
        <f t="shared" si="32"/>
        <v>230483912</v>
      </c>
      <c r="G550" s="2352"/>
      <c r="H550" s="2932"/>
      <c r="I550" s="1625"/>
      <c r="J550" s="1644"/>
      <c r="K550" s="1625"/>
      <c r="L550" s="1625"/>
      <c r="M550" s="1625"/>
      <c r="N550" s="1625"/>
      <c r="O550" s="1625"/>
      <c r="P550" s="1625"/>
      <c r="Q550" s="1625"/>
    </row>
    <row r="551" spans="1:17" s="1623" customFormat="1" ht="50.4">
      <c r="A551" s="1617" t="s">
        <v>7599</v>
      </c>
      <c r="B551" s="1641" t="s">
        <v>1102</v>
      </c>
      <c r="C551" s="364" t="s">
        <v>1085</v>
      </c>
      <c r="D551" s="1633">
        <f>+'LINEAS IMPULSIÓN-CONDUCCIÓN'!D165</f>
        <v>4433.4999999999982</v>
      </c>
      <c r="E551" s="1634">
        <f>+'LINEAS IMPULSIÓN-CONDUCCIÓN'!E165</f>
        <v>12212</v>
      </c>
      <c r="F551" s="1637">
        <f t="shared" si="32"/>
        <v>54141902</v>
      </c>
      <c r="G551" s="2351"/>
      <c r="H551" s="3347"/>
      <c r="I551" s="3347"/>
      <c r="J551" s="3347"/>
      <c r="K551" s="3347"/>
      <c r="L551" s="3347"/>
      <c r="M551" s="3347"/>
      <c r="N551" s="3347"/>
      <c r="O551" s="1642"/>
    </row>
    <row r="552" spans="1:17" s="247" customFormat="1" ht="33.6">
      <c r="A552" s="1617" t="s">
        <v>7600</v>
      </c>
      <c r="B552" s="263" t="s">
        <v>6249</v>
      </c>
      <c r="C552" s="471" t="s">
        <v>1085</v>
      </c>
      <c r="D552" s="1633">
        <f>+'LINEAS IMPULSIÓN-CONDUCCIÓN'!D166</f>
        <v>104.17629999999997</v>
      </c>
      <c r="E552" s="1634">
        <f>+'LINEAS IMPULSIÓN-CONDUCCIÓN'!E166</f>
        <v>88113</v>
      </c>
      <c r="F552" s="1637">
        <f t="shared" si="32"/>
        <v>9179286</v>
      </c>
      <c r="G552" s="249"/>
      <c r="H552" s="2924"/>
      <c r="I552" s="2924"/>
      <c r="J552" s="2924"/>
      <c r="K552" s="2924"/>
      <c r="L552" s="2924"/>
      <c r="M552" s="2924"/>
      <c r="N552" s="2924"/>
      <c r="O552" s="261"/>
    </row>
    <row r="553" spans="1:17" s="1623" customFormat="1" ht="48.75" customHeight="1">
      <c r="A553" s="1617" t="s">
        <v>7601</v>
      </c>
      <c r="B553" s="1638" t="s">
        <v>5745</v>
      </c>
      <c r="C553" s="364" t="s">
        <v>94</v>
      </c>
      <c r="D553" s="1633">
        <f>+'LINEAS IMPULSIÓN-CONDUCCIÓN'!D167</f>
        <v>25</v>
      </c>
      <c r="E553" s="1634">
        <f>+'LINEAS IMPULSIÓN-CONDUCCIÓN'!E167</f>
        <v>2872813</v>
      </c>
      <c r="F553" s="1637">
        <f t="shared" si="32"/>
        <v>71820325</v>
      </c>
      <c r="G553" s="2351"/>
      <c r="H553" s="2932"/>
      <c r="I553" s="2932"/>
      <c r="J553" s="2932"/>
      <c r="K553" s="2932"/>
      <c r="L553" s="2932"/>
      <c r="M553" s="2932"/>
      <c r="N553" s="2932"/>
      <c r="O553" s="1642"/>
    </row>
    <row r="554" spans="1:17" s="1623" customFormat="1" ht="16.8">
      <c r="A554" s="1594">
        <v>79</v>
      </c>
      <c r="B554" s="1613" t="s">
        <v>1106</v>
      </c>
      <c r="C554" s="1647"/>
      <c r="D554" s="1647"/>
      <c r="E554" s="1647"/>
      <c r="F554" s="2225">
        <f>SUM(F555:F560)</f>
        <v>257705176</v>
      </c>
      <c r="G554" s="2351"/>
      <c r="I554" s="273"/>
      <c r="J554" s="273"/>
      <c r="K554" s="1706"/>
      <c r="L554" s="275"/>
      <c r="M554" s="1625"/>
      <c r="N554" s="1625"/>
      <c r="O554" s="273"/>
      <c r="P554" s="276"/>
      <c r="Q554" s="276"/>
    </row>
    <row r="555" spans="1:17" s="1623" customFormat="1" ht="30.75" customHeight="1">
      <c r="A555" s="1635" t="s">
        <v>7602</v>
      </c>
      <c r="B555" s="1638" t="s">
        <v>1107</v>
      </c>
      <c r="C555" s="1635" t="s">
        <v>1084</v>
      </c>
      <c r="D555" s="1639">
        <f>+'LINEAS IMPULSIÓN-CONDUCCIÓN'!D169</f>
        <v>356.9</v>
      </c>
      <c r="E555" s="1634">
        <f>+'LINEAS IMPULSIÓN-CONDUCCIÓN'!E169</f>
        <v>508061.26403443597</v>
      </c>
      <c r="F555" s="1648">
        <f>ROUND((+E555*D555),0)</f>
        <v>181327065</v>
      </c>
      <c r="G555" s="2351"/>
      <c r="I555" s="273"/>
      <c r="J555" s="273"/>
      <c r="K555" s="1706"/>
      <c r="L555" s="275"/>
      <c r="M555" s="1625"/>
      <c r="N555" s="1625"/>
      <c r="O555" s="273"/>
      <c r="P555" s="276"/>
      <c r="Q555" s="276"/>
    </row>
    <row r="556" spans="1:17" s="1623" customFormat="1" ht="50.4">
      <c r="A556" s="1635" t="s">
        <v>7603</v>
      </c>
      <c r="B556" s="1638" t="s">
        <v>1111</v>
      </c>
      <c r="C556" s="1635" t="s">
        <v>1084</v>
      </c>
      <c r="D556" s="1639">
        <f>+D541</f>
        <v>57.2</v>
      </c>
      <c r="E556" s="1634">
        <f>+'LINEAS IMPULSIÓN-CONDUCCIÓN'!E170</f>
        <v>721312.05156987999</v>
      </c>
      <c r="F556" s="1648">
        <f t="shared" ref="F556:F562" si="33">ROUND((+E556*D556),0)</f>
        <v>41259049</v>
      </c>
      <c r="G556" s="2351"/>
      <c r="I556" s="273"/>
      <c r="J556" s="273"/>
      <c r="K556" s="1706"/>
      <c r="L556" s="275"/>
      <c r="M556" s="1625"/>
      <c r="N556" s="1625"/>
      <c r="O556" s="273"/>
      <c r="P556" s="276"/>
      <c r="Q556" s="276"/>
    </row>
    <row r="557" spans="1:17" s="1623" customFormat="1" ht="16.8">
      <c r="A557" s="1635" t="s">
        <v>7604</v>
      </c>
      <c r="B557" s="1638" t="s">
        <v>1120</v>
      </c>
      <c r="C557" s="1635" t="s">
        <v>94</v>
      </c>
      <c r="D557" s="1639">
        <f>+D544</f>
        <v>75.423600000000008</v>
      </c>
      <c r="E557" s="1634">
        <f>+'LINEAS IMPULSIÓN-CONDUCCIÓN'!E171</f>
        <v>54299.213951898993</v>
      </c>
      <c r="F557" s="1648">
        <f t="shared" si="33"/>
        <v>4095442</v>
      </c>
      <c r="G557" s="2351"/>
      <c r="I557" s="273"/>
      <c r="J557" s="273"/>
      <c r="K557" s="1706"/>
      <c r="L557" s="275"/>
      <c r="M557" s="1625"/>
      <c r="N557" s="1625"/>
      <c r="O557" s="273"/>
      <c r="P557" s="276"/>
      <c r="Q557" s="276"/>
    </row>
    <row r="558" spans="1:17" s="1623" customFormat="1" ht="16.8">
      <c r="A558" s="1635" t="s">
        <v>7605</v>
      </c>
      <c r="B558" s="1638" t="s">
        <v>1121</v>
      </c>
      <c r="C558" s="1635" t="s">
        <v>94</v>
      </c>
      <c r="D558" s="1639">
        <f>+D543</f>
        <v>150</v>
      </c>
      <c r="E558" s="1634">
        <f>+'LINEAS IMPULSIÓN-CONDUCCIÓN'!E172</f>
        <v>41838.174079316326</v>
      </c>
      <c r="F558" s="1648">
        <f t="shared" si="33"/>
        <v>6275726</v>
      </c>
      <c r="G558" s="2351"/>
      <c r="I558" s="273"/>
      <c r="J558" s="273"/>
      <c r="K558" s="1706"/>
      <c r="L558" s="275"/>
      <c r="M558" s="1625"/>
      <c r="N558" s="1625"/>
      <c r="O558" s="273"/>
      <c r="P558" s="276"/>
      <c r="Q558" s="276"/>
    </row>
    <row r="559" spans="1:17" s="1623" customFormat="1" ht="50.4">
      <c r="A559" s="1635" t="s">
        <v>7606</v>
      </c>
      <c r="B559" s="1638" t="s">
        <v>1123</v>
      </c>
      <c r="C559" s="1635" t="s">
        <v>1084</v>
      </c>
      <c r="D559" s="1639">
        <f>+D545</f>
        <v>41.4</v>
      </c>
      <c r="E559" s="1634">
        <f>+'LINEAS IMPULSIÓN-CONDUCCIÓN'!E173</f>
        <v>444652.84510301804</v>
      </c>
      <c r="F559" s="1648">
        <f t="shared" si="33"/>
        <v>18408628</v>
      </c>
      <c r="G559" s="2351"/>
      <c r="I559" s="273"/>
      <c r="J559" s="273"/>
      <c r="K559" s="1706"/>
      <c r="L559" s="275"/>
      <c r="M559" s="1625"/>
      <c r="N559" s="1625"/>
      <c r="O559" s="273"/>
      <c r="P559" s="276"/>
      <c r="Q559" s="276"/>
    </row>
    <row r="560" spans="1:17" s="1623" customFormat="1" ht="50.4">
      <c r="A560" s="1635" t="s">
        <v>7607</v>
      </c>
      <c r="B560" s="1618" t="s">
        <v>542</v>
      </c>
      <c r="C560" s="1643" t="s">
        <v>133</v>
      </c>
      <c r="D560" s="1639">
        <v>9</v>
      </c>
      <c r="E560" s="1634">
        <f>+'LINEAS IMPULSIÓN-CONDUCCIÓN'!E174</f>
        <v>704362.91278373147</v>
      </c>
      <c r="F560" s="1648">
        <f t="shared" si="33"/>
        <v>6339266</v>
      </c>
      <c r="G560" s="2353"/>
      <c r="H560" s="1625"/>
      <c r="I560" s="1625"/>
      <c r="J560" s="1625"/>
      <c r="K560" s="1625"/>
    </row>
    <row r="561" spans="1:17" s="247" customFormat="1" ht="16.8">
      <c r="A561" s="2923">
        <v>80</v>
      </c>
      <c r="B561" s="981" t="s">
        <v>5734</v>
      </c>
      <c r="C561" s="982"/>
      <c r="D561" s="982"/>
      <c r="E561" s="982" t="s">
        <v>1158</v>
      </c>
      <c r="F561" s="2244">
        <f>F562</f>
        <v>129647700</v>
      </c>
      <c r="G561" s="254"/>
      <c r="H561" s="255"/>
      <c r="I561" s="255"/>
      <c r="J561" s="255"/>
      <c r="K561" s="1706"/>
      <c r="L561" s="1706"/>
      <c r="M561" s="255"/>
      <c r="N561" s="255"/>
      <c r="O561" s="255"/>
      <c r="P561" s="255"/>
      <c r="Q561" s="255"/>
    </row>
    <row r="562" spans="1:17" s="247" customFormat="1" ht="16.8">
      <c r="A562" s="1635" t="s">
        <v>7608</v>
      </c>
      <c r="B562" s="323" t="s">
        <v>5735</v>
      </c>
      <c r="C562" s="2926" t="s">
        <v>363</v>
      </c>
      <c r="D562" s="2926">
        <v>700</v>
      </c>
      <c r="E562" s="1634">
        <f>+'LINEAS IMPULSIÓN-CONDUCCIÓN'!E176</f>
        <v>185211</v>
      </c>
      <c r="F562" s="1648">
        <f t="shared" si="33"/>
        <v>129647700</v>
      </c>
      <c r="G562" s="254"/>
      <c r="H562" s="255"/>
      <c r="I562" s="255"/>
      <c r="J562" s="255"/>
      <c r="K562" s="1706"/>
      <c r="L562" s="1706"/>
      <c r="M562" s="255"/>
      <c r="N562" s="255"/>
      <c r="O562" s="255"/>
      <c r="P562" s="255"/>
      <c r="Q562" s="255"/>
    </row>
    <row r="563" spans="1:17" s="1623" customFormat="1" ht="16.8">
      <c r="A563" s="1594">
        <v>81</v>
      </c>
      <c r="B563" s="1613" t="s">
        <v>1127</v>
      </c>
      <c r="C563" s="1647"/>
      <c r="D563" s="1647"/>
      <c r="E563" s="1647"/>
      <c r="F563" s="2225">
        <f>SUM(F564:F578)</f>
        <v>83586327</v>
      </c>
      <c r="G563" s="1705"/>
      <c r="H563" s="1625"/>
      <c r="I563" s="1625"/>
      <c r="J563" s="1625"/>
      <c r="K563" s="1706"/>
      <c r="L563" s="1706"/>
      <c r="M563" s="1625"/>
      <c r="N563" s="1625"/>
      <c r="O563" s="1625"/>
      <c r="P563" s="1625"/>
      <c r="Q563" s="1625"/>
    </row>
    <row r="564" spans="1:17" s="1623" customFormat="1" ht="16.8">
      <c r="A564" s="1617" t="s">
        <v>7609</v>
      </c>
      <c r="B564" s="258" t="s">
        <v>6509</v>
      </c>
      <c r="C564" s="364" t="s">
        <v>94</v>
      </c>
      <c r="D564" s="1639">
        <v>5515.8</v>
      </c>
      <c r="E564" s="1634">
        <f>+'LINEAS IMPULSIÓN-CONDUCCIÓN'!E178</f>
        <v>12525</v>
      </c>
      <c r="F564" s="1637">
        <f>ROUND(+E564*D564,0)</f>
        <v>69085395</v>
      </c>
      <c r="G564" s="2349"/>
    </row>
    <row r="565" spans="1:17" s="1623" customFormat="1" ht="16.8">
      <c r="A565" s="1617" t="s">
        <v>7610</v>
      </c>
      <c r="B565" s="258" t="s">
        <v>1288</v>
      </c>
      <c r="C565" s="364" t="s">
        <v>94</v>
      </c>
      <c r="D565" s="1639">
        <v>1609.8</v>
      </c>
      <c r="E565" s="1634">
        <f>+'LINEAS IMPULSIÓN-CONDUCCIÓN'!E179</f>
        <v>3354</v>
      </c>
      <c r="F565" s="1637">
        <f t="shared" ref="F565:F578" si="34">ROUND(+E565*D565,0)</f>
        <v>5399269</v>
      </c>
      <c r="G565" s="2349"/>
    </row>
    <row r="566" spans="1:17" s="1623" customFormat="1" ht="16.8">
      <c r="A566" s="1617" t="s">
        <v>7611</v>
      </c>
      <c r="B566" s="258" t="s">
        <v>1290</v>
      </c>
      <c r="C566" s="364" t="s">
        <v>94</v>
      </c>
      <c r="D566" s="1639">
        <v>443.9</v>
      </c>
      <c r="E566" s="1634">
        <f>+'LINEAS IMPULSIÓN-CONDUCCIÓN'!E180</f>
        <v>3354</v>
      </c>
      <c r="F566" s="1637">
        <f t="shared" si="34"/>
        <v>1488841</v>
      </c>
      <c r="G566" s="2349"/>
    </row>
    <row r="567" spans="1:17" s="1623" customFormat="1" ht="16.8">
      <c r="A567" s="1617" t="s">
        <v>7612</v>
      </c>
      <c r="B567" s="258" t="s">
        <v>6522</v>
      </c>
      <c r="C567" s="364" t="s">
        <v>133</v>
      </c>
      <c r="D567" s="1639">
        <v>8</v>
      </c>
      <c r="E567" s="1634">
        <f>+'LINEAS IMPULSIÓN-CONDUCCIÓN'!E181</f>
        <v>98609.139227045103</v>
      </c>
      <c r="F567" s="1637">
        <f t="shared" si="34"/>
        <v>788873</v>
      </c>
      <c r="G567" s="2349"/>
    </row>
    <row r="568" spans="1:17" s="1623" customFormat="1" ht="16.8">
      <c r="A568" s="1617" t="s">
        <v>7613</v>
      </c>
      <c r="B568" s="258" t="s">
        <v>6526</v>
      </c>
      <c r="C568" s="364" t="s">
        <v>133</v>
      </c>
      <c r="D568" s="1649">
        <v>3</v>
      </c>
      <c r="E568" s="1634">
        <f>+'LINEAS IMPULSIÓN-CONDUCCIÓN'!E182</f>
        <v>48246.277899581997</v>
      </c>
      <c r="F568" s="1637">
        <f t="shared" si="34"/>
        <v>144739</v>
      </c>
      <c r="G568" s="2351"/>
      <c r="I568" s="273"/>
      <c r="J568" s="273"/>
      <c r="K568" s="1706"/>
      <c r="L568" s="275"/>
      <c r="M568" s="1625"/>
      <c r="N568" s="1625"/>
      <c r="O568" s="273"/>
      <c r="P568" s="276"/>
      <c r="Q568" s="276"/>
    </row>
    <row r="569" spans="1:17" s="1623" customFormat="1" ht="16.8">
      <c r="A569" s="1617" t="s">
        <v>7614</v>
      </c>
      <c r="B569" s="258" t="s">
        <v>6529</v>
      </c>
      <c r="C569" s="1636" t="s">
        <v>133</v>
      </c>
      <c r="D569" s="1649">
        <v>1</v>
      </c>
      <c r="E569" s="1634">
        <f>+'LINEAS IMPULSIÓN-CONDUCCIÓN'!E183</f>
        <v>52075.347574152001</v>
      </c>
      <c r="F569" s="1637">
        <f t="shared" si="34"/>
        <v>52075</v>
      </c>
      <c r="G569" s="2351"/>
      <c r="I569" s="273"/>
      <c r="J569" s="273"/>
      <c r="K569" s="1706"/>
      <c r="L569" s="275"/>
      <c r="M569" s="1625"/>
      <c r="N569" s="1625"/>
      <c r="O569" s="273"/>
      <c r="P569" s="276"/>
      <c r="Q569" s="276"/>
    </row>
    <row r="570" spans="1:17" s="1623" customFormat="1" ht="16.8">
      <c r="A570" s="1617" t="s">
        <v>7615</v>
      </c>
      <c r="B570" s="258" t="s">
        <v>6532</v>
      </c>
      <c r="C570" s="1636" t="s">
        <v>133</v>
      </c>
      <c r="D570" s="1649">
        <v>5</v>
      </c>
      <c r="E570" s="1634">
        <f>+'LINEAS IMPULSIÓN-CONDUCCIÓN'!E184</f>
        <v>55138.603313807995</v>
      </c>
      <c r="F570" s="1637">
        <f t="shared" si="34"/>
        <v>275693</v>
      </c>
      <c r="G570" s="2351"/>
      <c r="I570" s="273"/>
      <c r="J570" s="273"/>
      <c r="K570" s="1706"/>
      <c r="L570" s="275"/>
      <c r="M570" s="1625"/>
      <c r="N570" s="1625"/>
      <c r="O570" s="273"/>
      <c r="P570" s="276"/>
      <c r="Q570" s="276"/>
    </row>
    <row r="571" spans="1:17" s="1623" customFormat="1" ht="16.8">
      <c r="A571" s="1617" t="s">
        <v>7616</v>
      </c>
      <c r="B571" s="258" t="s">
        <v>6536</v>
      </c>
      <c r="C571" s="1636" t="s">
        <v>133</v>
      </c>
      <c r="D571" s="1649">
        <v>1</v>
      </c>
      <c r="E571" s="1634">
        <f>+'LINEAS IMPULSIÓN-CONDUCCIÓN'!E185</f>
        <v>58201.859053464002</v>
      </c>
      <c r="F571" s="1637">
        <f t="shared" si="34"/>
        <v>58202</v>
      </c>
      <c r="G571" s="2351"/>
      <c r="I571" s="273"/>
      <c r="J571" s="273"/>
      <c r="K571" s="1706"/>
      <c r="L571" s="275"/>
      <c r="M571" s="1625"/>
      <c r="N571" s="1625"/>
      <c r="O571" s="273"/>
      <c r="P571" s="276"/>
      <c r="Q571" s="276"/>
    </row>
    <row r="572" spans="1:17" s="1623" customFormat="1" ht="84">
      <c r="A572" s="1617" t="s">
        <v>7617</v>
      </c>
      <c r="B572" s="269" t="s">
        <v>6930</v>
      </c>
      <c r="C572" s="1636" t="s">
        <v>133</v>
      </c>
      <c r="D572" s="1649">
        <v>5</v>
      </c>
      <c r="E572" s="1634">
        <f>+'LINEAS IMPULSIÓN-CONDUCCIÓN'!E186</f>
        <v>87303</v>
      </c>
      <c r="F572" s="1637">
        <f t="shared" si="34"/>
        <v>436515</v>
      </c>
      <c r="G572" s="2351"/>
      <c r="I572" s="273"/>
      <c r="J572" s="273"/>
      <c r="K572" s="1706"/>
      <c r="L572" s="275"/>
      <c r="M572" s="1625"/>
      <c r="N572" s="1625"/>
      <c r="O572" s="273"/>
      <c r="P572" s="276"/>
      <c r="Q572" s="276"/>
    </row>
    <row r="573" spans="1:17" s="1623" customFormat="1" ht="67.2">
      <c r="A573" s="1617" t="s">
        <v>7618</v>
      </c>
      <c r="B573" s="269" t="s">
        <v>6932</v>
      </c>
      <c r="C573" s="1636" t="s">
        <v>133</v>
      </c>
      <c r="D573" s="1649">
        <v>3</v>
      </c>
      <c r="E573" s="1634">
        <f>+'LINEAS IMPULSIÓN-CONDUCCIÓN'!E187</f>
        <v>96493</v>
      </c>
      <c r="F573" s="1637">
        <f t="shared" si="34"/>
        <v>289479</v>
      </c>
      <c r="G573" s="2351"/>
      <c r="I573" s="273"/>
      <c r="J573" s="273"/>
      <c r="K573" s="1706"/>
      <c r="L573" s="275"/>
      <c r="M573" s="1625"/>
      <c r="N573" s="1625"/>
      <c r="O573" s="273"/>
      <c r="P573" s="276"/>
      <c r="Q573" s="276"/>
    </row>
    <row r="574" spans="1:17" s="1623" customFormat="1" ht="58.5" customHeight="1">
      <c r="A574" s="1617" t="s">
        <v>7619</v>
      </c>
      <c r="B574" s="269" t="s">
        <v>6934</v>
      </c>
      <c r="C574" s="1636" t="s">
        <v>133</v>
      </c>
      <c r="D574" s="1649">
        <v>1</v>
      </c>
      <c r="E574" s="1634">
        <f>+'LINEAS IMPULSIÓN-CONDUCCIÓN'!E188</f>
        <v>98014</v>
      </c>
      <c r="F574" s="1637">
        <f t="shared" si="34"/>
        <v>98014</v>
      </c>
      <c r="G574" s="2351"/>
      <c r="I574" s="273"/>
      <c r="J574" s="273"/>
      <c r="K574" s="1706"/>
      <c r="L574" s="275"/>
      <c r="M574" s="1625"/>
      <c r="N574" s="1625"/>
      <c r="O574" s="273"/>
      <c r="P574" s="276"/>
      <c r="Q574" s="276"/>
    </row>
    <row r="575" spans="1:17" s="1623" customFormat="1" ht="33.6">
      <c r="A575" s="1617" t="s">
        <v>7620</v>
      </c>
      <c r="B575" s="269" t="s">
        <v>6936</v>
      </c>
      <c r="C575" s="1636" t="s">
        <v>133</v>
      </c>
      <c r="D575" s="1649">
        <v>1</v>
      </c>
      <c r="E575" s="1634">
        <f>+'LINEAS IMPULSIÓN-CONDUCCIÓN'!E189</f>
        <v>202175</v>
      </c>
      <c r="F575" s="1637">
        <f t="shared" si="34"/>
        <v>202175</v>
      </c>
      <c r="G575" s="2351"/>
      <c r="I575" s="273"/>
      <c r="J575" s="273"/>
      <c r="K575" s="1706"/>
      <c r="L575" s="275"/>
      <c r="M575" s="1625"/>
      <c r="N575" s="1625"/>
      <c r="O575" s="273"/>
      <c r="P575" s="276"/>
      <c r="Q575" s="276"/>
    </row>
    <row r="576" spans="1:17" s="1623" customFormat="1" ht="33.6">
      <c r="A576" s="1617" t="s">
        <v>7621</v>
      </c>
      <c r="B576" s="269" t="s">
        <v>6939</v>
      </c>
      <c r="C576" s="1636" t="s">
        <v>133</v>
      </c>
      <c r="D576" s="1649">
        <v>1</v>
      </c>
      <c r="E576" s="1634">
        <f>+'LINEAS IMPULSIÓN-CONDUCCIÓN'!E190</f>
        <v>255095</v>
      </c>
      <c r="F576" s="1637">
        <f t="shared" si="34"/>
        <v>255095</v>
      </c>
      <c r="G576" s="2351"/>
      <c r="I576" s="273"/>
      <c r="J576" s="273"/>
      <c r="K576" s="1706"/>
      <c r="L576" s="275"/>
      <c r="M576" s="1625"/>
      <c r="N576" s="1625"/>
      <c r="O576" s="273"/>
      <c r="P576" s="276"/>
      <c r="Q576" s="276"/>
    </row>
    <row r="577" spans="1:17" s="1623" customFormat="1" ht="151.19999999999999">
      <c r="A577" s="1617" t="s">
        <v>7622</v>
      </c>
      <c r="B577" s="269" t="s">
        <v>6944</v>
      </c>
      <c r="C577" s="1636" t="s">
        <v>133</v>
      </c>
      <c r="D577" s="1649">
        <v>1</v>
      </c>
      <c r="E577" s="1634">
        <f>+'LINEAS IMPULSIÓN-CONDUCCIÓN'!E191</f>
        <v>861036.31183025776</v>
      </c>
      <c r="F577" s="1637">
        <f t="shared" si="34"/>
        <v>861036</v>
      </c>
      <c r="G577" s="2351"/>
      <c r="I577" s="273"/>
      <c r="J577" s="273"/>
      <c r="K577" s="1706"/>
      <c r="L577" s="275"/>
      <c r="M577" s="1625"/>
      <c r="N577" s="1625"/>
      <c r="O577" s="273"/>
      <c r="P577" s="276"/>
      <c r="Q577" s="276"/>
    </row>
    <row r="578" spans="1:17" s="1623" customFormat="1" ht="184.8">
      <c r="A578" s="1617" t="s">
        <v>7623</v>
      </c>
      <c r="B578" s="269" t="s">
        <v>6948</v>
      </c>
      <c r="C578" s="1636" t="s">
        <v>133</v>
      </c>
      <c r="D578" s="1649">
        <v>2</v>
      </c>
      <c r="E578" s="1634">
        <f>+'LINEAS IMPULSIÓN-CONDUCCIÓN'!E192</f>
        <v>2075463.0987915022</v>
      </c>
      <c r="F578" s="1637">
        <f t="shared" si="34"/>
        <v>4150926</v>
      </c>
      <c r="G578" s="2351"/>
      <c r="I578" s="273"/>
      <c r="J578" s="273"/>
      <c r="K578" s="1706"/>
      <c r="L578" s="275"/>
      <c r="M578" s="1625"/>
      <c r="N578" s="1625"/>
      <c r="O578" s="273"/>
      <c r="P578" s="276"/>
      <c r="Q578" s="276"/>
    </row>
    <row r="579" spans="1:17" s="2953" customFormat="1" ht="27" hidden="1" customHeight="1">
      <c r="A579" s="3359"/>
      <c r="B579" s="3360"/>
      <c r="C579" s="3360"/>
      <c r="D579" s="3360"/>
      <c r="E579" s="3361"/>
      <c r="G579" s="2947">
        <f>+G538+G513+G467+H420+G398+G348+G256+G147+G104+G59+G6</f>
        <v>5830072845</v>
      </c>
      <c r="H579" s="2948"/>
      <c r="I579" s="2949"/>
      <c r="J579" s="2949"/>
      <c r="K579" s="2950"/>
      <c r="L579" s="2951"/>
      <c r="M579" s="2948"/>
      <c r="N579" s="2948"/>
      <c r="O579" s="2949"/>
      <c r="P579" s="2952"/>
      <c r="Q579" s="2952"/>
    </row>
    <row r="580" spans="1:17" s="2953" customFormat="1" ht="16.8" hidden="1">
      <c r="A580" s="3362"/>
      <c r="B580" s="3363"/>
      <c r="C580" s="3363"/>
      <c r="D580" s="3364"/>
      <c r="E580" s="2954"/>
      <c r="F580" s="2946"/>
      <c r="G580" s="2947"/>
      <c r="I580" s="2949"/>
      <c r="J580" s="2949"/>
      <c r="K580" s="2950"/>
      <c r="L580" s="2951"/>
      <c r="M580" s="2948"/>
      <c r="N580" s="2948"/>
      <c r="O580" s="2949"/>
      <c r="P580" s="2952"/>
      <c r="Q580" s="2952"/>
    </row>
    <row r="581" spans="1:17" s="2953" customFormat="1" ht="16.8" hidden="1">
      <c r="A581" s="3362"/>
      <c r="B581" s="3363"/>
      <c r="C581" s="3363"/>
      <c r="D581" s="3364"/>
      <c r="E581" s="2955"/>
      <c r="F581" s="2946"/>
      <c r="G581" s="2947"/>
      <c r="I581" s="2949"/>
      <c r="J581" s="2949"/>
      <c r="K581" s="2950"/>
      <c r="L581" s="2951"/>
      <c r="M581" s="2948"/>
      <c r="N581" s="2948"/>
      <c r="O581" s="2949"/>
      <c r="P581" s="2952"/>
      <c r="Q581" s="2952"/>
    </row>
    <row r="582" spans="1:17" s="2953" customFormat="1" ht="16.8" hidden="1">
      <c r="A582" s="3362"/>
      <c r="B582" s="3363"/>
      <c r="C582" s="3363"/>
      <c r="D582" s="3364"/>
      <c r="E582" s="2956"/>
      <c r="F582" s="2946"/>
      <c r="G582" s="2947"/>
      <c r="I582" s="2949"/>
      <c r="J582" s="2949"/>
      <c r="K582" s="2950"/>
      <c r="L582" s="2951"/>
      <c r="M582" s="2948"/>
      <c r="N582" s="2948"/>
      <c r="O582" s="2949"/>
      <c r="P582" s="2952"/>
      <c r="Q582" s="2952"/>
    </row>
    <row r="583" spans="1:17" s="2953" customFormat="1" ht="28.5" hidden="1" customHeight="1">
      <c r="A583" s="3359"/>
      <c r="B583" s="3360"/>
      <c r="C583" s="3360"/>
      <c r="D583" s="3360"/>
      <c r="E583" s="3361"/>
      <c r="F583" s="2946"/>
      <c r="G583" s="2947"/>
      <c r="I583" s="2949"/>
      <c r="J583" s="2949"/>
      <c r="K583" s="2950"/>
      <c r="L583" s="2951"/>
      <c r="M583" s="2948"/>
      <c r="N583" s="2948"/>
      <c r="O583" s="2949"/>
      <c r="P583" s="2952"/>
      <c r="Q583" s="2952"/>
    </row>
    <row r="584" spans="1:17" ht="36.75" customHeight="1" thickBot="1">
      <c r="A584" s="3365" t="s">
        <v>4193</v>
      </c>
      <c r="B584" s="3366"/>
      <c r="C584" s="3366"/>
      <c r="D584" s="3366"/>
      <c r="E584" s="3366"/>
      <c r="F584" s="3367"/>
    </row>
    <row r="585" spans="1:17" ht="16.8">
      <c r="A585" s="3334" t="str">
        <f>+A3</f>
        <v>CAPTACIÓN RIO SINÚ</v>
      </c>
      <c r="B585" s="3335"/>
      <c r="C585" s="3335"/>
      <c r="D585" s="3335"/>
      <c r="E585" s="3335"/>
      <c r="F585" s="3336"/>
    </row>
    <row r="586" spans="1:17" ht="33.6">
      <c r="A586" s="1590" t="s">
        <v>22</v>
      </c>
      <c r="B586" s="1591" t="s">
        <v>23</v>
      </c>
      <c r="C586" s="1591" t="s">
        <v>150</v>
      </c>
      <c r="D586" s="1592" t="s">
        <v>539</v>
      </c>
      <c r="E586" s="1593" t="s">
        <v>151</v>
      </c>
      <c r="F586" s="1593" t="s">
        <v>540</v>
      </c>
    </row>
    <row r="587" spans="1:17" ht="16.8">
      <c r="A587" s="1683">
        <v>82</v>
      </c>
      <c r="B587" s="3357" t="s">
        <v>5190</v>
      </c>
      <c r="C587" s="3358"/>
      <c r="D587" s="3358"/>
      <c r="E587" s="1684"/>
      <c r="F587" s="2245">
        <f>SUM(F588:F589)</f>
        <v>1705350</v>
      </c>
      <c r="G587" s="2979">
        <f>+SUM(F587,F590,F596,F599,F602,F604,F606,F608,F611,F613,F615,F620,F628,F632,F634,F636)</f>
        <v>665345385</v>
      </c>
      <c r="H587" s="1717" t="s">
        <v>8225</v>
      </c>
    </row>
    <row r="588" spans="1:17" ht="33.6">
      <c r="A588" s="1617" t="s">
        <v>7624</v>
      </c>
      <c r="B588" s="1598" t="s">
        <v>5563</v>
      </c>
      <c r="C588" s="1599" t="s">
        <v>5191</v>
      </c>
      <c r="D588" s="1471">
        <v>1</v>
      </c>
      <c r="E588" s="1600">
        <f>+'CAPTACION RIO SINÚ'!E66</f>
        <v>1389200</v>
      </c>
      <c r="F588" s="1637">
        <f>ROUND(+E588*D588,0)</f>
        <v>1389200</v>
      </c>
      <c r="G588" s="2356">
        <f>+'CAPTACION RIO SINÚ'!F116</f>
        <v>665345385</v>
      </c>
    </row>
    <row r="589" spans="1:17" ht="16.8">
      <c r="A589" s="1617" t="s">
        <v>7625</v>
      </c>
      <c r="B589" s="1601" t="s">
        <v>5350</v>
      </c>
      <c r="C589" s="1599" t="s">
        <v>5191</v>
      </c>
      <c r="D589" s="1602">
        <v>1</v>
      </c>
      <c r="E589" s="1600">
        <f>+'CAPTACION RIO SINÚ'!E67</f>
        <v>316150</v>
      </c>
      <c r="F589" s="1637">
        <f t="shared" ref="F589:F598" si="35">ROUND(+E589*D589,0)</f>
        <v>316150</v>
      </c>
    </row>
    <row r="590" spans="1:17" ht="16.8">
      <c r="A590" s="1683">
        <v>83</v>
      </c>
      <c r="B590" s="3357" t="s">
        <v>5552</v>
      </c>
      <c r="C590" s="3358"/>
      <c r="D590" s="3358"/>
      <c r="E590" s="1684"/>
      <c r="F590" s="2245">
        <f>SUM(F591:F595)</f>
        <v>66131900</v>
      </c>
    </row>
    <row r="591" spans="1:17" ht="33.6">
      <c r="A591" s="1617" t="s">
        <v>7626</v>
      </c>
      <c r="B591" s="1598" t="s">
        <v>5564</v>
      </c>
      <c r="C591" s="1599" t="s">
        <v>5191</v>
      </c>
      <c r="D591" s="1471">
        <v>1</v>
      </c>
      <c r="E591" s="1600">
        <f>+'CAPTACION RIO SINÚ'!E69</f>
        <v>25245000</v>
      </c>
      <c r="F591" s="1637">
        <f t="shared" si="35"/>
        <v>25245000</v>
      </c>
    </row>
    <row r="592" spans="1:17" ht="50.4">
      <c r="A592" s="1617" t="s">
        <v>7627</v>
      </c>
      <c r="B592" s="1598" t="s">
        <v>5565</v>
      </c>
      <c r="C592" s="1599" t="s">
        <v>5191</v>
      </c>
      <c r="D592" s="1471">
        <v>1</v>
      </c>
      <c r="E592" s="1600">
        <f>+'CAPTACION RIO SINÚ'!E70</f>
        <v>2182400</v>
      </c>
      <c r="F592" s="1637">
        <f t="shared" si="35"/>
        <v>2182400</v>
      </c>
    </row>
    <row r="593" spans="1:13" ht="50.4">
      <c r="A593" s="1617" t="s">
        <v>7628</v>
      </c>
      <c r="B593" s="1598" t="s">
        <v>5566</v>
      </c>
      <c r="C593" s="1599" t="s">
        <v>4693</v>
      </c>
      <c r="D593" s="1471">
        <v>30</v>
      </c>
      <c r="E593" s="1600">
        <f>+'CAPTACION RIO SINÚ'!E71</f>
        <v>174500</v>
      </c>
      <c r="F593" s="1637">
        <f t="shared" si="35"/>
        <v>5235000</v>
      </c>
    </row>
    <row r="594" spans="1:13" s="1717" customFormat="1" ht="16.8">
      <c r="A594" s="1617" t="s">
        <v>7629</v>
      </c>
      <c r="B594" s="1598" t="s">
        <v>5434</v>
      </c>
      <c r="C594" s="1599" t="s">
        <v>5192</v>
      </c>
      <c r="D594" s="1471">
        <v>1</v>
      </c>
      <c r="E594" s="1600">
        <f>+'CAPTACION RIO SINÚ'!E72</f>
        <v>1269500</v>
      </c>
      <c r="F594" s="1637">
        <f t="shared" si="35"/>
        <v>1269500</v>
      </c>
      <c r="G594" s="2354"/>
      <c r="K594" s="1733"/>
      <c r="L594" s="1733"/>
      <c r="M594" s="1733"/>
    </row>
    <row r="595" spans="1:13" ht="67.2">
      <c r="A595" s="1617" t="s">
        <v>7630</v>
      </c>
      <c r="B595" s="1603" t="s">
        <v>5431</v>
      </c>
      <c r="C595" s="1604" t="s">
        <v>5191</v>
      </c>
      <c r="D595" s="1492">
        <v>1</v>
      </c>
      <c r="E595" s="1600">
        <f>+'CAPTACION RIO SINÚ'!E73</f>
        <v>32200000</v>
      </c>
      <c r="F595" s="1637">
        <f t="shared" si="35"/>
        <v>32200000</v>
      </c>
    </row>
    <row r="596" spans="1:13" ht="16.8">
      <c r="A596" s="1683">
        <v>84</v>
      </c>
      <c r="B596" s="3357" t="s">
        <v>5526</v>
      </c>
      <c r="C596" s="3358"/>
      <c r="D596" s="3358"/>
      <c r="E596" s="1684"/>
      <c r="F596" s="2245">
        <f>SUM(F597:F598)</f>
        <v>1405005</v>
      </c>
    </row>
    <row r="597" spans="1:13" ht="16.8">
      <c r="A597" s="1617" t="s">
        <v>7631</v>
      </c>
      <c r="B597" s="1598" t="s">
        <v>5442</v>
      </c>
      <c r="C597" s="1599" t="s">
        <v>5191</v>
      </c>
      <c r="D597" s="1471">
        <v>2</v>
      </c>
      <c r="E597" s="1600">
        <f>+'CAPTACION RIO SINÚ'!E75</f>
        <v>320381</v>
      </c>
      <c r="F597" s="1637">
        <f t="shared" si="35"/>
        <v>640762</v>
      </c>
    </row>
    <row r="598" spans="1:13" ht="16.8">
      <c r="A598" s="1617" t="s">
        <v>7632</v>
      </c>
      <c r="B598" s="1598" t="s">
        <v>5250</v>
      </c>
      <c r="C598" s="1599" t="s">
        <v>5191</v>
      </c>
      <c r="D598" s="1471">
        <v>3</v>
      </c>
      <c r="E598" s="1600">
        <f>+'CAPTACION RIO SINÚ'!E76</f>
        <v>254747.5</v>
      </c>
      <c r="F598" s="1637">
        <f t="shared" si="35"/>
        <v>764243</v>
      </c>
    </row>
    <row r="599" spans="1:13" ht="16.8">
      <c r="A599" s="1683">
        <v>85</v>
      </c>
      <c r="B599" s="3357" t="s">
        <v>5527</v>
      </c>
      <c r="C599" s="3358"/>
      <c r="D599" s="3358"/>
      <c r="E599" s="1684"/>
      <c r="F599" s="2245">
        <f>SUM(F600:F601)</f>
        <v>4800000</v>
      </c>
    </row>
    <row r="600" spans="1:13" ht="34.5" customHeight="1">
      <c r="A600" s="1617" t="s">
        <v>7633</v>
      </c>
      <c r="B600" s="1605" t="s">
        <v>5251</v>
      </c>
      <c r="C600" s="1599" t="s">
        <v>5191</v>
      </c>
      <c r="D600" s="1472">
        <v>1</v>
      </c>
      <c r="E600" s="1600">
        <f>+'CAPTACION RIO SINÚ'!E78</f>
        <v>4120000</v>
      </c>
      <c r="F600" s="1637">
        <f>ROUND(+E600*D600,0)</f>
        <v>4120000</v>
      </c>
    </row>
    <row r="601" spans="1:13" ht="50.4">
      <c r="A601" s="1617" t="s">
        <v>7634</v>
      </c>
      <c r="B601" s="1606" t="s">
        <v>5567</v>
      </c>
      <c r="C601" s="1599" t="s">
        <v>5191</v>
      </c>
      <c r="D601" s="1472">
        <v>1</v>
      </c>
      <c r="E601" s="1600">
        <f>+'CAPTACION RIO SINÚ'!E79</f>
        <v>680000</v>
      </c>
      <c r="F601" s="1637">
        <f>ROUND(+E601*D601,0)</f>
        <v>680000</v>
      </c>
    </row>
    <row r="602" spans="1:13" ht="28.5" customHeight="1">
      <c r="A602" s="1683">
        <v>86</v>
      </c>
      <c r="B602" s="3357" t="s">
        <v>5528</v>
      </c>
      <c r="C602" s="3358"/>
      <c r="D602" s="3358"/>
      <c r="E602" s="1684"/>
      <c r="F602" s="2245">
        <f>SUM(F603)</f>
        <v>10815000</v>
      </c>
    </row>
    <row r="603" spans="1:13" ht="50.4">
      <c r="A603" s="1617" t="s">
        <v>7635</v>
      </c>
      <c r="B603" s="1605" t="s">
        <v>5452</v>
      </c>
      <c r="C603" s="1599" t="s">
        <v>4693</v>
      </c>
      <c r="D603" s="1471">
        <v>15</v>
      </c>
      <c r="E603" s="1600">
        <f>+'CAPTACION RIO SINÚ'!E81</f>
        <v>721000</v>
      </c>
      <c r="F603" s="1637">
        <f>ROUND(+E603*D603,0)</f>
        <v>10815000</v>
      </c>
    </row>
    <row r="604" spans="1:13" ht="36" customHeight="1">
      <c r="A604" s="1683">
        <v>87</v>
      </c>
      <c r="B604" s="3357" t="s">
        <v>5529</v>
      </c>
      <c r="C604" s="3358"/>
      <c r="D604" s="3358"/>
      <c r="E604" s="1684"/>
      <c r="F604" s="2245">
        <f>SUM(F605)</f>
        <v>33280000</v>
      </c>
    </row>
    <row r="605" spans="1:13" ht="60" customHeight="1">
      <c r="A605" s="1617" t="s">
        <v>7636</v>
      </c>
      <c r="B605" s="1605" t="s">
        <v>5457</v>
      </c>
      <c r="C605" s="1599" t="s">
        <v>5191</v>
      </c>
      <c r="D605" s="1472">
        <v>1</v>
      </c>
      <c r="E605" s="1600">
        <f>+'CAPTACION RIO SINÚ'!E83</f>
        <v>33280000</v>
      </c>
      <c r="F605" s="1637">
        <f>ROUND(+E605*D605,0)</f>
        <v>33280000</v>
      </c>
    </row>
    <row r="606" spans="1:13" ht="39.75" customHeight="1">
      <c r="A606" s="1683">
        <v>88</v>
      </c>
      <c r="B606" s="3357" t="s">
        <v>5530</v>
      </c>
      <c r="C606" s="3358"/>
      <c r="D606" s="3358"/>
      <c r="E606" s="1684"/>
      <c r="F606" s="2245">
        <f>SUM(F607)</f>
        <v>17810000</v>
      </c>
    </row>
    <row r="607" spans="1:13" ht="63" customHeight="1">
      <c r="A607" s="1617" t="s">
        <v>7637</v>
      </c>
      <c r="B607" s="1605" t="s">
        <v>5464</v>
      </c>
      <c r="C607" s="1599" t="s">
        <v>4693</v>
      </c>
      <c r="D607" s="1471">
        <v>26</v>
      </c>
      <c r="E607" s="1600">
        <f>+'CAPTACION RIO SINÚ'!E85</f>
        <v>685000</v>
      </c>
      <c r="F607" s="1637">
        <f>ROUND(+E607*D607,0)</f>
        <v>17810000</v>
      </c>
    </row>
    <row r="608" spans="1:13" ht="35.25" customHeight="1">
      <c r="A608" s="1683">
        <v>89</v>
      </c>
      <c r="B608" s="3357" t="s">
        <v>5531</v>
      </c>
      <c r="C608" s="3358"/>
      <c r="D608" s="3358"/>
      <c r="E608" s="1684"/>
      <c r="F608" s="2245">
        <f>SUM(F609:F610)</f>
        <v>11052000</v>
      </c>
    </row>
    <row r="609" spans="1:6" ht="67.2">
      <c r="A609" s="1617" t="s">
        <v>7638</v>
      </c>
      <c r="B609" s="1605" t="s">
        <v>5568</v>
      </c>
      <c r="C609" s="1599" t="s">
        <v>4693</v>
      </c>
      <c r="D609" s="1471">
        <v>15</v>
      </c>
      <c r="E609" s="1600">
        <f>+'CAPTACION RIO SINÚ'!E87</f>
        <v>685000</v>
      </c>
      <c r="F609" s="1637">
        <f>ROUND(+E609*D609,0)</f>
        <v>10275000</v>
      </c>
    </row>
    <row r="610" spans="1:6" ht="16.8">
      <c r="A610" s="1617" t="s">
        <v>7639</v>
      </c>
      <c r="B610" s="1605" t="s">
        <v>5468</v>
      </c>
      <c r="C610" s="1599" t="s">
        <v>4693</v>
      </c>
      <c r="D610" s="1471">
        <v>7</v>
      </c>
      <c r="E610" s="1600">
        <f>+'CAPTACION RIO SINÚ'!E88</f>
        <v>111000</v>
      </c>
      <c r="F610" s="1637">
        <f>ROUND(+E610*D610,0)</f>
        <v>777000</v>
      </c>
    </row>
    <row r="611" spans="1:6" ht="16.8">
      <c r="A611" s="1683">
        <v>90</v>
      </c>
      <c r="B611" s="3357" t="s">
        <v>5532</v>
      </c>
      <c r="C611" s="3358"/>
      <c r="D611" s="3358"/>
      <c r="E611" s="1684"/>
      <c r="F611" s="2245">
        <f>SUM(F612)</f>
        <v>195214714</v>
      </c>
    </row>
    <row r="612" spans="1:6" ht="67.2">
      <c r="A612" s="1617" t="s">
        <v>7640</v>
      </c>
      <c r="B612" s="1607" t="s">
        <v>5471</v>
      </c>
      <c r="C612" s="1599" t="s">
        <v>5191</v>
      </c>
      <c r="D612" s="1471">
        <v>1</v>
      </c>
      <c r="E612" s="1600">
        <f>+'CAPTACION RIO SINÚ'!E90</f>
        <v>195214714</v>
      </c>
      <c r="F612" s="1637">
        <f>ROUND(+E612*D612,0)</f>
        <v>195214714</v>
      </c>
    </row>
    <row r="613" spans="1:6" ht="16.8">
      <c r="A613" s="1683">
        <v>91</v>
      </c>
      <c r="B613" s="3357" t="s">
        <v>5533</v>
      </c>
      <c r="C613" s="3358"/>
      <c r="D613" s="3358"/>
      <c r="E613" s="1684"/>
      <c r="F613" s="2245">
        <f>SUM(F614)</f>
        <v>135473000</v>
      </c>
    </row>
    <row r="614" spans="1:6" ht="129.75" customHeight="1">
      <c r="A614" s="1617" t="s">
        <v>7641</v>
      </c>
      <c r="B614" s="1598" t="s">
        <v>5569</v>
      </c>
      <c r="C614" s="1599" t="s">
        <v>5191</v>
      </c>
      <c r="D614" s="1472">
        <v>1</v>
      </c>
      <c r="E614" s="1600">
        <f>+'CAPTACION RIO SINÚ'!E92</f>
        <v>135473000</v>
      </c>
      <c r="F614" s="1637">
        <f>ROUND(+E614*D614,0)</f>
        <v>135473000</v>
      </c>
    </row>
    <row r="615" spans="1:6" ht="16.8">
      <c r="A615" s="1683">
        <v>92</v>
      </c>
      <c r="B615" s="3357" t="s">
        <v>5534</v>
      </c>
      <c r="C615" s="3358"/>
      <c r="D615" s="3358"/>
      <c r="E615" s="1684"/>
      <c r="F615" s="2245">
        <f>SUM(F616:F619)</f>
        <v>11352800</v>
      </c>
    </row>
    <row r="616" spans="1:6" ht="50.4">
      <c r="A616" s="1617" t="s">
        <v>7642</v>
      </c>
      <c r="B616" s="1605" t="s">
        <v>5570</v>
      </c>
      <c r="C616" s="1599" t="s">
        <v>4693</v>
      </c>
      <c r="D616" s="1471">
        <v>30</v>
      </c>
      <c r="E616" s="1600">
        <f>+'CAPTACION RIO SINÚ'!E94</f>
        <v>22050</v>
      </c>
      <c r="F616" s="1637">
        <f>ROUND(+E616*D616,0)</f>
        <v>661500</v>
      </c>
    </row>
    <row r="617" spans="1:6" ht="50.4">
      <c r="A617" s="1617" t="s">
        <v>7643</v>
      </c>
      <c r="B617" s="1605" t="s">
        <v>5571</v>
      </c>
      <c r="C617" s="1599" t="s">
        <v>4693</v>
      </c>
      <c r="D617" s="1471">
        <v>10</v>
      </c>
      <c r="E617" s="1600">
        <f>+'CAPTACION RIO SINÚ'!E95</f>
        <v>42050</v>
      </c>
      <c r="F617" s="1637">
        <f t="shared" ref="F617:F627" si="36">ROUND(+E617*D617,0)</f>
        <v>420500</v>
      </c>
    </row>
    <row r="618" spans="1:6" ht="67.2">
      <c r="A618" s="1617" t="s">
        <v>7644</v>
      </c>
      <c r="B618" s="1605" t="s">
        <v>5572</v>
      </c>
      <c r="C618" s="1599" t="s">
        <v>4693</v>
      </c>
      <c r="D618" s="1471">
        <v>56</v>
      </c>
      <c r="E618" s="1600">
        <f>+'CAPTACION RIO SINÚ'!E96</f>
        <v>169050</v>
      </c>
      <c r="F618" s="1637">
        <f t="shared" si="36"/>
        <v>9466800</v>
      </c>
    </row>
    <row r="619" spans="1:6" ht="33.6">
      <c r="A619" s="1617" t="s">
        <v>7645</v>
      </c>
      <c r="B619" s="1605" t="s">
        <v>5573</v>
      </c>
      <c r="C619" s="1599" t="s">
        <v>4693</v>
      </c>
      <c r="D619" s="1471">
        <v>12</v>
      </c>
      <c r="E619" s="1600">
        <f>+'CAPTACION RIO SINÚ'!E97</f>
        <v>67000</v>
      </c>
      <c r="F619" s="1637">
        <f t="shared" si="36"/>
        <v>804000</v>
      </c>
    </row>
    <row r="620" spans="1:6" ht="16.8">
      <c r="A620" s="1683">
        <v>93</v>
      </c>
      <c r="B620" s="3357" t="s">
        <v>5535</v>
      </c>
      <c r="C620" s="3358"/>
      <c r="D620" s="3358"/>
      <c r="E620" s="1684"/>
      <c r="F620" s="2245">
        <f>SUM(F621:F627)</f>
        <v>7660400</v>
      </c>
    </row>
    <row r="621" spans="1:6" ht="50.4">
      <c r="A621" s="1617" t="s">
        <v>7646</v>
      </c>
      <c r="B621" s="1605" t="s">
        <v>5123</v>
      </c>
      <c r="C621" s="1599" t="s">
        <v>5191</v>
      </c>
      <c r="D621" s="1471">
        <v>1</v>
      </c>
      <c r="E621" s="1600">
        <f>+'CAPTACION RIO SINÚ'!E99</f>
        <v>285000</v>
      </c>
      <c r="F621" s="1637">
        <f t="shared" si="36"/>
        <v>285000</v>
      </c>
    </row>
    <row r="622" spans="1:6" ht="50.4">
      <c r="A622" s="1617" t="s">
        <v>7647</v>
      </c>
      <c r="B622" s="1605" t="s">
        <v>5574</v>
      </c>
      <c r="C622" s="1599" t="s">
        <v>5191</v>
      </c>
      <c r="D622" s="1471">
        <v>1</v>
      </c>
      <c r="E622" s="1600">
        <f>+'CAPTACION RIO SINÚ'!E100</f>
        <v>478000</v>
      </c>
      <c r="F622" s="1637">
        <f t="shared" si="36"/>
        <v>478000</v>
      </c>
    </row>
    <row r="623" spans="1:6" ht="33.6">
      <c r="A623" s="1617" t="s">
        <v>7648</v>
      </c>
      <c r="B623" s="1609" t="s">
        <v>5575</v>
      </c>
      <c r="C623" s="1599" t="s">
        <v>5191</v>
      </c>
      <c r="D623" s="1471">
        <v>33</v>
      </c>
      <c r="E623" s="1600">
        <f>+'CAPTACION RIO SINÚ'!E101</f>
        <v>46200</v>
      </c>
      <c r="F623" s="1637">
        <f t="shared" si="36"/>
        <v>1524600</v>
      </c>
    </row>
    <row r="624" spans="1:6" ht="33.6">
      <c r="A624" s="1617" t="s">
        <v>7649</v>
      </c>
      <c r="B624" s="1609" t="s">
        <v>5576</v>
      </c>
      <c r="C624" s="1599" t="s">
        <v>5191</v>
      </c>
      <c r="D624" s="1471">
        <v>5</v>
      </c>
      <c r="E624" s="1600">
        <f>+'CAPTACION RIO SINÚ'!E102</f>
        <v>39400</v>
      </c>
      <c r="F624" s="1637">
        <f t="shared" si="36"/>
        <v>197000</v>
      </c>
    </row>
    <row r="625" spans="1:13" ht="33.6">
      <c r="A625" s="1617" t="s">
        <v>7650</v>
      </c>
      <c r="B625" s="1609" t="s">
        <v>5577</v>
      </c>
      <c r="C625" s="1599" t="s">
        <v>5191</v>
      </c>
      <c r="D625" s="1471">
        <v>2</v>
      </c>
      <c r="E625" s="1600">
        <f>+'CAPTACION RIO SINÚ'!E103</f>
        <v>52100</v>
      </c>
      <c r="F625" s="1637">
        <f t="shared" si="36"/>
        <v>104200</v>
      </c>
    </row>
    <row r="626" spans="1:13" ht="16.8">
      <c r="A626" s="1617" t="s">
        <v>7651</v>
      </c>
      <c r="B626" s="1609" t="s">
        <v>5159</v>
      </c>
      <c r="C626" s="1599" t="s">
        <v>5191</v>
      </c>
      <c r="D626" s="1471">
        <v>19</v>
      </c>
      <c r="E626" s="1600">
        <f>+'CAPTACION RIO SINÚ'!E104</f>
        <v>215200</v>
      </c>
      <c r="F626" s="1637">
        <f t="shared" si="36"/>
        <v>4088800</v>
      </c>
    </row>
    <row r="627" spans="1:13" ht="16.8">
      <c r="A627" s="1617" t="s">
        <v>7652</v>
      </c>
      <c r="B627" s="1609" t="s">
        <v>5165</v>
      </c>
      <c r="C627" s="1599" t="s">
        <v>5191</v>
      </c>
      <c r="D627" s="1471">
        <v>14</v>
      </c>
      <c r="E627" s="1600">
        <f>+'CAPTACION RIO SINÚ'!E105</f>
        <v>70200</v>
      </c>
      <c r="F627" s="1637">
        <f t="shared" si="36"/>
        <v>982800</v>
      </c>
    </row>
    <row r="628" spans="1:13" ht="16.8">
      <c r="A628" s="1683">
        <v>94</v>
      </c>
      <c r="B628" s="3357" t="s">
        <v>5536</v>
      </c>
      <c r="C628" s="3358"/>
      <c r="D628" s="3358"/>
      <c r="E628" s="1684"/>
      <c r="F628" s="2245">
        <f>SUM(F629:F631)</f>
        <v>6304000</v>
      </c>
    </row>
    <row r="629" spans="1:13" ht="50.4">
      <c r="A629" s="1617" t="s">
        <v>7653</v>
      </c>
      <c r="B629" s="1482" t="s">
        <v>5168</v>
      </c>
      <c r="C629" s="364" t="s">
        <v>4693</v>
      </c>
      <c r="D629" s="1610">
        <v>90</v>
      </c>
      <c r="E629" s="1600">
        <f>+'CAPTACION RIO SINÚ'!E107</f>
        <v>12200</v>
      </c>
      <c r="F629" s="1637">
        <f>ROUND(+E629*D629,0)</f>
        <v>1098000</v>
      </c>
    </row>
    <row r="630" spans="1:13" ht="32.25" customHeight="1">
      <c r="A630" s="1617" t="s">
        <v>7654</v>
      </c>
      <c r="B630" s="1482" t="s">
        <v>5578</v>
      </c>
      <c r="C630" s="364" t="s">
        <v>5191</v>
      </c>
      <c r="D630" s="1610">
        <v>5</v>
      </c>
      <c r="E630" s="1600">
        <f>+'CAPTACION RIO SINÚ'!E108</f>
        <v>925200</v>
      </c>
      <c r="F630" s="1637">
        <f t="shared" ref="F630:F635" si="37">ROUND(+E630*D630,0)</f>
        <v>4626000</v>
      </c>
    </row>
    <row r="631" spans="1:13" ht="16.8">
      <c r="A631" s="1617" t="s">
        <v>7655</v>
      </c>
      <c r="B631" s="1482" t="s">
        <v>5263</v>
      </c>
      <c r="C631" s="364" t="s">
        <v>5191</v>
      </c>
      <c r="D631" s="1610">
        <v>4</v>
      </c>
      <c r="E631" s="1600">
        <f>+'CAPTACION RIO SINÚ'!E109</f>
        <v>145000</v>
      </c>
      <c r="F631" s="1637">
        <f t="shared" si="37"/>
        <v>580000</v>
      </c>
    </row>
    <row r="632" spans="1:13" ht="16.8">
      <c r="A632" s="1683">
        <v>95</v>
      </c>
      <c r="B632" s="3357" t="s">
        <v>5537</v>
      </c>
      <c r="C632" s="3358"/>
      <c r="D632" s="3358"/>
      <c r="E632" s="1684"/>
      <c r="F632" s="2245">
        <f>SUM(F633)</f>
        <v>24420000</v>
      </c>
    </row>
    <row r="633" spans="1:13" ht="151.19999999999999">
      <c r="A633" s="1617" t="s">
        <v>7656</v>
      </c>
      <c r="B633" s="1709" t="s">
        <v>5595</v>
      </c>
      <c r="C633" s="1599" t="s">
        <v>5191</v>
      </c>
      <c r="D633" s="1471">
        <v>1</v>
      </c>
      <c r="E633" s="1600">
        <f>+'CAPTACION RIO SINÚ'!E111</f>
        <v>24420000</v>
      </c>
      <c r="F633" s="1637">
        <f t="shared" si="37"/>
        <v>24420000</v>
      </c>
    </row>
    <row r="634" spans="1:13" ht="16.8">
      <c r="A634" s="1683">
        <v>96</v>
      </c>
      <c r="B634" s="3357" t="s">
        <v>5657</v>
      </c>
      <c r="C634" s="3358"/>
      <c r="D634" s="3358"/>
      <c r="E634" s="1684"/>
      <c r="F634" s="2245">
        <f>SUM(F635)</f>
        <v>131111216</v>
      </c>
    </row>
    <row r="635" spans="1:13" s="1717" customFormat="1" ht="117.6">
      <c r="A635" s="1617" t="s">
        <v>7657</v>
      </c>
      <c r="B635" s="1611" t="s">
        <v>3674</v>
      </c>
      <c r="C635" s="1612" t="s">
        <v>5191</v>
      </c>
      <c r="D635" s="1612">
        <v>3</v>
      </c>
      <c r="E635" s="1600">
        <f>+'CAPTACION RIO SINÚ'!E113</f>
        <v>43703738.5</v>
      </c>
      <c r="F635" s="1637">
        <f t="shared" si="37"/>
        <v>131111216</v>
      </c>
      <c r="G635" s="2354"/>
      <c r="K635" s="1733"/>
      <c r="L635" s="1733"/>
      <c r="M635" s="1733"/>
    </row>
    <row r="636" spans="1:13" ht="16.8">
      <c r="A636" s="1683">
        <v>97</v>
      </c>
      <c r="B636" s="3357" t="s">
        <v>5538</v>
      </c>
      <c r="C636" s="3358"/>
      <c r="D636" s="3358"/>
      <c r="E636" s="1684"/>
      <c r="F636" s="2245">
        <f>SUM(F637)</f>
        <v>6810000</v>
      </c>
    </row>
    <row r="637" spans="1:13" s="1717" customFormat="1" ht="18.600000000000001" thickBot="1">
      <c r="A637" s="1617" t="s">
        <v>7658</v>
      </c>
      <c r="B637" s="2983" t="s">
        <v>5189</v>
      </c>
      <c r="C637" s="1599" t="s">
        <v>5076</v>
      </c>
      <c r="D637" s="2984">
        <v>1</v>
      </c>
      <c r="E637" s="1600">
        <f>+'CAPTACION RIO SINÚ'!E115</f>
        <v>6810000</v>
      </c>
      <c r="F637" s="1637">
        <f>ROUND(+E637*D637,0)</f>
        <v>6810000</v>
      </c>
      <c r="G637" s="2354"/>
      <c r="K637" s="1733"/>
      <c r="L637" s="1733"/>
      <c r="M637" s="1733"/>
    </row>
    <row r="638" spans="1:13" ht="16.8">
      <c r="A638" s="3334" t="s">
        <v>5758</v>
      </c>
      <c r="B638" s="3335"/>
      <c r="C638" s="3335"/>
      <c r="D638" s="3335"/>
      <c r="E638" s="3335"/>
      <c r="F638" s="3336"/>
    </row>
    <row r="639" spans="1:13" ht="33.6">
      <c r="A639" s="1590" t="s">
        <v>22</v>
      </c>
      <c r="B639" s="1591" t="s">
        <v>23</v>
      </c>
      <c r="C639" s="1591" t="s">
        <v>150</v>
      </c>
      <c r="D639" s="1592" t="s">
        <v>539</v>
      </c>
      <c r="E639" s="1593" t="s">
        <v>151</v>
      </c>
      <c r="F639" s="1593" t="s">
        <v>540</v>
      </c>
    </row>
    <row r="640" spans="1:13" ht="16.8">
      <c r="A640" s="1683">
        <v>98</v>
      </c>
      <c r="B640" s="3357" t="s">
        <v>1128</v>
      </c>
      <c r="C640" s="3358"/>
      <c r="D640" s="3358"/>
      <c r="E640" s="1684"/>
      <c r="F640" s="1771">
        <f>+SUM(F641:F680)</f>
        <v>244941123</v>
      </c>
      <c r="G640" s="2339">
        <f>+F640</f>
        <v>244941123</v>
      </c>
      <c r="H640" s="1717" t="s">
        <v>8225</v>
      </c>
    </row>
    <row r="641" spans="1:7" ht="16.8">
      <c r="A641" s="1617" t="s">
        <v>7659</v>
      </c>
      <c r="B641" s="1618" t="s">
        <v>4355</v>
      </c>
      <c r="C641" s="364" t="s">
        <v>427</v>
      </c>
      <c r="D641" s="1619">
        <v>1</v>
      </c>
      <c r="E641" s="1621">
        <f>+'CAPTACION RIO SINÚ'!E172</f>
        <v>3034480</v>
      </c>
      <c r="F641" s="1620">
        <f>ROUND(+E641*D641,0)</f>
        <v>3034480</v>
      </c>
      <c r="G641" s="2799">
        <f>+'CAPTACION RIO SINÚ'!F212</f>
        <v>244941123</v>
      </c>
    </row>
    <row r="642" spans="1:7" ht="16.8">
      <c r="A642" s="1617" t="s">
        <v>7660</v>
      </c>
      <c r="B642" s="1618" t="s">
        <v>4369</v>
      </c>
      <c r="C642" s="364" t="s">
        <v>427</v>
      </c>
      <c r="D642" s="1619">
        <v>1</v>
      </c>
      <c r="E642" s="1621">
        <f>+'CAPTACION RIO SINÚ'!E173</f>
        <v>9134820</v>
      </c>
      <c r="F642" s="1620">
        <f t="shared" ref="F642:F680" si="38">ROUND(+E642*D642,0)</f>
        <v>9134820</v>
      </c>
    </row>
    <row r="643" spans="1:7" ht="16.8">
      <c r="A643" s="1617" t="s">
        <v>7661</v>
      </c>
      <c r="B643" s="1618" t="s">
        <v>4357</v>
      </c>
      <c r="C643" s="364" t="s">
        <v>427</v>
      </c>
      <c r="D643" s="1619">
        <v>3</v>
      </c>
      <c r="E643" s="1621">
        <f>+'CAPTACION RIO SINÚ'!E174</f>
        <v>4245750</v>
      </c>
      <c r="F643" s="1620">
        <f t="shared" si="38"/>
        <v>12737250</v>
      </c>
    </row>
    <row r="644" spans="1:7" ht="16.8">
      <c r="A644" s="1617" t="s">
        <v>7662</v>
      </c>
      <c r="B644" s="1618" t="s">
        <v>4368</v>
      </c>
      <c r="C644" s="364" t="s">
        <v>427</v>
      </c>
      <c r="D644" s="1619">
        <v>1</v>
      </c>
      <c r="E644" s="1621">
        <f>+'CAPTACION RIO SINÚ'!E175</f>
        <v>4211270</v>
      </c>
      <c r="F644" s="1620">
        <f t="shared" si="38"/>
        <v>4211270</v>
      </c>
    </row>
    <row r="645" spans="1:7" ht="16.8">
      <c r="A645" s="1617" t="s">
        <v>7663</v>
      </c>
      <c r="B645" s="1618" t="s">
        <v>4359</v>
      </c>
      <c r="C645" s="364" t="s">
        <v>427</v>
      </c>
      <c r="D645" s="1619">
        <v>2</v>
      </c>
      <c r="E645" s="1621">
        <f>+'CAPTACION RIO SINÚ'!E176</f>
        <v>7116325.4000000013</v>
      </c>
      <c r="F645" s="1620">
        <f t="shared" si="38"/>
        <v>14232651</v>
      </c>
    </row>
    <row r="646" spans="1:7" ht="33.6">
      <c r="A646" s="1617" t="s">
        <v>7664</v>
      </c>
      <c r="B646" s="1618" t="s">
        <v>4360</v>
      </c>
      <c r="C646" s="364" t="s">
        <v>427</v>
      </c>
      <c r="D646" s="1619">
        <v>3</v>
      </c>
      <c r="E646" s="1621">
        <f>+'CAPTACION RIO SINÚ'!E177</f>
        <v>3404150</v>
      </c>
      <c r="F646" s="1620">
        <f t="shared" si="38"/>
        <v>10212450</v>
      </c>
    </row>
    <row r="647" spans="1:7" ht="16.8">
      <c r="A647" s="1617" t="s">
        <v>7665</v>
      </c>
      <c r="B647" s="1618" t="s">
        <v>4361</v>
      </c>
      <c r="C647" s="364" t="s">
        <v>427</v>
      </c>
      <c r="D647" s="1619">
        <v>3</v>
      </c>
      <c r="E647" s="1621">
        <f>+'CAPTACION RIO SINÚ'!E178</f>
        <v>2296260</v>
      </c>
      <c r="F647" s="1620">
        <f t="shared" si="38"/>
        <v>6888780</v>
      </c>
    </row>
    <row r="648" spans="1:7" ht="16.8">
      <c r="A648" s="1617" t="s">
        <v>7666</v>
      </c>
      <c r="B648" s="1618" t="s">
        <v>4409</v>
      </c>
      <c r="C648" s="364" t="s">
        <v>427</v>
      </c>
      <c r="D648" s="1619">
        <v>6</v>
      </c>
      <c r="E648" s="1621">
        <f>+'CAPTACION RIO SINÚ'!E179</f>
        <v>1631019</v>
      </c>
      <c r="F648" s="1620">
        <f t="shared" si="38"/>
        <v>9786114</v>
      </c>
    </row>
    <row r="649" spans="1:7" ht="16.8">
      <c r="A649" s="1617" t="s">
        <v>7667</v>
      </c>
      <c r="B649" s="1618" t="s">
        <v>4362</v>
      </c>
      <c r="C649" s="364" t="s">
        <v>427</v>
      </c>
      <c r="D649" s="1619">
        <v>3</v>
      </c>
      <c r="E649" s="1621">
        <f>+'CAPTACION RIO SINÚ'!E180</f>
        <v>1836800</v>
      </c>
      <c r="F649" s="1620">
        <f t="shared" si="38"/>
        <v>5510400</v>
      </c>
    </row>
    <row r="650" spans="1:7" ht="16.8">
      <c r="A650" s="1617" t="s">
        <v>7668</v>
      </c>
      <c r="B650" s="1618" t="s">
        <v>4402</v>
      </c>
      <c r="C650" s="364" t="s">
        <v>427</v>
      </c>
      <c r="D650" s="1619">
        <v>3</v>
      </c>
      <c r="E650" s="1621">
        <f>+'CAPTACION RIO SINÚ'!E181</f>
        <v>865125</v>
      </c>
      <c r="F650" s="1620">
        <f t="shared" si="38"/>
        <v>2595375</v>
      </c>
    </row>
    <row r="651" spans="1:7" ht="16.8">
      <c r="A651" s="1617" t="s">
        <v>7669</v>
      </c>
      <c r="B651" s="1618" t="s">
        <v>4363</v>
      </c>
      <c r="C651" s="364" t="s">
        <v>427</v>
      </c>
      <c r="D651" s="1619">
        <v>3</v>
      </c>
      <c r="E651" s="1621">
        <f>+'CAPTACION RIO SINÚ'!E182</f>
        <v>1039128</v>
      </c>
      <c r="F651" s="1620">
        <f t="shared" si="38"/>
        <v>3117384</v>
      </c>
    </row>
    <row r="652" spans="1:7" ht="16.8">
      <c r="A652" s="1617" t="s">
        <v>7670</v>
      </c>
      <c r="B652" s="1618" t="s">
        <v>5099</v>
      </c>
      <c r="C652" s="364" t="s">
        <v>427</v>
      </c>
      <c r="D652" s="1619">
        <v>3</v>
      </c>
      <c r="E652" s="1621">
        <f>+'CAPTACION RIO SINÚ'!E183</f>
        <v>514990</v>
      </c>
      <c r="F652" s="1621">
        <f t="shared" ref="F652:F653" si="39">ROUND((+E652*D652),0)</f>
        <v>1544970</v>
      </c>
    </row>
    <row r="653" spans="1:7" ht="16.8">
      <c r="A653" s="1617" t="s">
        <v>7671</v>
      </c>
      <c r="B653" s="1618" t="s">
        <v>5100</v>
      </c>
      <c r="C653" s="364" t="s">
        <v>427</v>
      </c>
      <c r="D653" s="1619">
        <v>3</v>
      </c>
      <c r="E653" s="1621">
        <f>+'CAPTACION RIO SINÚ'!E184</f>
        <v>593680</v>
      </c>
      <c r="F653" s="1621">
        <f t="shared" si="39"/>
        <v>1781040</v>
      </c>
    </row>
    <row r="654" spans="1:7" ht="16.8">
      <c r="A654" s="1617" t="s">
        <v>7672</v>
      </c>
      <c r="B654" s="1618" t="s">
        <v>4399</v>
      </c>
      <c r="C654" s="364" t="s">
        <v>427</v>
      </c>
      <c r="D654" s="1619">
        <v>1</v>
      </c>
      <c r="E654" s="1621">
        <f>+'CAPTACION RIO SINÚ'!E185</f>
        <v>1300750</v>
      </c>
      <c r="F654" s="1620">
        <f t="shared" si="38"/>
        <v>1300750</v>
      </c>
    </row>
    <row r="655" spans="1:7" ht="16.8">
      <c r="A655" s="1617" t="s">
        <v>7673</v>
      </c>
      <c r="B655" s="1618" t="s">
        <v>4410</v>
      </c>
      <c r="C655" s="364" t="s">
        <v>427</v>
      </c>
      <c r="D655" s="1619">
        <v>1</v>
      </c>
      <c r="E655" s="1621">
        <f>+'CAPTACION RIO SINÚ'!E186</f>
        <v>1513979</v>
      </c>
      <c r="F655" s="1620">
        <f t="shared" si="38"/>
        <v>1513979</v>
      </c>
    </row>
    <row r="656" spans="1:7" ht="16.8">
      <c r="A656" s="1617" t="s">
        <v>7674</v>
      </c>
      <c r="B656" s="1618" t="s">
        <v>4395</v>
      </c>
      <c r="C656" s="364" t="s">
        <v>427</v>
      </c>
      <c r="D656" s="1619">
        <v>1</v>
      </c>
      <c r="E656" s="1621">
        <f>+'CAPTACION RIO SINÚ'!E187</f>
        <v>1820097</v>
      </c>
      <c r="F656" s="1620">
        <f t="shared" si="38"/>
        <v>1820097</v>
      </c>
    </row>
    <row r="657" spans="1:6" ht="16.8">
      <c r="A657" s="1617" t="s">
        <v>7675</v>
      </c>
      <c r="B657" s="1618" t="s">
        <v>4364</v>
      </c>
      <c r="C657" s="364" t="s">
        <v>427</v>
      </c>
      <c r="D657" s="1619">
        <v>3</v>
      </c>
      <c r="E657" s="1621">
        <f>+'CAPTACION RIO SINÚ'!E188</f>
        <v>1718355</v>
      </c>
      <c r="F657" s="1620">
        <f t="shared" si="38"/>
        <v>5155065</v>
      </c>
    </row>
    <row r="658" spans="1:6" ht="16.8">
      <c r="A658" s="1617" t="s">
        <v>7676</v>
      </c>
      <c r="B658" s="1618" t="s">
        <v>4365</v>
      </c>
      <c r="C658" s="364" t="s">
        <v>427</v>
      </c>
      <c r="D658" s="1619">
        <v>3</v>
      </c>
      <c r="E658" s="1621">
        <f>+'CAPTACION RIO SINÚ'!E189</f>
        <v>4884515</v>
      </c>
      <c r="F658" s="1620">
        <f t="shared" si="38"/>
        <v>14653545</v>
      </c>
    </row>
    <row r="659" spans="1:6" ht="16.8">
      <c r="A659" s="1617" t="s">
        <v>7677</v>
      </c>
      <c r="B659" s="1618" t="s">
        <v>4393</v>
      </c>
      <c r="C659" s="364" t="s">
        <v>427</v>
      </c>
      <c r="D659" s="1619">
        <v>3</v>
      </c>
      <c r="E659" s="1621">
        <f>+'CAPTACION RIO SINÚ'!E190</f>
        <v>13195190</v>
      </c>
      <c r="F659" s="1620">
        <f t="shared" si="38"/>
        <v>39585570</v>
      </c>
    </row>
    <row r="660" spans="1:6" ht="16.8">
      <c r="A660" s="1617" t="s">
        <v>7678</v>
      </c>
      <c r="B660" s="1618" t="s">
        <v>4366</v>
      </c>
      <c r="C660" s="364" t="s">
        <v>427</v>
      </c>
      <c r="D660" s="1619">
        <v>3</v>
      </c>
      <c r="E660" s="1621">
        <f>+'CAPTACION RIO SINÚ'!E191</f>
        <v>2172800</v>
      </c>
      <c r="F660" s="1620">
        <f t="shared" si="38"/>
        <v>6518400</v>
      </c>
    </row>
    <row r="661" spans="1:6" ht="16.8">
      <c r="A661" s="1617" t="s">
        <v>7679</v>
      </c>
      <c r="B661" s="1618" t="s">
        <v>4390</v>
      </c>
      <c r="C661" s="364" t="s">
        <v>427</v>
      </c>
      <c r="D661" s="1619">
        <v>3</v>
      </c>
      <c r="E661" s="1621">
        <f>+'CAPTACION RIO SINÚ'!E192</f>
        <v>3792490</v>
      </c>
      <c r="F661" s="1620">
        <f t="shared" si="38"/>
        <v>11377470</v>
      </c>
    </row>
    <row r="662" spans="1:6" ht="16.8">
      <c r="A662" s="1617" t="s">
        <v>7680</v>
      </c>
      <c r="B662" s="1618" t="s">
        <v>4367</v>
      </c>
      <c r="C662" s="364" t="s">
        <v>427</v>
      </c>
      <c r="D662" s="1619">
        <v>3</v>
      </c>
      <c r="E662" s="1621">
        <f>+'CAPTACION RIO SINÚ'!E193</f>
        <v>5043794</v>
      </c>
      <c r="F662" s="1620">
        <f t="shared" si="38"/>
        <v>15131382</v>
      </c>
    </row>
    <row r="663" spans="1:6" ht="16.8">
      <c r="A663" s="1617" t="s">
        <v>7681</v>
      </c>
      <c r="B663" s="1618" t="s">
        <v>4481</v>
      </c>
      <c r="C663" s="364" t="s">
        <v>427</v>
      </c>
      <c r="D663" s="1619">
        <v>1</v>
      </c>
      <c r="E663" s="1621">
        <f>+'CAPTACION RIO SINÚ'!E194</f>
        <v>1428200</v>
      </c>
      <c r="F663" s="1620">
        <f t="shared" si="38"/>
        <v>1428200</v>
      </c>
    </row>
    <row r="664" spans="1:6" ht="16.8">
      <c r="A664" s="1617" t="s">
        <v>7682</v>
      </c>
      <c r="B664" s="1618" t="s">
        <v>4482</v>
      </c>
      <c r="C664" s="364" t="s">
        <v>427</v>
      </c>
      <c r="D664" s="1619">
        <v>1</v>
      </c>
      <c r="E664" s="1621">
        <f>+'CAPTACION RIO SINÚ'!E195</f>
        <v>2671480</v>
      </c>
      <c r="F664" s="1620">
        <f t="shared" si="38"/>
        <v>2671480</v>
      </c>
    </row>
    <row r="665" spans="1:6" ht="33.6">
      <c r="A665" s="1617" t="s">
        <v>7683</v>
      </c>
      <c r="B665" s="1618" t="s">
        <v>4486</v>
      </c>
      <c r="C665" s="364" t="s">
        <v>427</v>
      </c>
      <c r="D665" s="1619">
        <v>1</v>
      </c>
      <c r="E665" s="1621">
        <f>+'CAPTACION RIO SINÚ'!E196</f>
        <v>3844900</v>
      </c>
      <c r="F665" s="1620">
        <f t="shared" si="38"/>
        <v>3844900</v>
      </c>
    </row>
    <row r="666" spans="1:6" ht="16.8">
      <c r="A666" s="1617" t="s">
        <v>7684</v>
      </c>
      <c r="B666" s="1618" t="s">
        <v>4483</v>
      </c>
      <c r="C666" s="364" t="s">
        <v>427</v>
      </c>
      <c r="D666" s="1619">
        <v>1</v>
      </c>
      <c r="E666" s="1621">
        <f>+'CAPTACION RIO SINÚ'!E197</f>
        <v>2982150</v>
      </c>
      <c r="F666" s="1620">
        <f t="shared" si="38"/>
        <v>2982150</v>
      </c>
    </row>
    <row r="667" spans="1:6" ht="16.8">
      <c r="A667" s="1617" t="s">
        <v>7685</v>
      </c>
      <c r="B667" s="1618" t="s">
        <v>4485</v>
      </c>
      <c r="C667" s="364" t="s">
        <v>427</v>
      </c>
      <c r="D667" s="1619">
        <v>1</v>
      </c>
      <c r="E667" s="1621">
        <f>+'CAPTACION RIO SINÚ'!E198</f>
        <v>5284750</v>
      </c>
      <c r="F667" s="1620">
        <f t="shared" si="38"/>
        <v>5284750</v>
      </c>
    </row>
    <row r="668" spans="1:6" ht="16.8">
      <c r="A668" s="1617" t="s">
        <v>7686</v>
      </c>
      <c r="B668" s="1618" t="s">
        <v>4487</v>
      </c>
      <c r="C668" s="364" t="s">
        <v>427</v>
      </c>
      <c r="D668" s="1619">
        <v>3</v>
      </c>
      <c r="E668" s="1621">
        <f>+'CAPTACION RIO SINÚ'!E199</f>
        <v>1525948.02</v>
      </c>
      <c r="F668" s="1620">
        <f t="shared" si="38"/>
        <v>4577844</v>
      </c>
    </row>
    <row r="669" spans="1:6" ht="33.6">
      <c r="A669" s="1617" t="s">
        <v>7687</v>
      </c>
      <c r="B669" s="1618" t="s">
        <v>4488</v>
      </c>
      <c r="C669" s="364" t="s">
        <v>427</v>
      </c>
      <c r="D669" s="1619">
        <v>2</v>
      </c>
      <c r="E669" s="1621">
        <f>+'CAPTACION RIO SINÚ'!E200</f>
        <v>6465976</v>
      </c>
      <c r="F669" s="1620">
        <f t="shared" si="38"/>
        <v>12931952</v>
      </c>
    </row>
    <row r="670" spans="1:6" ht="16.8">
      <c r="A670" s="1617" t="s">
        <v>7688</v>
      </c>
      <c r="B670" s="1618" t="s">
        <v>4489</v>
      </c>
      <c r="C670" s="364" t="s">
        <v>427</v>
      </c>
      <c r="D670" s="1619">
        <v>1</v>
      </c>
      <c r="E670" s="1621">
        <f>+'CAPTACION RIO SINÚ'!E201</f>
        <v>4124500</v>
      </c>
      <c r="F670" s="1620">
        <f t="shared" si="38"/>
        <v>4124500</v>
      </c>
    </row>
    <row r="671" spans="1:6" ht="16.8">
      <c r="A671" s="1617" t="s">
        <v>7689</v>
      </c>
      <c r="B671" s="1618" t="s">
        <v>4490</v>
      </c>
      <c r="C671" s="364" t="s">
        <v>427</v>
      </c>
      <c r="D671" s="1619">
        <v>1</v>
      </c>
      <c r="E671" s="1621">
        <f>+'CAPTACION RIO SINÚ'!E202</f>
        <v>2330150</v>
      </c>
      <c r="F671" s="1620">
        <f t="shared" si="38"/>
        <v>2330150</v>
      </c>
    </row>
    <row r="672" spans="1:6" ht="16.8">
      <c r="A672" s="1617" t="s">
        <v>7690</v>
      </c>
      <c r="B672" s="1623" t="s">
        <v>4492</v>
      </c>
      <c r="C672" s="364" t="s">
        <v>427</v>
      </c>
      <c r="D672" s="1619">
        <v>1</v>
      </c>
      <c r="E672" s="1621">
        <f>+'CAPTACION RIO SINÚ'!E203</f>
        <v>3219388</v>
      </c>
      <c r="F672" s="1620">
        <f t="shared" si="38"/>
        <v>3219388</v>
      </c>
    </row>
    <row r="673" spans="1:17" ht="16.8">
      <c r="A673" s="1617" t="s">
        <v>7691</v>
      </c>
      <c r="B673" s="1618" t="s">
        <v>4491</v>
      </c>
      <c r="C673" s="364" t="s">
        <v>427</v>
      </c>
      <c r="D673" s="1619">
        <v>2</v>
      </c>
      <c r="E673" s="1621">
        <f>+'CAPTACION RIO SINÚ'!E204</f>
        <v>3730800</v>
      </c>
      <c r="F673" s="1620">
        <f t="shared" si="38"/>
        <v>7461600</v>
      </c>
    </row>
    <row r="674" spans="1:17" ht="16.8">
      <c r="A674" s="1617" t="s">
        <v>7692</v>
      </c>
      <c r="B674" s="1623" t="s">
        <v>4493</v>
      </c>
      <c r="C674" s="364" t="s">
        <v>427</v>
      </c>
      <c r="D674" s="1619">
        <v>4</v>
      </c>
      <c r="E674" s="1621">
        <f>+'CAPTACION RIO SINÚ'!E205</f>
        <v>473125</v>
      </c>
      <c r="F674" s="1620">
        <f t="shared" si="38"/>
        <v>1892500</v>
      </c>
    </row>
    <row r="675" spans="1:17" ht="33.6">
      <c r="A675" s="1617" t="s">
        <v>7693</v>
      </c>
      <c r="B675" s="1618" t="s">
        <v>4494</v>
      </c>
      <c r="C675" s="364" t="s">
        <v>427</v>
      </c>
      <c r="D675" s="1619">
        <v>1</v>
      </c>
      <c r="E675" s="1621">
        <f>+'CAPTACION RIO SINÚ'!E206</f>
        <v>2981250</v>
      </c>
      <c r="F675" s="1620">
        <f t="shared" si="38"/>
        <v>2981250</v>
      </c>
    </row>
    <row r="676" spans="1:17" ht="16.8">
      <c r="A676" s="1617" t="s">
        <v>7694</v>
      </c>
      <c r="B676" s="1618" t="s">
        <v>4495</v>
      </c>
      <c r="C676" s="364" t="s">
        <v>427</v>
      </c>
      <c r="D676" s="1619">
        <v>1</v>
      </c>
      <c r="E676" s="1621">
        <f>+'CAPTACION RIO SINÚ'!E207</f>
        <v>2014037</v>
      </c>
      <c r="F676" s="1620">
        <f t="shared" si="38"/>
        <v>2014037</v>
      </c>
    </row>
    <row r="677" spans="1:17" ht="16.8">
      <c r="A677" s="1617" t="s">
        <v>7695</v>
      </c>
      <c r="B677" s="1623" t="s">
        <v>4496</v>
      </c>
      <c r="C677" s="364" t="s">
        <v>427</v>
      </c>
      <c r="D677" s="1619">
        <v>6</v>
      </c>
      <c r="E677" s="1621">
        <f>+'CAPTACION RIO SINÚ'!E208</f>
        <v>281525</v>
      </c>
      <c r="F677" s="1620">
        <f t="shared" si="38"/>
        <v>1689150</v>
      </c>
    </row>
    <row r="678" spans="1:17" ht="16.8">
      <c r="A678" s="1617" t="s">
        <v>7696</v>
      </c>
      <c r="B678" s="1618" t="s">
        <v>4497</v>
      </c>
      <c r="C678" s="364" t="s">
        <v>427</v>
      </c>
      <c r="D678" s="1619">
        <v>1</v>
      </c>
      <c r="E678" s="1621">
        <f>+'CAPTACION RIO SINÚ'!E209</f>
        <v>1427620</v>
      </c>
      <c r="F678" s="1620">
        <f t="shared" si="38"/>
        <v>1427620</v>
      </c>
    </row>
    <row r="679" spans="1:17" ht="16.8">
      <c r="A679" s="1617" t="s">
        <v>7697</v>
      </c>
      <c r="B679" s="1618" t="s">
        <v>4498</v>
      </c>
      <c r="C679" s="364" t="s">
        <v>427</v>
      </c>
      <c r="D679" s="1619">
        <v>1</v>
      </c>
      <c r="E679" s="1621">
        <f>+'CAPTACION RIO SINÚ'!E210</f>
        <v>724860</v>
      </c>
      <c r="F679" s="1620">
        <f>ROUND(+E679*D679,0)</f>
        <v>724860</v>
      </c>
    </row>
    <row r="680" spans="1:17" ht="34.200000000000003" thickBot="1">
      <c r="A680" s="1617" t="s">
        <v>7698</v>
      </c>
      <c r="B680" s="1618" t="s">
        <v>4570</v>
      </c>
      <c r="C680" s="364" t="s">
        <v>427</v>
      </c>
      <c r="D680" s="1619">
        <v>1</v>
      </c>
      <c r="E680" s="1621">
        <f>+'CAPTACION RIO SINÚ'!E211</f>
        <v>1511550</v>
      </c>
      <c r="F680" s="1620">
        <f t="shared" si="38"/>
        <v>1511550</v>
      </c>
    </row>
    <row r="681" spans="1:17" ht="16.8">
      <c r="A681" s="3334" t="str">
        <f>+A99</f>
        <v>LINEA DE IMPULSION CAPTACIÓN - PTAP TIJERETAS</v>
      </c>
      <c r="B681" s="3335"/>
      <c r="C681" s="3335"/>
      <c r="D681" s="3335"/>
      <c r="E681" s="3335"/>
      <c r="F681" s="3336"/>
    </row>
    <row r="682" spans="1:17" ht="33.6">
      <c r="A682" s="1590" t="s">
        <v>22</v>
      </c>
      <c r="B682" s="1591" t="s">
        <v>23</v>
      </c>
      <c r="C682" s="1591" t="s">
        <v>150</v>
      </c>
      <c r="D682" s="1592" t="s">
        <v>539</v>
      </c>
      <c r="E682" s="1593" t="s">
        <v>151</v>
      </c>
      <c r="F682" s="1593" t="s">
        <v>540</v>
      </c>
    </row>
    <row r="683" spans="1:17" s="1623" customFormat="1" ht="16.8">
      <c r="A683" s="1707">
        <v>99</v>
      </c>
      <c r="B683" s="3368" t="s">
        <v>1128</v>
      </c>
      <c r="C683" s="3369"/>
      <c r="D683" s="3369"/>
      <c r="E683" s="1708"/>
      <c r="F683" s="2980">
        <f>+SUM(F684:F694)</f>
        <v>3405599240</v>
      </c>
      <c r="G683" s="2342">
        <f>+F683</f>
        <v>3405599240</v>
      </c>
      <c r="H683" s="1623" t="s">
        <v>8225</v>
      </c>
      <c r="I683" s="1625"/>
      <c r="J683" s="1625"/>
      <c r="K683" s="1706"/>
      <c r="L683" s="1706"/>
      <c r="M683" s="1625"/>
      <c r="N683" s="1625"/>
      <c r="O683" s="1625"/>
      <c r="P683" s="1625"/>
      <c r="Q683" s="1625"/>
    </row>
    <row r="684" spans="1:17" s="1623" customFormat="1" ht="20.25" customHeight="1">
      <c r="A684" s="1617" t="s">
        <v>7699</v>
      </c>
      <c r="B684" s="258" t="s">
        <v>6435</v>
      </c>
      <c r="C684" s="364" t="s">
        <v>94</v>
      </c>
      <c r="D684" s="1639">
        <f>+'LINEAS IMPULSIÓN-CONDUCCIÓN'!D60</f>
        <v>1031</v>
      </c>
      <c r="E684" s="1637">
        <f>+'LINEAS IMPULSIÓN-CONDUCCIÓN'!E60</f>
        <v>424179</v>
      </c>
      <c r="F684" s="1637">
        <f>ROUND(+E684*D684,0)</f>
        <v>437328549</v>
      </c>
      <c r="G684" s="2802">
        <f>+'LINEAS IMPULSIÓN-CONDUCCIÓN'!F71</f>
        <v>3405599240</v>
      </c>
    </row>
    <row r="685" spans="1:17" s="1623" customFormat="1" ht="20.25" customHeight="1">
      <c r="A685" s="1617" t="s">
        <v>7700</v>
      </c>
      <c r="B685" s="258" t="s">
        <v>8729</v>
      </c>
      <c r="C685" s="364" t="s">
        <v>94</v>
      </c>
      <c r="D685" s="1639">
        <f>+'LINEAS IMPULSIÓN-CONDUCCIÓN'!D61</f>
        <v>1057</v>
      </c>
      <c r="E685" s="1637">
        <f>+'LINEAS IMPULSIÓN-CONDUCCIÓN'!E61</f>
        <v>339831</v>
      </c>
      <c r="F685" s="1637">
        <f t="shared" ref="F685:F686" si="40">ROUND(+E685*D685,0)</f>
        <v>359201367</v>
      </c>
      <c r="G685" s="2802"/>
    </row>
    <row r="686" spans="1:17" s="1623" customFormat="1" ht="20.25" customHeight="1">
      <c r="A686" s="1617" t="s">
        <v>7701</v>
      </c>
      <c r="B686" s="258" t="s">
        <v>8730</v>
      </c>
      <c r="C686" s="364" t="s">
        <v>94</v>
      </c>
      <c r="D686" s="1639">
        <f>+'LINEAS IMPULSIÓN-CONDUCCIÓN'!D62</f>
        <v>504</v>
      </c>
      <c r="E686" s="1637">
        <f>+'LINEAS IMPULSIÓN-CONDUCCIÓN'!E62</f>
        <v>289333</v>
      </c>
      <c r="F686" s="1637">
        <f t="shared" si="40"/>
        <v>145823832</v>
      </c>
      <c r="G686" s="2802"/>
    </row>
    <row r="687" spans="1:17" s="1623" customFormat="1" ht="20.25" customHeight="1">
      <c r="A687" s="1617" t="s">
        <v>7702</v>
      </c>
      <c r="B687" s="258" t="s">
        <v>8731</v>
      </c>
      <c r="C687" s="364" t="s">
        <v>94</v>
      </c>
      <c r="D687" s="1639">
        <f>+'LINEAS IMPULSIÓN-CONDUCCIÓN'!D63</f>
        <v>2174</v>
      </c>
      <c r="E687" s="1637">
        <f>+'LINEAS IMPULSIÓN-CONDUCCIÓN'!E63</f>
        <v>230053</v>
      </c>
      <c r="F687" s="1637">
        <f>ROUND(+E687*D687,0)</f>
        <v>500135222</v>
      </c>
      <c r="G687" s="2802">
        <f>+SUM(F684:F687)</f>
        <v>1442488970</v>
      </c>
    </row>
    <row r="688" spans="1:17" s="1623" customFormat="1" ht="20.25" customHeight="1">
      <c r="A688" s="1617" t="s">
        <v>7703</v>
      </c>
      <c r="B688" s="258" t="s">
        <v>8767</v>
      </c>
      <c r="C688" s="364" t="s">
        <v>94</v>
      </c>
      <c r="D688" s="1639">
        <f>+'LINEAS IMPULSIÓN-CONDUCCIÓN'!D64</f>
        <v>2287</v>
      </c>
      <c r="E688" s="1637">
        <f>+'LINEAS IMPULSIÓN-CONDUCCIÓN'!E64</f>
        <v>492026</v>
      </c>
      <c r="F688" s="1637">
        <f>ROUND(+E688*D688,0)</f>
        <v>1125263462</v>
      </c>
      <c r="G688" s="2802"/>
    </row>
    <row r="689" spans="1:17" s="1623" customFormat="1" ht="20.25" customHeight="1">
      <c r="A689" s="1617" t="s">
        <v>8579</v>
      </c>
      <c r="B689" s="258" t="s">
        <v>8546</v>
      </c>
      <c r="C689" s="471" t="s">
        <v>94</v>
      </c>
      <c r="D689" s="1639">
        <f>+'LINEAS IMPULSIÓN-CONDUCCIÓN'!D65</f>
        <v>2757</v>
      </c>
      <c r="E689" s="1637">
        <f>+'LINEAS IMPULSIÓN-CONDUCCIÓN'!E65</f>
        <v>227416</v>
      </c>
      <c r="F689" s="1637">
        <f t="shared" ref="F689:F690" si="41">ROUND(+E689*D689,0)</f>
        <v>626985912</v>
      </c>
      <c r="G689" s="2814">
        <f>2994703790-G687</f>
        <v>1552214820</v>
      </c>
    </row>
    <row r="690" spans="1:17" s="1623" customFormat="1" ht="20.25" customHeight="1">
      <c r="A690" s="1617" t="s">
        <v>8580</v>
      </c>
      <c r="B690" s="258" t="s">
        <v>8547</v>
      </c>
      <c r="C690" s="471" t="s">
        <v>94</v>
      </c>
      <c r="D690" s="2793">
        <f>+'LINEAS IMPULSIÓN-CONDUCCIÓN'!D66</f>
        <v>500.73</v>
      </c>
      <c r="E690" s="1637">
        <f>+'LINEAS IMPULSIÓN-CONDUCCIÓN'!E66</f>
        <v>146753</v>
      </c>
      <c r="F690" s="1637">
        <f t="shared" si="41"/>
        <v>73483630</v>
      </c>
      <c r="G690" s="2349"/>
    </row>
    <row r="691" spans="1:17" s="1623" customFormat="1" ht="27.75" customHeight="1">
      <c r="A691" s="1617" t="s">
        <v>8735</v>
      </c>
      <c r="B691" s="258" t="s">
        <v>6512</v>
      </c>
      <c r="C691" s="364" t="s">
        <v>133</v>
      </c>
      <c r="D691" s="1646">
        <v>4</v>
      </c>
      <c r="E691" s="1637">
        <f>+'LINEAS IMPULSIÓN-CONDUCCIÓN'!E67</f>
        <v>1212318.45</v>
      </c>
      <c r="F691" s="1637">
        <f>ROUND(+E691*D691,0)</f>
        <v>4849274</v>
      </c>
      <c r="G691" s="279"/>
      <c r="H691" s="1625"/>
      <c r="I691" s="1669"/>
      <c r="J691" s="1669"/>
    </row>
    <row r="692" spans="1:17" s="1623" customFormat="1" ht="75.75" customHeight="1">
      <c r="A692" s="1617" t="s">
        <v>8736</v>
      </c>
      <c r="B692" s="269" t="s">
        <v>6825</v>
      </c>
      <c r="C692" s="1636" t="s">
        <v>133</v>
      </c>
      <c r="D692" s="1646">
        <v>12</v>
      </c>
      <c r="E692" s="1637">
        <f>+'LINEAS IMPULSIÓN-CONDUCCIÓN'!E68</f>
        <v>1046050</v>
      </c>
      <c r="F692" s="1637">
        <f>ROUND(+E692*D692,0)</f>
        <v>12552600</v>
      </c>
      <c r="G692" s="2351"/>
      <c r="I692" s="273"/>
      <c r="J692" s="273"/>
      <c r="K692" s="1706"/>
      <c r="L692" s="275"/>
      <c r="M692" s="1625"/>
      <c r="N692" s="1625"/>
      <c r="O692" s="273"/>
      <c r="P692" s="276"/>
      <c r="Q692" s="276"/>
    </row>
    <row r="693" spans="1:17" s="1623" customFormat="1" ht="65.25" customHeight="1">
      <c r="A693" s="1617" t="s">
        <v>8737</v>
      </c>
      <c r="B693" s="269" t="s">
        <v>6284</v>
      </c>
      <c r="C693" s="1636" t="s">
        <v>133</v>
      </c>
      <c r="D693" s="1646">
        <v>5</v>
      </c>
      <c r="E693" s="1637">
        <f>+'LINEAS IMPULSIÓN-CONDUCCIÓN'!E69</f>
        <v>614440</v>
      </c>
      <c r="F693" s="1637">
        <f>ROUND(+E693*D693,0)</f>
        <v>3072200</v>
      </c>
      <c r="G693" s="2351"/>
      <c r="I693" s="273"/>
      <c r="J693" s="273"/>
      <c r="K693" s="1706"/>
      <c r="L693" s="275"/>
      <c r="M693" s="1625"/>
      <c r="N693" s="1625"/>
      <c r="O693" s="273"/>
      <c r="P693" s="276"/>
      <c r="Q693" s="276"/>
    </row>
    <row r="694" spans="1:17" s="1623" customFormat="1" ht="151.80000000000001" thickBot="1">
      <c r="A694" s="1617" t="s">
        <v>8771</v>
      </c>
      <c r="B694" s="269" t="s">
        <v>6949</v>
      </c>
      <c r="C694" s="1636" t="s">
        <v>133</v>
      </c>
      <c r="D694" s="1649">
        <v>2</v>
      </c>
      <c r="E694" s="1637">
        <f>+'LINEAS IMPULSIÓN-CONDUCCIÓN'!E70</f>
        <v>58451595.829999998</v>
      </c>
      <c r="F694" s="1637">
        <f>ROUND(+E694*D694,0)</f>
        <v>116903192</v>
      </c>
      <c r="G694" s="2351"/>
      <c r="I694" s="273"/>
      <c r="J694" s="273"/>
      <c r="K694" s="1706"/>
      <c r="L694" s="275"/>
      <c r="M694" s="1625"/>
      <c r="N694" s="1625"/>
      <c r="O694" s="273"/>
      <c r="P694" s="276"/>
      <c r="Q694" s="276"/>
    </row>
    <row r="695" spans="1:17" ht="16.8">
      <c r="A695" s="3334" t="str">
        <f>+A144</f>
        <v>OPTIMIZACION PLANTA DE TRATAMIENTO DE AGUA POTABLE TIJERETA</v>
      </c>
      <c r="B695" s="3335"/>
      <c r="C695" s="3335"/>
      <c r="D695" s="3335"/>
      <c r="E695" s="3335"/>
      <c r="F695" s="3336"/>
    </row>
    <row r="696" spans="1:17" ht="33.6">
      <c r="A696" s="1590" t="s">
        <v>22</v>
      </c>
      <c r="B696" s="1591" t="s">
        <v>23</v>
      </c>
      <c r="C696" s="1591" t="s">
        <v>150</v>
      </c>
      <c r="D696" s="1592" t="s">
        <v>539</v>
      </c>
      <c r="E696" s="1593" t="s">
        <v>151</v>
      </c>
      <c r="F696" s="1593" t="s">
        <v>540</v>
      </c>
    </row>
    <row r="697" spans="1:17" ht="18">
      <c r="A697" s="1686"/>
      <c r="B697" s="3370" t="s">
        <v>3853</v>
      </c>
      <c r="C697" s="3370"/>
      <c r="D697" s="3370"/>
      <c r="E697" s="3370"/>
      <c r="F697" s="1687"/>
    </row>
    <row r="698" spans="1:17" ht="16.8">
      <c r="A698" s="1707">
        <v>100</v>
      </c>
      <c r="B698" s="1688" t="s">
        <v>4770</v>
      </c>
      <c r="C698" s="1772"/>
      <c r="D698" s="1773"/>
      <c r="E698" s="1774"/>
      <c r="F698" s="2248">
        <f>SUM(F699:F710)</f>
        <v>308584641</v>
      </c>
      <c r="G698" s="2220">
        <f>+F698+F711+F715+F719</f>
        <v>1468664322</v>
      </c>
      <c r="H698" s="1717" t="s">
        <v>8225</v>
      </c>
    </row>
    <row r="699" spans="1:17" s="1717" customFormat="1" ht="29.25" customHeight="1">
      <c r="A699" s="1622" t="s">
        <v>7704</v>
      </c>
      <c r="B699" s="1711" t="s">
        <v>7057</v>
      </c>
      <c r="C699" s="1730" t="s">
        <v>133</v>
      </c>
      <c r="D699" s="1576">
        <f>+'PTAP TIJERETAS'!D121</f>
        <v>7</v>
      </c>
      <c r="E699" s="1531">
        <f>+'PTAP TIJERETAS'!E121</f>
        <v>2322007</v>
      </c>
      <c r="F699" s="1531">
        <f>ROUND(D699*E699,0)</f>
        <v>16254049</v>
      </c>
      <c r="G699" s="2355">
        <f>+'PTAP TIJERETAS'!F154</f>
        <v>1468664322</v>
      </c>
      <c r="K699" s="1733"/>
      <c r="L699" s="1733"/>
      <c r="M699" s="1733"/>
    </row>
    <row r="700" spans="1:17" s="1717" customFormat="1" ht="20.25" customHeight="1">
      <c r="A700" s="1622" t="s">
        <v>7705</v>
      </c>
      <c r="B700" s="1711" t="s">
        <v>6673</v>
      </c>
      <c r="C700" s="1730" t="s">
        <v>133</v>
      </c>
      <c r="D700" s="1576">
        <f>+'PTAP TIJERETAS'!D122</f>
        <v>2</v>
      </c>
      <c r="E700" s="1531">
        <f>+'PTAP TIJERETAS'!E122</f>
        <v>606100</v>
      </c>
      <c r="F700" s="1531">
        <f t="shared" ref="F700:F710" si="42">ROUND(D700*E700,0)</f>
        <v>1212200</v>
      </c>
      <c r="G700" s="2803">
        <f>+G699-G698</f>
        <v>0</v>
      </c>
      <c r="K700" s="1733"/>
      <c r="L700" s="1733"/>
      <c r="M700" s="1733"/>
    </row>
    <row r="701" spans="1:17" s="1717" customFormat="1" ht="41.25" customHeight="1">
      <c r="A701" s="1622" t="s">
        <v>7706</v>
      </c>
      <c r="B701" s="1711" t="s">
        <v>4786</v>
      </c>
      <c r="C701" s="1730" t="s">
        <v>133</v>
      </c>
      <c r="D701" s="1576">
        <f>+'PTAP TIJERETAS'!D123</f>
        <v>14</v>
      </c>
      <c r="E701" s="1531">
        <f>+'PTAP TIJERETAS'!E123</f>
        <v>7129440</v>
      </c>
      <c r="F701" s="1531">
        <f t="shared" si="42"/>
        <v>99812160</v>
      </c>
      <c r="G701" s="2354"/>
      <c r="K701" s="1733"/>
      <c r="L701" s="1733"/>
      <c r="M701" s="1733"/>
    </row>
    <row r="702" spans="1:17" s="1717" customFormat="1" ht="42.75" customHeight="1">
      <c r="A702" s="1622" t="s">
        <v>7707</v>
      </c>
      <c r="B702" s="1711" t="s">
        <v>4787</v>
      </c>
      <c r="C702" s="1730" t="s">
        <v>133</v>
      </c>
      <c r="D702" s="1576">
        <f>+'PTAP TIJERETAS'!D124</f>
        <v>3</v>
      </c>
      <c r="E702" s="1531">
        <f>+'PTAP TIJERETAS'!E124</f>
        <v>12724302</v>
      </c>
      <c r="F702" s="1531">
        <f t="shared" si="42"/>
        <v>38172906</v>
      </c>
      <c r="G702" s="2354"/>
      <c r="K702" s="1733"/>
      <c r="L702" s="1733"/>
      <c r="M702" s="1733"/>
    </row>
    <row r="703" spans="1:17" s="1717" customFormat="1" ht="45.75" customHeight="1">
      <c r="A703" s="1622" t="s">
        <v>7708</v>
      </c>
      <c r="B703" s="1711" t="s">
        <v>4788</v>
      </c>
      <c r="C703" s="1730" t="s">
        <v>133</v>
      </c>
      <c r="D703" s="1576">
        <f>+'PTAP TIJERETAS'!D125</f>
        <v>12</v>
      </c>
      <c r="E703" s="1531">
        <f>+'PTAP TIJERETAS'!E125</f>
        <v>7656229</v>
      </c>
      <c r="F703" s="1531">
        <f t="shared" si="42"/>
        <v>91874748</v>
      </c>
      <c r="G703" s="2354"/>
      <c r="K703" s="1733"/>
      <c r="L703" s="1733"/>
      <c r="M703" s="1733"/>
    </row>
    <row r="704" spans="1:17" s="1717" customFormat="1" ht="33.75" customHeight="1">
      <c r="A704" s="1622" t="s">
        <v>7709</v>
      </c>
      <c r="B704" s="1711" t="s">
        <v>7088</v>
      </c>
      <c r="C704" s="1730" t="s">
        <v>133</v>
      </c>
      <c r="D704" s="1576">
        <f>+'PTAP TIJERETAS'!D126</f>
        <v>6</v>
      </c>
      <c r="E704" s="1531">
        <f>+'PTAP TIJERETAS'!E126</f>
        <v>5074528</v>
      </c>
      <c r="F704" s="1531">
        <f t="shared" si="42"/>
        <v>30447168</v>
      </c>
      <c r="G704" s="2354"/>
      <c r="K704" s="1733"/>
      <c r="L704" s="1733"/>
      <c r="M704" s="1733"/>
    </row>
    <row r="705" spans="1:13" s="1717" customFormat="1" ht="33.75" customHeight="1">
      <c r="A705" s="1622" t="s">
        <v>7710</v>
      </c>
      <c r="B705" s="1711" t="s">
        <v>7102</v>
      </c>
      <c r="C705" s="1730" t="s">
        <v>133</v>
      </c>
      <c r="D705" s="1576">
        <f>+'PTAP TIJERETAS'!D127</f>
        <v>3</v>
      </c>
      <c r="E705" s="1531">
        <f>+'PTAP TIJERETAS'!E127</f>
        <v>958578</v>
      </c>
      <c r="F705" s="1531">
        <f t="shared" si="42"/>
        <v>2875734</v>
      </c>
      <c r="G705" s="2354"/>
      <c r="K705" s="1733"/>
      <c r="L705" s="1733"/>
      <c r="M705" s="1733"/>
    </row>
    <row r="706" spans="1:13" s="1717" customFormat="1" ht="29.25" customHeight="1">
      <c r="A706" s="1622" t="s">
        <v>7711</v>
      </c>
      <c r="B706" s="1711" t="s">
        <v>6670</v>
      </c>
      <c r="C706" s="1730" t="s">
        <v>133</v>
      </c>
      <c r="D706" s="1576">
        <f>+'PTAP TIJERETAS'!D128</f>
        <v>3</v>
      </c>
      <c r="E706" s="1531">
        <f>+'PTAP TIJERETAS'!E128</f>
        <v>748000</v>
      </c>
      <c r="F706" s="1531">
        <f t="shared" si="42"/>
        <v>2244000</v>
      </c>
      <c r="G706" s="2354"/>
      <c r="K706" s="1733"/>
      <c r="L706" s="1733"/>
      <c r="M706" s="1733"/>
    </row>
    <row r="707" spans="1:13" s="1717" customFormat="1" ht="34.5" customHeight="1">
      <c r="A707" s="1622" t="s">
        <v>7712</v>
      </c>
      <c r="B707" s="1711" t="s">
        <v>6676</v>
      </c>
      <c r="C707" s="1730" t="s">
        <v>133</v>
      </c>
      <c r="D707" s="1576">
        <f>+'PTAP TIJERETAS'!D129</f>
        <v>5</v>
      </c>
      <c r="E707" s="1531">
        <f>+'PTAP TIJERETAS'!E129</f>
        <v>1612400</v>
      </c>
      <c r="F707" s="1531">
        <f t="shared" si="42"/>
        <v>8062000</v>
      </c>
      <c r="G707" s="2354"/>
      <c r="K707" s="1733"/>
      <c r="L707" s="1733"/>
      <c r="M707" s="1733"/>
    </row>
    <row r="708" spans="1:13" ht="34.5" customHeight="1">
      <c r="A708" s="1622" t="s">
        <v>7713</v>
      </c>
      <c r="B708" s="1711" t="s">
        <v>7058</v>
      </c>
      <c r="C708" s="1730" t="s">
        <v>133</v>
      </c>
      <c r="D708" s="1576">
        <f>+'PTAP TIJERETAS'!D130</f>
        <v>7</v>
      </c>
      <c r="E708" s="1531">
        <f>+'PTAP TIJERETAS'!E130</f>
        <v>1134698</v>
      </c>
      <c r="F708" s="1531">
        <f t="shared" si="42"/>
        <v>7942886</v>
      </c>
    </row>
    <row r="709" spans="1:13" ht="34.5" customHeight="1">
      <c r="A709" s="1622" t="s">
        <v>7714</v>
      </c>
      <c r="B709" s="1711" t="s">
        <v>7059</v>
      </c>
      <c r="C709" s="1730" t="s">
        <v>133</v>
      </c>
      <c r="D709" s="1576">
        <f>+'PTAP TIJERETAS'!D131</f>
        <v>2</v>
      </c>
      <c r="E709" s="1531">
        <f>+'PTAP TIJERETAS'!E131</f>
        <v>1278817</v>
      </c>
      <c r="F709" s="1531">
        <f t="shared" si="42"/>
        <v>2557634</v>
      </c>
    </row>
    <row r="710" spans="1:13" ht="34.5" customHeight="1">
      <c r="A710" s="1622" t="s">
        <v>7715</v>
      </c>
      <c r="B710" s="1711" t="s">
        <v>7060</v>
      </c>
      <c r="C710" s="1730" t="s">
        <v>133</v>
      </c>
      <c r="D710" s="1576">
        <f>+'PTAP TIJERETAS'!D132</f>
        <v>4</v>
      </c>
      <c r="E710" s="1531">
        <f>+'PTAP TIJERETAS'!E132</f>
        <v>1782289</v>
      </c>
      <c r="F710" s="1531">
        <f t="shared" si="42"/>
        <v>7129156</v>
      </c>
    </row>
    <row r="711" spans="1:13" ht="16.8">
      <c r="A711" s="1707">
        <v>101</v>
      </c>
      <c r="B711" s="1688" t="s">
        <v>4803</v>
      </c>
      <c r="C711" s="1772"/>
      <c r="D711" s="1772"/>
      <c r="E711" s="1774"/>
      <c r="F711" s="2248">
        <f>SUM(F712:F714)</f>
        <v>25548180</v>
      </c>
    </row>
    <row r="712" spans="1:13" ht="49.5" customHeight="1">
      <c r="A712" s="1622" t="s">
        <v>7716</v>
      </c>
      <c r="B712" s="1711" t="s">
        <v>4812</v>
      </c>
      <c r="C712" s="1534" t="s">
        <v>45</v>
      </c>
      <c r="D712" s="1576">
        <f>+'PTAP TIJERETAS'!D134</f>
        <v>100</v>
      </c>
      <c r="E712" s="1531">
        <f>+'PTAP TIJERETAS'!E134</f>
        <v>222650</v>
      </c>
      <c r="F712" s="1531">
        <f t="shared" ref="F712:F714" si="43">ROUND(D712*E712,0)</f>
        <v>22265000</v>
      </c>
    </row>
    <row r="713" spans="1:13" ht="33.75" customHeight="1">
      <c r="A713" s="1622" t="s">
        <v>7717</v>
      </c>
      <c r="B713" s="1711" t="s">
        <v>4799</v>
      </c>
      <c r="C713" s="1534" t="s">
        <v>133</v>
      </c>
      <c r="D713" s="1576">
        <f>+'PTAP TIJERETAS'!D135</f>
        <v>8</v>
      </c>
      <c r="E713" s="1531">
        <f>+'PTAP TIJERETAS'!E135</f>
        <v>401150</v>
      </c>
      <c r="F713" s="1531">
        <f t="shared" si="43"/>
        <v>3209200</v>
      </c>
    </row>
    <row r="714" spans="1:13" ht="41.25" customHeight="1">
      <c r="A714" s="1622" t="s">
        <v>7718</v>
      </c>
      <c r="B714" s="1711" t="s">
        <v>4800</v>
      </c>
      <c r="C714" s="1534" t="s">
        <v>133</v>
      </c>
      <c r="D714" s="1576">
        <f>+'PTAP TIJERETAS'!D136</f>
        <v>1</v>
      </c>
      <c r="E714" s="1531">
        <f>+'PTAP TIJERETAS'!E136</f>
        <v>73980</v>
      </c>
      <c r="F714" s="1531">
        <f t="shared" si="43"/>
        <v>73980</v>
      </c>
    </row>
    <row r="715" spans="1:13" ht="16.8">
      <c r="A715" s="1707">
        <v>102</v>
      </c>
      <c r="B715" s="1688" t="s">
        <v>4804</v>
      </c>
      <c r="C715" s="1772"/>
      <c r="D715" s="1772"/>
      <c r="E715" s="1774"/>
      <c r="F715" s="2248">
        <f>+SUM(F716:F718)</f>
        <v>308506760</v>
      </c>
    </row>
    <row r="716" spans="1:13" s="1717" customFormat="1" ht="25.5" customHeight="1">
      <c r="A716" s="1622" t="s">
        <v>7719</v>
      </c>
      <c r="B716" s="1711" t="s">
        <v>5639</v>
      </c>
      <c r="C716" s="1534" t="s">
        <v>133</v>
      </c>
      <c r="D716" s="1576">
        <f>+'PTAP TIJERETAS'!D138</f>
        <v>36</v>
      </c>
      <c r="E716" s="1531">
        <f>+'PTAP TIJERETAS'!E138</f>
        <v>3157420</v>
      </c>
      <c r="F716" s="1531">
        <f t="shared" ref="F716:F717" si="44">+ROUND(D716*E716,0)</f>
        <v>113667120</v>
      </c>
      <c r="G716" s="2354"/>
      <c r="K716" s="1733"/>
      <c r="L716" s="1733"/>
      <c r="M716" s="1733"/>
    </row>
    <row r="717" spans="1:13" s="1717" customFormat="1" ht="33" customHeight="1">
      <c r="A717" s="1622" t="s">
        <v>7720</v>
      </c>
      <c r="B717" s="1711" t="s">
        <v>5640</v>
      </c>
      <c r="C717" s="1534" t="s">
        <v>133</v>
      </c>
      <c r="D717" s="1576">
        <f>+'PTAP TIJERETAS'!D139</f>
        <v>2</v>
      </c>
      <c r="E717" s="1531">
        <f>+'PTAP TIJERETAS'!E139</f>
        <v>13132000</v>
      </c>
      <c r="F717" s="1531">
        <f t="shared" si="44"/>
        <v>26264000</v>
      </c>
      <c r="G717" s="2354"/>
      <c r="K717" s="1733"/>
      <c r="L717" s="1733"/>
      <c r="M717" s="1733"/>
    </row>
    <row r="718" spans="1:13" ht="53.25" customHeight="1">
      <c r="A718" s="1622" t="s">
        <v>7721</v>
      </c>
      <c r="B718" s="1711" t="s">
        <v>4726</v>
      </c>
      <c r="C718" s="1534" t="s">
        <v>133</v>
      </c>
      <c r="D718" s="1576">
        <f>+'PTAP TIJERETAS'!D140</f>
        <v>10</v>
      </c>
      <c r="E718" s="1531">
        <f>+'PTAP TIJERETAS'!E140</f>
        <v>16857564</v>
      </c>
      <c r="F718" s="1531">
        <f>+ROUND(D718*E718,0)</f>
        <v>168575640</v>
      </c>
    </row>
    <row r="719" spans="1:13" ht="16.8">
      <c r="A719" s="1707">
        <v>103</v>
      </c>
      <c r="B719" s="1688" t="s">
        <v>4807</v>
      </c>
      <c r="C719" s="1772"/>
      <c r="D719" s="1772"/>
      <c r="E719" s="1774"/>
      <c r="F719" s="1775">
        <f>+SUM(F720:F731)</f>
        <v>826024741</v>
      </c>
    </row>
    <row r="720" spans="1:13" s="1717" customFormat="1" ht="31.5" customHeight="1">
      <c r="A720" s="1622" t="s">
        <v>7722</v>
      </c>
      <c r="B720" s="1711" t="s">
        <v>5643</v>
      </c>
      <c r="C720" s="1710" t="s">
        <v>133</v>
      </c>
      <c r="D720" s="1576">
        <f>+'PTAP TIJERETAS'!D142</f>
        <v>12</v>
      </c>
      <c r="E720" s="1531">
        <f>+'PTAP TIJERETAS'!E142</f>
        <v>5466385</v>
      </c>
      <c r="F720" s="1531">
        <f t="shared" ref="F720:F730" si="45">+ROUND(D720*E720,0)</f>
        <v>65596620</v>
      </c>
      <c r="G720" s="2354"/>
      <c r="K720" s="1733"/>
      <c r="L720" s="1733"/>
      <c r="M720" s="1733"/>
    </row>
    <row r="721" spans="1:13" s="1717" customFormat="1" ht="33.6">
      <c r="A721" s="1622" t="s">
        <v>7723</v>
      </c>
      <c r="B721" s="1711" t="s">
        <v>5644</v>
      </c>
      <c r="C721" s="1710" t="s">
        <v>133</v>
      </c>
      <c r="D721" s="1576">
        <f>+'PTAP TIJERETAS'!D143</f>
        <v>16</v>
      </c>
      <c r="E721" s="1531">
        <f>+'PTAP TIJERETAS'!E143</f>
        <v>4687530</v>
      </c>
      <c r="F721" s="1531">
        <f t="shared" si="45"/>
        <v>75000480</v>
      </c>
      <c r="G721" s="2354"/>
      <c r="K721" s="1733"/>
      <c r="L721" s="1733"/>
      <c r="M721" s="1733"/>
    </row>
    <row r="722" spans="1:13" s="1717" customFormat="1" ht="27.75" customHeight="1">
      <c r="A722" s="1622" t="s">
        <v>7724</v>
      </c>
      <c r="B722" s="1711" t="s">
        <v>5645</v>
      </c>
      <c r="C722" s="1710" t="s">
        <v>133</v>
      </c>
      <c r="D722" s="1576">
        <f>+'PTAP TIJERETAS'!D144</f>
        <v>48</v>
      </c>
      <c r="E722" s="1531">
        <f>+'PTAP TIJERETAS'!E144</f>
        <v>4220217</v>
      </c>
      <c r="F722" s="1531">
        <f t="shared" si="45"/>
        <v>202570416</v>
      </c>
      <c r="G722" s="2354"/>
      <c r="K722" s="1733"/>
      <c r="L722" s="1733"/>
      <c r="M722" s="1733"/>
    </row>
    <row r="723" spans="1:13" s="1717" customFormat="1" ht="30" customHeight="1">
      <c r="A723" s="1622" t="s">
        <v>7725</v>
      </c>
      <c r="B723" s="1711" t="s">
        <v>5646</v>
      </c>
      <c r="C723" s="1710" t="s">
        <v>133</v>
      </c>
      <c r="D723" s="1576">
        <f>+'PTAP TIJERETAS'!D145</f>
        <v>24</v>
      </c>
      <c r="E723" s="1531">
        <f>+'PTAP TIJERETAS'!E145</f>
        <v>14265840</v>
      </c>
      <c r="F723" s="1531">
        <f t="shared" si="45"/>
        <v>342380160</v>
      </c>
      <c r="G723" s="2354"/>
      <c r="K723" s="1733"/>
      <c r="L723" s="1733"/>
      <c r="M723" s="1733"/>
    </row>
    <row r="724" spans="1:13" s="1717" customFormat="1" ht="16.8">
      <c r="A724" s="1622" t="s">
        <v>7726</v>
      </c>
      <c r="B724" s="1711" t="s">
        <v>4816</v>
      </c>
      <c r="C724" s="1710" t="s">
        <v>133</v>
      </c>
      <c r="D724" s="1576">
        <f>+'PTAP TIJERETAS'!D146</f>
        <v>240</v>
      </c>
      <c r="E724" s="1531">
        <f>+'PTAP TIJERETAS'!E146</f>
        <v>175050</v>
      </c>
      <c r="F724" s="1531">
        <f t="shared" si="45"/>
        <v>42012000</v>
      </c>
      <c r="G724" s="2354"/>
      <c r="K724" s="1733"/>
      <c r="L724" s="1733"/>
      <c r="M724" s="1733"/>
    </row>
    <row r="725" spans="1:13" ht="16.8">
      <c r="A725" s="1622" t="s">
        <v>7727</v>
      </c>
      <c r="B725" s="1711" t="s">
        <v>4734</v>
      </c>
      <c r="C725" s="1710" t="s">
        <v>133</v>
      </c>
      <c r="D725" s="1576">
        <f>+'PTAP TIJERETAS'!D147</f>
        <v>14</v>
      </c>
      <c r="E725" s="1531">
        <f>+'PTAP TIJERETAS'!E147</f>
        <v>17168</v>
      </c>
      <c r="F725" s="1531">
        <f t="shared" si="45"/>
        <v>240352</v>
      </c>
      <c r="G725" s="2354"/>
    </row>
    <row r="726" spans="1:13" ht="30" customHeight="1">
      <c r="A726" s="1622" t="s">
        <v>7728</v>
      </c>
      <c r="B726" s="1711" t="s">
        <v>4738</v>
      </c>
      <c r="C726" s="1710" t="s">
        <v>1002</v>
      </c>
      <c r="D726" s="1576">
        <f>+'PTAP TIJERETAS'!D148</f>
        <v>50</v>
      </c>
      <c r="E726" s="1531">
        <f>+'PTAP TIJERETAS'!E148</f>
        <v>666600</v>
      </c>
      <c r="F726" s="1531">
        <f t="shared" si="45"/>
        <v>33330000</v>
      </c>
      <c r="G726" s="2354"/>
    </row>
    <row r="727" spans="1:13" ht="21" customHeight="1">
      <c r="A727" s="1622" t="s">
        <v>7729</v>
      </c>
      <c r="B727" s="1711" t="s">
        <v>5647</v>
      </c>
      <c r="C727" s="1710" t="s">
        <v>1292</v>
      </c>
      <c r="D727" s="1576">
        <f>+'PTAP TIJERETAS'!D149</f>
        <v>14.688000000000001</v>
      </c>
      <c r="E727" s="1531">
        <f>+'PTAP TIJERETAS'!E149</f>
        <v>1465311.5999999999</v>
      </c>
      <c r="F727" s="1531">
        <f t="shared" si="45"/>
        <v>21522497</v>
      </c>
      <c r="G727" s="2354"/>
    </row>
    <row r="728" spans="1:13" ht="21" customHeight="1">
      <c r="A728" s="1622" t="s">
        <v>7730</v>
      </c>
      <c r="B728" s="1711" t="s">
        <v>5648</v>
      </c>
      <c r="C728" s="1710" t="s">
        <v>1292</v>
      </c>
      <c r="D728" s="1576">
        <f>+'PTAP TIJERETAS'!D150</f>
        <v>9.18</v>
      </c>
      <c r="E728" s="1531">
        <f>+'PTAP TIJERETAS'!E150</f>
        <v>1662584.4450000001</v>
      </c>
      <c r="F728" s="1531">
        <f t="shared" si="45"/>
        <v>15262525</v>
      </c>
      <c r="G728" s="2354"/>
    </row>
    <row r="729" spans="1:13" ht="20.25" customHeight="1">
      <c r="A729" s="1622" t="s">
        <v>7731</v>
      </c>
      <c r="B729" s="1711" t="s">
        <v>5649</v>
      </c>
      <c r="C729" s="1710" t="s">
        <v>1292</v>
      </c>
      <c r="D729" s="1576">
        <f>+'PTAP TIJERETAS'!D151</f>
        <v>6.5</v>
      </c>
      <c r="E729" s="1531">
        <f>+'PTAP TIJERETAS'!E151</f>
        <v>1643811.6</v>
      </c>
      <c r="F729" s="1531">
        <f>+ROUND(D729*E729,0)</f>
        <v>10684775</v>
      </c>
      <c r="G729" s="2354"/>
    </row>
    <row r="730" spans="1:13" ht="33.6">
      <c r="A730" s="1622" t="s">
        <v>7732</v>
      </c>
      <c r="B730" s="1711" t="s">
        <v>4811</v>
      </c>
      <c r="C730" s="1710" t="s">
        <v>45</v>
      </c>
      <c r="D730" s="1576">
        <f>+'PTAP TIJERETAS'!D152</f>
        <v>389.43880419628368</v>
      </c>
      <c r="E730" s="1531">
        <f>+'PTAP TIJERETAS'!E152</f>
        <v>43753</v>
      </c>
      <c r="F730" s="1531">
        <f t="shared" si="45"/>
        <v>17039116</v>
      </c>
      <c r="G730" s="2354"/>
    </row>
    <row r="731" spans="1:13" ht="17.399999999999999" thickBot="1">
      <c r="A731" s="1622" t="s">
        <v>7733</v>
      </c>
      <c r="B731" s="1711" t="s">
        <v>4817</v>
      </c>
      <c r="C731" s="1710" t="s">
        <v>133</v>
      </c>
      <c r="D731" s="1576">
        <f>+'PTAP TIJERETAS'!D153</f>
        <v>2</v>
      </c>
      <c r="E731" s="1531">
        <f>+'PTAP TIJERETAS'!E153</f>
        <v>192900</v>
      </c>
      <c r="F731" s="1531">
        <f>+ROUND(D731*E731,0)</f>
        <v>385800</v>
      </c>
      <c r="G731" s="2354"/>
    </row>
    <row r="732" spans="1:13" ht="16.8">
      <c r="A732" s="3334" t="str">
        <f>+A252</f>
        <v>SISTEMA DE TRATAMIENTO DE LODOS EN PTAP TIJERETA</v>
      </c>
      <c r="B732" s="3371"/>
      <c r="C732" s="3371"/>
      <c r="D732" s="3371"/>
      <c r="E732" s="3371"/>
      <c r="F732" s="3356"/>
    </row>
    <row r="733" spans="1:13" ht="33.6">
      <c r="A733" s="1590" t="s">
        <v>22</v>
      </c>
      <c r="B733" s="1591" t="s">
        <v>23</v>
      </c>
      <c r="C733" s="1591" t="s">
        <v>150</v>
      </c>
      <c r="D733" s="1592" t="s">
        <v>539</v>
      </c>
      <c r="E733" s="1593" t="s">
        <v>151</v>
      </c>
      <c r="F733" s="1593" t="s">
        <v>540</v>
      </c>
    </row>
    <row r="734" spans="1:13" ht="16.8">
      <c r="A734" s="1707">
        <v>104</v>
      </c>
      <c r="B734" s="3370" t="s">
        <v>5750</v>
      </c>
      <c r="C734" s="3370"/>
      <c r="D734" s="3370"/>
      <c r="E734" s="3370"/>
      <c r="F734" s="2675">
        <f>+SUM(F735:F802)</f>
        <v>174671885</v>
      </c>
      <c r="G734" s="2220">
        <f>+SUM(F734,F803)</f>
        <v>208716385</v>
      </c>
      <c r="H734" s="1717" t="s">
        <v>8225</v>
      </c>
    </row>
    <row r="735" spans="1:13" ht="33.6">
      <c r="A735" s="1622" t="s">
        <v>7734</v>
      </c>
      <c r="B735" s="1544" t="s">
        <v>4823</v>
      </c>
      <c r="C735" s="364" t="s">
        <v>94</v>
      </c>
      <c r="D735" s="1752">
        <f>+'PTAP TIJERETAS'!D256</f>
        <v>12.4</v>
      </c>
      <c r="E735" s="1637">
        <f>+'PTAP TIJERETAS'!E256</f>
        <v>222650</v>
      </c>
      <c r="F735" s="1637">
        <f t="shared" ref="F735:F796" si="46">+ROUND(D735*E735,0)</f>
        <v>2760860</v>
      </c>
      <c r="G735" s="2799">
        <f>+'PTAP TIJERETAS'!F330</f>
        <v>208716385</v>
      </c>
    </row>
    <row r="736" spans="1:13" ht="33.6">
      <c r="A736" s="1622" t="s">
        <v>7735</v>
      </c>
      <c r="B736" s="1544" t="s">
        <v>4824</v>
      </c>
      <c r="C736" s="364" t="s">
        <v>94</v>
      </c>
      <c r="D736" s="1752">
        <f>+'PTAP TIJERETAS'!D257</f>
        <v>2.4</v>
      </c>
      <c r="E736" s="1637">
        <f>+'PTAP TIJERETAS'!E257</f>
        <v>222650</v>
      </c>
      <c r="F736" s="1637">
        <f t="shared" si="46"/>
        <v>534360</v>
      </c>
    </row>
    <row r="737" spans="1:6" ht="33.6">
      <c r="A737" s="1622" t="s">
        <v>7736</v>
      </c>
      <c r="B737" s="1544" t="s">
        <v>4825</v>
      </c>
      <c r="C737" s="364" t="s">
        <v>94</v>
      </c>
      <c r="D737" s="1752">
        <f>+'PTAP TIJERETAS'!D258</f>
        <v>8</v>
      </c>
      <c r="E737" s="1637">
        <f>+'PTAP TIJERETAS'!E258</f>
        <v>222650</v>
      </c>
      <c r="F737" s="1637">
        <f t="shared" si="46"/>
        <v>1781200</v>
      </c>
    </row>
    <row r="738" spans="1:6" ht="16.8">
      <c r="A738" s="1622" t="s">
        <v>7737</v>
      </c>
      <c r="B738" s="1544" t="s">
        <v>4801</v>
      </c>
      <c r="C738" s="364" t="s">
        <v>133</v>
      </c>
      <c r="D738" s="1752">
        <f>+'PTAP TIJERETAS'!D259</f>
        <v>1</v>
      </c>
      <c r="E738" s="1637">
        <f>+'PTAP TIJERETAS'!E259</f>
        <v>300725</v>
      </c>
      <c r="F738" s="1637">
        <f t="shared" si="46"/>
        <v>300725</v>
      </c>
    </row>
    <row r="739" spans="1:6" ht="16.8">
      <c r="A739" s="1622" t="s">
        <v>7738</v>
      </c>
      <c r="B739" s="1544" t="s">
        <v>4746</v>
      </c>
      <c r="C739" s="364" t="s">
        <v>133</v>
      </c>
      <c r="D739" s="1752">
        <f>+'PTAP TIJERETAS'!D260</f>
        <v>5</v>
      </c>
      <c r="E739" s="1637">
        <f>+'PTAP TIJERETAS'!E260</f>
        <v>175050</v>
      </c>
      <c r="F739" s="1637">
        <f t="shared" si="46"/>
        <v>875250</v>
      </c>
    </row>
    <row r="740" spans="1:6" ht="16.8">
      <c r="A740" s="1622" t="s">
        <v>7739</v>
      </c>
      <c r="B740" s="1544" t="s">
        <v>4954</v>
      </c>
      <c r="C740" s="364"/>
      <c r="D740" s="1752">
        <f>+'PTAP TIJERETAS'!D261</f>
        <v>2</v>
      </c>
      <c r="E740" s="1637">
        <f>+'PTAP TIJERETAS'!E261</f>
        <v>276200</v>
      </c>
      <c r="F740" s="1637">
        <f t="shared" si="46"/>
        <v>552400</v>
      </c>
    </row>
    <row r="741" spans="1:6" ht="16.8">
      <c r="A741" s="1622" t="s">
        <v>7740</v>
      </c>
      <c r="B741" s="1544" t="s">
        <v>4747</v>
      </c>
      <c r="C741" s="364" t="s">
        <v>133</v>
      </c>
      <c r="D741" s="1752">
        <f>+'PTAP TIJERETAS'!D262</f>
        <v>2</v>
      </c>
      <c r="E741" s="1637">
        <f>+'PTAP TIJERETAS'!E262</f>
        <v>4595900</v>
      </c>
      <c r="F741" s="1637">
        <f t="shared" si="46"/>
        <v>9191800</v>
      </c>
    </row>
    <row r="742" spans="1:6" ht="16.8">
      <c r="A742" s="1622" t="s">
        <v>7741</v>
      </c>
      <c r="B742" s="1544" t="s">
        <v>4956</v>
      </c>
      <c r="C742" s="364" t="s">
        <v>133</v>
      </c>
      <c r="D742" s="1752">
        <f>+'PTAP TIJERETAS'!D263</f>
        <v>2</v>
      </c>
      <c r="E742" s="1637">
        <f>+'PTAP TIJERETAS'!E263</f>
        <v>490400</v>
      </c>
      <c r="F742" s="1637">
        <f t="shared" si="46"/>
        <v>980800</v>
      </c>
    </row>
    <row r="743" spans="1:6" ht="16.8">
      <c r="A743" s="1622" t="s">
        <v>7742</v>
      </c>
      <c r="B743" s="1544" t="s">
        <v>4754</v>
      </c>
      <c r="C743" s="364" t="s">
        <v>133</v>
      </c>
      <c r="D743" s="1752">
        <f>+'PTAP TIJERETAS'!D264</f>
        <v>1</v>
      </c>
      <c r="E743" s="1637">
        <f>+'PTAP TIJERETAS'!E264</f>
        <v>639150</v>
      </c>
      <c r="F743" s="1637">
        <f t="shared" si="46"/>
        <v>639150</v>
      </c>
    </row>
    <row r="744" spans="1:6" ht="16.8">
      <c r="A744" s="1622" t="s">
        <v>7743</v>
      </c>
      <c r="B744" s="1544" t="s">
        <v>4755</v>
      </c>
      <c r="C744" s="364" t="s">
        <v>133</v>
      </c>
      <c r="D744" s="1752">
        <f>+'PTAP TIJERETAS'!D265</f>
        <v>6</v>
      </c>
      <c r="E744" s="1637">
        <f>+'PTAP TIJERETAS'!E265</f>
        <v>532590</v>
      </c>
      <c r="F744" s="1637">
        <f t="shared" si="46"/>
        <v>3195540</v>
      </c>
    </row>
    <row r="745" spans="1:6" ht="16.8">
      <c r="A745" s="1622" t="s">
        <v>7744</v>
      </c>
      <c r="B745" s="1545" t="s">
        <v>4872</v>
      </c>
      <c r="C745" s="364" t="s">
        <v>133</v>
      </c>
      <c r="D745" s="1752">
        <f>+'PTAP TIJERETAS'!D266</f>
        <v>2</v>
      </c>
      <c r="E745" s="1637">
        <f>+'PTAP TIJERETAS'!E266</f>
        <v>416300</v>
      </c>
      <c r="F745" s="1637">
        <f t="shared" si="46"/>
        <v>832600</v>
      </c>
    </row>
    <row r="746" spans="1:6" ht="16.8">
      <c r="A746" s="1622" t="s">
        <v>7745</v>
      </c>
      <c r="B746" s="1546" t="s">
        <v>4974</v>
      </c>
      <c r="C746" s="364" t="s">
        <v>133</v>
      </c>
      <c r="D746" s="1752">
        <f>+'PTAP TIJERETAS'!D267</f>
        <v>2</v>
      </c>
      <c r="E746" s="1637">
        <f>+'PTAP TIJERETAS'!E267</f>
        <v>1739488</v>
      </c>
      <c r="F746" s="1637">
        <f t="shared" si="46"/>
        <v>3478976</v>
      </c>
    </row>
    <row r="747" spans="1:6" ht="16.8">
      <c r="A747" s="1622" t="s">
        <v>7746</v>
      </c>
      <c r="B747" s="1546" t="s">
        <v>4975</v>
      </c>
      <c r="C747" s="364" t="s">
        <v>133</v>
      </c>
      <c r="D747" s="1752">
        <f>+'PTAP TIJERETAS'!D268</f>
        <v>2</v>
      </c>
      <c r="E747" s="1637">
        <f>+'PTAP TIJERETAS'!E268</f>
        <v>1454983</v>
      </c>
      <c r="F747" s="1637">
        <f t="shared" si="46"/>
        <v>2909966</v>
      </c>
    </row>
    <row r="748" spans="1:6" ht="16.8">
      <c r="A748" s="1622" t="s">
        <v>7747</v>
      </c>
      <c r="B748" s="1545" t="s">
        <v>4874</v>
      </c>
      <c r="C748" s="364" t="s">
        <v>133</v>
      </c>
      <c r="D748" s="1752">
        <f>+'PTAP TIJERETAS'!D269</f>
        <v>2</v>
      </c>
      <c r="E748" s="1637">
        <f>+'PTAP TIJERETAS'!E269</f>
        <v>1855870</v>
      </c>
      <c r="F748" s="1637">
        <f t="shared" si="46"/>
        <v>3711740</v>
      </c>
    </row>
    <row r="749" spans="1:6" ht="33.6">
      <c r="A749" s="1622" t="s">
        <v>7748</v>
      </c>
      <c r="B749" s="1560" t="s">
        <v>4875</v>
      </c>
      <c r="C749" s="364" t="s">
        <v>133</v>
      </c>
      <c r="D749" s="1752">
        <f>+'PTAP TIJERETAS'!D270</f>
        <v>2</v>
      </c>
      <c r="E749" s="1637">
        <f>+'PTAP TIJERETAS'!E270</f>
        <v>1063925</v>
      </c>
      <c r="F749" s="1637">
        <f t="shared" si="46"/>
        <v>2127850</v>
      </c>
    </row>
    <row r="750" spans="1:6" ht="16.8">
      <c r="A750" s="1622" t="s">
        <v>7749</v>
      </c>
      <c r="B750" s="1545" t="s">
        <v>4876</v>
      </c>
      <c r="C750" s="364" t="s">
        <v>133</v>
      </c>
      <c r="D750" s="1752">
        <f>+'PTAP TIJERETAS'!D271</f>
        <v>2</v>
      </c>
      <c r="E750" s="1637">
        <f>+'PTAP TIJERETAS'!E271</f>
        <v>639385</v>
      </c>
      <c r="F750" s="1637">
        <f t="shared" si="46"/>
        <v>1278770</v>
      </c>
    </row>
    <row r="751" spans="1:6" ht="16.8">
      <c r="A751" s="1622" t="s">
        <v>7750</v>
      </c>
      <c r="B751" s="1546" t="s">
        <v>4976</v>
      </c>
      <c r="C751" s="364" t="s">
        <v>133</v>
      </c>
      <c r="D751" s="1752">
        <f>+'PTAP TIJERETAS'!D272</f>
        <v>1</v>
      </c>
      <c r="E751" s="1637">
        <f>+'PTAP TIJERETAS'!E272</f>
        <v>1420910</v>
      </c>
      <c r="F751" s="1637">
        <f t="shared" si="46"/>
        <v>1420910</v>
      </c>
    </row>
    <row r="752" spans="1:6" ht="16.8">
      <c r="A752" s="1622" t="s">
        <v>7751</v>
      </c>
      <c r="B752" s="1545" t="s">
        <v>4877</v>
      </c>
      <c r="C752" s="364" t="s">
        <v>133</v>
      </c>
      <c r="D752" s="1752">
        <f>+'PTAP TIJERETAS'!D273</f>
        <v>1</v>
      </c>
      <c r="E752" s="1637">
        <f>+'PTAP TIJERETAS'!E273</f>
        <v>1604200</v>
      </c>
      <c r="F752" s="1637">
        <f t="shared" si="46"/>
        <v>1604200</v>
      </c>
    </row>
    <row r="753" spans="1:6" ht="16.8">
      <c r="A753" s="1622" t="s">
        <v>7752</v>
      </c>
      <c r="B753" s="1546" t="s">
        <v>4977</v>
      </c>
      <c r="C753" s="364" t="s">
        <v>133</v>
      </c>
      <c r="D753" s="1752">
        <f>+'PTAP TIJERETAS'!D274</f>
        <v>1</v>
      </c>
      <c r="E753" s="1637">
        <f>+'PTAP TIJERETAS'!E274</f>
        <v>1026342</v>
      </c>
      <c r="F753" s="1637">
        <f t="shared" si="46"/>
        <v>1026342</v>
      </c>
    </row>
    <row r="754" spans="1:6" ht="16.8">
      <c r="A754" s="1622" t="s">
        <v>7753</v>
      </c>
      <c r="B754" s="1545" t="s">
        <v>4878</v>
      </c>
      <c r="C754" s="364" t="s">
        <v>133</v>
      </c>
      <c r="D754" s="1752">
        <f>+'PTAP TIJERETAS'!D275</f>
        <v>1</v>
      </c>
      <c r="E754" s="1637">
        <f>+'PTAP TIJERETAS'!E275</f>
        <v>1191310</v>
      </c>
      <c r="F754" s="1637">
        <f t="shared" si="46"/>
        <v>1191310</v>
      </c>
    </row>
    <row r="755" spans="1:6" ht="16.8">
      <c r="A755" s="1622" t="s">
        <v>7754</v>
      </c>
      <c r="B755" s="1546" t="s">
        <v>4978</v>
      </c>
      <c r="C755" s="364" t="s">
        <v>133</v>
      </c>
      <c r="D755" s="1752">
        <f>+'PTAP TIJERETAS'!D276</f>
        <v>1</v>
      </c>
      <c r="E755" s="1637">
        <f>+'PTAP TIJERETAS'!E276</f>
        <v>968150</v>
      </c>
      <c r="F755" s="1637">
        <f t="shared" si="46"/>
        <v>968150</v>
      </c>
    </row>
    <row r="756" spans="1:6" ht="16.8">
      <c r="A756" s="1622" t="s">
        <v>7755</v>
      </c>
      <c r="B756" s="1546" t="s">
        <v>4879</v>
      </c>
      <c r="C756" s="364" t="s">
        <v>133</v>
      </c>
      <c r="D756" s="1752">
        <f>+'PTAP TIJERETAS'!D277</f>
        <v>1</v>
      </c>
      <c r="E756" s="1637">
        <f>+'PTAP TIJERETAS'!E277</f>
        <v>1245077</v>
      </c>
      <c r="F756" s="1637">
        <f t="shared" si="46"/>
        <v>1245077</v>
      </c>
    </row>
    <row r="757" spans="1:6" ht="16.8">
      <c r="A757" s="1622" t="s">
        <v>7756</v>
      </c>
      <c r="B757" s="1545" t="s">
        <v>4880</v>
      </c>
      <c r="C757" s="364" t="s">
        <v>133</v>
      </c>
      <c r="D757" s="1752">
        <f>+'PTAP TIJERETAS'!D278</f>
        <v>1</v>
      </c>
      <c r="E757" s="1637">
        <f>+'PTAP TIJERETAS'!E278</f>
        <v>447560</v>
      </c>
      <c r="F757" s="1637">
        <f t="shared" si="46"/>
        <v>447560</v>
      </c>
    </row>
    <row r="758" spans="1:6" ht="16.8">
      <c r="A758" s="1622" t="s">
        <v>7757</v>
      </c>
      <c r="B758" s="1546" t="s">
        <v>4881</v>
      </c>
      <c r="C758" s="364" t="s">
        <v>133</v>
      </c>
      <c r="D758" s="1752">
        <f>+'PTAP TIJERETAS'!D279</f>
        <v>1</v>
      </c>
      <c r="E758" s="1637">
        <f>+'PTAP TIJERETAS'!E279</f>
        <v>1135755</v>
      </c>
      <c r="F758" s="1637">
        <f t="shared" si="46"/>
        <v>1135755</v>
      </c>
    </row>
    <row r="759" spans="1:6" ht="16.8">
      <c r="A759" s="1622" t="s">
        <v>7758</v>
      </c>
      <c r="B759" s="1546" t="s">
        <v>4882</v>
      </c>
      <c r="C759" s="364" t="s">
        <v>133</v>
      </c>
      <c r="D759" s="1752">
        <f>+'PTAP TIJERETAS'!D280</f>
        <v>1</v>
      </c>
      <c r="E759" s="1637">
        <f>+'PTAP TIJERETAS'!E280</f>
        <v>557411</v>
      </c>
      <c r="F759" s="1637">
        <f t="shared" si="46"/>
        <v>557411</v>
      </c>
    </row>
    <row r="760" spans="1:6" ht="16.8">
      <c r="A760" s="1622" t="s">
        <v>7759</v>
      </c>
      <c r="B760" s="1545" t="s">
        <v>4883</v>
      </c>
      <c r="C760" s="364" t="s">
        <v>133</v>
      </c>
      <c r="D760" s="1752">
        <f>+'PTAP TIJERETAS'!D281</f>
        <v>1</v>
      </c>
      <c r="E760" s="1637">
        <f>+'PTAP TIJERETAS'!E281</f>
        <v>464220</v>
      </c>
      <c r="F760" s="1637">
        <f t="shared" si="46"/>
        <v>464220</v>
      </c>
    </row>
    <row r="761" spans="1:6" ht="16.8">
      <c r="A761" s="1622" t="s">
        <v>7760</v>
      </c>
      <c r="B761" s="1546" t="s">
        <v>4884</v>
      </c>
      <c r="C761" s="364" t="s">
        <v>133</v>
      </c>
      <c r="D761" s="1752">
        <f>+'PTAP TIJERETAS'!D282</f>
        <v>1</v>
      </c>
      <c r="E761" s="1637">
        <f>+'PTAP TIJERETAS'!E282</f>
        <v>2346424</v>
      </c>
      <c r="F761" s="1637">
        <f t="shared" si="46"/>
        <v>2346424</v>
      </c>
    </row>
    <row r="762" spans="1:6" ht="16.8">
      <c r="A762" s="1622" t="s">
        <v>7761</v>
      </c>
      <c r="B762" s="1546" t="s">
        <v>4885</v>
      </c>
      <c r="C762" s="364" t="s">
        <v>133</v>
      </c>
      <c r="D762" s="1752">
        <f>+'PTAP TIJERETAS'!D283</f>
        <v>1</v>
      </c>
      <c r="E762" s="1637">
        <f>+'PTAP TIJERETAS'!E283</f>
        <v>889481</v>
      </c>
      <c r="F762" s="1637">
        <f t="shared" si="46"/>
        <v>889481</v>
      </c>
    </row>
    <row r="763" spans="1:6" ht="16.8">
      <c r="A763" s="1622" t="s">
        <v>7762</v>
      </c>
      <c r="B763" s="1545" t="s">
        <v>4886</v>
      </c>
      <c r="C763" s="364" t="s">
        <v>133</v>
      </c>
      <c r="D763" s="1752">
        <f>+'PTAP TIJERETAS'!D284</f>
        <v>1</v>
      </c>
      <c r="E763" s="1637">
        <f>+'PTAP TIJERETAS'!E284</f>
        <v>288100</v>
      </c>
      <c r="F763" s="1637">
        <f t="shared" si="46"/>
        <v>288100</v>
      </c>
    </row>
    <row r="764" spans="1:6" ht="16.8">
      <c r="A764" s="1622" t="s">
        <v>7763</v>
      </c>
      <c r="B764" s="1546" t="s">
        <v>4979</v>
      </c>
      <c r="C764" s="364" t="s">
        <v>133</v>
      </c>
      <c r="D764" s="1752">
        <f>+'PTAP TIJERETAS'!D285</f>
        <v>1</v>
      </c>
      <c r="E764" s="1637">
        <f>+'PTAP TIJERETAS'!E285</f>
        <v>3945858</v>
      </c>
      <c r="F764" s="1637">
        <f t="shared" si="46"/>
        <v>3945858</v>
      </c>
    </row>
    <row r="765" spans="1:6" ht="16.8">
      <c r="A765" s="1622" t="s">
        <v>7764</v>
      </c>
      <c r="B765" s="1546" t="s">
        <v>4980</v>
      </c>
      <c r="C765" s="364" t="s">
        <v>133</v>
      </c>
      <c r="D765" s="1752">
        <f>+'PTAP TIJERETAS'!D286</f>
        <v>1</v>
      </c>
      <c r="E765" s="1637">
        <f>+'PTAP TIJERETAS'!E286</f>
        <v>2540319</v>
      </c>
      <c r="F765" s="1637">
        <f t="shared" si="46"/>
        <v>2540319</v>
      </c>
    </row>
    <row r="766" spans="1:6" ht="89.25" customHeight="1">
      <c r="A766" s="1622" t="s">
        <v>7765</v>
      </c>
      <c r="B766" s="1550" t="s">
        <v>4923</v>
      </c>
      <c r="C766" s="364" t="s">
        <v>133</v>
      </c>
      <c r="D766" s="1752">
        <f>+'PTAP TIJERETAS'!D287</f>
        <v>2</v>
      </c>
      <c r="E766" s="1637">
        <f>+'PTAP TIJERETAS'!E287</f>
        <v>12620000</v>
      </c>
      <c r="F766" s="1637">
        <f t="shared" si="46"/>
        <v>25240000</v>
      </c>
    </row>
    <row r="767" spans="1:6" ht="89.25" customHeight="1">
      <c r="A767" s="1622" t="s">
        <v>7766</v>
      </c>
      <c r="B767" s="1550" t="s">
        <v>5655</v>
      </c>
      <c r="C767" s="364" t="s">
        <v>133</v>
      </c>
      <c r="D767" s="1752">
        <f>+'PTAP TIJERETAS'!D288</f>
        <v>2</v>
      </c>
      <c r="E767" s="1637">
        <f>+'PTAP TIJERETAS'!E288</f>
        <v>17620000</v>
      </c>
      <c r="F767" s="1637">
        <f t="shared" si="46"/>
        <v>35240000</v>
      </c>
    </row>
    <row r="768" spans="1:6" ht="16.8">
      <c r="A768" s="1622" t="s">
        <v>7767</v>
      </c>
      <c r="B768" s="1544" t="s">
        <v>4981</v>
      </c>
      <c r="C768" s="364" t="s">
        <v>133</v>
      </c>
      <c r="D768" s="1752">
        <f>+'PTAP TIJERETAS'!D289</f>
        <v>2</v>
      </c>
      <c r="E768" s="1637">
        <f>+'PTAP TIJERETAS'!E289</f>
        <v>968747</v>
      </c>
      <c r="F768" s="1637">
        <f t="shared" si="46"/>
        <v>1937494</v>
      </c>
    </row>
    <row r="769" spans="1:6" ht="16.8">
      <c r="A769" s="1622" t="s">
        <v>7768</v>
      </c>
      <c r="B769" s="1544" t="s">
        <v>4924</v>
      </c>
      <c r="C769" s="364" t="s">
        <v>133</v>
      </c>
      <c r="D769" s="1752">
        <f>+'PTAP TIJERETAS'!D290</f>
        <v>2</v>
      </c>
      <c r="E769" s="1637">
        <f>+'PTAP TIJERETAS'!E290</f>
        <v>326000</v>
      </c>
      <c r="F769" s="1637">
        <f t="shared" si="46"/>
        <v>652000</v>
      </c>
    </row>
    <row r="770" spans="1:6" ht="33.6">
      <c r="A770" s="1622" t="s">
        <v>7769</v>
      </c>
      <c r="B770" s="1544" t="s">
        <v>4982</v>
      </c>
      <c r="C770" s="364" t="s">
        <v>133</v>
      </c>
      <c r="D770" s="1752">
        <f>+'PTAP TIJERETAS'!D291</f>
        <v>2</v>
      </c>
      <c r="E770" s="1637">
        <f>+'PTAP TIJERETAS'!E291</f>
        <v>843406</v>
      </c>
      <c r="F770" s="1637">
        <f t="shared" si="46"/>
        <v>1686812</v>
      </c>
    </row>
    <row r="771" spans="1:6" ht="16.8">
      <c r="A771" s="1622" t="s">
        <v>7770</v>
      </c>
      <c r="B771" s="1544" t="s">
        <v>4925</v>
      </c>
      <c r="C771" s="364" t="s">
        <v>133</v>
      </c>
      <c r="D771" s="1752">
        <f>+'PTAP TIJERETAS'!D292</f>
        <v>2</v>
      </c>
      <c r="E771" s="1637">
        <f>+'PTAP TIJERETAS'!E292</f>
        <v>876488</v>
      </c>
      <c r="F771" s="1637">
        <f t="shared" si="46"/>
        <v>1752976</v>
      </c>
    </row>
    <row r="772" spans="1:6" ht="33.6">
      <c r="A772" s="1622" t="s">
        <v>7771</v>
      </c>
      <c r="B772" s="1544" t="s">
        <v>4926</v>
      </c>
      <c r="C772" s="364" t="s">
        <v>133</v>
      </c>
      <c r="D772" s="1752">
        <f>+'PTAP TIJERETAS'!D293</f>
        <v>2</v>
      </c>
      <c r="E772" s="1637">
        <f>+'PTAP TIJERETAS'!E293</f>
        <v>546620</v>
      </c>
      <c r="F772" s="1637">
        <f t="shared" si="46"/>
        <v>1093240</v>
      </c>
    </row>
    <row r="773" spans="1:6" ht="33.6">
      <c r="A773" s="1622" t="s">
        <v>7772</v>
      </c>
      <c r="B773" s="1544" t="s">
        <v>4927</v>
      </c>
      <c r="C773" s="364" t="s">
        <v>133</v>
      </c>
      <c r="D773" s="1752">
        <f>+'PTAP TIJERETAS'!D294</f>
        <v>2</v>
      </c>
      <c r="E773" s="1637">
        <f>+'PTAP TIJERETAS'!E294</f>
        <v>388475</v>
      </c>
      <c r="F773" s="1637">
        <f t="shared" si="46"/>
        <v>776950</v>
      </c>
    </row>
    <row r="774" spans="1:6" ht="16.8">
      <c r="A774" s="1622" t="s">
        <v>7773</v>
      </c>
      <c r="B774" s="1544" t="s">
        <v>4983</v>
      </c>
      <c r="C774" s="364" t="s">
        <v>133</v>
      </c>
      <c r="D774" s="1752">
        <f>+'PTAP TIJERETAS'!D295</f>
        <v>2</v>
      </c>
      <c r="E774" s="1637">
        <f>+'PTAP TIJERETAS'!E295</f>
        <v>1112239</v>
      </c>
      <c r="F774" s="1637">
        <f t="shared" si="46"/>
        <v>2224478</v>
      </c>
    </row>
    <row r="775" spans="1:6" ht="16.8">
      <c r="A775" s="1622" t="s">
        <v>7774</v>
      </c>
      <c r="B775" s="1544" t="s">
        <v>4928</v>
      </c>
      <c r="C775" s="364" t="s">
        <v>133</v>
      </c>
      <c r="D775" s="1752">
        <f>+'PTAP TIJERETAS'!D296</f>
        <v>1</v>
      </c>
      <c r="E775" s="1637">
        <f>+'PTAP TIJERETAS'!E296</f>
        <v>547520</v>
      </c>
      <c r="F775" s="1637">
        <f t="shared" si="46"/>
        <v>547520</v>
      </c>
    </row>
    <row r="776" spans="1:6" ht="16.8">
      <c r="A776" s="1622" t="s">
        <v>7775</v>
      </c>
      <c r="B776" s="1544" t="s">
        <v>4984</v>
      </c>
      <c r="C776" s="364" t="s">
        <v>133</v>
      </c>
      <c r="D776" s="1752">
        <f>+'PTAP TIJERETAS'!D297</f>
        <v>1</v>
      </c>
      <c r="E776" s="1637">
        <f>+'PTAP TIJERETAS'!E297</f>
        <v>731558</v>
      </c>
      <c r="F776" s="1637">
        <f t="shared" si="46"/>
        <v>731558</v>
      </c>
    </row>
    <row r="777" spans="1:6" ht="16.8">
      <c r="A777" s="1622" t="s">
        <v>7776</v>
      </c>
      <c r="B777" s="1548" t="s">
        <v>4929</v>
      </c>
      <c r="C777" s="364" t="s">
        <v>133</v>
      </c>
      <c r="D777" s="1752">
        <f>+'PTAP TIJERETAS'!D298</f>
        <v>1</v>
      </c>
      <c r="E777" s="1637">
        <f>+'PTAP TIJERETAS'!E298</f>
        <v>674850</v>
      </c>
      <c r="F777" s="1637">
        <f t="shared" si="46"/>
        <v>674850</v>
      </c>
    </row>
    <row r="778" spans="1:6" ht="33.6">
      <c r="A778" s="1622" t="s">
        <v>7777</v>
      </c>
      <c r="B778" s="1549" t="s">
        <v>4985</v>
      </c>
      <c r="C778" s="364" t="s">
        <v>133</v>
      </c>
      <c r="D778" s="1752">
        <f>+'PTAP TIJERETAS'!D299</f>
        <v>1</v>
      </c>
      <c r="E778" s="1637">
        <f>+'PTAP TIJERETAS'!E299</f>
        <v>802688</v>
      </c>
      <c r="F778" s="1637">
        <f t="shared" si="46"/>
        <v>802688</v>
      </c>
    </row>
    <row r="779" spans="1:6" ht="16.8">
      <c r="A779" s="1622" t="s">
        <v>7778</v>
      </c>
      <c r="B779" s="1549" t="s">
        <v>4930</v>
      </c>
      <c r="C779" s="364" t="s">
        <v>133</v>
      </c>
      <c r="D779" s="1752">
        <f>+'PTAP TIJERETAS'!D300</f>
        <v>2</v>
      </c>
      <c r="E779" s="1637">
        <f>+'PTAP TIJERETAS'!E300</f>
        <v>3972102</v>
      </c>
      <c r="F779" s="1637">
        <f t="shared" si="46"/>
        <v>7944204</v>
      </c>
    </row>
    <row r="780" spans="1:6" ht="16.8">
      <c r="A780" s="1622" t="s">
        <v>7779</v>
      </c>
      <c r="B780" s="1549" t="s">
        <v>4931</v>
      </c>
      <c r="C780" s="364" t="s">
        <v>133</v>
      </c>
      <c r="D780" s="1752">
        <f>+'PTAP TIJERETAS'!D301</f>
        <v>1</v>
      </c>
      <c r="E780" s="1637">
        <f>+'PTAP TIJERETAS'!E301</f>
        <v>364985</v>
      </c>
      <c r="F780" s="1637">
        <f t="shared" si="46"/>
        <v>364985</v>
      </c>
    </row>
    <row r="781" spans="1:6" ht="16.8">
      <c r="A781" s="1622" t="s">
        <v>7780</v>
      </c>
      <c r="B781" s="1549" t="s">
        <v>4932</v>
      </c>
      <c r="C781" s="364" t="s">
        <v>133</v>
      </c>
      <c r="D781" s="1752">
        <f>+'PTAP TIJERETAS'!D302</f>
        <v>1</v>
      </c>
      <c r="E781" s="1637">
        <f>+'PTAP TIJERETAS'!E302</f>
        <v>648150</v>
      </c>
      <c r="F781" s="1637">
        <f t="shared" si="46"/>
        <v>648150</v>
      </c>
    </row>
    <row r="782" spans="1:6" ht="16.8">
      <c r="A782" s="1622" t="s">
        <v>7781</v>
      </c>
      <c r="B782" s="1549" t="s">
        <v>4933</v>
      </c>
      <c r="C782" s="364" t="s">
        <v>133</v>
      </c>
      <c r="D782" s="1752">
        <f>+'PTAP TIJERETAS'!D303</f>
        <v>1</v>
      </c>
      <c r="E782" s="1637">
        <f>+'PTAP TIJERETAS'!E303</f>
        <v>715570</v>
      </c>
      <c r="F782" s="1637">
        <f t="shared" si="46"/>
        <v>715570</v>
      </c>
    </row>
    <row r="783" spans="1:6" ht="16.8">
      <c r="A783" s="1622" t="s">
        <v>7782</v>
      </c>
      <c r="B783" s="1549" t="s">
        <v>4934</v>
      </c>
      <c r="C783" s="364" t="s">
        <v>133</v>
      </c>
      <c r="D783" s="1752">
        <f>+'PTAP TIJERETAS'!D304</f>
        <v>1</v>
      </c>
      <c r="E783" s="1637">
        <f>+'PTAP TIJERETAS'!E304</f>
        <v>836926</v>
      </c>
      <c r="F783" s="1637">
        <f t="shared" si="46"/>
        <v>836926</v>
      </c>
    </row>
    <row r="784" spans="1:6" ht="16.8">
      <c r="A784" s="1622" t="s">
        <v>7783</v>
      </c>
      <c r="B784" s="1549" t="s">
        <v>4935</v>
      </c>
      <c r="C784" s="364" t="s">
        <v>45</v>
      </c>
      <c r="D784" s="1752">
        <f>+'PTAP TIJERETAS'!D305</f>
        <v>1</v>
      </c>
      <c r="E784" s="1637">
        <f>+'PTAP TIJERETAS'!E305</f>
        <v>9419674</v>
      </c>
      <c r="F784" s="1637">
        <f t="shared" si="46"/>
        <v>9419674</v>
      </c>
    </row>
    <row r="785" spans="1:6" ht="16.8">
      <c r="A785" s="1622" t="s">
        <v>7784</v>
      </c>
      <c r="B785" s="1549" t="s">
        <v>4936</v>
      </c>
      <c r="C785" s="364" t="s">
        <v>133</v>
      </c>
      <c r="D785" s="1752">
        <f>+'PTAP TIJERETAS'!D306</f>
        <v>1</v>
      </c>
      <c r="E785" s="1637">
        <f>+'PTAP TIJERETAS'!E306</f>
        <v>2279718</v>
      </c>
      <c r="F785" s="1637">
        <f t="shared" si="46"/>
        <v>2279718</v>
      </c>
    </row>
    <row r="786" spans="1:6" ht="16.8">
      <c r="A786" s="1622" t="s">
        <v>7785</v>
      </c>
      <c r="B786" s="1549" t="s">
        <v>4937</v>
      </c>
      <c r="C786" s="364" t="s">
        <v>133</v>
      </c>
      <c r="D786" s="1752">
        <f>+'PTAP TIJERETAS'!D307</f>
        <v>1</v>
      </c>
      <c r="E786" s="1637">
        <f>+'PTAP TIJERETAS'!E307</f>
        <v>920527</v>
      </c>
      <c r="F786" s="1637">
        <f t="shared" si="46"/>
        <v>920527</v>
      </c>
    </row>
    <row r="787" spans="1:6" ht="16.8">
      <c r="A787" s="1622" t="s">
        <v>7786</v>
      </c>
      <c r="B787" s="1549" t="s">
        <v>4938</v>
      </c>
      <c r="C787" s="364" t="s">
        <v>133</v>
      </c>
      <c r="D787" s="1752">
        <f>+'PTAP TIJERETAS'!D308</f>
        <v>1</v>
      </c>
      <c r="E787" s="1637">
        <f>+'PTAP TIJERETAS'!E308</f>
        <v>300000</v>
      </c>
      <c r="F787" s="1637">
        <f t="shared" si="46"/>
        <v>300000</v>
      </c>
    </row>
    <row r="788" spans="1:6" ht="16.8">
      <c r="A788" s="1622" t="s">
        <v>7787</v>
      </c>
      <c r="B788" s="1549" t="s">
        <v>4939</v>
      </c>
      <c r="C788" s="364" t="s">
        <v>133</v>
      </c>
      <c r="D788" s="1752">
        <f>+'PTAP TIJERETAS'!D309</f>
        <v>1</v>
      </c>
      <c r="E788" s="1637">
        <f>+'PTAP TIJERETAS'!E309</f>
        <v>2225922</v>
      </c>
      <c r="F788" s="1637">
        <f t="shared" si="46"/>
        <v>2225922</v>
      </c>
    </row>
    <row r="789" spans="1:6" ht="16.8">
      <c r="A789" s="1622" t="s">
        <v>7788</v>
      </c>
      <c r="B789" s="1549" t="s">
        <v>4940</v>
      </c>
      <c r="C789" s="364" t="s">
        <v>133</v>
      </c>
      <c r="D789" s="1752">
        <f>+'PTAP TIJERETAS'!D310</f>
        <v>2</v>
      </c>
      <c r="E789" s="1637">
        <f>+'PTAP TIJERETAS'!E310</f>
        <v>197925</v>
      </c>
      <c r="F789" s="1637">
        <f t="shared" si="46"/>
        <v>395850</v>
      </c>
    </row>
    <row r="790" spans="1:6" ht="16.8">
      <c r="A790" s="1622" t="s">
        <v>7789</v>
      </c>
      <c r="B790" s="1549" t="s">
        <v>4941</v>
      </c>
      <c r="C790" s="364" t="s">
        <v>133</v>
      </c>
      <c r="D790" s="1752">
        <f>+'PTAP TIJERETAS'!D311</f>
        <v>1</v>
      </c>
      <c r="E790" s="1637">
        <f>+'PTAP TIJERETAS'!E311</f>
        <v>3185136</v>
      </c>
      <c r="F790" s="1637">
        <f t="shared" si="46"/>
        <v>3185136</v>
      </c>
    </row>
    <row r="791" spans="1:6" ht="16.8">
      <c r="A791" s="1622" t="s">
        <v>7790</v>
      </c>
      <c r="B791" s="1549" t="s">
        <v>4942</v>
      </c>
      <c r="C791" s="364" t="s">
        <v>133</v>
      </c>
      <c r="D791" s="1752">
        <f>+'PTAP TIJERETAS'!D312</f>
        <v>2</v>
      </c>
      <c r="E791" s="1637">
        <f>+'PTAP TIJERETAS'!E312</f>
        <v>510173</v>
      </c>
      <c r="F791" s="1637">
        <f t="shared" si="46"/>
        <v>1020346</v>
      </c>
    </row>
    <row r="792" spans="1:6" ht="16.8">
      <c r="A792" s="1622" t="s">
        <v>7791</v>
      </c>
      <c r="B792" s="1549" t="s">
        <v>4943</v>
      </c>
      <c r="C792" s="364" t="s">
        <v>133</v>
      </c>
      <c r="D792" s="1752">
        <f>+'PTAP TIJERETAS'!D313</f>
        <v>6</v>
      </c>
      <c r="E792" s="1637">
        <f>+'PTAP TIJERETAS'!E313</f>
        <v>585074</v>
      </c>
      <c r="F792" s="1637">
        <f t="shared" si="46"/>
        <v>3510444</v>
      </c>
    </row>
    <row r="793" spans="1:6" ht="16.8">
      <c r="A793" s="1622" t="s">
        <v>7792</v>
      </c>
      <c r="B793" s="1549" t="s">
        <v>4944</v>
      </c>
      <c r="C793" s="364" t="s">
        <v>133</v>
      </c>
      <c r="D793" s="1752">
        <f>+'PTAP TIJERETAS'!D314</f>
        <v>2</v>
      </c>
      <c r="E793" s="1637">
        <f>+'PTAP TIJERETAS'!E314</f>
        <v>437056</v>
      </c>
      <c r="F793" s="1637">
        <f t="shared" si="46"/>
        <v>874112</v>
      </c>
    </row>
    <row r="794" spans="1:6" ht="16.8">
      <c r="A794" s="1622" t="s">
        <v>7793</v>
      </c>
      <c r="B794" s="1549" t="s">
        <v>4945</v>
      </c>
      <c r="C794" s="364" t="s">
        <v>133</v>
      </c>
      <c r="D794" s="1752">
        <f>+'PTAP TIJERETAS'!D315</f>
        <v>8</v>
      </c>
      <c r="E794" s="1637">
        <f>+'PTAP TIJERETAS'!E315</f>
        <v>220746</v>
      </c>
      <c r="F794" s="1637">
        <f t="shared" si="46"/>
        <v>1765968</v>
      </c>
    </row>
    <row r="795" spans="1:6" ht="16.8">
      <c r="A795" s="1622" t="s">
        <v>7794</v>
      </c>
      <c r="B795" s="1549" t="s">
        <v>4946</v>
      </c>
      <c r="C795" s="364" t="s">
        <v>133</v>
      </c>
      <c r="D795" s="1752">
        <f>+'PTAP TIJERETAS'!D316</f>
        <v>8</v>
      </c>
      <c r="E795" s="1637">
        <f>+'PTAP TIJERETAS'!E316</f>
        <v>37956</v>
      </c>
      <c r="F795" s="1637">
        <f t="shared" si="46"/>
        <v>303648</v>
      </c>
    </row>
    <row r="796" spans="1:6" ht="16.8">
      <c r="A796" s="1622" t="s">
        <v>7795</v>
      </c>
      <c r="B796" s="1549" t="s">
        <v>4947</v>
      </c>
      <c r="C796" s="364" t="s">
        <v>133</v>
      </c>
      <c r="D796" s="1752">
        <f>+'PTAP TIJERETAS'!D317</f>
        <v>24</v>
      </c>
      <c r="E796" s="1637">
        <f>+'PTAP TIJERETAS'!E317</f>
        <v>29766</v>
      </c>
      <c r="F796" s="1637">
        <f t="shared" si="46"/>
        <v>714384</v>
      </c>
    </row>
    <row r="797" spans="1:6" ht="16.8">
      <c r="A797" s="1622" t="s">
        <v>7796</v>
      </c>
      <c r="B797" s="1549" t="s">
        <v>4948</v>
      </c>
      <c r="C797" s="364" t="s">
        <v>133</v>
      </c>
      <c r="D797" s="1752">
        <f>+'PTAP TIJERETAS'!D318</f>
        <v>8</v>
      </c>
      <c r="E797" s="1637">
        <f>+'PTAP TIJERETAS'!E318</f>
        <v>23246</v>
      </c>
      <c r="F797" s="1637">
        <f t="shared" ref="F797:F802" si="47">+ROUND(D797*E797,0)</f>
        <v>185968</v>
      </c>
    </row>
    <row r="798" spans="1:6" ht="16.8">
      <c r="A798" s="1622" t="s">
        <v>7797</v>
      </c>
      <c r="B798" s="1549" t="s">
        <v>4949</v>
      </c>
      <c r="C798" s="364" t="s">
        <v>133</v>
      </c>
      <c r="D798" s="1752">
        <f>+'PTAP TIJERETAS'!D319</f>
        <v>8</v>
      </c>
      <c r="E798" s="1637">
        <f>+'PTAP TIJERETAS'!E319</f>
        <v>153413</v>
      </c>
      <c r="F798" s="1637">
        <f t="shared" si="47"/>
        <v>1227304</v>
      </c>
    </row>
    <row r="799" spans="1:6" ht="16.8">
      <c r="A799" s="1622" t="s">
        <v>7798</v>
      </c>
      <c r="B799" s="1549" t="s">
        <v>4950</v>
      </c>
      <c r="C799" s="364" t="s">
        <v>133</v>
      </c>
      <c r="D799" s="1752">
        <f>+'PTAP TIJERETAS'!D320</f>
        <v>2</v>
      </c>
      <c r="E799" s="1637">
        <f>+'PTAP TIJERETAS'!E320</f>
        <v>1203567</v>
      </c>
      <c r="F799" s="1637">
        <f t="shared" si="47"/>
        <v>2407134</v>
      </c>
    </row>
    <row r="800" spans="1:6" ht="16.8">
      <c r="A800" s="1622" t="s">
        <v>7799</v>
      </c>
      <c r="B800" s="1549" t="s">
        <v>4951</v>
      </c>
      <c r="C800" s="364" t="s">
        <v>133</v>
      </c>
      <c r="D800" s="1752">
        <f>+'PTAP TIJERETAS'!D321</f>
        <v>10</v>
      </c>
      <c r="E800" s="1637">
        <f>+'PTAP TIJERETAS'!E321</f>
        <v>67391</v>
      </c>
      <c r="F800" s="1637">
        <f t="shared" si="47"/>
        <v>673910</v>
      </c>
    </row>
    <row r="801" spans="1:13" ht="16.8">
      <c r="A801" s="1622" t="s">
        <v>7800</v>
      </c>
      <c r="B801" s="1549" t="s">
        <v>4952</v>
      </c>
      <c r="C801" s="364" t="s">
        <v>133</v>
      </c>
      <c r="D801" s="1752">
        <f>+'PTAP TIJERETAS'!D322</f>
        <v>1</v>
      </c>
      <c r="E801" s="1637">
        <f>+'PTAP TIJERETAS'!E322</f>
        <v>1533435</v>
      </c>
      <c r="F801" s="1637">
        <f t="shared" si="47"/>
        <v>1533435</v>
      </c>
    </row>
    <row r="802" spans="1:13" ht="16.8">
      <c r="A802" s="1622" t="s">
        <v>7801</v>
      </c>
      <c r="B802" s="1549" t="s">
        <v>4986</v>
      </c>
      <c r="C802" s="364" t="s">
        <v>133</v>
      </c>
      <c r="D802" s="1752">
        <f>+'PTAP TIJERETAS'!D323</f>
        <v>2</v>
      </c>
      <c r="E802" s="1637">
        <f>+'PTAP TIJERETAS'!E323</f>
        <v>1317450</v>
      </c>
      <c r="F802" s="1637">
        <f t="shared" si="47"/>
        <v>2634900</v>
      </c>
    </row>
    <row r="803" spans="1:13" s="492" customFormat="1" ht="18">
      <c r="A803" s="1703">
        <v>105</v>
      </c>
      <c r="B803" s="1777" t="s">
        <v>5719</v>
      </c>
      <c r="C803" s="1778"/>
      <c r="D803" s="1778"/>
      <c r="E803" s="1778"/>
      <c r="F803" s="2676">
        <f>+SUM(F804:F808)</f>
        <v>34044500</v>
      </c>
      <c r="G803" s="711"/>
      <c r="H803" s="61"/>
      <c r="K803" s="1495"/>
      <c r="L803" s="1495"/>
      <c r="M803" s="1495"/>
    </row>
    <row r="804" spans="1:13" s="492" customFormat="1" ht="18">
      <c r="A804" s="1748"/>
      <c r="B804" s="1696" t="s">
        <v>5713</v>
      </c>
      <c r="C804" s="471"/>
      <c r="D804" s="1752"/>
      <c r="E804" s="260"/>
      <c r="F804" s="1531"/>
      <c r="G804" s="711"/>
      <c r="H804" s="61"/>
      <c r="K804" s="1495"/>
      <c r="L804" s="1495"/>
      <c r="M804" s="1495"/>
    </row>
    <row r="805" spans="1:13" s="492" customFormat="1" ht="134.4">
      <c r="A805" s="1622" t="s">
        <v>7804</v>
      </c>
      <c r="B805" s="1544" t="s">
        <v>5716</v>
      </c>
      <c r="C805" s="471" t="s">
        <v>133</v>
      </c>
      <c r="D805" s="1749">
        <v>1</v>
      </c>
      <c r="E805" s="260">
        <f>+'PTAP TIJERETAS'!E326</f>
        <v>25004000</v>
      </c>
      <c r="F805" s="260">
        <f t="shared" ref="F805:F808" si="48">+ROUND(D805*E805,0)</f>
        <v>25004000</v>
      </c>
      <c r="G805" s="711"/>
      <c r="H805" s="61"/>
      <c r="K805" s="1495"/>
      <c r="L805" s="1495"/>
      <c r="M805" s="1495"/>
    </row>
    <row r="806" spans="1:13" s="492" customFormat="1" ht="33.6">
      <c r="A806" s="1776"/>
      <c r="B806" s="1697" t="s">
        <v>5715</v>
      </c>
      <c r="C806" s="471"/>
      <c r="D806" s="1749"/>
      <c r="E806" s="260"/>
      <c r="F806" s="1531"/>
      <c r="G806" s="711"/>
      <c r="H806" s="61"/>
      <c r="K806" s="1495"/>
      <c r="L806" s="1495"/>
      <c r="M806" s="1495"/>
    </row>
    <row r="807" spans="1:13" s="492" customFormat="1" ht="100.8">
      <c r="A807" s="1622" t="s">
        <v>7805</v>
      </c>
      <c r="B807" s="1544" t="s">
        <v>7803</v>
      </c>
      <c r="C807" s="471" t="s">
        <v>45</v>
      </c>
      <c r="D807" s="1749">
        <v>140</v>
      </c>
      <c r="E807" s="260">
        <f>+'PTAP TIJERETAS'!E328</f>
        <v>45050</v>
      </c>
      <c r="F807" s="260">
        <f t="shared" si="48"/>
        <v>6307000</v>
      </c>
      <c r="G807" s="711"/>
      <c r="H807" s="61"/>
      <c r="K807" s="1495"/>
      <c r="L807" s="1495"/>
      <c r="M807" s="1495"/>
    </row>
    <row r="808" spans="1:13" s="492" customFormat="1" ht="101.4" thickBot="1">
      <c r="A808" s="1622" t="s">
        <v>7806</v>
      </c>
      <c r="B808" s="1544" t="s">
        <v>5119</v>
      </c>
      <c r="C808" s="471" t="s">
        <v>45</v>
      </c>
      <c r="D808" s="1749">
        <v>70</v>
      </c>
      <c r="E808" s="260">
        <f>+'PTAP TIJERETAS'!E329</f>
        <v>39050</v>
      </c>
      <c r="F808" s="260">
        <f t="shared" si="48"/>
        <v>2733500</v>
      </c>
      <c r="G808" s="711"/>
      <c r="H808" s="61"/>
      <c r="K808" s="1495"/>
      <c r="L808" s="1495"/>
      <c r="M808" s="1495"/>
    </row>
    <row r="809" spans="1:13" ht="16.8">
      <c r="A809" s="3334" t="str">
        <f>+A343</f>
        <v>BOMBEO TIJERETA-PATAGONIA</v>
      </c>
      <c r="B809" s="3335"/>
      <c r="C809" s="3335"/>
      <c r="D809" s="3335"/>
      <c r="E809" s="3335"/>
      <c r="F809" s="3336"/>
    </row>
    <row r="810" spans="1:13" ht="33.6">
      <c r="A810" s="1590" t="s">
        <v>22</v>
      </c>
      <c r="B810" s="1591" t="s">
        <v>23</v>
      </c>
      <c r="C810" s="1591" t="s">
        <v>150</v>
      </c>
      <c r="D810" s="1592" t="s">
        <v>539</v>
      </c>
      <c r="E810" s="1593" t="s">
        <v>151</v>
      </c>
      <c r="F810" s="1593" t="s">
        <v>540</v>
      </c>
    </row>
    <row r="811" spans="1:13" ht="16.8">
      <c r="A811" s="1683">
        <v>106</v>
      </c>
      <c r="B811" s="1689" t="s">
        <v>5190</v>
      </c>
      <c r="C811" s="1683"/>
      <c r="D811" s="1690"/>
      <c r="E811" s="1691"/>
      <c r="F811" s="2677">
        <f>SUM(F812:F816)</f>
        <v>18397950</v>
      </c>
      <c r="G811" s="2339">
        <f>+SUM(F811,F817,F819,F822,F824,F826,F828,F830,F832,F834,F838,F846,F850,F852)</f>
        <v>566207138</v>
      </c>
      <c r="H811" s="1717" t="s">
        <v>8225</v>
      </c>
    </row>
    <row r="812" spans="1:13" ht="33.6">
      <c r="A812" s="1622" t="s">
        <v>7807</v>
      </c>
      <c r="B812" s="1618" t="s">
        <v>5245</v>
      </c>
      <c r="C812" s="1599" t="s">
        <v>5191</v>
      </c>
      <c r="D812" s="1476">
        <v>1</v>
      </c>
      <c r="E812" s="1659">
        <f>+'PTAP TIJERETAS'!E396</f>
        <v>1994000</v>
      </c>
      <c r="F812" s="260">
        <f t="shared" ref="F812:F823" si="49">+ROUND(D812*E812,0)</f>
        <v>1994000</v>
      </c>
      <c r="G812" s="2356">
        <f>+'PTAP TIJERETAS'!F441</f>
        <v>566207138</v>
      </c>
    </row>
    <row r="813" spans="1:13" ht="33.6">
      <c r="A813" s="1622" t="s">
        <v>7808</v>
      </c>
      <c r="B813" s="1618" t="s">
        <v>5246</v>
      </c>
      <c r="C813" s="1599" t="s">
        <v>5191</v>
      </c>
      <c r="D813" s="1471">
        <v>2</v>
      </c>
      <c r="E813" s="1659">
        <f>+'PTAP TIJERETAS'!E397</f>
        <v>1389200</v>
      </c>
      <c r="F813" s="260">
        <f t="shared" si="49"/>
        <v>2778400</v>
      </c>
    </row>
    <row r="814" spans="1:13" ht="16.8">
      <c r="A814" s="1622" t="s">
        <v>7809</v>
      </c>
      <c r="B814" s="1618" t="s">
        <v>5247</v>
      </c>
      <c r="C814" s="1599" t="s">
        <v>4693</v>
      </c>
      <c r="D814" s="1692">
        <v>30</v>
      </c>
      <c r="E814" s="1659">
        <f>+'PTAP TIJERETAS'!E398</f>
        <v>3100</v>
      </c>
      <c r="F814" s="260">
        <f t="shared" si="49"/>
        <v>93000</v>
      </c>
    </row>
    <row r="815" spans="1:13" ht="16.8">
      <c r="A815" s="1622" t="s">
        <v>7810</v>
      </c>
      <c r="B815" s="1618" t="s">
        <v>5248</v>
      </c>
      <c r="C815" s="1599" t="s">
        <v>5191</v>
      </c>
      <c r="D815" s="1602">
        <v>1</v>
      </c>
      <c r="E815" s="1659">
        <f>+'PTAP TIJERETAS'!E399</f>
        <v>316150</v>
      </c>
      <c r="F815" s="260">
        <f t="shared" si="49"/>
        <v>316150</v>
      </c>
    </row>
    <row r="816" spans="1:13" ht="33.6">
      <c r="A816" s="1622" t="s">
        <v>7811</v>
      </c>
      <c r="B816" s="1618" t="s">
        <v>5249</v>
      </c>
      <c r="C816" s="1599" t="s">
        <v>5191</v>
      </c>
      <c r="D816" s="1471">
        <v>1</v>
      </c>
      <c r="E816" s="1659">
        <f>+'PTAP TIJERETAS'!E400</f>
        <v>13216400</v>
      </c>
      <c r="F816" s="260">
        <f t="shared" si="49"/>
        <v>13216400</v>
      </c>
    </row>
    <row r="817" spans="1:10" ht="16.8">
      <c r="A817" s="1683">
        <v>107</v>
      </c>
      <c r="B817" s="1689" t="s">
        <v>5526</v>
      </c>
      <c r="C817" s="1683"/>
      <c r="D817" s="1690"/>
      <c r="E817" s="1691"/>
      <c r="F817" s="2677">
        <f>+SUM(F818)</f>
        <v>2292728</v>
      </c>
    </row>
    <row r="818" spans="1:10" ht="16.8">
      <c r="A818" s="1622" t="s">
        <v>7812</v>
      </c>
      <c r="B818" s="1618" t="s">
        <v>5250</v>
      </c>
      <c r="C818" s="1599" t="s">
        <v>5191</v>
      </c>
      <c r="D818" s="1471">
        <v>9</v>
      </c>
      <c r="E818" s="1659">
        <f>+'PTAP TIJERETAS'!E402</f>
        <v>254747.5</v>
      </c>
      <c r="F818" s="260">
        <f t="shared" si="49"/>
        <v>2292728</v>
      </c>
    </row>
    <row r="819" spans="1:10" ht="16.8">
      <c r="A819" s="1683">
        <v>108</v>
      </c>
      <c r="B819" s="1689" t="s">
        <v>5527</v>
      </c>
      <c r="C819" s="1683"/>
      <c r="D819" s="1690"/>
      <c r="E819" s="1691"/>
      <c r="F819" s="2677">
        <f>SUM(F820:F821)</f>
        <v>4850000</v>
      </c>
    </row>
    <row r="820" spans="1:10" ht="50.4">
      <c r="A820" s="1622" t="s">
        <v>7813</v>
      </c>
      <c r="B820" s="1645" t="s">
        <v>5251</v>
      </c>
      <c r="C820" s="1635" t="s">
        <v>5191</v>
      </c>
      <c r="D820" s="1602">
        <v>1</v>
      </c>
      <c r="E820" s="1659">
        <f>+'PTAP TIJERETAS'!E404</f>
        <v>4120000</v>
      </c>
      <c r="F820" s="260">
        <f t="shared" si="49"/>
        <v>4120000</v>
      </c>
    </row>
    <row r="821" spans="1:10" ht="50.4">
      <c r="A821" s="1622" t="s">
        <v>7814</v>
      </c>
      <c r="B821" s="1693" t="s">
        <v>5252</v>
      </c>
      <c r="C821" s="1599" t="s">
        <v>5191</v>
      </c>
      <c r="D821" s="1472">
        <v>1</v>
      </c>
      <c r="E821" s="1659">
        <f>+'PTAP TIJERETAS'!E405</f>
        <v>730000</v>
      </c>
      <c r="F821" s="260">
        <f t="shared" si="49"/>
        <v>730000</v>
      </c>
    </row>
    <row r="822" spans="1:10" ht="33.6">
      <c r="A822" s="1683">
        <v>109</v>
      </c>
      <c r="B822" s="1689" t="s">
        <v>5528</v>
      </c>
      <c r="C822" s="1683"/>
      <c r="D822" s="1690"/>
      <c r="E822" s="1691"/>
      <c r="F822" s="2677">
        <f>SUM(F823)</f>
        <v>3380000</v>
      </c>
    </row>
    <row r="823" spans="1:10" ht="50.4">
      <c r="A823" s="1622" t="s">
        <v>7815</v>
      </c>
      <c r="B823" s="1661" t="s">
        <v>5217</v>
      </c>
      <c r="C823" s="1599" t="s">
        <v>4693</v>
      </c>
      <c r="D823" s="1471">
        <v>20</v>
      </c>
      <c r="E823" s="1659">
        <f>+'PTAP TIJERETAS'!E407</f>
        <v>169000</v>
      </c>
      <c r="F823" s="260">
        <f t="shared" si="49"/>
        <v>3380000</v>
      </c>
    </row>
    <row r="824" spans="1:10" ht="33.6">
      <c r="A824" s="1683">
        <v>110</v>
      </c>
      <c r="B824" s="1689" t="s">
        <v>5529</v>
      </c>
      <c r="C824" s="1683"/>
      <c r="D824" s="1690"/>
      <c r="E824" s="1691"/>
      <c r="F824" s="2677">
        <f>SUM(F825)</f>
        <v>17362000</v>
      </c>
    </row>
    <row r="825" spans="1:10" ht="117.6">
      <c r="A825" s="1622" t="s">
        <v>7816</v>
      </c>
      <c r="B825" s="1638" t="s">
        <v>5218</v>
      </c>
      <c r="C825" s="1635" t="s">
        <v>5191</v>
      </c>
      <c r="D825" s="1602">
        <v>1</v>
      </c>
      <c r="E825" s="1659">
        <f>+'PTAP TIJERETAS'!E409</f>
        <v>17362000</v>
      </c>
      <c r="F825" s="260">
        <f>+ROUND(D825*E825,0)</f>
        <v>17362000</v>
      </c>
      <c r="G825" s="2354"/>
      <c r="I825" s="1717"/>
      <c r="J825" s="1717"/>
    </row>
    <row r="826" spans="1:10" ht="33.6">
      <c r="A826" s="1683">
        <v>111</v>
      </c>
      <c r="B826" s="1689" t="s">
        <v>5530</v>
      </c>
      <c r="C826" s="1683"/>
      <c r="D826" s="1690"/>
      <c r="E826" s="1691"/>
      <c r="F826" s="2677">
        <f>SUM(F827)</f>
        <v>2028000</v>
      </c>
    </row>
    <row r="827" spans="1:10" ht="50.4">
      <c r="A827" s="1622" t="s">
        <v>7817</v>
      </c>
      <c r="B827" s="1661" t="s">
        <v>5219</v>
      </c>
      <c r="C827" s="1599" t="s">
        <v>4693</v>
      </c>
      <c r="D827" s="1471">
        <v>12</v>
      </c>
      <c r="E827" s="1659">
        <f>+'PTAP TIJERETAS'!E411</f>
        <v>169000</v>
      </c>
      <c r="F827" s="260">
        <f>+ROUND(D827*E827,0)</f>
        <v>2028000</v>
      </c>
    </row>
    <row r="828" spans="1:10" ht="33.6">
      <c r="A828" s="1683">
        <v>112</v>
      </c>
      <c r="B828" s="1689" t="s">
        <v>5531</v>
      </c>
      <c r="C828" s="1683"/>
      <c r="D828" s="1690"/>
      <c r="E828" s="1691"/>
      <c r="F828" s="2677">
        <f>SUM(F829)</f>
        <v>2535000</v>
      </c>
    </row>
    <row r="829" spans="1:10" ht="50.4">
      <c r="A829" s="1622" t="s">
        <v>7818</v>
      </c>
      <c r="B829" s="1661" t="s">
        <v>5220</v>
      </c>
      <c r="C829" s="1599" t="s">
        <v>4693</v>
      </c>
      <c r="D829" s="1471">
        <v>15</v>
      </c>
      <c r="E829" s="1659">
        <f>+'PTAP TIJERETAS'!E413</f>
        <v>169000</v>
      </c>
      <c r="F829" s="260">
        <f>+ROUND(D829*E829,0)</f>
        <v>2535000</v>
      </c>
    </row>
    <row r="830" spans="1:10" ht="16.8">
      <c r="A830" s="1683">
        <v>113</v>
      </c>
      <c r="B830" s="1689" t="s">
        <v>5532</v>
      </c>
      <c r="C830" s="1683"/>
      <c r="D830" s="1690"/>
      <c r="E830" s="1691"/>
      <c r="F830" s="2677">
        <f>SUM(F831)</f>
        <v>101793972</v>
      </c>
    </row>
    <row r="831" spans="1:10" ht="67.2">
      <c r="A831" s="1622" t="s">
        <v>7819</v>
      </c>
      <c r="B831" s="1662" t="s">
        <v>5254</v>
      </c>
      <c r="C831" s="1599" t="s">
        <v>5191</v>
      </c>
      <c r="D831" s="1471">
        <v>1</v>
      </c>
      <c r="E831" s="1659">
        <f>+'PTAP TIJERETAS'!E415</f>
        <v>101793972</v>
      </c>
      <c r="F831" s="260">
        <f>+ROUND(D831*E831,0)</f>
        <v>101793972</v>
      </c>
    </row>
    <row r="832" spans="1:10" ht="16.8">
      <c r="B832" s="1689" t="s">
        <v>5533</v>
      </c>
      <c r="C832" s="1683"/>
      <c r="D832" s="1690"/>
      <c r="E832" s="1691"/>
      <c r="F832" s="2677">
        <f>SUM(F833)</f>
        <v>114736000</v>
      </c>
    </row>
    <row r="833" spans="1:6" ht="201.6">
      <c r="A833" s="1622" t="s">
        <v>7820</v>
      </c>
      <c r="B833" s="1618" t="s">
        <v>5253</v>
      </c>
      <c r="C833" s="1599" t="s">
        <v>5191</v>
      </c>
      <c r="D833" s="1472">
        <v>1</v>
      </c>
      <c r="E833" s="1659">
        <f>+'PTAP TIJERETAS'!E417</f>
        <v>114736000</v>
      </c>
      <c r="F833" s="260">
        <f>+ROUND(D833*E833,0)</f>
        <v>114736000</v>
      </c>
    </row>
    <row r="834" spans="1:6" ht="33.6">
      <c r="A834" s="1683">
        <v>115</v>
      </c>
      <c r="B834" s="1689" t="s">
        <v>5534</v>
      </c>
      <c r="C834" s="1683"/>
      <c r="D834" s="1690"/>
      <c r="E834" s="1691"/>
      <c r="F834" s="2677">
        <f>SUM(F835:F837)</f>
        <v>4720800</v>
      </c>
    </row>
    <row r="835" spans="1:6" ht="50.4">
      <c r="A835" s="1622" t="s">
        <v>7821</v>
      </c>
      <c r="B835" s="1661" t="s">
        <v>5255</v>
      </c>
      <c r="C835" s="1599" t="s">
        <v>4693</v>
      </c>
      <c r="D835" s="1471">
        <v>10</v>
      </c>
      <c r="E835" s="1659">
        <f>+'PTAP TIJERETAS'!E419</f>
        <v>22050</v>
      </c>
      <c r="F835" s="260">
        <f>+ROUND(D835*E835,0)</f>
        <v>220500</v>
      </c>
    </row>
    <row r="836" spans="1:6" ht="50.4">
      <c r="A836" s="1622" t="s">
        <v>7822</v>
      </c>
      <c r="B836" s="1661" t="s">
        <v>5256</v>
      </c>
      <c r="C836" s="1599" t="s">
        <v>4693</v>
      </c>
      <c r="D836" s="1471">
        <v>30</v>
      </c>
      <c r="E836" s="1659">
        <f>+'PTAP TIJERETAS'!E420</f>
        <v>22050</v>
      </c>
      <c r="F836" s="260">
        <f t="shared" ref="F836:F837" si="50">+ROUND(D836*E836,0)</f>
        <v>661500</v>
      </c>
    </row>
    <row r="837" spans="1:6" ht="67.2">
      <c r="A837" s="1622" t="s">
        <v>7823</v>
      </c>
      <c r="B837" s="1661" t="s">
        <v>5109</v>
      </c>
      <c r="C837" s="1599" t="s">
        <v>4693</v>
      </c>
      <c r="D837" s="1471">
        <v>56</v>
      </c>
      <c r="E837" s="1659">
        <f>+'PTAP TIJERETAS'!E421</f>
        <v>68550</v>
      </c>
      <c r="F837" s="260">
        <f t="shared" si="50"/>
        <v>3838800</v>
      </c>
    </row>
    <row r="838" spans="1:6" ht="16.8">
      <c r="A838" s="1683">
        <v>116</v>
      </c>
      <c r="B838" s="1689" t="s">
        <v>5535</v>
      </c>
      <c r="C838" s="1683"/>
      <c r="D838" s="1690"/>
      <c r="E838" s="1691"/>
      <c r="F838" s="2677">
        <f>SUM(F839:F845)</f>
        <v>3163100</v>
      </c>
    </row>
    <row r="839" spans="1:6" ht="16.8">
      <c r="A839" s="1622" t="s">
        <v>7824</v>
      </c>
      <c r="B839" s="1664" t="s">
        <v>5123</v>
      </c>
      <c r="C839" s="1599" t="s">
        <v>5191</v>
      </c>
      <c r="D839" s="1471">
        <v>1</v>
      </c>
      <c r="E839" s="1659">
        <f>+'PTAP TIJERETAS'!E423</f>
        <v>284050</v>
      </c>
      <c r="F839" s="260">
        <f>+ROUND(D839*E839,0)</f>
        <v>284050</v>
      </c>
    </row>
    <row r="840" spans="1:6" ht="16.8">
      <c r="A840" s="1622" t="s">
        <v>7825</v>
      </c>
      <c r="B840" s="1664" t="s">
        <v>5129</v>
      </c>
      <c r="C840" s="1599" t="s">
        <v>5191</v>
      </c>
      <c r="D840" s="1471">
        <v>1</v>
      </c>
      <c r="E840" s="1659">
        <f>+'PTAP TIJERETAS'!E424</f>
        <v>157050</v>
      </c>
      <c r="F840" s="260">
        <f t="shared" ref="F840:F845" si="51">+ROUND(D840*E840,0)</f>
        <v>157050</v>
      </c>
    </row>
    <row r="841" spans="1:6" ht="33.6">
      <c r="A841" s="1622" t="s">
        <v>7826</v>
      </c>
      <c r="B841" s="1663" t="s">
        <v>5257</v>
      </c>
      <c r="C841" s="1599" t="s">
        <v>5191</v>
      </c>
      <c r="D841" s="1471">
        <v>14</v>
      </c>
      <c r="E841" s="1659">
        <f>+'PTAP TIJERETAS'!E425</f>
        <v>46200</v>
      </c>
      <c r="F841" s="260">
        <f t="shared" si="51"/>
        <v>646800</v>
      </c>
    </row>
    <row r="842" spans="1:6" ht="33.6">
      <c r="A842" s="1622" t="s">
        <v>7827</v>
      </c>
      <c r="B842" s="1663" t="s">
        <v>5258</v>
      </c>
      <c r="C842" s="1599" t="s">
        <v>5191</v>
      </c>
      <c r="D842" s="1471">
        <v>3</v>
      </c>
      <c r="E842" s="1659">
        <f>+'PTAP TIJERETAS'!E426</f>
        <v>39400</v>
      </c>
      <c r="F842" s="260">
        <f t="shared" si="51"/>
        <v>118200</v>
      </c>
    </row>
    <row r="843" spans="1:6" ht="33.6">
      <c r="A843" s="1622" t="s">
        <v>7828</v>
      </c>
      <c r="B843" s="1663" t="s">
        <v>5259</v>
      </c>
      <c r="C843" s="1599" t="s">
        <v>5191</v>
      </c>
      <c r="D843" s="1471">
        <v>2</v>
      </c>
      <c r="E843" s="1659">
        <f>+'PTAP TIJERETAS'!E427</f>
        <v>52100</v>
      </c>
      <c r="F843" s="260">
        <f t="shared" si="51"/>
        <v>104200</v>
      </c>
    </row>
    <row r="844" spans="1:6" ht="16.8">
      <c r="A844" s="1622" t="s">
        <v>7829</v>
      </c>
      <c r="B844" s="1663" t="s">
        <v>5260</v>
      </c>
      <c r="C844" s="1599" t="s">
        <v>5191</v>
      </c>
      <c r="D844" s="1471">
        <v>6</v>
      </c>
      <c r="E844" s="1659">
        <f>+'PTAP TIJERETAS'!E428</f>
        <v>215200</v>
      </c>
      <c r="F844" s="260">
        <f t="shared" si="51"/>
        <v>1291200</v>
      </c>
    </row>
    <row r="845" spans="1:6" ht="16.8">
      <c r="A845" s="1622" t="s">
        <v>7830</v>
      </c>
      <c r="B845" s="1663" t="s">
        <v>5261</v>
      </c>
      <c r="C845" s="1599" t="s">
        <v>5191</v>
      </c>
      <c r="D845" s="1471">
        <v>8</v>
      </c>
      <c r="E845" s="1659">
        <f>+'PTAP TIJERETAS'!E429</f>
        <v>70200</v>
      </c>
      <c r="F845" s="260">
        <f t="shared" si="51"/>
        <v>561600</v>
      </c>
    </row>
    <row r="846" spans="1:6" ht="16.8">
      <c r="A846" s="1683">
        <v>117</v>
      </c>
      <c r="B846" s="1689" t="s">
        <v>5536</v>
      </c>
      <c r="C846" s="1683"/>
      <c r="D846" s="1690"/>
      <c r="E846" s="1691"/>
      <c r="F846" s="2677">
        <f>SUM(F847:F849)</f>
        <v>11682800</v>
      </c>
    </row>
    <row r="847" spans="1:6" ht="50.4">
      <c r="A847" s="1622" t="s">
        <v>7831</v>
      </c>
      <c r="B847" s="1465" t="s">
        <v>5168</v>
      </c>
      <c r="C847" s="364" t="s">
        <v>4693</v>
      </c>
      <c r="D847" s="1610">
        <v>180</v>
      </c>
      <c r="E847" s="1659">
        <f>+'PTAP TIJERETAS'!E431</f>
        <v>12200</v>
      </c>
      <c r="F847" s="260">
        <f>+ROUND(D847*E847,0)</f>
        <v>2196000</v>
      </c>
    </row>
    <row r="848" spans="1:6" ht="33.6">
      <c r="A848" s="1622" t="s">
        <v>7832</v>
      </c>
      <c r="B848" s="1465" t="s">
        <v>5262</v>
      </c>
      <c r="C848" s="364" t="s">
        <v>5191</v>
      </c>
      <c r="D848" s="1610">
        <v>9</v>
      </c>
      <c r="E848" s="1659">
        <f>+'PTAP TIJERETAS'!E432</f>
        <v>925200</v>
      </c>
      <c r="F848" s="260">
        <f t="shared" ref="F848:F851" si="52">+ROUND(D848*E848,0)</f>
        <v>8326800</v>
      </c>
    </row>
    <row r="849" spans="1:17" ht="16.8">
      <c r="A849" s="1622" t="s">
        <v>7833</v>
      </c>
      <c r="B849" s="1465" t="s">
        <v>5263</v>
      </c>
      <c r="C849" s="364" t="s">
        <v>5191</v>
      </c>
      <c r="D849" s="1610">
        <v>8</v>
      </c>
      <c r="E849" s="1659">
        <f>+'PTAP TIJERETAS'!E433</f>
        <v>145000</v>
      </c>
      <c r="F849" s="260">
        <f t="shared" si="52"/>
        <v>1160000</v>
      </c>
    </row>
    <row r="850" spans="1:17" ht="16.8">
      <c r="A850" s="1683">
        <v>118</v>
      </c>
      <c r="B850" s="1689" t="s">
        <v>5537</v>
      </c>
      <c r="C850" s="1683"/>
      <c r="D850" s="1690"/>
      <c r="E850" s="1691"/>
      <c r="F850" s="2677">
        <f>SUM(F851)</f>
        <v>24420000</v>
      </c>
    </row>
    <row r="851" spans="1:17" ht="151.19999999999999">
      <c r="A851" s="1622" t="s">
        <v>7834</v>
      </c>
      <c r="B851" s="1618" t="s">
        <v>5264</v>
      </c>
      <c r="C851" s="1599" t="s">
        <v>5191</v>
      </c>
      <c r="D851" s="1471">
        <v>1</v>
      </c>
      <c r="E851" s="1659">
        <f>+'PTAP TIJERETAS'!E435</f>
        <v>24420000</v>
      </c>
      <c r="F851" s="260">
        <f t="shared" si="52"/>
        <v>24420000</v>
      </c>
    </row>
    <row r="852" spans="1:17" ht="16.8">
      <c r="A852" s="1683">
        <v>119</v>
      </c>
      <c r="B852" s="3357" t="s">
        <v>5657</v>
      </c>
      <c r="C852" s="3358"/>
      <c r="D852" s="3358"/>
      <c r="E852" s="1684"/>
      <c r="F852" s="2677">
        <f>SUM(F853:F855)</f>
        <v>254844788</v>
      </c>
    </row>
    <row r="853" spans="1:17" s="1717" customFormat="1" ht="117.6">
      <c r="A853" s="1622" t="s">
        <v>7835</v>
      </c>
      <c r="B853" s="349" t="s">
        <v>6229</v>
      </c>
      <c r="C853" s="1635" t="s">
        <v>5191</v>
      </c>
      <c r="D853" s="1635">
        <v>2</v>
      </c>
      <c r="E853" s="1659">
        <f>+'PTAP TIJERETAS'!E437</f>
        <v>36541188</v>
      </c>
      <c r="F853" s="260">
        <f>+ROUND(D853*E853,0)</f>
        <v>73082376</v>
      </c>
      <c r="G853" s="2354"/>
      <c r="K853" s="1733"/>
      <c r="L853" s="1733"/>
      <c r="M853" s="1733"/>
    </row>
    <row r="854" spans="1:17" s="61" customFormat="1" ht="111" customHeight="1">
      <c r="A854" s="1622" t="s">
        <v>7836</v>
      </c>
      <c r="B854" s="349" t="s">
        <v>6230</v>
      </c>
      <c r="C854" s="2926" t="s">
        <v>5191</v>
      </c>
      <c r="D854" s="2926">
        <v>2</v>
      </c>
      <c r="E854" s="1659">
        <f>+'PTAP TIJERETAS'!E438</f>
        <v>48320998</v>
      </c>
      <c r="F854" s="260">
        <f t="shared" ref="F854:F855" si="53">+ROUND(D854*E854,0)</f>
        <v>96641996</v>
      </c>
      <c r="G854" s="95"/>
      <c r="K854" s="2739"/>
      <c r="L854" s="2739"/>
      <c r="M854" s="2739"/>
    </row>
    <row r="855" spans="1:17" s="61" customFormat="1" ht="110.25" customHeight="1" thickBot="1">
      <c r="A855" s="1622" t="s">
        <v>7837</v>
      </c>
      <c r="B855" s="349" t="s">
        <v>6309</v>
      </c>
      <c r="C855" s="2926" t="s">
        <v>5191</v>
      </c>
      <c r="D855" s="2926">
        <v>2</v>
      </c>
      <c r="E855" s="1659">
        <f>+'PTAP TIJERETAS'!E439</f>
        <v>42560208</v>
      </c>
      <c r="F855" s="260">
        <f t="shared" si="53"/>
        <v>85120416</v>
      </c>
      <c r="G855" s="95"/>
      <c r="K855" s="2739"/>
      <c r="L855" s="2739"/>
      <c r="M855" s="2739"/>
    </row>
    <row r="856" spans="1:17" ht="16.8">
      <c r="A856" s="3373" t="str">
        <f>+A396</f>
        <v xml:space="preserve"> PRESUPUESTO ACCESORIOS BOMBEO TIJERETAS - PATAGONIA</v>
      </c>
      <c r="B856" s="3335"/>
      <c r="C856" s="3335"/>
      <c r="D856" s="3335"/>
      <c r="E856" s="3335"/>
      <c r="F856" s="3336"/>
    </row>
    <row r="857" spans="1:17" ht="33.6">
      <c r="A857" s="1590" t="s">
        <v>22</v>
      </c>
      <c r="B857" s="1591" t="s">
        <v>23</v>
      </c>
      <c r="C857" s="1591" t="s">
        <v>150</v>
      </c>
      <c r="D857" s="1592" t="s">
        <v>539</v>
      </c>
      <c r="E857" s="1593" t="s">
        <v>151</v>
      </c>
      <c r="F857" s="1593" t="s">
        <v>540</v>
      </c>
    </row>
    <row r="858" spans="1:17" s="1623" customFormat="1" ht="16.8">
      <c r="A858" s="1683">
        <v>120</v>
      </c>
      <c r="B858" s="3357" t="s">
        <v>1128</v>
      </c>
      <c r="C858" s="3358"/>
      <c r="D858" s="3358"/>
      <c r="E858" s="1685"/>
      <c r="F858" s="2251">
        <f>+SUM(F859:F876)</f>
        <v>47061067</v>
      </c>
      <c r="G858" s="2800">
        <f>+F858</f>
        <v>47061067</v>
      </c>
      <c r="H858" s="1623" t="s">
        <v>8225</v>
      </c>
      <c r="I858" s="1625"/>
      <c r="J858" s="1625"/>
      <c r="K858" s="1706"/>
      <c r="L858" s="1706"/>
      <c r="M858" s="1625"/>
      <c r="N858" s="1625"/>
      <c r="O858" s="1625"/>
      <c r="P858" s="1625"/>
      <c r="Q858" s="1625"/>
    </row>
    <row r="859" spans="1:17" s="1623" customFormat="1" ht="16.8">
      <c r="A859" s="1617" t="s">
        <v>7838</v>
      </c>
      <c r="B859" s="1618" t="s">
        <v>4407</v>
      </c>
      <c r="C859" s="364" t="s">
        <v>427</v>
      </c>
      <c r="D859" s="1639">
        <v>2</v>
      </c>
      <c r="E859" s="1637">
        <f>+'PTAP TIJERETAS'!E474</f>
        <v>1899100</v>
      </c>
      <c r="F859" s="260">
        <f t="shared" ref="F859:F876" si="54">+ROUND(D859*E859,0)</f>
        <v>3798200</v>
      </c>
      <c r="G859" s="1625">
        <f>+'PTAP TIJERETAS'!F473</f>
        <v>47061067</v>
      </c>
      <c r="I859" s="1625"/>
      <c r="J859" s="1625"/>
      <c r="K859" s="1706"/>
      <c r="L859" s="1706"/>
      <c r="M859" s="1625"/>
      <c r="N859" s="1625"/>
      <c r="O859" s="1625"/>
      <c r="P859" s="1625"/>
      <c r="Q859" s="1625"/>
    </row>
    <row r="860" spans="1:17" s="1623" customFormat="1" ht="16.8">
      <c r="A860" s="1617" t="s">
        <v>7839</v>
      </c>
      <c r="B860" s="1618" t="s">
        <v>4408</v>
      </c>
      <c r="C860" s="364" t="s">
        <v>427</v>
      </c>
      <c r="D860" s="1639">
        <v>2</v>
      </c>
      <c r="E860" s="1637">
        <f>+'PTAP TIJERETAS'!E475</f>
        <v>1123600</v>
      </c>
      <c r="F860" s="260">
        <f t="shared" si="54"/>
        <v>2247200</v>
      </c>
      <c r="G860" s="1704"/>
      <c r="H860" s="1625"/>
      <c r="I860" s="1625"/>
      <c r="J860" s="1625"/>
      <c r="K860" s="1706"/>
      <c r="L860" s="1706"/>
      <c r="M860" s="1625"/>
      <c r="N860" s="1625"/>
      <c r="O860" s="1625"/>
      <c r="P860" s="1625"/>
      <c r="Q860" s="1625"/>
    </row>
    <row r="861" spans="1:17" s="1623" customFormat="1" ht="16.8">
      <c r="A861" s="1617" t="s">
        <v>7840</v>
      </c>
      <c r="B861" s="1618" t="s">
        <v>4411</v>
      </c>
      <c r="C861" s="364" t="s">
        <v>427</v>
      </c>
      <c r="D861" s="1639">
        <v>5</v>
      </c>
      <c r="E861" s="1637">
        <f>+'PTAP TIJERETAS'!E476</f>
        <v>639150</v>
      </c>
      <c r="F861" s="260">
        <f t="shared" si="54"/>
        <v>3195750</v>
      </c>
      <c r="G861" s="1704"/>
      <c r="H861" s="1625"/>
      <c r="I861" s="1625"/>
      <c r="J861" s="1625"/>
      <c r="K861" s="1706"/>
      <c r="L861" s="1706"/>
      <c r="M861" s="1625"/>
      <c r="N861" s="1625"/>
      <c r="O861" s="1625"/>
      <c r="P861" s="1625"/>
      <c r="Q861" s="1625"/>
    </row>
    <row r="862" spans="1:17" s="1623" customFormat="1" ht="16.8">
      <c r="A862" s="1617" t="s">
        <v>7841</v>
      </c>
      <c r="B862" s="1618" t="s">
        <v>4412</v>
      </c>
      <c r="C862" s="364" t="s">
        <v>427</v>
      </c>
      <c r="D862" s="1639">
        <v>2</v>
      </c>
      <c r="E862" s="1637">
        <f>+'PTAP TIJERETAS'!E477</f>
        <v>1268600</v>
      </c>
      <c r="F862" s="260">
        <f t="shared" si="54"/>
        <v>2537200</v>
      </c>
      <c r="G862" s="1704"/>
      <c r="H862" s="1625"/>
      <c r="I862" s="1625"/>
      <c r="J862" s="1625"/>
      <c r="K862" s="1706"/>
      <c r="L862" s="1706"/>
      <c r="M862" s="1625"/>
      <c r="N862" s="1625"/>
      <c r="O862" s="1625"/>
      <c r="P862" s="1625"/>
      <c r="Q862" s="1625"/>
    </row>
    <row r="863" spans="1:17" s="1623" customFormat="1" ht="16.8">
      <c r="A863" s="1617" t="s">
        <v>7842</v>
      </c>
      <c r="B863" s="1618" t="s">
        <v>4413</v>
      </c>
      <c r="C863" s="364" t="s">
        <v>427</v>
      </c>
      <c r="D863" s="1639">
        <v>2</v>
      </c>
      <c r="E863" s="1637">
        <f>+'PTAP TIJERETAS'!E478</f>
        <v>750325</v>
      </c>
      <c r="F863" s="260">
        <f t="shared" si="54"/>
        <v>1500650</v>
      </c>
      <c r="G863" s="1704"/>
      <c r="H863" s="1625"/>
      <c r="I863" s="1625"/>
      <c r="J863" s="1625"/>
      <c r="K863" s="1706"/>
      <c r="L863" s="1706"/>
      <c r="M863" s="1625"/>
      <c r="N863" s="1625"/>
      <c r="O863" s="1625"/>
      <c r="P863" s="1625"/>
      <c r="Q863" s="1625"/>
    </row>
    <row r="864" spans="1:17" s="1623" customFormat="1" ht="16.8">
      <c r="A864" s="1617" t="s">
        <v>7843</v>
      </c>
      <c r="B864" s="1618" t="s">
        <v>4414</v>
      </c>
      <c r="C864" s="364" t="s">
        <v>427</v>
      </c>
      <c r="D864" s="1639">
        <v>2</v>
      </c>
      <c r="E864" s="1637">
        <f>+'PTAP TIJERETAS'!E479</f>
        <v>684300</v>
      </c>
      <c r="F864" s="260">
        <f t="shared" si="54"/>
        <v>1368600</v>
      </c>
      <c r="G864" s="1704"/>
      <c r="H864" s="1625"/>
      <c r="I864" s="1625"/>
      <c r="J864" s="1625"/>
      <c r="K864" s="1706"/>
      <c r="L864" s="1706"/>
      <c r="M864" s="1625"/>
      <c r="N864" s="1625"/>
      <c r="O864" s="1625"/>
      <c r="P864" s="1625"/>
      <c r="Q864" s="1625"/>
    </row>
    <row r="865" spans="1:17" s="1623" customFormat="1" ht="16.8">
      <c r="A865" s="1617" t="s">
        <v>7844</v>
      </c>
      <c r="B865" s="1618" t="s">
        <v>4415</v>
      </c>
      <c r="C865" s="364" t="s">
        <v>427</v>
      </c>
      <c r="D865" s="1639">
        <v>2</v>
      </c>
      <c r="E865" s="1637">
        <f>+'PTAP TIJERETAS'!E480</f>
        <v>654550</v>
      </c>
      <c r="F865" s="260">
        <f t="shared" si="54"/>
        <v>1309100</v>
      </c>
      <c r="G865" s="1704"/>
      <c r="H865" s="1625"/>
      <c r="I865" s="1625"/>
      <c r="J865" s="1625"/>
      <c r="K865" s="1706"/>
      <c r="L865" s="1706"/>
      <c r="M865" s="1625"/>
      <c r="N865" s="1625"/>
      <c r="O865" s="1625"/>
      <c r="P865" s="1625"/>
      <c r="Q865" s="1625"/>
    </row>
    <row r="866" spans="1:17" s="1623" customFormat="1" ht="16.8">
      <c r="A866" s="1617" t="s">
        <v>7845</v>
      </c>
      <c r="B866" s="1618" t="s">
        <v>4416</v>
      </c>
      <c r="C866" s="364" t="s">
        <v>427</v>
      </c>
      <c r="D866" s="1639">
        <v>2</v>
      </c>
      <c r="E866" s="1637">
        <f>+'PTAP TIJERETAS'!E481</f>
        <v>777965</v>
      </c>
      <c r="F866" s="260">
        <f t="shared" si="54"/>
        <v>1555930</v>
      </c>
      <c r="G866" s="1704"/>
      <c r="H866" s="1625"/>
      <c r="I866" s="1625"/>
      <c r="J866" s="1625"/>
      <c r="K866" s="1706"/>
      <c r="L866" s="1706"/>
      <c r="M866" s="1625"/>
      <c r="N866" s="1625"/>
      <c r="O866" s="1625"/>
      <c r="P866" s="1625"/>
      <c r="Q866" s="1625"/>
    </row>
    <row r="867" spans="1:17" s="1623" customFormat="1" ht="16.8">
      <c r="A867" s="1617" t="s">
        <v>7846</v>
      </c>
      <c r="B867" s="1618" t="s">
        <v>4417</v>
      </c>
      <c r="C867" s="364" t="s">
        <v>427</v>
      </c>
      <c r="D867" s="1639">
        <v>2</v>
      </c>
      <c r="E867" s="1637">
        <f>+'PTAP TIJERETAS'!E482</f>
        <v>693475</v>
      </c>
      <c r="F867" s="260">
        <f t="shared" si="54"/>
        <v>1386950</v>
      </c>
      <c r="G867" s="1704"/>
      <c r="H867" s="1625"/>
      <c r="I867" s="1625"/>
      <c r="J867" s="1625"/>
      <c r="K867" s="1706"/>
      <c r="L867" s="1706"/>
      <c r="M867" s="1625"/>
      <c r="N867" s="1625"/>
      <c r="O867" s="1625"/>
      <c r="P867" s="1625"/>
      <c r="Q867" s="1625"/>
    </row>
    <row r="868" spans="1:17" s="1623" customFormat="1" ht="16.8">
      <c r="A868" s="1617" t="s">
        <v>7847</v>
      </c>
      <c r="B868" s="1618" t="s">
        <v>4418</v>
      </c>
      <c r="C868" s="364" t="s">
        <v>427</v>
      </c>
      <c r="D868" s="1639">
        <v>2</v>
      </c>
      <c r="E868" s="1637">
        <f>+'PTAP TIJERETAS'!E483</f>
        <v>3338580</v>
      </c>
      <c r="F868" s="260">
        <f t="shared" si="54"/>
        <v>6677160</v>
      </c>
      <c r="G868" s="1704"/>
      <c r="H868" s="1625"/>
      <c r="I868" s="1625"/>
      <c r="J868" s="1625"/>
      <c r="K868" s="1706"/>
      <c r="L868" s="1706"/>
      <c r="M868" s="1625"/>
      <c r="N868" s="1625"/>
      <c r="O868" s="1625"/>
      <c r="P868" s="1625"/>
      <c r="Q868" s="1625"/>
    </row>
    <row r="869" spans="1:17" s="1623" customFormat="1" ht="13.5" customHeight="1">
      <c r="A869" s="1617" t="s">
        <v>7848</v>
      </c>
      <c r="B869" s="1618" t="s">
        <v>4419</v>
      </c>
      <c r="C869" s="364" t="s">
        <v>427</v>
      </c>
      <c r="D869" s="1639">
        <v>2</v>
      </c>
      <c r="E869" s="1637">
        <f>+'PTAP TIJERETAS'!E484</f>
        <v>2229000</v>
      </c>
      <c r="F869" s="260">
        <f t="shared" si="54"/>
        <v>4458000</v>
      </c>
      <c r="G869" s="1704"/>
      <c r="H869" s="1625"/>
      <c r="I869" s="1625"/>
      <c r="J869" s="1625"/>
      <c r="K869" s="1706"/>
      <c r="L869" s="1706"/>
      <c r="M869" s="1625"/>
      <c r="N869" s="1625"/>
      <c r="O869" s="1625"/>
      <c r="P869" s="1625"/>
      <c r="Q869" s="1625"/>
    </row>
    <row r="870" spans="1:17" s="1623" customFormat="1" ht="16.8">
      <c r="A870" s="1617" t="s">
        <v>7849</v>
      </c>
      <c r="B870" s="1618" t="s">
        <v>4420</v>
      </c>
      <c r="C870" s="364" t="s">
        <v>427</v>
      </c>
      <c r="D870" s="1639">
        <v>4</v>
      </c>
      <c r="E870" s="1637">
        <f>+'PTAP TIJERETAS'!E485</f>
        <v>1086600</v>
      </c>
      <c r="F870" s="260">
        <f t="shared" si="54"/>
        <v>4346400</v>
      </c>
      <c r="G870" s="1704"/>
      <c r="H870" s="1625"/>
      <c r="I870" s="1625"/>
      <c r="J870" s="1625"/>
      <c r="K870" s="1706"/>
      <c r="L870" s="1706"/>
      <c r="M870" s="1625"/>
      <c r="N870" s="1625"/>
      <c r="O870" s="1625"/>
      <c r="P870" s="1625"/>
      <c r="Q870" s="1625"/>
    </row>
    <row r="871" spans="1:17" s="1623" customFormat="1" ht="16.8">
      <c r="A871" s="1617" t="s">
        <v>7850</v>
      </c>
      <c r="B871" s="1618" t="s">
        <v>4421</v>
      </c>
      <c r="C871" s="364" t="s">
        <v>427</v>
      </c>
      <c r="D871" s="1639">
        <v>2</v>
      </c>
      <c r="E871" s="1637">
        <f>+'PTAP TIJERETAS'!E486</f>
        <v>1212910</v>
      </c>
      <c r="F871" s="260">
        <f t="shared" si="54"/>
        <v>2425820</v>
      </c>
      <c r="G871" s="1704"/>
      <c r="H871" s="1625"/>
      <c r="I871" s="1625"/>
      <c r="J871" s="1625"/>
      <c r="K871" s="1706"/>
      <c r="L871" s="1706"/>
      <c r="M871" s="1625"/>
      <c r="N871" s="1625"/>
      <c r="O871" s="1625"/>
      <c r="P871" s="1625"/>
      <c r="Q871" s="1625"/>
    </row>
    <row r="872" spans="1:17" s="1623" customFormat="1" ht="16.8">
      <c r="A872" s="1617" t="s">
        <v>7851</v>
      </c>
      <c r="B872" s="1618" t="s">
        <v>4422</v>
      </c>
      <c r="C872" s="364" t="s">
        <v>427</v>
      </c>
      <c r="D872" s="1639">
        <v>1</v>
      </c>
      <c r="E872" s="1637">
        <f>+'PTAP TIJERETAS'!E487</f>
        <v>634300</v>
      </c>
      <c r="F872" s="260">
        <f t="shared" si="54"/>
        <v>634300</v>
      </c>
      <c r="G872" s="1704"/>
      <c r="H872" s="1625"/>
      <c r="I872" s="1625"/>
      <c r="J872" s="1625"/>
      <c r="K872" s="1706"/>
      <c r="L872" s="1706"/>
      <c r="M872" s="1625"/>
      <c r="N872" s="1625"/>
      <c r="O872" s="1625"/>
      <c r="P872" s="1625"/>
      <c r="Q872" s="1625"/>
    </row>
    <row r="873" spans="1:17" s="1623" customFormat="1" ht="16.8">
      <c r="A873" s="1617" t="s">
        <v>7852</v>
      </c>
      <c r="B873" s="1618" t="s">
        <v>4423</v>
      </c>
      <c r="C873" s="364" t="s">
        <v>427</v>
      </c>
      <c r="D873" s="1639">
        <v>5</v>
      </c>
      <c r="E873" s="1637">
        <f>+'PTAP TIJERETAS'!E488</f>
        <v>1452100</v>
      </c>
      <c r="F873" s="260">
        <f t="shared" si="54"/>
        <v>7260500</v>
      </c>
      <c r="G873" s="1704"/>
      <c r="H873" s="1625"/>
      <c r="I873" s="1625"/>
      <c r="J873" s="1625"/>
      <c r="K873" s="1706"/>
      <c r="L873" s="1706"/>
      <c r="M873" s="1625"/>
      <c r="N873" s="1625"/>
      <c r="O873" s="1625"/>
      <c r="P873" s="1625"/>
      <c r="Q873" s="1625"/>
    </row>
    <row r="874" spans="1:17" s="1623" customFormat="1" ht="16.8">
      <c r="A874" s="1617" t="s">
        <v>7853</v>
      </c>
      <c r="B874" s="1618" t="s">
        <v>4424</v>
      </c>
      <c r="C874" s="364" t="s">
        <v>427</v>
      </c>
      <c r="D874" s="1639">
        <v>1</v>
      </c>
      <c r="E874" s="1637">
        <f>+'PTAP TIJERETAS'!E489</f>
        <v>1109975</v>
      </c>
      <c r="F874" s="260">
        <f t="shared" si="54"/>
        <v>1109975</v>
      </c>
      <c r="G874" s="1704"/>
      <c r="H874" s="1625"/>
      <c r="I874" s="1625"/>
      <c r="J874" s="1625"/>
      <c r="K874" s="1706"/>
      <c r="L874" s="1706"/>
      <c r="M874" s="1625"/>
      <c r="N874" s="1625"/>
      <c r="O874" s="1625"/>
      <c r="P874" s="1625"/>
      <c r="Q874" s="1625"/>
    </row>
    <row r="875" spans="1:17" s="1623" customFormat="1" ht="16.8">
      <c r="A875" s="1617" t="s">
        <v>7854</v>
      </c>
      <c r="B875" s="1618" t="s">
        <v>4527</v>
      </c>
      <c r="C875" s="364" t="s">
        <v>427</v>
      </c>
      <c r="D875" s="1639">
        <v>1</v>
      </c>
      <c r="E875" s="1637">
        <f>+'PTAP TIJERETAS'!E490</f>
        <v>854550</v>
      </c>
      <c r="F875" s="260">
        <f t="shared" si="54"/>
        <v>854550</v>
      </c>
      <c r="G875" s="1704"/>
      <c r="H875" s="1625"/>
      <c r="I875" s="1625"/>
      <c r="J875" s="1625"/>
      <c r="K875" s="1706"/>
      <c r="L875" s="1706"/>
      <c r="M875" s="1625"/>
      <c r="N875" s="1625"/>
      <c r="O875" s="1625"/>
      <c r="P875" s="1625"/>
      <c r="Q875" s="1625"/>
    </row>
    <row r="876" spans="1:17" s="1623" customFormat="1" ht="18.75" customHeight="1" thickBot="1">
      <c r="A876" s="1617" t="s">
        <v>7855</v>
      </c>
      <c r="B876" s="1618" t="s">
        <v>5084</v>
      </c>
      <c r="C876" s="364" t="s">
        <v>427</v>
      </c>
      <c r="D876" s="1639">
        <v>1</v>
      </c>
      <c r="E876" s="1637">
        <f>+'PTAP TIJERETAS'!E491</f>
        <v>394782</v>
      </c>
      <c r="F876" s="260">
        <f t="shared" si="54"/>
        <v>394782</v>
      </c>
      <c r="G876" s="1704"/>
      <c r="H876" s="1625"/>
      <c r="I876" s="1625"/>
      <c r="J876" s="1625"/>
      <c r="K876" s="1706"/>
      <c r="L876" s="1706"/>
      <c r="M876" s="1625"/>
      <c r="N876" s="1625"/>
      <c r="O876" s="1625"/>
      <c r="P876" s="1625"/>
      <c r="Q876" s="1625"/>
    </row>
    <row r="877" spans="1:17" ht="16.8">
      <c r="A877" s="3334" t="s">
        <v>5710</v>
      </c>
      <c r="B877" s="3335"/>
      <c r="C877" s="3335"/>
      <c r="D877" s="3335"/>
      <c r="E877" s="3335"/>
      <c r="F877" s="3356"/>
    </row>
    <row r="878" spans="1:17" ht="33.6">
      <c r="A878" s="1590" t="s">
        <v>22</v>
      </c>
      <c r="B878" s="1591" t="s">
        <v>23</v>
      </c>
      <c r="C878" s="1591" t="s">
        <v>150</v>
      </c>
      <c r="D878" s="1592" t="s">
        <v>539</v>
      </c>
      <c r="E878" s="1593" t="s">
        <v>151</v>
      </c>
      <c r="F878" s="1593" t="s">
        <v>540</v>
      </c>
    </row>
    <row r="879" spans="1:17" s="1623" customFormat="1" ht="16.8">
      <c r="A879" s="1683">
        <v>121</v>
      </c>
      <c r="B879" s="3357" t="s">
        <v>1128</v>
      </c>
      <c r="C879" s="3358"/>
      <c r="D879" s="3358"/>
      <c r="E879" s="1685"/>
      <c r="F879" s="2251">
        <f>+SUM(F880:F893)</f>
        <v>745534458</v>
      </c>
      <c r="G879" s="2342">
        <f>+F879</f>
        <v>745534458</v>
      </c>
      <c r="H879" s="1623" t="s">
        <v>8225</v>
      </c>
      <c r="I879" s="1625"/>
      <c r="J879" s="1625"/>
      <c r="K879" s="1706"/>
      <c r="L879" s="1706"/>
      <c r="M879" s="1625"/>
      <c r="N879" s="1625"/>
      <c r="O879" s="1625"/>
      <c r="P879" s="1625"/>
      <c r="Q879" s="1625"/>
    </row>
    <row r="880" spans="1:17" s="1623" customFormat="1" ht="16.8">
      <c r="A880" s="1617" t="s">
        <v>7871</v>
      </c>
      <c r="B880" s="258" t="str">
        <f>+'LINEAS IMPULSIÓN-CONDUCCIÓN'!B129</f>
        <v>Suministro Tubería PEAD Ø 160mm (6") PN 25 RDE 7.4</v>
      </c>
      <c r="C880" s="364" t="s">
        <v>94</v>
      </c>
      <c r="D880" s="1639">
        <f>+'LINEAS IMPULSIÓN-CONDUCCIÓN'!D129</f>
        <v>774</v>
      </c>
      <c r="E880" s="1637">
        <f>+'LINEAS IMPULSIÓN-CONDUCCIÓN'!E129</f>
        <v>149428</v>
      </c>
      <c r="F880" s="1637">
        <f>ROUND(+E880*D880,0)</f>
        <v>115657272</v>
      </c>
      <c r="G880" s="2805">
        <f>+'LINEAS IMPULSIÓN-CONDUCCIÓN'!G128</f>
        <v>745534458</v>
      </c>
      <c r="I880" s="1625"/>
    </row>
    <row r="881" spans="1:17" s="1623" customFormat="1" ht="16.8">
      <c r="A881" s="1617" t="s">
        <v>7872</v>
      </c>
      <c r="B881" s="258" t="str">
        <f>+'LINEAS IMPULSIÓN-CONDUCCIÓN'!B130</f>
        <v>Suministro Tubería PEAD Ø 160mm (6") PN 16 RDE 11</v>
      </c>
      <c r="C881" s="364" t="s">
        <v>94</v>
      </c>
      <c r="D881" s="1639">
        <f>+'LINEAS IMPULSIÓN-CONDUCCIÓN'!D130</f>
        <v>1441</v>
      </c>
      <c r="E881" s="1637">
        <f>+'LINEAS IMPULSIÓN-CONDUCCIÓN'!E130</f>
        <v>80327</v>
      </c>
      <c r="F881" s="1637">
        <f>ROUND(+E881*D881,0)</f>
        <v>115751207</v>
      </c>
      <c r="G881" s="1704"/>
      <c r="I881" s="1625"/>
    </row>
    <row r="882" spans="1:17" s="1623" customFormat="1" ht="16.8">
      <c r="A882" s="1617" t="s">
        <v>7873</v>
      </c>
      <c r="B882" s="258" t="str">
        <f>+'LINEAS IMPULSIÓN-CONDUCCIÓN'!B131</f>
        <v>Suministro Tubería PEAD Ø 160mm (6") PN 12.5 RDE 13.6</v>
      </c>
      <c r="C882" s="364" t="s">
        <v>94</v>
      </c>
      <c r="D882" s="1639">
        <f>+'LINEAS IMPULSIÓN-CONDUCCIÓN'!D131</f>
        <v>3207</v>
      </c>
      <c r="E882" s="1637">
        <f>+'LINEAS IMPULSIÓN-CONDUCCIÓN'!E131</f>
        <v>71493</v>
      </c>
      <c r="F882" s="1637">
        <f t="shared" ref="F882:F891" si="55">ROUND(+E882*D882,0)</f>
        <v>229278051</v>
      </c>
      <c r="G882" s="1704"/>
      <c r="H882" s="1780"/>
      <c r="I882" s="1625"/>
    </row>
    <row r="883" spans="1:17" s="1623" customFormat="1" ht="16.8">
      <c r="A883" s="1617" t="s">
        <v>7874</v>
      </c>
      <c r="B883" s="258" t="str">
        <f>+'LINEAS IMPULSIÓN-CONDUCCIÓN'!B132</f>
        <v>Suministro Tubería PEAD Ø 160mm (6") PN 10 RDE 17</v>
      </c>
      <c r="C883" s="364" t="s">
        <v>94</v>
      </c>
      <c r="D883" s="1639">
        <f>+'LINEAS IMPULSIÓN-CONDUCCIÓN'!D132</f>
        <v>1178</v>
      </c>
      <c r="E883" s="1637">
        <f>+'LINEAS IMPULSIÓN-CONDUCCIÓN'!E132</f>
        <v>55834</v>
      </c>
      <c r="F883" s="1637">
        <f t="shared" si="55"/>
        <v>65772452</v>
      </c>
      <c r="G883" s="1704"/>
      <c r="H883" s="1780"/>
      <c r="I883" s="1625"/>
    </row>
    <row r="884" spans="1:17" s="1623" customFormat="1" ht="16.8">
      <c r="A884" s="1617" t="s">
        <v>7875</v>
      </c>
      <c r="B884" s="258" t="str">
        <f>+'LINEAS IMPULSIÓN-CONDUCCIÓN'!B133</f>
        <v>Suministro Tubería PEAD Ø 160mm (6") PN 8 RDE 21</v>
      </c>
      <c r="C884" s="364" t="s">
        <v>94</v>
      </c>
      <c r="D884" s="1639">
        <f>+'LINEAS IMPULSIÓN-CONDUCCIÓN'!D133</f>
        <v>643</v>
      </c>
      <c r="E884" s="1637">
        <f>+'LINEAS IMPULSIÓN-CONDUCCIÓN'!E133</f>
        <v>49624</v>
      </c>
      <c r="F884" s="1637">
        <f t="shared" si="55"/>
        <v>31908232</v>
      </c>
      <c r="G884" s="1704"/>
      <c r="H884" s="1780"/>
      <c r="I884" s="1625"/>
    </row>
    <row r="885" spans="1:17" s="1623" customFormat="1" ht="16.8">
      <c r="A885" s="1617" t="s">
        <v>7876</v>
      </c>
      <c r="B885" s="258" t="str">
        <f>+'LINEAS IMPULSIÓN-CONDUCCIÓN'!B134</f>
        <v>Suministro Tubería PEAD Ø 160mm (6") PN 6 RDE 26</v>
      </c>
      <c r="C885" s="364" t="s">
        <v>94</v>
      </c>
      <c r="D885" s="1639">
        <f>+'LINEAS IMPULSIÓN-CONDUCCIÓN'!D134</f>
        <v>1130</v>
      </c>
      <c r="E885" s="1637">
        <f>+'LINEAS IMPULSIÓN-CONDUCCIÓN'!E134</f>
        <v>41579</v>
      </c>
      <c r="F885" s="1637">
        <f t="shared" si="55"/>
        <v>46984270</v>
      </c>
      <c r="G885" s="1704"/>
      <c r="H885" s="1780"/>
      <c r="I885" s="1625"/>
    </row>
    <row r="886" spans="1:17" s="1623" customFormat="1" ht="16.8">
      <c r="A886" s="1617" t="s">
        <v>7877</v>
      </c>
      <c r="B886" s="258" t="str">
        <f>+'LINEAS IMPULSIÓN-CONDUCCIÓN'!B135</f>
        <v>Suministro Tubería PEAD Ø 160mm (6") PN 9 RDE 20</v>
      </c>
      <c r="C886" s="364" t="s">
        <v>94</v>
      </c>
      <c r="D886" s="1639">
        <f>+'LINEAS IMPULSIÓN-CONDUCCIÓN'!D135</f>
        <v>2130</v>
      </c>
      <c r="E886" s="1637">
        <f>+'LINEAS IMPULSIÓN-CONDUCCIÓN'!E135</f>
        <v>53451</v>
      </c>
      <c r="F886" s="1637">
        <f t="shared" ref="F886" si="56">ROUND(+E886*D886,0)</f>
        <v>113850630</v>
      </c>
      <c r="G886" s="1704"/>
      <c r="H886" s="1780"/>
      <c r="I886" s="1625"/>
    </row>
    <row r="887" spans="1:17" s="1623" customFormat="1" ht="20.25" customHeight="1">
      <c r="A887" s="1617" t="s">
        <v>7878</v>
      </c>
      <c r="B887" s="258" t="s">
        <v>6516</v>
      </c>
      <c r="C887" s="364" t="s">
        <v>427</v>
      </c>
      <c r="D887" s="1646">
        <v>9</v>
      </c>
      <c r="E887" s="1637">
        <f>+'LINEAS IMPULSIÓN-CONDUCCIÓN'!E136</f>
        <v>128159.43</v>
      </c>
      <c r="F887" s="1637">
        <f t="shared" si="55"/>
        <v>1153435</v>
      </c>
      <c r="G887" s="1704"/>
      <c r="H887" s="1625"/>
      <c r="I887" s="1625"/>
      <c r="J887" s="1669"/>
    </row>
    <row r="888" spans="1:17" s="1623" customFormat="1" ht="33.6">
      <c r="A888" s="1617" t="s">
        <v>7879</v>
      </c>
      <c r="B888" s="258" t="s">
        <v>6518</v>
      </c>
      <c r="C888" s="364" t="s">
        <v>427</v>
      </c>
      <c r="D888" s="1646">
        <v>8</v>
      </c>
      <c r="E888" s="1637">
        <f>+'LINEAS IMPULSIÓN-CONDUCCIÓN'!E137</f>
        <v>184345.28</v>
      </c>
      <c r="F888" s="1637">
        <f>ROUND(+E888*D888,0)</f>
        <v>1474762</v>
      </c>
      <c r="G888" s="1704"/>
      <c r="H888" s="1625"/>
      <c r="I888" s="1625"/>
      <c r="J888" s="1669"/>
    </row>
    <row r="889" spans="1:17" s="1623" customFormat="1" ht="34.5" customHeight="1">
      <c r="A889" s="1617" t="s">
        <v>7880</v>
      </c>
      <c r="B889" s="258" t="s">
        <v>6519</v>
      </c>
      <c r="C889" s="364" t="s">
        <v>427</v>
      </c>
      <c r="D889" s="1646">
        <v>8</v>
      </c>
      <c r="E889" s="1637">
        <f>+'LINEAS IMPULSIÓN-CONDUCCIÓN'!E138</f>
        <v>184345.28</v>
      </c>
      <c r="F889" s="1637">
        <f>ROUND(+E889*D889,0)</f>
        <v>1474762</v>
      </c>
      <c r="G889" s="1704"/>
      <c r="H889" s="1625"/>
      <c r="I889" s="1625"/>
      <c r="J889" s="1669"/>
    </row>
    <row r="890" spans="1:17" s="1623" customFormat="1" ht="66" customHeight="1">
      <c r="A890" s="1617" t="s">
        <v>8762</v>
      </c>
      <c r="B890" s="269" t="s">
        <v>6918</v>
      </c>
      <c r="C890" s="1636" t="s">
        <v>133</v>
      </c>
      <c r="D890" s="1646">
        <v>10</v>
      </c>
      <c r="E890" s="1637">
        <f>+'LINEAS IMPULSIÓN-CONDUCCIÓN'!E139</f>
        <v>565450</v>
      </c>
      <c r="F890" s="1637">
        <f>ROUND(+E890*D890,0)</f>
        <v>5654500</v>
      </c>
      <c r="G890" s="1704"/>
      <c r="I890" s="273"/>
      <c r="J890" s="273"/>
      <c r="K890" s="1706"/>
      <c r="L890" s="275"/>
      <c r="M890" s="1625"/>
      <c r="N890" s="1625"/>
      <c r="O890" s="273"/>
      <c r="P890" s="276"/>
      <c r="Q890" s="276"/>
    </row>
    <row r="891" spans="1:17" s="1623" customFormat="1" ht="72.75" customHeight="1">
      <c r="A891" s="1617" t="s">
        <v>8763</v>
      </c>
      <c r="B891" s="269" t="s">
        <v>6924</v>
      </c>
      <c r="C891" s="1636" t="s">
        <v>133</v>
      </c>
      <c r="D891" s="1646">
        <v>9</v>
      </c>
      <c r="E891" s="1637">
        <f>+'LINEAS IMPULSIÓN-CONDUCCIÓN'!E140</f>
        <v>442220</v>
      </c>
      <c r="F891" s="1637">
        <f t="shared" si="55"/>
        <v>3979980</v>
      </c>
      <c r="G891" s="1704"/>
      <c r="I891" s="273"/>
      <c r="J891" s="273"/>
      <c r="K891" s="1706"/>
      <c r="L891" s="275"/>
      <c r="M891" s="1625"/>
      <c r="N891" s="1625"/>
      <c r="O891" s="273"/>
      <c r="P891" s="276"/>
      <c r="Q891" s="276"/>
    </row>
    <row r="892" spans="1:17" s="1623" customFormat="1" ht="50.4">
      <c r="A892" s="1617" t="s">
        <v>8764</v>
      </c>
      <c r="B892" s="269" t="s">
        <v>6926</v>
      </c>
      <c r="C892" s="1636" t="s">
        <v>133</v>
      </c>
      <c r="D892" s="1646">
        <v>1</v>
      </c>
      <c r="E892" s="1637">
        <f>+'LINEAS IMPULSIÓN-CONDUCCIÓN'!E141</f>
        <v>1063925</v>
      </c>
      <c r="F892" s="1637">
        <f>ROUND(+E892*D892,0)</f>
        <v>1063925</v>
      </c>
      <c r="G892" s="1704"/>
      <c r="I892" s="273"/>
      <c r="J892" s="273"/>
      <c r="K892" s="1706"/>
      <c r="L892" s="275"/>
      <c r="M892" s="1625"/>
      <c r="N892" s="1625"/>
      <c r="O892" s="273"/>
      <c r="P892" s="276"/>
      <c r="Q892" s="276"/>
    </row>
    <row r="893" spans="1:17" s="1623" customFormat="1" ht="151.80000000000001" thickBot="1">
      <c r="A893" s="1617" t="s">
        <v>8777</v>
      </c>
      <c r="B893" s="269" t="s">
        <v>6940</v>
      </c>
      <c r="C893" s="1636" t="s">
        <v>133</v>
      </c>
      <c r="D893" s="1649">
        <v>2</v>
      </c>
      <c r="E893" s="1637">
        <f>+'LINEAS IMPULSIÓN-CONDUCCIÓN'!E142</f>
        <v>5765490.1099999994</v>
      </c>
      <c r="F893" s="1637">
        <f>ROUND(+E893*D893,0)</f>
        <v>11530980</v>
      </c>
      <c r="G893" s="1704"/>
      <c r="I893" s="273"/>
      <c r="J893" s="273"/>
      <c r="K893" s="1706"/>
      <c r="L893" s="275"/>
      <c r="M893" s="1625"/>
      <c r="N893" s="1625"/>
      <c r="O893" s="273"/>
      <c r="P893" s="276"/>
      <c r="Q893" s="276"/>
    </row>
    <row r="894" spans="1:17" ht="16.8">
      <c r="A894" s="3334" t="s">
        <v>5711</v>
      </c>
      <c r="B894" s="3335"/>
      <c r="C894" s="3335"/>
      <c r="D894" s="3335"/>
      <c r="E894" s="3335"/>
      <c r="F894" s="3356"/>
    </row>
    <row r="895" spans="1:17" ht="33.6">
      <c r="A895" s="1590" t="s">
        <v>22</v>
      </c>
      <c r="B895" s="1591" t="s">
        <v>23</v>
      </c>
      <c r="C895" s="1591" t="s">
        <v>150</v>
      </c>
      <c r="D895" s="1592" t="s">
        <v>539</v>
      </c>
      <c r="E895" s="1593" t="s">
        <v>151</v>
      </c>
      <c r="F895" s="1593" t="s">
        <v>540</v>
      </c>
    </row>
    <row r="896" spans="1:17" ht="18">
      <c r="A896" s="1686"/>
      <c r="B896" s="3374" t="s">
        <v>5751</v>
      </c>
      <c r="C896" s="3374"/>
      <c r="D896" s="3374"/>
      <c r="E896" s="3374"/>
      <c r="F896" s="2251">
        <f>+F897+F899+F902</f>
        <v>15147950</v>
      </c>
      <c r="G896" s="2797">
        <f>+F896</f>
        <v>15147950</v>
      </c>
    </row>
    <row r="897" spans="1:8" ht="18">
      <c r="A897" s="1776">
        <v>122</v>
      </c>
      <c r="B897" s="1694" t="s">
        <v>1475</v>
      </c>
      <c r="C897" s="1748"/>
      <c r="D897" s="1748"/>
      <c r="E897" s="1760"/>
      <c r="F897" s="1781">
        <f>ROUND(+SUM(F898),0)</f>
        <v>3435750</v>
      </c>
      <c r="G897" s="2356">
        <f>+' TANQUE PATAGONIA'!G69</f>
        <v>15147950</v>
      </c>
    </row>
    <row r="898" spans="1:8" ht="19.5" customHeight="1">
      <c r="A898" s="1737"/>
      <c r="B898" s="1671" t="s">
        <v>1477</v>
      </c>
      <c r="C898" s="1751" t="s">
        <v>94</v>
      </c>
      <c r="D898" s="1737">
        <v>90</v>
      </c>
      <c r="E898" s="1759">
        <f>+' TANQUE PATAGONIA'!F61</f>
        <v>38175</v>
      </c>
      <c r="F898" s="1760">
        <f>ROUND(D898*E898,0)</f>
        <v>3435750</v>
      </c>
    </row>
    <row r="899" spans="1:8" ht="18">
      <c r="A899" s="1776">
        <v>123</v>
      </c>
      <c r="B899" s="1694" t="s">
        <v>5080</v>
      </c>
      <c r="C899" s="1748"/>
      <c r="D899" s="1748"/>
      <c r="E899" s="1760"/>
      <c r="F899" s="1781">
        <f>ROUND(+SUM(F900:F901),0)</f>
        <v>4784400</v>
      </c>
    </row>
    <row r="900" spans="1:8" ht="19.5" customHeight="1">
      <c r="A900" s="1737"/>
      <c r="B900" s="649" t="s">
        <v>7207</v>
      </c>
      <c r="C900" s="1751" t="s">
        <v>133</v>
      </c>
      <c r="D900" s="1737">
        <v>12</v>
      </c>
      <c r="E900" s="1759">
        <f>+' TANQUE PATAGONIA'!F63</f>
        <v>302300</v>
      </c>
      <c r="F900" s="1760">
        <f>ROUND(D900*E900,0)</f>
        <v>3627600</v>
      </c>
    </row>
    <row r="901" spans="1:8" ht="19.5" customHeight="1">
      <c r="A901" s="1737"/>
      <c r="B901" s="649" t="s">
        <v>7206</v>
      </c>
      <c r="C901" s="1751" t="s">
        <v>133</v>
      </c>
      <c r="D901" s="1737">
        <v>3</v>
      </c>
      <c r="E901" s="1759">
        <f>+' TANQUE PATAGONIA'!F64</f>
        <v>385600</v>
      </c>
      <c r="F901" s="1760">
        <f>ROUND(D901*E901,0)</f>
        <v>1156800</v>
      </c>
    </row>
    <row r="902" spans="1:8" ht="18">
      <c r="A902" s="1683">
        <v>124</v>
      </c>
      <c r="B902" s="1694" t="s">
        <v>1513</v>
      </c>
      <c r="C902" s="1748"/>
      <c r="D902" s="1748"/>
      <c r="E902" s="2200"/>
      <c r="F902" s="1781">
        <f>ROUND(+SUM(F903:F904),0)</f>
        <v>6927800</v>
      </c>
    </row>
    <row r="903" spans="1:8" ht="54">
      <c r="A903" s="1737"/>
      <c r="B903" s="2201" t="s">
        <v>6634</v>
      </c>
      <c r="C903" s="1748" t="s">
        <v>363</v>
      </c>
      <c r="D903" s="1748">
        <v>1</v>
      </c>
      <c r="E903" s="2200">
        <f>+' TANQUE PATAGONIA'!F66</f>
        <v>960140</v>
      </c>
      <c r="F903" s="1760">
        <f>+ROUND(E903*D903,0)</f>
        <v>960140</v>
      </c>
    </row>
    <row r="904" spans="1:8" ht="36.6" thickBot="1">
      <c r="A904" s="1737"/>
      <c r="B904" s="2201" t="s">
        <v>6628</v>
      </c>
      <c r="C904" s="1748" t="s">
        <v>363</v>
      </c>
      <c r="D904" s="1748">
        <v>1</v>
      </c>
      <c r="E904" s="1759">
        <f>+' TANQUE PATAGONIA'!F67</f>
        <v>5967660</v>
      </c>
      <c r="F904" s="1760">
        <f t="shared" ref="F904" si="57">+ROUND(E904*D904,0)</f>
        <v>5967660</v>
      </c>
    </row>
    <row r="905" spans="1:8" ht="16.8">
      <c r="A905" s="3334" t="s">
        <v>5752</v>
      </c>
      <c r="B905" s="3335"/>
      <c r="C905" s="3335"/>
      <c r="D905" s="3335"/>
      <c r="E905" s="3335"/>
      <c r="F905" s="3336"/>
    </row>
    <row r="906" spans="1:8" ht="33.6">
      <c r="A906" s="1590" t="s">
        <v>22</v>
      </c>
      <c r="B906" s="1591" t="s">
        <v>23</v>
      </c>
      <c r="C906" s="1591" t="s">
        <v>150</v>
      </c>
      <c r="D906" s="1592" t="s">
        <v>539</v>
      </c>
      <c r="E906" s="1593" t="s">
        <v>151</v>
      </c>
      <c r="F906" s="1593" t="s">
        <v>540</v>
      </c>
    </row>
    <row r="907" spans="1:8" ht="16.8">
      <c r="A907" s="1683">
        <v>125</v>
      </c>
      <c r="B907" s="2930" t="s">
        <v>5750</v>
      </c>
      <c r="C907" s="2931"/>
      <c r="D907" s="2931"/>
      <c r="E907" s="1685"/>
      <c r="F907" s="2251">
        <f>+SUM(F908:F928)</f>
        <v>138326642</v>
      </c>
      <c r="G907" s="2979">
        <f>+F907</f>
        <v>138326642</v>
      </c>
      <c r="H907" s="1717" t="s">
        <v>8225</v>
      </c>
    </row>
    <row r="908" spans="1:8" ht="16.8">
      <c r="A908" s="1681" t="s">
        <v>7883</v>
      </c>
      <c r="B908" s="258" t="s">
        <v>6848</v>
      </c>
      <c r="C908" s="364" t="s">
        <v>427</v>
      </c>
      <c r="D908" s="364">
        <v>7</v>
      </c>
      <c r="E908" s="1637">
        <f>+' TANQUE PATAGONIA'!F107</f>
        <v>1836800</v>
      </c>
      <c r="F908" s="1637">
        <f>+ROUND(E908*D908,0)</f>
        <v>12857600</v>
      </c>
      <c r="G908" s="2356">
        <f>+' TANQUE PATAGONIA'!G128</f>
        <v>138326642</v>
      </c>
    </row>
    <row r="909" spans="1:8" ht="16.8">
      <c r="A909" s="1681" t="s">
        <v>7884</v>
      </c>
      <c r="B909" s="258" t="s">
        <v>6849</v>
      </c>
      <c r="C909" s="364" t="s">
        <v>427</v>
      </c>
      <c r="D909" s="364">
        <v>4</v>
      </c>
      <c r="E909" s="1637">
        <f>+' TANQUE PATAGONIA'!F108</f>
        <v>2344500</v>
      </c>
      <c r="F909" s="1637">
        <f t="shared" ref="F909:F928" si="58">+ROUND(E909*D909,0)</f>
        <v>9378000</v>
      </c>
    </row>
    <row r="910" spans="1:8" ht="33.6">
      <c r="A910" s="1681" t="s">
        <v>7885</v>
      </c>
      <c r="B910" s="258" t="s">
        <v>6850</v>
      </c>
      <c r="C910" s="364" t="s">
        <v>427</v>
      </c>
      <c r="D910" s="364">
        <v>8</v>
      </c>
      <c r="E910" s="1637">
        <f>+' TANQUE PATAGONIA'!F109</f>
        <v>3404150</v>
      </c>
      <c r="F910" s="1637">
        <f t="shared" si="58"/>
        <v>27233200</v>
      </c>
    </row>
    <row r="911" spans="1:8" ht="16.8">
      <c r="A911" s="1681" t="s">
        <v>7886</v>
      </c>
      <c r="B911" s="258" t="s">
        <v>6851</v>
      </c>
      <c r="C911" s="364" t="s">
        <v>427</v>
      </c>
      <c r="D911" s="364">
        <v>1</v>
      </c>
      <c r="E911" s="1637">
        <f>+' TANQUE PATAGONIA'!F110</f>
        <v>473125</v>
      </c>
      <c r="F911" s="1637">
        <f t="shared" si="58"/>
        <v>473125</v>
      </c>
    </row>
    <row r="912" spans="1:8" ht="33.6">
      <c r="A912" s="1681" t="s">
        <v>7887</v>
      </c>
      <c r="B912" s="258" t="s">
        <v>6852</v>
      </c>
      <c r="C912" s="364" t="s">
        <v>427</v>
      </c>
      <c r="D912" s="364">
        <v>3</v>
      </c>
      <c r="E912" s="1637">
        <f>+' TANQUE PATAGONIA'!F111</f>
        <v>2214050</v>
      </c>
      <c r="F912" s="1637">
        <f t="shared" si="58"/>
        <v>6642150</v>
      </c>
    </row>
    <row r="913" spans="1:6" ht="16.8">
      <c r="A913" s="1681" t="s">
        <v>7888</v>
      </c>
      <c r="B913" s="258" t="s">
        <v>6853</v>
      </c>
      <c r="C913" s="364" t="s">
        <v>427</v>
      </c>
      <c r="D913" s="364">
        <v>1</v>
      </c>
      <c r="E913" s="1637">
        <f>+' TANQUE PATAGONIA'!F112</f>
        <v>2450870</v>
      </c>
      <c r="F913" s="1637">
        <f t="shared" si="58"/>
        <v>2450870</v>
      </c>
    </row>
    <row r="914" spans="1:6" ht="33.6">
      <c r="A914" s="1681" t="s">
        <v>7889</v>
      </c>
      <c r="B914" s="258" t="s">
        <v>6854</v>
      </c>
      <c r="C914" s="364" t="s">
        <v>427</v>
      </c>
      <c r="D914" s="364">
        <v>2</v>
      </c>
      <c r="E914" s="1637">
        <f>+' TANQUE PATAGONIA'!F113</f>
        <v>2084578</v>
      </c>
      <c r="F914" s="1637">
        <f t="shared" si="58"/>
        <v>4169156</v>
      </c>
    </row>
    <row r="915" spans="1:6" ht="33.6">
      <c r="A915" s="1681" t="s">
        <v>7890</v>
      </c>
      <c r="B915" s="258" t="s">
        <v>6855</v>
      </c>
      <c r="C915" s="364" t="s">
        <v>427</v>
      </c>
      <c r="D915" s="364">
        <v>2</v>
      </c>
      <c r="E915" s="1637">
        <f>+' TANQUE PATAGONIA'!F114</f>
        <v>6828337</v>
      </c>
      <c r="F915" s="1637">
        <f t="shared" si="58"/>
        <v>13656674</v>
      </c>
    </row>
    <row r="916" spans="1:6" ht="33.6">
      <c r="A916" s="1681" t="s">
        <v>7891</v>
      </c>
      <c r="B916" s="258" t="s">
        <v>6856</v>
      </c>
      <c r="C916" s="364" t="s">
        <v>427</v>
      </c>
      <c r="D916" s="364">
        <v>2</v>
      </c>
      <c r="E916" s="1637">
        <f>+' TANQUE PATAGONIA'!F115</f>
        <v>6568798</v>
      </c>
      <c r="F916" s="1637">
        <f t="shared" si="58"/>
        <v>13137596</v>
      </c>
    </row>
    <row r="917" spans="1:6" ht="33.6">
      <c r="A917" s="1681" t="s">
        <v>7892</v>
      </c>
      <c r="B917" s="258" t="s">
        <v>6857</v>
      </c>
      <c r="C917" s="364" t="s">
        <v>427</v>
      </c>
      <c r="D917" s="364">
        <v>1</v>
      </c>
      <c r="E917" s="1637">
        <f>+' TANQUE PATAGONIA'!F116</f>
        <v>4844150</v>
      </c>
      <c r="F917" s="1637">
        <f t="shared" si="58"/>
        <v>4844150</v>
      </c>
    </row>
    <row r="918" spans="1:6" ht="33.6">
      <c r="A918" s="1681" t="s">
        <v>7893</v>
      </c>
      <c r="B918" s="258" t="s">
        <v>6858</v>
      </c>
      <c r="C918" s="364" t="s">
        <v>427</v>
      </c>
      <c r="D918" s="364">
        <v>1</v>
      </c>
      <c r="E918" s="1637">
        <f>+' TANQUE PATAGONIA'!F117</f>
        <v>22186443.129999999</v>
      </c>
      <c r="F918" s="1637">
        <f t="shared" si="58"/>
        <v>22186443</v>
      </c>
    </row>
    <row r="919" spans="1:6" ht="16.8">
      <c r="A919" s="1681" t="s">
        <v>7894</v>
      </c>
      <c r="B919" s="258" t="s">
        <v>6859</v>
      </c>
      <c r="C919" s="364" t="s">
        <v>427</v>
      </c>
      <c r="D919" s="364">
        <v>1</v>
      </c>
      <c r="E919" s="1637">
        <f>+' TANQUE PATAGONIA'!F118</f>
        <v>6974350</v>
      </c>
      <c r="F919" s="1637">
        <f t="shared" si="58"/>
        <v>6974350</v>
      </c>
    </row>
    <row r="920" spans="1:6" ht="33.6">
      <c r="A920" s="1681" t="s">
        <v>7895</v>
      </c>
      <c r="B920" s="258" t="s">
        <v>6860</v>
      </c>
      <c r="C920" s="364" t="s">
        <v>427</v>
      </c>
      <c r="D920" s="364">
        <v>1</v>
      </c>
      <c r="E920" s="1637">
        <f>+' TANQUE PATAGONIA'!F119</f>
        <v>3119650</v>
      </c>
      <c r="F920" s="1637">
        <f t="shared" si="58"/>
        <v>3119650</v>
      </c>
    </row>
    <row r="921" spans="1:6" ht="33.6">
      <c r="A921" s="1681" t="s">
        <v>7896</v>
      </c>
      <c r="B921" s="258" t="s">
        <v>6861</v>
      </c>
      <c r="C921" s="364" t="s">
        <v>427</v>
      </c>
      <c r="D921" s="364">
        <v>1</v>
      </c>
      <c r="E921" s="1637">
        <f>+' TANQUE PATAGONIA'!F120</f>
        <v>1603850</v>
      </c>
      <c r="F921" s="1637">
        <f t="shared" si="58"/>
        <v>1603850</v>
      </c>
    </row>
    <row r="922" spans="1:6" ht="16.8">
      <c r="A922" s="1681" t="s">
        <v>7897</v>
      </c>
      <c r="B922" s="258" t="s">
        <v>6862</v>
      </c>
      <c r="C922" s="364" t="s">
        <v>427</v>
      </c>
      <c r="D922" s="364">
        <v>2</v>
      </c>
      <c r="E922" s="1637">
        <f>+' TANQUE PATAGONIA'!F121</f>
        <v>1269150</v>
      </c>
      <c r="F922" s="1637">
        <f t="shared" si="58"/>
        <v>2538300</v>
      </c>
    </row>
    <row r="923" spans="1:6" ht="16.8">
      <c r="A923" s="1681" t="s">
        <v>7898</v>
      </c>
      <c r="B923" s="258" t="s">
        <v>6863</v>
      </c>
      <c r="C923" s="364" t="s">
        <v>427</v>
      </c>
      <c r="D923" s="364">
        <v>2</v>
      </c>
      <c r="E923" s="1637">
        <f>+' TANQUE PATAGONIA'!F122</f>
        <v>474900</v>
      </c>
      <c r="F923" s="1637">
        <f t="shared" si="58"/>
        <v>949800</v>
      </c>
    </row>
    <row r="924" spans="1:6" ht="16.8">
      <c r="A924" s="1681" t="s">
        <v>7899</v>
      </c>
      <c r="B924" s="258" t="s">
        <v>6864</v>
      </c>
      <c r="C924" s="364" t="s">
        <v>427</v>
      </c>
      <c r="D924" s="364">
        <v>1</v>
      </c>
      <c r="E924" s="1637">
        <f>+' TANQUE PATAGONIA'!F123</f>
        <v>1039128</v>
      </c>
      <c r="F924" s="1637">
        <f t="shared" si="58"/>
        <v>1039128</v>
      </c>
    </row>
    <row r="925" spans="1:6" ht="16.8">
      <c r="A925" s="1681" t="s">
        <v>7900</v>
      </c>
      <c r="B925" s="258" t="s">
        <v>6865</v>
      </c>
      <c r="C925" s="364" t="s">
        <v>427</v>
      </c>
      <c r="D925" s="364">
        <v>1</v>
      </c>
      <c r="E925" s="1637">
        <f>+' TANQUE PATAGONIA'!F124</f>
        <v>1310500</v>
      </c>
      <c r="F925" s="1637">
        <f t="shared" si="58"/>
        <v>1310500</v>
      </c>
    </row>
    <row r="926" spans="1:6" ht="16.8">
      <c r="A926" s="1681" t="s">
        <v>7901</v>
      </c>
      <c r="B926" s="258" t="s">
        <v>6866</v>
      </c>
      <c r="C926" s="364" t="s">
        <v>427</v>
      </c>
      <c r="D926" s="364">
        <v>1</v>
      </c>
      <c r="E926" s="1637">
        <f>+' TANQUE PATAGONIA'!F125</f>
        <v>1526900</v>
      </c>
      <c r="F926" s="1637">
        <f t="shared" si="58"/>
        <v>1526900</v>
      </c>
    </row>
    <row r="927" spans="1:6" ht="16.8">
      <c r="A927" s="1681" t="s">
        <v>7902</v>
      </c>
      <c r="B927" s="258" t="s">
        <v>6867</v>
      </c>
      <c r="C927" s="364" t="s">
        <v>427</v>
      </c>
      <c r="D927" s="364">
        <v>1</v>
      </c>
      <c r="E927" s="1637">
        <f>+' TANQUE PATAGONIA'!F126</f>
        <v>1604200</v>
      </c>
      <c r="F927" s="1637">
        <f t="shared" si="58"/>
        <v>1604200</v>
      </c>
    </row>
    <row r="928" spans="1:6" ht="34.200000000000003" thickBot="1">
      <c r="A928" s="1681" t="s">
        <v>7903</v>
      </c>
      <c r="B928" s="258" t="s">
        <v>6868</v>
      </c>
      <c r="C928" s="364" t="s">
        <v>427</v>
      </c>
      <c r="D928" s="364">
        <v>1</v>
      </c>
      <c r="E928" s="1637">
        <f>+' TANQUE PATAGONIA'!F127</f>
        <v>631000</v>
      </c>
      <c r="F928" s="1637">
        <f t="shared" si="58"/>
        <v>631000</v>
      </c>
    </row>
    <row r="929" spans="1:17" ht="16.8">
      <c r="A929" s="3334" t="s">
        <v>5756</v>
      </c>
      <c r="B929" s="3335"/>
      <c r="C929" s="3335"/>
      <c r="D929" s="3335"/>
      <c r="E929" s="3335"/>
      <c r="F929" s="3336"/>
    </row>
    <row r="930" spans="1:17" ht="33.6">
      <c r="A930" s="1590" t="s">
        <v>22</v>
      </c>
      <c r="B930" s="1591" t="s">
        <v>23</v>
      </c>
      <c r="C930" s="1591" t="s">
        <v>150</v>
      </c>
      <c r="D930" s="1592" t="s">
        <v>539</v>
      </c>
      <c r="E930" s="1593" t="s">
        <v>151</v>
      </c>
      <c r="F930" s="1593" t="s">
        <v>540</v>
      </c>
    </row>
    <row r="931" spans="1:17" s="1623" customFormat="1" ht="16.8">
      <c r="A931" s="1683">
        <v>126</v>
      </c>
      <c r="B931" s="3357" t="s">
        <v>5753</v>
      </c>
      <c r="C931" s="3358"/>
      <c r="D931" s="3358"/>
      <c r="E931" s="1685"/>
      <c r="F931" s="2251">
        <f>+SUM(F932:F946)</f>
        <v>666637294</v>
      </c>
      <c r="G931" s="2342">
        <f>+F931</f>
        <v>666637294</v>
      </c>
      <c r="H931" s="1623" t="s">
        <v>8225</v>
      </c>
      <c r="I931" s="1625"/>
      <c r="J931" s="1625"/>
      <c r="K931" s="1706"/>
      <c r="L931" s="1706"/>
      <c r="M931" s="1625"/>
      <c r="N931" s="1625"/>
      <c r="O931" s="1625"/>
      <c r="P931" s="1625"/>
      <c r="Q931" s="1625"/>
    </row>
    <row r="932" spans="1:17" s="1623" customFormat="1" ht="20.25" customHeight="1">
      <c r="A932" s="1617" t="s">
        <v>7904</v>
      </c>
      <c r="B932" s="258" t="s">
        <v>6508</v>
      </c>
      <c r="C932" s="364" t="s">
        <v>94</v>
      </c>
      <c r="D932" s="1639">
        <v>5515.8</v>
      </c>
      <c r="E932" s="1637">
        <f>+'LINEAS IMPULSIÓN-CONDUCCIÓN'!E199</f>
        <v>74100</v>
      </c>
      <c r="F932" s="1637">
        <f>+ROUND(E932*D932,0)</f>
        <v>408720780</v>
      </c>
      <c r="G932" s="2802">
        <f>+'LINEAS IMPULSIÓN-CONDUCCIÓN'!F214</f>
        <v>666637294</v>
      </c>
    </row>
    <row r="933" spans="1:17" s="1623" customFormat="1" ht="16.8">
      <c r="A933" s="1617" t="s">
        <v>7905</v>
      </c>
      <c r="B933" s="258" t="s">
        <v>1289</v>
      </c>
      <c r="C933" s="364" t="s">
        <v>94</v>
      </c>
      <c r="D933" s="1639">
        <v>1609.8</v>
      </c>
      <c r="E933" s="1637">
        <f>+'LINEAS IMPULSIÓN-CONDUCCIÓN'!E200</f>
        <v>112861</v>
      </c>
      <c r="F933" s="1637">
        <f t="shared" ref="F933:F946" si="59">+ROUND(E933*D933,0)</f>
        <v>181683638</v>
      </c>
      <c r="G933" s="2349"/>
    </row>
    <row r="934" spans="1:17" s="1623" customFormat="1" ht="16.8">
      <c r="A934" s="1617" t="s">
        <v>7906</v>
      </c>
      <c r="B934" s="258" t="s">
        <v>1291</v>
      </c>
      <c r="C934" s="364" t="s">
        <v>94</v>
      </c>
      <c r="D934" s="1639">
        <v>443.9</v>
      </c>
      <c r="E934" s="1637">
        <f>+'LINEAS IMPULSIÓN-CONDUCCIÓN'!E201</f>
        <v>66629</v>
      </c>
      <c r="F934" s="1637">
        <f t="shared" si="59"/>
        <v>29576613</v>
      </c>
      <c r="G934" s="2349"/>
    </row>
    <row r="935" spans="1:17" s="1623" customFormat="1" ht="16.8">
      <c r="A935" s="1617" t="s">
        <v>7907</v>
      </c>
      <c r="B935" s="258" t="s">
        <v>6953</v>
      </c>
      <c r="C935" s="364" t="s">
        <v>133</v>
      </c>
      <c r="D935" s="1639">
        <v>8</v>
      </c>
      <c r="E935" s="1637">
        <f>+'LINEAS IMPULSIÓN-CONDUCCIÓN'!E202</f>
        <v>220095.25999999998</v>
      </c>
      <c r="F935" s="1637">
        <f t="shared" si="59"/>
        <v>1760762</v>
      </c>
      <c r="G935" s="2349"/>
    </row>
    <row r="936" spans="1:17" s="1623" customFormat="1" ht="16.8">
      <c r="A936" s="1617" t="s">
        <v>7908</v>
      </c>
      <c r="B936" s="258" t="s">
        <v>6525</v>
      </c>
      <c r="C936" s="364" t="s">
        <v>133</v>
      </c>
      <c r="D936" s="1639">
        <v>3</v>
      </c>
      <c r="E936" s="1637">
        <f>+'LINEAS IMPULSIÓN-CONDUCCIÓN'!E203</f>
        <v>326546</v>
      </c>
      <c r="F936" s="1637">
        <f t="shared" si="59"/>
        <v>979638</v>
      </c>
      <c r="G936" s="279"/>
      <c r="H936" s="1625"/>
      <c r="I936" s="1669"/>
      <c r="J936" s="1669"/>
    </row>
    <row r="937" spans="1:17" s="1623" customFormat="1" ht="16.8">
      <c r="A937" s="1617" t="s">
        <v>7909</v>
      </c>
      <c r="B937" s="258" t="s">
        <v>6528</v>
      </c>
      <c r="C937" s="1636" t="s">
        <v>133</v>
      </c>
      <c r="D937" s="1639">
        <v>1</v>
      </c>
      <c r="E937" s="1637">
        <f>+'LINEAS IMPULSIÓN-CONDUCCIÓN'!E204</f>
        <v>351628</v>
      </c>
      <c r="F937" s="1637">
        <f t="shared" si="59"/>
        <v>351628</v>
      </c>
      <c r="G937" s="279"/>
      <c r="H937" s="1625"/>
      <c r="I937" s="1669"/>
      <c r="J937" s="1669"/>
    </row>
    <row r="938" spans="1:17" s="1623" customFormat="1" ht="16.8">
      <c r="A938" s="1617" t="s">
        <v>7910</v>
      </c>
      <c r="B938" s="258" t="s">
        <v>6531</v>
      </c>
      <c r="C938" s="1636" t="s">
        <v>133</v>
      </c>
      <c r="D938" s="1639">
        <v>5</v>
      </c>
      <c r="E938" s="1637">
        <f>+'LINEAS IMPULSIÓN-CONDUCCIÓN'!E205</f>
        <v>371912</v>
      </c>
      <c r="F938" s="1637">
        <f t="shared" si="59"/>
        <v>1859560</v>
      </c>
      <c r="G938" s="279"/>
      <c r="H938" s="1625"/>
      <c r="I938" s="1669"/>
      <c r="J938" s="1669"/>
    </row>
    <row r="939" spans="1:17" s="1623" customFormat="1" ht="16.8">
      <c r="A939" s="1617" t="s">
        <v>7911</v>
      </c>
      <c r="B939" s="258" t="s">
        <v>6535</v>
      </c>
      <c r="C939" s="1636" t="s">
        <v>133</v>
      </c>
      <c r="D939" s="1639">
        <v>1</v>
      </c>
      <c r="E939" s="1637">
        <f>+'LINEAS IMPULSIÓN-CONDUCCIÓN'!E206</f>
        <v>391144.54545454547</v>
      </c>
      <c r="F939" s="1637">
        <f t="shared" si="59"/>
        <v>391145</v>
      </c>
      <c r="G939" s="2351"/>
      <c r="I939" s="273"/>
      <c r="J939" s="273"/>
      <c r="K939" s="1706"/>
      <c r="L939" s="275"/>
      <c r="M939" s="1625"/>
      <c r="N939" s="1625"/>
      <c r="O939" s="273"/>
      <c r="P939" s="276"/>
      <c r="Q939" s="276"/>
    </row>
    <row r="940" spans="1:17" s="1623" customFormat="1" ht="84">
      <c r="A940" s="1617" t="s">
        <v>7912</v>
      </c>
      <c r="B940" s="269" t="s">
        <v>1311</v>
      </c>
      <c r="C940" s="1636" t="s">
        <v>133</v>
      </c>
      <c r="D940" s="1649">
        <v>5</v>
      </c>
      <c r="E940" s="1637">
        <f>+'LINEAS IMPULSIÓN-CONDUCCIÓN'!E207</f>
        <v>575736</v>
      </c>
      <c r="F940" s="1637">
        <f t="shared" ref="F940" si="60">ROUND(+E940*D940,0)</f>
        <v>2878680</v>
      </c>
      <c r="G940" s="2351"/>
      <c r="I940" s="273"/>
      <c r="J940" s="273"/>
      <c r="K940" s="1706"/>
      <c r="L940" s="275"/>
      <c r="M940" s="1625"/>
      <c r="N940" s="1625"/>
      <c r="O940" s="273"/>
      <c r="P940" s="276"/>
      <c r="Q940" s="276"/>
    </row>
    <row r="941" spans="1:17" s="1623" customFormat="1" ht="67.2">
      <c r="A941" s="1617" t="s">
        <v>7913</v>
      </c>
      <c r="B941" s="269" t="s">
        <v>6931</v>
      </c>
      <c r="C941" s="1636" t="s">
        <v>133</v>
      </c>
      <c r="D941" s="1639">
        <v>3</v>
      </c>
      <c r="E941" s="1637">
        <f>+'LINEAS IMPULSIÓN-CONDUCCIÓN'!E208</f>
        <v>635071</v>
      </c>
      <c r="F941" s="1637">
        <f t="shared" si="59"/>
        <v>1905213</v>
      </c>
      <c r="G941" s="2351"/>
      <c r="I941" s="273"/>
      <c r="J941" s="273"/>
      <c r="K941" s="1706"/>
      <c r="L941" s="275"/>
      <c r="M941" s="1625"/>
      <c r="N941" s="1625"/>
      <c r="O941" s="273"/>
      <c r="P941" s="276"/>
      <c r="Q941" s="276"/>
    </row>
    <row r="942" spans="1:17" s="1623" customFormat="1" ht="56.25" customHeight="1">
      <c r="A942" s="1617" t="s">
        <v>7914</v>
      </c>
      <c r="B942" s="269" t="s">
        <v>6933</v>
      </c>
      <c r="C942" s="1636" t="s">
        <v>133</v>
      </c>
      <c r="D942" s="1639">
        <v>1</v>
      </c>
      <c r="E942" s="1637">
        <f>+'LINEAS IMPULSIÓN-CONDUCCIÓN'!E209</f>
        <v>442220</v>
      </c>
      <c r="F942" s="1637">
        <f t="shared" si="59"/>
        <v>442220</v>
      </c>
      <c r="G942" s="2351"/>
      <c r="I942" s="273"/>
      <c r="J942" s="273"/>
      <c r="K942" s="1706"/>
      <c r="L942" s="275"/>
      <c r="M942" s="1625"/>
      <c r="N942" s="1625"/>
      <c r="O942" s="273"/>
      <c r="P942" s="276"/>
      <c r="Q942" s="276"/>
    </row>
    <row r="943" spans="1:17" s="1623" customFormat="1" ht="27.75" customHeight="1">
      <c r="A943" s="1617" t="s">
        <v>7915</v>
      </c>
      <c r="B943" s="269" t="s">
        <v>6935</v>
      </c>
      <c r="C943" s="1636" t="s">
        <v>133</v>
      </c>
      <c r="D943" s="1639">
        <v>1</v>
      </c>
      <c r="E943" s="1637">
        <f>+'LINEAS IMPULSIÓN-CONDUCCIÓN'!E210</f>
        <v>1358591</v>
      </c>
      <c r="F943" s="1637">
        <f t="shared" si="59"/>
        <v>1358591</v>
      </c>
      <c r="G943" s="2351"/>
      <c r="I943" s="273"/>
      <c r="J943" s="273"/>
      <c r="K943" s="1706"/>
      <c r="L943" s="275"/>
      <c r="M943" s="1625"/>
      <c r="N943" s="1625"/>
      <c r="O943" s="273"/>
      <c r="P943" s="276"/>
      <c r="Q943" s="276"/>
    </row>
    <row r="944" spans="1:17" s="1623" customFormat="1" ht="27.75" customHeight="1">
      <c r="A944" s="1617" t="s">
        <v>7916</v>
      </c>
      <c r="B944" s="269" t="s">
        <v>6937</v>
      </c>
      <c r="C944" s="1636" t="s">
        <v>133</v>
      </c>
      <c r="D944" s="1639">
        <v>1</v>
      </c>
      <c r="E944" s="1637">
        <f>+'LINEAS IMPULSIÓN-CONDUCCIÓN'!E211</f>
        <v>1694766</v>
      </c>
      <c r="F944" s="1637">
        <f t="shared" si="59"/>
        <v>1694766</v>
      </c>
      <c r="G944" s="2351"/>
      <c r="I944" s="273"/>
      <c r="J944" s="273"/>
      <c r="K944" s="1706"/>
      <c r="L944" s="275"/>
      <c r="M944" s="1625"/>
      <c r="N944" s="1625"/>
      <c r="O944" s="273"/>
      <c r="P944" s="276"/>
      <c r="Q944" s="276"/>
    </row>
    <row r="945" spans="1:17" s="1623" customFormat="1" ht="151.19999999999999">
      <c r="A945" s="1617" t="s">
        <v>7917</v>
      </c>
      <c r="B945" s="269" t="s">
        <v>6940</v>
      </c>
      <c r="C945" s="1636" t="s">
        <v>133</v>
      </c>
      <c r="D945" s="1649">
        <v>1</v>
      </c>
      <c r="E945" s="1637">
        <f>+'LINEAS IMPULSIÓN-CONDUCCIÓN'!E212</f>
        <v>5765490.1099999994</v>
      </c>
      <c r="F945" s="1637">
        <f t="shared" si="59"/>
        <v>5765490</v>
      </c>
      <c r="G945" s="2351"/>
      <c r="I945" s="273"/>
      <c r="J945" s="273"/>
      <c r="K945" s="1706"/>
      <c r="L945" s="275"/>
      <c r="M945" s="1625"/>
      <c r="N945" s="1625"/>
      <c r="O945" s="273"/>
      <c r="P945" s="276"/>
      <c r="Q945" s="276"/>
    </row>
    <row r="946" spans="1:17" s="1623" customFormat="1" ht="184.8">
      <c r="A946" s="1617" t="s">
        <v>7918</v>
      </c>
      <c r="B946" s="269" t="s">
        <v>6945</v>
      </c>
      <c r="C946" s="1636" t="s">
        <v>133</v>
      </c>
      <c r="D946" s="1649">
        <v>2</v>
      </c>
      <c r="E946" s="1637">
        <f>+'LINEAS IMPULSIÓN-CONDUCCIÓN'!E213</f>
        <v>13634284.99</v>
      </c>
      <c r="F946" s="1637">
        <f t="shared" si="59"/>
        <v>27268570</v>
      </c>
      <c r="G946" s="2351"/>
      <c r="I946" s="273"/>
      <c r="J946" s="273"/>
      <c r="K946" s="1706"/>
      <c r="L946" s="275"/>
      <c r="M946" s="1625"/>
      <c r="N946" s="1625"/>
      <c r="O946" s="273"/>
      <c r="P946" s="276"/>
      <c r="Q946" s="276"/>
    </row>
    <row r="947" spans="1:17" s="1623" customFormat="1" ht="40.5" customHeight="1">
      <c r="A947" s="3375" t="s">
        <v>8787</v>
      </c>
      <c r="B947" s="3375"/>
      <c r="C947" s="3375"/>
      <c r="D947" s="3375"/>
      <c r="E947" s="3375"/>
      <c r="F947" s="2957" t="e">
        <f>F563+F561+F554+F546+F540+F538+F512+F507+F504+F502+F499+F497+F495+F493+F485+F483+F479+F476+F472+F466++F446+F448+F438+F429+F422+F420+F397+F392+F390+F388+F384+F376+F372+F370+F368+F366+F364+F362+F360+F357+F355+F348+F337+F268+F261+F258+F255+F239+F235+F231+F218+F184+F175+F173+F171+F169+F167+F150+F147+F132+F122+F111+F105+F103+F58+F54+F52+F48+F40+F35+F33+F31+F28+F26+F24+F22+F19+F16+F10+F6</f>
        <v>#REF!</v>
      </c>
      <c r="G947" s="2351"/>
      <c r="H947" s="2964" t="e">
        <f>+F947+F950</f>
        <v>#REF!</v>
      </c>
      <c r="I947" s="273"/>
      <c r="J947" s="273"/>
      <c r="K947" s="1706"/>
      <c r="L947" s="275"/>
      <c r="M947" s="1625"/>
      <c r="N947" s="1625"/>
      <c r="O947" s="273"/>
      <c r="P947" s="276"/>
      <c r="Q947" s="276"/>
    </row>
    <row r="948" spans="1:17" s="1623" customFormat="1" ht="40.5" customHeight="1">
      <c r="A948" s="3372" t="s">
        <v>139</v>
      </c>
      <c r="B948" s="3372"/>
      <c r="C948" s="3372"/>
      <c r="D948" s="3372"/>
      <c r="E948" s="2958">
        <f>+AIU</f>
        <v>0.29572249606750989</v>
      </c>
      <c r="F948" s="2962" t="e">
        <f>+ROUND(F947*E948,0)</f>
        <v>#REF!</v>
      </c>
      <c r="G948" s="2351"/>
      <c r="I948" s="273"/>
      <c r="J948" s="273"/>
      <c r="K948" s="1706"/>
      <c r="L948" s="275"/>
      <c r="M948" s="1625"/>
      <c r="N948" s="1625"/>
      <c r="O948" s="273"/>
      <c r="P948" s="276"/>
      <c r="Q948" s="276"/>
    </row>
    <row r="949" spans="1:17" s="1623" customFormat="1" ht="44.25" customHeight="1">
      <c r="A949" s="3377" t="s">
        <v>8786</v>
      </c>
      <c r="B949" s="3378"/>
      <c r="C949" s="3378"/>
      <c r="D949" s="3378"/>
      <c r="E949" s="3379"/>
      <c r="F949" s="2962" t="e">
        <f>SUM(F947:F948)</f>
        <v>#REF!</v>
      </c>
      <c r="G949" s="2351"/>
      <c r="I949" s="273"/>
      <c r="J949" s="273"/>
      <c r="K949" s="1706"/>
      <c r="L949" s="275"/>
      <c r="M949" s="1625"/>
      <c r="N949" s="1625"/>
      <c r="O949" s="273"/>
      <c r="P949" s="276"/>
      <c r="Q949" s="276"/>
    </row>
    <row r="950" spans="1:17" s="492" customFormat="1" ht="30" customHeight="1">
      <c r="A950" s="3375" t="s">
        <v>8788</v>
      </c>
      <c r="B950" s="3375"/>
      <c r="C950" s="3375"/>
      <c r="D950" s="3375"/>
      <c r="E950" s="3375"/>
      <c r="F950" s="2959">
        <f>+F931+F907+F902+F899+F897+F879+F858+F852+F850+F846+F838+F834+F832+F830+F828+F826+F824+F822+F819+F817+F811+F803+F734+F719+F715+F711+F698+F683+F640+F636+F634+F632+F628+F620+F615+F613+F611+F608+F606+F604+F602+F599+F596+F590+F587</f>
        <v>8172181004</v>
      </c>
      <c r="G950" s="2360"/>
      <c r="H950" s="2798">
        <f>+SUM(F931,F907,F896,F879,F858,F852,F850,F846,F838,F834,F832,F830,F828,F826,F824,F822,F819,F817,F811,F803,F734,F719,F715,F711,F698,F683,F640,F636,F634,F632,F628,F620,F615,F613,F611,F608,F606,F604,F602,F599,F596,F590,F587)</f>
        <v>8172181004</v>
      </c>
      <c r="K950" s="1495"/>
      <c r="L950" s="1495"/>
      <c r="M950" s="1495"/>
    </row>
    <row r="951" spans="1:17" s="492" customFormat="1" ht="16.8">
      <c r="A951" s="3380" t="s">
        <v>3843</v>
      </c>
      <c r="B951" s="3380"/>
      <c r="C951" s="3380"/>
      <c r="D951" s="3380"/>
      <c r="E951" s="2960">
        <f>+AIU!H47</f>
        <v>0.18358899999999997</v>
      </c>
      <c r="F951" s="2959">
        <f>ROUNDUP(+E951*F950,0)</f>
        <v>1500322539</v>
      </c>
      <c r="G951" s="2360"/>
      <c r="H951" s="61"/>
      <c r="K951" s="1495"/>
      <c r="L951" s="1495"/>
      <c r="M951" s="1495"/>
    </row>
    <row r="952" spans="1:17" s="492" customFormat="1" ht="31.5" customHeight="1">
      <c r="A952" s="3381" t="s">
        <v>4297</v>
      </c>
      <c r="B952" s="3382"/>
      <c r="C952" s="3382"/>
      <c r="D952" s="3382"/>
      <c r="E952" s="3383"/>
      <c r="F952" s="2961">
        <f>ROUND(+SUM(F950:F951),0)</f>
        <v>9672503543</v>
      </c>
      <c r="G952" s="711"/>
      <c r="H952" s="61"/>
      <c r="K952" s="1495"/>
      <c r="L952" s="1495"/>
      <c r="M952" s="1495"/>
    </row>
    <row r="953" spans="1:17" s="492" customFormat="1" ht="31.5" customHeight="1">
      <c r="A953" s="3381" t="s">
        <v>8789</v>
      </c>
      <c r="B953" s="3382"/>
      <c r="C953" s="3382"/>
      <c r="D953" s="3382"/>
      <c r="E953" s="3383"/>
      <c r="F953" s="2961" t="e">
        <f>+F952+F949</f>
        <v>#REF!</v>
      </c>
      <c r="G953" s="3021">
        <v>17226660082</v>
      </c>
      <c r="H953" s="3022" t="e">
        <f>+F953-G953</f>
        <v>#REF!</v>
      </c>
      <c r="K953" s="1495"/>
      <c r="L953" s="1495"/>
      <c r="M953" s="1495"/>
    </row>
    <row r="954" spans="1:17" s="492" customFormat="1" ht="31.5" customHeight="1">
      <c r="A954" s="3381" t="s">
        <v>8785</v>
      </c>
      <c r="B954" s="3382"/>
      <c r="C954" s="3382"/>
      <c r="D954" s="3382"/>
      <c r="E954" s="3383"/>
      <c r="F954" s="2961">
        <f>+INTERVENTORIA!J49</f>
        <v>618803028</v>
      </c>
      <c r="G954" s="3021">
        <v>618803028</v>
      </c>
      <c r="H954" s="3021">
        <f>+F954-G954</f>
        <v>0</v>
      </c>
      <c r="K954" s="1495"/>
      <c r="L954" s="1495"/>
      <c r="M954" s="1495"/>
    </row>
    <row r="955" spans="1:17" ht="16.8">
      <c r="A955" s="3376" t="s">
        <v>7922</v>
      </c>
      <c r="B955" s="3376"/>
      <c r="C955" s="3376"/>
      <c r="D955" s="3376"/>
      <c r="E955" s="3376"/>
      <c r="F955" s="2961" t="e">
        <f>+F953+F954</f>
        <v>#REF!</v>
      </c>
      <c r="G955" s="3021">
        <v>156862745</v>
      </c>
      <c r="H955" s="2339"/>
    </row>
    <row r="956" spans="1:17" ht="15" customHeight="1">
      <c r="G956" s="3023">
        <f>SUM(G953:G955)</f>
        <v>18002325855</v>
      </c>
    </row>
    <row r="957" spans="1:17" ht="16.8">
      <c r="F957" s="2288">
        <v>17226660082</v>
      </c>
      <c r="H957" s="2398"/>
    </row>
    <row r="958" spans="1:17">
      <c r="F958" s="2796"/>
      <c r="H958" s="1716"/>
    </row>
    <row r="959" spans="1:17">
      <c r="H959" s="1608"/>
    </row>
    <row r="960" spans="1:17">
      <c r="F960" s="2398"/>
      <c r="H960" s="2399"/>
    </row>
    <row r="961" spans="6:6">
      <c r="F961" s="2399"/>
    </row>
  </sheetData>
  <autoFilter ref="A4:F955"/>
  <mergeCells count="85">
    <mergeCell ref="K171:L171"/>
    <mergeCell ref="A510:F510"/>
    <mergeCell ref="A582:D582"/>
    <mergeCell ref="H117:N117"/>
    <mergeCell ref="A3:F3"/>
    <mergeCell ref="B5:F5"/>
    <mergeCell ref="A56:F56"/>
    <mergeCell ref="A99:F99"/>
    <mergeCell ref="B101:F101"/>
    <mergeCell ref="A252:F252"/>
    <mergeCell ref="A144:F144"/>
    <mergeCell ref="B150:E150"/>
    <mergeCell ref="K166:L166"/>
    <mergeCell ref="K167:L167"/>
    <mergeCell ref="K168:L168"/>
    <mergeCell ref="K169:L169"/>
    <mergeCell ref="K170:L170"/>
    <mergeCell ref="A583:E583"/>
    <mergeCell ref="K172:L172"/>
    <mergeCell ref="K173:L173"/>
    <mergeCell ref="K174:L174"/>
    <mergeCell ref="B536:F536"/>
    <mergeCell ref="A254:F254"/>
    <mergeCell ref="A343:F343"/>
    <mergeCell ref="A345:F345"/>
    <mergeCell ref="A396:F396"/>
    <mergeCell ref="A416:F416"/>
    <mergeCell ref="B418:F418"/>
    <mergeCell ref="H435:N435"/>
    <mergeCell ref="A463:F463"/>
    <mergeCell ref="A465:F465"/>
    <mergeCell ref="B501:E501"/>
    <mergeCell ref="A534:F534"/>
    <mergeCell ref="B683:D683"/>
    <mergeCell ref="B611:D611"/>
    <mergeCell ref="H551:N551"/>
    <mergeCell ref="A584:F584"/>
    <mergeCell ref="A585:F585"/>
    <mergeCell ref="B587:D587"/>
    <mergeCell ref="B590:D590"/>
    <mergeCell ref="B596:D596"/>
    <mergeCell ref="B599:D599"/>
    <mergeCell ref="B602:D602"/>
    <mergeCell ref="B604:D604"/>
    <mergeCell ref="B606:D606"/>
    <mergeCell ref="B608:D608"/>
    <mergeCell ref="A579:E579"/>
    <mergeCell ref="A580:D580"/>
    <mergeCell ref="A581:D581"/>
    <mergeCell ref="B634:D634"/>
    <mergeCell ref="B636:D636"/>
    <mergeCell ref="A638:F638"/>
    <mergeCell ref="B640:D640"/>
    <mergeCell ref="A681:F681"/>
    <mergeCell ref="B613:D613"/>
    <mergeCell ref="B615:D615"/>
    <mergeCell ref="B620:D620"/>
    <mergeCell ref="B628:D628"/>
    <mergeCell ref="B632:D632"/>
    <mergeCell ref="A877:F877"/>
    <mergeCell ref="B879:D879"/>
    <mergeCell ref="A894:F894"/>
    <mergeCell ref="B896:E896"/>
    <mergeCell ref="A695:F695"/>
    <mergeCell ref="A955:E955"/>
    <mergeCell ref="A950:E950"/>
    <mergeCell ref="A951:D951"/>
    <mergeCell ref="A953:E953"/>
    <mergeCell ref="A954:E954"/>
    <mergeCell ref="A1:F1"/>
    <mergeCell ref="A2:F2"/>
    <mergeCell ref="A947:E947"/>
    <mergeCell ref="A952:E952"/>
    <mergeCell ref="A949:E949"/>
    <mergeCell ref="A948:D948"/>
    <mergeCell ref="B931:D931"/>
    <mergeCell ref="A929:F929"/>
    <mergeCell ref="B697:E697"/>
    <mergeCell ref="A732:F732"/>
    <mergeCell ref="B734:E734"/>
    <mergeCell ref="A809:F809"/>
    <mergeCell ref="B852:D852"/>
    <mergeCell ref="A856:F856"/>
    <mergeCell ref="A905:F905"/>
    <mergeCell ref="B858:D858"/>
  </mergeCells>
  <phoneticPr fontId="143" type="noConversion"/>
  <pageMargins left="0.70866141732283472" right="0.70866141732283472" top="0.74803149606299213" bottom="0.74803149606299213" header="0.31496062992125984" footer="0.31496062992125984"/>
  <pageSetup scale="67" orientation="portrait" horizontalDpi="360" verticalDpi="360" r:id="rId1"/>
  <colBreaks count="1" manualBreakCount="1">
    <brk id="6"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8"/>
  <sheetViews>
    <sheetView tabSelected="1" zoomScale="85" zoomScaleNormal="85" workbookViewId="0">
      <selection activeCell="A247" sqref="A247:XFD257"/>
    </sheetView>
  </sheetViews>
  <sheetFormatPr baseColWidth="10" defaultColWidth="11.44140625" defaultRowHeight="13.2"/>
  <cols>
    <col min="1" max="1" width="14.109375" style="1244" customWidth="1"/>
    <col min="2" max="2" width="62.33203125" style="3187" customWidth="1"/>
    <col min="3" max="4" width="11.44140625" style="3160"/>
    <col min="5" max="5" width="18.88671875" style="1244" customWidth="1"/>
    <col min="6" max="6" width="18.109375" style="1244" bestFit="1" customWidth="1"/>
    <col min="7" max="7" width="14.21875" style="1244" bestFit="1" customWidth="1"/>
    <col min="8" max="8" width="12.6640625" style="1244" bestFit="1" customWidth="1"/>
    <col min="9" max="16384" width="11.44140625" style="1244"/>
  </cols>
  <sheetData>
    <row r="1" spans="1:13" s="3166" customFormat="1" ht="54" customHeight="1">
      <c r="A1" s="3385" t="s">
        <v>9106</v>
      </c>
      <c r="B1" s="3385"/>
      <c r="C1" s="3039"/>
      <c r="D1" s="3039"/>
      <c r="E1" s="3386" t="s">
        <v>9100</v>
      </c>
      <c r="F1" s="3386"/>
      <c r="G1" s="3039"/>
      <c r="H1" s="3387"/>
      <c r="I1" s="3387"/>
      <c r="J1" s="3387"/>
      <c r="K1" s="3387"/>
      <c r="L1" s="3164"/>
      <c r="M1" s="3165"/>
    </row>
    <row r="2" spans="1:13" s="3166" customFormat="1" ht="15.6">
      <c r="A2" s="3188" t="s">
        <v>798</v>
      </c>
      <c r="B2" s="3189" t="s">
        <v>8878</v>
      </c>
      <c r="C2" s="3190" t="s">
        <v>8879</v>
      </c>
      <c r="D2" s="3191">
        <v>1.1000000000000001</v>
      </c>
      <c r="E2" s="3386"/>
      <c r="F2" s="3386"/>
      <c r="G2" s="3167"/>
      <c r="H2" s="3168"/>
      <c r="I2" s="3168"/>
      <c r="J2" s="3168"/>
      <c r="K2" s="3168"/>
      <c r="L2" s="3164"/>
      <c r="M2" s="3165"/>
    </row>
    <row r="3" spans="1:13" s="3171" customFormat="1" ht="15" customHeight="1">
      <c r="A3" s="3384" t="s">
        <v>9101</v>
      </c>
      <c r="B3" s="3384"/>
      <c r="C3" s="3384"/>
      <c r="D3" s="3384"/>
      <c r="E3" s="3384"/>
      <c r="F3" s="3384"/>
      <c r="G3" s="3169"/>
      <c r="H3" s="3170"/>
      <c r="K3" s="3172"/>
      <c r="L3" s="3172"/>
      <c r="M3" s="3172"/>
    </row>
    <row r="4" spans="1:13" s="3171" customFormat="1" ht="33.6">
      <c r="A4" s="1590" t="s">
        <v>22</v>
      </c>
      <c r="B4" s="1591" t="s">
        <v>23</v>
      </c>
      <c r="C4" s="1591" t="s">
        <v>150</v>
      </c>
      <c r="D4" s="1592" t="s">
        <v>539</v>
      </c>
      <c r="E4" s="1593" t="s">
        <v>151</v>
      </c>
      <c r="F4" s="1593" t="s">
        <v>540</v>
      </c>
      <c r="G4" s="3169"/>
      <c r="H4" s="3170"/>
      <c r="K4" s="3172"/>
      <c r="L4" s="3172"/>
      <c r="M4" s="3172"/>
    </row>
    <row r="5" spans="1:13" s="966" customFormat="1">
      <c r="A5" s="3173">
        <v>2</v>
      </c>
      <c r="B5" s="3174" t="s">
        <v>8930</v>
      </c>
      <c r="C5" s="3175"/>
      <c r="D5" s="3175"/>
      <c r="E5" s="3176"/>
      <c r="F5" s="3176"/>
    </row>
    <row r="6" spans="1:13">
      <c r="A6" s="3177">
        <v>201</v>
      </c>
      <c r="B6" s="941" t="s">
        <v>8931</v>
      </c>
      <c r="C6" s="514" t="s">
        <v>8932</v>
      </c>
      <c r="D6" s="514">
        <v>12290</v>
      </c>
      <c r="E6" s="3178">
        <v>1829.3366516229744</v>
      </c>
      <c r="F6" s="3178">
        <f>+D6*E6</f>
        <v>22482547.448446356</v>
      </c>
    </row>
    <row r="7" spans="1:13" s="966" customFormat="1">
      <c r="A7" s="3173">
        <v>3</v>
      </c>
      <c r="B7" s="3174" t="s">
        <v>6197</v>
      </c>
      <c r="C7" s="3175"/>
      <c r="D7" s="3175"/>
      <c r="E7" s="3176"/>
      <c r="F7" s="3176"/>
    </row>
    <row r="8" spans="1:13">
      <c r="A8" s="3177">
        <v>301</v>
      </c>
      <c r="B8" s="941" t="s">
        <v>8933</v>
      </c>
      <c r="C8" s="514" t="s">
        <v>3639</v>
      </c>
      <c r="D8" s="514">
        <v>10600</v>
      </c>
      <c r="E8" s="3178">
        <v>9422.6024708927052</v>
      </c>
      <c r="F8" s="3178">
        <f t="shared" ref="F8:F70" si="0">+D8*E8</f>
        <v>99879586.191462681</v>
      </c>
    </row>
    <row r="9" spans="1:13">
      <c r="A9" s="3177">
        <v>302</v>
      </c>
      <c r="B9" s="941" t="s">
        <v>8951</v>
      </c>
      <c r="C9" s="514" t="s">
        <v>3639</v>
      </c>
      <c r="D9" s="514">
        <v>26200</v>
      </c>
      <c r="E9" s="3178">
        <v>11607.366585884789</v>
      </c>
      <c r="F9" s="3178">
        <f t="shared" si="0"/>
        <v>304113004.55018145</v>
      </c>
    </row>
    <row r="10" spans="1:13">
      <c r="A10" s="3177">
        <v>303</v>
      </c>
      <c r="B10" s="941" t="s">
        <v>8952</v>
      </c>
      <c r="C10" s="514" t="s">
        <v>3639</v>
      </c>
      <c r="D10" s="514">
        <v>1600</v>
      </c>
      <c r="E10" s="3178">
        <v>14668.344632231147</v>
      </c>
      <c r="F10" s="3178">
        <f t="shared" si="0"/>
        <v>23469351.411569834</v>
      </c>
    </row>
    <row r="11" spans="1:13">
      <c r="A11" s="3177">
        <v>304</v>
      </c>
      <c r="B11" s="941" t="s">
        <v>8953</v>
      </c>
      <c r="C11" s="514" t="s">
        <v>3639</v>
      </c>
      <c r="D11" s="514">
        <v>1000</v>
      </c>
      <c r="E11" s="3178">
        <v>8574.4860101337617</v>
      </c>
      <c r="F11" s="3178">
        <f t="shared" si="0"/>
        <v>8574486.0101337619</v>
      </c>
    </row>
    <row r="12" spans="1:13">
      <c r="A12" s="3177">
        <v>305</v>
      </c>
      <c r="B12" s="941" t="s">
        <v>8954</v>
      </c>
      <c r="C12" s="514" t="s">
        <v>3639</v>
      </c>
      <c r="D12" s="514">
        <v>2400</v>
      </c>
      <c r="E12" s="3178">
        <v>11186.049878827182</v>
      </c>
      <c r="F12" s="3178">
        <f t="shared" si="0"/>
        <v>26846519.709185235</v>
      </c>
    </row>
    <row r="13" spans="1:13">
      <c r="A13" s="3177">
        <v>306</v>
      </c>
      <c r="B13" s="941" t="s">
        <v>8955</v>
      </c>
      <c r="C13" s="514" t="s">
        <v>3639</v>
      </c>
      <c r="D13" s="514">
        <v>500</v>
      </c>
      <c r="E13" s="3178">
        <v>16319.383212160516</v>
      </c>
      <c r="F13" s="3178">
        <f t="shared" si="0"/>
        <v>8159691.6060802573</v>
      </c>
    </row>
    <row r="14" spans="1:13">
      <c r="A14" s="3177">
        <v>307</v>
      </c>
      <c r="B14" s="941" t="s">
        <v>8956</v>
      </c>
      <c r="C14" s="514" t="s">
        <v>3639</v>
      </c>
      <c r="D14" s="514">
        <v>5400</v>
      </c>
      <c r="E14" s="3178">
        <v>23432.554023125871</v>
      </c>
      <c r="F14" s="3178">
        <f t="shared" si="0"/>
        <v>126535791.7248797</v>
      </c>
    </row>
    <row r="15" spans="1:13" s="966" customFormat="1">
      <c r="A15" s="3173">
        <v>4</v>
      </c>
      <c r="B15" s="3174" t="s">
        <v>6183</v>
      </c>
      <c r="C15" s="3175"/>
      <c r="D15" s="3175"/>
      <c r="E15" s="3176"/>
      <c r="F15" s="3176"/>
    </row>
    <row r="16" spans="1:13">
      <c r="A16" s="3177">
        <v>403</v>
      </c>
      <c r="B16" s="941" t="s">
        <v>6256</v>
      </c>
      <c r="C16" s="514" t="s">
        <v>4696</v>
      </c>
      <c r="D16" s="514">
        <v>2900</v>
      </c>
      <c r="E16" s="3178">
        <v>16023.021609250349</v>
      </c>
      <c r="F16" s="3178">
        <f t="shared" si="0"/>
        <v>46466762.66682601</v>
      </c>
    </row>
    <row r="17" spans="1:6">
      <c r="A17" s="3177">
        <v>404</v>
      </c>
      <c r="B17" s="941" t="s">
        <v>8957</v>
      </c>
      <c r="C17" s="514" t="s">
        <v>8932</v>
      </c>
      <c r="D17" s="514">
        <v>1940</v>
      </c>
      <c r="E17" s="3178">
        <v>4438.5918558606545</v>
      </c>
      <c r="F17" s="3178">
        <f t="shared" si="0"/>
        <v>8610868.2003696691</v>
      </c>
    </row>
    <row r="18" spans="1:6">
      <c r="A18" s="3177">
        <v>406</v>
      </c>
      <c r="B18" s="941" t="s">
        <v>8934</v>
      </c>
      <c r="C18" s="514" t="s">
        <v>3639</v>
      </c>
      <c r="D18" s="514">
        <v>748.32240000000002</v>
      </c>
      <c r="E18" s="3178">
        <v>73216.299272963093</v>
      </c>
      <c r="F18" s="3178">
        <f t="shared" si="0"/>
        <v>54789396.791061997</v>
      </c>
    </row>
    <row r="19" spans="1:6" s="966" customFormat="1">
      <c r="A19" s="3173">
        <v>5</v>
      </c>
      <c r="B19" s="3174" t="s">
        <v>8935</v>
      </c>
      <c r="C19" s="3175"/>
      <c r="D19" s="3175"/>
      <c r="E19" s="3176"/>
      <c r="F19" s="3176"/>
    </row>
    <row r="20" spans="1:6">
      <c r="A20" s="3177">
        <v>502</v>
      </c>
      <c r="B20" s="941" t="s">
        <v>8958</v>
      </c>
      <c r="C20" s="514" t="s">
        <v>4696</v>
      </c>
      <c r="D20" s="514">
        <v>24520</v>
      </c>
      <c r="E20" s="3178">
        <v>21583.891855860653</v>
      </c>
      <c r="F20" s="3178">
        <f t="shared" si="0"/>
        <v>529237028.30570322</v>
      </c>
    </row>
    <row r="21" spans="1:6">
      <c r="A21" s="3177">
        <v>503</v>
      </c>
      <c r="B21" s="941" t="s">
        <v>8936</v>
      </c>
      <c r="C21" s="514" t="s">
        <v>4696</v>
      </c>
      <c r="D21" s="514">
        <v>26200</v>
      </c>
      <c r="E21" s="3178">
        <v>27237.302160925035</v>
      </c>
      <c r="F21" s="3178">
        <f t="shared" si="0"/>
        <v>713617316.61623597</v>
      </c>
    </row>
    <row r="22" spans="1:6" s="966" customFormat="1">
      <c r="A22" s="3173">
        <v>6</v>
      </c>
      <c r="B22" s="3174" t="s">
        <v>8937</v>
      </c>
      <c r="C22" s="3175"/>
      <c r="D22" s="3175"/>
      <c r="E22" s="3176"/>
      <c r="F22" s="3176"/>
    </row>
    <row r="23" spans="1:6" ht="26.4">
      <c r="A23" s="3177">
        <v>601</v>
      </c>
      <c r="B23" s="941" t="s">
        <v>8959</v>
      </c>
      <c r="C23" s="514" t="s">
        <v>8960</v>
      </c>
      <c r="D23" s="514">
        <v>477000</v>
      </c>
      <c r="E23" s="3178">
        <v>1250</v>
      </c>
      <c r="F23" s="3178">
        <f t="shared" si="0"/>
        <v>596250000</v>
      </c>
    </row>
    <row r="24" spans="1:6" s="966" customFormat="1">
      <c r="A24" s="3173">
        <v>7</v>
      </c>
      <c r="B24" s="3174" t="s">
        <v>8938</v>
      </c>
      <c r="C24" s="3175"/>
      <c r="D24" s="3175"/>
      <c r="E24" s="3176"/>
      <c r="F24" s="3176"/>
    </row>
    <row r="25" spans="1:6">
      <c r="A25" s="3177">
        <v>701</v>
      </c>
      <c r="B25" s="941" t="s">
        <v>8961</v>
      </c>
      <c r="C25" s="514" t="s">
        <v>3639</v>
      </c>
      <c r="D25" s="514">
        <v>18755</v>
      </c>
      <c r="E25" s="3178">
        <v>18734.580304012881</v>
      </c>
      <c r="F25" s="3178">
        <f t="shared" si="0"/>
        <v>351367053.60176158</v>
      </c>
    </row>
    <row r="26" spans="1:6">
      <c r="A26" s="3177">
        <v>702</v>
      </c>
      <c r="B26" s="941" t="s">
        <v>8962</v>
      </c>
      <c r="C26" s="514" t="s">
        <v>3639</v>
      </c>
      <c r="D26" s="514">
        <v>18755</v>
      </c>
      <c r="E26" s="3178">
        <v>59276.380304012884</v>
      </c>
      <c r="F26" s="3178">
        <f t="shared" si="0"/>
        <v>1111728512.6017616</v>
      </c>
    </row>
    <row r="27" spans="1:6">
      <c r="A27" s="3177">
        <v>704</v>
      </c>
      <c r="B27" s="941" t="s">
        <v>8963</v>
      </c>
      <c r="C27" s="514" t="s">
        <v>3639</v>
      </c>
      <c r="D27" s="514">
        <v>2300</v>
      </c>
      <c r="E27" s="3178">
        <v>124902.66424321031</v>
      </c>
      <c r="F27" s="3178">
        <f t="shared" si="0"/>
        <v>287276127.75938374</v>
      </c>
    </row>
    <row r="28" spans="1:6">
      <c r="A28" s="3177">
        <v>705</v>
      </c>
      <c r="B28" s="941" t="s">
        <v>8964</v>
      </c>
      <c r="C28" s="514" t="s">
        <v>3639</v>
      </c>
      <c r="D28" s="514">
        <v>2400</v>
      </c>
      <c r="E28" s="3178">
        <v>105267.66424321031</v>
      </c>
      <c r="F28" s="3178">
        <f t="shared" si="0"/>
        <v>252642394.18370473</v>
      </c>
    </row>
    <row r="29" spans="1:6">
      <c r="A29" s="3177">
        <v>706</v>
      </c>
      <c r="B29" s="941" t="s">
        <v>8965</v>
      </c>
      <c r="C29" s="514" t="s">
        <v>3639</v>
      </c>
      <c r="D29" s="514">
        <v>3700</v>
      </c>
      <c r="E29" s="3178">
        <v>132872.66424321031</v>
      </c>
      <c r="F29" s="3178">
        <f t="shared" si="0"/>
        <v>491628857.69987816</v>
      </c>
    </row>
    <row r="30" spans="1:6">
      <c r="A30" s="3177">
        <v>707</v>
      </c>
      <c r="B30" s="941" t="s">
        <v>8966</v>
      </c>
      <c r="C30" s="514" t="s">
        <v>3639</v>
      </c>
      <c r="D30" s="514">
        <v>1790</v>
      </c>
      <c r="E30" s="3178">
        <v>104870.61424321029</v>
      </c>
      <c r="F30" s="3178">
        <f t="shared" si="0"/>
        <v>187718399.49534643</v>
      </c>
    </row>
    <row r="31" spans="1:6" s="966" customFormat="1">
      <c r="A31" s="3173">
        <v>8</v>
      </c>
      <c r="B31" s="3174" t="s">
        <v>8939</v>
      </c>
      <c r="C31" s="3175"/>
      <c r="D31" s="3175"/>
      <c r="E31" s="3176"/>
      <c r="F31" s="3176"/>
    </row>
    <row r="32" spans="1:6">
      <c r="A32" s="3179">
        <v>801</v>
      </c>
      <c r="B32" s="3180" t="s">
        <v>8967</v>
      </c>
      <c r="C32" s="514"/>
      <c r="D32" s="514"/>
      <c r="E32" s="3178"/>
      <c r="F32" s="3178"/>
    </row>
    <row r="33" spans="1:6">
      <c r="A33" s="3179">
        <v>80101</v>
      </c>
      <c r="B33" s="3180" t="s">
        <v>8940</v>
      </c>
      <c r="C33" s="514"/>
      <c r="D33" s="514"/>
      <c r="E33" s="3178"/>
      <c r="F33" s="3178"/>
    </row>
    <row r="34" spans="1:6">
      <c r="A34" s="3177">
        <v>8010106</v>
      </c>
      <c r="B34" s="941" t="s">
        <v>8941</v>
      </c>
      <c r="C34" s="514" t="s">
        <v>8932</v>
      </c>
      <c r="D34" s="514">
        <v>7800</v>
      </c>
      <c r="E34" s="3178">
        <v>4420.2133939371297</v>
      </c>
      <c r="F34" s="3178">
        <f t="shared" si="0"/>
        <v>34477664.472709611</v>
      </c>
    </row>
    <row r="35" spans="1:6">
      <c r="A35" s="3177">
        <v>8010107</v>
      </c>
      <c r="B35" s="941" t="s">
        <v>8968</v>
      </c>
      <c r="C35" s="514" t="s">
        <v>8932</v>
      </c>
      <c r="D35" s="514">
        <v>1410</v>
      </c>
      <c r="E35" s="3178">
        <v>4749.5633939371301</v>
      </c>
      <c r="F35" s="3178">
        <f t="shared" si="0"/>
        <v>6696884.3854513532</v>
      </c>
    </row>
    <row r="36" spans="1:6">
      <c r="A36" s="3177">
        <v>8010108</v>
      </c>
      <c r="B36" s="941" t="s">
        <v>8969</v>
      </c>
      <c r="C36" s="514" t="s">
        <v>8932</v>
      </c>
      <c r="D36" s="514">
        <v>700</v>
      </c>
      <c r="E36" s="3178">
        <v>5078.9133939371295</v>
      </c>
      <c r="F36" s="3178">
        <f t="shared" si="0"/>
        <v>3555239.3757559909</v>
      </c>
    </row>
    <row r="37" spans="1:6">
      <c r="A37" s="3177">
        <v>8010109</v>
      </c>
      <c r="B37" s="941" t="s">
        <v>8970</v>
      </c>
      <c r="C37" s="514" t="s">
        <v>8932</v>
      </c>
      <c r="D37" s="514">
        <v>1270</v>
      </c>
      <c r="E37" s="3178">
        <v>8215.2700909056948</v>
      </c>
      <c r="F37" s="3178">
        <f t="shared" si="0"/>
        <v>10433393.015450232</v>
      </c>
    </row>
    <row r="38" spans="1:6">
      <c r="A38" s="3177">
        <v>8010111</v>
      </c>
      <c r="B38" s="941" t="s">
        <v>8971</v>
      </c>
      <c r="C38" s="514" t="s">
        <v>8932</v>
      </c>
      <c r="D38" s="514">
        <v>100</v>
      </c>
      <c r="E38" s="3178">
        <v>15594.470090905694</v>
      </c>
      <c r="F38" s="3178">
        <f t="shared" si="0"/>
        <v>1559447.0090905693</v>
      </c>
    </row>
    <row r="39" spans="1:6">
      <c r="A39" s="3177">
        <v>8010112</v>
      </c>
      <c r="B39" s="941" t="s">
        <v>8972</v>
      </c>
      <c r="C39" s="514" t="s">
        <v>8932</v>
      </c>
      <c r="D39" s="514">
        <v>700</v>
      </c>
      <c r="E39" s="3178">
        <v>39403.256907692921</v>
      </c>
      <c r="F39" s="3178">
        <f t="shared" si="0"/>
        <v>27582279.835385043</v>
      </c>
    </row>
    <row r="40" spans="1:6">
      <c r="A40" s="3177">
        <v>8010115</v>
      </c>
      <c r="B40" s="941" t="s">
        <v>8973</v>
      </c>
      <c r="C40" s="514" t="s">
        <v>8932</v>
      </c>
      <c r="D40" s="514">
        <v>310</v>
      </c>
      <c r="E40" s="3178">
        <v>41903.256907692921</v>
      </c>
      <c r="F40" s="3178">
        <f t="shared" si="0"/>
        <v>12990009.641384806</v>
      </c>
    </row>
    <row r="41" spans="1:6" s="966" customFormat="1">
      <c r="A41" s="3173">
        <v>9</v>
      </c>
      <c r="B41" s="3174" t="s">
        <v>8942</v>
      </c>
      <c r="C41" s="3175"/>
      <c r="D41" s="3175"/>
      <c r="E41" s="3176"/>
      <c r="F41" s="3176"/>
    </row>
    <row r="42" spans="1:6">
      <c r="A42" s="3179">
        <v>901</v>
      </c>
      <c r="B42" s="941" t="s">
        <v>8943</v>
      </c>
      <c r="C42" s="514"/>
      <c r="D42" s="514"/>
      <c r="E42" s="3178"/>
      <c r="F42" s="3178"/>
    </row>
    <row r="43" spans="1:6">
      <c r="A43" s="3179">
        <v>90101</v>
      </c>
      <c r="B43" s="941" t="s">
        <v>8944</v>
      </c>
      <c r="C43" s="514"/>
      <c r="D43" s="514"/>
      <c r="E43" s="3178"/>
      <c r="F43" s="3178"/>
    </row>
    <row r="44" spans="1:6">
      <c r="A44" s="3177">
        <v>9010101</v>
      </c>
      <c r="B44" s="941" t="s">
        <v>8974</v>
      </c>
      <c r="C44" s="514" t="s">
        <v>8945</v>
      </c>
      <c r="D44" s="514">
        <v>182</v>
      </c>
      <c r="E44" s="3178">
        <v>635375.10142200836</v>
      </c>
      <c r="F44" s="3178">
        <f t="shared" si="0"/>
        <v>115638268.45880552</v>
      </c>
    </row>
    <row r="45" spans="1:6">
      <c r="A45" s="3177">
        <v>9010103</v>
      </c>
      <c r="B45" s="941" t="s">
        <v>8975</v>
      </c>
      <c r="C45" s="514" t="s">
        <v>8932</v>
      </c>
      <c r="D45" s="514">
        <v>223</v>
      </c>
      <c r="E45" s="3178">
        <v>673214.74046251748</v>
      </c>
      <c r="F45" s="3178">
        <f t="shared" si="0"/>
        <v>150126887.12314141</v>
      </c>
    </row>
    <row r="46" spans="1:6">
      <c r="A46" s="3177">
        <v>9010104</v>
      </c>
      <c r="B46" s="941" t="s">
        <v>8976</v>
      </c>
      <c r="C46" s="514" t="s">
        <v>8932</v>
      </c>
      <c r="D46" s="514">
        <v>26</v>
      </c>
      <c r="E46" s="3178">
        <v>757126.10046251747</v>
      </c>
      <c r="F46" s="3178">
        <f t="shared" si="0"/>
        <v>19685278.612025455</v>
      </c>
    </row>
    <row r="47" spans="1:6">
      <c r="A47" s="3177">
        <v>9010109</v>
      </c>
      <c r="B47" s="941" t="s">
        <v>8977</v>
      </c>
      <c r="C47" s="514" t="s">
        <v>8945</v>
      </c>
      <c r="D47" s="514">
        <v>182</v>
      </c>
      <c r="E47" s="3178">
        <v>451447.78509250353</v>
      </c>
      <c r="F47" s="3178">
        <f t="shared" si="0"/>
        <v>82163496.88683565</v>
      </c>
    </row>
    <row r="48" spans="1:6" s="966" customFormat="1">
      <c r="A48" s="3173">
        <v>10</v>
      </c>
      <c r="B48" s="3174" t="s">
        <v>8946</v>
      </c>
      <c r="C48" s="3175"/>
      <c r="D48" s="3175"/>
      <c r="E48" s="3176"/>
      <c r="F48" s="3176"/>
    </row>
    <row r="49" spans="1:6">
      <c r="A49" s="3179">
        <v>1001</v>
      </c>
      <c r="B49" s="3180" t="s">
        <v>8947</v>
      </c>
      <c r="C49" s="514"/>
      <c r="D49" s="514"/>
      <c r="E49" s="3178"/>
      <c r="F49" s="3178"/>
    </row>
    <row r="50" spans="1:6">
      <c r="A50" s="3177">
        <v>100101</v>
      </c>
      <c r="B50" s="941" t="s">
        <v>8948</v>
      </c>
      <c r="C50" s="514" t="s">
        <v>8932</v>
      </c>
      <c r="D50" s="514">
        <v>8760</v>
      </c>
      <c r="E50" s="3178">
        <v>8325.6202765899361</v>
      </c>
      <c r="F50" s="3178">
        <f t="shared" si="0"/>
        <v>72932433.622927845</v>
      </c>
    </row>
    <row r="51" spans="1:6">
      <c r="A51" s="3179">
        <v>1002</v>
      </c>
      <c r="B51" s="3180" t="s">
        <v>8978</v>
      </c>
      <c r="C51" s="3181"/>
      <c r="D51" s="3181"/>
      <c r="E51" s="3182"/>
      <c r="F51" s="3182"/>
    </row>
    <row r="52" spans="1:6">
      <c r="A52" s="3179">
        <v>100201</v>
      </c>
      <c r="B52" s="3180" t="s">
        <v>8979</v>
      </c>
      <c r="C52" s="3181"/>
      <c r="D52" s="3181"/>
      <c r="E52" s="3182"/>
      <c r="F52" s="3182"/>
    </row>
    <row r="53" spans="1:6">
      <c r="A53" s="3177">
        <v>10020101</v>
      </c>
      <c r="B53" s="941" t="s">
        <v>8980</v>
      </c>
      <c r="C53" s="514" t="s">
        <v>8945</v>
      </c>
      <c r="D53" s="514">
        <v>703</v>
      </c>
      <c r="E53" s="3178">
        <v>147312</v>
      </c>
      <c r="F53" s="3178">
        <f t="shared" si="0"/>
        <v>103560336</v>
      </c>
    </row>
    <row r="54" spans="1:6">
      <c r="A54" s="3177">
        <v>10020102</v>
      </c>
      <c r="B54" s="941" t="s">
        <v>8981</v>
      </c>
      <c r="C54" s="514" t="s">
        <v>8945</v>
      </c>
      <c r="D54" s="514">
        <v>150</v>
      </c>
      <c r="E54" s="3178">
        <v>279474</v>
      </c>
      <c r="F54" s="3178">
        <f t="shared" si="0"/>
        <v>41921100</v>
      </c>
    </row>
    <row r="55" spans="1:6">
      <c r="A55" s="3177">
        <v>10020103</v>
      </c>
      <c r="B55" s="941" t="s">
        <v>8982</v>
      </c>
      <c r="C55" s="514" t="s">
        <v>8945</v>
      </c>
      <c r="D55" s="514">
        <v>116</v>
      </c>
      <c r="E55" s="3178">
        <v>298864</v>
      </c>
      <c r="F55" s="3178">
        <f t="shared" si="0"/>
        <v>34668224</v>
      </c>
    </row>
    <row r="56" spans="1:6">
      <c r="A56" s="3177">
        <v>10020107</v>
      </c>
      <c r="B56" s="941" t="s">
        <v>8983</v>
      </c>
      <c r="C56" s="514" t="s">
        <v>8945</v>
      </c>
      <c r="D56" s="514">
        <v>123</v>
      </c>
      <c r="E56" s="3178">
        <v>562436</v>
      </c>
      <c r="F56" s="3178">
        <f t="shared" si="0"/>
        <v>69179628</v>
      </c>
    </row>
    <row r="57" spans="1:6">
      <c r="A57" s="3177">
        <v>10020111</v>
      </c>
      <c r="B57" s="941" t="s">
        <v>8984</v>
      </c>
      <c r="C57" s="514" t="s">
        <v>8945</v>
      </c>
      <c r="D57" s="514">
        <v>4</v>
      </c>
      <c r="E57" s="3178">
        <v>734876</v>
      </c>
      <c r="F57" s="3178">
        <f t="shared" si="0"/>
        <v>2939504</v>
      </c>
    </row>
    <row r="58" spans="1:6">
      <c r="A58" s="3177">
        <v>10020113</v>
      </c>
      <c r="B58" s="941" t="s">
        <v>8985</v>
      </c>
      <c r="C58" s="514" t="s">
        <v>8945</v>
      </c>
      <c r="D58" s="514">
        <v>37</v>
      </c>
      <c r="E58" s="3178">
        <v>889700</v>
      </c>
      <c r="F58" s="3178">
        <f t="shared" si="0"/>
        <v>32918900</v>
      </c>
    </row>
    <row r="59" spans="1:6">
      <c r="A59" s="3177">
        <v>10020115</v>
      </c>
      <c r="B59" s="941" t="s">
        <v>8986</v>
      </c>
      <c r="C59" s="514" t="s">
        <v>8945</v>
      </c>
      <c r="D59" s="514">
        <v>13</v>
      </c>
      <c r="E59" s="3178">
        <v>915432</v>
      </c>
      <c r="F59" s="3178">
        <f t="shared" si="0"/>
        <v>11900616</v>
      </c>
    </row>
    <row r="60" spans="1:6">
      <c r="A60" s="3179">
        <v>100203</v>
      </c>
      <c r="B60" s="3180" t="s">
        <v>8987</v>
      </c>
      <c r="C60" s="514"/>
      <c r="D60" s="514"/>
      <c r="E60" s="3178"/>
      <c r="F60" s="3178"/>
    </row>
    <row r="61" spans="1:6">
      <c r="A61" s="3177">
        <v>10020301</v>
      </c>
      <c r="B61" s="941" t="s">
        <v>8988</v>
      </c>
      <c r="C61" s="514" t="s">
        <v>8945</v>
      </c>
      <c r="D61" s="514">
        <v>565</v>
      </c>
      <c r="E61" s="3178">
        <v>48514</v>
      </c>
      <c r="F61" s="3178">
        <f t="shared" si="0"/>
        <v>27410410</v>
      </c>
    </row>
    <row r="62" spans="1:6">
      <c r="A62" s="3179" t="s">
        <v>9102</v>
      </c>
      <c r="B62" s="3180" t="s">
        <v>8989</v>
      </c>
      <c r="C62" s="514"/>
      <c r="D62" s="514"/>
      <c r="E62" s="3178"/>
      <c r="F62" s="3178"/>
    </row>
    <row r="63" spans="1:6">
      <c r="A63" s="3177" t="s">
        <v>9103</v>
      </c>
      <c r="B63" s="941" t="s">
        <v>8990</v>
      </c>
      <c r="C63" s="514" t="s">
        <v>8945</v>
      </c>
      <c r="D63" s="514">
        <v>1146</v>
      </c>
      <c r="E63" s="3178">
        <v>253146.55310366806</v>
      </c>
      <c r="F63" s="3178">
        <f t="shared" si="0"/>
        <v>290105949.8568036</v>
      </c>
    </row>
    <row r="64" spans="1:6" s="966" customFormat="1">
      <c r="A64" s="3173">
        <v>12</v>
      </c>
      <c r="B64" s="3174" t="s">
        <v>8949</v>
      </c>
      <c r="C64" s="3175"/>
      <c r="D64" s="3175"/>
      <c r="E64" s="3176"/>
      <c r="F64" s="3176"/>
    </row>
    <row r="65" spans="1:6">
      <c r="A65" s="3183">
        <v>120102</v>
      </c>
      <c r="B65" s="941" t="s">
        <v>8950</v>
      </c>
      <c r="C65" s="514"/>
      <c r="D65" s="514"/>
      <c r="E65" s="3178"/>
      <c r="F65" s="3178"/>
    </row>
    <row r="66" spans="1:6">
      <c r="A66" s="3184">
        <v>12010201</v>
      </c>
      <c r="B66" s="941" t="s">
        <v>8991</v>
      </c>
      <c r="C66" s="514" t="s">
        <v>3639</v>
      </c>
      <c r="D66" s="514">
        <v>748.32240000000002</v>
      </c>
      <c r="E66" s="3178">
        <v>607203.87687073718</v>
      </c>
      <c r="F66" s="3178">
        <f t="shared" si="0"/>
        <v>454384262.42921454</v>
      </c>
    </row>
    <row r="67" spans="1:6">
      <c r="A67" s="3179">
        <v>1202</v>
      </c>
      <c r="B67" s="941" t="s">
        <v>8992</v>
      </c>
      <c r="C67" s="514"/>
      <c r="D67" s="514"/>
      <c r="E67" s="3178"/>
      <c r="F67" s="3178"/>
    </row>
    <row r="68" spans="1:6">
      <c r="A68" s="3177">
        <v>120201</v>
      </c>
      <c r="B68" s="941" t="s">
        <v>8993</v>
      </c>
      <c r="C68" s="514" t="s">
        <v>4696</v>
      </c>
      <c r="D68" s="514">
        <v>2900</v>
      </c>
      <c r="E68" s="3178">
        <v>58892.240902800564</v>
      </c>
      <c r="F68" s="3178">
        <f t="shared" si="0"/>
        <v>170787498.61812162</v>
      </c>
    </row>
    <row r="69" spans="1:6">
      <c r="A69" s="3179">
        <v>1203</v>
      </c>
      <c r="B69" s="941" t="s">
        <v>8994</v>
      </c>
      <c r="C69" s="514"/>
      <c r="D69" s="514"/>
      <c r="E69" s="3178"/>
      <c r="F69" s="3178"/>
    </row>
    <row r="70" spans="1:6">
      <c r="A70" s="3177">
        <v>120301</v>
      </c>
      <c r="B70" s="941" t="s">
        <v>8995</v>
      </c>
      <c r="C70" s="514" t="s">
        <v>8932</v>
      </c>
      <c r="D70" s="514">
        <v>970</v>
      </c>
      <c r="E70" s="3178">
        <v>46687.484770175382</v>
      </c>
      <c r="F70" s="3178">
        <f t="shared" si="0"/>
        <v>45286860.227070123</v>
      </c>
    </row>
    <row r="71" spans="1:6">
      <c r="A71" s="3177">
        <v>120302</v>
      </c>
      <c r="B71" s="941" t="s">
        <v>8996</v>
      </c>
      <c r="C71" s="514" t="s">
        <v>8932</v>
      </c>
      <c r="D71" s="514">
        <v>970</v>
      </c>
      <c r="E71" s="3178">
        <v>33034.250887400281</v>
      </c>
      <c r="F71" s="3178">
        <f t="shared" ref="F71:F76" si="1">+D71*E71</f>
        <v>32043223.360778272</v>
      </c>
    </row>
    <row r="72" spans="1:6" s="966" customFormat="1">
      <c r="A72" s="3173">
        <v>13</v>
      </c>
      <c r="B72" s="3174" t="s">
        <v>8997</v>
      </c>
      <c r="C72" s="3175"/>
      <c r="D72" s="3175"/>
      <c r="E72" s="3176"/>
      <c r="F72" s="3176"/>
    </row>
    <row r="73" spans="1:6">
      <c r="A73" s="3179">
        <v>1301</v>
      </c>
      <c r="B73" s="3180" t="s">
        <v>8998</v>
      </c>
      <c r="C73" s="514"/>
      <c r="D73" s="514"/>
      <c r="E73" s="3178"/>
      <c r="F73" s="3178"/>
    </row>
    <row r="74" spans="1:6">
      <c r="A74" s="3177">
        <v>130103</v>
      </c>
      <c r="B74" s="941" t="s">
        <v>8999</v>
      </c>
      <c r="C74" s="514" t="s">
        <v>3639</v>
      </c>
      <c r="D74" s="514">
        <v>30</v>
      </c>
      <c r="E74" s="3178">
        <v>83627.53958331616</v>
      </c>
      <c r="F74" s="3178">
        <f t="shared" si="1"/>
        <v>2508826.187499485</v>
      </c>
    </row>
    <row r="75" spans="1:6">
      <c r="A75" s="3179">
        <v>1302</v>
      </c>
      <c r="B75" s="3180" t="s">
        <v>9000</v>
      </c>
      <c r="C75" s="514"/>
      <c r="D75" s="514"/>
      <c r="E75" s="3178"/>
      <c r="F75" s="3178"/>
    </row>
    <row r="76" spans="1:6">
      <c r="A76" s="3177">
        <v>130205</v>
      </c>
      <c r="B76" s="941" t="s">
        <v>9001</v>
      </c>
      <c r="C76" s="514" t="s">
        <v>3639</v>
      </c>
      <c r="D76" s="514">
        <v>30</v>
      </c>
      <c r="E76" s="3178">
        <v>389922.23787400278</v>
      </c>
      <c r="F76" s="3178">
        <f t="shared" si="1"/>
        <v>11697667.136220083</v>
      </c>
    </row>
    <row r="77" spans="1:6">
      <c r="A77" s="3185"/>
      <c r="B77" s="941"/>
      <c r="C77" s="514"/>
      <c r="D77" s="514"/>
      <c r="E77" s="3178"/>
      <c r="F77" s="3178"/>
    </row>
    <row r="78" spans="1:6" ht="16.8">
      <c r="A78" s="3384" t="s">
        <v>9104</v>
      </c>
      <c r="B78" s="3384"/>
      <c r="C78" s="3384"/>
      <c r="D78" s="3384"/>
      <c r="E78" s="3384"/>
      <c r="F78" s="3384"/>
    </row>
    <row r="79" spans="1:6">
      <c r="A79" s="3186"/>
      <c r="B79" s="941"/>
      <c r="C79" s="514"/>
      <c r="D79" s="514"/>
      <c r="E79" s="3178"/>
      <c r="F79" s="3178"/>
    </row>
    <row r="80" spans="1:6" s="966" customFormat="1">
      <c r="A80" s="3173">
        <v>2</v>
      </c>
      <c r="B80" s="3174" t="s">
        <v>8930</v>
      </c>
      <c r="C80" s="3175"/>
      <c r="D80" s="3175"/>
      <c r="E80" s="3176"/>
      <c r="F80" s="3176"/>
    </row>
    <row r="81" spans="1:6">
      <c r="A81" s="3177">
        <v>202</v>
      </c>
      <c r="B81" s="941" t="s">
        <v>9002</v>
      </c>
      <c r="C81" s="514" t="s">
        <v>4696</v>
      </c>
      <c r="D81" s="514">
        <v>1010</v>
      </c>
      <c r="E81" s="3178">
        <v>1064.6683258114872</v>
      </c>
      <c r="F81" s="3178">
        <f t="shared" ref="F81:F144" si="2">+D81*E81</f>
        <v>1075315.009069602</v>
      </c>
    </row>
    <row r="82" spans="1:6">
      <c r="A82" s="3177">
        <v>203</v>
      </c>
      <c r="B82" s="941" t="s">
        <v>9003</v>
      </c>
      <c r="C82" s="514" t="s">
        <v>4696</v>
      </c>
      <c r="D82" s="514">
        <v>1010</v>
      </c>
      <c r="E82" s="3178">
        <v>2650.8149636481544</v>
      </c>
      <c r="F82" s="3178">
        <f t="shared" si="2"/>
        <v>2677323.1132846358</v>
      </c>
    </row>
    <row r="83" spans="1:6" s="966" customFormat="1">
      <c r="A83" s="3173">
        <v>3</v>
      </c>
      <c r="B83" s="3174" t="s">
        <v>6197</v>
      </c>
      <c r="C83" s="3175"/>
      <c r="D83" s="3175"/>
      <c r="E83" s="3176"/>
      <c r="F83" s="3176"/>
    </row>
    <row r="84" spans="1:6">
      <c r="A84" s="3177">
        <v>304</v>
      </c>
      <c r="B84" s="941" t="s">
        <v>8953</v>
      </c>
      <c r="C84" s="514" t="s">
        <v>3639</v>
      </c>
      <c r="D84" s="514">
        <v>200</v>
      </c>
      <c r="E84" s="3178">
        <v>8574.4860101337617</v>
      </c>
      <c r="F84" s="3178">
        <f t="shared" si="2"/>
        <v>1714897.2020267523</v>
      </c>
    </row>
    <row r="85" spans="1:6">
      <c r="A85" s="3177">
        <v>306</v>
      </c>
      <c r="B85" s="941" t="s">
        <v>8955</v>
      </c>
      <c r="C85" s="514" t="s">
        <v>3639</v>
      </c>
      <c r="D85" s="514">
        <v>2676.9600000000005</v>
      </c>
      <c r="E85" s="3178">
        <v>16319.383212160516</v>
      </c>
      <c r="F85" s="3178">
        <f t="shared" si="2"/>
        <v>43686336.08362522</v>
      </c>
    </row>
    <row r="86" spans="1:6" s="966" customFormat="1">
      <c r="A86" s="3173">
        <v>6</v>
      </c>
      <c r="B86" s="3174" t="s">
        <v>8937</v>
      </c>
      <c r="C86" s="3175"/>
      <c r="D86" s="3175"/>
      <c r="E86" s="3176"/>
      <c r="F86" s="3176"/>
    </row>
    <row r="87" spans="1:6" ht="26.4">
      <c r="A87" s="3177">
        <v>601</v>
      </c>
      <c r="B87" s="941" t="s">
        <v>8959</v>
      </c>
      <c r="C87" s="514" t="s">
        <v>8960</v>
      </c>
      <c r="D87" s="514">
        <v>28769.599999999999</v>
      </c>
      <c r="E87" s="3178">
        <v>1250</v>
      </c>
      <c r="F87" s="3178">
        <f t="shared" si="2"/>
        <v>35962000</v>
      </c>
    </row>
    <row r="88" spans="1:6" s="966" customFormat="1">
      <c r="A88" s="3173">
        <v>7</v>
      </c>
      <c r="B88" s="3174" t="s">
        <v>8938</v>
      </c>
      <c r="C88" s="3175"/>
      <c r="D88" s="3175"/>
      <c r="E88" s="3176"/>
      <c r="F88" s="3176"/>
    </row>
    <row r="89" spans="1:6">
      <c r="A89" s="3177">
        <v>702</v>
      </c>
      <c r="B89" s="941" t="s">
        <v>8962</v>
      </c>
      <c r="C89" s="514" t="s">
        <v>3639</v>
      </c>
      <c r="D89" s="514">
        <v>1350</v>
      </c>
      <c r="E89" s="3178">
        <v>59276.380304012884</v>
      </c>
      <c r="F89" s="3178">
        <f t="shared" si="2"/>
        <v>80023113.410417393</v>
      </c>
    </row>
    <row r="90" spans="1:6">
      <c r="A90" s="3177">
        <v>708</v>
      </c>
      <c r="B90" s="941" t="s">
        <v>9004</v>
      </c>
      <c r="C90" s="514" t="s">
        <v>3639</v>
      </c>
      <c r="D90" s="514">
        <v>85</v>
      </c>
      <c r="E90" s="3178">
        <v>130530.5642432103</v>
      </c>
      <c r="F90" s="3178">
        <f t="shared" si="2"/>
        <v>11095097.960672876</v>
      </c>
    </row>
    <row r="91" spans="1:6" s="966" customFormat="1">
      <c r="A91" s="3173">
        <v>12</v>
      </c>
      <c r="B91" s="3174" t="s">
        <v>8949</v>
      </c>
      <c r="C91" s="3175"/>
      <c r="D91" s="3175"/>
      <c r="E91" s="3176"/>
      <c r="F91" s="3176"/>
    </row>
    <row r="92" spans="1:6">
      <c r="A92" s="3179">
        <v>1202</v>
      </c>
      <c r="B92" s="3180" t="s">
        <v>8992</v>
      </c>
      <c r="C92" s="514"/>
      <c r="D92" s="514"/>
      <c r="E92" s="3178"/>
      <c r="F92" s="3178"/>
    </row>
    <row r="93" spans="1:6">
      <c r="A93" s="3177">
        <v>120201</v>
      </c>
      <c r="B93" s="941" t="s">
        <v>8993</v>
      </c>
      <c r="C93" s="514" t="s">
        <v>4696</v>
      </c>
      <c r="D93" s="514">
        <v>240</v>
      </c>
      <c r="E93" s="3178">
        <v>58892.240902800564</v>
      </c>
      <c r="F93" s="3178">
        <f t="shared" si="2"/>
        <v>14134137.816672135</v>
      </c>
    </row>
    <row r="94" spans="1:6">
      <c r="A94" s="3179">
        <v>1203</v>
      </c>
      <c r="B94" s="3180" t="s">
        <v>8994</v>
      </c>
      <c r="C94" s="514"/>
      <c r="D94" s="514"/>
      <c r="E94" s="3178"/>
      <c r="F94" s="3178"/>
    </row>
    <row r="95" spans="1:6">
      <c r="A95" s="3177">
        <v>120301</v>
      </c>
      <c r="B95" s="941" t="s">
        <v>8995</v>
      </c>
      <c r="C95" s="514" t="s">
        <v>8932</v>
      </c>
      <c r="D95" s="514">
        <v>140</v>
      </c>
      <c r="E95" s="3178">
        <v>46687.484770175382</v>
      </c>
      <c r="F95" s="3178">
        <f t="shared" si="2"/>
        <v>6536247.8678245535</v>
      </c>
    </row>
    <row r="96" spans="1:6">
      <c r="A96" s="3179">
        <v>1204</v>
      </c>
      <c r="B96" s="3180" t="s">
        <v>9005</v>
      </c>
      <c r="C96" s="514"/>
      <c r="D96" s="514"/>
      <c r="E96" s="3178"/>
      <c r="F96" s="3178"/>
    </row>
    <row r="97" spans="1:6">
      <c r="A97" s="3177">
        <v>120401</v>
      </c>
      <c r="B97" s="941" t="s">
        <v>9006</v>
      </c>
      <c r="C97" s="514" t="s">
        <v>4696</v>
      </c>
      <c r="D97" s="514">
        <v>170</v>
      </c>
      <c r="E97" s="3178">
        <v>55441.707287400277</v>
      </c>
      <c r="F97" s="3178">
        <f t="shared" si="2"/>
        <v>9425090.2388580479</v>
      </c>
    </row>
    <row r="98" spans="1:6">
      <c r="A98" s="3179">
        <v>1205</v>
      </c>
      <c r="B98" s="3180" t="s">
        <v>9007</v>
      </c>
      <c r="C98" s="514"/>
      <c r="D98" s="514"/>
      <c r="E98" s="3178"/>
      <c r="F98" s="3178"/>
    </row>
    <row r="99" spans="1:6">
      <c r="A99" s="3177">
        <v>120501</v>
      </c>
      <c r="B99" s="941" t="s">
        <v>9008</v>
      </c>
      <c r="C99" s="514" t="s">
        <v>4696</v>
      </c>
      <c r="D99" s="514">
        <v>500</v>
      </c>
      <c r="E99" s="3178">
        <v>11429.383212160516</v>
      </c>
      <c r="F99" s="3178">
        <f t="shared" si="2"/>
        <v>5714691.6060802573</v>
      </c>
    </row>
    <row r="100" spans="1:6">
      <c r="A100" s="3177">
        <v>120502</v>
      </c>
      <c r="B100" s="941" t="s">
        <v>9009</v>
      </c>
      <c r="C100" s="514" t="s">
        <v>8945</v>
      </c>
      <c r="D100" s="514">
        <v>5</v>
      </c>
      <c r="E100" s="3178">
        <v>11348.766424321031</v>
      </c>
      <c r="F100" s="3178">
        <f t="shared" si="2"/>
        <v>56743.832121605155</v>
      </c>
    </row>
    <row r="101" spans="1:6" s="966" customFormat="1">
      <c r="A101" s="3173">
        <v>13</v>
      </c>
      <c r="B101" s="3174" t="s">
        <v>8997</v>
      </c>
      <c r="C101" s="3175"/>
      <c r="D101" s="3175"/>
      <c r="E101" s="3176"/>
      <c r="F101" s="3176"/>
    </row>
    <row r="102" spans="1:6">
      <c r="A102" s="3179">
        <v>1302</v>
      </c>
      <c r="B102" s="3180" t="s">
        <v>9000</v>
      </c>
      <c r="C102" s="514"/>
      <c r="D102" s="514"/>
      <c r="E102" s="3178"/>
      <c r="F102" s="3178"/>
    </row>
    <row r="103" spans="1:6">
      <c r="A103" s="3192">
        <v>20</v>
      </c>
      <c r="B103" s="3180" t="s">
        <v>9010</v>
      </c>
      <c r="C103" s="514"/>
      <c r="D103" s="514"/>
      <c r="E103" s="3178"/>
      <c r="F103" s="3178"/>
    </row>
    <row r="104" spans="1:6">
      <c r="A104" s="3179"/>
      <c r="B104" s="3180" t="s">
        <v>9011</v>
      </c>
      <c r="C104" s="514"/>
      <c r="D104" s="514"/>
      <c r="E104" s="3178"/>
      <c r="F104" s="3178"/>
    </row>
    <row r="105" spans="1:6">
      <c r="A105" s="3177">
        <v>130201</v>
      </c>
      <c r="B105" s="941" t="s">
        <v>9012</v>
      </c>
      <c r="C105" s="514" t="s">
        <v>3639</v>
      </c>
      <c r="D105" s="514">
        <v>10</v>
      </c>
      <c r="E105" s="3178">
        <v>379642.74074800557</v>
      </c>
      <c r="F105" s="3178">
        <f t="shared" si="2"/>
        <v>3796427.4074800555</v>
      </c>
    </row>
    <row r="106" spans="1:6" ht="26.4">
      <c r="A106" s="3193">
        <v>200101</v>
      </c>
      <c r="B106" s="941" t="s">
        <v>9013</v>
      </c>
      <c r="C106" s="514" t="s">
        <v>3639</v>
      </c>
      <c r="D106" s="514">
        <v>89.4</v>
      </c>
      <c r="E106" s="3178">
        <v>599888.06454994844</v>
      </c>
      <c r="F106" s="3178">
        <f t="shared" si="2"/>
        <v>53629992.970765397</v>
      </c>
    </row>
    <row r="107" spans="1:6" ht="26.4">
      <c r="A107" s="3193">
        <v>200102</v>
      </c>
      <c r="B107" s="941" t="s">
        <v>9014</v>
      </c>
      <c r="C107" s="514" t="s">
        <v>3639</v>
      </c>
      <c r="D107" s="514">
        <v>221.79999999999998</v>
      </c>
      <c r="E107" s="3178">
        <v>695103.26837647497</v>
      </c>
      <c r="F107" s="3178">
        <f t="shared" si="2"/>
        <v>154173904.92590213</v>
      </c>
    </row>
    <row r="108" spans="1:6" ht="26.4">
      <c r="A108" s="3193">
        <v>200103</v>
      </c>
      <c r="B108" s="941" t="s">
        <v>9015</v>
      </c>
      <c r="C108" s="514" t="s">
        <v>3639</v>
      </c>
      <c r="D108" s="514">
        <v>22.5</v>
      </c>
      <c r="E108" s="3178">
        <v>686755.47947337048</v>
      </c>
      <c r="F108" s="3178">
        <f t="shared" si="2"/>
        <v>15451998.288150836</v>
      </c>
    </row>
    <row r="109" spans="1:6" ht="26.4">
      <c r="A109" s="3193">
        <v>200104</v>
      </c>
      <c r="B109" s="941" t="s">
        <v>9016</v>
      </c>
      <c r="C109" s="514" t="s">
        <v>3639</v>
      </c>
      <c r="D109" s="514">
        <v>73.599999999999994</v>
      </c>
      <c r="E109" s="3178">
        <v>572594.23242834327</v>
      </c>
      <c r="F109" s="3178">
        <f t="shared" si="2"/>
        <v>42142935.506726064</v>
      </c>
    </row>
    <row r="110" spans="1:6">
      <c r="A110" s="3177">
        <v>200108</v>
      </c>
      <c r="B110" s="941" t="s">
        <v>9017</v>
      </c>
      <c r="C110" s="514" t="s">
        <v>3639</v>
      </c>
      <c r="D110" s="514">
        <v>2.9</v>
      </c>
      <c r="E110" s="3178">
        <v>621364.97913326463</v>
      </c>
      <c r="F110" s="3178">
        <f t="shared" si="2"/>
        <v>1801958.4394864673</v>
      </c>
    </row>
    <row r="111" spans="1:6">
      <c r="A111" s="3179"/>
      <c r="B111" s="3180" t="s">
        <v>9018</v>
      </c>
      <c r="C111" s="514"/>
      <c r="D111" s="514"/>
      <c r="E111" s="3178"/>
      <c r="F111" s="3178"/>
    </row>
    <row r="112" spans="1:6" ht="26.4">
      <c r="A112" s="3193">
        <v>200104</v>
      </c>
      <c r="B112" s="941" t="s">
        <v>9016</v>
      </c>
      <c r="C112" s="514" t="s">
        <v>3639</v>
      </c>
      <c r="D112" s="514">
        <v>43</v>
      </c>
      <c r="E112" s="3178">
        <v>572594.23242834327</v>
      </c>
      <c r="F112" s="3178">
        <f t="shared" si="2"/>
        <v>24621551.994418759</v>
      </c>
    </row>
    <row r="113" spans="1:6">
      <c r="A113" s="3193">
        <v>200105</v>
      </c>
      <c r="B113" s="941" t="s">
        <v>9019</v>
      </c>
      <c r="C113" s="514" t="s">
        <v>3639</v>
      </c>
      <c r="D113" s="514">
        <v>2.7</v>
      </c>
      <c r="E113" s="3178">
        <v>733572.4289845007</v>
      </c>
      <c r="F113" s="3178">
        <f t="shared" si="2"/>
        <v>1980645.5582581521</v>
      </c>
    </row>
    <row r="114" spans="1:6">
      <c r="A114" s="3193">
        <v>200106</v>
      </c>
      <c r="B114" s="941" t="s">
        <v>9020</v>
      </c>
      <c r="C114" s="514" t="s">
        <v>3639</v>
      </c>
      <c r="D114" s="514">
        <v>8.1</v>
      </c>
      <c r="E114" s="3178">
        <v>706797.10049808002</v>
      </c>
      <c r="F114" s="3178">
        <f t="shared" si="2"/>
        <v>5725056.5140344482</v>
      </c>
    </row>
    <row r="115" spans="1:6">
      <c r="A115" s="3193">
        <v>200107</v>
      </c>
      <c r="B115" s="941" t="s">
        <v>9021</v>
      </c>
      <c r="C115" s="514" t="s">
        <v>3639</v>
      </c>
      <c r="D115" s="514">
        <v>7.9</v>
      </c>
      <c r="E115" s="3178">
        <v>581288.06454994844</v>
      </c>
      <c r="F115" s="3178">
        <f t="shared" si="2"/>
        <v>4592175.7099445928</v>
      </c>
    </row>
    <row r="116" spans="1:6">
      <c r="A116" s="3177">
        <v>140105</v>
      </c>
      <c r="B116" s="941" t="s">
        <v>9022</v>
      </c>
      <c r="C116" s="514" t="s">
        <v>8932</v>
      </c>
      <c r="D116" s="514">
        <v>100</v>
      </c>
      <c r="E116" s="3178">
        <v>32681.066666666666</v>
      </c>
      <c r="F116" s="3178">
        <f t="shared" si="2"/>
        <v>3268106.6666666665</v>
      </c>
    </row>
    <row r="117" spans="1:6">
      <c r="A117" s="3177"/>
      <c r="B117" s="3180" t="s">
        <v>9023</v>
      </c>
      <c r="C117" s="514"/>
      <c r="D117" s="514"/>
      <c r="E117" s="3178"/>
      <c r="F117" s="3178"/>
    </row>
    <row r="118" spans="1:6" ht="26.4">
      <c r="A118" s="3193">
        <v>200104</v>
      </c>
      <c r="B118" s="941" t="s">
        <v>9016</v>
      </c>
      <c r="C118" s="514" t="s">
        <v>3639</v>
      </c>
      <c r="D118" s="514">
        <v>8.41</v>
      </c>
      <c r="E118" s="3178">
        <v>572594.23242834327</v>
      </c>
      <c r="F118" s="3178">
        <f t="shared" si="2"/>
        <v>4815517.4947223673</v>
      </c>
    </row>
    <row r="119" spans="1:6" s="966" customFormat="1">
      <c r="A119" s="3173">
        <v>1402</v>
      </c>
      <c r="B119" s="3174" t="s">
        <v>5088</v>
      </c>
      <c r="C119" s="3175"/>
      <c r="D119" s="3175"/>
      <c r="E119" s="3176"/>
      <c r="F119" s="3176"/>
    </row>
    <row r="120" spans="1:6">
      <c r="A120" s="3177">
        <v>140201</v>
      </c>
      <c r="B120" s="941" t="s">
        <v>9024</v>
      </c>
      <c r="C120" s="514" t="s">
        <v>426</v>
      </c>
      <c r="D120" s="514">
        <v>54650</v>
      </c>
      <c r="E120" s="3178">
        <v>4085.0748182407729</v>
      </c>
      <c r="F120" s="3178">
        <f t="shared" si="2"/>
        <v>223249338.81685823</v>
      </c>
    </row>
    <row r="121" spans="1:6" s="966" customFormat="1">
      <c r="A121" s="3173">
        <v>15</v>
      </c>
      <c r="B121" s="3174" t="s">
        <v>9025</v>
      </c>
      <c r="C121" s="3175"/>
      <c r="D121" s="3175"/>
      <c r="E121" s="3176"/>
      <c r="F121" s="3176"/>
    </row>
    <row r="122" spans="1:6">
      <c r="A122" s="3179">
        <v>1501</v>
      </c>
      <c r="B122" s="3180" t="s">
        <v>9026</v>
      </c>
      <c r="C122" s="514"/>
      <c r="D122" s="514"/>
      <c r="E122" s="3178"/>
      <c r="F122" s="3178"/>
    </row>
    <row r="123" spans="1:6">
      <c r="A123" s="3179">
        <v>150101</v>
      </c>
      <c r="B123" s="3180" t="s">
        <v>9027</v>
      </c>
      <c r="C123" s="514"/>
      <c r="D123" s="514"/>
      <c r="E123" s="3178"/>
      <c r="F123" s="3178"/>
    </row>
    <row r="124" spans="1:6">
      <c r="A124" s="3177">
        <v>15010102</v>
      </c>
      <c r="B124" s="941" t="s">
        <v>9028</v>
      </c>
      <c r="C124" s="514" t="s">
        <v>8945</v>
      </c>
      <c r="D124" s="514">
        <v>1</v>
      </c>
      <c r="E124" s="3178">
        <v>16174058.12077477</v>
      </c>
      <c r="F124" s="3178">
        <f t="shared" si="2"/>
        <v>16174058.12077477</v>
      </c>
    </row>
    <row r="125" spans="1:6">
      <c r="A125" s="3179">
        <v>1502</v>
      </c>
      <c r="B125" s="3180" t="s">
        <v>9029</v>
      </c>
      <c r="C125" s="514"/>
      <c r="D125" s="514"/>
      <c r="E125" s="3178"/>
      <c r="F125" s="3178"/>
    </row>
    <row r="126" spans="1:6">
      <c r="A126" s="3179">
        <v>150201</v>
      </c>
      <c r="B126" s="3180" t="s">
        <v>9030</v>
      </c>
      <c r="C126" s="514"/>
      <c r="D126" s="514"/>
      <c r="E126" s="3178"/>
      <c r="F126" s="3178"/>
    </row>
    <row r="127" spans="1:6">
      <c r="A127" s="3177">
        <v>15020102</v>
      </c>
      <c r="B127" s="941" t="s">
        <v>9031</v>
      </c>
      <c r="C127" s="514" t="s">
        <v>8945</v>
      </c>
      <c r="D127" s="514">
        <v>1</v>
      </c>
      <c r="E127" s="3178">
        <v>62788181.318519086</v>
      </c>
      <c r="F127" s="3178">
        <f t="shared" si="2"/>
        <v>62788181.318519086</v>
      </c>
    </row>
    <row r="128" spans="1:6" s="966" customFormat="1">
      <c r="A128" s="3173">
        <v>15</v>
      </c>
      <c r="B128" s="3174" t="s">
        <v>9025</v>
      </c>
      <c r="C128" s="3175"/>
      <c r="D128" s="3175"/>
      <c r="E128" s="3176"/>
      <c r="F128" s="3176"/>
    </row>
    <row r="129" spans="1:6">
      <c r="A129" s="3179">
        <v>1501</v>
      </c>
      <c r="B129" s="3180" t="s">
        <v>9026</v>
      </c>
      <c r="C129" s="514"/>
      <c r="D129" s="514"/>
      <c r="E129" s="3178"/>
      <c r="F129" s="3178"/>
    </row>
    <row r="130" spans="1:6">
      <c r="A130" s="3179">
        <v>150102</v>
      </c>
      <c r="B130" s="3180" t="s">
        <v>9032</v>
      </c>
      <c r="C130" s="514"/>
      <c r="D130" s="514"/>
      <c r="E130" s="3178"/>
      <c r="F130" s="3178"/>
    </row>
    <row r="131" spans="1:6">
      <c r="A131" s="3179">
        <v>15010201</v>
      </c>
      <c r="B131" s="3180" t="s">
        <v>9033</v>
      </c>
      <c r="C131" s="514"/>
      <c r="D131" s="514"/>
      <c r="E131" s="3178"/>
      <c r="F131" s="3178"/>
    </row>
    <row r="132" spans="1:6">
      <c r="A132" s="3177">
        <v>1501020101</v>
      </c>
      <c r="B132" s="941" t="s">
        <v>9034</v>
      </c>
      <c r="C132" s="514" t="s">
        <v>8945</v>
      </c>
      <c r="D132" s="514">
        <v>2</v>
      </c>
      <c r="E132" s="3178">
        <v>34360000</v>
      </c>
      <c r="F132" s="3178">
        <f t="shared" si="2"/>
        <v>68720000</v>
      </c>
    </row>
    <row r="133" spans="1:6">
      <c r="A133" s="3179">
        <v>15010206</v>
      </c>
      <c r="B133" s="3180" t="s">
        <v>9035</v>
      </c>
      <c r="C133" s="514"/>
      <c r="D133" s="514"/>
      <c r="E133" s="3178"/>
      <c r="F133" s="3178"/>
    </row>
    <row r="134" spans="1:6">
      <c r="A134" s="3177">
        <v>1501020602</v>
      </c>
      <c r="B134" s="941" t="s">
        <v>9036</v>
      </c>
      <c r="C134" s="514" t="s">
        <v>8945</v>
      </c>
      <c r="D134" s="514">
        <v>3</v>
      </c>
      <c r="E134" s="3178">
        <v>3082816.0000000005</v>
      </c>
      <c r="F134" s="3178">
        <f t="shared" si="2"/>
        <v>9248448.0000000019</v>
      </c>
    </row>
    <row r="135" spans="1:6">
      <c r="A135" s="3177">
        <v>1501020614</v>
      </c>
      <c r="B135" s="941" t="s">
        <v>9037</v>
      </c>
      <c r="C135" s="514" t="s">
        <v>8945</v>
      </c>
      <c r="D135" s="514">
        <v>2</v>
      </c>
      <c r="E135" s="3178">
        <v>1915276</v>
      </c>
      <c r="F135" s="3178">
        <f t="shared" si="2"/>
        <v>3830552</v>
      </c>
    </row>
    <row r="136" spans="1:6">
      <c r="A136" s="3177">
        <v>1501020615</v>
      </c>
      <c r="B136" s="941" t="s">
        <v>9038</v>
      </c>
      <c r="C136" s="514" t="s">
        <v>8945</v>
      </c>
      <c r="D136" s="514">
        <v>2</v>
      </c>
      <c r="E136" s="3178">
        <v>2319768</v>
      </c>
      <c r="F136" s="3178">
        <f t="shared" si="2"/>
        <v>4639536</v>
      </c>
    </row>
    <row r="137" spans="1:6">
      <c r="A137" s="3177">
        <v>1501020616</v>
      </c>
      <c r="B137" s="941" t="s">
        <v>9039</v>
      </c>
      <c r="C137" s="514" t="s">
        <v>8945</v>
      </c>
      <c r="D137" s="514">
        <v>2</v>
      </c>
      <c r="E137" s="3178">
        <v>206712.00000000003</v>
      </c>
      <c r="F137" s="3178">
        <f t="shared" si="2"/>
        <v>413424.00000000006</v>
      </c>
    </row>
    <row r="138" spans="1:6">
      <c r="A138" s="3177">
        <v>1501020617</v>
      </c>
      <c r="B138" s="941" t="s">
        <v>9040</v>
      </c>
      <c r="C138" s="514" t="s">
        <v>8945</v>
      </c>
      <c r="D138" s="514">
        <v>2</v>
      </c>
      <c r="E138" s="3178">
        <v>2181960</v>
      </c>
      <c r="F138" s="3178">
        <f t="shared" si="2"/>
        <v>4363920</v>
      </c>
    </row>
    <row r="139" spans="1:6">
      <c r="A139" s="3177">
        <v>1501020618</v>
      </c>
      <c r="B139" s="941" t="s">
        <v>9041</v>
      </c>
      <c r="C139" s="514" t="s">
        <v>8945</v>
      </c>
      <c r="D139" s="514">
        <v>2</v>
      </c>
      <c r="E139" s="3178">
        <v>649484</v>
      </c>
      <c r="F139" s="3178">
        <f t="shared" si="2"/>
        <v>1298968</v>
      </c>
    </row>
    <row r="140" spans="1:6">
      <c r="A140" s="3177">
        <v>1501020619</v>
      </c>
      <c r="B140" s="941" t="s">
        <v>9042</v>
      </c>
      <c r="C140" s="514" t="s">
        <v>8945</v>
      </c>
      <c r="D140" s="514">
        <v>2</v>
      </c>
      <c r="E140" s="3178">
        <v>1191784</v>
      </c>
      <c r="F140" s="3178">
        <f t="shared" si="2"/>
        <v>2383568</v>
      </c>
    </row>
    <row r="141" spans="1:6">
      <c r="A141" s="3177">
        <v>1501020620</v>
      </c>
      <c r="B141" s="941" t="s">
        <v>9043</v>
      </c>
      <c r="C141" s="514" t="s">
        <v>8945</v>
      </c>
      <c r="D141" s="514">
        <v>2</v>
      </c>
      <c r="E141" s="3178">
        <v>366594.80000000005</v>
      </c>
      <c r="F141" s="3178">
        <f t="shared" si="2"/>
        <v>733189.60000000009</v>
      </c>
    </row>
    <row r="142" spans="1:6">
      <c r="A142" s="3177">
        <v>1501020621</v>
      </c>
      <c r="B142" s="941" t="s">
        <v>9044</v>
      </c>
      <c r="C142" s="514" t="s">
        <v>8945</v>
      </c>
      <c r="D142" s="514">
        <v>2</v>
      </c>
      <c r="E142" s="3178">
        <v>546128</v>
      </c>
      <c r="F142" s="3178">
        <f t="shared" si="2"/>
        <v>1092256</v>
      </c>
    </row>
    <row r="143" spans="1:6">
      <c r="A143" s="3177">
        <v>1501020622</v>
      </c>
      <c r="B143" s="941" t="s">
        <v>9045</v>
      </c>
      <c r="C143" s="514" t="s">
        <v>8945</v>
      </c>
      <c r="D143" s="514">
        <v>1</v>
      </c>
      <c r="E143" s="3178">
        <v>10237188</v>
      </c>
      <c r="F143" s="3178">
        <f t="shared" si="2"/>
        <v>10237188</v>
      </c>
    </row>
    <row r="144" spans="1:6">
      <c r="A144" s="3177">
        <v>1501020623</v>
      </c>
      <c r="B144" s="941" t="s">
        <v>9046</v>
      </c>
      <c r="C144" s="514" t="s">
        <v>8945</v>
      </c>
      <c r="D144" s="514">
        <v>2</v>
      </c>
      <c r="E144" s="3178">
        <v>630726.80000000005</v>
      </c>
      <c r="F144" s="3178">
        <f t="shared" si="2"/>
        <v>1261453.6000000001</v>
      </c>
    </row>
    <row r="145" spans="1:6">
      <c r="A145" s="3177">
        <v>1501020624</v>
      </c>
      <c r="B145" s="941" t="s">
        <v>9047</v>
      </c>
      <c r="C145" s="514" t="s">
        <v>8945</v>
      </c>
      <c r="D145" s="514">
        <v>2</v>
      </c>
      <c r="E145" s="3178">
        <v>1207096</v>
      </c>
      <c r="F145" s="3178">
        <f t="shared" ref="F145:F185" si="3">+D145*E145</f>
        <v>2414192</v>
      </c>
    </row>
    <row r="146" spans="1:6">
      <c r="A146" s="3177">
        <v>1501020625</v>
      </c>
      <c r="B146" s="941" t="s">
        <v>9048</v>
      </c>
      <c r="C146" s="514" t="s">
        <v>8945</v>
      </c>
      <c r="D146" s="514">
        <v>1</v>
      </c>
      <c r="E146" s="3178">
        <v>2487960</v>
      </c>
      <c r="F146" s="3178">
        <f t="shared" si="3"/>
        <v>2487960</v>
      </c>
    </row>
    <row r="147" spans="1:6">
      <c r="A147" s="3179">
        <v>15010204</v>
      </c>
      <c r="B147" s="3180" t="s">
        <v>9049</v>
      </c>
      <c r="C147" s="514"/>
      <c r="D147" s="514"/>
      <c r="E147" s="3178"/>
      <c r="F147" s="3178"/>
    </row>
    <row r="148" spans="1:6">
      <c r="A148" s="3177">
        <v>1501020401</v>
      </c>
      <c r="B148" s="941" t="s">
        <v>9050</v>
      </c>
      <c r="C148" s="514" t="s">
        <v>8945</v>
      </c>
      <c r="D148" s="514">
        <v>1</v>
      </c>
      <c r="E148" s="3178">
        <v>1157100</v>
      </c>
      <c r="F148" s="3178">
        <f t="shared" si="3"/>
        <v>1157100</v>
      </c>
    </row>
    <row r="149" spans="1:6">
      <c r="A149" s="3179">
        <v>1502</v>
      </c>
      <c r="B149" s="3180" t="s">
        <v>9029</v>
      </c>
      <c r="C149" s="514"/>
      <c r="D149" s="514"/>
      <c r="E149" s="3178"/>
      <c r="F149" s="3178"/>
    </row>
    <row r="150" spans="1:6">
      <c r="A150" s="3179">
        <v>15020201</v>
      </c>
      <c r="B150" s="3180" t="s">
        <v>9051</v>
      </c>
      <c r="C150" s="514"/>
      <c r="D150" s="514"/>
      <c r="E150" s="3178"/>
      <c r="F150" s="3178"/>
    </row>
    <row r="151" spans="1:6">
      <c r="A151" s="3177">
        <v>1502020101</v>
      </c>
      <c r="B151" s="941" t="s">
        <v>9052</v>
      </c>
      <c r="C151" s="514" t="s">
        <v>8945</v>
      </c>
      <c r="D151" s="514">
        <v>1</v>
      </c>
      <c r="E151" s="3178">
        <v>20179485</v>
      </c>
      <c r="F151" s="3178">
        <f t="shared" si="3"/>
        <v>20179485</v>
      </c>
    </row>
    <row r="152" spans="1:6">
      <c r="A152" s="3179">
        <v>15020202</v>
      </c>
      <c r="B152" s="3180" t="s">
        <v>9053</v>
      </c>
      <c r="C152" s="514"/>
      <c r="D152" s="514"/>
      <c r="E152" s="3178"/>
      <c r="F152" s="3178"/>
    </row>
    <row r="153" spans="1:6">
      <c r="A153" s="3177">
        <v>1502020201</v>
      </c>
      <c r="B153" s="941" t="s">
        <v>9054</v>
      </c>
      <c r="C153" s="514" t="s">
        <v>8945</v>
      </c>
      <c r="D153" s="514">
        <v>1</v>
      </c>
      <c r="E153" s="3178">
        <v>31319999.999999996</v>
      </c>
      <c r="F153" s="3178">
        <f t="shared" si="3"/>
        <v>31319999.999999996</v>
      </c>
    </row>
    <row r="154" spans="1:6">
      <c r="A154" s="3179">
        <v>15020203</v>
      </c>
      <c r="B154" s="3180" t="s">
        <v>9055</v>
      </c>
      <c r="C154" s="514"/>
      <c r="D154" s="514"/>
      <c r="E154" s="3178"/>
      <c r="F154" s="3178"/>
    </row>
    <row r="155" spans="1:6">
      <c r="A155" s="3177">
        <v>1502020301</v>
      </c>
      <c r="B155" s="941" t="s">
        <v>9056</v>
      </c>
      <c r="C155" s="514" t="s">
        <v>8945</v>
      </c>
      <c r="D155" s="514">
        <v>1</v>
      </c>
      <c r="E155" s="3178">
        <v>4300120</v>
      </c>
      <c r="F155" s="3178">
        <f t="shared" si="3"/>
        <v>4300120</v>
      </c>
    </row>
    <row r="156" spans="1:6">
      <c r="A156" s="3177">
        <v>1502020302</v>
      </c>
      <c r="B156" s="941" t="s">
        <v>9057</v>
      </c>
      <c r="C156" s="514" t="s">
        <v>8945</v>
      </c>
      <c r="D156" s="514">
        <v>1</v>
      </c>
      <c r="E156" s="3178">
        <v>26127840</v>
      </c>
      <c r="F156" s="3178">
        <f t="shared" si="3"/>
        <v>26127840</v>
      </c>
    </row>
    <row r="157" spans="1:6">
      <c r="A157" s="3179">
        <v>15020204</v>
      </c>
      <c r="B157" s="3180" t="s">
        <v>9058</v>
      </c>
      <c r="C157" s="514"/>
      <c r="D157" s="514"/>
      <c r="E157" s="3178"/>
      <c r="F157" s="3178"/>
    </row>
    <row r="158" spans="1:6">
      <c r="A158" s="3177">
        <v>1502020401</v>
      </c>
      <c r="B158" s="941" t="s">
        <v>9059</v>
      </c>
      <c r="C158" s="514" t="s">
        <v>8945</v>
      </c>
      <c r="D158" s="514">
        <v>1</v>
      </c>
      <c r="E158" s="3178">
        <v>14499999.999999998</v>
      </c>
      <c r="F158" s="3178">
        <f t="shared" si="3"/>
        <v>14499999.999999998</v>
      </c>
    </row>
    <row r="159" spans="1:6">
      <c r="A159" s="3177">
        <v>1502020403</v>
      </c>
      <c r="B159" s="941" t="s">
        <v>9060</v>
      </c>
      <c r="C159" s="514" t="s">
        <v>8945</v>
      </c>
      <c r="D159" s="514">
        <v>1</v>
      </c>
      <c r="E159" s="3178">
        <v>22040000</v>
      </c>
      <c r="F159" s="3178">
        <f t="shared" si="3"/>
        <v>22040000</v>
      </c>
    </row>
    <row r="160" spans="1:6" ht="26.4">
      <c r="A160" s="3177">
        <v>1502020405</v>
      </c>
      <c r="B160" s="941" t="s">
        <v>9061</v>
      </c>
      <c r="C160" s="514" t="s">
        <v>8945</v>
      </c>
      <c r="D160" s="514">
        <v>1</v>
      </c>
      <c r="E160" s="3178">
        <v>17748000</v>
      </c>
      <c r="F160" s="3178">
        <f t="shared" si="3"/>
        <v>17748000</v>
      </c>
    </row>
    <row r="161" spans="1:6">
      <c r="A161" s="3177">
        <v>1502020406</v>
      </c>
      <c r="B161" s="941" t="s">
        <v>9062</v>
      </c>
      <c r="C161" s="514" t="s">
        <v>8945</v>
      </c>
      <c r="D161" s="514">
        <v>1</v>
      </c>
      <c r="E161" s="3178">
        <v>6728000</v>
      </c>
      <c r="F161" s="3178">
        <f t="shared" si="3"/>
        <v>6728000</v>
      </c>
    </row>
    <row r="162" spans="1:6">
      <c r="A162" s="3177">
        <v>1502020407</v>
      </c>
      <c r="B162" s="941" t="s">
        <v>9063</v>
      </c>
      <c r="C162" s="514" t="s">
        <v>8945</v>
      </c>
      <c r="D162" s="514">
        <v>1</v>
      </c>
      <c r="E162" s="3178">
        <v>8700000</v>
      </c>
      <c r="F162" s="3178">
        <f t="shared" si="3"/>
        <v>8700000</v>
      </c>
    </row>
    <row r="163" spans="1:6" s="966" customFormat="1">
      <c r="A163" s="3173">
        <v>18</v>
      </c>
      <c r="B163" s="3174" t="s">
        <v>9064</v>
      </c>
      <c r="C163" s="3175"/>
      <c r="D163" s="3175"/>
      <c r="E163" s="3176"/>
      <c r="F163" s="3176"/>
    </row>
    <row r="164" spans="1:6">
      <c r="A164" s="3179">
        <v>1801</v>
      </c>
      <c r="B164" s="3180" t="s">
        <v>9065</v>
      </c>
      <c r="C164" s="514"/>
      <c r="D164" s="514"/>
      <c r="E164" s="3178"/>
      <c r="F164" s="3178"/>
    </row>
    <row r="165" spans="1:6">
      <c r="A165" s="3177">
        <v>180108</v>
      </c>
      <c r="B165" s="941" t="s">
        <v>9066</v>
      </c>
      <c r="C165" s="514" t="s">
        <v>647</v>
      </c>
      <c r="D165" s="514">
        <v>561</v>
      </c>
      <c r="E165" s="3178">
        <v>9989.6930728928764</v>
      </c>
      <c r="F165" s="3178">
        <f t="shared" si="3"/>
        <v>5604217.8138929037</v>
      </c>
    </row>
    <row r="166" spans="1:6">
      <c r="A166" s="3177">
        <v>180102</v>
      </c>
      <c r="B166" s="941" t="s">
        <v>9067</v>
      </c>
      <c r="C166" s="514" t="s">
        <v>4696</v>
      </c>
      <c r="D166" s="514">
        <v>5</v>
      </c>
      <c r="E166" s="3178">
        <v>162317.17538181815</v>
      </c>
      <c r="F166" s="3178">
        <f t="shared" si="3"/>
        <v>811585.87690909067</v>
      </c>
    </row>
    <row r="167" spans="1:6">
      <c r="A167" s="3177">
        <v>180103</v>
      </c>
      <c r="B167" s="941" t="s">
        <v>9068</v>
      </c>
      <c r="C167" s="514" t="s">
        <v>4696</v>
      </c>
      <c r="D167" s="514">
        <v>14</v>
      </c>
      <c r="E167" s="3178">
        <v>214581.81289224621</v>
      </c>
      <c r="F167" s="3178">
        <f t="shared" si="3"/>
        <v>3004145.3804914467</v>
      </c>
    </row>
    <row r="168" spans="1:6">
      <c r="A168" s="3177">
        <v>180104</v>
      </c>
      <c r="B168" s="941" t="s">
        <v>9069</v>
      </c>
      <c r="C168" s="514" t="s">
        <v>4696</v>
      </c>
      <c r="D168" s="514">
        <v>1</v>
      </c>
      <c r="E168" s="3178">
        <v>349017.2523798914</v>
      </c>
      <c r="F168" s="3178">
        <f t="shared" si="3"/>
        <v>349017.2523798914</v>
      </c>
    </row>
    <row r="169" spans="1:6">
      <c r="A169" s="3177">
        <v>180105</v>
      </c>
      <c r="B169" s="941" t="s">
        <v>9070</v>
      </c>
      <c r="C169" s="514" t="s">
        <v>4696</v>
      </c>
      <c r="D169" s="514">
        <v>10</v>
      </c>
      <c r="E169" s="3178">
        <v>212317.17538181815</v>
      </c>
      <c r="F169" s="3178">
        <f t="shared" si="3"/>
        <v>2123171.7538181813</v>
      </c>
    </row>
    <row r="170" spans="1:6">
      <c r="A170" s="3177">
        <v>180106</v>
      </c>
      <c r="B170" s="941" t="s">
        <v>9071</v>
      </c>
      <c r="C170" s="514" t="s">
        <v>8945</v>
      </c>
      <c r="D170" s="514">
        <v>2</v>
      </c>
      <c r="E170" s="3178">
        <v>285581.81289224618</v>
      </c>
      <c r="F170" s="3178">
        <f t="shared" si="3"/>
        <v>571163.62578449235</v>
      </c>
    </row>
    <row r="171" spans="1:6">
      <c r="A171" s="3177">
        <v>180107</v>
      </c>
      <c r="B171" s="941" t="s">
        <v>9072</v>
      </c>
      <c r="C171" s="514" t="s">
        <v>8932</v>
      </c>
      <c r="D171" s="514">
        <v>10</v>
      </c>
      <c r="E171" s="3178">
        <v>371692.17538181815</v>
      </c>
      <c r="F171" s="3178">
        <f t="shared" si="3"/>
        <v>3716921.7538181813</v>
      </c>
    </row>
    <row r="172" spans="1:6">
      <c r="A172" s="3179">
        <v>1802</v>
      </c>
      <c r="B172" s="3180" t="s">
        <v>9073</v>
      </c>
      <c r="C172" s="514"/>
      <c r="D172" s="514"/>
      <c r="E172" s="3178"/>
      <c r="F172" s="3178"/>
    </row>
    <row r="173" spans="1:6">
      <c r="A173" s="3177">
        <v>180201</v>
      </c>
      <c r="B173" s="941" t="s">
        <v>9074</v>
      </c>
      <c r="C173" s="514" t="s">
        <v>4696</v>
      </c>
      <c r="D173" s="514">
        <v>150</v>
      </c>
      <c r="E173" s="3178">
        <v>45057.220252950487</v>
      </c>
      <c r="F173" s="3178">
        <f t="shared" si="3"/>
        <v>6758583.0379425734</v>
      </c>
    </row>
    <row r="174" spans="1:6">
      <c r="A174" s="3179">
        <v>1803</v>
      </c>
      <c r="B174" s="941" t="s">
        <v>9075</v>
      </c>
      <c r="C174" s="514"/>
      <c r="D174" s="514"/>
      <c r="E174" s="3178"/>
      <c r="F174" s="3178"/>
    </row>
    <row r="175" spans="1:6">
      <c r="A175" s="3177">
        <v>180301</v>
      </c>
      <c r="B175" s="941" t="s">
        <v>9076</v>
      </c>
      <c r="C175" s="514" t="s">
        <v>4696</v>
      </c>
      <c r="D175" s="514">
        <v>300</v>
      </c>
      <c r="E175" s="3178">
        <v>16526.211459250349</v>
      </c>
      <c r="F175" s="3178">
        <f t="shared" si="3"/>
        <v>4957863.4377751052</v>
      </c>
    </row>
    <row r="176" spans="1:6">
      <c r="A176" s="3177">
        <v>180302</v>
      </c>
      <c r="B176" s="941" t="s">
        <v>9077</v>
      </c>
      <c r="C176" s="514" t="s">
        <v>4696</v>
      </c>
      <c r="D176" s="514">
        <v>20</v>
      </c>
      <c r="E176" s="3178">
        <v>58376.834574800559</v>
      </c>
      <c r="F176" s="3178">
        <f t="shared" si="3"/>
        <v>1167536.6914960111</v>
      </c>
    </row>
    <row r="177" spans="1:6">
      <c r="A177" s="3177">
        <v>180303</v>
      </c>
      <c r="B177" s="941" t="s">
        <v>9078</v>
      </c>
      <c r="C177" s="514" t="s">
        <v>4696</v>
      </c>
      <c r="D177" s="514">
        <v>300</v>
      </c>
      <c r="E177" s="3178">
        <v>4921.5465412291787</v>
      </c>
      <c r="F177" s="3178">
        <f t="shared" si="3"/>
        <v>1476463.9623687535</v>
      </c>
    </row>
    <row r="178" spans="1:6">
      <c r="A178" s="3179">
        <v>1804</v>
      </c>
      <c r="B178" s="3180" t="s">
        <v>9079</v>
      </c>
      <c r="C178" s="514"/>
      <c r="D178" s="514"/>
      <c r="E178" s="3178"/>
      <c r="F178" s="3178"/>
    </row>
    <row r="179" spans="1:6">
      <c r="A179" s="3177">
        <v>180401</v>
      </c>
      <c r="B179" s="941" t="s">
        <v>9080</v>
      </c>
      <c r="C179" s="514" t="s">
        <v>4696</v>
      </c>
      <c r="D179" s="514">
        <v>400</v>
      </c>
      <c r="E179" s="3178">
        <v>34459.113465111004</v>
      </c>
      <c r="F179" s="3178">
        <f t="shared" si="3"/>
        <v>13783645.386044402</v>
      </c>
    </row>
    <row r="180" spans="1:6">
      <c r="A180" s="3177">
        <v>180402</v>
      </c>
      <c r="B180" s="941" t="s">
        <v>9081</v>
      </c>
      <c r="C180" s="514" t="s">
        <v>8932</v>
      </c>
      <c r="D180" s="514">
        <v>11</v>
      </c>
      <c r="E180" s="3178">
        <v>50452.276794179663</v>
      </c>
      <c r="F180" s="3178">
        <f t="shared" si="3"/>
        <v>554975.04473597626</v>
      </c>
    </row>
    <row r="181" spans="1:6">
      <c r="A181" s="3177">
        <v>180403</v>
      </c>
      <c r="B181" s="941" t="s">
        <v>9082</v>
      </c>
      <c r="C181" s="514" t="s">
        <v>8932</v>
      </c>
      <c r="D181" s="514">
        <v>22</v>
      </c>
      <c r="E181" s="3178">
        <v>43600.309300436507</v>
      </c>
      <c r="F181" s="3178">
        <f t="shared" si="3"/>
        <v>959206.80460960313</v>
      </c>
    </row>
    <row r="182" spans="1:6">
      <c r="A182" s="3179">
        <v>1805</v>
      </c>
      <c r="B182" s="3180" t="s">
        <v>9083</v>
      </c>
      <c r="C182" s="514"/>
      <c r="D182" s="514"/>
      <c r="E182" s="3178"/>
      <c r="F182" s="3178"/>
    </row>
    <row r="183" spans="1:6">
      <c r="A183" s="3177">
        <v>180501</v>
      </c>
      <c r="B183" s="941" t="s">
        <v>9084</v>
      </c>
      <c r="C183" s="514" t="s">
        <v>8945</v>
      </c>
      <c r="D183" s="514">
        <v>1</v>
      </c>
      <c r="E183" s="3178">
        <v>308975.03210224089</v>
      </c>
      <c r="F183" s="3178">
        <f t="shared" si="3"/>
        <v>308975.03210224089</v>
      </c>
    </row>
    <row r="184" spans="1:6">
      <c r="A184" s="3177">
        <v>180502</v>
      </c>
      <c r="B184" s="941" t="s">
        <v>9085</v>
      </c>
      <c r="C184" s="514" t="s">
        <v>8932</v>
      </c>
      <c r="D184" s="514">
        <v>30</v>
      </c>
      <c r="E184" s="3178">
        <v>8379.2025681792711</v>
      </c>
      <c r="F184" s="3178">
        <f t="shared" si="3"/>
        <v>251376.07704537813</v>
      </c>
    </row>
    <row r="185" spans="1:6">
      <c r="A185" s="3177">
        <v>180503</v>
      </c>
      <c r="B185" s="941" t="s">
        <v>9086</v>
      </c>
      <c r="C185" s="514" t="s">
        <v>8932</v>
      </c>
      <c r="D185" s="514">
        <v>20</v>
      </c>
      <c r="E185" s="3178">
        <v>26624.202568179273</v>
      </c>
      <c r="F185" s="3178">
        <f t="shared" si="3"/>
        <v>532484.05136358552</v>
      </c>
    </row>
    <row r="186" spans="1:6">
      <c r="A186" s="3186"/>
      <c r="B186" s="941"/>
      <c r="C186" s="514"/>
      <c r="D186" s="514"/>
      <c r="E186" s="3178"/>
      <c r="F186" s="3178"/>
    </row>
    <row r="187" spans="1:6" ht="16.8">
      <c r="A187" s="3384" t="s">
        <v>9105</v>
      </c>
      <c r="B187" s="3384" t="s">
        <v>9099</v>
      </c>
      <c r="C187" s="3384"/>
      <c r="D187" s="3384"/>
      <c r="E187" s="3384"/>
      <c r="F187" s="3384"/>
    </row>
    <row r="188" spans="1:6" s="966" customFormat="1">
      <c r="A188" s="3173">
        <v>2</v>
      </c>
      <c r="B188" s="3174" t="s">
        <v>8930</v>
      </c>
      <c r="C188" s="3175"/>
      <c r="D188" s="3175"/>
      <c r="E188" s="3176"/>
      <c r="F188" s="3176"/>
    </row>
    <row r="189" spans="1:6">
      <c r="A189" s="3161">
        <v>201</v>
      </c>
      <c r="B189" s="941" t="s">
        <v>8931</v>
      </c>
      <c r="C189" s="514" t="s">
        <v>8932</v>
      </c>
      <c r="D189" s="514">
        <v>2389</v>
      </c>
      <c r="E189" s="3178">
        <v>1829.3366516229744</v>
      </c>
      <c r="F189" s="3178">
        <f t="shared" ref="F189:F207" si="4">+D189*E189</f>
        <v>4370285.2607272854</v>
      </c>
    </row>
    <row r="190" spans="1:6" s="966" customFormat="1">
      <c r="A190" s="3173">
        <v>3</v>
      </c>
      <c r="B190" s="3174" t="s">
        <v>6197</v>
      </c>
      <c r="C190" s="3175"/>
      <c r="D190" s="3175"/>
      <c r="E190" s="3176"/>
      <c r="F190" s="3176"/>
    </row>
    <row r="191" spans="1:6">
      <c r="A191" s="3161">
        <v>301</v>
      </c>
      <c r="B191" s="941" t="s">
        <v>8933</v>
      </c>
      <c r="C191" s="514" t="s">
        <v>3639</v>
      </c>
      <c r="D191" s="514">
        <v>2290</v>
      </c>
      <c r="E191" s="3178">
        <v>9422.6024708927052</v>
      </c>
      <c r="F191" s="3178">
        <f t="shared" si="4"/>
        <v>21577759.658344295</v>
      </c>
    </row>
    <row r="192" spans="1:6" s="966" customFormat="1">
      <c r="A192" s="3173">
        <v>5</v>
      </c>
      <c r="B192" s="3174" t="s">
        <v>8935</v>
      </c>
      <c r="C192" s="3175"/>
      <c r="D192" s="3175"/>
      <c r="E192" s="3176"/>
      <c r="F192" s="3176"/>
    </row>
    <row r="193" spans="1:6">
      <c r="A193" s="3161">
        <v>501</v>
      </c>
      <c r="B193" s="941" t="s">
        <v>9087</v>
      </c>
      <c r="C193" s="514" t="s">
        <v>4696</v>
      </c>
      <c r="D193" s="514">
        <v>7640</v>
      </c>
      <c r="E193" s="3178">
        <v>11973.021609250349</v>
      </c>
      <c r="F193" s="3178">
        <f t="shared" si="4"/>
        <v>91473885.094672665</v>
      </c>
    </row>
    <row r="194" spans="1:6" s="966" customFormat="1">
      <c r="A194" s="3173">
        <v>6</v>
      </c>
      <c r="B194" s="3174" t="s">
        <v>8937</v>
      </c>
      <c r="C194" s="3175"/>
      <c r="D194" s="3175"/>
      <c r="E194" s="3176"/>
      <c r="F194" s="3176"/>
    </row>
    <row r="195" spans="1:6" ht="26.4">
      <c r="A195" s="3161">
        <v>601</v>
      </c>
      <c r="B195" s="941" t="s">
        <v>9088</v>
      </c>
      <c r="C195" s="514" t="s">
        <v>8960</v>
      </c>
      <c r="D195" s="514">
        <v>22900</v>
      </c>
      <c r="E195" s="3178">
        <v>1250</v>
      </c>
      <c r="F195" s="3178">
        <f t="shared" si="4"/>
        <v>28625000</v>
      </c>
    </row>
    <row r="196" spans="1:6" s="966" customFormat="1">
      <c r="A196" s="3173">
        <v>7</v>
      </c>
      <c r="B196" s="3174" t="s">
        <v>8938</v>
      </c>
      <c r="C196" s="3175"/>
      <c r="D196" s="3175"/>
      <c r="E196" s="3176"/>
      <c r="F196" s="3176"/>
    </row>
    <row r="197" spans="1:6">
      <c r="A197" s="3161">
        <v>702</v>
      </c>
      <c r="B197" s="941" t="s">
        <v>9089</v>
      </c>
      <c r="C197" s="514" t="s">
        <v>3639</v>
      </c>
      <c r="D197" s="514">
        <v>1300</v>
      </c>
      <c r="E197" s="3178">
        <v>59276.380304012884</v>
      </c>
      <c r="F197" s="3178">
        <f t="shared" si="4"/>
        <v>77059294.395216748</v>
      </c>
    </row>
    <row r="198" spans="1:6">
      <c r="A198" s="3161">
        <v>707</v>
      </c>
      <c r="B198" s="941" t="s">
        <v>8966</v>
      </c>
      <c r="C198" s="514" t="s">
        <v>3639</v>
      </c>
      <c r="D198" s="514">
        <v>510</v>
      </c>
      <c r="E198" s="3178">
        <v>104870.61424321029</v>
      </c>
      <c r="F198" s="3178">
        <f t="shared" si="4"/>
        <v>53484013.264037251</v>
      </c>
    </row>
    <row r="199" spans="1:6" s="966" customFormat="1">
      <c r="A199" s="3173">
        <v>11</v>
      </c>
      <c r="B199" s="3174" t="s">
        <v>9090</v>
      </c>
      <c r="C199" s="3175"/>
      <c r="D199" s="3175"/>
      <c r="E199" s="3176"/>
      <c r="F199" s="3176"/>
    </row>
    <row r="200" spans="1:6">
      <c r="A200" s="3162">
        <v>1101</v>
      </c>
      <c r="B200" s="3180" t="s">
        <v>9091</v>
      </c>
      <c r="C200" s="514"/>
      <c r="D200" s="514"/>
      <c r="E200" s="3178"/>
      <c r="F200" s="3178"/>
    </row>
    <row r="201" spans="1:6">
      <c r="A201" s="3162">
        <v>110101</v>
      </c>
      <c r="B201" s="3180" t="s">
        <v>9092</v>
      </c>
      <c r="C201" s="514"/>
      <c r="D201" s="514"/>
      <c r="E201" s="3178"/>
      <c r="F201" s="3178"/>
    </row>
    <row r="202" spans="1:6">
      <c r="A202" s="3162">
        <v>11010101</v>
      </c>
      <c r="B202" s="3180" t="s">
        <v>9093</v>
      </c>
      <c r="C202" s="514"/>
      <c r="D202" s="514"/>
      <c r="E202" s="3178"/>
      <c r="F202" s="3178"/>
    </row>
    <row r="203" spans="1:6">
      <c r="A203" s="3161">
        <v>1101010102</v>
      </c>
      <c r="B203" s="941" t="s">
        <v>9094</v>
      </c>
      <c r="C203" s="514" t="s">
        <v>8932</v>
      </c>
      <c r="D203" s="514">
        <v>1350</v>
      </c>
      <c r="E203" s="3178">
        <v>7710.2312840896357</v>
      </c>
      <c r="F203" s="3178">
        <f t="shared" si="4"/>
        <v>10408812.233521009</v>
      </c>
    </row>
    <row r="204" spans="1:6">
      <c r="A204" s="3161">
        <v>1101010104</v>
      </c>
      <c r="B204" s="941" t="s">
        <v>9095</v>
      </c>
      <c r="C204" s="514" t="s">
        <v>8932</v>
      </c>
      <c r="D204" s="514">
        <v>1039</v>
      </c>
      <c r="E204" s="3178">
        <v>5132.368794400124</v>
      </c>
      <c r="F204" s="3178">
        <f t="shared" si="4"/>
        <v>5332531.1773817288</v>
      </c>
    </row>
    <row r="205" spans="1:6">
      <c r="A205" s="3162">
        <v>1102</v>
      </c>
      <c r="B205" s="3180" t="s">
        <v>9096</v>
      </c>
      <c r="C205" s="514"/>
      <c r="D205" s="514"/>
      <c r="E205" s="3178"/>
      <c r="F205" s="3178"/>
    </row>
    <row r="206" spans="1:6">
      <c r="A206" s="3162">
        <v>110201</v>
      </c>
      <c r="B206" s="3180" t="s">
        <v>9097</v>
      </c>
      <c r="C206" s="514"/>
      <c r="D206" s="514"/>
      <c r="E206" s="3178"/>
      <c r="F206" s="3178"/>
    </row>
    <row r="207" spans="1:6">
      <c r="A207" s="3161">
        <v>11020102</v>
      </c>
      <c r="B207" s="941" t="s">
        <v>9098</v>
      </c>
      <c r="C207" s="514" t="s">
        <v>8945</v>
      </c>
      <c r="D207" s="514">
        <v>10</v>
      </c>
      <c r="E207" s="3178">
        <v>223862.32318100217</v>
      </c>
      <c r="F207" s="3178">
        <f t="shared" si="4"/>
        <v>2238623.2318100217</v>
      </c>
    </row>
    <row r="208" spans="1:6">
      <c r="A208" s="3186"/>
      <c r="B208" s="941"/>
      <c r="C208" s="514"/>
      <c r="D208" s="514"/>
      <c r="E208" s="3186"/>
      <c r="F208" s="3186"/>
    </row>
    <row r="209" spans="1:13" ht="16.8">
      <c r="A209" s="3388" t="s">
        <v>4193</v>
      </c>
      <c r="B209" s="3388"/>
      <c r="C209" s="3388"/>
      <c r="D209" s="3388"/>
      <c r="E209" s="3388"/>
      <c r="F209" s="3388"/>
    </row>
    <row r="210" spans="1:13" s="3171" customFormat="1" ht="15" customHeight="1">
      <c r="A210" s="3384" t="s">
        <v>9117</v>
      </c>
      <c r="B210" s="3384"/>
      <c r="C210" s="3384"/>
      <c r="D210" s="3384"/>
      <c r="E210" s="3384"/>
      <c r="F210" s="3384"/>
      <c r="G210" s="3169"/>
      <c r="H210" s="3170"/>
      <c r="K210" s="3172"/>
      <c r="L210" s="3172"/>
      <c r="M210" s="3172"/>
    </row>
    <row r="211" spans="1:13" s="966" customFormat="1">
      <c r="A211" s="3173">
        <v>8</v>
      </c>
      <c r="B211" s="3174" t="s">
        <v>8939</v>
      </c>
      <c r="C211" s="3175"/>
      <c r="D211" s="3175"/>
      <c r="E211" s="3176"/>
      <c r="F211" s="3176"/>
    </row>
    <row r="212" spans="1:13">
      <c r="A212" s="3162">
        <v>801</v>
      </c>
      <c r="B212" s="3194" t="s">
        <v>8967</v>
      </c>
      <c r="C212" s="3195"/>
      <c r="D212" s="3196"/>
      <c r="E212" s="3197"/>
      <c r="F212" s="3197"/>
    </row>
    <row r="213" spans="1:13">
      <c r="A213" s="3162">
        <v>80101</v>
      </c>
      <c r="B213" s="3194" t="s">
        <v>8940</v>
      </c>
      <c r="C213" s="3196"/>
      <c r="D213" s="3196"/>
      <c r="E213" s="3197"/>
      <c r="F213" s="3197"/>
    </row>
    <row r="214" spans="1:13">
      <c r="A214" s="3162">
        <v>80102</v>
      </c>
      <c r="B214" s="3194" t="s">
        <v>9107</v>
      </c>
      <c r="C214" s="3196"/>
      <c r="D214" s="3196"/>
      <c r="E214" s="3197"/>
      <c r="F214" s="3197"/>
    </row>
    <row r="215" spans="1:13">
      <c r="A215" s="3162">
        <v>8010201</v>
      </c>
      <c r="B215" s="3194" t="s">
        <v>9108</v>
      </c>
      <c r="C215" s="3196"/>
      <c r="D215" s="3196"/>
      <c r="E215" s="3197"/>
      <c r="F215" s="3197"/>
    </row>
    <row r="216" spans="1:13">
      <c r="A216" s="3161">
        <v>801020101</v>
      </c>
      <c r="B216" s="3163" t="s">
        <v>9109</v>
      </c>
      <c r="C216" s="3195" t="s">
        <v>8932</v>
      </c>
      <c r="D216" s="3198">
        <v>8760</v>
      </c>
      <c r="E216" s="3199">
        <v>28630.799999999999</v>
      </c>
      <c r="F216" s="3199">
        <f>+E216*D216</f>
        <v>250805808</v>
      </c>
    </row>
    <row r="217" spans="1:13">
      <c r="A217" s="3161">
        <v>801020102</v>
      </c>
      <c r="B217" s="3163" t="s">
        <v>9110</v>
      </c>
      <c r="C217" s="3195" t="s">
        <v>8932</v>
      </c>
      <c r="D217" s="3198">
        <v>7800</v>
      </c>
      <c r="E217" s="3199">
        <v>39100.800000000003</v>
      </c>
      <c r="F217" s="3199">
        <f t="shared" ref="F217:F223" si="5">+E217*D217</f>
        <v>304986240</v>
      </c>
    </row>
    <row r="218" spans="1:13">
      <c r="A218" s="3161">
        <v>801020103</v>
      </c>
      <c r="B218" s="3163" t="s">
        <v>9111</v>
      </c>
      <c r="C218" s="3195" t="s">
        <v>8932</v>
      </c>
      <c r="D218" s="3198">
        <v>1410</v>
      </c>
      <c r="E218" s="3199">
        <v>57112.799999999996</v>
      </c>
      <c r="F218" s="3199">
        <f t="shared" si="5"/>
        <v>80529048</v>
      </c>
    </row>
    <row r="219" spans="1:13">
      <c r="A219" s="3161">
        <v>801020104</v>
      </c>
      <c r="B219" s="3163" t="s">
        <v>9112</v>
      </c>
      <c r="C219" s="3195" t="s">
        <v>8932</v>
      </c>
      <c r="D219" s="3198">
        <v>700</v>
      </c>
      <c r="E219" s="3199">
        <v>84437.4</v>
      </c>
      <c r="F219" s="3199">
        <f t="shared" si="5"/>
        <v>59106179.999999993</v>
      </c>
    </row>
    <row r="220" spans="1:13">
      <c r="A220" s="3161">
        <v>801020106</v>
      </c>
      <c r="B220" s="3163" t="s">
        <v>9113</v>
      </c>
      <c r="C220" s="3195" t="s">
        <v>8932</v>
      </c>
      <c r="D220" s="3198">
        <v>1270</v>
      </c>
      <c r="E220" s="3199">
        <v>147984.9</v>
      </c>
      <c r="F220" s="3199">
        <f t="shared" si="5"/>
        <v>187940823</v>
      </c>
    </row>
    <row r="221" spans="1:13">
      <c r="A221" s="3161">
        <v>801020108</v>
      </c>
      <c r="B221" s="3163" t="s">
        <v>9114</v>
      </c>
      <c r="C221" s="3195" t="s">
        <v>8932</v>
      </c>
      <c r="D221" s="3198">
        <v>100</v>
      </c>
      <c r="E221" s="3199">
        <v>249167.25</v>
      </c>
      <c r="F221" s="3199">
        <f t="shared" si="5"/>
        <v>24916725</v>
      </c>
    </row>
    <row r="222" spans="1:13">
      <c r="A222" s="3161">
        <v>801020109</v>
      </c>
      <c r="B222" s="3163" t="s">
        <v>9115</v>
      </c>
      <c r="C222" s="3195" t="s">
        <v>8932</v>
      </c>
      <c r="D222" s="3198">
        <v>700</v>
      </c>
      <c r="E222" s="3199">
        <v>373482.70769230765</v>
      </c>
      <c r="F222" s="3199">
        <f t="shared" si="5"/>
        <v>261437895.38461536</v>
      </c>
    </row>
    <row r="223" spans="1:13">
      <c r="A223" s="3161">
        <v>801020110</v>
      </c>
      <c r="B223" s="3163" t="s">
        <v>9116</v>
      </c>
      <c r="C223" s="3195" t="s">
        <v>8932</v>
      </c>
      <c r="D223" s="3198">
        <v>310</v>
      </c>
      <c r="E223" s="3199">
        <v>428409.22307692305</v>
      </c>
      <c r="F223" s="3199">
        <f t="shared" si="5"/>
        <v>132806859.15384614</v>
      </c>
    </row>
    <row r="224" spans="1:13" s="3171" customFormat="1" ht="15" customHeight="1">
      <c r="A224" s="3384" t="s">
        <v>9105</v>
      </c>
      <c r="B224" s="3384"/>
      <c r="C224" s="3384"/>
      <c r="D224" s="3384"/>
      <c r="E224" s="3384"/>
      <c r="F224" s="3384"/>
      <c r="G224" s="3169"/>
      <c r="H224" s="3170"/>
      <c r="K224" s="3172"/>
      <c r="L224" s="3172"/>
      <c r="M224" s="3172"/>
    </row>
    <row r="225" spans="1:6" s="966" customFormat="1">
      <c r="A225" s="3173">
        <v>11</v>
      </c>
      <c r="B225" s="3174" t="s">
        <v>9090</v>
      </c>
      <c r="C225" s="3175"/>
      <c r="D225" s="3175"/>
      <c r="E225" s="3176"/>
      <c r="F225" s="3176"/>
    </row>
    <row r="226" spans="1:6">
      <c r="A226" s="3162">
        <v>1101</v>
      </c>
      <c r="B226" s="3194" t="s">
        <v>9091</v>
      </c>
      <c r="C226" s="3195"/>
      <c r="D226" s="3198"/>
      <c r="E226" s="3197"/>
      <c r="F226" s="3199"/>
    </row>
    <row r="227" spans="1:6">
      <c r="A227" s="3162">
        <v>110102</v>
      </c>
      <c r="B227" s="3194" t="s">
        <v>9118</v>
      </c>
      <c r="C227" s="3195"/>
      <c r="D227" s="3198"/>
      <c r="E227" s="3197"/>
      <c r="F227" s="3199"/>
    </row>
    <row r="228" spans="1:6">
      <c r="A228" s="3162">
        <v>11010201</v>
      </c>
      <c r="B228" s="3194" t="s">
        <v>9119</v>
      </c>
      <c r="C228" s="3195"/>
      <c r="D228" s="3198"/>
      <c r="E228" s="3197"/>
      <c r="F228" s="3199"/>
    </row>
    <row r="229" spans="1:6">
      <c r="A229" s="3161">
        <v>1101020102</v>
      </c>
      <c r="B229" s="3163" t="s">
        <v>9120</v>
      </c>
      <c r="C229" s="3195" t="s">
        <v>8932</v>
      </c>
      <c r="D229" s="3198">
        <v>1039</v>
      </c>
      <c r="E229" s="3197">
        <v>175010.5</v>
      </c>
      <c r="F229" s="3199">
        <f t="shared" ref="F229:F241" si="6">+E229*D229</f>
        <v>181835909.5</v>
      </c>
    </row>
    <row r="230" spans="1:6">
      <c r="A230" s="3161">
        <v>1101020108</v>
      </c>
      <c r="B230" s="3163" t="s">
        <v>9121</v>
      </c>
      <c r="C230" s="3200" t="s">
        <v>8932</v>
      </c>
      <c r="D230" s="3198">
        <v>1350</v>
      </c>
      <c r="E230" s="3197">
        <v>490042</v>
      </c>
      <c r="F230" s="3199">
        <f t="shared" si="6"/>
        <v>661556700</v>
      </c>
    </row>
    <row r="231" spans="1:6">
      <c r="A231" s="3162">
        <v>110202</v>
      </c>
      <c r="B231" s="3194" t="s">
        <v>9122</v>
      </c>
      <c r="C231" s="3195"/>
      <c r="D231" s="3198"/>
      <c r="E231" s="3197"/>
      <c r="F231" s="3199"/>
    </row>
    <row r="232" spans="1:6">
      <c r="A232" s="3162">
        <v>11020201</v>
      </c>
      <c r="B232" s="3194" t="s">
        <v>9123</v>
      </c>
      <c r="C232" s="3195"/>
      <c r="D232" s="3198"/>
      <c r="E232" s="3197"/>
      <c r="F232" s="3199"/>
    </row>
    <row r="233" spans="1:6">
      <c r="A233" s="3161">
        <v>1102020102</v>
      </c>
      <c r="B233" s="3163" t="s">
        <v>9124</v>
      </c>
      <c r="C233" s="3195" t="s">
        <v>8945</v>
      </c>
      <c r="D233" s="3198">
        <v>10</v>
      </c>
      <c r="E233" s="3197">
        <v>632949.20000000007</v>
      </c>
      <c r="F233" s="3199">
        <f t="shared" si="6"/>
        <v>6329492.0000000009</v>
      </c>
    </row>
    <row r="234" spans="1:6">
      <c r="A234" s="3161">
        <v>1102020106</v>
      </c>
      <c r="B234" s="3163" t="s">
        <v>9125</v>
      </c>
      <c r="C234" s="3195" t="s">
        <v>8945</v>
      </c>
      <c r="D234" s="3198">
        <v>5</v>
      </c>
      <c r="E234" s="3197">
        <v>923428</v>
      </c>
      <c r="F234" s="3199">
        <f t="shared" si="6"/>
        <v>4617140</v>
      </c>
    </row>
    <row r="235" spans="1:6">
      <c r="A235" s="3161">
        <v>1102020107</v>
      </c>
      <c r="B235" s="3163" t="s">
        <v>9126</v>
      </c>
      <c r="C235" s="3195" t="s">
        <v>8945</v>
      </c>
      <c r="D235" s="3198">
        <v>1</v>
      </c>
      <c r="E235" s="3197">
        <v>3825050</v>
      </c>
      <c r="F235" s="3199">
        <f t="shared" si="6"/>
        <v>3825050</v>
      </c>
    </row>
    <row r="236" spans="1:6">
      <c r="A236" s="3162">
        <v>11020202</v>
      </c>
      <c r="B236" s="3194" t="s">
        <v>9127</v>
      </c>
      <c r="C236" s="3195"/>
      <c r="D236" s="3198"/>
      <c r="E236" s="3197"/>
      <c r="F236" s="3199"/>
    </row>
    <row r="237" spans="1:6">
      <c r="A237" s="3161">
        <v>1102020204</v>
      </c>
      <c r="B237" s="3163" t="s">
        <v>9128</v>
      </c>
      <c r="C237" s="3195" t="s">
        <v>8945</v>
      </c>
      <c r="D237" s="3198">
        <v>3</v>
      </c>
      <c r="E237" s="3197">
        <v>2247700</v>
      </c>
      <c r="F237" s="3199">
        <f t="shared" si="6"/>
        <v>6743100</v>
      </c>
    </row>
    <row r="238" spans="1:6">
      <c r="A238" s="3161">
        <v>1102020205</v>
      </c>
      <c r="B238" s="3201" t="s">
        <v>9129</v>
      </c>
      <c r="C238" s="3200" t="s">
        <v>8945</v>
      </c>
      <c r="D238" s="3198">
        <v>4</v>
      </c>
      <c r="E238" s="3197">
        <v>3332680</v>
      </c>
      <c r="F238" s="3199">
        <f t="shared" si="6"/>
        <v>13330720</v>
      </c>
    </row>
    <row r="239" spans="1:6">
      <c r="A239" s="3161">
        <v>1102020305</v>
      </c>
      <c r="B239" s="3201" t="s">
        <v>9130</v>
      </c>
      <c r="C239" s="3200" t="s">
        <v>8945</v>
      </c>
      <c r="D239" s="3198">
        <v>2</v>
      </c>
      <c r="E239" s="3197">
        <v>2505600</v>
      </c>
      <c r="F239" s="3199">
        <f t="shared" si="6"/>
        <v>5011200</v>
      </c>
    </row>
    <row r="240" spans="1:6">
      <c r="A240" s="3162">
        <v>11020205</v>
      </c>
      <c r="B240" s="3194" t="s">
        <v>9131</v>
      </c>
      <c r="C240" s="3195"/>
      <c r="D240" s="3198"/>
      <c r="E240" s="3197"/>
      <c r="F240" s="3199"/>
    </row>
    <row r="241" spans="1:17">
      <c r="A241" s="3161">
        <v>1102020504</v>
      </c>
      <c r="B241" s="3163" t="s">
        <v>9132</v>
      </c>
      <c r="C241" s="3195" t="s">
        <v>8945</v>
      </c>
      <c r="D241" s="3198">
        <v>1</v>
      </c>
      <c r="E241" s="3197">
        <v>1498900</v>
      </c>
      <c r="F241" s="3199">
        <f t="shared" si="6"/>
        <v>1498900</v>
      </c>
    </row>
    <row r="242" spans="1:17">
      <c r="A242" s="3161"/>
      <c r="B242" s="3201"/>
      <c r="C242" s="3201"/>
      <c r="D242" s="3198"/>
      <c r="E242" s="3197"/>
      <c r="F242" s="3199"/>
    </row>
    <row r="244" spans="1:17" s="1623" customFormat="1" ht="40.5" customHeight="1">
      <c r="A244" s="3375" t="s">
        <v>9133</v>
      </c>
      <c r="B244" s="3375"/>
      <c r="C244" s="3375"/>
      <c r="D244" s="3375"/>
      <c r="E244" s="3375"/>
      <c r="F244" s="3202">
        <f>+SUM(F5:F76)</f>
        <v>7120547984.8286428</v>
      </c>
      <c r="G244" s="2351"/>
      <c r="H244" s="2964"/>
      <c r="I244" s="273"/>
      <c r="J244" s="273"/>
      <c r="K244" s="1706"/>
      <c r="L244" s="275"/>
      <c r="M244" s="1625"/>
      <c r="N244" s="1625"/>
      <c r="O244" s="273"/>
      <c r="P244" s="276"/>
      <c r="Q244" s="276"/>
    </row>
    <row r="245" spans="1:17" s="1623" customFormat="1" ht="40.5" customHeight="1">
      <c r="A245" s="3375" t="s">
        <v>9134</v>
      </c>
      <c r="B245" s="3375"/>
      <c r="C245" s="3375"/>
      <c r="D245" s="3375"/>
      <c r="E245" s="3375"/>
      <c r="F245" s="3202">
        <f>+SUM(F80:F185)</f>
        <v>1143169377.055939</v>
      </c>
      <c r="G245" s="2351"/>
      <c r="H245" s="2964"/>
      <c r="I245" s="273"/>
      <c r="J245" s="273"/>
      <c r="K245" s="1706"/>
      <c r="L245" s="275"/>
      <c r="M245" s="1625"/>
      <c r="N245" s="1625"/>
      <c r="O245" s="273"/>
      <c r="P245" s="276"/>
      <c r="Q245" s="276"/>
    </row>
    <row r="246" spans="1:17" s="1623" customFormat="1" ht="40.5" customHeight="1">
      <c r="A246" s="3375" t="s">
        <v>9135</v>
      </c>
      <c r="B246" s="3375"/>
      <c r="C246" s="3375"/>
      <c r="D246" s="3375"/>
      <c r="E246" s="3375"/>
      <c r="F246" s="3202">
        <f>+SUM(F189:F207)</f>
        <v>294570204.31571102</v>
      </c>
      <c r="G246" s="2351"/>
      <c r="H246" s="2964"/>
      <c r="I246" s="273"/>
      <c r="J246" s="273"/>
      <c r="K246" s="1706"/>
      <c r="L246" s="275"/>
      <c r="M246" s="1625"/>
      <c r="N246" s="1625"/>
      <c r="O246" s="273"/>
      <c r="P246" s="276"/>
      <c r="Q246" s="276"/>
    </row>
    <row r="247" spans="1:17" s="1623" customFormat="1" ht="40.5" customHeight="1">
      <c r="A247" s="4367" t="s">
        <v>3843</v>
      </c>
      <c r="B247" s="4367"/>
      <c r="C247" s="4367"/>
      <c r="D247" s="4367"/>
      <c r="E247" s="4368">
        <v>0.22409999999999999</v>
      </c>
      <c r="F247" s="4369">
        <f>+SUM(F244:F246)*E247+307346</f>
        <v>1918219589.5854855</v>
      </c>
      <c r="G247" s="2351"/>
      <c r="I247" s="273"/>
      <c r="J247" s="273"/>
      <c r="K247" s="1706"/>
      <c r="L247" s="275"/>
      <c r="M247" s="1625"/>
      <c r="N247" s="1625"/>
      <c r="O247" s="273"/>
      <c r="P247" s="276"/>
      <c r="Q247" s="276"/>
    </row>
    <row r="248" spans="1:17" s="1623" customFormat="1" ht="40.5" customHeight="1">
      <c r="A248" s="4367" t="s">
        <v>9138</v>
      </c>
      <c r="B248" s="4367"/>
      <c r="C248" s="4367"/>
      <c r="D248" s="4367"/>
      <c r="E248" s="4368">
        <v>0.05</v>
      </c>
      <c r="F248" s="4369">
        <f>+SUM(F244:F246)*E248</f>
        <v>427914378.31001467</v>
      </c>
      <c r="G248" s="2351"/>
      <c r="I248" s="273"/>
      <c r="J248" s="273"/>
      <c r="K248" s="1706"/>
      <c r="L248" s="275"/>
      <c r="M248" s="1625"/>
      <c r="N248" s="1625"/>
      <c r="O248" s="273"/>
      <c r="P248" s="276"/>
      <c r="Q248" s="276"/>
    </row>
    <row r="249" spans="1:17" s="1623" customFormat="1" ht="40.5" customHeight="1">
      <c r="A249" s="4367" t="s">
        <v>6394</v>
      </c>
      <c r="B249" s="4367"/>
      <c r="C249" s="4367"/>
      <c r="D249" s="4367"/>
      <c r="E249" s="4368">
        <v>0.05</v>
      </c>
      <c r="F249" s="4369">
        <f>+SUM(F244:F246)*E249</f>
        <v>427914378.31001467</v>
      </c>
      <c r="G249" s="2351"/>
      <c r="I249" s="273"/>
      <c r="J249" s="273"/>
      <c r="K249" s="1706"/>
      <c r="L249" s="275"/>
      <c r="M249" s="1625"/>
      <c r="N249" s="1625"/>
      <c r="O249" s="273"/>
      <c r="P249" s="276"/>
      <c r="Q249" s="276"/>
    </row>
    <row r="250" spans="1:17" s="1623" customFormat="1" ht="40.5" customHeight="1">
      <c r="A250" s="3372" t="s">
        <v>139</v>
      </c>
      <c r="B250" s="3372"/>
      <c r="C250" s="3372"/>
      <c r="D250" s="3372"/>
      <c r="E250" s="2958">
        <v>0.3241</v>
      </c>
      <c r="F250" s="3203">
        <v>2774048346</v>
      </c>
      <c r="G250" s="2351"/>
      <c r="I250" s="273"/>
      <c r="J250" s="273"/>
      <c r="K250" s="1706"/>
      <c r="L250" s="275"/>
      <c r="M250" s="1625"/>
      <c r="N250" s="1625"/>
      <c r="O250" s="273"/>
      <c r="P250" s="276"/>
      <c r="Q250" s="276"/>
    </row>
    <row r="251" spans="1:17" s="492" customFormat="1" ht="30" customHeight="1">
      <c r="A251" s="3375" t="s">
        <v>9136</v>
      </c>
      <c r="B251" s="3375"/>
      <c r="C251" s="3375"/>
      <c r="D251" s="3375"/>
      <c r="E251" s="3375"/>
      <c r="F251" s="3204">
        <f>+SUM(F211:F223)</f>
        <v>1302529578.5384617</v>
      </c>
      <c r="G251" s="2360"/>
      <c r="H251" s="2798"/>
      <c r="K251" s="1495"/>
      <c r="L251" s="1495"/>
      <c r="M251" s="1495"/>
    </row>
    <row r="252" spans="1:17" s="492" customFormat="1" ht="30" customHeight="1">
      <c r="A252" s="3375" t="s">
        <v>9137</v>
      </c>
      <c r="B252" s="3375"/>
      <c r="C252" s="3375"/>
      <c r="D252" s="3375"/>
      <c r="E252" s="3375"/>
      <c r="F252" s="3204">
        <f>+SUM(F225:F242)</f>
        <v>884748211.5</v>
      </c>
      <c r="G252" s="2360"/>
      <c r="H252" s="2798"/>
      <c r="K252" s="1495"/>
      <c r="L252" s="1495"/>
      <c r="M252" s="1495"/>
    </row>
    <row r="253" spans="1:17" s="492" customFormat="1" ht="16.8">
      <c r="A253" s="4370" t="s">
        <v>3843</v>
      </c>
      <c r="B253" s="4371"/>
      <c r="C253" s="4371"/>
      <c r="D253" s="4371"/>
      <c r="E253" s="4372">
        <v>0.18940000000000001</v>
      </c>
      <c r="F253" s="4373">
        <f>+SUM(F251:F252)*E253-58820</f>
        <v>414211593.4332847</v>
      </c>
      <c r="G253" s="2360"/>
      <c r="H253" s="4366"/>
      <c r="K253" s="1495"/>
      <c r="L253" s="1495"/>
      <c r="M253" s="1495"/>
    </row>
    <row r="254" spans="1:17" s="492" customFormat="1" ht="31.5" customHeight="1">
      <c r="A254" s="3381" t="s">
        <v>8789</v>
      </c>
      <c r="B254" s="3382"/>
      <c r="C254" s="3382"/>
      <c r="D254" s="3382"/>
      <c r="E254" s="3383"/>
      <c r="F254" s="3205">
        <f>+SUM(F244:F253)-F250-1</f>
        <v>13933825294.877554</v>
      </c>
      <c r="G254" s="3021"/>
      <c r="H254" s="3022"/>
      <c r="K254" s="1495"/>
      <c r="L254" s="1495"/>
      <c r="M254" s="1495"/>
    </row>
    <row r="255" spans="1:17" s="492" customFormat="1" ht="31.2" hidden="1" customHeight="1">
      <c r="A255" s="3381"/>
      <c r="B255" s="3382"/>
      <c r="C255" s="3382"/>
      <c r="D255" s="3382"/>
      <c r="E255" s="3383"/>
      <c r="F255" s="3205"/>
      <c r="G255" s="3021"/>
      <c r="H255" s="3021"/>
      <c r="K255" s="1495"/>
      <c r="L255" s="1495"/>
      <c r="M255" s="1495"/>
    </row>
    <row r="256" spans="1:17" s="492" customFormat="1" ht="31.2" hidden="1" customHeight="1">
      <c r="A256" s="3381"/>
      <c r="B256" s="3382"/>
      <c r="C256" s="3382"/>
      <c r="D256" s="3382"/>
      <c r="E256" s="3383"/>
      <c r="F256" s="3205"/>
      <c r="G256" s="3021"/>
      <c r="H256" s="3021"/>
      <c r="K256" s="1495"/>
      <c r="L256" s="1495"/>
      <c r="M256" s="1495"/>
    </row>
    <row r="257" spans="1:13" s="1608" customFormat="1" ht="16.8">
      <c r="A257" s="3376" t="s">
        <v>7922</v>
      </c>
      <c r="B257" s="3376"/>
      <c r="C257" s="3376"/>
      <c r="D257" s="3376"/>
      <c r="E257" s="3376"/>
      <c r="F257" s="3205">
        <f>+F254+F255+F256</f>
        <v>13933825294.877554</v>
      </c>
      <c r="G257" s="3021"/>
      <c r="H257" s="2339"/>
      <c r="K257" s="2665"/>
      <c r="L257" s="2665"/>
      <c r="M257" s="2665"/>
    </row>
    <row r="258" spans="1:13">
      <c r="F258" s="1242"/>
    </row>
  </sheetData>
  <mergeCells count="23">
    <mergeCell ref="A253:D253"/>
    <mergeCell ref="A254:E254"/>
    <mergeCell ref="A256:E256"/>
    <mergeCell ref="A257:E257"/>
    <mergeCell ref="A245:E245"/>
    <mergeCell ref="A246:E246"/>
    <mergeCell ref="A252:E252"/>
    <mergeCell ref="A255:E255"/>
    <mergeCell ref="A248:D248"/>
    <mergeCell ref="A249:D249"/>
    <mergeCell ref="A250:D250"/>
    <mergeCell ref="A209:F209"/>
    <mergeCell ref="A210:F210"/>
    <mergeCell ref="A244:E244"/>
    <mergeCell ref="A247:D247"/>
    <mergeCell ref="A251:E251"/>
    <mergeCell ref="A224:F224"/>
    <mergeCell ref="A187:F187"/>
    <mergeCell ref="A1:B1"/>
    <mergeCell ref="E1:F2"/>
    <mergeCell ref="H1:K1"/>
    <mergeCell ref="A3:F3"/>
    <mergeCell ref="A78:F7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7"/>
  <sheetViews>
    <sheetView zoomScale="85" zoomScaleNormal="85" workbookViewId="0">
      <selection sqref="A1:B1"/>
    </sheetView>
  </sheetViews>
  <sheetFormatPr baseColWidth="10" defaultColWidth="11.44140625" defaultRowHeight="13.2"/>
  <cols>
    <col min="1" max="1" width="14.109375" style="1244" customWidth="1"/>
    <col min="2" max="2" width="62.33203125" style="3187" customWidth="1"/>
    <col min="3" max="4" width="11.44140625" style="3160"/>
    <col min="5" max="5" width="15.44140625" style="1244" bestFit="1" customWidth="1"/>
    <col min="6" max="6" width="18.109375" style="1244" bestFit="1" customWidth="1"/>
    <col min="7" max="7" width="12.33203125" style="1244" bestFit="1" customWidth="1"/>
    <col min="8" max="8" width="12.6640625" style="1244" bestFit="1" customWidth="1"/>
    <col min="9" max="16384" width="11.44140625" style="1244"/>
  </cols>
  <sheetData>
    <row r="1" spans="1:13" s="3166" customFormat="1" ht="54" customHeight="1">
      <c r="A1" s="3385" t="s">
        <v>9106</v>
      </c>
      <c r="B1" s="3385"/>
      <c r="C1" s="3039"/>
      <c r="D1" s="3039"/>
      <c r="E1" s="3386" t="s">
        <v>9100</v>
      </c>
      <c r="F1" s="3386"/>
      <c r="G1" s="3039"/>
      <c r="H1" s="3387"/>
      <c r="I1" s="3387"/>
      <c r="J1" s="3387"/>
      <c r="K1" s="3387"/>
      <c r="L1" s="3164"/>
      <c r="M1" s="3165"/>
    </row>
    <row r="2" spans="1:13" s="3166" customFormat="1" ht="15.6">
      <c r="A2" s="3188" t="s">
        <v>798</v>
      </c>
      <c r="B2" s="3189" t="s">
        <v>8878</v>
      </c>
      <c r="C2" s="3190" t="s">
        <v>8879</v>
      </c>
      <c r="D2" s="3191">
        <v>1.1000000000000001</v>
      </c>
      <c r="E2" s="3386"/>
      <c r="F2" s="3386"/>
      <c r="G2" s="3167"/>
      <c r="H2" s="3168"/>
      <c r="I2" s="3168"/>
      <c r="J2" s="3168"/>
      <c r="K2" s="3168"/>
      <c r="L2" s="3164"/>
      <c r="M2" s="3165"/>
    </row>
    <row r="3" spans="1:13" s="3171" customFormat="1" ht="15" customHeight="1">
      <c r="A3" s="3384" t="s">
        <v>9101</v>
      </c>
      <c r="B3" s="3384"/>
      <c r="C3" s="3384"/>
      <c r="D3" s="3384"/>
      <c r="E3" s="3384"/>
      <c r="F3" s="3384"/>
      <c r="G3" s="3169"/>
      <c r="H3" s="3170"/>
      <c r="K3" s="3172"/>
      <c r="L3" s="3172"/>
      <c r="M3" s="3172"/>
    </row>
    <row r="4" spans="1:13" s="3171" customFormat="1" ht="33.6">
      <c r="A4" s="1590" t="s">
        <v>22</v>
      </c>
      <c r="B4" s="1591" t="s">
        <v>23</v>
      </c>
      <c r="C4" s="1591" t="s">
        <v>150</v>
      </c>
      <c r="D4" s="1592" t="s">
        <v>539</v>
      </c>
      <c r="E4" s="1593" t="s">
        <v>151</v>
      </c>
      <c r="F4" s="1593" t="s">
        <v>540</v>
      </c>
      <c r="G4" s="3169"/>
      <c r="H4" s="3170"/>
      <c r="K4" s="3172"/>
      <c r="L4" s="3172"/>
      <c r="M4" s="3172"/>
    </row>
    <row r="5" spans="1:13" s="966" customFormat="1">
      <c r="A5" s="3173">
        <v>2</v>
      </c>
      <c r="B5" s="3174" t="s">
        <v>8930</v>
      </c>
      <c r="C5" s="3175"/>
      <c r="D5" s="3175"/>
      <c r="E5" s="3176"/>
      <c r="F5" s="3176"/>
    </row>
    <row r="6" spans="1:13">
      <c r="A6" s="3177">
        <v>201</v>
      </c>
      <c r="B6" s="941" t="s">
        <v>8931</v>
      </c>
      <c r="C6" s="514" t="s">
        <v>8932</v>
      </c>
      <c r="D6" s="514">
        <v>12290</v>
      </c>
      <c r="E6" s="3178"/>
      <c r="F6" s="3178"/>
    </row>
    <row r="7" spans="1:13" s="966" customFormat="1">
      <c r="A7" s="3173">
        <v>3</v>
      </c>
      <c r="B7" s="3174" t="s">
        <v>6197</v>
      </c>
      <c r="C7" s="3175"/>
      <c r="D7" s="3175"/>
      <c r="E7" s="3176"/>
      <c r="F7" s="3176"/>
    </row>
    <row r="8" spans="1:13">
      <c r="A8" s="3177">
        <v>301</v>
      </c>
      <c r="B8" s="941" t="s">
        <v>8933</v>
      </c>
      <c r="C8" s="514" t="s">
        <v>3639</v>
      </c>
      <c r="D8" s="514">
        <v>10600</v>
      </c>
      <c r="E8" s="3178"/>
      <c r="F8" s="3178"/>
    </row>
    <row r="9" spans="1:13">
      <c r="A9" s="3177">
        <v>302</v>
      </c>
      <c r="B9" s="941" t="s">
        <v>8951</v>
      </c>
      <c r="C9" s="514" t="s">
        <v>3639</v>
      </c>
      <c r="D9" s="514">
        <v>26200</v>
      </c>
      <c r="E9" s="3178"/>
      <c r="F9" s="3178"/>
    </row>
    <row r="10" spans="1:13">
      <c r="A10" s="3177">
        <v>303</v>
      </c>
      <c r="B10" s="941" t="s">
        <v>8952</v>
      </c>
      <c r="C10" s="514" t="s">
        <v>3639</v>
      </c>
      <c r="D10" s="514">
        <v>1600</v>
      </c>
      <c r="E10" s="3178"/>
      <c r="F10" s="3178"/>
    </row>
    <row r="11" spans="1:13">
      <c r="A11" s="3177">
        <v>304</v>
      </c>
      <c r="B11" s="941" t="s">
        <v>8953</v>
      </c>
      <c r="C11" s="514" t="s">
        <v>3639</v>
      </c>
      <c r="D11" s="514">
        <v>1000</v>
      </c>
      <c r="E11" s="3178"/>
      <c r="F11" s="3178"/>
    </row>
    <row r="12" spans="1:13">
      <c r="A12" s="3177">
        <v>305</v>
      </c>
      <c r="B12" s="941" t="s">
        <v>8954</v>
      </c>
      <c r="C12" s="514" t="s">
        <v>3639</v>
      </c>
      <c r="D12" s="514">
        <v>2400</v>
      </c>
      <c r="E12" s="3178"/>
      <c r="F12" s="3178"/>
    </row>
    <row r="13" spans="1:13">
      <c r="A13" s="3177">
        <v>306</v>
      </c>
      <c r="B13" s="941" t="s">
        <v>8955</v>
      </c>
      <c r="C13" s="514" t="s">
        <v>3639</v>
      </c>
      <c r="D13" s="514">
        <v>500</v>
      </c>
      <c r="E13" s="3178"/>
      <c r="F13" s="3178"/>
    </row>
    <row r="14" spans="1:13">
      <c r="A14" s="3177">
        <v>307</v>
      </c>
      <c r="B14" s="941" t="s">
        <v>8956</v>
      </c>
      <c r="C14" s="514" t="s">
        <v>3639</v>
      </c>
      <c r="D14" s="514">
        <v>5400</v>
      </c>
      <c r="E14" s="3178"/>
      <c r="F14" s="3178"/>
    </row>
    <row r="15" spans="1:13" s="966" customFormat="1">
      <c r="A15" s="3173">
        <v>4</v>
      </c>
      <c r="B15" s="3174" t="s">
        <v>6183</v>
      </c>
      <c r="C15" s="3175"/>
      <c r="D15" s="3175"/>
      <c r="E15" s="3176"/>
      <c r="F15" s="3176"/>
    </row>
    <row r="16" spans="1:13">
      <c r="A16" s="3177">
        <v>403</v>
      </c>
      <c r="B16" s="941" t="s">
        <v>6256</v>
      </c>
      <c r="C16" s="514" t="s">
        <v>4696</v>
      </c>
      <c r="D16" s="514">
        <v>2900</v>
      </c>
      <c r="E16" s="3178"/>
      <c r="F16" s="3178"/>
    </row>
    <row r="17" spans="1:6">
      <c r="A17" s="3177">
        <v>404</v>
      </c>
      <c r="B17" s="941" t="s">
        <v>8957</v>
      </c>
      <c r="C17" s="514" t="s">
        <v>8932</v>
      </c>
      <c r="D17" s="514">
        <v>1940</v>
      </c>
      <c r="E17" s="3178"/>
      <c r="F17" s="3178"/>
    </row>
    <row r="18" spans="1:6">
      <c r="A18" s="3177">
        <v>406</v>
      </c>
      <c r="B18" s="941" t="s">
        <v>8934</v>
      </c>
      <c r="C18" s="514" t="s">
        <v>3639</v>
      </c>
      <c r="D18" s="514">
        <v>748.32240000000002</v>
      </c>
      <c r="E18" s="3178"/>
      <c r="F18" s="3178"/>
    </row>
    <row r="19" spans="1:6" s="966" customFormat="1">
      <c r="A19" s="3173">
        <v>5</v>
      </c>
      <c r="B19" s="3174" t="s">
        <v>8935</v>
      </c>
      <c r="C19" s="3175"/>
      <c r="D19" s="3175"/>
      <c r="E19" s="3176"/>
      <c r="F19" s="3176"/>
    </row>
    <row r="20" spans="1:6">
      <c r="A20" s="3177">
        <v>502</v>
      </c>
      <c r="B20" s="941" t="s">
        <v>8958</v>
      </c>
      <c r="C20" s="514" t="s">
        <v>4696</v>
      </c>
      <c r="D20" s="514">
        <v>24520</v>
      </c>
      <c r="E20" s="3178"/>
      <c r="F20" s="3178"/>
    </row>
    <row r="21" spans="1:6">
      <c r="A21" s="3177">
        <v>503</v>
      </c>
      <c r="B21" s="941" t="s">
        <v>8936</v>
      </c>
      <c r="C21" s="514" t="s">
        <v>4696</v>
      </c>
      <c r="D21" s="514">
        <v>26200</v>
      </c>
      <c r="E21" s="3178"/>
      <c r="F21" s="3178"/>
    </row>
    <row r="22" spans="1:6" s="966" customFormat="1">
      <c r="A22" s="3173">
        <v>6</v>
      </c>
      <c r="B22" s="3174" t="s">
        <v>8937</v>
      </c>
      <c r="C22" s="3175"/>
      <c r="D22" s="3175"/>
      <c r="E22" s="3176"/>
      <c r="F22" s="3176"/>
    </row>
    <row r="23" spans="1:6" ht="26.4">
      <c r="A23" s="3177">
        <v>601</v>
      </c>
      <c r="B23" s="941" t="s">
        <v>8959</v>
      </c>
      <c r="C23" s="514" t="s">
        <v>8960</v>
      </c>
      <c r="D23" s="514">
        <v>477000</v>
      </c>
      <c r="E23" s="3178"/>
      <c r="F23" s="3178"/>
    </row>
    <row r="24" spans="1:6" s="966" customFormat="1">
      <c r="A24" s="3173">
        <v>7</v>
      </c>
      <c r="B24" s="3174" t="s">
        <v>8938</v>
      </c>
      <c r="C24" s="3175"/>
      <c r="D24" s="3175"/>
      <c r="E24" s="3176"/>
      <c r="F24" s="3176"/>
    </row>
    <row r="25" spans="1:6">
      <c r="A25" s="3177">
        <v>701</v>
      </c>
      <c r="B25" s="941" t="s">
        <v>8961</v>
      </c>
      <c r="C25" s="514" t="s">
        <v>3639</v>
      </c>
      <c r="D25" s="514">
        <v>18755</v>
      </c>
      <c r="E25" s="3178"/>
      <c r="F25" s="3178"/>
    </row>
    <row r="26" spans="1:6">
      <c r="A26" s="3177">
        <v>702</v>
      </c>
      <c r="B26" s="941" t="s">
        <v>8962</v>
      </c>
      <c r="C26" s="514" t="s">
        <v>3639</v>
      </c>
      <c r="D26" s="514">
        <v>18755</v>
      </c>
      <c r="E26" s="3178"/>
      <c r="F26" s="3178"/>
    </row>
    <row r="27" spans="1:6">
      <c r="A27" s="3177">
        <v>704</v>
      </c>
      <c r="B27" s="941" t="s">
        <v>8963</v>
      </c>
      <c r="C27" s="514" t="s">
        <v>3639</v>
      </c>
      <c r="D27" s="514">
        <v>2300</v>
      </c>
      <c r="E27" s="3178"/>
      <c r="F27" s="3178"/>
    </row>
    <row r="28" spans="1:6">
      <c r="A28" s="3177">
        <v>705</v>
      </c>
      <c r="B28" s="941" t="s">
        <v>8964</v>
      </c>
      <c r="C28" s="514" t="s">
        <v>3639</v>
      </c>
      <c r="D28" s="514">
        <v>2400</v>
      </c>
      <c r="E28" s="3178"/>
      <c r="F28" s="3178"/>
    </row>
    <row r="29" spans="1:6">
      <c r="A29" s="3177">
        <v>706</v>
      </c>
      <c r="B29" s="941" t="s">
        <v>8965</v>
      </c>
      <c r="C29" s="514" t="s">
        <v>3639</v>
      </c>
      <c r="D29" s="514">
        <v>3700</v>
      </c>
      <c r="E29" s="3178"/>
      <c r="F29" s="3178"/>
    </row>
    <row r="30" spans="1:6">
      <c r="A30" s="3177">
        <v>707</v>
      </c>
      <c r="B30" s="941" t="s">
        <v>8966</v>
      </c>
      <c r="C30" s="514" t="s">
        <v>3639</v>
      </c>
      <c r="D30" s="514">
        <v>1790</v>
      </c>
      <c r="E30" s="3178"/>
      <c r="F30" s="3178"/>
    </row>
    <row r="31" spans="1:6" s="966" customFormat="1">
      <c r="A31" s="3173">
        <v>8</v>
      </c>
      <c r="B31" s="3174" t="s">
        <v>8939</v>
      </c>
      <c r="C31" s="3175"/>
      <c r="D31" s="3175"/>
      <c r="E31" s="3176"/>
      <c r="F31" s="3176"/>
    </row>
    <row r="32" spans="1:6">
      <c r="A32" s="3179">
        <v>801</v>
      </c>
      <c r="B32" s="3180" t="s">
        <v>8967</v>
      </c>
      <c r="C32" s="514"/>
      <c r="D32" s="514"/>
      <c r="E32" s="3178"/>
      <c r="F32" s="3178"/>
    </row>
    <row r="33" spans="1:6">
      <c r="A33" s="3179">
        <v>80101</v>
      </c>
      <c r="B33" s="3180" t="s">
        <v>8940</v>
      </c>
      <c r="C33" s="514"/>
      <c r="D33" s="514"/>
      <c r="E33" s="3178"/>
      <c r="F33" s="3178"/>
    </row>
    <row r="34" spans="1:6">
      <c r="A34" s="3177">
        <v>8010106</v>
      </c>
      <c r="B34" s="941" t="s">
        <v>8941</v>
      </c>
      <c r="C34" s="514" t="s">
        <v>8932</v>
      </c>
      <c r="D34" s="514">
        <v>7800</v>
      </c>
      <c r="E34" s="3178"/>
      <c r="F34" s="3178"/>
    </row>
    <row r="35" spans="1:6">
      <c r="A35" s="3177">
        <v>8010107</v>
      </c>
      <c r="B35" s="941" t="s">
        <v>8968</v>
      </c>
      <c r="C35" s="514" t="s">
        <v>8932</v>
      </c>
      <c r="D35" s="514">
        <v>1410</v>
      </c>
      <c r="E35" s="3178"/>
      <c r="F35" s="3178"/>
    </row>
    <row r="36" spans="1:6">
      <c r="A36" s="3177">
        <v>8010108</v>
      </c>
      <c r="B36" s="941" t="s">
        <v>8969</v>
      </c>
      <c r="C36" s="514" t="s">
        <v>8932</v>
      </c>
      <c r="D36" s="514">
        <v>700</v>
      </c>
      <c r="E36" s="3178"/>
      <c r="F36" s="3178"/>
    </row>
    <row r="37" spans="1:6">
      <c r="A37" s="3177">
        <v>8010109</v>
      </c>
      <c r="B37" s="941" t="s">
        <v>8970</v>
      </c>
      <c r="C37" s="514" t="s">
        <v>8932</v>
      </c>
      <c r="D37" s="514">
        <v>1270</v>
      </c>
      <c r="E37" s="3178"/>
      <c r="F37" s="3178"/>
    </row>
    <row r="38" spans="1:6">
      <c r="A38" s="3177">
        <v>8010111</v>
      </c>
      <c r="B38" s="941" t="s">
        <v>8971</v>
      </c>
      <c r="C38" s="514" t="s">
        <v>8932</v>
      </c>
      <c r="D38" s="514">
        <v>100</v>
      </c>
      <c r="E38" s="3178"/>
      <c r="F38" s="3178"/>
    </row>
    <row r="39" spans="1:6">
      <c r="A39" s="3177">
        <v>8010112</v>
      </c>
      <c r="B39" s="941" t="s">
        <v>8972</v>
      </c>
      <c r="C39" s="514" t="s">
        <v>8932</v>
      </c>
      <c r="D39" s="514">
        <v>700</v>
      </c>
      <c r="E39" s="3178"/>
      <c r="F39" s="3178"/>
    </row>
    <row r="40" spans="1:6">
      <c r="A40" s="3177">
        <v>8010115</v>
      </c>
      <c r="B40" s="941" t="s">
        <v>8973</v>
      </c>
      <c r="C40" s="514" t="s">
        <v>8932</v>
      </c>
      <c r="D40" s="514">
        <v>310</v>
      </c>
      <c r="E40" s="3178"/>
      <c r="F40" s="3178"/>
    </row>
    <row r="41" spans="1:6" s="966" customFormat="1">
      <c r="A41" s="3173">
        <v>9</v>
      </c>
      <c r="B41" s="3174" t="s">
        <v>8942</v>
      </c>
      <c r="C41" s="3175"/>
      <c r="D41" s="3175"/>
      <c r="E41" s="3176"/>
      <c r="F41" s="3176"/>
    </row>
    <row r="42" spans="1:6">
      <c r="A42" s="3179">
        <v>901</v>
      </c>
      <c r="B42" s="941" t="s">
        <v>8943</v>
      </c>
      <c r="C42" s="514"/>
      <c r="D42" s="514"/>
      <c r="E42" s="3178"/>
      <c r="F42" s="3178"/>
    </row>
    <row r="43" spans="1:6">
      <c r="A43" s="3179">
        <v>90101</v>
      </c>
      <c r="B43" s="941" t="s">
        <v>8944</v>
      </c>
      <c r="C43" s="514"/>
      <c r="D43" s="514"/>
      <c r="E43" s="3178"/>
      <c r="F43" s="3178"/>
    </row>
    <row r="44" spans="1:6">
      <c r="A44" s="3177">
        <v>9010101</v>
      </c>
      <c r="B44" s="941" t="s">
        <v>8974</v>
      </c>
      <c r="C44" s="514" t="s">
        <v>8945</v>
      </c>
      <c r="D44" s="514">
        <v>182</v>
      </c>
      <c r="E44" s="3178"/>
      <c r="F44" s="3178"/>
    </row>
    <row r="45" spans="1:6">
      <c r="A45" s="3177">
        <v>9010103</v>
      </c>
      <c r="B45" s="941" t="s">
        <v>8975</v>
      </c>
      <c r="C45" s="514" t="s">
        <v>8932</v>
      </c>
      <c r="D45" s="514">
        <v>223</v>
      </c>
      <c r="E45" s="3178"/>
      <c r="F45" s="3178"/>
    </row>
    <row r="46" spans="1:6">
      <c r="A46" s="3177">
        <v>9010104</v>
      </c>
      <c r="B46" s="941" t="s">
        <v>8976</v>
      </c>
      <c r="C46" s="514" t="s">
        <v>8932</v>
      </c>
      <c r="D46" s="514">
        <v>26</v>
      </c>
      <c r="E46" s="3178"/>
      <c r="F46" s="3178"/>
    </row>
    <row r="47" spans="1:6">
      <c r="A47" s="3177">
        <v>9010109</v>
      </c>
      <c r="B47" s="941" t="s">
        <v>8977</v>
      </c>
      <c r="C47" s="514" t="s">
        <v>8945</v>
      </c>
      <c r="D47" s="514">
        <v>182</v>
      </c>
      <c r="E47" s="3178"/>
      <c r="F47" s="3178"/>
    </row>
    <row r="48" spans="1:6" s="966" customFormat="1">
      <c r="A48" s="3173">
        <v>10</v>
      </c>
      <c r="B48" s="3174" t="s">
        <v>8946</v>
      </c>
      <c r="C48" s="3175"/>
      <c r="D48" s="3175"/>
      <c r="E48" s="3176"/>
      <c r="F48" s="3176"/>
    </row>
    <row r="49" spans="1:6">
      <c r="A49" s="3179">
        <v>1001</v>
      </c>
      <c r="B49" s="3180" t="s">
        <v>8947</v>
      </c>
      <c r="C49" s="514"/>
      <c r="D49" s="514"/>
      <c r="E49" s="3178"/>
      <c r="F49" s="3178"/>
    </row>
    <row r="50" spans="1:6">
      <c r="A50" s="3177">
        <v>100101</v>
      </c>
      <c r="B50" s="941" t="s">
        <v>8948</v>
      </c>
      <c r="C50" s="514" t="s">
        <v>8932</v>
      </c>
      <c r="D50" s="514">
        <v>8760</v>
      </c>
      <c r="E50" s="3178"/>
      <c r="F50" s="3178"/>
    </row>
    <row r="51" spans="1:6">
      <c r="A51" s="3179">
        <v>1002</v>
      </c>
      <c r="B51" s="3180" t="s">
        <v>8978</v>
      </c>
      <c r="C51" s="3181"/>
      <c r="D51" s="3181"/>
      <c r="E51" s="3182"/>
      <c r="F51" s="3182"/>
    </row>
    <row r="52" spans="1:6">
      <c r="A52" s="3179">
        <v>100201</v>
      </c>
      <c r="B52" s="3180" t="s">
        <v>8979</v>
      </c>
      <c r="C52" s="3181"/>
      <c r="D52" s="3181"/>
      <c r="E52" s="3182"/>
      <c r="F52" s="3182"/>
    </row>
    <row r="53" spans="1:6">
      <c r="A53" s="3177">
        <v>10020101</v>
      </c>
      <c r="B53" s="941" t="s">
        <v>8980</v>
      </c>
      <c r="C53" s="514" t="s">
        <v>8945</v>
      </c>
      <c r="D53" s="514">
        <v>703</v>
      </c>
      <c r="E53" s="3178"/>
      <c r="F53" s="3178"/>
    </row>
    <row r="54" spans="1:6">
      <c r="A54" s="3177">
        <v>10020102</v>
      </c>
      <c r="B54" s="941" t="s">
        <v>8981</v>
      </c>
      <c r="C54" s="514" t="s">
        <v>8945</v>
      </c>
      <c r="D54" s="514">
        <v>150</v>
      </c>
      <c r="E54" s="3178"/>
      <c r="F54" s="3178"/>
    </row>
    <row r="55" spans="1:6">
      <c r="A55" s="3177">
        <v>10020103</v>
      </c>
      <c r="B55" s="941" t="s">
        <v>8982</v>
      </c>
      <c r="C55" s="514" t="s">
        <v>8945</v>
      </c>
      <c r="D55" s="514">
        <v>116</v>
      </c>
      <c r="E55" s="3178"/>
      <c r="F55" s="3178"/>
    </row>
    <row r="56" spans="1:6">
      <c r="A56" s="3177">
        <v>10020107</v>
      </c>
      <c r="B56" s="941" t="s">
        <v>8983</v>
      </c>
      <c r="C56" s="514" t="s">
        <v>8945</v>
      </c>
      <c r="D56" s="514">
        <v>123</v>
      </c>
      <c r="E56" s="3178"/>
      <c r="F56" s="3178"/>
    </row>
    <row r="57" spans="1:6">
      <c r="A57" s="3177">
        <v>10020111</v>
      </c>
      <c r="B57" s="941" t="s">
        <v>8984</v>
      </c>
      <c r="C57" s="514" t="s">
        <v>8945</v>
      </c>
      <c r="D57" s="514">
        <v>4</v>
      </c>
      <c r="E57" s="3178"/>
      <c r="F57" s="3178"/>
    </row>
    <row r="58" spans="1:6">
      <c r="A58" s="3177">
        <v>10020113</v>
      </c>
      <c r="B58" s="941" t="s">
        <v>8985</v>
      </c>
      <c r="C58" s="514" t="s">
        <v>8945</v>
      </c>
      <c r="D58" s="514">
        <v>37</v>
      </c>
      <c r="E58" s="3178"/>
      <c r="F58" s="3178"/>
    </row>
    <row r="59" spans="1:6">
      <c r="A59" s="3177">
        <v>10020115</v>
      </c>
      <c r="B59" s="941" t="s">
        <v>8986</v>
      </c>
      <c r="C59" s="514" t="s">
        <v>8945</v>
      </c>
      <c r="D59" s="514">
        <v>13</v>
      </c>
      <c r="E59" s="3178"/>
      <c r="F59" s="3178"/>
    </row>
    <row r="60" spans="1:6">
      <c r="A60" s="3179">
        <v>100203</v>
      </c>
      <c r="B60" s="3180" t="s">
        <v>8987</v>
      </c>
      <c r="C60" s="514"/>
      <c r="D60" s="514"/>
      <c r="E60" s="3178"/>
      <c r="F60" s="3178"/>
    </row>
    <row r="61" spans="1:6">
      <c r="A61" s="3177">
        <v>10020301</v>
      </c>
      <c r="B61" s="941" t="s">
        <v>8988</v>
      </c>
      <c r="C61" s="514" t="s">
        <v>8945</v>
      </c>
      <c r="D61" s="514">
        <v>565</v>
      </c>
      <c r="E61" s="3178"/>
      <c r="F61" s="3178"/>
    </row>
    <row r="62" spans="1:6">
      <c r="A62" s="3179" t="s">
        <v>9102</v>
      </c>
      <c r="B62" s="3180" t="s">
        <v>8989</v>
      </c>
      <c r="C62" s="514"/>
      <c r="D62" s="514"/>
      <c r="E62" s="3178"/>
      <c r="F62" s="3178"/>
    </row>
    <row r="63" spans="1:6">
      <c r="A63" s="3177" t="s">
        <v>9103</v>
      </c>
      <c r="B63" s="941" t="s">
        <v>8990</v>
      </c>
      <c r="C63" s="514" t="s">
        <v>8945</v>
      </c>
      <c r="D63" s="514">
        <v>1146</v>
      </c>
      <c r="E63" s="3178"/>
      <c r="F63" s="3178"/>
    </row>
    <row r="64" spans="1:6" s="966" customFormat="1">
      <c r="A64" s="3173">
        <v>12</v>
      </c>
      <c r="B64" s="3174" t="s">
        <v>8949</v>
      </c>
      <c r="C64" s="3175"/>
      <c r="D64" s="3175"/>
      <c r="E64" s="3176"/>
      <c r="F64" s="3176"/>
    </row>
    <row r="65" spans="1:6">
      <c r="A65" s="3183">
        <v>120102</v>
      </c>
      <c r="B65" s="941" t="s">
        <v>8950</v>
      </c>
      <c r="C65" s="514"/>
      <c r="D65" s="514"/>
      <c r="E65" s="3178"/>
      <c r="F65" s="3178"/>
    </row>
    <row r="66" spans="1:6">
      <c r="A66" s="3184">
        <v>12010201</v>
      </c>
      <c r="B66" s="941" t="s">
        <v>8991</v>
      </c>
      <c r="C66" s="514" t="s">
        <v>3639</v>
      </c>
      <c r="D66" s="514">
        <v>748.32240000000002</v>
      </c>
      <c r="E66" s="3178"/>
      <c r="F66" s="3178"/>
    </row>
    <row r="67" spans="1:6">
      <c r="A67" s="3179">
        <v>1202</v>
      </c>
      <c r="B67" s="941" t="s">
        <v>8992</v>
      </c>
      <c r="C67" s="514"/>
      <c r="D67" s="514"/>
      <c r="E67" s="3178"/>
      <c r="F67" s="3178"/>
    </row>
    <row r="68" spans="1:6">
      <c r="A68" s="3177">
        <v>120201</v>
      </c>
      <c r="B68" s="941" t="s">
        <v>8993</v>
      </c>
      <c r="C68" s="514" t="s">
        <v>4696</v>
      </c>
      <c r="D68" s="514">
        <v>2900</v>
      </c>
      <c r="E68" s="3178"/>
      <c r="F68" s="3178"/>
    </row>
    <row r="69" spans="1:6">
      <c r="A69" s="3179">
        <v>1203</v>
      </c>
      <c r="B69" s="941" t="s">
        <v>8994</v>
      </c>
      <c r="C69" s="514"/>
      <c r="D69" s="514"/>
      <c r="E69" s="3178"/>
      <c r="F69" s="3178"/>
    </row>
    <row r="70" spans="1:6">
      <c r="A70" s="3177">
        <v>120301</v>
      </c>
      <c r="B70" s="941" t="s">
        <v>8995</v>
      </c>
      <c r="C70" s="514" t="s">
        <v>8932</v>
      </c>
      <c r="D70" s="514">
        <v>970</v>
      </c>
      <c r="E70" s="3178"/>
      <c r="F70" s="3178"/>
    </row>
    <row r="71" spans="1:6">
      <c r="A71" s="3177">
        <v>120302</v>
      </c>
      <c r="B71" s="941" t="s">
        <v>8996</v>
      </c>
      <c r="C71" s="514" t="s">
        <v>8932</v>
      </c>
      <c r="D71" s="514">
        <v>970</v>
      </c>
      <c r="E71" s="3178"/>
      <c r="F71" s="3178"/>
    </row>
    <row r="72" spans="1:6" s="966" customFormat="1">
      <c r="A72" s="3173">
        <v>13</v>
      </c>
      <c r="B72" s="3174" t="s">
        <v>8997</v>
      </c>
      <c r="C72" s="3175"/>
      <c r="D72" s="3175"/>
      <c r="E72" s="3176"/>
      <c r="F72" s="3176"/>
    </row>
    <row r="73" spans="1:6">
      <c r="A73" s="3179">
        <v>1301</v>
      </c>
      <c r="B73" s="3180" t="s">
        <v>8998</v>
      </c>
      <c r="C73" s="514"/>
      <c r="D73" s="514"/>
      <c r="E73" s="3178"/>
      <c r="F73" s="3178"/>
    </row>
    <row r="74" spans="1:6">
      <c r="A74" s="3177">
        <v>130103</v>
      </c>
      <c r="B74" s="941" t="s">
        <v>8999</v>
      </c>
      <c r="C74" s="514" t="s">
        <v>3639</v>
      </c>
      <c r="D74" s="514">
        <v>30</v>
      </c>
      <c r="E74" s="3178"/>
      <c r="F74" s="3178"/>
    </row>
    <row r="75" spans="1:6">
      <c r="A75" s="3179">
        <v>1302</v>
      </c>
      <c r="B75" s="3180" t="s">
        <v>9000</v>
      </c>
      <c r="C75" s="514"/>
      <c r="D75" s="514"/>
      <c r="E75" s="3178"/>
      <c r="F75" s="3178"/>
    </row>
    <row r="76" spans="1:6">
      <c r="A76" s="3177">
        <v>130205</v>
      </c>
      <c r="B76" s="941" t="s">
        <v>9001</v>
      </c>
      <c r="C76" s="514" t="s">
        <v>3639</v>
      </c>
      <c r="D76" s="514">
        <v>30</v>
      </c>
      <c r="E76" s="3178"/>
      <c r="F76" s="3178"/>
    </row>
    <row r="77" spans="1:6">
      <c r="A77" s="3185"/>
      <c r="B77" s="941"/>
      <c r="C77" s="514"/>
      <c r="D77" s="514"/>
      <c r="E77" s="3178"/>
      <c r="F77" s="3178"/>
    </row>
    <row r="78" spans="1:6" ht="16.8">
      <c r="A78" s="3384" t="s">
        <v>9104</v>
      </c>
      <c r="B78" s="3384"/>
      <c r="C78" s="3384"/>
      <c r="D78" s="3384"/>
      <c r="E78" s="3384"/>
      <c r="F78" s="3384"/>
    </row>
    <row r="79" spans="1:6">
      <c r="A79" s="3186"/>
      <c r="B79" s="941"/>
      <c r="C79" s="514"/>
      <c r="D79" s="514"/>
      <c r="E79" s="3178"/>
      <c r="F79" s="3178"/>
    </row>
    <row r="80" spans="1:6" s="966" customFormat="1">
      <c r="A80" s="3173">
        <v>2</v>
      </c>
      <c r="B80" s="3174" t="s">
        <v>8930</v>
      </c>
      <c r="C80" s="3175"/>
      <c r="D80" s="3175"/>
      <c r="E80" s="3176"/>
      <c r="F80" s="3176"/>
    </row>
    <row r="81" spans="1:6">
      <c r="A81" s="3177">
        <v>202</v>
      </c>
      <c r="B81" s="941" t="s">
        <v>9002</v>
      </c>
      <c r="C81" s="514" t="s">
        <v>4696</v>
      </c>
      <c r="D81" s="514">
        <v>1010</v>
      </c>
      <c r="E81" s="3178"/>
      <c r="F81" s="3178"/>
    </row>
    <row r="82" spans="1:6">
      <c r="A82" s="3177">
        <v>203</v>
      </c>
      <c r="B82" s="941" t="s">
        <v>9003</v>
      </c>
      <c r="C82" s="514" t="s">
        <v>4696</v>
      </c>
      <c r="D82" s="514">
        <v>1010</v>
      </c>
      <c r="E82" s="3178"/>
      <c r="F82" s="3178"/>
    </row>
    <row r="83" spans="1:6" s="966" customFormat="1">
      <c r="A83" s="3173">
        <v>3</v>
      </c>
      <c r="B83" s="3174" t="s">
        <v>6197</v>
      </c>
      <c r="C83" s="3175"/>
      <c r="D83" s="3175"/>
      <c r="E83" s="3176"/>
      <c r="F83" s="3176"/>
    </row>
    <row r="84" spans="1:6">
      <c r="A84" s="3177">
        <v>304</v>
      </c>
      <c r="B84" s="941" t="s">
        <v>8953</v>
      </c>
      <c r="C84" s="514" t="s">
        <v>3639</v>
      </c>
      <c r="D84" s="514">
        <v>200</v>
      </c>
      <c r="E84" s="3178"/>
      <c r="F84" s="3178"/>
    </row>
    <row r="85" spans="1:6">
      <c r="A85" s="3177">
        <v>306</v>
      </c>
      <c r="B85" s="941" t="s">
        <v>8955</v>
      </c>
      <c r="C85" s="514" t="s">
        <v>3639</v>
      </c>
      <c r="D85" s="514">
        <v>2676.9600000000005</v>
      </c>
      <c r="E85" s="3178"/>
      <c r="F85" s="3178"/>
    </row>
    <row r="86" spans="1:6" s="966" customFormat="1">
      <c r="A86" s="3173">
        <v>6</v>
      </c>
      <c r="B86" s="3174" t="s">
        <v>8937</v>
      </c>
      <c r="C86" s="3175"/>
      <c r="D86" s="3175"/>
      <c r="E86" s="3176"/>
      <c r="F86" s="3176"/>
    </row>
    <row r="87" spans="1:6" ht="26.4">
      <c r="A87" s="3177">
        <v>601</v>
      </c>
      <c r="B87" s="941" t="s">
        <v>8959</v>
      </c>
      <c r="C87" s="514" t="s">
        <v>8960</v>
      </c>
      <c r="D87" s="514">
        <v>28769.599999999999</v>
      </c>
      <c r="E87" s="3178"/>
      <c r="F87" s="3178"/>
    </row>
    <row r="88" spans="1:6" s="966" customFormat="1">
      <c r="A88" s="3173">
        <v>7</v>
      </c>
      <c r="B88" s="3174" t="s">
        <v>8938</v>
      </c>
      <c r="C88" s="3175"/>
      <c r="D88" s="3175"/>
      <c r="E88" s="3176"/>
      <c r="F88" s="3176"/>
    </row>
    <row r="89" spans="1:6">
      <c r="A89" s="3177">
        <v>702</v>
      </c>
      <c r="B89" s="941" t="s">
        <v>8962</v>
      </c>
      <c r="C89" s="514" t="s">
        <v>3639</v>
      </c>
      <c r="D89" s="514">
        <v>1350</v>
      </c>
      <c r="E89" s="3178"/>
      <c r="F89" s="3178"/>
    </row>
    <row r="90" spans="1:6">
      <c r="A90" s="3177">
        <v>708</v>
      </c>
      <c r="B90" s="941" t="s">
        <v>9004</v>
      </c>
      <c r="C90" s="514" t="s">
        <v>3639</v>
      </c>
      <c r="D90" s="514">
        <v>85</v>
      </c>
      <c r="E90" s="3178"/>
      <c r="F90" s="3178"/>
    </row>
    <row r="91" spans="1:6" s="966" customFormat="1">
      <c r="A91" s="3173">
        <v>12</v>
      </c>
      <c r="B91" s="3174" t="s">
        <v>8949</v>
      </c>
      <c r="C91" s="3175"/>
      <c r="D91" s="3175"/>
      <c r="E91" s="3176"/>
      <c r="F91" s="3176"/>
    </row>
    <row r="92" spans="1:6">
      <c r="A92" s="3179">
        <v>1202</v>
      </c>
      <c r="B92" s="3180" t="s">
        <v>8992</v>
      </c>
      <c r="C92" s="514"/>
      <c r="D92" s="514"/>
      <c r="E92" s="3178"/>
      <c r="F92" s="3178"/>
    </row>
    <row r="93" spans="1:6">
      <c r="A93" s="3177">
        <v>120201</v>
      </c>
      <c r="B93" s="941" t="s">
        <v>8993</v>
      </c>
      <c r="C93" s="514" t="s">
        <v>4696</v>
      </c>
      <c r="D93" s="514">
        <v>240</v>
      </c>
      <c r="E93" s="3178"/>
      <c r="F93" s="3178"/>
    </row>
    <row r="94" spans="1:6">
      <c r="A94" s="3179">
        <v>1203</v>
      </c>
      <c r="B94" s="3180" t="s">
        <v>8994</v>
      </c>
      <c r="C94" s="514"/>
      <c r="D94" s="514"/>
      <c r="E94" s="3178"/>
      <c r="F94" s="3178"/>
    </row>
    <row r="95" spans="1:6">
      <c r="A95" s="3177">
        <v>120301</v>
      </c>
      <c r="B95" s="941" t="s">
        <v>8995</v>
      </c>
      <c r="C95" s="514" t="s">
        <v>8932</v>
      </c>
      <c r="D95" s="514">
        <v>140</v>
      </c>
      <c r="E95" s="3178"/>
      <c r="F95" s="3178"/>
    </row>
    <row r="96" spans="1:6">
      <c r="A96" s="3179">
        <v>1204</v>
      </c>
      <c r="B96" s="3180" t="s">
        <v>9005</v>
      </c>
      <c r="C96" s="514"/>
      <c r="D96" s="514"/>
      <c r="E96" s="3178"/>
      <c r="F96" s="3178"/>
    </row>
    <row r="97" spans="1:6">
      <c r="A97" s="3177">
        <v>120401</v>
      </c>
      <c r="B97" s="941" t="s">
        <v>9006</v>
      </c>
      <c r="C97" s="514" t="s">
        <v>4696</v>
      </c>
      <c r="D97" s="514">
        <v>170</v>
      </c>
      <c r="E97" s="3178"/>
      <c r="F97" s="3178"/>
    </row>
    <row r="98" spans="1:6">
      <c r="A98" s="3179">
        <v>1205</v>
      </c>
      <c r="B98" s="3180" t="s">
        <v>9007</v>
      </c>
      <c r="C98" s="514"/>
      <c r="D98" s="514"/>
      <c r="E98" s="3178"/>
      <c r="F98" s="3178"/>
    </row>
    <row r="99" spans="1:6">
      <c r="A99" s="3177">
        <v>120501</v>
      </c>
      <c r="B99" s="941" t="s">
        <v>9008</v>
      </c>
      <c r="C99" s="514" t="s">
        <v>4696</v>
      </c>
      <c r="D99" s="514">
        <v>500</v>
      </c>
      <c r="E99" s="3178"/>
      <c r="F99" s="3178"/>
    </row>
    <row r="100" spans="1:6">
      <c r="A100" s="3177">
        <v>120502</v>
      </c>
      <c r="B100" s="941" t="s">
        <v>9009</v>
      </c>
      <c r="C100" s="514" t="s">
        <v>8945</v>
      </c>
      <c r="D100" s="514">
        <v>5</v>
      </c>
      <c r="E100" s="3178"/>
      <c r="F100" s="3178"/>
    </row>
    <row r="101" spans="1:6" s="966" customFormat="1">
      <c r="A101" s="3173">
        <v>13</v>
      </c>
      <c r="B101" s="3174" t="s">
        <v>8997</v>
      </c>
      <c r="C101" s="3175"/>
      <c r="D101" s="3175"/>
      <c r="E101" s="3176"/>
      <c r="F101" s="3176"/>
    </row>
    <row r="102" spans="1:6">
      <c r="A102" s="3179">
        <v>1302</v>
      </c>
      <c r="B102" s="3180" t="s">
        <v>9000</v>
      </c>
      <c r="C102" s="514"/>
      <c r="D102" s="514"/>
      <c r="E102" s="3178"/>
      <c r="F102" s="3178"/>
    </row>
    <row r="103" spans="1:6">
      <c r="A103" s="3192">
        <v>20</v>
      </c>
      <c r="B103" s="3180" t="s">
        <v>9010</v>
      </c>
      <c r="C103" s="514"/>
      <c r="D103" s="514"/>
      <c r="E103" s="3178"/>
      <c r="F103" s="3178"/>
    </row>
    <row r="104" spans="1:6">
      <c r="A104" s="3179"/>
      <c r="B104" s="3180" t="s">
        <v>9011</v>
      </c>
      <c r="C104" s="514"/>
      <c r="D104" s="514"/>
      <c r="E104" s="3178"/>
      <c r="F104" s="3178"/>
    </row>
    <row r="105" spans="1:6">
      <c r="A105" s="3177">
        <v>130201</v>
      </c>
      <c r="B105" s="941" t="s">
        <v>9012</v>
      </c>
      <c r="C105" s="514" t="s">
        <v>3639</v>
      </c>
      <c r="D105" s="514">
        <v>10</v>
      </c>
      <c r="E105" s="3178"/>
      <c r="F105" s="3178"/>
    </row>
    <row r="106" spans="1:6" ht="26.4">
      <c r="A106" s="3193">
        <v>200101</v>
      </c>
      <c r="B106" s="941" t="s">
        <v>9013</v>
      </c>
      <c r="C106" s="514" t="s">
        <v>3639</v>
      </c>
      <c r="D106" s="514">
        <v>89.4</v>
      </c>
      <c r="E106" s="3178"/>
      <c r="F106" s="3178"/>
    </row>
    <row r="107" spans="1:6" ht="26.4">
      <c r="A107" s="3193">
        <v>200102</v>
      </c>
      <c r="B107" s="941" t="s">
        <v>9014</v>
      </c>
      <c r="C107" s="514" t="s">
        <v>3639</v>
      </c>
      <c r="D107" s="514">
        <v>221.79999999999998</v>
      </c>
      <c r="E107" s="3178"/>
      <c r="F107" s="3178"/>
    </row>
    <row r="108" spans="1:6" ht="26.4">
      <c r="A108" s="3193">
        <v>200103</v>
      </c>
      <c r="B108" s="941" t="s">
        <v>9015</v>
      </c>
      <c r="C108" s="514" t="s">
        <v>3639</v>
      </c>
      <c r="D108" s="514">
        <v>22.5</v>
      </c>
      <c r="E108" s="3178"/>
      <c r="F108" s="3178"/>
    </row>
    <row r="109" spans="1:6" ht="26.4">
      <c r="A109" s="3193">
        <v>200104</v>
      </c>
      <c r="B109" s="941" t="s">
        <v>9016</v>
      </c>
      <c r="C109" s="514" t="s">
        <v>3639</v>
      </c>
      <c r="D109" s="514">
        <v>73.599999999999994</v>
      </c>
      <c r="E109" s="3178"/>
      <c r="F109" s="3178"/>
    </row>
    <row r="110" spans="1:6">
      <c r="A110" s="3177">
        <v>200108</v>
      </c>
      <c r="B110" s="941" t="s">
        <v>9017</v>
      </c>
      <c r="C110" s="514" t="s">
        <v>3639</v>
      </c>
      <c r="D110" s="514">
        <v>2.9</v>
      </c>
      <c r="E110" s="3178"/>
      <c r="F110" s="3178"/>
    </row>
    <row r="111" spans="1:6">
      <c r="A111" s="3179"/>
      <c r="B111" s="3180" t="s">
        <v>9018</v>
      </c>
      <c r="C111" s="514"/>
      <c r="D111" s="514"/>
      <c r="E111" s="3178"/>
      <c r="F111" s="3178"/>
    </row>
    <row r="112" spans="1:6" ht="26.4">
      <c r="A112" s="3193">
        <v>200104</v>
      </c>
      <c r="B112" s="941" t="s">
        <v>9016</v>
      </c>
      <c r="C112" s="514" t="s">
        <v>3639</v>
      </c>
      <c r="D112" s="514">
        <v>43</v>
      </c>
      <c r="E112" s="3178"/>
      <c r="F112" s="3178"/>
    </row>
    <row r="113" spans="1:6">
      <c r="A113" s="3193">
        <v>200105</v>
      </c>
      <c r="B113" s="941" t="s">
        <v>9019</v>
      </c>
      <c r="C113" s="514" t="s">
        <v>3639</v>
      </c>
      <c r="D113" s="514">
        <v>2.7</v>
      </c>
      <c r="E113" s="3178"/>
      <c r="F113" s="3178"/>
    </row>
    <row r="114" spans="1:6">
      <c r="A114" s="3193">
        <v>200106</v>
      </c>
      <c r="B114" s="941" t="s">
        <v>9020</v>
      </c>
      <c r="C114" s="514" t="s">
        <v>3639</v>
      </c>
      <c r="D114" s="514">
        <v>8.1</v>
      </c>
      <c r="E114" s="3178"/>
      <c r="F114" s="3178"/>
    </row>
    <row r="115" spans="1:6">
      <c r="A115" s="3193">
        <v>200107</v>
      </c>
      <c r="B115" s="941" t="s">
        <v>9021</v>
      </c>
      <c r="C115" s="514" t="s">
        <v>3639</v>
      </c>
      <c r="D115" s="514">
        <v>7.9</v>
      </c>
      <c r="E115" s="3178"/>
      <c r="F115" s="3178"/>
    </row>
    <row r="116" spans="1:6">
      <c r="A116" s="3177">
        <v>140105</v>
      </c>
      <c r="B116" s="941" t="s">
        <v>9022</v>
      </c>
      <c r="C116" s="514" t="s">
        <v>8932</v>
      </c>
      <c r="D116" s="514">
        <v>100</v>
      </c>
      <c r="E116" s="3178"/>
      <c r="F116" s="3178"/>
    </row>
    <row r="117" spans="1:6">
      <c r="A117" s="3177"/>
      <c r="B117" s="3180" t="s">
        <v>9023</v>
      </c>
      <c r="C117" s="514"/>
      <c r="D117" s="514"/>
      <c r="E117" s="3178"/>
      <c r="F117" s="3178"/>
    </row>
    <row r="118" spans="1:6" ht="26.4">
      <c r="A118" s="3193">
        <v>200104</v>
      </c>
      <c r="B118" s="941" t="s">
        <v>9016</v>
      </c>
      <c r="C118" s="514" t="s">
        <v>3639</v>
      </c>
      <c r="D118" s="514">
        <v>8.41</v>
      </c>
      <c r="E118" s="3178"/>
      <c r="F118" s="3178"/>
    </row>
    <row r="119" spans="1:6" s="966" customFormat="1">
      <c r="A119" s="3173">
        <v>1402</v>
      </c>
      <c r="B119" s="3174" t="s">
        <v>5088</v>
      </c>
      <c r="C119" s="3175"/>
      <c r="D119" s="3175"/>
      <c r="E119" s="3176"/>
      <c r="F119" s="3176"/>
    </row>
    <row r="120" spans="1:6">
      <c r="A120" s="3177">
        <v>140201</v>
      </c>
      <c r="B120" s="941" t="s">
        <v>9024</v>
      </c>
      <c r="C120" s="514" t="s">
        <v>426</v>
      </c>
      <c r="D120" s="514">
        <v>54650</v>
      </c>
      <c r="E120" s="3178"/>
      <c r="F120" s="3178"/>
    </row>
    <row r="121" spans="1:6" s="966" customFormat="1">
      <c r="A121" s="3173">
        <v>15</v>
      </c>
      <c r="B121" s="3174" t="s">
        <v>9025</v>
      </c>
      <c r="C121" s="3175"/>
      <c r="D121" s="3175"/>
      <c r="E121" s="3176"/>
      <c r="F121" s="3176"/>
    </row>
    <row r="122" spans="1:6">
      <c r="A122" s="3179">
        <v>1501</v>
      </c>
      <c r="B122" s="3180" t="s">
        <v>9026</v>
      </c>
      <c r="C122" s="514"/>
      <c r="D122" s="514"/>
      <c r="E122" s="3178"/>
      <c r="F122" s="3178"/>
    </row>
    <row r="123" spans="1:6">
      <c r="A123" s="3179">
        <v>150101</v>
      </c>
      <c r="B123" s="3180" t="s">
        <v>9027</v>
      </c>
      <c r="C123" s="514"/>
      <c r="D123" s="514"/>
      <c r="E123" s="3178"/>
      <c r="F123" s="3178"/>
    </row>
    <row r="124" spans="1:6">
      <c r="A124" s="3177">
        <v>15010102</v>
      </c>
      <c r="B124" s="941" t="s">
        <v>9028</v>
      </c>
      <c r="C124" s="514" t="s">
        <v>8945</v>
      </c>
      <c r="D124" s="514">
        <v>1</v>
      </c>
      <c r="E124" s="3178"/>
      <c r="F124" s="3178"/>
    </row>
    <row r="125" spans="1:6">
      <c r="A125" s="3179">
        <v>1502</v>
      </c>
      <c r="B125" s="3180" t="s">
        <v>9029</v>
      </c>
      <c r="C125" s="514"/>
      <c r="D125" s="514"/>
      <c r="E125" s="3178"/>
      <c r="F125" s="3178"/>
    </row>
    <row r="126" spans="1:6">
      <c r="A126" s="3179">
        <v>150201</v>
      </c>
      <c r="B126" s="3180" t="s">
        <v>9030</v>
      </c>
      <c r="C126" s="514"/>
      <c r="D126" s="514"/>
      <c r="E126" s="3178"/>
      <c r="F126" s="3178"/>
    </row>
    <row r="127" spans="1:6">
      <c r="A127" s="3177">
        <v>15020102</v>
      </c>
      <c r="B127" s="941" t="s">
        <v>9031</v>
      </c>
      <c r="C127" s="514" t="s">
        <v>8945</v>
      </c>
      <c r="D127" s="514">
        <v>1</v>
      </c>
      <c r="E127" s="3178"/>
      <c r="F127" s="3178"/>
    </row>
    <row r="128" spans="1:6" s="966" customFormat="1">
      <c r="A128" s="3173">
        <v>15</v>
      </c>
      <c r="B128" s="3174" t="s">
        <v>9025</v>
      </c>
      <c r="C128" s="3175"/>
      <c r="D128" s="3175"/>
      <c r="E128" s="3176"/>
      <c r="F128" s="3176"/>
    </row>
    <row r="129" spans="1:6">
      <c r="A129" s="3179">
        <v>1501</v>
      </c>
      <c r="B129" s="3180" t="s">
        <v>9026</v>
      </c>
      <c r="C129" s="514"/>
      <c r="D129" s="514"/>
      <c r="E129" s="3178"/>
      <c r="F129" s="3178"/>
    </row>
    <row r="130" spans="1:6">
      <c r="A130" s="3179">
        <v>150102</v>
      </c>
      <c r="B130" s="3180" t="s">
        <v>9032</v>
      </c>
      <c r="C130" s="514"/>
      <c r="D130" s="514"/>
      <c r="E130" s="3178"/>
      <c r="F130" s="3178"/>
    </row>
    <row r="131" spans="1:6">
      <c r="A131" s="3179">
        <v>15010201</v>
      </c>
      <c r="B131" s="3180" t="s">
        <v>9033</v>
      </c>
      <c r="C131" s="514"/>
      <c r="D131" s="514"/>
      <c r="E131" s="3178"/>
      <c r="F131" s="3178"/>
    </row>
    <row r="132" spans="1:6">
      <c r="A132" s="3177">
        <v>1501020101</v>
      </c>
      <c r="B132" s="941" t="s">
        <v>9034</v>
      </c>
      <c r="C132" s="514" t="s">
        <v>8945</v>
      </c>
      <c r="D132" s="514">
        <v>2</v>
      </c>
      <c r="E132" s="3178"/>
      <c r="F132" s="3178"/>
    </row>
    <row r="133" spans="1:6">
      <c r="A133" s="3179">
        <v>15010206</v>
      </c>
      <c r="B133" s="3180" t="s">
        <v>9035</v>
      </c>
      <c r="C133" s="514"/>
      <c r="D133" s="514"/>
      <c r="E133" s="3178"/>
      <c r="F133" s="3178"/>
    </row>
    <row r="134" spans="1:6">
      <c r="A134" s="3177">
        <v>1501020602</v>
      </c>
      <c r="B134" s="941" t="s">
        <v>9036</v>
      </c>
      <c r="C134" s="514" t="s">
        <v>8945</v>
      </c>
      <c r="D134" s="514">
        <v>3</v>
      </c>
      <c r="E134" s="3178"/>
      <c r="F134" s="3178"/>
    </row>
    <row r="135" spans="1:6">
      <c r="A135" s="3177">
        <v>1501020614</v>
      </c>
      <c r="B135" s="941" t="s">
        <v>9037</v>
      </c>
      <c r="C135" s="514" t="s">
        <v>8945</v>
      </c>
      <c r="D135" s="514">
        <v>2</v>
      </c>
      <c r="E135" s="3178"/>
      <c r="F135" s="3178"/>
    </row>
    <row r="136" spans="1:6">
      <c r="A136" s="3177">
        <v>1501020615</v>
      </c>
      <c r="B136" s="941" t="s">
        <v>9038</v>
      </c>
      <c r="C136" s="514" t="s">
        <v>8945</v>
      </c>
      <c r="D136" s="514">
        <v>2</v>
      </c>
      <c r="E136" s="3178"/>
      <c r="F136" s="3178"/>
    </row>
    <row r="137" spans="1:6">
      <c r="A137" s="3177">
        <v>1501020616</v>
      </c>
      <c r="B137" s="941" t="s">
        <v>9039</v>
      </c>
      <c r="C137" s="514" t="s">
        <v>8945</v>
      </c>
      <c r="D137" s="514">
        <v>2</v>
      </c>
      <c r="E137" s="3178"/>
      <c r="F137" s="3178"/>
    </row>
    <row r="138" spans="1:6">
      <c r="A138" s="3177">
        <v>1501020617</v>
      </c>
      <c r="B138" s="941" t="s">
        <v>9040</v>
      </c>
      <c r="C138" s="514" t="s">
        <v>8945</v>
      </c>
      <c r="D138" s="514">
        <v>2</v>
      </c>
      <c r="E138" s="3178"/>
      <c r="F138" s="3178"/>
    </row>
    <row r="139" spans="1:6">
      <c r="A139" s="3177">
        <v>1501020618</v>
      </c>
      <c r="B139" s="941" t="s">
        <v>9041</v>
      </c>
      <c r="C139" s="514" t="s">
        <v>8945</v>
      </c>
      <c r="D139" s="514">
        <v>2</v>
      </c>
      <c r="E139" s="3178"/>
      <c r="F139" s="3178"/>
    </row>
    <row r="140" spans="1:6">
      <c r="A140" s="3177">
        <v>1501020619</v>
      </c>
      <c r="B140" s="941" t="s">
        <v>9042</v>
      </c>
      <c r="C140" s="514" t="s">
        <v>8945</v>
      </c>
      <c r="D140" s="514">
        <v>2</v>
      </c>
      <c r="E140" s="3178"/>
      <c r="F140" s="3178"/>
    </row>
    <row r="141" spans="1:6">
      <c r="A141" s="3177">
        <v>1501020620</v>
      </c>
      <c r="B141" s="941" t="s">
        <v>9043</v>
      </c>
      <c r="C141" s="514" t="s">
        <v>8945</v>
      </c>
      <c r="D141" s="514">
        <v>2</v>
      </c>
      <c r="E141" s="3178"/>
      <c r="F141" s="3178"/>
    </row>
    <row r="142" spans="1:6">
      <c r="A142" s="3177">
        <v>1501020621</v>
      </c>
      <c r="B142" s="941" t="s">
        <v>9044</v>
      </c>
      <c r="C142" s="514" t="s">
        <v>8945</v>
      </c>
      <c r="D142" s="514">
        <v>2</v>
      </c>
      <c r="E142" s="3178"/>
      <c r="F142" s="3178"/>
    </row>
    <row r="143" spans="1:6">
      <c r="A143" s="3177">
        <v>1501020622</v>
      </c>
      <c r="B143" s="941" t="s">
        <v>9045</v>
      </c>
      <c r="C143" s="514" t="s">
        <v>8945</v>
      </c>
      <c r="D143" s="514">
        <v>1</v>
      </c>
      <c r="E143" s="3178"/>
      <c r="F143" s="3178"/>
    </row>
    <row r="144" spans="1:6">
      <c r="A144" s="3177">
        <v>1501020623</v>
      </c>
      <c r="B144" s="941" t="s">
        <v>9046</v>
      </c>
      <c r="C144" s="514" t="s">
        <v>8945</v>
      </c>
      <c r="D144" s="514">
        <v>2</v>
      </c>
      <c r="E144" s="3178"/>
      <c r="F144" s="3178"/>
    </row>
    <row r="145" spans="1:6">
      <c r="A145" s="3177">
        <v>1501020624</v>
      </c>
      <c r="B145" s="941" t="s">
        <v>9047</v>
      </c>
      <c r="C145" s="514" t="s">
        <v>8945</v>
      </c>
      <c r="D145" s="514">
        <v>2</v>
      </c>
      <c r="E145" s="3178"/>
      <c r="F145" s="3178"/>
    </row>
    <row r="146" spans="1:6">
      <c r="A146" s="3177">
        <v>1501020625</v>
      </c>
      <c r="B146" s="941" t="s">
        <v>9048</v>
      </c>
      <c r="C146" s="514" t="s">
        <v>8945</v>
      </c>
      <c r="D146" s="514">
        <v>1</v>
      </c>
      <c r="E146" s="3178"/>
      <c r="F146" s="3178"/>
    </row>
    <row r="147" spans="1:6">
      <c r="A147" s="3179">
        <v>15010204</v>
      </c>
      <c r="B147" s="3180" t="s">
        <v>9049</v>
      </c>
      <c r="C147" s="514"/>
      <c r="D147" s="514"/>
      <c r="E147" s="3178"/>
      <c r="F147" s="3178"/>
    </row>
    <row r="148" spans="1:6">
      <c r="A148" s="3177">
        <v>1501020401</v>
      </c>
      <c r="B148" s="941" t="s">
        <v>9050</v>
      </c>
      <c r="C148" s="514" t="s">
        <v>8945</v>
      </c>
      <c r="D148" s="514">
        <v>1</v>
      </c>
      <c r="E148" s="3178"/>
      <c r="F148" s="3178"/>
    </row>
    <row r="149" spans="1:6">
      <c r="A149" s="3179">
        <v>1502</v>
      </c>
      <c r="B149" s="3180" t="s">
        <v>9029</v>
      </c>
      <c r="C149" s="514"/>
      <c r="D149" s="514"/>
      <c r="E149" s="3178"/>
      <c r="F149" s="3178"/>
    </row>
    <row r="150" spans="1:6">
      <c r="A150" s="3179">
        <v>15020201</v>
      </c>
      <c r="B150" s="3180" t="s">
        <v>9051</v>
      </c>
      <c r="C150" s="514"/>
      <c r="D150" s="514"/>
      <c r="E150" s="3178"/>
      <c r="F150" s="3178"/>
    </row>
    <row r="151" spans="1:6">
      <c r="A151" s="3177">
        <v>1502020101</v>
      </c>
      <c r="B151" s="941" t="s">
        <v>9052</v>
      </c>
      <c r="C151" s="514" t="s">
        <v>8945</v>
      </c>
      <c r="D151" s="514">
        <v>1</v>
      </c>
      <c r="E151" s="3178"/>
      <c r="F151" s="3178"/>
    </row>
    <row r="152" spans="1:6">
      <c r="A152" s="3179">
        <v>15020202</v>
      </c>
      <c r="B152" s="3180" t="s">
        <v>9053</v>
      </c>
      <c r="C152" s="514"/>
      <c r="D152" s="514"/>
      <c r="E152" s="3178"/>
      <c r="F152" s="3178"/>
    </row>
    <row r="153" spans="1:6">
      <c r="A153" s="3177">
        <v>1502020201</v>
      </c>
      <c r="B153" s="941" t="s">
        <v>9054</v>
      </c>
      <c r="C153" s="514" t="s">
        <v>8945</v>
      </c>
      <c r="D153" s="514">
        <v>1</v>
      </c>
      <c r="E153" s="3178"/>
      <c r="F153" s="3178"/>
    </row>
    <row r="154" spans="1:6">
      <c r="A154" s="3179">
        <v>15020203</v>
      </c>
      <c r="B154" s="3180" t="s">
        <v>9055</v>
      </c>
      <c r="C154" s="514"/>
      <c r="D154" s="514"/>
      <c r="E154" s="3178"/>
      <c r="F154" s="3178"/>
    </row>
    <row r="155" spans="1:6">
      <c r="A155" s="3177">
        <v>1502020301</v>
      </c>
      <c r="B155" s="941" t="s">
        <v>9056</v>
      </c>
      <c r="C155" s="514" t="s">
        <v>8945</v>
      </c>
      <c r="D155" s="514">
        <v>1</v>
      </c>
      <c r="E155" s="3178"/>
      <c r="F155" s="3178"/>
    </row>
    <row r="156" spans="1:6">
      <c r="A156" s="3177">
        <v>1502020302</v>
      </c>
      <c r="B156" s="941" t="s">
        <v>9057</v>
      </c>
      <c r="C156" s="514" t="s">
        <v>8945</v>
      </c>
      <c r="D156" s="514">
        <v>1</v>
      </c>
      <c r="E156" s="3178"/>
      <c r="F156" s="3178"/>
    </row>
    <row r="157" spans="1:6">
      <c r="A157" s="3179">
        <v>15020204</v>
      </c>
      <c r="B157" s="3180" t="s">
        <v>9058</v>
      </c>
      <c r="C157" s="514"/>
      <c r="D157" s="514"/>
      <c r="E157" s="3178"/>
      <c r="F157" s="3178"/>
    </row>
    <row r="158" spans="1:6">
      <c r="A158" s="3177">
        <v>1502020401</v>
      </c>
      <c r="B158" s="941" t="s">
        <v>9059</v>
      </c>
      <c r="C158" s="514" t="s">
        <v>8945</v>
      </c>
      <c r="D158" s="514">
        <v>1</v>
      </c>
      <c r="E158" s="3178"/>
      <c r="F158" s="3178"/>
    </row>
    <row r="159" spans="1:6">
      <c r="A159" s="3177">
        <v>1502020403</v>
      </c>
      <c r="B159" s="941" t="s">
        <v>9060</v>
      </c>
      <c r="C159" s="514" t="s">
        <v>8945</v>
      </c>
      <c r="D159" s="514">
        <v>1</v>
      </c>
      <c r="E159" s="3178"/>
      <c r="F159" s="3178"/>
    </row>
    <row r="160" spans="1:6" ht="26.4">
      <c r="A160" s="3177">
        <v>1502020405</v>
      </c>
      <c r="B160" s="941" t="s">
        <v>9061</v>
      </c>
      <c r="C160" s="514" t="s">
        <v>8945</v>
      </c>
      <c r="D160" s="514">
        <v>1</v>
      </c>
      <c r="E160" s="3178"/>
      <c r="F160" s="3178"/>
    </row>
    <row r="161" spans="1:6">
      <c r="A161" s="3177">
        <v>1502020406</v>
      </c>
      <c r="B161" s="941" t="s">
        <v>9062</v>
      </c>
      <c r="C161" s="514" t="s">
        <v>8945</v>
      </c>
      <c r="D161" s="514">
        <v>1</v>
      </c>
      <c r="E161" s="3178"/>
      <c r="F161" s="3178"/>
    </row>
    <row r="162" spans="1:6">
      <c r="A162" s="3177">
        <v>1502020407</v>
      </c>
      <c r="B162" s="941" t="s">
        <v>9063</v>
      </c>
      <c r="C162" s="514" t="s">
        <v>8945</v>
      </c>
      <c r="D162" s="514">
        <v>1</v>
      </c>
      <c r="E162" s="3178"/>
      <c r="F162" s="3178"/>
    </row>
    <row r="163" spans="1:6" s="966" customFormat="1">
      <c r="A163" s="3173">
        <v>18</v>
      </c>
      <c r="B163" s="3174" t="s">
        <v>9064</v>
      </c>
      <c r="C163" s="3175"/>
      <c r="D163" s="3175"/>
      <c r="E163" s="3176"/>
      <c r="F163" s="3176"/>
    </row>
    <row r="164" spans="1:6">
      <c r="A164" s="3179">
        <v>1801</v>
      </c>
      <c r="B164" s="3180" t="s">
        <v>9065</v>
      </c>
      <c r="C164" s="514"/>
      <c r="D164" s="514"/>
      <c r="E164" s="3178"/>
      <c r="F164" s="3178"/>
    </row>
    <row r="165" spans="1:6">
      <c r="A165" s="3177">
        <v>180108</v>
      </c>
      <c r="B165" s="941" t="s">
        <v>9066</v>
      </c>
      <c r="C165" s="514" t="s">
        <v>647</v>
      </c>
      <c r="D165" s="514">
        <v>561</v>
      </c>
      <c r="E165" s="3178"/>
      <c r="F165" s="3178"/>
    </row>
    <row r="166" spans="1:6">
      <c r="A166" s="3177">
        <v>180102</v>
      </c>
      <c r="B166" s="941" t="s">
        <v>9067</v>
      </c>
      <c r="C166" s="514" t="s">
        <v>4696</v>
      </c>
      <c r="D166" s="514">
        <v>5</v>
      </c>
      <c r="E166" s="3178"/>
      <c r="F166" s="3178"/>
    </row>
    <row r="167" spans="1:6">
      <c r="A167" s="3177">
        <v>180103</v>
      </c>
      <c r="B167" s="941" t="s">
        <v>9068</v>
      </c>
      <c r="C167" s="514" t="s">
        <v>4696</v>
      </c>
      <c r="D167" s="514">
        <v>14</v>
      </c>
      <c r="E167" s="3178"/>
      <c r="F167" s="3178"/>
    </row>
    <row r="168" spans="1:6">
      <c r="A168" s="3177">
        <v>180104</v>
      </c>
      <c r="B168" s="941" t="s">
        <v>9069</v>
      </c>
      <c r="C168" s="514" t="s">
        <v>4696</v>
      </c>
      <c r="D168" s="514">
        <v>1</v>
      </c>
      <c r="E168" s="3178"/>
      <c r="F168" s="3178"/>
    </row>
    <row r="169" spans="1:6">
      <c r="A169" s="3177">
        <v>180105</v>
      </c>
      <c r="B169" s="941" t="s">
        <v>9070</v>
      </c>
      <c r="C169" s="514" t="s">
        <v>4696</v>
      </c>
      <c r="D169" s="514">
        <v>10</v>
      </c>
      <c r="E169" s="3178"/>
      <c r="F169" s="3178"/>
    </row>
    <row r="170" spans="1:6">
      <c r="A170" s="3177">
        <v>180106</v>
      </c>
      <c r="B170" s="941" t="s">
        <v>9071</v>
      </c>
      <c r="C170" s="514" t="s">
        <v>8945</v>
      </c>
      <c r="D170" s="514">
        <v>2</v>
      </c>
      <c r="E170" s="3178"/>
      <c r="F170" s="3178"/>
    </row>
    <row r="171" spans="1:6">
      <c r="A171" s="3177">
        <v>180107</v>
      </c>
      <c r="B171" s="941" t="s">
        <v>9072</v>
      </c>
      <c r="C171" s="514" t="s">
        <v>8932</v>
      </c>
      <c r="D171" s="514">
        <v>10</v>
      </c>
      <c r="E171" s="3178"/>
      <c r="F171" s="3178"/>
    </row>
    <row r="172" spans="1:6">
      <c r="A172" s="3179">
        <v>1802</v>
      </c>
      <c r="B172" s="3180" t="s">
        <v>9073</v>
      </c>
      <c r="C172" s="514"/>
      <c r="D172" s="514"/>
      <c r="E172" s="3178"/>
      <c r="F172" s="3178"/>
    </row>
    <row r="173" spans="1:6">
      <c r="A173" s="3177">
        <v>180201</v>
      </c>
      <c r="B173" s="941" t="s">
        <v>9074</v>
      </c>
      <c r="C173" s="514" t="s">
        <v>4696</v>
      </c>
      <c r="D173" s="514">
        <v>150</v>
      </c>
      <c r="E173" s="3178"/>
      <c r="F173" s="3178"/>
    </row>
    <row r="174" spans="1:6">
      <c r="A174" s="3179">
        <v>1803</v>
      </c>
      <c r="B174" s="941" t="s">
        <v>9075</v>
      </c>
      <c r="C174" s="514"/>
      <c r="D174" s="514"/>
      <c r="E174" s="3178"/>
      <c r="F174" s="3178"/>
    </row>
    <row r="175" spans="1:6">
      <c r="A175" s="3177">
        <v>180301</v>
      </c>
      <c r="B175" s="941" t="s">
        <v>9076</v>
      </c>
      <c r="C175" s="514" t="s">
        <v>4696</v>
      </c>
      <c r="D175" s="514">
        <v>300</v>
      </c>
      <c r="E175" s="3178"/>
      <c r="F175" s="3178"/>
    </row>
    <row r="176" spans="1:6">
      <c r="A176" s="3177">
        <v>180302</v>
      </c>
      <c r="B176" s="941" t="s">
        <v>9077</v>
      </c>
      <c r="C176" s="514" t="s">
        <v>4696</v>
      </c>
      <c r="D176" s="514">
        <v>20</v>
      </c>
      <c r="E176" s="3178"/>
      <c r="F176" s="3178"/>
    </row>
    <row r="177" spans="1:6">
      <c r="A177" s="3177">
        <v>180303</v>
      </c>
      <c r="B177" s="941" t="s">
        <v>9078</v>
      </c>
      <c r="C177" s="514" t="s">
        <v>4696</v>
      </c>
      <c r="D177" s="514">
        <v>300</v>
      </c>
      <c r="E177" s="3178"/>
      <c r="F177" s="3178"/>
    </row>
    <row r="178" spans="1:6">
      <c r="A178" s="3179">
        <v>1804</v>
      </c>
      <c r="B178" s="3180" t="s">
        <v>9079</v>
      </c>
      <c r="C178" s="514"/>
      <c r="D178" s="514"/>
      <c r="E178" s="3178"/>
      <c r="F178" s="3178"/>
    </row>
    <row r="179" spans="1:6">
      <c r="A179" s="3177">
        <v>180401</v>
      </c>
      <c r="B179" s="941" t="s">
        <v>9080</v>
      </c>
      <c r="C179" s="514" t="s">
        <v>4696</v>
      </c>
      <c r="D179" s="514">
        <v>400</v>
      </c>
      <c r="E179" s="3178"/>
      <c r="F179" s="3178"/>
    </row>
    <row r="180" spans="1:6">
      <c r="A180" s="3177">
        <v>180402</v>
      </c>
      <c r="B180" s="941" t="s">
        <v>9081</v>
      </c>
      <c r="C180" s="514" t="s">
        <v>8932</v>
      </c>
      <c r="D180" s="514">
        <v>11</v>
      </c>
      <c r="E180" s="3178"/>
      <c r="F180" s="3178"/>
    </row>
    <row r="181" spans="1:6">
      <c r="A181" s="3177">
        <v>180403</v>
      </c>
      <c r="B181" s="941" t="s">
        <v>9082</v>
      </c>
      <c r="C181" s="514" t="s">
        <v>8932</v>
      </c>
      <c r="D181" s="514">
        <v>22</v>
      </c>
      <c r="E181" s="3178"/>
      <c r="F181" s="3178"/>
    </row>
    <row r="182" spans="1:6">
      <c r="A182" s="3179">
        <v>1805</v>
      </c>
      <c r="B182" s="3180" t="s">
        <v>9083</v>
      </c>
      <c r="C182" s="514"/>
      <c r="D182" s="514"/>
      <c r="E182" s="3178"/>
      <c r="F182" s="3178"/>
    </row>
    <row r="183" spans="1:6">
      <c r="A183" s="3177">
        <v>180501</v>
      </c>
      <c r="B183" s="941" t="s">
        <v>9084</v>
      </c>
      <c r="C183" s="514" t="s">
        <v>8945</v>
      </c>
      <c r="D183" s="514">
        <v>1</v>
      </c>
      <c r="E183" s="3178"/>
      <c r="F183" s="3178"/>
    </row>
    <row r="184" spans="1:6">
      <c r="A184" s="3177">
        <v>180502</v>
      </c>
      <c r="B184" s="941" t="s">
        <v>9085</v>
      </c>
      <c r="C184" s="514" t="s">
        <v>8932</v>
      </c>
      <c r="D184" s="514">
        <v>30</v>
      </c>
      <c r="E184" s="3178"/>
      <c r="F184" s="3178"/>
    </row>
    <row r="185" spans="1:6">
      <c r="A185" s="3177">
        <v>180503</v>
      </c>
      <c r="B185" s="941" t="s">
        <v>9086</v>
      </c>
      <c r="C185" s="514" t="s">
        <v>8932</v>
      </c>
      <c r="D185" s="514">
        <v>20</v>
      </c>
      <c r="E185" s="3178"/>
      <c r="F185" s="3178"/>
    </row>
    <row r="186" spans="1:6">
      <c r="A186" s="3186"/>
      <c r="B186" s="941"/>
      <c r="C186" s="514"/>
      <c r="D186" s="514"/>
      <c r="E186" s="3178"/>
      <c r="F186" s="3178"/>
    </row>
    <row r="187" spans="1:6" ht="16.8">
      <c r="A187" s="3384" t="s">
        <v>9105</v>
      </c>
      <c r="B187" s="3384" t="s">
        <v>9099</v>
      </c>
      <c r="C187" s="3384"/>
      <c r="D187" s="3384"/>
      <c r="E187" s="3384"/>
      <c r="F187" s="3384"/>
    </row>
    <row r="188" spans="1:6" s="966" customFormat="1">
      <c r="A188" s="3173">
        <v>2</v>
      </c>
      <c r="B188" s="3174" t="s">
        <v>8930</v>
      </c>
      <c r="C188" s="3175"/>
      <c r="D188" s="3175"/>
      <c r="E188" s="3176"/>
      <c r="F188" s="3176"/>
    </row>
    <row r="189" spans="1:6">
      <c r="A189" s="3161">
        <v>201</v>
      </c>
      <c r="B189" s="941" t="s">
        <v>8931</v>
      </c>
      <c r="C189" s="514" t="s">
        <v>8932</v>
      </c>
      <c r="D189" s="514">
        <v>2389</v>
      </c>
      <c r="E189" s="3178"/>
      <c r="F189" s="3178"/>
    </row>
    <row r="190" spans="1:6" s="966" customFormat="1">
      <c r="A190" s="3173">
        <v>3</v>
      </c>
      <c r="B190" s="3174" t="s">
        <v>6197</v>
      </c>
      <c r="C190" s="3175"/>
      <c r="D190" s="3175"/>
      <c r="E190" s="3176"/>
      <c r="F190" s="3176"/>
    </row>
    <row r="191" spans="1:6">
      <c r="A191" s="3161">
        <v>301</v>
      </c>
      <c r="B191" s="941" t="s">
        <v>8933</v>
      </c>
      <c r="C191" s="514" t="s">
        <v>3639</v>
      </c>
      <c r="D191" s="514">
        <v>2290</v>
      </c>
      <c r="E191" s="3178"/>
      <c r="F191" s="3178"/>
    </row>
    <row r="192" spans="1:6" s="966" customFormat="1">
      <c r="A192" s="3173">
        <v>5</v>
      </c>
      <c r="B192" s="3174" t="s">
        <v>8935</v>
      </c>
      <c r="C192" s="3175"/>
      <c r="D192" s="3175"/>
      <c r="E192" s="3176"/>
      <c r="F192" s="3176"/>
    </row>
    <row r="193" spans="1:6">
      <c r="A193" s="3161">
        <v>501</v>
      </c>
      <c r="B193" s="941" t="s">
        <v>9087</v>
      </c>
      <c r="C193" s="514" t="s">
        <v>4696</v>
      </c>
      <c r="D193" s="514">
        <v>7640</v>
      </c>
      <c r="E193" s="3178"/>
      <c r="F193" s="3178"/>
    </row>
    <row r="194" spans="1:6" s="966" customFormat="1">
      <c r="A194" s="3173">
        <v>6</v>
      </c>
      <c r="B194" s="3174" t="s">
        <v>8937</v>
      </c>
      <c r="C194" s="3175"/>
      <c r="D194" s="3175"/>
      <c r="E194" s="3176"/>
      <c r="F194" s="3176"/>
    </row>
    <row r="195" spans="1:6" ht="26.4">
      <c r="A195" s="3161">
        <v>601</v>
      </c>
      <c r="B195" s="941" t="s">
        <v>9088</v>
      </c>
      <c r="C195" s="514" t="s">
        <v>8960</v>
      </c>
      <c r="D195" s="514">
        <v>22900</v>
      </c>
      <c r="E195" s="3178"/>
      <c r="F195" s="3178"/>
    </row>
    <row r="196" spans="1:6" s="966" customFormat="1">
      <c r="A196" s="3173">
        <v>7</v>
      </c>
      <c r="B196" s="3174" t="s">
        <v>8938</v>
      </c>
      <c r="C196" s="3175"/>
      <c r="D196" s="3175"/>
      <c r="E196" s="3176"/>
      <c r="F196" s="3176"/>
    </row>
    <row r="197" spans="1:6">
      <c r="A197" s="3161">
        <v>702</v>
      </c>
      <c r="B197" s="941" t="s">
        <v>9089</v>
      </c>
      <c r="C197" s="514" t="s">
        <v>3639</v>
      </c>
      <c r="D197" s="514">
        <v>1300</v>
      </c>
      <c r="E197" s="3178"/>
      <c r="F197" s="3178"/>
    </row>
    <row r="198" spans="1:6">
      <c r="A198" s="3161">
        <v>707</v>
      </c>
      <c r="B198" s="941" t="s">
        <v>8966</v>
      </c>
      <c r="C198" s="514" t="s">
        <v>3639</v>
      </c>
      <c r="D198" s="514">
        <v>510</v>
      </c>
      <c r="E198" s="3178"/>
      <c r="F198" s="3178"/>
    </row>
    <row r="199" spans="1:6" s="966" customFormat="1">
      <c r="A199" s="3173">
        <v>11</v>
      </c>
      <c r="B199" s="3174" t="s">
        <v>9090</v>
      </c>
      <c r="C199" s="3175"/>
      <c r="D199" s="3175"/>
      <c r="E199" s="3176"/>
      <c r="F199" s="3176"/>
    </row>
    <row r="200" spans="1:6">
      <c r="A200" s="3162">
        <v>1101</v>
      </c>
      <c r="B200" s="3180" t="s">
        <v>9091</v>
      </c>
      <c r="C200" s="514"/>
      <c r="D200" s="514"/>
      <c r="E200" s="3178"/>
      <c r="F200" s="3178"/>
    </row>
    <row r="201" spans="1:6">
      <c r="A201" s="3162">
        <v>110101</v>
      </c>
      <c r="B201" s="3180" t="s">
        <v>9092</v>
      </c>
      <c r="C201" s="514"/>
      <c r="D201" s="514"/>
      <c r="E201" s="3178"/>
      <c r="F201" s="3178"/>
    </row>
    <row r="202" spans="1:6">
      <c r="A202" s="3162">
        <v>11010101</v>
      </c>
      <c r="B202" s="3180" t="s">
        <v>9093</v>
      </c>
      <c r="C202" s="514"/>
      <c r="D202" s="514"/>
      <c r="E202" s="3178"/>
      <c r="F202" s="3178"/>
    </row>
    <row r="203" spans="1:6">
      <c r="A203" s="3161">
        <v>1101010102</v>
      </c>
      <c r="B203" s="941" t="s">
        <v>9094</v>
      </c>
      <c r="C203" s="514" t="s">
        <v>8932</v>
      </c>
      <c r="D203" s="514">
        <v>1350</v>
      </c>
      <c r="E203" s="3178"/>
      <c r="F203" s="3178"/>
    </row>
    <row r="204" spans="1:6">
      <c r="A204" s="3161">
        <v>1101010104</v>
      </c>
      <c r="B204" s="941" t="s">
        <v>9095</v>
      </c>
      <c r="C204" s="514" t="s">
        <v>8932</v>
      </c>
      <c r="D204" s="514">
        <v>1039</v>
      </c>
      <c r="E204" s="3178"/>
      <c r="F204" s="3178"/>
    </row>
    <row r="205" spans="1:6">
      <c r="A205" s="3162">
        <v>1102</v>
      </c>
      <c r="B205" s="3180" t="s">
        <v>9096</v>
      </c>
      <c r="C205" s="514"/>
      <c r="D205" s="514"/>
      <c r="E205" s="3178"/>
      <c r="F205" s="3178"/>
    </row>
    <row r="206" spans="1:6">
      <c r="A206" s="3162">
        <v>110201</v>
      </c>
      <c r="B206" s="3180" t="s">
        <v>9097</v>
      </c>
      <c r="C206" s="514"/>
      <c r="D206" s="514"/>
      <c r="E206" s="3178"/>
      <c r="F206" s="3178"/>
    </row>
    <row r="207" spans="1:6">
      <c r="A207" s="3161">
        <v>11020102</v>
      </c>
      <c r="B207" s="941" t="s">
        <v>9098</v>
      </c>
      <c r="C207" s="514" t="s">
        <v>8945</v>
      </c>
      <c r="D207" s="514">
        <v>10</v>
      </c>
      <c r="E207" s="3178"/>
      <c r="F207" s="3178"/>
    </row>
    <row r="208" spans="1:6">
      <c r="A208" s="3186"/>
      <c r="B208" s="941"/>
      <c r="C208" s="514"/>
      <c r="D208" s="514"/>
      <c r="E208" s="3186"/>
      <c r="F208" s="3186"/>
    </row>
    <row r="209" spans="1:13" ht="16.8">
      <c r="A209" s="3388" t="s">
        <v>4193</v>
      </c>
      <c r="B209" s="3388"/>
      <c r="C209" s="3388"/>
      <c r="D209" s="3388"/>
      <c r="E209" s="3388"/>
      <c r="F209" s="3388"/>
    </row>
    <row r="210" spans="1:13" s="3171" customFormat="1" ht="15" customHeight="1">
      <c r="A210" s="3384" t="s">
        <v>9117</v>
      </c>
      <c r="B210" s="3384"/>
      <c r="C210" s="3384"/>
      <c r="D210" s="3384"/>
      <c r="E210" s="3384"/>
      <c r="F210" s="3384"/>
      <c r="G210" s="3169"/>
      <c r="H210" s="3170"/>
      <c r="K210" s="3172"/>
      <c r="L210" s="3172"/>
      <c r="M210" s="3172"/>
    </row>
    <row r="211" spans="1:13" s="966" customFormat="1">
      <c r="A211" s="3173">
        <v>8</v>
      </c>
      <c r="B211" s="3174" t="s">
        <v>8939</v>
      </c>
      <c r="C211" s="3175"/>
      <c r="D211" s="3175"/>
      <c r="E211" s="3176"/>
      <c r="F211" s="3176"/>
    </row>
    <row r="212" spans="1:13">
      <c r="A212" s="3162">
        <v>801</v>
      </c>
      <c r="B212" s="3194" t="s">
        <v>8967</v>
      </c>
      <c r="C212" s="3195"/>
      <c r="D212" s="3196"/>
      <c r="E212" s="3197"/>
      <c r="F212" s="3197"/>
    </row>
    <row r="213" spans="1:13">
      <c r="A213" s="3162">
        <v>80101</v>
      </c>
      <c r="B213" s="3194" t="s">
        <v>8940</v>
      </c>
      <c r="C213" s="3196"/>
      <c r="D213" s="3196"/>
      <c r="E213" s="3197"/>
      <c r="F213" s="3197"/>
    </row>
    <row r="214" spans="1:13">
      <c r="A214" s="3162">
        <v>80102</v>
      </c>
      <c r="B214" s="3194" t="s">
        <v>9107</v>
      </c>
      <c r="C214" s="3196"/>
      <c r="D214" s="3196"/>
      <c r="E214" s="3197"/>
      <c r="F214" s="3197"/>
    </row>
    <row r="215" spans="1:13">
      <c r="A215" s="3162">
        <v>8010201</v>
      </c>
      <c r="B215" s="3194" t="s">
        <v>9108</v>
      </c>
      <c r="C215" s="3196"/>
      <c r="D215" s="3196"/>
      <c r="E215" s="3197"/>
      <c r="F215" s="3197"/>
    </row>
    <row r="216" spans="1:13">
      <c r="A216" s="3161">
        <v>801020101</v>
      </c>
      <c r="B216" s="3163" t="s">
        <v>9109</v>
      </c>
      <c r="C216" s="3195" t="s">
        <v>8932</v>
      </c>
      <c r="D216" s="3198">
        <v>8760</v>
      </c>
      <c r="E216" s="3199"/>
      <c r="F216" s="3199"/>
    </row>
    <row r="217" spans="1:13">
      <c r="A217" s="3161">
        <v>801020102</v>
      </c>
      <c r="B217" s="3163" t="s">
        <v>9110</v>
      </c>
      <c r="C217" s="3195" t="s">
        <v>8932</v>
      </c>
      <c r="D217" s="3198">
        <v>7800</v>
      </c>
      <c r="E217" s="3199"/>
      <c r="F217" s="3199"/>
    </row>
    <row r="218" spans="1:13">
      <c r="A218" s="3161">
        <v>801020103</v>
      </c>
      <c r="B218" s="3163" t="s">
        <v>9111</v>
      </c>
      <c r="C218" s="3195" t="s">
        <v>8932</v>
      </c>
      <c r="D218" s="3198">
        <v>1410</v>
      </c>
      <c r="E218" s="3199"/>
      <c r="F218" s="3199"/>
    </row>
    <row r="219" spans="1:13">
      <c r="A219" s="3161">
        <v>801020104</v>
      </c>
      <c r="B219" s="3163" t="s">
        <v>9112</v>
      </c>
      <c r="C219" s="3195" t="s">
        <v>8932</v>
      </c>
      <c r="D219" s="3198">
        <v>700</v>
      </c>
      <c r="E219" s="3199"/>
      <c r="F219" s="3199"/>
    </row>
    <row r="220" spans="1:13">
      <c r="A220" s="3161">
        <v>801020106</v>
      </c>
      <c r="B220" s="3163" t="s">
        <v>9113</v>
      </c>
      <c r="C220" s="3195" t="s">
        <v>8932</v>
      </c>
      <c r="D220" s="3198">
        <v>1270</v>
      </c>
      <c r="E220" s="3199"/>
      <c r="F220" s="3199"/>
    </row>
    <row r="221" spans="1:13">
      <c r="A221" s="3161">
        <v>801020108</v>
      </c>
      <c r="B221" s="3163" t="s">
        <v>9114</v>
      </c>
      <c r="C221" s="3195" t="s">
        <v>8932</v>
      </c>
      <c r="D221" s="3198">
        <v>100</v>
      </c>
      <c r="E221" s="3199"/>
      <c r="F221" s="3199"/>
    </row>
    <row r="222" spans="1:13">
      <c r="A222" s="3161">
        <v>801020109</v>
      </c>
      <c r="B222" s="3163" t="s">
        <v>9115</v>
      </c>
      <c r="C222" s="3195" t="s">
        <v>8932</v>
      </c>
      <c r="D222" s="3198">
        <v>700</v>
      </c>
      <c r="E222" s="3199"/>
      <c r="F222" s="3199"/>
    </row>
    <row r="223" spans="1:13">
      <c r="A223" s="3161">
        <v>801020110</v>
      </c>
      <c r="B223" s="3163" t="s">
        <v>9116</v>
      </c>
      <c r="C223" s="3195" t="s">
        <v>8932</v>
      </c>
      <c r="D223" s="3198">
        <v>310</v>
      </c>
      <c r="E223" s="3199"/>
      <c r="F223" s="3199"/>
    </row>
    <row r="224" spans="1:13" s="3171" customFormat="1" ht="15" customHeight="1">
      <c r="A224" s="3384" t="s">
        <v>9105</v>
      </c>
      <c r="B224" s="3384"/>
      <c r="C224" s="3384"/>
      <c r="D224" s="3384"/>
      <c r="E224" s="3384"/>
      <c r="F224" s="3384"/>
      <c r="G224" s="3169"/>
      <c r="H224" s="3170"/>
      <c r="K224" s="3172"/>
      <c r="L224" s="3172"/>
      <c r="M224" s="3172"/>
    </row>
    <row r="225" spans="1:6" s="966" customFormat="1">
      <c r="A225" s="3173">
        <v>11</v>
      </c>
      <c r="B225" s="3174" t="s">
        <v>9090</v>
      </c>
      <c r="C225" s="3175"/>
      <c r="D225" s="3175"/>
      <c r="E225" s="3176"/>
      <c r="F225" s="3176"/>
    </row>
    <row r="226" spans="1:6">
      <c r="A226" s="3162">
        <v>1101</v>
      </c>
      <c r="B226" s="3194" t="s">
        <v>9091</v>
      </c>
      <c r="C226" s="3195"/>
      <c r="D226" s="3198"/>
      <c r="E226" s="3197"/>
      <c r="F226" s="3199"/>
    </row>
    <row r="227" spans="1:6">
      <c r="A227" s="3162">
        <v>110102</v>
      </c>
      <c r="B227" s="3194" t="s">
        <v>9118</v>
      </c>
      <c r="C227" s="3195"/>
      <c r="D227" s="3198"/>
      <c r="E227" s="3197"/>
      <c r="F227" s="3199"/>
    </row>
    <row r="228" spans="1:6">
      <c r="A228" s="3162">
        <v>11010201</v>
      </c>
      <c r="B228" s="3194" t="s">
        <v>9119</v>
      </c>
      <c r="C228" s="3195"/>
      <c r="D228" s="3198"/>
      <c r="E228" s="3197"/>
      <c r="F228" s="3199"/>
    </row>
    <row r="229" spans="1:6">
      <c r="A229" s="3161">
        <v>1101020102</v>
      </c>
      <c r="B229" s="3163" t="s">
        <v>9120</v>
      </c>
      <c r="C229" s="3195" t="s">
        <v>8932</v>
      </c>
      <c r="D229" s="3198">
        <v>1039</v>
      </c>
      <c r="E229" s="3197"/>
      <c r="F229" s="3199"/>
    </row>
    <row r="230" spans="1:6">
      <c r="A230" s="3161">
        <v>1101020108</v>
      </c>
      <c r="B230" s="3163" t="s">
        <v>9121</v>
      </c>
      <c r="C230" s="3200" t="s">
        <v>8932</v>
      </c>
      <c r="D230" s="3198">
        <v>1350</v>
      </c>
      <c r="E230" s="3197"/>
      <c r="F230" s="3199"/>
    </row>
    <row r="231" spans="1:6">
      <c r="A231" s="3162">
        <v>110202</v>
      </c>
      <c r="B231" s="3194" t="s">
        <v>9122</v>
      </c>
      <c r="C231" s="3195"/>
      <c r="D231" s="3198"/>
      <c r="E231" s="3197"/>
      <c r="F231" s="3199"/>
    </row>
    <row r="232" spans="1:6">
      <c r="A232" s="3162">
        <v>11020201</v>
      </c>
      <c r="B232" s="3194" t="s">
        <v>9123</v>
      </c>
      <c r="C232" s="3195"/>
      <c r="D232" s="3198"/>
      <c r="E232" s="3197"/>
      <c r="F232" s="3199"/>
    </row>
    <row r="233" spans="1:6">
      <c r="A233" s="3161">
        <v>1102020102</v>
      </c>
      <c r="B233" s="3163" t="s">
        <v>9124</v>
      </c>
      <c r="C233" s="3195" t="s">
        <v>8945</v>
      </c>
      <c r="D233" s="3198">
        <v>10</v>
      </c>
      <c r="E233" s="3197"/>
      <c r="F233" s="3199"/>
    </row>
    <row r="234" spans="1:6">
      <c r="A234" s="3161">
        <v>1102020106</v>
      </c>
      <c r="B234" s="3163" t="s">
        <v>9125</v>
      </c>
      <c r="C234" s="3195" t="s">
        <v>8945</v>
      </c>
      <c r="D234" s="3198">
        <v>5</v>
      </c>
      <c r="E234" s="3197"/>
      <c r="F234" s="3199"/>
    </row>
    <row r="235" spans="1:6">
      <c r="A235" s="3161">
        <v>1102020107</v>
      </c>
      <c r="B235" s="3163" t="s">
        <v>9126</v>
      </c>
      <c r="C235" s="3195" t="s">
        <v>8945</v>
      </c>
      <c r="D235" s="3198">
        <v>1</v>
      </c>
      <c r="E235" s="3197"/>
      <c r="F235" s="3199"/>
    </row>
    <row r="236" spans="1:6">
      <c r="A236" s="3162">
        <v>11020202</v>
      </c>
      <c r="B236" s="3194" t="s">
        <v>9127</v>
      </c>
      <c r="C236" s="3195"/>
      <c r="D236" s="3198"/>
      <c r="E236" s="3197"/>
      <c r="F236" s="3199"/>
    </row>
    <row r="237" spans="1:6">
      <c r="A237" s="3161">
        <v>1102020204</v>
      </c>
      <c r="B237" s="3163" t="s">
        <v>9128</v>
      </c>
      <c r="C237" s="3195" t="s">
        <v>8945</v>
      </c>
      <c r="D237" s="3198">
        <v>3</v>
      </c>
      <c r="E237" s="3197"/>
      <c r="F237" s="3199"/>
    </row>
    <row r="238" spans="1:6">
      <c r="A238" s="3161">
        <v>1102020205</v>
      </c>
      <c r="B238" s="3201" t="s">
        <v>9129</v>
      </c>
      <c r="C238" s="3200" t="s">
        <v>8945</v>
      </c>
      <c r="D238" s="3198">
        <v>4</v>
      </c>
      <c r="E238" s="3197"/>
      <c r="F238" s="3199"/>
    </row>
    <row r="239" spans="1:6">
      <c r="A239" s="3161">
        <v>1102020305</v>
      </c>
      <c r="B239" s="3201" t="s">
        <v>9130</v>
      </c>
      <c r="C239" s="3200" t="s">
        <v>8945</v>
      </c>
      <c r="D239" s="3198">
        <v>2</v>
      </c>
      <c r="E239" s="3197"/>
      <c r="F239" s="3199"/>
    </row>
    <row r="240" spans="1:6">
      <c r="A240" s="3162">
        <v>11020205</v>
      </c>
      <c r="B240" s="3194" t="s">
        <v>9131</v>
      </c>
      <c r="C240" s="3195"/>
      <c r="D240" s="3198"/>
      <c r="E240" s="3197"/>
      <c r="F240" s="3199"/>
    </row>
    <row r="241" spans="1:17">
      <c r="A241" s="3161">
        <v>1102020504</v>
      </c>
      <c r="B241" s="3163" t="s">
        <v>9132</v>
      </c>
      <c r="C241" s="3195" t="s">
        <v>8945</v>
      </c>
      <c r="D241" s="3198">
        <v>1</v>
      </c>
      <c r="E241" s="3197"/>
      <c r="F241" s="3199"/>
    </row>
    <row r="242" spans="1:17">
      <c r="A242" s="3161"/>
      <c r="B242" s="3201"/>
      <c r="C242" s="3201"/>
      <c r="D242" s="3198"/>
      <c r="E242" s="3197"/>
      <c r="F242" s="3199"/>
    </row>
    <row r="244" spans="1:17" s="1623" customFormat="1" ht="40.5" customHeight="1">
      <c r="A244" s="3375" t="s">
        <v>9133</v>
      </c>
      <c r="B244" s="3375"/>
      <c r="C244" s="3375"/>
      <c r="D244" s="3375"/>
      <c r="E244" s="3375"/>
      <c r="F244" s="3202"/>
      <c r="G244" s="2351"/>
      <c r="H244" s="2964"/>
      <c r="I244" s="273"/>
      <c r="J244" s="273"/>
      <c r="K244" s="1706"/>
      <c r="L244" s="275"/>
      <c r="M244" s="1625"/>
      <c r="N244" s="1625"/>
      <c r="O244" s="273"/>
      <c r="P244" s="276"/>
      <c r="Q244" s="276"/>
    </row>
    <row r="245" spans="1:17" s="1623" customFormat="1" ht="40.5" customHeight="1">
      <c r="A245" s="3375" t="s">
        <v>9134</v>
      </c>
      <c r="B245" s="3375"/>
      <c r="C245" s="3375"/>
      <c r="D245" s="3375"/>
      <c r="E245" s="3375"/>
      <c r="F245" s="3202"/>
      <c r="G245" s="2351"/>
      <c r="H245" s="2964"/>
      <c r="I245" s="273"/>
      <c r="J245" s="273"/>
      <c r="K245" s="1706"/>
      <c r="L245" s="275"/>
      <c r="M245" s="1625"/>
      <c r="N245" s="1625"/>
      <c r="O245" s="273"/>
      <c r="P245" s="276"/>
      <c r="Q245" s="276"/>
    </row>
    <row r="246" spans="1:17" s="1623" customFormat="1" ht="40.5" customHeight="1">
      <c r="A246" s="3375" t="s">
        <v>9135</v>
      </c>
      <c r="B246" s="3375"/>
      <c r="C246" s="3375"/>
      <c r="D246" s="3375"/>
      <c r="E246" s="3375"/>
      <c r="F246" s="3202"/>
      <c r="G246" s="2351"/>
      <c r="H246" s="2964"/>
      <c r="I246" s="273"/>
      <c r="J246" s="273"/>
      <c r="K246" s="1706"/>
      <c r="L246" s="275"/>
      <c r="M246" s="1625"/>
      <c r="N246" s="1625"/>
      <c r="O246" s="273"/>
      <c r="P246" s="276"/>
      <c r="Q246" s="276"/>
    </row>
    <row r="247" spans="1:17" s="1623" customFormat="1" ht="40.5" customHeight="1">
      <c r="A247" s="4367" t="s">
        <v>3843</v>
      </c>
      <c r="B247" s="4367"/>
      <c r="C247" s="4367"/>
      <c r="D247" s="4367"/>
      <c r="E247" s="4368"/>
      <c r="F247" s="4369"/>
      <c r="G247" s="2351"/>
      <c r="I247" s="273"/>
      <c r="J247" s="273"/>
      <c r="K247" s="1706"/>
      <c r="L247" s="275"/>
      <c r="M247" s="1625"/>
      <c r="N247" s="1625"/>
      <c r="O247" s="273"/>
      <c r="P247" s="276"/>
      <c r="Q247" s="276"/>
    </row>
    <row r="248" spans="1:17" s="1623" customFormat="1" ht="40.5" customHeight="1">
      <c r="A248" s="4367" t="s">
        <v>9138</v>
      </c>
      <c r="B248" s="4367"/>
      <c r="C248" s="4367"/>
      <c r="D248" s="4367"/>
      <c r="E248" s="4368"/>
      <c r="F248" s="4369"/>
      <c r="G248" s="2351"/>
      <c r="I248" s="273"/>
      <c r="J248" s="273"/>
      <c r="K248" s="1706"/>
      <c r="L248" s="275"/>
      <c r="M248" s="1625"/>
      <c r="N248" s="1625"/>
      <c r="O248" s="273"/>
      <c r="P248" s="276"/>
      <c r="Q248" s="276"/>
    </row>
    <row r="249" spans="1:17" s="1623" customFormat="1" ht="40.5" customHeight="1">
      <c r="A249" s="4367" t="s">
        <v>6394</v>
      </c>
      <c r="B249" s="4367"/>
      <c r="C249" s="4367"/>
      <c r="D249" s="4367"/>
      <c r="E249" s="4368"/>
      <c r="F249" s="4369"/>
      <c r="G249" s="2351"/>
      <c r="I249" s="273"/>
      <c r="J249" s="273"/>
      <c r="K249" s="1706"/>
      <c r="L249" s="275"/>
      <c r="M249" s="1625"/>
      <c r="N249" s="1625"/>
      <c r="O249" s="273"/>
      <c r="P249" s="276"/>
      <c r="Q249" s="276"/>
    </row>
    <row r="250" spans="1:17" s="1623" customFormat="1" ht="40.5" customHeight="1">
      <c r="A250" s="3372" t="s">
        <v>139</v>
      </c>
      <c r="B250" s="3372"/>
      <c r="C250" s="3372"/>
      <c r="D250" s="3372"/>
      <c r="E250" s="2958">
        <v>0.3241</v>
      </c>
      <c r="F250" s="3203"/>
      <c r="G250" s="2351"/>
      <c r="I250" s="273"/>
      <c r="J250" s="273"/>
      <c r="K250" s="1706"/>
      <c r="L250" s="275"/>
      <c r="M250" s="1625"/>
      <c r="N250" s="1625"/>
      <c r="O250" s="273"/>
      <c r="P250" s="276"/>
      <c r="Q250" s="276"/>
    </row>
    <row r="251" spans="1:17" s="492" customFormat="1" ht="30" customHeight="1">
      <c r="A251" s="3375" t="s">
        <v>9136</v>
      </c>
      <c r="B251" s="3375"/>
      <c r="C251" s="3375"/>
      <c r="D251" s="3375"/>
      <c r="E251" s="3375"/>
      <c r="F251" s="3204"/>
      <c r="G251" s="2360"/>
      <c r="H251" s="2798"/>
      <c r="K251" s="1495"/>
      <c r="L251" s="1495"/>
      <c r="M251" s="1495"/>
    </row>
    <row r="252" spans="1:17" s="492" customFormat="1" ht="30" customHeight="1">
      <c r="A252" s="3375" t="s">
        <v>9137</v>
      </c>
      <c r="B252" s="3375"/>
      <c r="C252" s="3375"/>
      <c r="D252" s="3375"/>
      <c r="E252" s="3375"/>
      <c r="F252" s="3204"/>
      <c r="G252" s="2360"/>
      <c r="H252" s="2798"/>
      <c r="K252" s="1495"/>
      <c r="L252" s="1495"/>
      <c r="M252" s="1495"/>
    </row>
    <row r="253" spans="1:17" s="492" customFormat="1" ht="16.8">
      <c r="A253" s="4370" t="s">
        <v>3843</v>
      </c>
      <c r="B253" s="4371"/>
      <c r="C253" s="4371"/>
      <c r="D253" s="4371"/>
      <c r="E253" s="4372"/>
      <c r="F253" s="4373"/>
      <c r="G253" s="2360"/>
      <c r="H253" s="4366"/>
      <c r="K253" s="1495"/>
      <c r="L253" s="1495"/>
      <c r="M253" s="1495"/>
    </row>
    <row r="254" spans="1:17" s="492" customFormat="1" ht="31.5" customHeight="1">
      <c r="A254" s="3381" t="s">
        <v>8789</v>
      </c>
      <c r="B254" s="3382"/>
      <c r="C254" s="3382"/>
      <c r="D254" s="3382"/>
      <c r="E254" s="3383"/>
      <c r="F254" s="3205"/>
      <c r="G254" s="3021"/>
      <c r="H254" s="3022"/>
      <c r="K254" s="1495"/>
      <c r="L254" s="1495"/>
      <c r="M254" s="1495"/>
    </row>
    <row r="255" spans="1:17" s="492" customFormat="1" ht="31.2" hidden="1" customHeight="1">
      <c r="A255" s="3381"/>
      <c r="B255" s="3382"/>
      <c r="C255" s="3382"/>
      <c r="D255" s="3382"/>
      <c r="E255" s="3383"/>
      <c r="F255" s="3205"/>
      <c r="G255" s="3021"/>
      <c r="H255" s="3021"/>
      <c r="K255" s="1495"/>
      <c r="L255" s="1495"/>
      <c r="M255" s="1495"/>
    </row>
    <row r="256" spans="1:17" s="492" customFormat="1" ht="31.2" hidden="1" customHeight="1">
      <c r="A256" s="3381"/>
      <c r="B256" s="3382"/>
      <c r="C256" s="3382"/>
      <c r="D256" s="3382"/>
      <c r="E256" s="3383"/>
      <c r="F256" s="3205"/>
      <c r="G256" s="3021"/>
      <c r="H256" s="3021"/>
      <c r="K256" s="1495"/>
      <c r="L256" s="1495"/>
      <c r="M256" s="1495"/>
    </row>
    <row r="257" spans="1:13" s="1608" customFormat="1" ht="16.8">
      <c r="A257" s="3376" t="s">
        <v>7922</v>
      </c>
      <c r="B257" s="3376"/>
      <c r="C257" s="3376"/>
      <c r="D257" s="3376"/>
      <c r="E257" s="3376"/>
      <c r="F257" s="3205"/>
      <c r="G257" s="3021"/>
      <c r="H257" s="2339"/>
      <c r="K257" s="2665"/>
      <c r="L257" s="2665"/>
      <c r="M257" s="2665"/>
    </row>
  </sheetData>
  <mergeCells count="23">
    <mergeCell ref="A255:E255"/>
    <mergeCell ref="A256:E256"/>
    <mergeCell ref="A257:E257"/>
    <mergeCell ref="A254:E254"/>
    <mergeCell ref="A247:D247"/>
    <mergeCell ref="A250:D250"/>
    <mergeCell ref="A251:E251"/>
    <mergeCell ref="A252:E252"/>
    <mergeCell ref="A248:D248"/>
    <mergeCell ref="A249:D249"/>
    <mergeCell ref="A253:D253"/>
    <mergeCell ref="A246:E246"/>
    <mergeCell ref="A1:B1"/>
    <mergeCell ref="E1:F2"/>
    <mergeCell ref="H1:K1"/>
    <mergeCell ref="A3:F3"/>
    <mergeCell ref="A78:F78"/>
    <mergeCell ref="A187:F187"/>
    <mergeCell ref="A209:F209"/>
    <mergeCell ref="A210:F210"/>
    <mergeCell ref="A224:F224"/>
    <mergeCell ref="A244:E244"/>
    <mergeCell ref="A245:E24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94"/>
  <sheetViews>
    <sheetView showGridLines="0" view="pageBreakPreview" zoomScale="70" zoomScaleNormal="80" zoomScaleSheetLayoutView="70" workbookViewId="0">
      <selection activeCell="U16" sqref="U16"/>
    </sheetView>
  </sheetViews>
  <sheetFormatPr baseColWidth="10" defaultColWidth="11.44140625" defaultRowHeight="13.8"/>
  <cols>
    <col min="1" max="2" width="3.44140625" style="3044" customWidth="1"/>
    <col min="3" max="3" width="12.5546875" style="3044" customWidth="1"/>
    <col min="4" max="4" width="18" style="3044" customWidth="1"/>
    <col min="5" max="11" width="11.44140625" style="3044"/>
    <col min="12" max="12" width="17.5546875" style="3044" customWidth="1"/>
    <col min="13" max="14" width="11.44140625" style="3044"/>
    <col min="15" max="15" width="20" style="3044" customWidth="1"/>
    <col min="16" max="16" width="3.44140625" style="3045" customWidth="1"/>
    <col min="17" max="17" width="3.44140625" style="3044" customWidth="1"/>
    <col min="18" max="16384" width="11.44140625" style="3044"/>
  </cols>
  <sheetData>
    <row r="1" spans="2:16" ht="14.4" thickBot="1"/>
    <row r="2" spans="2:16" ht="14.4" thickTop="1">
      <c r="B2" s="3046"/>
      <c r="C2" s="3047"/>
      <c r="D2" s="3047"/>
      <c r="E2" s="3047"/>
      <c r="F2" s="3047"/>
      <c r="G2" s="3047"/>
      <c r="H2" s="3047"/>
      <c r="I2" s="3047"/>
      <c r="J2" s="3047"/>
      <c r="K2" s="3047"/>
      <c r="L2" s="3047"/>
      <c r="M2" s="3047"/>
      <c r="N2" s="3047"/>
      <c r="O2" s="3047"/>
      <c r="P2" s="3048"/>
    </row>
    <row r="3" spans="2:16" ht="23.25" customHeight="1">
      <c r="B3" s="3049"/>
      <c r="C3" s="3387" t="s">
        <v>8880</v>
      </c>
      <c r="D3" s="3387"/>
      <c r="E3" s="3387"/>
      <c r="F3" s="3387"/>
      <c r="G3" s="3387"/>
      <c r="I3" s="3050"/>
      <c r="J3" s="3050"/>
      <c r="K3" s="3050"/>
      <c r="L3" s="3484" t="s">
        <v>8877</v>
      </c>
      <c r="M3" s="3484"/>
      <c r="N3" s="3484"/>
      <c r="O3" s="3484"/>
      <c r="P3" s="3051"/>
    </row>
    <row r="4" spans="2:16">
      <c r="B4" s="3049"/>
      <c r="C4" s="3040" t="s">
        <v>798</v>
      </c>
      <c r="D4" s="3041" t="s">
        <v>8878</v>
      </c>
      <c r="E4" s="3042" t="s">
        <v>8879</v>
      </c>
      <c r="F4" s="3043">
        <v>1.1000000000000001</v>
      </c>
      <c r="G4" s="3050"/>
      <c r="I4" s="3050"/>
      <c r="J4" s="3050"/>
      <c r="K4" s="3050"/>
      <c r="L4" s="3484"/>
      <c r="M4" s="3484"/>
      <c r="N4" s="3484"/>
      <c r="O4" s="3484"/>
      <c r="P4" s="3051"/>
    </row>
    <row r="5" spans="2:16">
      <c r="B5" s="3049"/>
      <c r="C5" s="3052"/>
      <c r="D5" s="3053"/>
      <c r="E5" s="3052"/>
      <c r="F5" s="3053"/>
      <c r="G5" s="3050"/>
      <c r="H5" s="3050"/>
      <c r="I5" s="3050"/>
      <c r="J5" s="3050"/>
      <c r="K5" s="3050"/>
      <c r="L5" s="3050"/>
      <c r="M5" s="3050"/>
      <c r="N5" s="3050"/>
      <c r="O5" s="3050"/>
      <c r="P5" s="3051"/>
    </row>
    <row r="6" spans="2:16" ht="48" customHeight="1">
      <c r="B6" s="3049"/>
      <c r="C6" s="3389" t="s">
        <v>8881</v>
      </c>
      <c r="D6" s="3389"/>
      <c r="E6" s="3389"/>
      <c r="F6" s="3389"/>
      <c r="G6" s="3389"/>
      <c r="H6" s="3389"/>
      <c r="I6" s="3389"/>
      <c r="J6" s="3389"/>
      <c r="K6" s="3389"/>
      <c r="L6" s="3389"/>
      <c r="M6" s="3389"/>
      <c r="N6" s="3389"/>
      <c r="O6" s="3389"/>
      <c r="P6" s="3054"/>
    </row>
    <row r="7" spans="2:16" ht="15" thickBot="1">
      <c r="B7" s="3049"/>
      <c r="C7" s="3055"/>
      <c r="D7" s="3055"/>
      <c r="E7" s="3055"/>
      <c r="F7" s="3055"/>
      <c r="G7" s="3055"/>
      <c r="H7" s="3055"/>
      <c r="I7" s="3055"/>
      <c r="J7" s="3055"/>
      <c r="K7" s="3055"/>
      <c r="L7" s="3055"/>
      <c r="M7" s="3055"/>
      <c r="N7" s="3055"/>
      <c r="O7" s="3055"/>
      <c r="P7" s="3051"/>
    </row>
    <row r="8" spans="2:16" ht="14.4">
      <c r="B8" s="3049"/>
      <c r="C8" s="3390"/>
      <c r="D8" s="3392"/>
      <c r="E8" s="3393"/>
      <c r="F8" s="3393"/>
      <c r="G8" s="3393"/>
      <c r="H8" s="3393"/>
      <c r="I8" s="3393"/>
      <c r="J8" s="3393"/>
      <c r="K8" s="3394"/>
      <c r="L8" s="3395"/>
      <c r="M8" s="3396"/>
      <c r="N8" s="3396"/>
      <c r="O8" s="3397"/>
      <c r="P8" s="3056"/>
    </row>
    <row r="9" spans="2:16" ht="14.4">
      <c r="B9" s="3049"/>
      <c r="C9" s="3391"/>
      <c r="D9" s="3401" t="s">
        <v>8882</v>
      </c>
      <c r="E9" s="3402"/>
      <c r="F9" s="3402"/>
      <c r="G9" s="3402"/>
      <c r="H9" s="3402"/>
      <c r="I9" s="3402"/>
      <c r="J9" s="3402"/>
      <c r="K9" s="3403"/>
      <c r="L9" s="3398"/>
      <c r="M9" s="3399"/>
      <c r="N9" s="3399"/>
      <c r="O9" s="3400"/>
      <c r="P9" s="3056"/>
    </row>
    <row r="10" spans="2:16" ht="14.4">
      <c r="B10" s="3049"/>
      <c r="C10" s="3391"/>
      <c r="D10" s="3401"/>
      <c r="E10" s="3402"/>
      <c r="F10" s="3402"/>
      <c r="G10" s="3402"/>
      <c r="H10" s="3402"/>
      <c r="I10" s="3402"/>
      <c r="J10" s="3402"/>
      <c r="K10" s="3403"/>
      <c r="L10" s="3404" t="s">
        <v>8883</v>
      </c>
      <c r="M10" s="3406"/>
      <c r="N10" s="3407"/>
      <c r="O10" s="3408"/>
      <c r="P10" s="3056"/>
    </row>
    <row r="11" spans="2:16" ht="14.4">
      <c r="B11" s="3049"/>
      <c r="C11" s="3391"/>
      <c r="D11" s="3401" t="s">
        <v>8884</v>
      </c>
      <c r="E11" s="3402"/>
      <c r="F11" s="3402"/>
      <c r="G11" s="3402"/>
      <c r="H11" s="3402"/>
      <c r="I11" s="3402"/>
      <c r="J11" s="3402"/>
      <c r="K11" s="3403"/>
      <c r="L11" s="3405"/>
      <c r="M11" s="3409"/>
      <c r="N11" s="3410"/>
      <c r="O11" s="3411"/>
      <c r="P11" s="3057"/>
    </row>
    <row r="12" spans="2:16" ht="12.75" customHeight="1">
      <c r="B12" s="3049"/>
      <c r="C12" s="3391"/>
      <c r="D12" s="3412"/>
      <c r="E12" s="3413"/>
      <c r="F12" s="3413"/>
      <c r="G12" s="3413"/>
      <c r="H12" s="3413"/>
      <c r="I12" s="3413"/>
      <c r="J12" s="3413"/>
      <c r="K12" s="3414"/>
      <c r="L12" s="3404" t="s">
        <v>8885</v>
      </c>
      <c r="M12" s="3404">
        <v>1</v>
      </c>
      <c r="N12" s="3404" t="s">
        <v>8886</v>
      </c>
      <c r="O12" s="3416">
        <v>1</v>
      </c>
      <c r="P12" s="3056"/>
    </row>
    <row r="13" spans="2:16">
      <c r="B13" s="3049"/>
      <c r="C13" s="3391"/>
      <c r="D13" s="3412"/>
      <c r="E13" s="3413"/>
      <c r="F13" s="3413"/>
      <c r="G13" s="3413"/>
      <c r="H13" s="3413"/>
      <c r="I13" s="3413"/>
      <c r="J13" s="3413"/>
      <c r="K13" s="3414"/>
      <c r="L13" s="3415"/>
      <c r="M13" s="3415"/>
      <c r="N13" s="3415"/>
      <c r="O13" s="3417"/>
      <c r="P13" s="3056"/>
    </row>
    <row r="14" spans="2:16" ht="14.4">
      <c r="B14" s="3049"/>
      <c r="C14" s="3391"/>
      <c r="D14" s="3401" t="s">
        <v>8887</v>
      </c>
      <c r="E14" s="3402"/>
      <c r="F14" s="3402"/>
      <c r="G14" s="3402"/>
      <c r="H14" s="3402"/>
      <c r="I14" s="3402"/>
      <c r="J14" s="3402"/>
      <c r="K14" s="3403"/>
      <c r="L14" s="3415"/>
      <c r="M14" s="3415"/>
      <c r="N14" s="3415"/>
      <c r="O14" s="3417"/>
      <c r="P14" s="3056"/>
    </row>
    <row r="15" spans="2:16" ht="15" thickBot="1">
      <c r="B15" s="3049"/>
      <c r="C15" s="3058"/>
      <c r="D15" s="3059"/>
      <c r="E15" s="3059"/>
      <c r="F15" s="3059"/>
      <c r="G15" s="3059"/>
      <c r="H15" s="3059"/>
      <c r="I15" s="3059"/>
      <c r="J15" s="3059"/>
      <c r="K15" s="3059"/>
      <c r="L15" s="3059"/>
      <c r="M15" s="3060"/>
      <c r="N15" s="3060"/>
      <c r="O15" s="3061"/>
      <c r="P15" s="3062"/>
    </row>
    <row r="16" spans="2:16" ht="14.4">
      <c r="B16" s="3049"/>
      <c r="C16" s="3063"/>
      <c r="D16" s="3064"/>
      <c r="E16" s="3064"/>
      <c r="F16" s="3064"/>
      <c r="G16" s="3064"/>
      <c r="H16" s="3064"/>
      <c r="I16" s="3064"/>
      <c r="J16" s="3064"/>
      <c r="K16" s="3064"/>
      <c r="L16" s="3065" t="s">
        <v>8888</v>
      </c>
      <c r="M16" s="3066" t="s">
        <v>8889</v>
      </c>
      <c r="N16" s="3066" t="s">
        <v>8890</v>
      </c>
      <c r="O16" s="3067" t="s">
        <v>8891</v>
      </c>
      <c r="P16" s="3057"/>
    </row>
    <row r="17" spans="2:16" ht="14.4">
      <c r="B17" s="3049"/>
      <c r="C17" s="3068"/>
      <c r="D17" s="3069"/>
      <c r="E17" s="3069"/>
      <c r="F17" s="3069"/>
      <c r="G17" s="3069"/>
      <c r="H17" s="3069"/>
      <c r="I17" s="3069"/>
      <c r="J17" s="3069"/>
      <c r="K17" s="3069"/>
      <c r="L17" s="3070"/>
      <c r="M17" s="3071"/>
      <c r="N17" s="3071"/>
      <c r="O17" s="3072"/>
      <c r="P17" s="3073"/>
    </row>
    <row r="18" spans="2:16" ht="18" customHeight="1">
      <c r="B18" s="3049"/>
      <c r="C18" s="3424" t="s">
        <v>8892</v>
      </c>
      <c r="D18" s="3425"/>
      <c r="E18" s="3425"/>
      <c r="F18" s="3425"/>
      <c r="G18" s="3069"/>
      <c r="H18" s="3069"/>
      <c r="I18" s="3069" t="s">
        <v>8893</v>
      </c>
      <c r="J18" s="3055"/>
      <c r="K18" s="3069"/>
      <c r="L18" s="3070"/>
      <c r="M18" s="3055"/>
      <c r="N18" s="3055"/>
      <c r="O18" s="3074"/>
      <c r="P18" s="3073"/>
    </row>
    <row r="19" spans="2:16" ht="14.4">
      <c r="B19" s="3049"/>
      <c r="C19" s="3075"/>
      <c r="D19" s="3076"/>
      <c r="E19" s="3076"/>
      <c r="F19" s="3076"/>
      <c r="G19" s="3076"/>
      <c r="H19" s="3076"/>
      <c r="I19" s="3076"/>
      <c r="J19" s="3076"/>
      <c r="K19" s="3076"/>
      <c r="L19" s="3076"/>
      <c r="M19" s="3076"/>
      <c r="N19" s="3076"/>
      <c r="O19" s="3077"/>
      <c r="P19" s="3078"/>
    </row>
    <row r="20" spans="2:16" ht="15" thickBot="1">
      <c r="B20" s="3049"/>
      <c r="C20" s="3079"/>
      <c r="D20" s="3080"/>
      <c r="E20" s="3080"/>
      <c r="F20" s="3080"/>
      <c r="G20" s="3080"/>
      <c r="H20" s="3080"/>
      <c r="I20" s="3080"/>
      <c r="J20" s="3080"/>
      <c r="K20" s="3080"/>
      <c r="L20" s="3080"/>
      <c r="M20" s="3080"/>
      <c r="N20" s="3080"/>
      <c r="O20" s="3081"/>
      <c r="P20" s="3051"/>
    </row>
    <row r="21" spans="2:16" ht="15" thickBot="1">
      <c r="B21" s="3049"/>
      <c r="C21" s="3082"/>
      <c r="D21" s="3083"/>
      <c r="E21" s="3083"/>
      <c r="F21" s="3083"/>
      <c r="G21" s="3083"/>
      <c r="H21" s="3083"/>
      <c r="I21" s="3055"/>
      <c r="J21" s="3055"/>
      <c r="K21" s="3083"/>
      <c r="L21" s="3083"/>
      <c r="M21" s="3083"/>
      <c r="N21" s="3083"/>
      <c r="O21" s="3084"/>
      <c r="P21" s="3051"/>
    </row>
    <row r="22" spans="2:16" ht="14.4">
      <c r="B22" s="3049"/>
      <c r="C22" s="3426" t="s">
        <v>8894</v>
      </c>
      <c r="D22" s="3427"/>
      <c r="E22" s="3427"/>
      <c r="F22" s="3427"/>
      <c r="G22" s="3427"/>
      <c r="H22" s="3427"/>
      <c r="I22" s="3427"/>
      <c r="J22" s="3427"/>
      <c r="K22" s="3427"/>
      <c r="L22" s="3427"/>
      <c r="M22" s="3427"/>
      <c r="N22" s="3427"/>
      <c r="O22" s="3428"/>
      <c r="P22" s="3085"/>
    </row>
    <row r="23" spans="2:16" ht="15" thickBot="1">
      <c r="B23" s="3049"/>
      <c r="C23" s="3086"/>
      <c r="D23" s="3055"/>
      <c r="E23" s="3055"/>
      <c r="F23" s="3055"/>
      <c r="G23" s="3055"/>
      <c r="H23" s="3055"/>
      <c r="I23" s="3055"/>
      <c r="J23" s="3055"/>
      <c r="K23" s="3055"/>
      <c r="L23" s="3055"/>
      <c r="M23" s="3055"/>
      <c r="N23" s="3055"/>
      <c r="O23" s="3087"/>
      <c r="P23" s="3051"/>
    </row>
    <row r="24" spans="2:16">
      <c r="B24" s="3049"/>
      <c r="C24" s="3088" t="s">
        <v>8895</v>
      </c>
      <c r="D24" s="3429" t="s">
        <v>23</v>
      </c>
      <c r="E24" s="3430"/>
      <c r="F24" s="3430"/>
      <c r="G24" s="3430"/>
      <c r="H24" s="3430"/>
      <c r="I24" s="3430"/>
      <c r="J24" s="3430"/>
      <c r="K24" s="3430"/>
      <c r="L24" s="3431"/>
      <c r="M24" s="3432" t="s">
        <v>3818</v>
      </c>
      <c r="N24" s="3433"/>
      <c r="O24" s="3088" t="s">
        <v>1037</v>
      </c>
      <c r="P24" s="3089"/>
    </row>
    <row r="25" spans="2:16" ht="14.4" thickBot="1">
      <c r="B25" s="3049"/>
      <c r="C25" s="3090"/>
      <c r="D25" s="3434"/>
      <c r="E25" s="3435"/>
      <c r="F25" s="3435"/>
      <c r="G25" s="3435"/>
      <c r="H25" s="3435"/>
      <c r="I25" s="3435"/>
      <c r="J25" s="3435"/>
      <c r="K25" s="3435"/>
      <c r="L25" s="3436"/>
      <c r="M25" s="3434"/>
      <c r="N25" s="3436"/>
      <c r="O25" s="3091"/>
      <c r="P25" s="3092"/>
    </row>
    <row r="26" spans="2:16">
      <c r="B26" s="3049"/>
      <c r="C26" s="3437" t="s">
        <v>8896</v>
      </c>
      <c r="D26" s="3438"/>
      <c r="E26" s="3438"/>
      <c r="F26" s="3438"/>
      <c r="G26" s="3438"/>
      <c r="H26" s="3438"/>
      <c r="I26" s="3438"/>
      <c r="J26" s="3438"/>
      <c r="K26" s="3438"/>
      <c r="L26" s="3438"/>
      <c r="M26" s="3438"/>
      <c r="N26" s="3438"/>
      <c r="O26" s="3439"/>
      <c r="P26" s="3093"/>
    </row>
    <row r="27" spans="2:16">
      <c r="B27" s="3049"/>
      <c r="C27" s="3440"/>
      <c r="D27" s="3441"/>
      <c r="E27" s="3441"/>
      <c r="F27" s="3441"/>
      <c r="G27" s="3441"/>
      <c r="H27" s="3441"/>
      <c r="I27" s="3441"/>
      <c r="J27" s="3441"/>
      <c r="K27" s="3441"/>
      <c r="L27" s="3441"/>
      <c r="M27" s="3441"/>
      <c r="N27" s="3441"/>
      <c r="O27" s="3442"/>
      <c r="P27" s="3093"/>
    </row>
    <row r="28" spans="2:16" ht="14.4" thickBot="1">
      <c r="B28" s="3049"/>
      <c r="C28" s="3443"/>
      <c r="D28" s="3444"/>
      <c r="E28" s="3444"/>
      <c r="F28" s="3444"/>
      <c r="G28" s="3444"/>
      <c r="H28" s="3444"/>
      <c r="I28" s="3444"/>
      <c r="J28" s="3444"/>
      <c r="K28" s="3444"/>
      <c r="L28" s="3444"/>
      <c r="M28" s="3444"/>
      <c r="N28" s="3444"/>
      <c r="O28" s="3445"/>
      <c r="P28" s="3093"/>
    </row>
    <row r="29" spans="2:16" ht="14.4">
      <c r="B29" s="3049"/>
      <c r="C29" s="3446" t="s">
        <v>23</v>
      </c>
      <c r="D29" s="3447"/>
      <c r="E29" s="3447"/>
      <c r="F29" s="3447"/>
      <c r="G29" s="3448"/>
      <c r="H29" s="3449" t="s">
        <v>8897</v>
      </c>
      <c r="I29" s="3447"/>
      <c r="J29" s="3450" t="s">
        <v>8898</v>
      </c>
      <c r="K29" s="3451"/>
      <c r="L29" s="3094" t="s">
        <v>8899</v>
      </c>
      <c r="M29" s="3449" t="s">
        <v>1036</v>
      </c>
      <c r="N29" s="3452"/>
      <c r="O29" s="3095" t="s">
        <v>8900</v>
      </c>
      <c r="P29" s="3096"/>
    </row>
    <row r="30" spans="2:16" ht="14.4">
      <c r="B30" s="3049"/>
      <c r="C30" s="3418"/>
      <c r="D30" s="3419"/>
      <c r="E30" s="3419"/>
      <c r="F30" s="3419"/>
      <c r="G30" s="3420"/>
      <c r="H30" s="3421"/>
      <c r="I30" s="3420"/>
      <c r="J30" s="3421"/>
      <c r="K30" s="3420"/>
      <c r="L30" s="3097"/>
      <c r="M30" s="3422"/>
      <c r="N30" s="3423"/>
      <c r="O30" s="3098"/>
      <c r="P30" s="3099"/>
    </row>
    <row r="31" spans="2:16" ht="14.4">
      <c r="B31" s="3049"/>
      <c r="C31" s="3100"/>
      <c r="D31" s="3101"/>
      <c r="E31" s="3101"/>
      <c r="F31" s="3101"/>
      <c r="G31" s="3102"/>
      <c r="H31" s="3103"/>
      <c r="I31" s="3102"/>
      <c r="J31" s="3103"/>
      <c r="K31" s="3102"/>
      <c r="L31" s="3097"/>
      <c r="M31" s="3422"/>
      <c r="N31" s="3423"/>
      <c r="O31" s="3098"/>
      <c r="P31" s="3099"/>
    </row>
    <row r="32" spans="2:16" ht="15" thickBot="1">
      <c r="B32" s="3049"/>
      <c r="C32" s="3453"/>
      <c r="D32" s="3454"/>
      <c r="E32" s="3454"/>
      <c r="F32" s="3454"/>
      <c r="G32" s="3455"/>
      <c r="H32" s="3458"/>
      <c r="I32" s="3455"/>
      <c r="J32" s="3458"/>
      <c r="K32" s="3455"/>
      <c r="L32" s="3104"/>
      <c r="M32" s="3459"/>
      <c r="N32" s="3460"/>
      <c r="O32" s="3098"/>
      <c r="P32" s="3099"/>
    </row>
    <row r="33" spans="2:16" ht="15" thickBot="1">
      <c r="B33" s="3049"/>
      <c r="C33" s="3461" t="s">
        <v>8901</v>
      </c>
      <c r="D33" s="3462"/>
      <c r="E33" s="3462"/>
      <c r="F33" s="3462"/>
      <c r="G33" s="3462"/>
      <c r="H33" s="3462"/>
      <c r="I33" s="3462"/>
      <c r="J33" s="3462"/>
      <c r="K33" s="3462"/>
      <c r="L33" s="3462"/>
      <c r="M33" s="3462"/>
      <c r="N33" s="3463"/>
      <c r="O33" s="3105"/>
      <c r="P33" s="3106"/>
    </row>
    <row r="34" spans="2:16" ht="13.5" customHeight="1">
      <c r="B34" s="3049"/>
      <c r="C34" s="3437" t="s">
        <v>8902</v>
      </c>
      <c r="D34" s="3438"/>
      <c r="E34" s="3438"/>
      <c r="F34" s="3438"/>
      <c r="G34" s="3438"/>
      <c r="H34" s="3438"/>
      <c r="I34" s="3438"/>
      <c r="J34" s="3438"/>
      <c r="K34" s="3438"/>
      <c r="L34" s="3438"/>
      <c r="M34" s="3438"/>
      <c r="N34" s="3438"/>
      <c r="O34" s="3439"/>
      <c r="P34" s="3093"/>
    </row>
    <row r="35" spans="2:16">
      <c r="B35" s="3049"/>
      <c r="C35" s="3440"/>
      <c r="D35" s="3441"/>
      <c r="E35" s="3441"/>
      <c r="F35" s="3441"/>
      <c r="G35" s="3441"/>
      <c r="H35" s="3441"/>
      <c r="I35" s="3441"/>
      <c r="J35" s="3441"/>
      <c r="K35" s="3441"/>
      <c r="L35" s="3441"/>
      <c r="M35" s="3441"/>
      <c r="N35" s="3441"/>
      <c r="O35" s="3442"/>
      <c r="P35" s="3093"/>
    </row>
    <row r="36" spans="2:16" ht="14.4" thickBot="1">
      <c r="B36" s="3049"/>
      <c r="C36" s="3443"/>
      <c r="D36" s="3444"/>
      <c r="E36" s="3444"/>
      <c r="F36" s="3444"/>
      <c r="G36" s="3444"/>
      <c r="H36" s="3444"/>
      <c r="I36" s="3444"/>
      <c r="J36" s="3444"/>
      <c r="K36" s="3444"/>
      <c r="L36" s="3444"/>
      <c r="M36" s="3444"/>
      <c r="N36" s="3444"/>
      <c r="O36" s="3445"/>
      <c r="P36" s="3093"/>
    </row>
    <row r="37" spans="2:16" ht="14.4">
      <c r="B37" s="3049"/>
      <c r="C37" s="3446" t="s">
        <v>23</v>
      </c>
      <c r="D37" s="3464"/>
      <c r="E37" s="3464"/>
      <c r="F37" s="3464"/>
      <c r="G37" s="3464"/>
      <c r="H37" s="3464"/>
      <c r="I37" s="3464"/>
      <c r="J37" s="3452"/>
      <c r="K37" s="3107" t="s">
        <v>3818</v>
      </c>
      <c r="L37" s="3094" t="s">
        <v>1037</v>
      </c>
      <c r="M37" s="3449" t="s">
        <v>8903</v>
      </c>
      <c r="N37" s="3452"/>
      <c r="O37" s="3095" t="s">
        <v>8900</v>
      </c>
      <c r="P37" s="3096"/>
    </row>
    <row r="38" spans="2:16" ht="14.4">
      <c r="B38" s="3049"/>
      <c r="C38" s="3418"/>
      <c r="D38" s="3419"/>
      <c r="E38" s="3419"/>
      <c r="F38" s="3419"/>
      <c r="G38" s="3419"/>
      <c r="H38" s="3419"/>
      <c r="I38" s="3419"/>
      <c r="J38" s="3420"/>
      <c r="K38" s="3108"/>
      <c r="L38" s="3109"/>
      <c r="M38" s="3465"/>
      <c r="N38" s="3466"/>
      <c r="O38" s="3098"/>
      <c r="P38" s="3099"/>
    </row>
    <row r="39" spans="2:16" ht="15" thickBot="1">
      <c r="B39" s="3049"/>
      <c r="C39" s="3453"/>
      <c r="D39" s="3454"/>
      <c r="E39" s="3454"/>
      <c r="F39" s="3454"/>
      <c r="G39" s="3454"/>
      <c r="H39" s="3454"/>
      <c r="I39" s="3454"/>
      <c r="J39" s="3455"/>
      <c r="K39" s="3101"/>
      <c r="L39" s="3110"/>
      <c r="M39" s="3456"/>
      <c r="N39" s="3457"/>
      <c r="O39" s="3111"/>
      <c r="P39" s="3099"/>
    </row>
    <row r="40" spans="2:16" ht="15" thickBot="1">
      <c r="B40" s="3049"/>
      <c r="C40" s="3461" t="s">
        <v>8901</v>
      </c>
      <c r="D40" s="3462"/>
      <c r="E40" s="3462"/>
      <c r="F40" s="3462"/>
      <c r="G40" s="3462"/>
      <c r="H40" s="3462"/>
      <c r="I40" s="3462"/>
      <c r="J40" s="3462"/>
      <c r="K40" s="3462"/>
      <c r="L40" s="3462"/>
      <c r="M40" s="3462"/>
      <c r="N40" s="3463"/>
      <c r="O40" s="3112">
        <v>0</v>
      </c>
      <c r="P40" s="3099"/>
    </row>
    <row r="41" spans="2:16">
      <c r="B41" s="3049"/>
      <c r="C41" s="3437" t="s">
        <v>8904</v>
      </c>
      <c r="D41" s="3438"/>
      <c r="E41" s="3438"/>
      <c r="F41" s="3438"/>
      <c r="G41" s="3438"/>
      <c r="H41" s="3438"/>
      <c r="I41" s="3438"/>
      <c r="J41" s="3438"/>
      <c r="K41" s="3438"/>
      <c r="L41" s="3438"/>
      <c r="M41" s="3438"/>
      <c r="N41" s="3438"/>
      <c r="O41" s="3439"/>
      <c r="P41" s="3093"/>
    </row>
    <row r="42" spans="2:16">
      <c r="B42" s="3049"/>
      <c r="C42" s="3440"/>
      <c r="D42" s="3441"/>
      <c r="E42" s="3441"/>
      <c r="F42" s="3441"/>
      <c r="G42" s="3441"/>
      <c r="H42" s="3441"/>
      <c r="I42" s="3441"/>
      <c r="J42" s="3441"/>
      <c r="K42" s="3441"/>
      <c r="L42" s="3441"/>
      <c r="M42" s="3441"/>
      <c r="N42" s="3441"/>
      <c r="O42" s="3442"/>
      <c r="P42" s="3093"/>
    </row>
    <row r="43" spans="2:16" ht="14.4" thickBot="1">
      <c r="B43" s="3049"/>
      <c r="C43" s="3443"/>
      <c r="D43" s="3444"/>
      <c r="E43" s="3444"/>
      <c r="F43" s="3444"/>
      <c r="G43" s="3444"/>
      <c r="H43" s="3444"/>
      <c r="I43" s="3444"/>
      <c r="J43" s="3444"/>
      <c r="K43" s="3444"/>
      <c r="L43" s="3444"/>
      <c r="M43" s="3444"/>
      <c r="N43" s="3444"/>
      <c r="O43" s="3445"/>
      <c r="P43" s="3093"/>
    </row>
    <row r="44" spans="2:16" ht="16.8">
      <c r="B44" s="3049"/>
      <c r="C44" s="3446" t="s">
        <v>8905</v>
      </c>
      <c r="D44" s="3464"/>
      <c r="E44" s="3464"/>
      <c r="F44" s="3464"/>
      <c r="G44" s="3464"/>
      <c r="H44" s="3464"/>
      <c r="I44" s="3464"/>
      <c r="J44" s="3094" t="s">
        <v>8906</v>
      </c>
      <c r="K44" s="3113" t="s">
        <v>8907</v>
      </c>
      <c r="L44" s="3114" t="s">
        <v>8908</v>
      </c>
      <c r="M44" s="3449" t="s">
        <v>8909</v>
      </c>
      <c r="N44" s="3452"/>
      <c r="O44" s="3095" t="s">
        <v>8900</v>
      </c>
      <c r="P44" s="3096"/>
    </row>
    <row r="45" spans="2:16" ht="14.4">
      <c r="B45" s="3049"/>
      <c r="C45" s="3418"/>
      <c r="D45" s="3419"/>
      <c r="E45" s="3419"/>
      <c r="F45" s="3419"/>
      <c r="G45" s="3419"/>
      <c r="H45" s="3419"/>
      <c r="I45" s="3419"/>
      <c r="J45" s="3115"/>
      <c r="K45" s="3116"/>
      <c r="L45" s="3115"/>
      <c r="M45" s="3467"/>
      <c r="N45" s="3468"/>
      <c r="O45" s="3098"/>
      <c r="P45" s="3099"/>
    </row>
    <row r="46" spans="2:16" ht="15" thickBot="1">
      <c r="B46" s="3049"/>
      <c r="C46" s="3453"/>
      <c r="D46" s="3454"/>
      <c r="E46" s="3454"/>
      <c r="F46" s="3454"/>
      <c r="G46" s="3454"/>
      <c r="H46" s="3454"/>
      <c r="I46" s="3454"/>
      <c r="J46" s="3117"/>
      <c r="K46" s="3118"/>
      <c r="L46" s="3117"/>
      <c r="M46" s="3456"/>
      <c r="N46" s="3457"/>
      <c r="O46" s="3119"/>
      <c r="P46" s="3099"/>
    </row>
    <row r="47" spans="2:16" ht="15" thickBot="1">
      <c r="B47" s="3049"/>
      <c r="C47" s="3461" t="s">
        <v>8901</v>
      </c>
      <c r="D47" s="3462"/>
      <c r="E47" s="3462"/>
      <c r="F47" s="3462"/>
      <c r="G47" s="3462"/>
      <c r="H47" s="3462"/>
      <c r="I47" s="3462"/>
      <c r="J47" s="3462"/>
      <c r="K47" s="3462"/>
      <c r="L47" s="3462"/>
      <c r="M47" s="3462"/>
      <c r="N47" s="3463"/>
      <c r="O47" s="3105"/>
      <c r="P47" s="3106"/>
    </row>
    <row r="48" spans="2:16">
      <c r="B48" s="3049"/>
      <c r="C48" s="3437" t="s">
        <v>8910</v>
      </c>
      <c r="D48" s="3438"/>
      <c r="E48" s="3438"/>
      <c r="F48" s="3438"/>
      <c r="G48" s="3438"/>
      <c r="H48" s="3438"/>
      <c r="I48" s="3438"/>
      <c r="J48" s="3438"/>
      <c r="K48" s="3438"/>
      <c r="L48" s="3438"/>
      <c r="M48" s="3438"/>
      <c r="N48" s="3438"/>
      <c r="O48" s="3439"/>
      <c r="P48" s="3093"/>
    </row>
    <row r="49" spans="2:16">
      <c r="B49" s="3049"/>
      <c r="C49" s="3440"/>
      <c r="D49" s="3441"/>
      <c r="E49" s="3441"/>
      <c r="F49" s="3441"/>
      <c r="G49" s="3441"/>
      <c r="H49" s="3441"/>
      <c r="I49" s="3441"/>
      <c r="J49" s="3441"/>
      <c r="K49" s="3441"/>
      <c r="L49" s="3441"/>
      <c r="M49" s="3441"/>
      <c r="N49" s="3441"/>
      <c r="O49" s="3442"/>
      <c r="P49" s="3093"/>
    </row>
    <row r="50" spans="2:16" ht="14.4" thickBot="1">
      <c r="B50" s="3049"/>
      <c r="C50" s="3443"/>
      <c r="D50" s="3444"/>
      <c r="E50" s="3444"/>
      <c r="F50" s="3444"/>
      <c r="G50" s="3444"/>
      <c r="H50" s="3444"/>
      <c r="I50" s="3444"/>
      <c r="J50" s="3444"/>
      <c r="K50" s="3444"/>
      <c r="L50" s="3444"/>
      <c r="M50" s="3444"/>
      <c r="N50" s="3444"/>
      <c r="O50" s="3445"/>
      <c r="P50" s="3093"/>
    </row>
    <row r="51" spans="2:16" ht="28.2">
      <c r="B51" s="3049"/>
      <c r="C51" s="3446" t="s">
        <v>8911</v>
      </c>
      <c r="D51" s="3464"/>
      <c r="E51" s="3464"/>
      <c r="F51" s="3464"/>
      <c r="G51" s="3464"/>
      <c r="H51" s="3464"/>
      <c r="I51" s="3464"/>
      <c r="J51" s="3094" t="s">
        <v>8912</v>
      </c>
      <c r="K51" s="3120" t="s">
        <v>8913</v>
      </c>
      <c r="L51" s="3121" t="s">
        <v>8914</v>
      </c>
      <c r="M51" s="3469" t="s">
        <v>1036</v>
      </c>
      <c r="N51" s="3470"/>
      <c r="O51" s="3122" t="s">
        <v>8900</v>
      </c>
      <c r="P51" s="3123"/>
    </row>
    <row r="52" spans="2:16" ht="14.4">
      <c r="B52" s="3049"/>
      <c r="C52" s="3124"/>
      <c r="D52" s="3125"/>
      <c r="E52" s="3125"/>
      <c r="F52" s="3125"/>
      <c r="G52" s="3125"/>
      <c r="H52" s="3125"/>
      <c r="I52" s="3125"/>
      <c r="J52" s="3126"/>
      <c r="K52" s="3127"/>
      <c r="L52" s="3128"/>
      <c r="M52" s="3473"/>
      <c r="N52" s="3474"/>
      <c r="O52" s="3129"/>
      <c r="P52" s="3130"/>
    </row>
    <row r="53" spans="2:16" ht="14.4">
      <c r="B53" s="3049"/>
      <c r="C53" s="3124"/>
      <c r="D53" s="3125"/>
      <c r="E53" s="3125"/>
      <c r="F53" s="3125"/>
      <c r="G53" s="3125"/>
      <c r="H53" s="3125"/>
      <c r="I53" s="3125"/>
      <c r="J53" s="3126"/>
      <c r="K53" s="3127"/>
      <c r="L53" s="3128"/>
      <c r="M53" s="3473"/>
      <c r="N53" s="3474"/>
      <c r="O53" s="3129"/>
      <c r="P53" s="3130"/>
    </row>
    <row r="54" spans="2:16" ht="14.4">
      <c r="B54" s="3049"/>
      <c r="C54" s="3124"/>
      <c r="D54" s="3125"/>
      <c r="E54" s="3125"/>
      <c r="F54" s="3125"/>
      <c r="G54" s="3125"/>
      <c r="H54" s="3125"/>
      <c r="I54" s="3125"/>
      <c r="J54" s="3126"/>
      <c r="K54" s="3127"/>
      <c r="L54" s="3128"/>
      <c r="M54" s="3467"/>
      <c r="N54" s="3468"/>
      <c r="O54" s="3129"/>
      <c r="P54" s="3130"/>
    </row>
    <row r="55" spans="2:16" ht="15" thickBot="1">
      <c r="B55" s="3049"/>
      <c r="C55" s="3453"/>
      <c r="D55" s="3454"/>
      <c r="E55" s="3454"/>
      <c r="F55" s="3454"/>
      <c r="G55" s="3454"/>
      <c r="H55" s="3454"/>
      <c r="I55" s="3454"/>
      <c r="J55" s="3117"/>
      <c r="K55" s="3118"/>
      <c r="L55" s="3117"/>
      <c r="M55" s="3456"/>
      <c r="N55" s="3457"/>
      <c r="O55" s="3119"/>
      <c r="P55" s="3099"/>
    </row>
    <row r="56" spans="2:16" ht="15" thickBot="1">
      <c r="B56" s="3049"/>
      <c r="C56" s="3461" t="s">
        <v>8901</v>
      </c>
      <c r="D56" s="3462"/>
      <c r="E56" s="3462"/>
      <c r="F56" s="3462"/>
      <c r="G56" s="3462"/>
      <c r="H56" s="3462"/>
      <c r="I56" s="3462"/>
      <c r="J56" s="3462"/>
      <c r="K56" s="3462"/>
      <c r="L56" s="3462"/>
      <c r="M56" s="3462"/>
      <c r="N56" s="3463"/>
      <c r="O56" s="3112"/>
      <c r="P56" s="3099"/>
    </row>
    <row r="57" spans="2:16" ht="15" thickBot="1">
      <c r="B57" s="3049"/>
      <c r="C57" s="3086"/>
      <c r="D57" s="3055"/>
      <c r="E57" s="3055"/>
      <c r="F57" s="3055"/>
      <c r="G57" s="3055"/>
      <c r="H57" s="3055"/>
      <c r="I57" s="3055"/>
      <c r="J57" s="3055"/>
      <c r="K57" s="3055"/>
      <c r="L57" s="3055"/>
      <c r="M57" s="3055"/>
      <c r="N57" s="3055"/>
      <c r="O57" s="3087"/>
      <c r="P57" s="3051"/>
    </row>
    <row r="58" spans="2:16" ht="15" thickBot="1">
      <c r="B58" s="3049"/>
      <c r="C58" s="3487" t="s">
        <v>8915</v>
      </c>
      <c r="D58" s="3488"/>
      <c r="E58" s="3488"/>
      <c r="F58" s="3488"/>
      <c r="G58" s="3488"/>
      <c r="H58" s="3488"/>
      <c r="I58" s="3488"/>
      <c r="J58" s="3488"/>
      <c r="K58" s="3488"/>
      <c r="L58" s="3488"/>
      <c r="M58" s="3488"/>
      <c r="N58" s="3489"/>
      <c r="O58" s="3131"/>
      <c r="P58" s="3132"/>
    </row>
    <row r="59" spans="2:16">
      <c r="B59" s="3049"/>
      <c r="C59" s="3437" t="s">
        <v>8916</v>
      </c>
      <c r="D59" s="3438"/>
      <c r="E59" s="3438"/>
      <c r="F59" s="3438"/>
      <c r="G59" s="3438"/>
      <c r="H59" s="3438"/>
      <c r="I59" s="3438"/>
      <c r="J59" s="3438"/>
      <c r="K59" s="3438"/>
      <c r="L59" s="3438"/>
      <c r="M59" s="3438"/>
      <c r="N59" s="3438"/>
      <c r="O59" s="3439"/>
      <c r="P59" s="3093"/>
    </row>
    <row r="60" spans="2:16">
      <c r="B60" s="3049"/>
      <c r="C60" s="3440"/>
      <c r="D60" s="3441"/>
      <c r="E60" s="3441"/>
      <c r="F60" s="3441"/>
      <c r="G60" s="3441"/>
      <c r="H60" s="3441"/>
      <c r="I60" s="3441"/>
      <c r="J60" s="3441"/>
      <c r="K60" s="3441"/>
      <c r="L60" s="3441"/>
      <c r="M60" s="3441"/>
      <c r="N60" s="3441"/>
      <c r="O60" s="3442"/>
      <c r="P60" s="3093"/>
    </row>
    <row r="61" spans="2:16" ht="14.4" thickBot="1">
      <c r="B61" s="3049"/>
      <c r="C61" s="3443"/>
      <c r="D61" s="3444"/>
      <c r="E61" s="3444"/>
      <c r="F61" s="3444"/>
      <c r="G61" s="3444"/>
      <c r="H61" s="3444"/>
      <c r="I61" s="3444"/>
      <c r="J61" s="3444"/>
      <c r="K61" s="3444"/>
      <c r="L61" s="3444"/>
      <c r="M61" s="3444"/>
      <c r="N61" s="3444"/>
      <c r="O61" s="3445"/>
      <c r="P61" s="3093"/>
    </row>
    <row r="62" spans="2:16" ht="14.4">
      <c r="B62" s="3049"/>
      <c r="C62" s="3446" t="s">
        <v>8917</v>
      </c>
      <c r="D62" s="3464"/>
      <c r="E62" s="3464"/>
      <c r="F62" s="3464"/>
      <c r="G62" s="3464"/>
      <c r="H62" s="3464"/>
      <c r="I62" s="3464"/>
      <c r="J62" s="3113"/>
      <c r="K62" s="3133"/>
      <c r="L62" s="3121" t="s">
        <v>268</v>
      </c>
      <c r="M62" s="3469" t="s">
        <v>8918</v>
      </c>
      <c r="N62" s="3470"/>
      <c r="O62" s="3122"/>
      <c r="P62" s="3123"/>
    </row>
    <row r="63" spans="2:16" ht="14.4">
      <c r="B63" s="3049"/>
      <c r="C63" s="3418" t="s">
        <v>5049</v>
      </c>
      <c r="D63" s="3419"/>
      <c r="E63" s="3419"/>
      <c r="F63" s="3419"/>
      <c r="G63" s="3419"/>
      <c r="H63" s="3419"/>
      <c r="I63" s="3419"/>
      <c r="J63" s="3134"/>
      <c r="K63" s="3135"/>
      <c r="L63" s="3136"/>
      <c r="M63" s="3471"/>
      <c r="N63" s="3472"/>
      <c r="O63" s="3137"/>
      <c r="P63" s="3138"/>
    </row>
    <row r="64" spans="2:16" ht="14.4">
      <c r="B64" s="3049"/>
      <c r="C64" s="3100" t="s">
        <v>8919</v>
      </c>
      <c r="D64" s="3101"/>
      <c r="E64" s="3101"/>
      <c r="F64" s="3101"/>
      <c r="G64" s="3101"/>
      <c r="H64" s="3101"/>
      <c r="I64" s="3101"/>
      <c r="J64" s="3134"/>
      <c r="K64" s="3135"/>
      <c r="L64" s="3136"/>
      <c r="M64" s="3471"/>
      <c r="N64" s="3472"/>
      <c r="O64" s="3137"/>
      <c r="P64" s="3138"/>
    </row>
    <row r="65" spans="2:16" ht="15" thickBot="1">
      <c r="B65" s="3049"/>
      <c r="C65" s="3079" t="s">
        <v>6394</v>
      </c>
      <c r="D65" s="3080"/>
      <c r="E65" s="3080"/>
      <c r="F65" s="3080"/>
      <c r="G65" s="3080"/>
      <c r="H65" s="3080"/>
      <c r="I65" s="3080"/>
      <c r="J65" s="3139"/>
      <c r="K65" s="3140"/>
      <c r="L65" s="3136"/>
      <c r="M65" s="3485"/>
      <c r="N65" s="3486"/>
      <c r="O65" s="3137"/>
      <c r="P65" s="3138"/>
    </row>
    <row r="66" spans="2:16" ht="15" thickBot="1">
      <c r="B66" s="3049"/>
      <c r="C66" s="3461" t="s">
        <v>8901</v>
      </c>
      <c r="D66" s="3462"/>
      <c r="E66" s="3462"/>
      <c r="F66" s="3462"/>
      <c r="G66" s="3462"/>
      <c r="H66" s="3462"/>
      <c r="I66" s="3462"/>
      <c r="J66" s="3462"/>
      <c r="K66" s="3462"/>
      <c r="L66" s="3462"/>
      <c r="M66" s="3462"/>
      <c r="N66" s="3463"/>
      <c r="O66" s="3141"/>
      <c r="P66" s="3142"/>
    </row>
    <row r="67" spans="2:16" ht="15" thickBot="1">
      <c r="B67" s="3049"/>
      <c r="C67" s="3086"/>
      <c r="D67" s="3055"/>
      <c r="E67" s="3055"/>
      <c r="F67" s="3055"/>
      <c r="G67" s="3055"/>
      <c r="H67" s="3055"/>
      <c r="I67" s="3055"/>
      <c r="J67" s="3055"/>
      <c r="K67" s="3055"/>
      <c r="L67" s="3055"/>
      <c r="M67" s="3055"/>
      <c r="N67" s="3055"/>
      <c r="O67" s="3087"/>
      <c r="P67" s="3051"/>
    </row>
    <row r="68" spans="2:16" ht="15" thickBot="1">
      <c r="B68" s="3049"/>
      <c r="C68" s="3487" t="s">
        <v>8920</v>
      </c>
      <c r="D68" s="3488"/>
      <c r="E68" s="3488"/>
      <c r="F68" s="3488"/>
      <c r="G68" s="3488"/>
      <c r="H68" s="3488"/>
      <c r="I68" s="3488"/>
      <c r="J68" s="3488"/>
      <c r="K68" s="3488"/>
      <c r="L68" s="3488"/>
      <c r="M68" s="3488"/>
      <c r="N68" s="3489"/>
      <c r="O68" s="3143"/>
      <c r="P68" s="3142"/>
    </row>
    <row r="69" spans="2:16" ht="14.4">
      <c r="B69" s="3049"/>
      <c r="C69" s="3082"/>
      <c r="D69" s="3083"/>
      <c r="E69" s="3083"/>
      <c r="F69" s="3083"/>
      <c r="G69" s="3083"/>
      <c r="H69" s="3083"/>
      <c r="I69" s="3083"/>
      <c r="J69" s="3083"/>
      <c r="K69" s="3083"/>
      <c r="L69" s="3083"/>
      <c r="M69" s="3083"/>
      <c r="N69" s="3083"/>
      <c r="O69" s="3084"/>
      <c r="P69" s="3051"/>
    </row>
    <row r="70" spans="2:16" ht="14.4">
      <c r="B70" s="3049"/>
      <c r="C70" s="3086"/>
      <c r="D70" s="3055"/>
      <c r="E70" s="3055"/>
      <c r="F70" s="3055"/>
      <c r="G70" s="3055"/>
      <c r="H70" s="3055"/>
      <c r="I70" s="3055"/>
      <c r="J70" s="3055"/>
      <c r="K70" s="3055"/>
      <c r="L70" s="3055"/>
      <c r="M70" s="3055"/>
      <c r="N70" s="3055"/>
      <c r="O70" s="3087"/>
      <c r="P70" s="3051"/>
    </row>
    <row r="71" spans="2:16" ht="14.4">
      <c r="B71" s="3049"/>
      <c r="C71" s="3086"/>
      <c r="D71" s="3055"/>
      <c r="E71" s="3055"/>
      <c r="F71" s="3055"/>
      <c r="G71" s="3055"/>
      <c r="H71" s="3055"/>
      <c r="I71" s="3055"/>
      <c r="J71" s="3055"/>
      <c r="K71" s="3055"/>
      <c r="L71" s="3055"/>
      <c r="M71" s="3055"/>
      <c r="N71" s="3055"/>
      <c r="O71" s="3087"/>
      <c r="P71" s="3051"/>
    </row>
    <row r="72" spans="2:16" ht="14.4">
      <c r="B72" s="3049"/>
      <c r="C72" s="3086"/>
      <c r="D72" s="3055"/>
      <c r="E72" s="3055"/>
      <c r="F72" s="3055"/>
      <c r="G72" s="3055"/>
      <c r="H72" s="3144" t="s">
        <v>8921</v>
      </c>
      <c r="I72" s="3144"/>
      <c r="J72" s="3144"/>
      <c r="K72" s="3144"/>
      <c r="L72" s="3055"/>
      <c r="M72" s="3055"/>
      <c r="N72" s="3055"/>
      <c r="O72" s="3087"/>
      <c r="P72" s="3051"/>
    </row>
    <row r="73" spans="2:16" ht="14.4">
      <c r="B73" s="3049"/>
      <c r="C73" s="3086"/>
      <c r="D73" s="3055"/>
      <c r="E73" s="3055"/>
      <c r="F73" s="3055"/>
      <c r="G73" s="3055"/>
      <c r="H73" s="3144" t="s">
        <v>8922</v>
      </c>
      <c r="I73" s="3055"/>
      <c r="J73" s="3055"/>
      <c r="K73" s="3055"/>
      <c r="L73" s="3055"/>
      <c r="M73" s="3055"/>
      <c r="N73" s="3055"/>
      <c r="O73" s="3087"/>
      <c r="P73" s="3145"/>
    </row>
    <row r="74" spans="2:16" ht="14.4">
      <c r="B74" s="3049"/>
      <c r="C74" s="3086"/>
      <c r="D74" s="3055"/>
      <c r="E74" s="3055"/>
      <c r="F74" s="3055"/>
      <c r="G74" s="3055"/>
      <c r="H74" s="3144" t="s">
        <v>8923</v>
      </c>
      <c r="I74" s="3055"/>
      <c r="J74" s="3055"/>
      <c r="K74" s="3055"/>
      <c r="L74" s="3055"/>
      <c r="M74" s="3055"/>
      <c r="N74" s="3055"/>
      <c r="O74" s="3087"/>
      <c r="P74" s="3145"/>
    </row>
    <row r="75" spans="2:16" ht="14.4">
      <c r="B75" s="3049"/>
      <c r="C75" s="3068"/>
      <c r="D75" s="3146"/>
      <c r="E75" s="3146"/>
      <c r="F75" s="3146"/>
      <c r="G75" s="3146"/>
      <c r="H75" s="3144" t="s">
        <v>8924</v>
      </c>
      <c r="I75" s="3146"/>
      <c r="J75" s="3146"/>
      <c r="K75" s="3146"/>
      <c r="L75" s="3146"/>
      <c r="M75" s="3146"/>
      <c r="N75" s="3146"/>
      <c r="O75" s="3147"/>
      <c r="P75" s="3148"/>
    </row>
    <row r="76" spans="2:16" ht="14.4">
      <c r="B76" s="3049"/>
      <c r="C76" s="3086"/>
      <c r="D76" s="3055"/>
      <c r="E76" s="3055"/>
      <c r="F76" s="3055"/>
      <c r="G76" s="3055"/>
      <c r="H76" s="3055" t="s">
        <v>441</v>
      </c>
      <c r="I76" s="3055"/>
      <c r="J76" s="3055"/>
      <c r="K76" s="3055"/>
      <c r="L76" s="3055"/>
      <c r="M76" s="3055"/>
      <c r="N76" s="3055"/>
      <c r="O76" s="3087"/>
      <c r="P76" s="3051"/>
    </row>
    <row r="77" spans="2:16" ht="14.4">
      <c r="B77" s="3049"/>
      <c r="C77" s="3149" t="s">
        <v>8925</v>
      </c>
      <c r="D77" s="3150"/>
      <c r="E77" s="3150"/>
      <c r="F77" s="3150"/>
      <c r="G77" s="3150"/>
      <c r="H77" s="3150"/>
      <c r="I77" s="3150"/>
      <c r="J77" s="3150"/>
      <c r="K77" s="3150"/>
      <c r="L77" s="3150"/>
      <c r="M77" s="3150"/>
      <c r="N77" s="3150"/>
      <c r="O77" s="3151"/>
      <c r="P77" s="3051"/>
    </row>
    <row r="78" spans="2:16" ht="14.4">
      <c r="B78" s="3049"/>
      <c r="C78" s="3490"/>
      <c r="D78" s="3491"/>
      <c r="E78" s="3491"/>
      <c r="F78" s="3491"/>
      <c r="G78" s="3491"/>
      <c r="H78" s="3491"/>
      <c r="I78" s="3491"/>
      <c r="J78" s="3491"/>
      <c r="K78" s="3491"/>
      <c r="L78" s="3491"/>
      <c r="M78" s="3491"/>
      <c r="N78" s="3491"/>
      <c r="O78" s="3492"/>
      <c r="P78" s="3148"/>
    </row>
    <row r="79" spans="2:16" ht="14.4">
      <c r="B79" s="3049"/>
      <c r="C79" s="3490"/>
      <c r="D79" s="3491"/>
      <c r="E79" s="3491"/>
      <c r="F79" s="3491"/>
      <c r="G79" s="3491"/>
      <c r="H79" s="3491"/>
      <c r="I79" s="3491"/>
      <c r="J79" s="3491"/>
      <c r="K79" s="3491"/>
      <c r="L79" s="3491"/>
      <c r="M79" s="3491"/>
      <c r="N79" s="3491"/>
      <c r="O79" s="3492"/>
      <c r="P79" s="3148"/>
    </row>
    <row r="80" spans="2:16" ht="14.4">
      <c r="B80" s="3049"/>
      <c r="C80" s="3068"/>
      <c r="D80" s="3146"/>
      <c r="E80" s="3146"/>
      <c r="F80" s="3146"/>
      <c r="G80" s="3146"/>
      <c r="H80" s="3146"/>
      <c r="I80" s="3146"/>
      <c r="J80" s="3146"/>
      <c r="K80" s="3146"/>
      <c r="L80" s="3146"/>
      <c r="M80" s="3146"/>
      <c r="N80" s="3146"/>
      <c r="O80" s="3147"/>
      <c r="P80" s="3148"/>
    </row>
    <row r="81" spans="2:16" ht="14.4">
      <c r="B81" s="3049"/>
      <c r="C81" s="3152" t="s">
        <v>8926</v>
      </c>
      <c r="D81" s="3146"/>
      <c r="E81" s="3146"/>
      <c r="F81" s="3146"/>
      <c r="G81" s="3146"/>
      <c r="H81" s="3146"/>
      <c r="I81" s="3146"/>
      <c r="J81" s="3146"/>
      <c r="K81" s="3146"/>
      <c r="L81" s="3146"/>
      <c r="M81" s="3146"/>
      <c r="N81" s="3146"/>
      <c r="O81" s="3147"/>
      <c r="P81" s="3148"/>
    </row>
    <row r="82" spans="2:16" ht="12.75" customHeight="1">
      <c r="B82" s="3049"/>
      <c r="C82" s="3475" t="s">
        <v>8927</v>
      </c>
      <c r="D82" s="3476"/>
      <c r="E82" s="3476"/>
      <c r="F82" s="3476"/>
      <c r="G82" s="3476"/>
      <c r="H82" s="3476"/>
      <c r="I82" s="3476"/>
      <c r="J82" s="3476"/>
      <c r="K82" s="3476"/>
      <c r="L82" s="3476"/>
      <c r="M82" s="3476"/>
      <c r="N82" s="3476"/>
      <c r="O82" s="3477"/>
      <c r="P82" s="3153"/>
    </row>
    <row r="83" spans="2:16" ht="24" customHeight="1">
      <c r="B83" s="3049"/>
      <c r="C83" s="3475"/>
      <c r="D83" s="3476"/>
      <c r="E83" s="3476"/>
      <c r="F83" s="3476"/>
      <c r="G83" s="3476"/>
      <c r="H83" s="3476"/>
      <c r="I83" s="3476"/>
      <c r="J83" s="3476"/>
      <c r="K83" s="3476"/>
      <c r="L83" s="3476"/>
      <c r="M83" s="3476"/>
      <c r="N83" s="3476"/>
      <c r="O83" s="3477"/>
      <c r="P83" s="3153"/>
    </row>
    <row r="84" spans="2:16" ht="12.9" customHeight="1">
      <c r="B84" s="3049"/>
      <c r="C84" s="3475" t="s">
        <v>8928</v>
      </c>
      <c r="D84" s="3476"/>
      <c r="E84" s="3476"/>
      <c r="F84" s="3476"/>
      <c r="G84" s="3476"/>
      <c r="H84" s="3476"/>
      <c r="I84" s="3476"/>
      <c r="J84" s="3476"/>
      <c r="K84" s="3476"/>
      <c r="L84" s="3476"/>
      <c r="M84" s="3476"/>
      <c r="N84" s="3476"/>
      <c r="O84" s="3477"/>
      <c r="P84" s="3153"/>
    </row>
    <row r="85" spans="2:16" ht="32.25" customHeight="1">
      <c r="B85" s="3049"/>
      <c r="C85" s="3475"/>
      <c r="D85" s="3476"/>
      <c r="E85" s="3476"/>
      <c r="F85" s="3476"/>
      <c r="G85" s="3476"/>
      <c r="H85" s="3476"/>
      <c r="I85" s="3476"/>
      <c r="J85" s="3476"/>
      <c r="K85" s="3476"/>
      <c r="L85" s="3476"/>
      <c r="M85" s="3476"/>
      <c r="N85" s="3476"/>
      <c r="O85" s="3477"/>
      <c r="P85" s="3153"/>
    </row>
    <row r="86" spans="2:16" ht="14.4">
      <c r="B86" s="3049"/>
      <c r="C86" s="3068"/>
      <c r="D86" s="3146"/>
      <c r="E86" s="3146"/>
      <c r="F86" s="3146"/>
      <c r="G86" s="3146"/>
      <c r="H86" s="3146"/>
      <c r="I86" s="3146"/>
      <c r="J86" s="3146"/>
      <c r="K86" s="3146"/>
      <c r="L86" s="3146"/>
      <c r="M86" s="3146"/>
      <c r="N86" s="3146"/>
      <c r="O86" s="3147"/>
      <c r="P86" s="3148"/>
    </row>
    <row r="87" spans="2:16" ht="14.4">
      <c r="B87" s="3049"/>
      <c r="C87" s="3086"/>
      <c r="D87" s="3055"/>
      <c r="E87" s="3055"/>
      <c r="F87" s="3055"/>
      <c r="G87" s="3055"/>
      <c r="H87" s="3144" t="s">
        <v>8921</v>
      </c>
      <c r="I87" s="3055"/>
      <c r="J87" s="3055"/>
      <c r="K87" s="3055"/>
      <c r="L87" s="3055"/>
      <c r="M87" s="3055"/>
      <c r="N87" s="3055"/>
      <c r="O87" s="3087"/>
      <c r="P87" s="3051"/>
    </row>
    <row r="88" spans="2:16" ht="14.4">
      <c r="B88" s="3049"/>
      <c r="C88" s="3086"/>
      <c r="D88" s="3055"/>
      <c r="E88" s="3055"/>
      <c r="F88" s="3055"/>
      <c r="G88" s="3055"/>
      <c r="H88" s="3055" t="s">
        <v>8922</v>
      </c>
      <c r="I88" s="3101"/>
      <c r="J88" s="3101"/>
      <c r="K88" s="3101"/>
      <c r="L88" s="3055"/>
      <c r="M88" s="3055"/>
      <c r="N88" s="3055"/>
      <c r="O88" s="3087"/>
      <c r="P88" s="3051"/>
    </row>
    <row r="89" spans="2:16" ht="14.4">
      <c r="B89" s="3049"/>
      <c r="C89" s="3086"/>
      <c r="D89" s="3055"/>
      <c r="E89" s="3055"/>
      <c r="F89" s="3055"/>
      <c r="G89" s="3055"/>
      <c r="H89" s="3055" t="s">
        <v>8929</v>
      </c>
      <c r="I89" s="3154"/>
      <c r="J89" s="3154"/>
      <c r="K89" s="3154"/>
      <c r="L89" s="3055"/>
      <c r="M89" s="3055"/>
      <c r="N89" s="3055"/>
      <c r="O89" s="3087"/>
      <c r="P89" s="3051"/>
    </row>
    <row r="90" spans="2:16" ht="14.4">
      <c r="B90" s="3049"/>
      <c r="C90" s="3155"/>
      <c r="D90" s="3146"/>
      <c r="E90" s="3146"/>
      <c r="F90" s="3146"/>
      <c r="G90" s="3146"/>
      <c r="H90" s="3055" t="s">
        <v>8924</v>
      </c>
      <c r="I90" s="3055"/>
      <c r="J90" s="3055"/>
      <c r="K90" s="3055"/>
      <c r="L90" s="3146"/>
      <c r="M90" s="3146"/>
      <c r="N90" s="3146"/>
      <c r="O90" s="3147"/>
      <c r="P90" s="3148"/>
    </row>
    <row r="91" spans="2:16" ht="17.25" customHeight="1">
      <c r="B91" s="3049"/>
      <c r="C91" s="3155"/>
      <c r="D91" s="3154"/>
      <c r="E91" s="3154"/>
      <c r="F91" s="3055"/>
      <c r="G91" s="3055"/>
      <c r="H91" s="3055"/>
      <c r="I91" s="3055"/>
      <c r="J91" s="3055"/>
      <c r="K91" s="3478"/>
      <c r="L91" s="3478"/>
      <c r="M91" s="3478"/>
      <c r="N91" s="3478"/>
      <c r="O91" s="3479"/>
      <c r="P91" s="3156"/>
    </row>
    <row r="92" spans="2:16" ht="18.75" customHeight="1" thickBot="1">
      <c r="B92" s="3049"/>
      <c r="C92" s="3482"/>
      <c r="D92" s="3483"/>
      <c r="E92" s="3483"/>
      <c r="F92" s="3118"/>
      <c r="G92" s="3118"/>
      <c r="H92" s="3118"/>
      <c r="I92" s="3118"/>
      <c r="J92" s="3118"/>
      <c r="K92" s="3480"/>
      <c r="L92" s="3480"/>
      <c r="M92" s="3480"/>
      <c r="N92" s="3480"/>
      <c r="O92" s="3481"/>
      <c r="P92" s="3156"/>
    </row>
    <row r="93" spans="2:16" ht="14.4" thickBot="1">
      <c r="B93" s="3157"/>
      <c r="C93" s="3158"/>
      <c r="D93" s="3158"/>
      <c r="E93" s="3158"/>
      <c r="F93" s="3158"/>
      <c r="G93" s="3158"/>
      <c r="H93" s="3158"/>
      <c r="I93" s="3158"/>
      <c r="J93" s="3158"/>
      <c r="K93" s="3158"/>
      <c r="L93" s="3158"/>
      <c r="M93" s="3158"/>
      <c r="N93" s="3158"/>
      <c r="O93" s="3158"/>
      <c r="P93" s="3159"/>
    </row>
    <row r="94" spans="2:16" ht="14.4" thickTop="1"/>
  </sheetData>
  <mergeCells count="79">
    <mergeCell ref="C82:O83"/>
    <mergeCell ref="C84:O85"/>
    <mergeCell ref="K91:O92"/>
    <mergeCell ref="C92:E92"/>
    <mergeCell ref="L3:O4"/>
    <mergeCell ref="C3:G3"/>
    <mergeCell ref="M64:N64"/>
    <mergeCell ref="M65:N65"/>
    <mergeCell ref="C66:N66"/>
    <mergeCell ref="C68:N68"/>
    <mergeCell ref="C78:O78"/>
    <mergeCell ref="C79:O79"/>
    <mergeCell ref="C58:N58"/>
    <mergeCell ref="C59:O61"/>
    <mergeCell ref="C62:I62"/>
    <mergeCell ref="M62:N62"/>
    <mergeCell ref="C63:I63"/>
    <mergeCell ref="M63:N63"/>
    <mergeCell ref="M52:N52"/>
    <mergeCell ref="M53:N53"/>
    <mergeCell ref="M54:N54"/>
    <mergeCell ref="C55:I55"/>
    <mergeCell ref="M55:N55"/>
    <mergeCell ref="C56:N56"/>
    <mergeCell ref="C46:I46"/>
    <mergeCell ref="M46:N46"/>
    <mergeCell ref="C47:N47"/>
    <mergeCell ref="C48:O50"/>
    <mergeCell ref="C51:I51"/>
    <mergeCell ref="M51:N51"/>
    <mergeCell ref="C40:N40"/>
    <mergeCell ref="C41:O43"/>
    <mergeCell ref="C44:I44"/>
    <mergeCell ref="M44:N44"/>
    <mergeCell ref="C45:I45"/>
    <mergeCell ref="M45:N45"/>
    <mergeCell ref="C39:J39"/>
    <mergeCell ref="M39:N39"/>
    <mergeCell ref="M31:N31"/>
    <mergeCell ref="C32:G32"/>
    <mergeCell ref="H32:I32"/>
    <mergeCell ref="J32:K32"/>
    <mergeCell ref="M32:N32"/>
    <mergeCell ref="C33:N33"/>
    <mergeCell ref="C34:O36"/>
    <mergeCell ref="C37:J37"/>
    <mergeCell ref="M37:N37"/>
    <mergeCell ref="C38:J38"/>
    <mergeCell ref="M38:N38"/>
    <mergeCell ref="C30:G30"/>
    <mergeCell ref="H30:I30"/>
    <mergeCell ref="J30:K30"/>
    <mergeCell ref="M30:N30"/>
    <mergeCell ref="C18:F18"/>
    <mergeCell ref="C22:O22"/>
    <mergeCell ref="D24:L24"/>
    <mergeCell ref="M24:N24"/>
    <mergeCell ref="D25:L25"/>
    <mergeCell ref="M25:N25"/>
    <mergeCell ref="C26:O28"/>
    <mergeCell ref="C29:G29"/>
    <mergeCell ref="H29:I29"/>
    <mergeCell ref="J29:K29"/>
    <mergeCell ref="M29:N29"/>
    <mergeCell ref="C6:O6"/>
    <mergeCell ref="C8:C14"/>
    <mergeCell ref="D8:K8"/>
    <mergeCell ref="L8:O9"/>
    <mergeCell ref="D9:K9"/>
    <mergeCell ref="D10:K10"/>
    <mergeCell ref="L10:L11"/>
    <mergeCell ref="M10:O11"/>
    <mergeCell ref="D11:K11"/>
    <mergeCell ref="D12:K13"/>
    <mergeCell ref="L12:L14"/>
    <mergeCell ref="M12:M14"/>
    <mergeCell ref="N12:N14"/>
    <mergeCell ref="O12:O14"/>
    <mergeCell ref="D14:K14"/>
  </mergeCells>
  <printOptions horizontalCentered="1" verticalCentered="1"/>
  <pageMargins left="0.11811023622047245" right="0.11811023622047245" top="0.15748031496062992" bottom="0.15748031496062992" header="0" footer="0"/>
  <pageSetup scale="5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I211"/>
  <sheetViews>
    <sheetView workbookViewId="0"/>
  </sheetViews>
  <sheetFormatPr baseColWidth="10" defaultColWidth="10.6640625" defaultRowHeight="13.2"/>
  <cols>
    <col min="1" max="1" width="16.44140625" customWidth="1"/>
    <col min="2" max="2" width="48" bestFit="1" customWidth="1"/>
    <col min="5" max="6" width="11.44140625" style="64"/>
    <col min="7" max="7" width="15.6640625" style="64" customWidth="1"/>
    <col min="8" max="9" width="11.44140625" style="64"/>
  </cols>
  <sheetData>
    <row r="1" spans="1:9" ht="17.399999999999999" thickBot="1">
      <c r="A1" s="178"/>
      <c r="B1" s="578"/>
      <c r="C1" s="666"/>
      <c r="D1" s="17"/>
      <c r="E1" s="581"/>
      <c r="F1" s="581"/>
      <c r="G1" s="581"/>
      <c r="H1" s="581"/>
      <c r="I1" s="581"/>
    </row>
    <row r="2" spans="1:9" ht="36.75" customHeight="1">
      <c r="A2" s="3493"/>
      <c r="B2" s="3496" t="s">
        <v>4263</v>
      </c>
      <c r="C2" s="3496"/>
      <c r="D2" s="3496"/>
      <c r="E2" s="3496"/>
      <c r="F2" s="3496"/>
      <c r="G2" s="3496"/>
      <c r="H2" s="3302"/>
      <c r="I2" s="3303"/>
    </row>
    <row r="3" spans="1:9" ht="19.2">
      <c r="A3" s="3494"/>
      <c r="B3" s="3321" t="s">
        <v>4261</v>
      </c>
      <c r="C3" s="3321"/>
      <c r="D3" s="3321"/>
      <c r="E3" s="3321"/>
      <c r="F3" s="3321"/>
      <c r="G3" s="3321"/>
      <c r="H3" s="3304"/>
      <c r="I3" s="3305"/>
    </row>
    <row r="4" spans="1:9" ht="19.8" thickBot="1">
      <c r="A4" s="3495"/>
      <c r="B4" s="3311" t="s">
        <v>3859</v>
      </c>
      <c r="C4" s="3311"/>
      <c r="D4" s="3497" t="s">
        <v>4259</v>
      </c>
      <c r="E4" s="3497"/>
      <c r="F4" s="3497"/>
      <c r="G4" s="3497"/>
      <c r="H4" s="3306"/>
      <c r="I4" s="3307"/>
    </row>
    <row r="5" spans="1:9" ht="17.399999999999999" thickBot="1">
      <c r="A5" s="31"/>
      <c r="B5" s="109"/>
      <c r="C5" s="109"/>
      <c r="D5" s="109"/>
      <c r="E5" s="109"/>
      <c r="F5" s="109"/>
      <c r="G5" s="109"/>
      <c r="H5" s="31"/>
      <c r="I5" s="31"/>
    </row>
    <row r="6" spans="1:9" ht="17.399999999999999" thickBot="1">
      <c r="A6" s="3318" t="s">
        <v>853</v>
      </c>
      <c r="B6" s="3319"/>
      <c r="C6" s="3319"/>
      <c r="D6" s="3319"/>
      <c r="E6" s="3319"/>
      <c r="F6" s="3319"/>
      <c r="G6" s="3319"/>
      <c r="H6" s="3319"/>
      <c r="I6" s="3320"/>
    </row>
    <row r="7" spans="1:9" ht="17.399999999999999" thickBot="1">
      <c r="A7" s="31"/>
      <c r="B7" s="109"/>
      <c r="C7" s="109"/>
      <c r="D7" s="109"/>
      <c r="E7" s="109"/>
      <c r="F7" s="109"/>
      <c r="G7" s="109"/>
      <c r="H7" s="31"/>
      <c r="I7" s="31"/>
    </row>
    <row r="8" spans="1:9" ht="17.399999999999999" thickBot="1">
      <c r="A8" s="3314" t="s">
        <v>852</v>
      </c>
      <c r="B8" s="3315"/>
      <c r="C8" s="3315"/>
      <c r="D8" s="3315"/>
      <c r="E8" s="3315"/>
      <c r="F8" s="3315"/>
      <c r="G8" s="3315"/>
      <c r="H8" s="3315"/>
      <c r="I8" s="3316"/>
    </row>
    <row r="9" spans="1:9">
      <c r="A9" s="36"/>
      <c r="B9" s="38"/>
      <c r="C9" s="37"/>
    </row>
    <row r="10" spans="1:9" ht="19.2">
      <c r="A10" s="26"/>
      <c r="B10" s="3313" t="s">
        <v>278</v>
      </c>
      <c r="C10" s="3313"/>
      <c r="D10" s="3313"/>
      <c r="E10" s="3313"/>
      <c r="F10" s="3313"/>
      <c r="G10" s="3313"/>
      <c r="H10" s="3313"/>
      <c r="I10" s="3313"/>
    </row>
    <row r="11" spans="1:9" ht="14.4">
      <c r="A11" s="45"/>
      <c r="B11" s="24"/>
      <c r="C11" s="9" t="s">
        <v>140</v>
      </c>
      <c r="D11" s="9" t="s">
        <v>343</v>
      </c>
      <c r="E11" s="57" t="s">
        <v>344</v>
      </c>
      <c r="F11" s="57" t="s">
        <v>482</v>
      </c>
      <c r="G11" s="57" t="s">
        <v>483</v>
      </c>
      <c r="H11" s="57" t="s">
        <v>170</v>
      </c>
      <c r="I11" s="57" t="s">
        <v>171</v>
      </c>
    </row>
    <row r="12" spans="1:9" ht="14.4">
      <c r="A12" s="45" t="s">
        <v>715</v>
      </c>
      <c r="B12" s="8" t="s">
        <v>716</v>
      </c>
      <c r="C12" s="27">
        <v>0.5</v>
      </c>
      <c r="D12" s="4" t="s">
        <v>717</v>
      </c>
      <c r="E12" s="57">
        <f>+CONM1</f>
        <v>47000</v>
      </c>
      <c r="F12" s="57">
        <f>+E12*C12</f>
        <v>23500</v>
      </c>
      <c r="G12" s="57"/>
      <c r="H12" s="57"/>
      <c r="I12" s="57"/>
    </row>
    <row r="13" spans="1:9" ht="14.4">
      <c r="A13" s="45" t="s">
        <v>172</v>
      </c>
      <c r="B13" s="8" t="s">
        <v>189</v>
      </c>
      <c r="C13" s="27">
        <v>1</v>
      </c>
      <c r="D13" s="4" t="s">
        <v>583</v>
      </c>
      <c r="E13" s="57">
        <f>+H23*0.05</f>
        <v>2622.7735045142854</v>
      </c>
      <c r="F13" s="57"/>
      <c r="G13" s="57"/>
      <c r="H13" s="57"/>
      <c r="I13" s="57">
        <f>+E13*C13</f>
        <v>2622.7735045142854</v>
      </c>
    </row>
    <row r="14" spans="1:9" ht="14.4">
      <c r="A14" s="45" t="s">
        <v>366</v>
      </c>
      <c r="B14" s="8" t="s">
        <v>367</v>
      </c>
      <c r="C14" s="27">
        <v>1.0249999999999999</v>
      </c>
      <c r="D14" s="4" t="s">
        <v>356</v>
      </c>
      <c r="E14" s="57">
        <f>+TRITU</f>
        <v>85000</v>
      </c>
      <c r="F14" s="57"/>
      <c r="G14" s="57">
        <f>+E14*C14</f>
        <v>87124.999999999985</v>
      </c>
      <c r="H14" s="57"/>
      <c r="I14" s="57"/>
    </row>
    <row r="15" spans="1:9" ht="14.4">
      <c r="A15" s="45" t="s">
        <v>364</v>
      </c>
      <c r="B15" s="8" t="s">
        <v>365</v>
      </c>
      <c r="C15" s="27">
        <v>0.51500000000000001</v>
      </c>
      <c r="D15" s="4" t="s">
        <v>356</v>
      </c>
      <c r="E15" s="57">
        <f>+ARENC</f>
        <v>34000</v>
      </c>
      <c r="F15" s="57"/>
      <c r="G15" s="57">
        <f>+E15*C15</f>
        <v>17510</v>
      </c>
      <c r="H15" s="57"/>
      <c r="I15" s="57"/>
    </row>
    <row r="16" spans="1:9" ht="14.4">
      <c r="A16" s="45" t="s">
        <v>368</v>
      </c>
      <c r="B16" s="8" t="s">
        <v>892</v>
      </c>
      <c r="C16" s="27">
        <v>3.25</v>
      </c>
      <c r="D16" s="4" t="s">
        <v>370</v>
      </c>
      <c r="E16" s="57">
        <f>+CEMEG</f>
        <v>25500</v>
      </c>
      <c r="F16" s="57"/>
      <c r="G16" s="57">
        <f>+E16*C16</f>
        <v>82875</v>
      </c>
      <c r="H16" s="57"/>
      <c r="I16" s="57"/>
    </row>
    <row r="17" spans="1:9" ht="14.4">
      <c r="A17" s="45" t="s">
        <v>1015</v>
      </c>
      <c r="B17" s="8" t="s">
        <v>138</v>
      </c>
      <c r="C17" s="27">
        <v>0.18</v>
      </c>
      <c r="D17" s="4" t="s">
        <v>356</v>
      </c>
      <c r="E17" s="57">
        <f>+TRANAG</f>
        <v>30600</v>
      </c>
      <c r="F17" s="57"/>
      <c r="G17" s="57"/>
      <c r="H17" s="57"/>
      <c r="I17" s="57">
        <f>+E17*C17</f>
        <v>5508</v>
      </c>
    </row>
    <row r="18" spans="1:9" ht="14.4">
      <c r="A18" s="45" t="s">
        <v>72</v>
      </c>
      <c r="B18" s="8" t="s">
        <v>72</v>
      </c>
      <c r="C18" s="27">
        <v>50</v>
      </c>
      <c r="D18" s="4" t="s">
        <v>73</v>
      </c>
      <c r="E18" s="57">
        <f>+AGUA</f>
        <v>10.199999999999999</v>
      </c>
      <c r="F18" s="57"/>
      <c r="G18" s="57">
        <f>+E18*C18</f>
        <v>509.99999999999994</v>
      </c>
      <c r="H18" s="57"/>
      <c r="I18" s="57"/>
    </row>
    <row r="19" spans="1:9" ht="14.4">
      <c r="A19" s="45" t="s">
        <v>9</v>
      </c>
      <c r="B19" s="8" t="s">
        <v>10</v>
      </c>
      <c r="C19" s="27">
        <v>0.2</v>
      </c>
      <c r="D19" s="4" t="s">
        <v>647</v>
      </c>
      <c r="E19" s="57">
        <f>+CONMX</f>
        <v>8171</v>
      </c>
      <c r="F19" s="57"/>
      <c r="G19" s="57">
        <f>+E19*C19</f>
        <v>1634.2</v>
      </c>
      <c r="H19" s="57"/>
      <c r="I19" s="57"/>
    </row>
    <row r="20" spans="1:9" ht="14.4">
      <c r="A20" s="45" t="s">
        <v>297</v>
      </c>
      <c r="B20" s="8" t="s">
        <v>407</v>
      </c>
      <c r="C20" s="27">
        <v>0.5</v>
      </c>
      <c r="D20" s="4" t="s">
        <v>583</v>
      </c>
      <c r="E20" s="57">
        <v>5000</v>
      </c>
      <c r="F20" s="57"/>
      <c r="G20" s="57"/>
      <c r="H20" s="57"/>
      <c r="I20" s="57">
        <f>+E20*C20</f>
        <v>2500</v>
      </c>
    </row>
    <row r="21" spans="1:9" ht="16.8">
      <c r="A21" s="45" t="s">
        <v>347</v>
      </c>
      <c r="B21" s="8" t="str">
        <f>IF(PRESTA&gt;0,"AYUD. ENTENDIDO (INCLUYE "&amp;""&amp;PRESTA*100&amp;"% PRESTACIONES)",0)</f>
        <v>AYUD. ENTENDIDO (INCLUYE 82,22% PRESTACIONES)</v>
      </c>
      <c r="C21" s="667">
        <f>1/7</f>
        <v>0.14285714285714285</v>
      </c>
      <c r="D21" s="243" t="s">
        <v>346</v>
      </c>
      <c r="E21" s="57">
        <f>+AYUDA</f>
        <v>65389.695592000004</v>
      </c>
      <c r="F21" s="57"/>
      <c r="G21" s="57"/>
      <c r="H21" s="57">
        <f>+E21*C21</f>
        <v>9341.3850845714278</v>
      </c>
      <c r="I21" s="57"/>
    </row>
    <row r="22" spans="1:9" ht="16.8">
      <c r="A22" s="45" t="s">
        <v>348</v>
      </c>
      <c r="B22" s="8" t="str">
        <f>IF(PRESTA&gt;0,"AYUD. RASO (INCLUYE "&amp;""&amp;PRESTA*100&amp;"% PRESTACIONES)",0)</f>
        <v>AYUD. RASO (INCLUYE 82,22% PRESTACIONES)</v>
      </c>
      <c r="C22" s="667">
        <f>6/7</f>
        <v>0.8571428571428571</v>
      </c>
      <c r="D22" s="243" t="s">
        <v>346</v>
      </c>
      <c r="E22" s="57">
        <f>+AYUDR</f>
        <v>50299.76584</v>
      </c>
      <c r="F22" s="57"/>
      <c r="G22" s="57"/>
      <c r="H22" s="57">
        <f>+E22*C22</f>
        <v>43114.085005714282</v>
      </c>
      <c r="I22" s="57"/>
    </row>
    <row r="23" spans="1:9" ht="16.8">
      <c r="A23" s="20" t="s">
        <v>190</v>
      </c>
      <c r="B23" s="39">
        <f>SUM(F23:I23)</f>
        <v>276240.44359480002</v>
      </c>
      <c r="C23" s="34"/>
      <c r="D23" s="4"/>
      <c r="E23" s="57"/>
      <c r="F23" s="57">
        <f>SUM(F12:F22)</f>
        <v>23500</v>
      </c>
      <c r="G23" s="57">
        <f>SUM(G12:G22)</f>
        <v>189654.2</v>
      </c>
      <c r="H23" s="57">
        <f>SUM(H12:H22)</f>
        <v>52455.470090285708</v>
      </c>
      <c r="I23" s="57">
        <f>SUM(I12:I22)</f>
        <v>10630.773504514285</v>
      </c>
    </row>
    <row r="24" spans="1:9" ht="16.8">
      <c r="A24" s="21" t="str">
        <f>IF(AIU&gt;0,"+"&amp;""&amp;AIU*100&amp;"% AIU:",0)</f>
        <v>+29,572249606751% AIU:</v>
      </c>
      <c r="B24" s="39">
        <f>+B23*AIU</f>
        <v>81690.51349465044</v>
      </c>
      <c r="C24" s="35"/>
      <c r="D24" s="29"/>
      <c r="E24" s="66"/>
      <c r="F24" s="66"/>
      <c r="G24" s="66"/>
      <c r="H24" s="66"/>
      <c r="I24" s="66"/>
    </row>
    <row r="25" spans="1:9" ht="16.8">
      <c r="A25" s="20" t="s">
        <v>191</v>
      </c>
      <c r="B25" s="39">
        <f>INT(+B23+B24)</f>
        <v>357930</v>
      </c>
      <c r="C25" s="21" t="s">
        <v>356</v>
      </c>
      <c r="D25" s="29"/>
      <c r="E25" s="66"/>
      <c r="F25" s="66"/>
      <c r="G25" s="66"/>
      <c r="H25" s="66"/>
      <c r="I25" s="66"/>
    </row>
    <row r="26" spans="1:9">
      <c r="A26" s="36"/>
      <c r="B26" s="38"/>
      <c r="C26" s="37"/>
    </row>
    <row r="27" spans="1:9" ht="19.2">
      <c r="A27" s="26"/>
      <c r="B27" s="3313" t="s">
        <v>279</v>
      </c>
      <c r="C27" s="3313"/>
      <c r="D27" s="3313"/>
      <c r="E27" s="3313"/>
      <c r="F27" s="3313"/>
      <c r="G27" s="3313"/>
      <c r="H27" s="3313"/>
      <c r="I27" s="3313"/>
    </row>
    <row r="28" spans="1:9" ht="14.4">
      <c r="A28" s="45"/>
      <c r="B28" s="24"/>
      <c r="C28" s="9" t="s">
        <v>140</v>
      </c>
      <c r="D28" s="9" t="s">
        <v>343</v>
      </c>
      <c r="E28" s="57" t="s">
        <v>344</v>
      </c>
      <c r="F28" s="57" t="s">
        <v>482</v>
      </c>
      <c r="G28" s="57" t="s">
        <v>483</v>
      </c>
      <c r="H28" s="57" t="s">
        <v>170</v>
      </c>
      <c r="I28" s="57" t="s">
        <v>171</v>
      </c>
    </row>
    <row r="29" spans="1:9" ht="14.4">
      <c r="A29" s="45" t="s">
        <v>715</v>
      </c>
      <c r="B29" s="8" t="s">
        <v>716</v>
      </c>
      <c r="C29" s="27">
        <v>0.52</v>
      </c>
      <c r="D29" s="4" t="s">
        <v>717</v>
      </c>
      <c r="E29" s="57">
        <f>+CONM1</f>
        <v>47000</v>
      </c>
      <c r="F29" s="57">
        <f>+E29*C29</f>
        <v>24440</v>
      </c>
      <c r="G29" s="57"/>
      <c r="H29" s="57"/>
      <c r="I29" s="57"/>
    </row>
    <row r="30" spans="1:9" ht="14.4">
      <c r="A30" s="45" t="s">
        <v>172</v>
      </c>
      <c r="B30" s="8" t="s">
        <v>189</v>
      </c>
      <c r="C30" s="27">
        <v>1</v>
      </c>
      <c r="D30" s="4" t="s">
        <v>583</v>
      </c>
      <c r="E30" s="57">
        <f>+H40*0.05</f>
        <v>2622.7735045142854</v>
      </c>
      <c r="F30" s="57"/>
      <c r="G30" s="57"/>
      <c r="H30" s="57"/>
      <c r="I30" s="57">
        <f>+E30*C30</f>
        <v>2622.7735045142854</v>
      </c>
    </row>
    <row r="31" spans="1:9" ht="14.4">
      <c r="A31" s="45" t="s">
        <v>366</v>
      </c>
      <c r="B31" s="8" t="s">
        <v>367</v>
      </c>
      <c r="C31" s="27">
        <v>0.97499999999999998</v>
      </c>
      <c r="D31" s="4" t="s">
        <v>356</v>
      </c>
      <c r="E31" s="57">
        <f>+TRITU</f>
        <v>85000</v>
      </c>
      <c r="F31" s="57"/>
      <c r="G31" s="57">
        <f>+E31*C31</f>
        <v>82875</v>
      </c>
      <c r="H31" s="57"/>
      <c r="I31" s="57"/>
    </row>
    <row r="32" spans="1:9" ht="14.4">
      <c r="A32" s="45" t="s">
        <v>364</v>
      </c>
      <c r="B32" s="8" t="s">
        <v>365</v>
      </c>
      <c r="C32" s="27">
        <v>0.55500000000000005</v>
      </c>
      <c r="D32" s="4" t="s">
        <v>356</v>
      </c>
      <c r="E32" s="57">
        <f>+ARENC</f>
        <v>34000</v>
      </c>
      <c r="F32" s="57"/>
      <c r="G32" s="57">
        <f>+E32*C32</f>
        <v>18870</v>
      </c>
      <c r="H32" s="57"/>
      <c r="I32" s="57"/>
    </row>
    <row r="33" spans="1:9" ht="14.4">
      <c r="A33" s="45" t="s">
        <v>368</v>
      </c>
      <c r="B33" s="8" t="s">
        <v>892</v>
      </c>
      <c r="C33" s="27">
        <v>3.5</v>
      </c>
      <c r="D33" s="4" t="s">
        <v>370</v>
      </c>
      <c r="E33" s="57">
        <f>+CEMEG</f>
        <v>25500</v>
      </c>
      <c r="F33" s="57"/>
      <c r="G33" s="57">
        <f>+E33*C33</f>
        <v>89250</v>
      </c>
      <c r="H33" s="57"/>
      <c r="I33" s="57"/>
    </row>
    <row r="34" spans="1:9" ht="14.4">
      <c r="A34" s="45" t="s">
        <v>1015</v>
      </c>
      <c r="B34" s="8" t="s">
        <v>138</v>
      </c>
      <c r="C34" s="27">
        <v>0.18</v>
      </c>
      <c r="D34" s="4" t="s">
        <v>356</v>
      </c>
      <c r="E34" s="57">
        <f>+TRANAG</f>
        <v>30600</v>
      </c>
      <c r="F34" s="57"/>
      <c r="G34" s="57"/>
      <c r="H34" s="57"/>
      <c r="I34" s="57">
        <f>+E34*C34</f>
        <v>5508</v>
      </c>
    </row>
    <row r="35" spans="1:9" ht="14.4">
      <c r="A35" s="45" t="s">
        <v>72</v>
      </c>
      <c r="B35" s="8" t="s">
        <v>72</v>
      </c>
      <c r="C35" s="27">
        <v>50</v>
      </c>
      <c r="D35" s="4" t="s">
        <v>73</v>
      </c>
      <c r="E35" s="57">
        <f>+AGUA</f>
        <v>10.199999999999999</v>
      </c>
      <c r="F35" s="57"/>
      <c r="G35" s="57">
        <f>+E35*C35</f>
        <v>509.99999999999994</v>
      </c>
      <c r="H35" s="57"/>
      <c r="I35" s="57"/>
    </row>
    <row r="36" spans="1:9" ht="14.4">
      <c r="A36" s="45" t="s">
        <v>9</v>
      </c>
      <c r="B36" s="8" t="s">
        <v>10</v>
      </c>
      <c r="C36" s="27">
        <v>0.21</v>
      </c>
      <c r="D36" s="4" t="s">
        <v>647</v>
      </c>
      <c r="E36" s="57">
        <f>+CONMX</f>
        <v>8171</v>
      </c>
      <c r="F36" s="57"/>
      <c r="G36" s="57">
        <f>+E36*C36</f>
        <v>1715.9099999999999</v>
      </c>
      <c r="H36" s="57"/>
      <c r="I36" s="57"/>
    </row>
    <row r="37" spans="1:9" ht="14.4">
      <c r="A37" s="45" t="s">
        <v>297</v>
      </c>
      <c r="B37" s="8" t="s">
        <v>407</v>
      </c>
      <c r="C37" s="27">
        <v>0.5</v>
      </c>
      <c r="D37" s="4" t="s">
        <v>583</v>
      </c>
      <c r="E37" s="57">
        <v>5000</v>
      </c>
      <c r="F37" s="57"/>
      <c r="G37" s="57"/>
      <c r="H37" s="57"/>
      <c r="I37" s="57">
        <f>+E37*C37</f>
        <v>2500</v>
      </c>
    </row>
    <row r="38" spans="1:9" ht="16.8">
      <c r="A38" s="45" t="s">
        <v>347</v>
      </c>
      <c r="B38" s="8" t="str">
        <f>IF(PRESTA&gt;0,"AYUD. ENTENDIDO (INCLUYE "&amp;""&amp;PRESTA*100&amp;"% PRESTACIONES)",0)</f>
        <v>AYUD. ENTENDIDO (INCLUYE 82,22% PRESTACIONES)</v>
      </c>
      <c r="C38" s="667">
        <f>1/7</f>
        <v>0.14285714285714285</v>
      </c>
      <c r="D38" s="243" t="s">
        <v>346</v>
      </c>
      <c r="E38" s="57">
        <f>+AYUDA</f>
        <v>65389.695592000004</v>
      </c>
      <c r="F38" s="65"/>
      <c r="G38" s="65"/>
      <c r="H38" s="57">
        <f>+E38*C38</f>
        <v>9341.3850845714278</v>
      </c>
      <c r="I38" s="57"/>
    </row>
    <row r="39" spans="1:9" ht="16.8">
      <c r="A39" s="45" t="s">
        <v>348</v>
      </c>
      <c r="B39" s="8" t="str">
        <f>IF(PRESTA&gt;0,"AYUD. RASO (INCLUYE "&amp;""&amp;PRESTA*100&amp;"% PRESTACIONES)",0)</f>
        <v>AYUD. RASO (INCLUYE 82,22% PRESTACIONES)</v>
      </c>
      <c r="C39" s="667">
        <f>6/7</f>
        <v>0.8571428571428571</v>
      </c>
      <c r="D39" s="243" t="s">
        <v>346</v>
      </c>
      <c r="E39" s="57">
        <f>+AYUDR</f>
        <v>50299.76584</v>
      </c>
      <c r="F39" s="65"/>
      <c r="G39" s="65"/>
      <c r="H39" s="57">
        <f>+E39*C39</f>
        <v>43114.085005714282</v>
      </c>
      <c r="I39" s="57"/>
    </row>
    <row r="40" spans="1:9" ht="16.8">
      <c r="A40" s="20" t="s">
        <v>190</v>
      </c>
      <c r="B40" s="39">
        <f>SUM(F40:I40)</f>
        <v>280747.15359480004</v>
      </c>
      <c r="C40" s="34"/>
      <c r="D40" s="4"/>
      <c r="E40" s="57"/>
      <c r="F40" s="57">
        <f>SUM(F29:F39)</f>
        <v>24440</v>
      </c>
      <c r="G40" s="57">
        <f>SUM(G29:G39)</f>
        <v>193220.91</v>
      </c>
      <c r="H40" s="57">
        <f>SUM(H29:H39)</f>
        <v>52455.470090285708</v>
      </c>
      <c r="I40" s="57">
        <f>SUM(I29:I39)</f>
        <v>10630.773504514285</v>
      </c>
    </row>
    <row r="41" spans="1:9" ht="16.8">
      <c r="A41" s="21" t="str">
        <f>IF(AIU&gt;0,"+"&amp;""&amp;AIU*100&amp;"% AIU:",0)</f>
        <v>+29,572249606751% AIU:</v>
      </c>
      <c r="B41" s="39">
        <f>+B40*AIU</f>
        <v>83023.249024902849</v>
      </c>
      <c r="C41" s="35"/>
      <c r="D41" s="29"/>
      <c r="E41" s="66"/>
      <c r="F41" s="66"/>
      <c r="G41" s="66"/>
      <c r="H41" s="66"/>
      <c r="I41" s="66"/>
    </row>
    <row r="42" spans="1:9" ht="16.8">
      <c r="A42" s="20" t="s">
        <v>191</v>
      </c>
      <c r="B42" s="39">
        <f>INT(+B40+B41)</f>
        <v>363770</v>
      </c>
      <c r="C42" s="21" t="s">
        <v>356</v>
      </c>
      <c r="D42" s="29"/>
      <c r="E42" s="66"/>
      <c r="F42" s="66"/>
      <c r="G42" s="66"/>
      <c r="H42" s="66"/>
      <c r="I42" s="66"/>
    </row>
    <row r="43" spans="1:9">
      <c r="A43" s="36"/>
      <c r="B43" s="38"/>
      <c r="C43" s="37"/>
    </row>
    <row r="44" spans="1:9" ht="19.2">
      <c r="A44" s="26"/>
      <c r="B44" s="3313" t="s">
        <v>15</v>
      </c>
      <c r="C44" s="3313"/>
      <c r="D44" s="3313"/>
      <c r="E44" s="3313"/>
      <c r="F44" s="3313"/>
      <c r="G44" s="3313"/>
      <c r="H44" s="3313"/>
      <c r="I44" s="3313"/>
    </row>
    <row r="45" spans="1:9" ht="14.4">
      <c r="A45" s="45"/>
      <c r="B45" s="24"/>
      <c r="C45" s="9" t="s">
        <v>140</v>
      </c>
      <c r="D45" s="9" t="s">
        <v>343</v>
      </c>
      <c r="E45" s="57" t="s">
        <v>344</v>
      </c>
      <c r="F45" s="57" t="s">
        <v>482</v>
      </c>
      <c r="G45" s="57" t="s">
        <v>483</v>
      </c>
      <c r="H45" s="57" t="s">
        <v>170</v>
      </c>
      <c r="I45" s="57" t="s">
        <v>171</v>
      </c>
    </row>
    <row r="46" spans="1:9" ht="14.4">
      <c r="A46" s="45" t="s">
        <v>715</v>
      </c>
      <c r="B46" s="8" t="s">
        <v>716</v>
      </c>
      <c r="C46" s="27">
        <v>0.53</v>
      </c>
      <c r="D46" s="4" t="s">
        <v>717</v>
      </c>
      <c r="E46" s="57">
        <f>+CONM1</f>
        <v>47000</v>
      </c>
      <c r="F46" s="57">
        <f>+E46*C46</f>
        <v>24910</v>
      </c>
      <c r="G46" s="57"/>
      <c r="H46" s="57"/>
      <c r="I46" s="57"/>
    </row>
    <row r="47" spans="1:9" ht="14.4">
      <c r="A47" s="45" t="s">
        <v>172</v>
      </c>
      <c r="B47" s="8" t="s">
        <v>189</v>
      </c>
      <c r="C47" s="27">
        <v>1</v>
      </c>
      <c r="D47" s="4" t="s">
        <v>583</v>
      </c>
      <c r="E47" s="57">
        <f>+H57*0.05</f>
        <v>2622.7735045142854</v>
      </c>
      <c r="F47" s="57"/>
      <c r="G47" s="57"/>
      <c r="H47" s="57"/>
      <c r="I47" s="57">
        <f>+E47*C47</f>
        <v>2622.7735045142854</v>
      </c>
    </row>
    <row r="48" spans="1:9" ht="14.4">
      <c r="A48" s="45" t="s">
        <v>366</v>
      </c>
      <c r="B48" s="8" t="s">
        <v>367</v>
      </c>
      <c r="C48" s="27">
        <v>0.92</v>
      </c>
      <c r="D48" s="4" t="s">
        <v>356</v>
      </c>
      <c r="E48" s="57">
        <f>+TRITU</f>
        <v>85000</v>
      </c>
      <c r="F48" s="57"/>
      <c r="G48" s="57">
        <f>+E48*C48</f>
        <v>78200</v>
      </c>
      <c r="H48" s="57"/>
      <c r="I48" s="57"/>
    </row>
    <row r="49" spans="1:9" ht="14.4">
      <c r="A49" s="45" t="s">
        <v>364</v>
      </c>
      <c r="B49" s="8" t="s">
        <v>365</v>
      </c>
      <c r="C49" s="27">
        <v>0.55500000000000005</v>
      </c>
      <c r="D49" s="4" t="s">
        <v>356</v>
      </c>
      <c r="E49" s="57">
        <f>+ARENC</f>
        <v>34000</v>
      </c>
      <c r="F49" s="57"/>
      <c r="G49" s="57">
        <f>+E49*C49</f>
        <v>18870</v>
      </c>
      <c r="H49" s="57"/>
      <c r="I49" s="57"/>
    </row>
    <row r="50" spans="1:9" ht="14.4">
      <c r="A50" s="45" t="s">
        <v>368</v>
      </c>
      <c r="B50" s="8" t="s">
        <v>892</v>
      </c>
      <c r="C50" s="27">
        <v>4.5999999999999996</v>
      </c>
      <c r="D50" s="4" t="s">
        <v>370</v>
      </c>
      <c r="E50" s="57">
        <f>+CEMEG</f>
        <v>25500</v>
      </c>
      <c r="F50" s="57"/>
      <c r="G50" s="57">
        <f>+E50*C50</f>
        <v>117299.99999999999</v>
      </c>
      <c r="H50" s="57"/>
      <c r="I50" s="57"/>
    </row>
    <row r="51" spans="1:9" ht="14.4">
      <c r="A51" s="45" t="s">
        <v>1015</v>
      </c>
      <c r="B51" s="8" t="s">
        <v>138</v>
      </c>
      <c r="C51" s="27">
        <v>0.2</v>
      </c>
      <c r="D51" s="4" t="s">
        <v>356</v>
      </c>
      <c r="E51" s="57">
        <f>+TRANAG</f>
        <v>30600</v>
      </c>
      <c r="F51" s="57"/>
      <c r="G51" s="57"/>
      <c r="H51" s="57"/>
      <c r="I51" s="57">
        <f>+E51*C51</f>
        <v>6120</v>
      </c>
    </row>
    <row r="52" spans="1:9" ht="14.4">
      <c r="A52" s="45" t="s">
        <v>72</v>
      </c>
      <c r="B52" s="8" t="s">
        <v>72</v>
      </c>
      <c r="C52" s="27">
        <v>50</v>
      </c>
      <c r="D52" s="4" t="s">
        <v>73</v>
      </c>
      <c r="E52" s="57">
        <f>+AGUA</f>
        <v>10.199999999999999</v>
      </c>
      <c r="F52" s="57"/>
      <c r="G52" s="57">
        <f>+E52*C52</f>
        <v>509.99999999999994</v>
      </c>
      <c r="H52" s="57"/>
      <c r="I52" s="57"/>
    </row>
    <row r="53" spans="1:9" ht="14.4">
      <c r="A53" s="45" t="s">
        <v>9</v>
      </c>
      <c r="B53" s="8" t="s">
        <v>10</v>
      </c>
      <c r="C53" s="27">
        <v>0.33</v>
      </c>
      <c r="D53" s="4" t="s">
        <v>647</v>
      </c>
      <c r="E53" s="57">
        <f>+CONMX</f>
        <v>8171</v>
      </c>
      <c r="F53" s="57"/>
      <c r="G53" s="57">
        <f>+E53*C53</f>
        <v>2696.4300000000003</v>
      </c>
      <c r="H53" s="57"/>
      <c r="I53" s="57"/>
    </row>
    <row r="54" spans="1:9" ht="14.4">
      <c r="A54" s="45" t="s">
        <v>297</v>
      </c>
      <c r="B54" s="8" t="s">
        <v>407</v>
      </c>
      <c r="C54" s="27">
        <v>1</v>
      </c>
      <c r="D54" s="4" t="s">
        <v>583</v>
      </c>
      <c r="E54" s="57">
        <v>5000</v>
      </c>
      <c r="F54" s="57"/>
      <c r="G54" s="57"/>
      <c r="H54" s="57"/>
      <c r="I54" s="57">
        <f>+E54*C54</f>
        <v>5000</v>
      </c>
    </row>
    <row r="55" spans="1:9" ht="16.8">
      <c r="A55" s="45" t="s">
        <v>347</v>
      </c>
      <c r="B55" s="8" t="str">
        <f>IF(PRESTA&gt;0,"AYUD. ENTENDIDO (INCLUYE "&amp;""&amp;PRESTA*100&amp;"% PRESTACIONES)",0)</f>
        <v>AYUD. ENTENDIDO (INCLUYE 82,22% PRESTACIONES)</v>
      </c>
      <c r="C55" s="667">
        <f>1/7</f>
        <v>0.14285714285714285</v>
      </c>
      <c r="D55" s="243" t="s">
        <v>346</v>
      </c>
      <c r="E55" s="65">
        <f>+AYUDA</f>
        <v>65389.695592000004</v>
      </c>
      <c r="F55" s="65"/>
      <c r="G55" s="65"/>
      <c r="H55" s="65">
        <f>+E55*C55</f>
        <v>9341.3850845714278</v>
      </c>
      <c r="I55" s="65"/>
    </row>
    <row r="56" spans="1:9" ht="16.8">
      <c r="A56" s="45" t="s">
        <v>348</v>
      </c>
      <c r="B56" s="8" t="str">
        <f>IF(PRESTA&gt;0,"AYUD. RASO (INCLUYE "&amp;""&amp;PRESTA*100&amp;"% PRESTACIONES)",0)</f>
        <v>AYUD. RASO (INCLUYE 82,22% PRESTACIONES)</v>
      </c>
      <c r="C56" s="667">
        <f>6/7</f>
        <v>0.8571428571428571</v>
      </c>
      <c r="D56" s="243" t="s">
        <v>346</v>
      </c>
      <c r="E56" s="65">
        <f>+AYUDR</f>
        <v>50299.76584</v>
      </c>
      <c r="F56" s="65"/>
      <c r="G56" s="65"/>
      <c r="H56" s="65">
        <f>+E56*C56</f>
        <v>43114.085005714282</v>
      </c>
      <c r="I56" s="65"/>
    </row>
    <row r="57" spans="1:9" ht="16.8">
      <c r="A57" s="20" t="s">
        <v>190</v>
      </c>
      <c r="B57" s="39">
        <f>SUM(F57:I57)</f>
        <v>308684.6735948</v>
      </c>
      <c r="C57" s="34"/>
      <c r="D57" s="4"/>
      <c r="E57" s="57"/>
      <c r="F57" s="57">
        <f>SUM(F46:F56)</f>
        <v>24910</v>
      </c>
      <c r="G57" s="57">
        <f>SUM(G46:G56)</f>
        <v>217576.43</v>
      </c>
      <c r="H57" s="57">
        <f>SUM(H46:H56)</f>
        <v>52455.470090285708</v>
      </c>
      <c r="I57" s="57">
        <f>SUM(I46:I56)</f>
        <v>13742.773504514285</v>
      </c>
    </row>
    <row r="58" spans="1:9" ht="16.8">
      <c r="A58" s="21" t="str">
        <f>IF(AIU&gt;0,"+"&amp;""&amp;AIU*100&amp;"% AIU:",0)</f>
        <v>+29,572249606751% AIU:</v>
      </c>
      <c r="B58" s="39">
        <f>+B57*AIU</f>
        <v>91285.002173238812</v>
      </c>
      <c r="C58" s="35"/>
      <c r="D58" s="29"/>
      <c r="E58" s="66"/>
      <c r="F58" s="66"/>
      <c r="G58" s="66"/>
      <c r="H58" s="66"/>
      <c r="I58" s="66"/>
    </row>
    <row r="59" spans="1:9" ht="16.8">
      <c r="A59" s="20" t="s">
        <v>191</v>
      </c>
      <c r="B59" s="39">
        <f>INT(+B57+B58)</f>
        <v>399969</v>
      </c>
      <c r="C59" s="21" t="s">
        <v>356</v>
      </c>
      <c r="D59" s="29"/>
      <c r="E59" s="66"/>
      <c r="F59" s="66"/>
      <c r="G59" s="66"/>
      <c r="H59" s="66"/>
      <c r="I59" s="66"/>
    </row>
    <row r="60" spans="1:9">
      <c r="A60" s="36"/>
      <c r="B60" s="38"/>
      <c r="C60" s="37"/>
    </row>
    <row r="61" spans="1:9" ht="19.2">
      <c r="A61" s="26"/>
      <c r="B61" s="3313" t="s">
        <v>14</v>
      </c>
      <c r="C61" s="3313"/>
      <c r="D61" s="3313"/>
      <c r="E61" s="3313"/>
      <c r="F61" s="3313"/>
      <c r="G61" s="3313"/>
      <c r="H61" s="3313"/>
      <c r="I61" s="3313"/>
    </row>
    <row r="62" spans="1:9" ht="14.4">
      <c r="A62" s="45"/>
      <c r="B62" s="24"/>
      <c r="C62" s="9" t="s">
        <v>140</v>
      </c>
      <c r="D62" s="9" t="s">
        <v>343</v>
      </c>
      <c r="E62" s="57" t="s">
        <v>344</v>
      </c>
      <c r="F62" s="57" t="s">
        <v>482</v>
      </c>
      <c r="G62" s="57" t="s">
        <v>483</v>
      </c>
      <c r="H62" s="57" t="s">
        <v>170</v>
      </c>
      <c r="I62" s="57" t="s">
        <v>171</v>
      </c>
    </row>
    <row r="63" spans="1:9" ht="14.4">
      <c r="A63" s="45" t="s">
        <v>715</v>
      </c>
      <c r="B63" s="8" t="s">
        <v>716</v>
      </c>
      <c r="C63" s="27">
        <v>0.53</v>
      </c>
      <c r="D63" s="4" t="s">
        <v>717</v>
      </c>
      <c r="E63" s="57">
        <f>+CONM1</f>
        <v>47000</v>
      </c>
      <c r="F63" s="57">
        <f>+E63*C63</f>
        <v>24910</v>
      </c>
      <c r="G63" s="57"/>
      <c r="H63" s="57"/>
      <c r="I63" s="57"/>
    </row>
    <row r="64" spans="1:9" ht="14.4">
      <c r="A64" s="45" t="s">
        <v>172</v>
      </c>
      <c r="B64" s="8" t="s">
        <v>189</v>
      </c>
      <c r="C64" s="27">
        <v>1</v>
      </c>
      <c r="D64" s="4" t="s">
        <v>583</v>
      </c>
      <c r="E64" s="57">
        <f>+H74*0.05</f>
        <v>2622.7735045142854</v>
      </c>
      <c r="F64" s="57"/>
      <c r="G64" s="57"/>
      <c r="H64" s="57"/>
      <c r="I64" s="57">
        <f>+E64*C64</f>
        <v>2622.7735045142854</v>
      </c>
    </row>
    <row r="65" spans="1:9" ht="14.4">
      <c r="A65" s="45" t="s">
        <v>366</v>
      </c>
      <c r="B65" s="8" t="s">
        <v>367</v>
      </c>
      <c r="C65" s="27">
        <v>0.83499999999999996</v>
      </c>
      <c r="D65" s="4" t="s">
        <v>356</v>
      </c>
      <c r="E65" s="57">
        <f>+TRITU</f>
        <v>85000</v>
      </c>
      <c r="F65" s="57"/>
      <c r="G65" s="57">
        <f>+E65*C65</f>
        <v>70975</v>
      </c>
      <c r="H65" s="57"/>
      <c r="I65" s="57"/>
    </row>
    <row r="66" spans="1:9" ht="14.4">
      <c r="A66" s="45" t="s">
        <v>364</v>
      </c>
      <c r="B66" s="8" t="s">
        <v>365</v>
      </c>
      <c r="C66" s="27">
        <v>0.625</v>
      </c>
      <c r="D66" s="4" t="s">
        <v>356</v>
      </c>
      <c r="E66" s="57">
        <f>+ARENC</f>
        <v>34000</v>
      </c>
      <c r="F66" s="57"/>
      <c r="G66" s="57">
        <f>+E66*C66</f>
        <v>21250</v>
      </c>
      <c r="H66" s="57"/>
      <c r="I66" s="57"/>
    </row>
    <row r="67" spans="1:9" ht="14.4">
      <c r="A67" s="45" t="s">
        <v>368</v>
      </c>
      <c r="B67" s="8" t="s">
        <v>892</v>
      </c>
      <c r="C67" s="27">
        <v>5.2</v>
      </c>
      <c r="D67" s="4" t="s">
        <v>370</v>
      </c>
      <c r="E67" s="57">
        <f>+CEMEG</f>
        <v>25500</v>
      </c>
      <c r="F67" s="57"/>
      <c r="G67" s="57">
        <f>+E67*C67</f>
        <v>132600</v>
      </c>
      <c r="H67" s="57"/>
      <c r="I67" s="57"/>
    </row>
    <row r="68" spans="1:9" ht="14.4">
      <c r="A68" s="45" t="s">
        <v>1015</v>
      </c>
      <c r="B68" s="8" t="s">
        <v>138</v>
      </c>
      <c r="C68" s="27">
        <v>0.2</v>
      </c>
      <c r="D68" s="4" t="s">
        <v>356</v>
      </c>
      <c r="E68" s="57">
        <f>+TRANAG</f>
        <v>30600</v>
      </c>
      <c r="F68" s="57"/>
      <c r="G68" s="57"/>
      <c r="H68" s="57"/>
      <c r="I68" s="57">
        <f>+E68*C68</f>
        <v>6120</v>
      </c>
    </row>
    <row r="69" spans="1:9" ht="14.4">
      <c r="A69" s="45" t="s">
        <v>72</v>
      </c>
      <c r="B69" s="8" t="s">
        <v>72</v>
      </c>
      <c r="C69" s="27">
        <v>50</v>
      </c>
      <c r="D69" s="4" t="s">
        <v>73</v>
      </c>
      <c r="E69" s="57">
        <f>+AGUA</f>
        <v>10.199999999999999</v>
      </c>
      <c r="F69" s="57"/>
      <c r="G69" s="57">
        <f>+E69*C69</f>
        <v>509.99999999999994</v>
      </c>
      <c r="H69" s="57"/>
      <c r="I69" s="57"/>
    </row>
    <row r="70" spans="1:9" ht="14.4">
      <c r="A70" s="45" t="s">
        <v>9</v>
      </c>
      <c r="B70" s="8" t="s">
        <v>10</v>
      </c>
      <c r="C70" s="27">
        <v>0.33</v>
      </c>
      <c r="D70" s="4" t="s">
        <v>647</v>
      </c>
      <c r="E70" s="57">
        <f>+CONMX</f>
        <v>8171</v>
      </c>
      <c r="F70" s="57"/>
      <c r="G70" s="57">
        <f>+E70*C70</f>
        <v>2696.4300000000003</v>
      </c>
      <c r="H70" s="57"/>
      <c r="I70" s="57"/>
    </row>
    <row r="71" spans="1:9" ht="14.4">
      <c r="A71" s="45" t="s">
        <v>297</v>
      </c>
      <c r="B71" s="8" t="s">
        <v>407</v>
      </c>
      <c r="C71" s="27">
        <v>1</v>
      </c>
      <c r="D71" s="4" t="s">
        <v>583</v>
      </c>
      <c r="E71" s="57">
        <v>5000</v>
      </c>
      <c r="F71" s="57"/>
      <c r="G71" s="57"/>
      <c r="H71" s="57"/>
      <c r="I71" s="57">
        <f>+E71*C71</f>
        <v>5000</v>
      </c>
    </row>
    <row r="72" spans="1:9" ht="16.8">
      <c r="A72" s="45" t="s">
        <v>347</v>
      </c>
      <c r="B72" s="8" t="str">
        <f>IF(PRESTA&gt;0,"AYUD. ENTENDIDO (INCLUYE "&amp;""&amp;PRESTA*100&amp;"% PRESTACIONES)",0)</f>
        <v>AYUD. ENTENDIDO (INCLUYE 82,22% PRESTACIONES)</v>
      </c>
      <c r="C72" s="667">
        <f>1/7</f>
        <v>0.14285714285714285</v>
      </c>
      <c r="D72" s="243" t="s">
        <v>346</v>
      </c>
      <c r="E72" s="65">
        <f>+AYUDA</f>
        <v>65389.695592000004</v>
      </c>
      <c r="F72" s="65"/>
      <c r="G72" s="65"/>
      <c r="H72" s="57">
        <f>+E72*C72</f>
        <v>9341.3850845714278</v>
      </c>
      <c r="I72" s="65"/>
    </row>
    <row r="73" spans="1:9" ht="16.8">
      <c r="A73" s="45" t="s">
        <v>348</v>
      </c>
      <c r="B73" s="8" t="str">
        <f>IF(PRESTA&gt;0,"AYUD. RASO (INCLUYE "&amp;""&amp;PRESTA*100&amp;"% PRESTACIONES)",0)</f>
        <v>AYUD. RASO (INCLUYE 82,22% PRESTACIONES)</v>
      </c>
      <c r="C73" s="667">
        <f>6/7</f>
        <v>0.8571428571428571</v>
      </c>
      <c r="D73" s="243" t="s">
        <v>346</v>
      </c>
      <c r="E73" s="65">
        <f>+AYUDR</f>
        <v>50299.76584</v>
      </c>
      <c r="F73" s="65"/>
      <c r="G73" s="65"/>
      <c r="H73" s="57">
        <f>+E73*C73</f>
        <v>43114.085005714282</v>
      </c>
      <c r="I73" s="65"/>
    </row>
    <row r="74" spans="1:9" ht="16.8">
      <c r="A74" s="20" t="s">
        <v>190</v>
      </c>
      <c r="B74" s="39">
        <f>SUM(F74:I74)</f>
        <v>319139.6735948</v>
      </c>
      <c r="C74" s="34"/>
      <c r="D74" s="4"/>
      <c r="E74" s="57"/>
      <c r="F74" s="57">
        <f>SUM(F63:F73)</f>
        <v>24910</v>
      </c>
      <c r="G74" s="57">
        <f>SUM(G63:G73)</f>
        <v>228031.43</v>
      </c>
      <c r="H74" s="57">
        <f>SUM(H63:H73)</f>
        <v>52455.470090285708</v>
      </c>
      <c r="I74" s="57">
        <f>SUM(I63:I73)</f>
        <v>13742.773504514285</v>
      </c>
    </row>
    <row r="75" spans="1:9" ht="16.8">
      <c r="A75" s="21" t="str">
        <f>IF(AIU&gt;0,"+"&amp;""&amp;AIU*100&amp;"% AIU:",0)</f>
        <v>+29,572249606751% AIU:</v>
      </c>
      <c r="B75" s="39">
        <f>+B74*AIU</f>
        <v>94376.780869624636</v>
      </c>
      <c r="C75" s="35"/>
      <c r="D75" s="29"/>
      <c r="E75" s="66"/>
      <c r="F75" s="66"/>
      <c r="G75" s="66"/>
      <c r="H75" s="66"/>
      <c r="I75" s="66"/>
    </row>
    <row r="76" spans="1:9" ht="16.8">
      <c r="A76" s="20" t="s">
        <v>191</v>
      </c>
      <c r="B76" s="39">
        <f>INT(+B74+B75)</f>
        <v>413516</v>
      </c>
      <c r="C76" s="21" t="s">
        <v>356</v>
      </c>
      <c r="D76" s="29"/>
      <c r="E76" s="66"/>
      <c r="F76" s="66"/>
      <c r="G76" s="66"/>
      <c r="H76" s="66"/>
      <c r="I76" s="66"/>
    </row>
    <row r="77" spans="1:9">
      <c r="A77" s="36"/>
      <c r="B77" s="38"/>
      <c r="C77" s="37"/>
    </row>
    <row r="78" spans="1:9" ht="19.2">
      <c r="A78" s="26"/>
      <c r="B78" s="3313" t="s">
        <v>862</v>
      </c>
      <c r="C78" s="3313"/>
      <c r="D78" s="3313"/>
      <c r="E78" s="3313"/>
      <c r="F78" s="3313"/>
      <c r="G78" s="3313"/>
      <c r="H78" s="3313"/>
      <c r="I78" s="3313"/>
    </row>
    <row r="79" spans="1:9" ht="14.4">
      <c r="A79" s="45"/>
      <c r="B79" s="24"/>
      <c r="C79" s="9" t="s">
        <v>140</v>
      </c>
      <c r="D79" s="9" t="s">
        <v>343</v>
      </c>
      <c r="E79" s="57" t="s">
        <v>344</v>
      </c>
      <c r="F79" s="57" t="s">
        <v>482</v>
      </c>
      <c r="G79" s="57" t="s">
        <v>483</v>
      </c>
      <c r="H79" s="57" t="s">
        <v>170</v>
      </c>
      <c r="I79" s="57" t="s">
        <v>171</v>
      </c>
    </row>
    <row r="80" spans="1:9" ht="14.4">
      <c r="A80" s="45" t="s">
        <v>715</v>
      </c>
      <c r="B80" s="8" t="s">
        <v>716</v>
      </c>
      <c r="C80" s="27">
        <v>0.48</v>
      </c>
      <c r="D80" s="4" t="s">
        <v>717</v>
      </c>
      <c r="E80" s="57">
        <f>+CONM1</f>
        <v>47000</v>
      </c>
      <c r="F80" s="57">
        <f>+E80*C80</f>
        <v>22560</v>
      </c>
      <c r="G80" s="57"/>
      <c r="H80" s="57"/>
      <c r="I80" s="57"/>
    </row>
    <row r="81" spans="1:9" ht="14.4">
      <c r="A81" s="45" t="s">
        <v>172</v>
      </c>
      <c r="B81" s="8" t="s">
        <v>189</v>
      </c>
      <c r="C81" s="27">
        <v>1</v>
      </c>
      <c r="D81" s="4" t="s">
        <v>583</v>
      </c>
      <c r="E81" s="57">
        <f>+H91*0.05</f>
        <v>2622.7735045142854</v>
      </c>
      <c r="F81" s="57"/>
      <c r="G81" s="57"/>
      <c r="H81" s="57"/>
      <c r="I81" s="57">
        <f>+E81*C81</f>
        <v>2622.7735045142854</v>
      </c>
    </row>
    <row r="82" spans="1:9" ht="14.4">
      <c r="A82" s="45" t="s">
        <v>366</v>
      </c>
      <c r="B82" s="8" t="s">
        <v>367</v>
      </c>
      <c r="C82" s="27">
        <v>0.71499999999999997</v>
      </c>
      <c r="D82" s="4" t="s">
        <v>356</v>
      </c>
      <c r="E82" s="57">
        <f>+TRITU</f>
        <v>85000</v>
      </c>
      <c r="F82" s="57"/>
      <c r="G82" s="57">
        <f>+E82*C82</f>
        <v>60775</v>
      </c>
      <c r="H82" s="57"/>
      <c r="I82" s="57"/>
    </row>
    <row r="83" spans="1:9" ht="14.4">
      <c r="A83" s="45" t="s">
        <v>364</v>
      </c>
      <c r="B83" s="8" t="s">
        <v>365</v>
      </c>
      <c r="C83" s="27">
        <v>0.71499999999999997</v>
      </c>
      <c r="D83" s="4" t="s">
        <v>356</v>
      </c>
      <c r="E83" s="57">
        <f>+ARENC</f>
        <v>34000</v>
      </c>
      <c r="F83" s="57"/>
      <c r="G83" s="57">
        <f>+E83*C83</f>
        <v>24310</v>
      </c>
      <c r="H83" s="57"/>
      <c r="I83" s="57"/>
    </row>
    <row r="84" spans="1:9" ht="14.4">
      <c r="A84" s="45" t="s">
        <v>368</v>
      </c>
      <c r="B84" s="8" t="s">
        <v>892</v>
      </c>
      <c r="C84" s="27">
        <v>6</v>
      </c>
      <c r="D84" s="4" t="s">
        <v>370</v>
      </c>
      <c r="E84" s="57">
        <f>+CEMEG</f>
        <v>25500</v>
      </c>
      <c r="F84" s="57"/>
      <c r="G84" s="57">
        <f>+E84*C84</f>
        <v>153000</v>
      </c>
      <c r="H84" s="57"/>
      <c r="I84" s="57"/>
    </row>
    <row r="85" spans="1:9" ht="14.4">
      <c r="A85" s="45" t="s">
        <v>1015</v>
      </c>
      <c r="B85" s="8" t="s">
        <v>138</v>
      </c>
      <c r="C85" s="27">
        <v>0.2</v>
      </c>
      <c r="D85" s="4" t="s">
        <v>356</v>
      </c>
      <c r="E85" s="57">
        <f>+TRANAG</f>
        <v>30600</v>
      </c>
      <c r="F85" s="57"/>
      <c r="G85" s="57"/>
      <c r="H85" s="57"/>
      <c r="I85" s="57">
        <f>+E85*C85</f>
        <v>6120</v>
      </c>
    </row>
    <row r="86" spans="1:9" ht="14.4">
      <c r="A86" s="45" t="s">
        <v>72</v>
      </c>
      <c r="B86" s="8" t="s">
        <v>72</v>
      </c>
      <c r="C86" s="27">
        <v>50</v>
      </c>
      <c r="D86" s="4" t="s">
        <v>73</v>
      </c>
      <c r="E86" s="57">
        <f>+AGUA</f>
        <v>10.199999999999999</v>
      </c>
      <c r="F86" s="57"/>
      <c r="G86" s="57">
        <f>+E86*C86</f>
        <v>509.99999999999994</v>
      </c>
      <c r="H86" s="57"/>
      <c r="I86" s="57"/>
    </row>
    <row r="87" spans="1:9" ht="14.4">
      <c r="A87" s="45" t="s">
        <v>9</v>
      </c>
      <c r="B87" s="8" t="s">
        <v>10</v>
      </c>
      <c r="C87" s="27">
        <v>0.1</v>
      </c>
      <c r="D87" s="4" t="s">
        <v>647</v>
      </c>
      <c r="E87" s="57">
        <f>+CONMX</f>
        <v>8171</v>
      </c>
      <c r="F87" s="57"/>
      <c r="G87" s="57">
        <f>+E87*C87</f>
        <v>817.1</v>
      </c>
      <c r="H87" s="57"/>
      <c r="I87" s="57"/>
    </row>
    <row r="88" spans="1:9" ht="14.4">
      <c r="A88" s="45" t="s">
        <v>297</v>
      </c>
      <c r="B88" s="8" t="s">
        <v>407</v>
      </c>
      <c r="C88" s="27">
        <v>1</v>
      </c>
      <c r="D88" s="4" t="s">
        <v>583</v>
      </c>
      <c r="E88" s="57">
        <v>4000</v>
      </c>
      <c r="F88" s="57"/>
      <c r="G88" s="57"/>
      <c r="H88" s="57"/>
      <c r="I88" s="57">
        <f>+E88*C88</f>
        <v>4000</v>
      </c>
    </row>
    <row r="89" spans="1:9" ht="16.8">
      <c r="A89" s="45" t="s">
        <v>347</v>
      </c>
      <c r="B89" s="8" t="str">
        <f>IF(PRESTA&gt;0,"AYUD. ENTENDIDO (INCLUYE "&amp;""&amp;PRESTA*100&amp;"% PRESTACIONES)",0)</f>
        <v>AYUD. ENTENDIDO (INCLUYE 82,22% PRESTACIONES)</v>
      </c>
      <c r="C89" s="667">
        <f>1/7</f>
        <v>0.14285714285714285</v>
      </c>
      <c r="D89" s="243" t="s">
        <v>346</v>
      </c>
      <c r="E89" s="65">
        <f>+AYUDA</f>
        <v>65389.695592000004</v>
      </c>
      <c r="F89" s="65"/>
      <c r="G89" s="65"/>
      <c r="H89" s="65">
        <f>+E89*C89</f>
        <v>9341.3850845714278</v>
      </c>
      <c r="I89" s="65"/>
    </row>
    <row r="90" spans="1:9" ht="16.8">
      <c r="A90" s="45" t="s">
        <v>348</v>
      </c>
      <c r="B90" s="8" t="str">
        <f>IF(PRESTA&gt;0,"AYUD. RASO (INCLUYE "&amp;""&amp;PRESTA*100&amp;"% PRESTACIONES)",0)</f>
        <v>AYUD. RASO (INCLUYE 82,22% PRESTACIONES)</v>
      </c>
      <c r="C90" s="667">
        <f>6/7</f>
        <v>0.8571428571428571</v>
      </c>
      <c r="D90" s="243" t="s">
        <v>346</v>
      </c>
      <c r="E90" s="65">
        <f>+AYUDR</f>
        <v>50299.76584</v>
      </c>
      <c r="F90" s="65"/>
      <c r="G90" s="65"/>
      <c r="H90" s="65">
        <f>+E90*C90</f>
        <v>43114.085005714282</v>
      </c>
      <c r="I90" s="65"/>
    </row>
    <row r="91" spans="1:9" ht="16.8">
      <c r="A91" s="20" t="s">
        <v>190</v>
      </c>
      <c r="B91" s="39">
        <f>SUM(F91:I91)</f>
        <v>327170.34359480004</v>
      </c>
      <c r="C91" s="34"/>
      <c r="D91" s="4"/>
      <c r="E91" s="57"/>
      <c r="F91" s="57">
        <f>SUM(F80:F90)</f>
        <v>22560</v>
      </c>
      <c r="G91" s="57">
        <f>SUM(G80:G90)</f>
        <v>239412.1</v>
      </c>
      <c r="H91" s="57">
        <f>SUM(H80:H90)</f>
        <v>52455.470090285708</v>
      </c>
      <c r="I91" s="57">
        <f>SUM(I80:I90)</f>
        <v>12742.773504514285</v>
      </c>
    </row>
    <row r="92" spans="1:9" ht="16.8">
      <c r="A92" s="21" t="str">
        <f>IF(AIU&gt;0,"+"&amp;""&amp;AIU*100&amp;"% AIU:",0)</f>
        <v>+29,572249606751% AIU:</v>
      </c>
      <c r="B92" s="39">
        <f>+B91*AIU</f>
        <v>96751.63064711912</v>
      </c>
      <c r="C92" s="35"/>
      <c r="D92" s="29"/>
      <c r="E92" s="66"/>
      <c r="F92" s="66"/>
      <c r="G92" s="66"/>
      <c r="H92" s="66"/>
      <c r="I92" s="66"/>
    </row>
    <row r="93" spans="1:9" ht="16.8">
      <c r="A93" s="20" t="s">
        <v>191</v>
      </c>
      <c r="B93" s="39">
        <f>INT(+B91+B92)</f>
        <v>423921</v>
      </c>
      <c r="C93" s="21" t="s">
        <v>356</v>
      </c>
      <c r="D93" s="29"/>
      <c r="E93" s="66"/>
      <c r="F93" s="66"/>
      <c r="G93" s="66"/>
      <c r="H93" s="66"/>
      <c r="I93" s="66"/>
    </row>
    <row r="94" spans="1:9">
      <c r="A94" s="36"/>
      <c r="B94" s="38"/>
      <c r="C94" s="37"/>
    </row>
    <row r="95" spans="1:9" ht="19.2">
      <c r="A95" s="26"/>
      <c r="B95" s="3313" t="s">
        <v>13</v>
      </c>
      <c r="C95" s="3313"/>
      <c r="D95" s="3313"/>
      <c r="E95" s="3313"/>
      <c r="F95" s="3313"/>
      <c r="G95" s="3313"/>
      <c r="H95" s="3313"/>
      <c r="I95" s="3313"/>
    </row>
    <row r="96" spans="1:9" ht="14.4">
      <c r="A96" s="45"/>
      <c r="B96" s="24"/>
      <c r="C96" s="9" t="s">
        <v>140</v>
      </c>
      <c r="D96" s="9" t="s">
        <v>343</v>
      </c>
      <c r="E96" s="57" t="s">
        <v>344</v>
      </c>
      <c r="F96" s="57" t="s">
        <v>482</v>
      </c>
      <c r="G96" s="57" t="s">
        <v>483</v>
      </c>
      <c r="H96" s="57" t="s">
        <v>170</v>
      </c>
      <c r="I96" s="57" t="s">
        <v>171</v>
      </c>
    </row>
    <row r="97" spans="1:9" ht="14.4">
      <c r="A97" s="45" t="s">
        <v>715</v>
      </c>
      <c r="B97" s="8" t="s">
        <v>716</v>
      </c>
      <c r="C97" s="27">
        <v>0.25</v>
      </c>
      <c r="D97" s="4" t="s">
        <v>717</v>
      </c>
      <c r="E97" s="57">
        <f>+CONM1</f>
        <v>47000</v>
      </c>
      <c r="F97" s="57">
        <f>+E97*C97</f>
        <v>11750</v>
      </c>
      <c r="G97" s="57"/>
      <c r="H97" s="57"/>
      <c r="I97" s="57"/>
    </row>
    <row r="98" spans="1:9" ht="14.4">
      <c r="A98" s="45" t="s">
        <v>172</v>
      </c>
      <c r="B98" s="8" t="s">
        <v>189</v>
      </c>
      <c r="C98" s="27">
        <v>1</v>
      </c>
      <c r="D98" s="4" t="s">
        <v>583</v>
      </c>
      <c r="E98" s="57">
        <f>+H108*0.05</f>
        <v>3075.8306811160001</v>
      </c>
      <c r="F98" s="57"/>
      <c r="G98" s="57"/>
      <c r="H98" s="57"/>
      <c r="I98" s="57">
        <f>+E98*C98</f>
        <v>3075.8306811160001</v>
      </c>
    </row>
    <row r="99" spans="1:9" ht="14.4">
      <c r="A99" s="45" t="s">
        <v>366</v>
      </c>
      <c r="B99" s="8" t="s">
        <v>367</v>
      </c>
      <c r="C99" s="27">
        <v>0.83799999999999997</v>
      </c>
      <c r="D99" s="4" t="s">
        <v>356</v>
      </c>
      <c r="E99" s="57">
        <f>+TRITU</f>
        <v>85000</v>
      </c>
      <c r="F99" s="57"/>
      <c r="G99" s="57">
        <f>+E99*C99</f>
        <v>71230</v>
      </c>
      <c r="H99" s="57"/>
      <c r="I99" s="57"/>
    </row>
    <row r="100" spans="1:9" ht="14.4">
      <c r="A100" s="45" t="s">
        <v>364</v>
      </c>
      <c r="B100" s="8" t="s">
        <v>365</v>
      </c>
      <c r="C100" s="27">
        <v>0.55500000000000005</v>
      </c>
      <c r="D100" s="4" t="s">
        <v>356</v>
      </c>
      <c r="E100" s="57">
        <f>+ARENC</f>
        <v>34000</v>
      </c>
      <c r="F100" s="57"/>
      <c r="G100" s="57">
        <f>+E100*C100</f>
        <v>18870</v>
      </c>
      <c r="H100" s="57"/>
      <c r="I100" s="57"/>
    </row>
    <row r="101" spans="1:9" ht="14.4">
      <c r="A101" s="45" t="s">
        <v>368</v>
      </c>
      <c r="B101" s="8" t="s">
        <v>892</v>
      </c>
      <c r="C101" s="27">
        <v>6.1</v>
      </c>
      <c r="D101" s="4" t="s">
        <v>370</v>
      </c>
      <c r="E101" s="57">
        <f>+CEMEG</f>
        <v>25500</v>
      </c>
      <c r="F101" s="57"/>
      <c r="G101" s="57">
        <f>+E101*C101</f>
        <v>155550</v>
      </c>
      <c r="H101" s="57"/>
      <c r="I101" s="57"/>
    </row>
    <row r="102" spans="1:9" ht="14.4">
      <c r="A102" s="45" t="s">
        <v>1015</v>
      </c>
      <c r="B102" s="8" t="s">
        <v>138</v>
      </c>
      <c r="C102" s="27">
        <v>0.27900000000000003</v>
      </c>
      <c r="D102" s="4" t="s">
        <v>356</v>
      </c>
      <c r="E102" s="57">
        <f>+TRANAG</f>
        <v>30600</v>
      </c>
      <c r="F102" s="57"/>
      <c r="G102" s="57"/>
      <c r="H102" s="57"/>
      <c r="I102" s="57">
        <f>+E102*C102</f>
        <v>8537.4000000000015</v>
      </c>
    </row>
    <row r="103" spans="1:9" ht="14.4">
      <c r="A103" s="45" t="s">
        <v>72</v>
      </c>
      <c r="B103" s="8" t="s">
        <v>72</v>
      </c>
      <c r="C103" s="27">
        <v>170</v>
      </c>
      <c r="D103" s="4" t="s">
        <v>73</v>
      </c>
      <c r="E103" s="57">
        <f>+AGUA</f>
        <v>10.199999999999999</v>
      </c>
      <c r="F103" s="57"/>
      <c r="G103" s="57">
        <f>+E103*C103</f>
        <v>1733.9999999999998</v>
      </c>
      <c r="H103" s="57"/>
      <c r="I103" s="57"/>
    </row>
    <row r="104" spans="1:9" ht="14.4">
      <c r="A104" s="45" t="s">
        <v>9</v>
      </c>
      <c r="B104" s="8" t="s">
        <v>10</v>
      </c>
      <c r="C104" s="27">
        <v>0.33</v>
      </c>
      <c r="D104" s="4" t="s">
        <v>647</v>
      </c>
      <c r="E104" s="57">
        <f>+CONMX</f>
        <v>8171</v>
      </c>
      <c r="F104" s="57"/>
      <c r="G104" s="57">
        <f>+E104*C104</f>
        <v>2696.4300000000003</v>
      </c>
      <c r="H104" s="57"/>
      <c r="I104" s="57"/>
    </row>
    <row r="105" spans="1:9" ht="14.4">
      <c r="A105" s="45" t="s">
        <v>297</v>
      </c>
      <c r="B105" s="8" t="s">
        <v>407</v>
      </c>
      <c r="C105" s="27">
        <v>1</v>
      </c>
      <c r="D105" s="4" t="s">
        <v>583</v>
      </c>
      <c r="E105" s="57">
        <v>5000</v>
      </c>
      <c r="F105" s="57"/>
      <c r="G105" s="57"/>
      <c r="H105" s="57"/>
      <c r="I105" s="57">
        <f>+E105*C105</f>
        <v>5000</v>
      </c>
    </row>
    <row r="106" spans="1:9" ht="16.8">
      <c r="A106" s="45" t="s">
        <v>347</v>
      </c>
      <c r="B106" s="8" t="str">
        <f>IF(PRESTA&gt;0,"AYUD. ENTENDIDO (INCLUYE "&amp;""&amp;PRESTA*100&amp;"% PRESTACIONES)",0)</f>
        <v>AYUD. ENTENDIDO (INCLUYE 82,22% PRESTACIONES)</v>
      </c>
      <c r="C106" s="27">
        <v>0.3</v>
      </c>
      <c r="D106" s="243" t="s">
        <v>346</v>
      </c>
      <c r="E106" s="57">
        <f>+AYUDA</f>
        <v>65389.695592000004</v>
      </c>
      <c r="F106" s="65"/>
      <c r="G106" s="65"/>
      <c r="H106" s="65">
        <f>+E106*C106</f>
        <v>19616.9086776</v>
      </c>
      <c r="I106" s="65"/>
    </row>
    <row r="107" spans="1:9" ht="16.8">
      <c r="A107" s="45" t="s">
        <v>348</v>
      </c>
      <c r="B107" s="8" t="str">
        <f>IF(PRESTA&gt;0,"AYUD. RASO (INCLUYE "&amp;""&amp;PRESTA*100&amp;"% PRESTACIONES)",0)</f>
        <v>AYUD. RASO (INCLUYE 82,22% PRESTACIONES)</v>
      </c>
      <c r="C107" s="27">
        <v>0.83299999999999996</v>
      </c>
      <c r="D107" s="243" t="s">
        <v>346</v>
      </c>
      <c r="E107" s="57">
        <f>+AYUDR</f>
        <v>50299.76584</v>
      </c>
      <c r="F107" s="65"/>
      <c r="G107" s="65"/>
      <c r="H107" s="65">
        <f>+E107*C107</f>
        <v>41899.704944719997</v>
      </c>
      <c r="I107" s="65"/>
    </row>
    <row r="108" spans="1:9" ht="16.8">
      <c r="A108" s="20" t="s">
        <v>190</v>
      </c>
      <c r="B108" s="39">
        <f>SUM(F108:I108)</f>
        <v>339960.27430343599</v>
      </c>
      <c r="C108" s="34"/>
      <c r="D108" s="4"/>
      <c r="E108" s="57"/>
      <c r="F108" s="57">
        <f>SUM(F97:F107)</f>
        <v>11750</v>
      </c>
      <c r="G108" s="57">
        <f>SUM(G97:G107)</f>
        <v>250080.43</v>
      </c>
      <c r="H108" s="57">
        <f>SUM(H97:H107)</f>
        <v>61516.613622320001</v>
      </c>
      <c r="I108" s="57">
        <f>SUM(I97:I107)</f>
        <v>16613.230681116002</v>
      </c>
    </row>
    <row r="109" spans="1:9" ht="16.8">
      <c r="A109" s="21" t="str">
        <f>IF(AIU&gt;0,"+"&amp;""&amp;AIU*100&amp;"% AIU:",0)</f>
        <v>+29,572249606751% AIU:</v>
      </c>
      <c r="B109" s="39">
        <f>+B108*AIU</f>
        <v>100533.90088080743</v>
      </c>
      <c r="C109" s="35"/>
      <c r="D109" s="29"/>
      <c r="E109" s="66"/>
      <c r="F109" s="66"/>
      <c r="G109" s="66"/>
      <c r="H109" s="66"/>
      <c r="I109" s="66"/>
    </row>
    <row r="110" spans="1:9" ht="16.8">
      <c r="A110" s="20" t="s">
        <v>191</v>
      </c>
      <c r="B110" s="39">
        <f>INT(+B108+B109)</f>
        <v>440494</v>
      </c>
      <c r="C110" s="21" t="s">
        <v>356</v>
      </c>
      <c r="D110" s="29"/>
      <c r="E110" s="66"/>
      <c r="F110" s="66"/>
      <c r="G110" s="66"/>
      <c r="H110" s="66"/>
      <c r="I110" s="66"/>
    </row>
    <row r="111" spans="1:9">
      <c r="A111" s="36"/>
      <c r="B111" s="38"/>
      <c r="C111" s="37"/>
    </row>
    <row r="112" spans="1:9" ht="19.2">
      <c r="A112" s="26"/>
      <c r="B112" s="3313" t="s">
        <v>12</v>
      </c>
      <c r="C112" s="3313"/>
      <c r="D112" s="3313"/>
      <c r="E112" s="3313"/>
      <c r="F112" s="3313"/>
      <c r="G112" s="3313"/>
      <c r="H112" s="3313"/>
      <c r="I112" s="3313"/>
    </row>
    <row r="113" spans="1:9" ht="14.4">
      <c r="A113" s="45"/>
      <c r="B113" s="24"/>
      <c r="C113" s="9" t="s">
        <v>140</v>
      </c>
      <c r="D113" s="9" t="s">
        <v>343</v>
      </c>
      <c r="E113" s="57" t="s">
        <v>344</v>
      </c>
      <c r="F113" s="57" t="s">
        <v>482</v>
      </c>
      <c r="G113" s="57" t="s">
        <v>483</v>
      </c>
      <c r="H113" s="57" t="s">
        <v>170</v>
      </c>
      <c r="I113" s="57" t="s">
        <v>171</v>
      </c>
    </row>
    <row r="114" spans="1:9" ht="14.4">
      <c r="A114" s="45" t="s">
        <v>715</v>
      </c>
      <c r="B114" s="8" t="s">
        <v>716</v>
      </c>
      <c r="C114" s="27">
        <v>0.25</v>
      </c>
      <c r="D114" s="4" t="s">
        <v>717</v>
      </c>
      <c r="E114" s="57">
        <f>+CONM1</f>
        <v>47000</v>
      </c>
      <c r="F114" s="57">
        <f>+E114*C114</f>
        <v>11750</v>
      </c>
      <c r="G114" s="57"/>
      <c r="H114" s="57"/>
      <c r="I114" s="57"/>
    </row>
    <row r="115" spans="1:9" ht="14.4">
      <c r="A115" s="45" t="s">
        <v>172</v>
      </c>
      <c r="B115" s="8" t="s">
        <v>189</v>
      </c>
      <c r="C115" s="27">
        <v>1</v>
      </c>
      <c r="D115" s="4" t="s">
        <v>583</v>
      </c>
      <c r="E115" s="57">
        <f>+H125*0.05</f>
        <v>3075.8306811160001</v>
      </c>
      <c r="F115" s="57"/>
      <c r="G115" s="57"/>
      <c r="H115" s="57"/>
      <c r="I115" s="57">
        <f>+E115*C115</f>
        <v>3075.8306811160001</v>
      </c>
    </row>
    <row r="116" spans="1:9" ht="14.4">
      <c r="A116" s="45" t="s">
        <v>366</v>
      </c>
      <c r="B116" s="8" t="s">
        <v>367</v>
      </c>
      <c r="C116" s="27">
        <v>0.83799999999999997</v>
      </c>
      <c r="D116" s="4" t="s">
        <v>356</v>
      </c>
      <c r="E116" s="57">
        <f>+TRITU</f>
        <v>85000</v>
      </c>
      <c r="F116" s="57"/>
      <c r="G116" s="57">
        <f>+E116*C116</f>
        <v>71230</v>
      </c>
      <c r="H116" s="57"/>
      <c r="I116" s="57"/>
    </row>
    <row r="117" spans="1:9" ht="14.4">
      <c r="A117" s="45" t="s">
        <v>364</v>
      </c>
      <c r="B117" s="8" t="s">
        <v>365</v>
      </c>
      <c r="C117" s="27">
        <v>0.55500000000000005</v>
      </c>
      <c r="D117" s="4" t="s">
        <v>356</v>
      </c>
      <c r="E117" s="57">
        <f>+ARENC</f>
        <v>34000</v>
      </c>
      <c r="F117" s="57"/>
      <c r="G117" s="57">
        <f>+E117*C117</f>
        <v>18870</v>
      </c>
      <c r="H117" s="57"/>
      <c r="I117" s="57"/>
    </row>
    <row r="118" spans="1:9" ht="14.4">
      <c r="A118" s="45" t="s">
        <v>368</v>
      </c>
      <c r="B118" s="8" t="s">
        <v>892</v>
      </c>
      <c r="C118" s="27">
        <v>7.5</v>
      </c>
      <c r="D118" s="4" t="s">
        <v>370</v>
      </c>
      <c r="E118" s="57">
        <f>+CEMEG</f>
        <v>25500</v>
      </c>
      <c r="F118" s="57"/>
      <c r="G118" s="57">
        <f>+E118*C118</f>
        <v>191250</v>
      </c>
      <c r="H118" s="57"/>
      <c r="I118" s="57"/>
    </row>
    <row r="119" spans="1:9" ht="14.4">
      <c r="A119" s="45" t="s">
        <v>1015</v>
      </c>
      <c r="B119" s="8" t="s">
        <v>138</v>
      </c>
      <c r="C119" s="27">
        <v>0.27900000000000003</v>
      </c>
      <c r="D119" s="4" t="s">
        <v>356</v>
      </c>
      <c r="E119" s="57">
        <f>+TRANAG</f>
        <v>30600</v>
      </c>
      <c r="F119" s="57"/>
      <c r="G119" s="57"/>
      <c r="H119" s="57"/>
      <c r="I119" s="57">
        <f>+E119*C119</f>
        <v>8537.4000000000015</v>
      </c>
    </row>
    <row r="120" spans="1:9" ht="14.4">
      <c r="A120" s="45" t="s">
        <v>72</v>
      </c>
      <c r="B120" s="8" t="s">
        <v>72</v>
      </c>
      <c r="C120" s="27">
        <v>170</v>
      </c>
      <c r="D120" s="4" t="s">
        <v>73</v>
      </c>
      <c r="E120" s="57">
        <f>+AGUA</f>
        <v>10.199999999999999</v>
      </c>
      <c r="F120" s="57"/>
      <c r="G120" s="57">
        <f>+E120*C120</f>
        <v>1733.9999999999998</v>
      </c>
      <c r="H120" s="57"/>
      <c r="I120" s="57"/>
    </row>
    <row r="121" spans="1:9" ht="14.4">
      <c r="A121" s="45" t="s">
        <v>9</v>
      </c>
      <c r="B121" s="8" t="s">
        <v>10</v>
      </c>
      <c r="C121" s="27">
        <v>0.33</v>
      </c>
      <c r="D121" s="4" t="s">
        <v>647</v>
      </c>
      <c r="E121" s="57">
        <f>+CONMX</f>
        <v>8171</v>
      </c>
      <c r="F121" s="57"/>
      <c r="G121" s="57">
        <f>+E121*C121</f>
        <v>2696.4300000000003</v>
      </c>
      <c r="H121" s="57"/>
      <c r="I121" s="57"/>
    </row>
    <row r="122" spans="1:9" ht="14.4">
      <c r="A122" s="45" t="s">
        <v>297</v>
      </c>
      <c r="B122" s="8" t="s">
        <v>407</v>
      </c>
      <c r="C122" s="27">
        <v>1</v>
      </c>
      <c r="D122" s="4" t="s">
        <v>583</v>
      </c>
      <c r="E122" s="57">
        <v>5000</v>
      </c>
      <c r="F122" s="57"/>
      <c r="G122" s="57"/>
      <c r="H122" s="57"/>
      <c r="I122" s="57">
        <f>+E122*C122</f>
        <v>5000</v>
      </c>
    </row>
    <row r="123" spans="1:9" ht="16.8">
      <c r="A123" s="45" t="s">
        <v>347</v>
      </c>
      <c r="B123" s="8" t="str">
        <f>IF(PRESTA&gt;0,"AYUD. ENTENDIDO (INCLUYE "&amp;""&amp;PRESTA*100&amp;"% PRESTACIONES)",0)</f>
        <v>AYUD. ENTENDIDO (INCLUYE 82,22% PRESTACIONES)</v>
      </c>
      <c r="C123" s="27">
        <v>0.3</v>
      </c>
      <c r="D123" s="243" t="s">
        <v>346</v>
      </c>
      <c r="E123" s="65">
        <f>+AYUDA</f>
        <v>65389.695592000004</v>
      </c>
      <c r="F123" s="65"/>
      <c r="G123" s="65"/>
      <c r="H123" s="65">
        <f>+E123*C123</f>
        <v>19616.9086776</v>
      </c>
      <c r="I123" s="65"/>
    </row>
    <row r="124" spans="1:9" ht="16.8">
      <c r="A124" s="45" t="s">
        <v>348</v>
      </c>
      <c r="B124" s="8" t="str">
        <f>IF(PRESTA&gt;0,"AYUD. RASO (INCLUYE "&amp;""&amp;PRESTA*100&amp;"% PRESTACIONES)",0)</f>
        <v>AYUD. RASO (INCLUYE 82,22% PRESTACIONES)</v>
      </c>
      <c r="C124" s="27">
        <v>0.83299999999999996</v>
      </c>
      <c r="D124" s="243" t="s">
        <v>346</v>
      </c>
      <c r="E124" s="65">
        <f>+AYUDR</f>
        <v>50299.76584</v>
      </c>
      <c r="F124" s="65"/>
      <c r="G124" s="65"/>
      <c r="H124" s="65">
        <f>+E124*C124</f>
        <v>41899.704944719997</v>
      </c>
      <c r="I124" s="65"/>
    </row>
    <row r="125" spans="1:9" ht="16.8">
      <c r="A125" s="20" t="s">
        <v>190</v>
      </c>
      <c r="B125" s="39">
        <f>SUM(F125:I125)</f>
        <v>375660.27430343599</v>
      </c>
      <c r="C125" s="27"/>
      <c r="D125" s="4"/>
      <c r="E125" s="57"/>
      <c r="F125" s="57">
        <f>SUM(F114:F124)</f>
        <v>11750</v>
      </c>
      <c r="G125" s="57">
        <f>SUM(G114:G124)</f>
        <v>285780.43</v>
      </c>
      <c r="H125" s="57">
        <f>SUM(H114:H124)</f>
        <v>61516.613622320001</v>
      </c>
      <c r="I125" s="57">
        <f>SUM(I114:I124)</f>
        <v>16613.230681116002</v>
      </c>
    </row>
    <row r="126" spans="1:9" ht="16.8">
      <c r="A126" s="21" t="str">
        <f>IF(AIU&gt;0,"+"&amp;""&amp;AIU*100&amp;"% AIU:",0)</f>
        <v>+29,572249606751% AIU:</v>
      </c>
      <c r="B126" s="39">
        <f>+B125*AIU</f>
        <v>111091.19399041754</v>
      </c>
      <c r="C126" s="35"/>
      <c r="D126" s="29"/>
      <c r="E126" s="66"/>
      <c r="F126" s="66"/>
      <c r="G126" s="66"/>
      <c r="H126" s="66"/>
      <c r="I126" s="66"/>
    </row>
    <row r="127" spans="1:9" ht="16.8">
      <c r="A127" s="20" t="s">
        <v>191</v>
      </c>
      <c r="B127" s="39">
        <f>INT(+B125+B126)</f>
        <v>486751</v>
      </c>
      <c r="C127" s="21" t="s">
        <v>356</v>
      </c>
      <c r="D127" s="66"/>
      <c r="E127" s="66"/>
      <c r="F127" s="66"/>
      <c r="G127" s="66"/>
      <c r="H127" s="66"/>
      <c r="I127" s="66"/>
    </row>
    <row r="128" spans="1:9" ht="14.4">
      <c r="A128" s="36"/>
      <c r="B128" s="38"/>
      <c r="C128" s="37"/>
      <c r="D128" s="66"/>
    </row>
    <row r="129" spans="1:9" ht="19.2">
      <c r="A129" s="26"/>
      <c r="B129" s="3313" t="s">
        <v>11</v>
      </c>
      <c r="C129" s="3313"/>
      <c r="D129" s="3313"/>
      <c r="E129" s="3313"/>
      <c r="F129" s="3313"/>
      <c r="G129" s="3313"/>
      <c r="H129" s="3313"/>
      <c r="I129" s="3313"/>
    </row>
    <row r="130" spans="1:9" ht="14.4">
      <c r="A130" s="45"/>
      <c r="B130" s="24"/>
      <c r="C130" s="9" t="s">
        <v>140</v>
      </c>
      <c r="D130" s="9" t="s">
        <v>343</v>
      </c>
      <c r="E130" s="57" t="s">
        <v>344</v>
      </c>
      <c r="F130" s="57" t="s">
        <v>482</v>
      </c>
      <c r="G130" s="57" t="s">
        <v>483</v>
      </c>
      <c r="H130" s="57" t="s">
        <v>170</v>
      </c>
      <c r="I130" s="57" t="s">
        <v>171</v>
      </c>
    </row>
    <row r="131" spans="1:9" ht="14.4">
      <c r="A131" s="45" t="s">
        <v>715</v>
      </c>
      <c r="B131" s="8" t="s">
        <v>716</v>
      </c>
      <c r="C131" s="27">
        <v>0.53</v>
      </c>
      <c r="D131" s="4" t="s">
        <v>717</v>
      </c>
      <c r="E131" s="57">
        <f>+CONM1</f>
        <v>47000</v>
      </c>
      <c r="F131" s="57">
        <f>+E131*C131</f>
        <v>24910</v>
      </c>
      <c r="G131" s="57"/>
      <c r="H131" s="57"/>
      <c r="I131" s="57"/>
    </row>
    <row r="132" spans="1:9" ht="14.4">
      <c r="A132" s="45" t="s">
        <v>172</v>
      </c>
      <c r="B132" s="8" t="s">
        <v>189</v>
      </c>
      <c r="C132" s="27">
        <v>1</v>
      </c>
      <c r="D132" s="4" t="s">
        <v>583</v>
      </c>
      <c r="E132" s="57">
        <f>+H142*0.05</f>
        <v>2622.7735045142854</v>
      </c>
      <c r="F132" s="57"/>
      <c r="G132" s="57"/>
      <c r="H132" s="57"/>
      <c r="I132" s="57">
        <f>+E132*C132</f>
        <v>2622.7735045142854</v>
      </c>
    </row>
    <row r="133" spans="1:9" ht="14.4">
      <c r="A133" s="45" t="s">
        <v>366</v>
      </c>
      <c r="B133" s="8" t="s">
        <v>367</v>
      </c>
      <c r="C133" s="27">
        <v>0.87</v>
      </c>
      <c r="D133" s="4" t="s">
        <v>356</v>
      </c>
      <c r="E133" s="57">
        <f>+TRITU</f>
        <v>85000</v>
      </c>
      <c r="F133" s="57"/>
      <c r="G133" s="57">
        <f>+E133*C133</f>
        <v>73950</v>
      </c>
      <c r="H133" s="57"/>
      <c r="I133" s="57"/>
    </row>
    <row r="134" spans="1:9" ht="14.4">
      <c r="A134" s="45" t="s">
        <v>364</v>
      </c>
      <c r="B134" s="8" t="s">
        <v>365</v>
      </c>
      <c r="C134" s="27">
        <v>0.87</v>
      </c>
      <c r="D134" s="4" t="s">
        <v>356</v>
      </c>
      <c r="E134" s="57">
        <f>+ARENC</f>
        <v>34000</v>
      </c>
      <c r="F134" s="57"/>
      <c r="G134" s="57">
        <f>+E134*C134</f>
        <v>29580</v>
      </c>
      <c r="H134" s="57"/>
      <c r="I134" s="57"/>
    </row>
    <row r="135" spans="1:9" ht="14.4">
      <c r="A135" s="45" t="s">
        <v>368</v>
      </c>
      <c r="B135" s="8" t="s">
        <v>892</v>
      </c>
      <c r="C135" s="27">
        <v>8.5</v>
      </c>
      <c r="D135" s="4" t="s">
        <v>370</v>
      </c>
      <c r="E135" s="57">
        <f>+CEMEG</f>
        <v>25500</v>
      </c>
      <c r="F135" s="57"/>
      <c r="G135" s="57">
        <f>+E135*C135</f>
        <v>216750</v>
      </c>
      <c r="H135" s="57"/>
      <c r="I135" s="57"/>
    </row>
    <row r="136" spans="1:9" ht="14.4">
      <c r="A136" s="45" t="s">
        <v>1015</v>
      </c>
      <c r="B136" s="8" t="s">
        <v>138</v>
      </c>
      <c r="C136" s="27">
        <v>0.2</v>
      </c>
      <c r="D136" s="4" t="s">
        <v>356</v>
      </c>
      <c r="E136" s="57">
        <f>+TRANAG</f>
        <v>30600</v>
      </c>
      <c r="F136" s="57"/>
      <c r="G136" s="57"/>
      <c r="H136" s="57"/>
      <c r="I136" s="57">
        <f>+E136*C136</f>
        <v>6120</v>
      </c>
    </row>
    <row r="137" spans="1:9" ht="14.4">
      <c r="A137" s="45" t="s">
        <v>72</v>
      </c>
      <c r="B137" s="8" t="s">
        <v>72</v>
      </c>
      <c r="C137" s="27">
        <v>202</v>
      </c>
      <c r="D137" s="4" t="s">
        <v>73</v>
      </c>
      <c r="E137" s="57">
        <f>+AGUA</f>
        <v>10.199999999999999</v>
      </c>
      <c r="F137" s="57"/>
      <c r="G137" s="57">
        <f>+E137*C137</f>
        <v>2060.3999999999996</v>
      </c>
      <c r="H137" s="57"/>
      <c r="I137" s="57"/>
    </row>
    <row r="138" spans="1:9" ht="14.4">
      <c r="A138" s="45" t="s">
        <v>9</v>
      </c>
      <c r="B138" s="8" t="s">
        <v>10</v>
      </c>
      <c r="C138" s="27">
        <v>0.33</v>
      </c>
      <c r="D138" s="4" t="s">
        <v>647</v>
      </c>
      <c r="E138" s="57">
        <f>+CONMX</f>
        <v>8171</v>
      </c>
      <c r="F138" s="57"/>
      <c r="G138" s="57">
        <f>+E138*C138</f>
        <v>2696.4300000000003</v>
      </c>
      <c r="H138" s="57"/>
      <c r="I138" s="57"/>
    </row>
    <row r="139" spans="1:9" ht="14.4">
      <c r="A139" s="45" t="s">
        <v>297</v>
      </c>
      <c r="B139" s="8" t="s">
        <v>407</v>
      </c>
      <c r="C139" s="27">
        <v>1</v>
      </c>
      <c r="D139" s="4" t="s">
        <v>583</v>
      </c>
      <c r="E139" s="57">
        <f>+G142*0.03</f>
        <v>9751.1049000000003</v>
      </c>
      <c r="F139" s="57"/>
      <c r="G139" s="57"/>
      <c r="H139" s="57"/>
      <c r="I139" s="57">
        <f>+E139*C139</f>
        <v>9751.1049000000003</v>
      </c>
    </row>
    <row r="140" spans="1:9" ht="16.8">
      <c r="A140" s="45" t="s">
        <v>347</v>
      </c>
      <c r="B140" s="8" t="str">
        <f>IF(PRESTA&gt;0,"AYUD. ENTENDIDO (INCLUYE "&amp;""&amp;PRESTA*100&amp;"% PRESTACIONES)",0)</f>
        <v>AYUD. ENTENDIDO (INCLUYE 82,22% PRESTACIONES)</v>
      </c>
      <c r="C140" s="27">
        <f>1/7</f>
        <v>0.14285714285714285</v>
      </c>
      <c r="D140" s="243" t="s">
        <v>346</v>
      </c>
      <c r="E140" s="65">
        <f>+AYUDA</f>
        <v>65389.695592000004</v>
      </c>
      <c r="F140" s="65"/>
      <c r="G140" s="65"/>
      <c r="H140" s="65">
        <f>+E140*C140</f>
        <v>9341.3850845714278</v>
      </c>
      <c r="I140" s="65"/>
    </row>
    <row r="141" spans="1:9" ht="16.8">
      <c r="A141" s="45" t="s">
        <v>348</v>
      </c>
      <c r="B141" s="8" t="str">
        <f>IF(PRESTA&gt;0,"AYUD. RASO (INCLUYE "&amp;""&amp;PRESTA*100&amp;"% PRESTACIONES)",0)</f>
        <v>AYUD. RASO (INCLUYE 82,22% PRESTACIONES)</v>
      </c>
      <c r="C141" s="27">
        <f>6/7</f>
        <v>0.8571428571428571</v>
      </c>
      <c r="D141" s="243" t="s">
        <v>346</v>
      </c>
      <c r="E141" s="65">
        <f>+AYUDR</f>
        <v>50299.76584</v>
      </c>
      <c r="F141" s="65"/>
      <c r="G141" s="65"/>
      <c r="H141" s="65">
        <f>+E141*C141</f>
        <v>43114.085005714282</v>
      </c>
      <c r="I141" s="65"/>
    </row>
    <row r="142" spans="1:9" ht="16.8">
      <c r="A142" s="20" t="s">
        <v>190</v>
      </c>
      <c r="B142" s="39">
        <f>SUM(F142:I142)</f>
        <v>420896.1784948</v>
      </c>
      <c r="C142" s="34"/>
      <c r="D142" s="4"/>
      <c r="E142" s="57"/>
      <c r="F142" s="57">
        <f>SUM(F131:F141)</f>
        <v>24910</v>
      </c>
      <c r="G142" s="57">
        <f>SUM(G131:G141)</f>
        <v>325036.83</v>
      </c>
      <c r="H142" s="57">
        <f>SUM(H131:H141)</f>
        <v>52455.470090285708</v>
      </c>
      <c r="I142" s="57">
        <f>SUM(I131:I141)</f>
        <v>18493.878404514286</v>
      </c>
    </row>
    <row r="143" spans="1:9" ht="16.8">
      <c r="A143" s="21" t="str">
        <f>IF(AIU&gt;0,"+"&amp;""&amp;AIU*100&amp;"% AIU:",0)</f>
        <v>+29,572249606751% AIU:</v>
      </c>
      <c r="B143" s="39">
        <f>+B142*AIU</f>
        <v>124468.46848975844</v>
      </c>
      <c r="C143" s="35"/>
      <c r="D143" s="29"/>
      <c r="E143" s="66"/>
      <c r="F143" s="66"/>
      <c r="G143" s="66"/>
      <c r="H143" s="66"/>
      <c r="I143" s="66"/>
    </row>
    <row r="144" spans="1:9" ht="16.8">
      <c r="A144" s="20" t="s">
        <v>191</v>
      </c>
      <c r="B144" s="39">
        <f>INT(+B142+B143)</f>
        <v>545364</v>
      </c>
      <c r="C144" s="21" t="s">
        <v>356</v>
      </c>
      <c r="D144" s="29"/>
      <c r="E144" s="66"/>
      <c r="F144" s="66"/>
      <c r="G144" s="66"/>
      <c r="H144" s="66"/>
      <c r="I144" s="66"/>
    </row>
    <row r="145" spans="1:9" ht="13.8" thickBot="1">
      <c r="A145" s="36"/>
      <c r="B145" s="38"/>
      <c r="C145" s="37"/>
    </row>
    <row r="146" spans="1:9" ht="17.399999999999999" thickBot="1">
      <c r="A146" s="3314" t="s">
        <v>21</v>
      </c>
      <c r="B146" s="3315"/>
      <c r="C146" s="3315"/>
      <c r="D146" s="3315"/>
      <c r="E146" s="3315"/>
      <c r="F146" s="3315"/>
      <c r="G146" s="3315"/>
      <c r="H146" s="3315"/>
      <c r="I146" s="3316"/>
    </row>
    <row r="147" spans="1:9">
      <c r="A147" s="46"/>
      <c r="B147" s="46"/>
      <c r="C147" s="47"/>
      <c r="D147" s="48"/>
      <c r="E147" s="67"/>
      <c r="F147" s="68"/>
      <c r="G147" s="68"/>
      <c r="H147" s="69"/>
      <c r="I147" s="69"/>
    </row>
    <row r="148" spans="1:9" ht="19.2">
      <c r="A148" s="26"/>
      <c r="B148" s="3313" t="s">
        <v>878</v>
      </c>
      <c r="C148" s="3313"/>
      <c r="D148" s="3313"/>
      <c r="E148" s="3313"/>
      <c r="F148" s="3313"/>
      <c r="G148" s="3313"/>
      <c r="H148" s="3313"/>
      <c r="I148" s="3313"/>
    </row>
    <row r="149" spans="1:9" ht="14.4">
      <c r="A149" s="45"/>
      <c r="B149" s="24"/>
      <c r="C149" s="9" t="s">
        <v>140</v>
      </c>
      <c r="D149" s="9" t="s">
        <v>343</v>
      </c>
      <c r="E149" s="57" t="s">
        <v>344</v>
      </c>
      <c r="F149" s="57" t="s">
        <v>482</v>
      </c>
      <c r="G149" s="57" t="s">
        <v>483</v>
      </c>
      <c r="H149" s="57" t="s">
        <v>170</v>
      </c>
      <c r="I149" s="57" t="s">
        <v>171</v>
      </c>
    </row>
    <row r="150" spans="1:9" ht="14.4">
      <c r="A150" s="45" t="s">
        <v>715</v>
      </c>
      <c r="B150" s="8" t="s">
        <v>716</v>
      </c>
      <c r="C150" s="27">
        <v>0.53</v>
      </c>
      <c r="D150" s="4" t="s">
        <v>717</v>
      </c>
      <c r="E150" s="57">
        <f>+CONM1</f>
        <v>47000</v>
      </c>
      <c r="F150" s="57">
        <f>+E150*C150</f>
        <v>24910</v>
      </c>
      <c r="G150" s="57"/>
      <c r="H150" s="57"/>
      <c r="I150" s="57"/>
    </row>
    <row r="151" spans="1:9" ht="14.4">
      <c r="A151" s="11" t="s">
        <v>740</v>
      </c>
      <c r="B151" s="8" t="s">
        <v>741</v>
      </c>
      <c r="C151" s="27">
        <v>1.0900000000000001</v>
      </c>
      <c r="D151" s="12" t="s">
        <v>356</v>
      </c>
      <c r="E151" s="70">
        <f>+ARENP</f>
        <v>70500</v>
      </c>
      <c r="F151" s="71"/>
      <c r="G151" s="71">
        <f>+E151*C151</f>
        <v>76845</v>
      </c>
      <c r="H151" s="71"/>
      <c r="I151" s="71"/>
    </row>
    <row r="152" spans="1:9" ht="14.4">
      <c r="A152" s="45" t="s">
        <v>172</v>
      </c>
      <c r="B152" s="8" t="s">
        <v>189</v>
      </c>
      <c r="C152" s="27">
        <v>1</v>
      </c>
      <c r="D152" s="4" t="s">
        <v>583</v>
      </c>
      <c r="E152" s="57">
        <f>+H159*0.05</f>
        <v>559.58489497000005</v>
      </c>
      <c r="F152" s="57"/>
      <c r="G152" s="57"/>
      <c r="H152" s="57"/>
      <c r="I152" s="57">
        <f>+E152*C152</f>
        <v>559.58489497000005</v>
      </c>
    </row>
    <row r="153" spans="1:9" ht="14.4">
      <c r="A153" s="45" t="s">
        <v>368</v>
      </c>
      <c r="B153" s="8" t="s">
        <v>892</v>
      </c>
      <c r="C153" s="27">
        <v>9</v>
      </c>
      <c r="D153" s="4" t="s">
        <v>370</v>
      </c>
      <c r="E153" s="57">
        <f>+CEMEG</f>
        <v>25500</v>
      </c>
      <c r="F153" s="57"/>
      <c r="G153" s="57">
        <f>+E153*C153</f>
        <v>229500</v>
      </c>
      <c r="H153" s="57"/>
      <c r="I153" s="57"/>
    </row>
    <row r="154" spans="1:9" ht="14.4">
      <c r="A154" s="45" t="s">
        <v>1015</v>
      </c>
      <c r="B154" s="8" t="s">
        <v>138</v>
      </c>
      <c r="C154" s="27">
        <v>0.15</v>
      </c>
      <c r="D154" s="4" t="s">
        <v>356</v>
      </c>
      <c r="E154" s="57">
        <f>+TRANAG</f>
        <v>30600</v>
      </c>
      <c r="F154" s="57"/>
      <c r="G154" s="57"/>
      <c r="H154" s="57"/>
      <c r="I154" s="57">
        <f>+E154*C154</f>
        <v>4590</v>
      </c>
    </row>
    <row r="155" spans="1:9" ht="14.4">
      <c r="A155" s="45" t="s">
        <v>72</v>
      </c>
      <c r="B155" s="8" t="s">
        <v>72</v>
      </c>
      <c r="C155" s="27">
        <v>70</v>
      </c>
      <c r="D155" s="4" t="s">
        <v>73</v>
      </c>
      <c r="E155" s="57">
        <f>+AGUA</f>
        <v>10.199999999999999</v>
      </c>
      <c r="F155" s="57"/>
      <c r="G155" s="57">
        <f>+E155*C155</f>
        <v>714</v>
      </c>
      <c r="H155" s="57"/>
      <c r="I155" s="57"/>
    </row>
    <row r="156" spans="1:9" ht="14.4">
      <c r="A156" s="45" t="s">
        <v>297</v>
      </c>
      <c r="B156" s="8" t="s">
        <v>407</v>
      </c>
      <c r="C156" s="27">
        <v>1</v>
      </c>
      <c r="D156" s="4" t="s">
        <v>583</v>
      </c>
      <c r="E156" s="57">
        <v>3000</v>
      </c>
      <c r="F156" s="57"/>
      <c r="G156" s="57"/>
      <c r="H156" s="57"/>
      <c r="I156" s="57">
        <f>+E156*C156</f>
        <v>3000</v>
      </c>
    </row>
    <row r="157" spans="1:9" ht="16.8">
      <c r="A157" s="45" t="s">
        <v>347</v>
      </c>
      <c r="B157" s="8" t="str">
        <f>IF(PRESTA&gt;0,"AYUD. ENTENDIDO (INCLUYE "&amp;""&amp;PRESTA*100&amp;"% PRESTACIONES)",0)</f>
        <v>AYUD. ENTENDIDO (INCLUYE 82,22% PRESTACIONES)</v>
      </c>
      <c r="C157" s="27">
        <f>0.6/8</f>
        <v>7.4999999999999997E-2</v>
      </c>
      <c r="D157" s="243" t="s">
        <v>346</v>
      </c>
      <c r="E157" s="65">
        <f>+AYUDA</f>
        <v>65389.695592000004</v>
      </c>
      <c r="F157" s="65"/>
      <c r="G157" s="65"/>
      <c r="H157" s="65">
        <f>+E157*C157</f>
        <v>4904.2271694000001</v>
      </c>
      <c r="I157" s="65"/>
    </row>
    <row r="158" spans="1:9" ht="16.8">
      <c r="A158" s="45" t="s">
        <v>348</v>
      </c>
      <c r="B158" s="8" t="str">
        <f>IF(PRESTA&gt;0,"AYUD. RASO (INCLUYE "&amp;""&amp;PRESTA*100&amp;"% PRESTACIONES)",0)</f>
        <v>AYUD. RASO (INCLUYE 82,22% PRESTACIONES)</v>
      </c>
      <c r="C158" s="27">
        <v>0.125</v>
      </c>
      <c r="D158" s="243" t="s">
        <v>346</v>
      </c>
      <c r="E158" s="65">
        <f>+AYUDR</f>
        <v>50299.76584</v>
      </c>
      <c r="F158" s="65"/>
      <c r="G158" s="65"/>
      <c r="H158" s="65">
        <f>+E158*C158</f>
        <v>6287.47073</v>
      </c>
      <c r="I158" s="65"/>
    </row>
    <row r="159" spans="1:9" ht="16.8">
      <c r="A159" s="20" t="s">
        <v>190</v>
      </c>
      <c r="B159" s="39">
        <f>SUM(F159:I159)</f>
        <v>351310.28279437002</v>
      </c>
      <c r="C159" s="34"/>
      <c r="D159" s="4"/>
      <c r="E159" s="57"/>
      <c r="F159" s="57">
        <f>SUM(F150:F158)</f>
        <v>24910</v>
      </c>
      <c r="G159" s="57">
        <f>SUM(G150:G158)</f>
        <v>307059</v>
      </c>
      <c r="H159" s="57">
        <f>SUM(H150:H158)</f>
        <v>11191.6978994</v>
      </c>
      <c r="I159" s="57">
        <f>SUM(I150:I158)</f>
        <v>8149.5848949700003</v>
      </c>
    </row>
    <row r="160" spans="1:9" ht="16.8">
      <c r="A160" s="21" t="str">
        <f>IF(AIU&gt;0,"+"&amp;""&amp;AIU*100&amp;"% AIU:",0)</f>
        <v>+29,572249606751% AIU:</v>
      </c>
      <c r="B160" s="39">
        <f>+B159*AIU</f>
        <v>103890.35372213388</v>
      </c>
      <c r="C160" s="35"/>
      <c r="D160" s="29"/>
      <c r="E160" s="66"/>
      <c r="F160" s="66"/>
      <c r="G160" s="66"/>
      <c r="H160" s="66"/>
      <c r="I160" s="66"/>
    </row>
    <row r="161" spans="1:9" ht="16.8">
      <c r="A161" s="20" t="s">
        <v>191</v>
      </c>
      <c r="B161" s="39">
        <f>INT(+B159+B160)</f>
        <v>455200</v>
      </c>
      <c r="C161" s="21" t="s">
        <v>356</v>
      </c>
      <c r="D161" s="29"/>
      <c r="E161" s="66"/>
      <c r="F161" s="66"/>
      <c r="G161" s="66"/>
      <c r="H161" s="66"/>
      <c r="I161" s="66"/>
    </row>
    <row r="162" spans="1:9">
      <c r="A162" s="36"/>
      <c r="B162" s="38"/>
      <c r="C162" s="37"/>
    </row>
    <row r="163" spans="1:9" ht="19.2">
      <c r="A163" s="26"/>
      <c r="B163" s="3313" t="s">
        <v>879</v>
      </c>
      <c r="C163" s="3313"/>
      <c r="D163" s="3313"/>
      <c r="E163" s="3313"/>
      <c r="F163" s="3313"/>
      <c r="G163" s="3313"/>
      <c r="H163" s="3313"/>
      <c r="I163" s="3313"/>
    </row>
    <row r="164" spans="1:9" ht="14.4">
      <c r="A164" s="45"/>
      <c r="B164" s="24"/>
      <c r="C164" s="9" t="s">
        <v>140</v>
      </c>
      <c r="D164" s="9" t="s">
        <v>343</v>
      </c>
      <c r="E164" s="57" t="s">
        <v>344</v>
      </c>
      <c r="F164" s="57" t="s">
        <v>482</v>
      </c>
      <c r="G164" s="57" t="s">
        <v>483</v>
      </c>
      <c r="H164" s="57" t="s">
        <v>170</v>
      </c>
      <c r="I164" s="57" t="s">
        <v>171</v>
      </c>
    </row>
    <row r="165" spans="1:9" ht="14.4">
      <c r="A165" s="45" t="s">
        <v>715</v>
      </c>
      <c r="B165" s="8" t="s">
        <v>716</v>
      </c>
      <c r="C165" s="27">
        <v>0.53</v>
      </c>
      <c r="D165" s="4" t="s">
        <v>717</v>
      </c>
      <c r="E165" s="57">
        <f>+CONM1</f>
        <v>47000</v>
      </c>
      <c r="F165" s="57">
        <f>+E165*C165</f>
        <v>24910</v>
      </c>
      <c r="G165" s="57"/>
      <c r="H165" s="57"/>
      <c r="I165" s="57"/>
    </row>
    <row r="166" spans="1:9" ht="14.4">
      <c r="A166" s="11" t="s">
        <v>740</v>
      </c>
      <c r="B166" s="8" t="s">
        <v>741</v>
      </c>
      <c r="C166" s="27">
        <v>1.1299999999999999</v>
      </c>
      <c r="D166" s="12" t="s">
        <v>356</v>
      </c>
      <c r="E166" s="70">
        <f>+ARENP</f>
        <v>70500</v>
      </c>
      <c r="F166" s="71"/>
      <c r="G166" s="71">
        <f>+E166*C166</f>
        <v>79664.999999999985</v>
      </c>
      <c r="H166" s="71"/>
      <c r="I166" s="71"/>
    </row>
    <row r="167" spans="1:9" ht="14.4">
      <c r="A167" s="45" t="s">
        <v>172</v>
      </c>
      <c r="B167" s="8" t="s">
        <v>189</v>
      </c>
      <c r="C167" s="27">
        <v>1</v>
      </c>
      <c r="D167" s="4" t="s">
        <v>583</v>
      </c>
      <c r="E167" s="57">
        <f>+H174*0.05</f>
        <v>559.58489497000005</v>
      </c>
      <c r="F167" s="57"/>
      <c r="G167" s="57"/>
      <c r="H167" s="57"/>
      <c r="I167" s="57">
        <f>+E167*C167</f>
        <v>559.58489497000005</v>
      </c>
    </row>
    <row r="168" spans="1:9" ht="14.4">
      <c r="A168" s="45" t="s">
        <v>368</v>
      </c>
      <c r="B168" s="8" t="s">
        <v>892</v>
      </c>
      <c r="C168" s="27">
        <v>7.2</v>
      </c>
      <c r="D168" s="4" t="s">
        <v>370</v>
      </c>
      <c r="E168" s="57">
        <f>+CEMEG</f>
        <v>25500</v>
      </c>
      <c r="F168" s="57"/>
      <c r="G168" s="57">
        <f>+E168*C168</f>
        <v>183600</v>
      </c>
      <c r="H168" s="57"/>
      <c r="I168" s="57"/>
    </row>
    <row r="169" spans="1:9" ht="14.4">
      <c r="A169" s="45" t="s">
        <v>1015</v>
      </c>
      <c r="B169" s="8" t="s">
        <v>138</v>
      </c>
      <c r="C169" s="27">
        <v>0.15</v>
      </c>
      <c r="D169" s="4" t="s">
        <v>356</v>
      </c>
      <c r="E169" s="57">
        <f>+TRANAG</f>
        <v>30600</v>
      </c>
      <c r="F169" s="57"/>
      <c r="G169" s="57"/>
      <c r="H169" s="57"/>
      <c r="I169" s="57">
        <f>+E169*C169</f>
        <v>4590</v>
      </c>
    </row>
    <row r="170" spans="1:9" ht="14.4">
      <c r="A170" s="45" t="s">
        <v>72</v>
      </c>
      <c r="B170" s="8" t="s">
        <v>72</v>
      </c>
      <c r="C170" s="27">
        <v>70</v>
      </c>
      <c r="D170" s="4" t="s">
        <v>73</v>
      </c>
      <c r="E170" s="57">
        <f>+AGUA</f>
        <v>10.199999999999999</v>
      </c>
      <c r="F170" s="57"/>
      <c r="G170" s="57">
        <f>+E170*C170</f>
        <v>714</v>
      </c>
      <c r="H170" s="57"/>
      <c r="I170" s="57"/>
    </row>
    <row r="171" spans="1:9" ht="14.4">
      <c r="A171" s="45" t="s">
        <v>297</v>
      </c>
      <c r="B171" s="8" t="s">
        <v>407</v>
      </c>
      <c r="C171" s="27">
        <v>1</v>
      </c>
      <c r="D171" s="4" t="s">
        <v>583</v>
      </c>
      <c r="E171" s="57">
        <v>3000</v>
      </c>
      <c r="F171" s="57"/>
      <c r="G171" s="57"/>
      <c r="H171" s="57"/>
      <c r="I171" s="57">
        <f>+E171*C171</f>
        <v>3000</v>
      </c>
    </row>
    <row r="172" spans="1:9" ht="16.8">
      <c r="A172" s="45" t="s">
        <v>347</v>
      </c>
      <c r="B172" s="8" t="str">
        <f>IF(PRESTA&gt;0,"AYUD. ENTENDIDO (INCLUYE "&amp;""&amp;PRESTA*100&amp;"% PRESTACIONES)",0)</f>
        <v>AYUD. ENTENDIDO (INCLUYE 82,22% PRESTACIONES)</v>
      </c>
      <c r="C172" s="27">
        <f>0.6/8</f>
        <v>7.4999999999999997E-2</v>
      </c>
      <c r="D172" s="243" t="s">
        <v>346</v>
      </c>
      <c r="E172" s="65">
        <f>+AYUDA</f>
        <v>65389.695592000004</v>
      </c>
      <c r="F172" s="65"/>
      <c r="G172" s="65"/>
      <c r="H172" s="65">
        <f>+E172*C172</f>
        <v>4904.2271694000001</v>
      </c>
      <c r="I172" s="65"/>
    </row>
    <row r="173" spans="1:9" ht="16.8">
      <c r="A173" s="45" t="s">
        <v>348</v>
      </c>
      <c r="B173" s="8" t="str">
        <f>IF(PRESTA&gt;0,"AYUD. RASO (INCLUYE "&amp;""&amp;PRESTA*100&amp;"% PRESTACIONES)",0)</f>
        <v>AYUD. RASO (INCLUYE 82,22% PRESTACIONES)</v>
      </c>
      <c r="C173" s="27">
        <v>0.125</v>
      </c>
      <c r="D173" s="243" t="s">
        <v>346</v>
      </c>
      <c r="E173" s="65">
        <f>+AYUDR</f>
        <v>50299.76584</v>
      </c>
      <c r="F173" s="65"/>
      <c r="G173" s="65"/>
      <c r="H173" s="65">
        <f>+E173*C173</f>
        <v>6287.47073</v>
      </c>
      <c r="I173" s="65"/>
    </row>
    <row r="174" spans="1:9" ht="16.8">
      <c r="A174" s="20" t="s">
        <v>190</v>
      </c>
      <c r="B174" s="39">
        <f>SUM(F174:I174)</f>
        <v>308230.28279437002</v>
      </c>
      <c r="C174" s="34"/>
      <c r="D174" s="4"/>
      <c r="E174" s="57"/>
      <c r="F174" s="57">
        <f>SUM(F165:F173)</f>
        <v>24910</v>
      </c>
      <c r="G174" s="57">
        <f>SUM(G165:G173)</f>
        <v>263979</v>
      </c>
      <c r="H174" s="57">
        <f>SUM(H165:H173)</f>
        <v>11191.6978994</v>
      </c>
      <c r="I174" s="57">
        <f>SUM(I165:I173)</f>
        <v>8149.5848949700003</v>
      </c>
    </row>
    <row r="175" spans="1:9" ht="16.8">
      <c r="A175" s="21" t="str">
        <f>IF(AIU&gt;0,"+"&amp;""&amp;AIU*100&amp;"% AIU:",0)</f>
        <v>+29,572249606751% AIU:</v>
      </c>
      <c r="B175" s="39">
        <f>+B174*AIU</f>
        <v>91150.628591545552</v>
      </c>
      <c r="C175" s="35"/>
      <c r="D175" s="29"/>
      <c r="E175" s="66"/>
      <c r="F175" s="66"/>
      <c r="G175" s="66"/>
      <c r="H175" s="66"/>
      <c r="I175" s="66"/>
    </row>
    <row r="176" spans="1:9" ht="16.8">
      <c r="A176" s="20" t="s">
        <v>191</v>
      </c>
      <c r="B176" s="39">
        <f>INT(+B174+B175)</f>
        <v>399380</v>
      </c>
      <c r="C176" s="21" t="s">
        <v>356</v>
      </c>
      <c r="D176" s="29"/>
      <c r="E176" s="66"/>
      <c r="F176" s="66"/>
      <c r="G176" s="66"/>
      <c r="H176" s="66"/>
      <c r="I176" s="66"/>
    </row>
    <row r="177" spans="1:9">
      <c r="A177" s="36"/>
      <c r="B177" s="38"/>
      <c r="C177" s="37"/>
    </row>
    <row r="178" spans="1:9" ht="19.2">
      <c r="A178" s="26"/>
      <c r="B178" s="3313" t="s">
        <v>945</v>
      </c>
      <c r="C178" s="3313"/>
      <c r="D178" s="3313"/>
      <c r="E178" s="3313"/>
      <c r="F178" s="3313"/>
      <c r="G178" s="3313"/>
      <c r="H178" s="3313"/>
      <c r="I178" s="3313"/>
    </row>
    <row r="179" spans="1:9" ht="14.4">
      <c r="A179" s="45"/>
      <c r="B179" s="24"/>
      <c r="C179" s="9" t="s">
        <v>140</v>
      </c>
      <c r="D179" s="9" t="s">
        <v>343</v>
      </c>
      <c r="E179" s="57" t="s">
        <v>344</v>
      </c>
      <c r="F179" s="57" t="s">
        <v>482</v>
      </c>
      <c r="G179" s="57" t="s">
        <v>483</v>
      </c>
      <c r="H179" s="57" t="s">
        <v>170</v>
      </c>
      <c r="I179" s="57" t="s">
        <v>171</v>
      </c>
    </row>
    <row r="180" spans="1:9" ht="14.4">
      <c r="A180" s="45" t="s">
        <v>715</v>
      </c>
      <c r="B180" s="8" t="s">
        <v>716</v>
      </c>
      <c r="C180" s="27">
        <v>0.53</v>
      </c>
      <c r="D180" s="4" t="s">
        <v>717</v>
      </c>
      <c r="E180" s="57">
        <f>+CONM1</f>
        <v>47000</v>
      </c>
      <c r="F180" s="57">
        <f>+E180*C180</f>
        <v>24910</v>
      </c>
      <c r="G180" s="57"/>
      <c r="H180" s="57"/>
      <c r="I180" s="57"/>
    </row>
    <row r="181" spans="1:9" ht="14.4">
      <c r="A181" s="11" t="s">
        <v>740</v>
      </c>
      <c r="B181" s="8" t="s">
        <v>741</v>
      </c>
      <c r="C181" s="27">
        <v>1.25</v>
      </c>
      <c r="D181" s="12" t="s">
        <v>356</v>
      </c>
      <c r="E181" s="70">
        <f>+ARENP</f>
        <v>70500</v>
      </c>
      <c r="F181" s="71"/>
      <c r="G181" s="71">
        <f>+E181*C181</f>
        <v>88125</v>
      </c>
      <c r="H181" s="71"/>
      <c r="I181" s="71"/>
    </row>
    <row r="182" spans="1:9" ht="14.4">
      <c r="A182" s="45" t="s">
        <v>172</v>
      </c>
      <c r="B182" s="8" t="s">
        <v>189</v>
      </c>
      <c r="C182" s="27">
        <v>1</v>
      </c>
      <c r="D182" s="4" t="s">
        <v>583</v>
      </c>
      <c r="E182" s="57">
        <f>+H189*0.05</f>
        <v>559.58489497000005</v>
      </c>
      <c r="F182" s="57"/>
      <c r="G182" s="57"/>
      <c r="H182" s="57"/>
      <c r="I182" s="57">
        <f>+E182*C182</f>
        <v>559.58489497000005</v>
      </c>
    </row>
    <row r="183" spans="1:9" ht="14.4">
      <c r="A183" s="45" t="s">
        <v>368</v>
      </c>
      <c r="B183" s="8" t="s">
        <v>892</v>
      </c>
      <c r="C183" s="27">
        <v>4.2</v>
      </c>
      <c r="D183" s="4" t="s">
        <v>370</v>
      </c>
      <c r="E183" s="57">
        <f>+CEMEG</f>
        <v>25500</v>
      </c>
      <c r="F183" s="57"/>
      <c r="G183" s="57">
        <f>+E183*C183</f>
        <v>107100</v>
      </c>
      <c r="H183" s="57"/>
      <c r="I183" s="57"/>
    </row>
    <row r="184" spans="1:9" ht="14.4">
      <c r="A184" s="45" t="s">
        <v>1015</v>
      </c>
      <c r="B184" s="8" t="s">
        <v>138</v>
      </c>
      <c r="C184" s="27">
        <v>0.15</v>
      </c>
      <c r="D184" s="4" t="s">
        <v>356</v>
      </c>
      <c r="E184" s="57">
        <f>+TRANAG</f>
        <v>30600</v>
      </c>
      <c r="F184" s="57"/>
      <c r="G184" s="57"/>
      <c r="H184" s="57"/>
      <c r="I184" s="57">
        <f>+E184*C184</f>
        <v>4590</v>
      </c>
    </row>
    <row r="185" spans="1:9" ht="14.4">
      <c r="A185" s="45" t="s">
        <v>72</v>
      </c>
      <c r="B185" s="8" t="s">
        <v>72</v>
      </c>
      <c r="C185" s="27">
        <v>70</v>
      </c>
      <c r="D185" s="4" t="s">
        <v>73</v>
      </c>
      <c r="E185" s="57">
        <f>+AGUA</f>
        <v>10.199999999999999</v>
      </c>
      <c r="F185" s="57"/>
      <c r="G185" s="57">
        <f>+E185*C185</f>
        <v>714</v>
      </c>
      <c r="H185" s="57"/>
      <c r="I185" s="57"/>
    </row>
    <row r="186" spans="1:9" ht="14.4">
      <c r="A186" s="45" t="s">
        <v>297</v>
      </c>
      <c r="B186" s="8" t="s">
        <v>407</v>
      </c>
      <c r="C186" s="27">
        <v>1</v>
      </c>
      <c r="D186" s="4" t="s">
        <v>583</v>
      </c>
      <c r="E186" s="57">
        <v>3000</v>
      </c>
      <c r="F186" s="57"/>
      <c r="G186" s="57"/>
      <c r="H186" s="57"/>
      <c r="I186" s="57">
        <f>+E186*C186</f>
        <v>3000</v>
      </c>
    </row>
    <row r="187" spans="1:9" ht="16.8">
      <c r="A187" s="45" t="s">
        <v>347</v>
      </c>
      <c r="B187" s="8" t="str">
        <f>IF(PRESTA&gt;0,"AYUD. ENTENDIDO (INCLUYE "&amp;""&amp;PRESTA*100&amp;"% PRESTACIONES)",0)</f>
        <v>AYUD. ENTENDIDO (INCLUYE 82,22% PRESTACIONES)</v>
      </c>
      <c r="C187" s="27">
        <f>0.6/8</f>
        <v>7.4999999999999997E-2</v>
      </c>
      <c r="D187" s="243" t="s">
        <v>346</v>
      </c>
      <c r="E187" s="65">
        <f>+AYUDA</f>
        <v>65389.695592000004</v>
      </c>
      <c r="F187" s="65"/>
      <c r="G187" s="65"/>
      <c r="H187" s="65">
        <f>+E187*C187</f>
        <v>4904.2271694000001</v>
      </c>
      <c r="I187" s="65"/>
    </row>
    <row r="188" spans="1:9" ht="16.8">
      <c r="A188" s="45" t="s">
        <v>348</v>
      </c>
      <c r="B188" s="8" t="str">
        <f>IF(PRESTA&gt;0,"AYUD. RASO (INCLUYE "&amp;""&amp;PRESTA*100&amp;"% PRESTACIONES)",0)</f>
        <v>AYUD. RASO (INCLUYE 82,22% PRESTACIONES)</v>
      </c>
      <c r="C188" s="27">
        <v>0.125</v>
      </c>
      <c r="D188" s="243" t="s">
        <v>346</v>
      </c>
      <c r="E188" s="65">
        <f>+AYUDR</f>
        <v>50299.76584</v>
      </c>
      <c r="F188" s="65"/>
      <c r="G188" s="65"/>
      <c r="H188" s="65">
        <f>+E188*C188</f>
        <v>6287.47073</v>
      </c>
      <c r="I188" s="65"/>
    </row>
    <row r="189" spans="1:9" ht="16.8">
      <c r="A189" s="20" t="s">
        <v>190</v>
      </c>
      <c r="B189" s="39">
        <f>SUM(F189:I189)</f>
        <v>240190.28279437</v>
      </c>
      <c r="C189" s="34"/>
      <c r="D189" s="4"/>
      <c r="E189" s="57"/>
      <c r="F189" s="57">
        <f>SUM(F180:F188)</f>
        <v>24910</v>
      </c>
      <c r="G189" s="57">
        <f>SUM(G180:G188)</f>
        <v>195939</v>
      </c>
      <c r="H189" s="57">
        <f>SUM(H180:H188)</f>
        <v>11191.6978994</v>
      </c>
      <c r="I189" s="57">
        <f>SUM(I180:I188)</f>
        <v>8149.5848949700003</v>
      </c>
    </row>
    <row r="190" spans="1:9" ht="16.8">
      <c r="A190" s="21" t="str">
        <f>IF(AIU&gt;0,"+"&amp;""&amp;AIU*100&amp;"% AIU:",0)</f>
        <v>+29,572249606751% AIU:</v>
      </c>
      <c r="B190" s="39">
        <f>+B189*AIU</f>
        <v>71029.669959112172</v>
      </c>
      <c r="C190" s="35"/>
      <c r="D190" s="29"/>
      <c r="E190" s="66"/>
      <c r="F190" s="66"/>
      <c r="G190" s="66"/>
      <c r="H190" s="66"/>
      <c r="I190" s="66"/>
    </row>
    <row r="191" spans="1:9" ht="16.8">
      <c r="A191" s="20" t="s">
        <v>191</v>
      </c>
      <c r="B191" s="39">
        <f>INT(+B189+B190)</f>
        <v>311219</v>
      </c>
      <c r="C191" s="21" t="s">
        <v>356</v>
      </c>
      <c r="D191" s="29"/>
      <c r="E191" s="66"/>
      <c r="F191" s="66"/>
      <c r="G191" s="66"/>
      <c r="H191" s="66"/>
      <c r="I191" s="66"/>
    </row>
    <row r="197" spans="1:2" ht="19.2">
      <c r="A197" s="1116" t="s">
        <v>4332</v>
      </c>
      <c r="B197" s="932" t="s">
        <v>4331</v>
      </c>
    </row>
    <row r="198" spans="1:2" ht="19.2">
      <c r="A198" s="932"/>
      <c r="B198" s="932" t="s">
        <v>4330</v>
      </c>
    </row>
    <row r="199" spans="1:2" ht="19.2">
      <c r="A199" s="932"/>
      <c r="B199" s="932"/>
    </row>
    <row r="200" spans="1:2" ht="19.2">
      <c r="A200" s="932"/>
      <c r="B200" s="932"/>
    </row>
    <row r="201" spans="1:2" ht="19.2">
      <c r="A201" s="932"/>
      <c r="B201" s="932"/>
    </row>
    <row r="202" spans="1:2" ht="19.2">
      <c r="A202" s="933"/>
      <c r="B202" s="933"/>
    </row>
    <row r="203" spans="1:2" ht="19.2">
      <c r="A203" s="1117" t="s">
        <v>4333</v>
      </c>
      <c r="B203" s="933" t="s">
        <v>4334</v>
      </c>
    </row>
    <row r="204" spans="1:2" ht="19.2">
      <c r="A204" s="933"/>
      <c r="B204" s="933" t="s">
        <v>4335</v>
      </c>
    </row>
    <row r="205" spans="1:2" ht="19.2">
      <c r="A205" s="933"/>
      <c r="B205" s="933"/>
    </row>
    <row r="206" spans="1:2" ht="19.2">
      <c r="A206" s="933"/>
      <c r="B206" s="933"/>
    </row>
    <row r="207" spans="1:2" ht="19.2">
      <c r="A207" s="933"/>
      <c r="B207" s="933"/>
    </row>
    <row r="208" spans="1:2" ht="19.2">
      <c r="A208" s="933"/>
      <c r="B208" s="933"/>
    </row>
    <row r="209" spans="1:2" ht="19.2">
      <c r="A209" s="933" t="s">
        <v>4336</v>
      </c>
      <c r="B209" s="933" t="s">
        <v>4338</v>
      </c>
    </row>
    <row r="210" spans="1:2" ht="19.2">
      <c r="A210" s="933"/>
      <c r="B210" s="933" t="s">
        <v>4337</v>
      </c>
    </row>
    <row r="211" spans="1:2">
      <c r="A211" s="103"/>
      <c r="B211" s="56"/>
    </row>
  </sheetData>
  <mergeCells count="20">
    <mergeCell ref="B61:I61"/>
    <mergeCell ref="A2:A4"/>
    <mergeCell ref="B2:G2"/>
    <mergeCell ref="H2:I4"/>
    <mergeCell ref="B3:G3"/>
    <mergeCell ref="B4:C4"/>
    <mergeCell ref="D4:G4"/>
    <mergeCell ref="A6:I6"/>
    <mergeCell ref="A8:I8"/>
    <mergeCell ref="B10:I10"/>
    <mergeCell ref="B27:I27"/>
    <mergeCell ref="B44:I44"/>
    <mergeCell ref="B163:I163"/>
    <mergeCell ref="B178:I178"/>
    <mergeCell ref="B78:I78"/>
    <mergeCell ref="B95:I95"/>
    <mergeCell ref="B112:I112"/>
    <mergeCell ref="B129:I129"/>
    <mergeCell ref="A146:I146"/>
    <mergeCell ref="B148:I148"/>
  </mergeCells>
  <pageMargins left="0.70866141732283472" right="0.70866141732283472"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C1074"/>
  <sheetViews>
    <sheetView topLeftCell="A34" workbookViewId="0">
      <selection sqref="A1:C1"/>
    </sheetView>
  </sheetViews>
  <sheetFormatPr baseColWidth="10" defaultColWidth="10.6640625" defaultRowHeight="13.2"/>
  <cols>
    <col min="1" max="1" width="16.88671875" style="525" customWidth="1"/>
    <col min="2" max="2" width="89.33203125" style="526" bestFit="1" customWidth="1"/>
    <col min="3" max="3" width="14.6640625" style="527" customWidth="1"/>
  </cols>
  <sheetData>
    <row r="1" spans="1:3">
      <c r="A1" s="3498" t="s">
        <v>1518</v>
      </c>
      <c r="B1" s="3498"/>
      <c r="C1" s="3498"/>
    </row>
    <row r="3" spans="1:3">
      <c r="A3" s="3499" t="s">
        <v>1519</v>
      </c>
      <c r="B3" s="3499"/>
      <c r="C3" s="3499"/>
    </row>
    <row r="4" spans="1:3" ht="13.8" thickBot="1"/>
    <row r="5" spans="1:3" ht="27" thickTop="1">
      <c r="A5" s="528" t="s">
        <v>1520</v>
      </c>
      <c r="B5" s="570" t="s">
        <v>1521</v>
      </c>
      <c r="C5" s="529" t="s">
        <v>1522</v>
      </c>
    </row>
    <row r="6" spans="1:3">
      <c r="A6" s="530" t="s">
        <v>1523</v>
      </c>
      <c r="B6" s="557" t="s">
        <v>1523</v>
      </c>
      <c r="C6" s="532">
        <v>4025</v>
      </c>
    </row>
    <row r="7" spans="1:3">
      <c r="A7" s="530" t="s">
        <v>1524</v>
      </c>
      <c r="B7" s="557" t="s">
        <v>1525</v>
      </c>
      <c r="C7" s="532">
        <v>3500</v>
      </c>
    </row>
    <row r="8" spans="1:3" ht="16.8">
      <c r="A8" s="243" t="s">
        <v>1526</v>
      </c>
      <c r="B8" s="557" t="s">
        <v>1527</v>
      </c>
      <c r="C8" s="532">
        <v>15000</v>
      </c>
    </row>
    <row r="9" spans="1:3">
      <c r="A9" s="530" t="s">
        <v>1528</v>
      </c>
      <c r="B9" s="558" t="s">
        <v>1529</v>
      </c>
      <c r="C9" s="532">
        <v>680000</v>
      </c>
    </row>
    <row r="10" spans="1:3">
      <c r="A10" s="530" t="s">
        <v>1530</v>
      </c>
      <c r="B10" s="557" t="s">
        <v>1531</v>
      </c>
      <c r="C10" s="532">
        <v>23896</v>
      </c>
    </row>
    <row r="11" spans="1:3">
      <c r="A11" s="530" t="s">
        <v>1532</v>
      </c>
      <c r="B11" s="557" t="s">
        <v>1533</v>
      </c>
      <c r="C11" s="532">
        <v>20000</v>
      </c>
    </row>
    <row r="12" spans="1:3">
      <c r="A12" s="530" t="s">
        <v>1534</v>
      </c>
      <c r="B12" s="557" t="s">
        <v>1535</v>
      </c>
      <c r="C12" s="532">
        <f>20900*1.16</f>
        <v>24244</v>
      </c>
    </row>
    <row r="13" spans="1:3">
      <c r="A13" s="530" t="s">
        <v>1536</v>
      </c>
      <c r="B13" s="557" t="s">
        <v>1537</v>
      </c>
      <c r="C13" s="532">
        <v>18993.84</v>
      </c>
    </row>
    <row r="14" spans="1:3">
      <c r="A14" s="530" t="s">
        <v>1538</v>
      </c>
      <c r="B14" s="557" t="s">
        <v>1539</v>
      </c>
      <c r="C14" s="532">
        <v>18993.84</v>
      </c>
    </row>
    <row r="15" spans="1:3">
      <c r="A15" s="530" t="s">
        <v>1540</v>
      </c>
      <c r="B15" s="557" t="s">
        <v>1541</v>
      </c>
      <c r="C15" s="532">
        <v>18993.84</v>
      </c>
    </row>
    <row r="16" spans="1:3">
      <c r="A16" s="530" t="s">
        <v>1542</v>
      </c>
      <c r="B16" s="557" t="s">
        <v>1543</v>
      </c>
      <c r="C16" s="532">
        <v>2100</v>
      </c>
    </row>
    <row r="17" spans="1:3">
      <c r="A17" s="530" t="s">
        <v>1544</v>
      </c>
      <c r="B17" s="557" t="s">
        <v>1545</v>
      </c>
      <c r="C17" s="532">
        <v>8900</v>
      </c>
    </row>
    <row r="18" spans="1:3">
      <c r="A18" s="530" t="s">
        <v>1546</v>
      </c>
      <c r="B18" s="557" t="s">
        <v>1547</v>
      </c>
      <c r="C18" s="532">
        <v>108000</v>
      </c>
    </row>
    <row r="19" spans="1:3">
      <c r="A19" s="530" t="s">
        <v>1548</v>
      </c>
      <c r="B19" s="557" t="s">
        <v>1549</v>
      </c>
      <c r="C19" s="532">
        <v>8036.48</v>
      </c>
    </row>
    <row r="20" spans="1:3">
      <c r="A20" s="530" t="s">
        <v>1550</v>
      </c>
      <c r="B20" s="557" t="s">
        <v>1551</v>
      </c>
      <c r="C20" s="533">
        <v>5600</v>
      </c>
    </row>
    <row r="21" spans="1:3">
      <c r="A21" s="530" t="s">
        <v>1552</v>
      </c>
      <c r="B21" s="557" t="s">
        <v>1553</v>
      </c>
      <c r="C21" s="532">
        <v>3595.9999999999995</v>
      </c>
    </row>
    <row r="22" spans="1:3">
      <c r="A22" s="530" t="s">
        <v>1554</v>
      </c>
      <c r="B22" s="559" t="s">
        <v>1555</v>
      </c>
      <c r="C22" s="532">
        <f>635*1.16</f>
        <v>736.59999999999991</v>
      </c>
    </row>
    <row r="23" spans="1:3">
      <c r="A23" s="530" t="s">
        <v>1556</v>
      </c>
      <c r="B23" s="559" t="s">
        <v>1557</v>
      </c>
      <c r="C23" s="532">
        <f>867*1.16</f>
        <v>1005.7199999999999</v>
      </c>
    </row>
    <row r="24" spans="1:3">
      <c r="A24" s="530" t="s">
        <v>1558</v>
      </c>
      <c r="B24" s="559" t="s">
        <v>1559</v>
      </c>
      <c r="C24" s="532">
        <f>967*1.16</f>
        <v>1121.72</v>
      </c>
    </row>
    <row r="25" spans="1:3">
      <c r="A25" s="530" t="s">
        <v>1560</v>
      </c>
      <c r="B25" s="559" t="s">
        <v>1561</v>
      </c>
      <c r="C25" s="532">
        <f>467*1.16</f>
        <v>541.71999999999991</v>
      </c>
    </row>
    <row r="26" spans="1:3">
      <c r="A26" s="530" t="s">
        <v>1562</v>
      </c>
      <c r="B26" s="559" t="s">
        <v>1563</v>
      </c>
      <c r="C26" s="532">
        <v>100000</v>
      </c>
    </row>
    <row r="27" spans="1:3">
      <c r="A27" s="530" t="s">
        <v>1564</v>
      </c>
      <c r="B27" s="560" t="s">
        <v>1565</v>
      </c>
      <c r="C27" s="532">
        <v>2500000</v>
      </c>
    </row>
    <row r="28" spans="1:3">
      <c r="A28" s="530" t="s">
        <v>1566</v>
      </c>
      <c r="B28" s="559" t="s">
        <v>1567</v>
      </c>
      <c r="C28" s="532">
        <v>2550000</v>
      </c>
    </row>
    <row r="29" spans="1:3">
      <c r="A29" s="530" t="s">
        <v>1568</v>
      </c>
      <c r="B29" s="557" t="s">
        <v>1569</v>
      </c>
      <c r="C29" s="532">
        <v>2228.3599999999997</v>
      </c>
    </row>
    <row r="30" spans="1:3">
      <c r="A30" s="530" t="s">
        <v>1570</v>
      </c>
      <c r="B30" s="557" t="s">
        <v>1571</v>
      </c>
      <c r="C30" s="532">
        <f>936435*1.19</f>
        <v>1114357.6499999999</v>
      </c>
    </row>
    <row r="31" spans="1:3" ht="66">
      <c r="A31" s="530" t="s">
        <v>1572</v>
      </c>
      <c r="B31" s="559" t="s">
        <v>1573</v>
      </c>
      <c r="C31" s="532">
        <v>3779999.9999999995</v>
      </c>
    </row>
    <row r="32" spans="1:3" ht="66">
      <c r="A32" s="530" t="s">
        <v>1574</v>
      </c>
      <c r="B32" s="559" t="s">
        <v>1575</v>
      </c>
      <c r="C32" s="532">
        <v>1805000</v>
      </c>
    </row>
    <row r="33" spans="1:3">
      <c r="A33" s="530" t="s">
        <v>347</v>
      </c>
      <c r="B33" s="557" t="s">
        <v>1576</v>
      </c>
      <c r="C33" s="532">
        <v>42079.108500000002</v>
      </c>
    </row>
    <row r="34" spans="1:3" ht="16.8">
      <c r="A34" s="535" t="s">
        <v>1577</v>
      </c>
      <c r="B34" s="561" t="s">
        <v>1578</v>
      </c>
      <c r="C34" s="532">
        <f>900000*1.16</f>
        <v>1043999.9999999999</v>
      </c>
    </row>
    <row r="35" spans="1:3">
      <c r="A35" s="530" t="s">
        <v>1579</v>
      </c>
      <c r="B35" s="559" t="s">
        <v>1580</v>
      </c>
      <c r="C35" s="532">
        <v>300000</v>
      </c>
    </row>
    <row r="36" spans="1:3">
      <c r="A36" s="530" t="s">
        <v>1581</v>
      </c>
      <c r="B36" s="559" t="s">
        <v>1582</v>
      </c>
      <c r="C36" s="532">
        <f>1228997*1.19</f>
        <v>1462506.43</v>
      </c>
    </row>
    <row r="37" spans="1:3">
      <c r="A37" s="530" t="s">
        <v>1583</v>
      </c>
      <c r="B37" s="559" t="s">
        <v>1584</v>
      </c>
      <c r="C37" s="532">
        <v>280000</v>
      </c>
    </row>
    <row r="38" spans="1:3">
      <c r="A38" s="530" t="s">
        <v>1585</v>
      </c>
      <c r="B38" s="559" t="s">
        <v>1586</v>
      </c>
      <c r="C38" s="532">
        <f>4973685*1.19</f>
        <v>5918685.1499999994</v>
      </c>
    </row>
    <row r="39" spans="1:3">
      <c r="A39" s="530" t="s">
        <v>1587</v>
      </c>
      <c r="B39" s="559" t="s">
        <v>1588</v>
      </c>
      <c r="C39" s="532">
        <v>154880</v>
      </c>
    </row>
    <row r="40" spans="1:3">
      <c r="A40" s="530" t="s">
        <v>1589</v>
      </c>
      <c r="B40" s="559" t="s">
        <v>1590</v>
      </c>
      <c r="C40" s="532">
        <v>125000</v>
      </c>
    </row>
    <row r="41" spans="1:3">
      <c r="A41" s="530" t="s">
        <v>1591</v>
      </c>
      <c r="B41" s="557" t="s">
        <v>1592</v>
      </c>
      <c r="C41" s="532">
        <v>535000</v>
      </c>
    </row>
    <row r="42" spans="1:3">
      <c r="A42" s="530" t="s">
        <v>1593</v>
      </c>
      <c r="B42" s="557" t="s">
        <v>1594</v>
      </c>
      <c r="C42" s="532">
        <v>1900000</v>
      </c>
    </row>
    <row r="43" spans="1:3">
      <c r="A43" s="530" t="s">
        <v>1595</v>
      </c>
      <c r="B43" s="557" t="s">
        <v>1596</v>
      </c>
      <c r="C43" s="532">
        <v>5754.7599999999993</v>
      </c>
    </row>
    <row r="44" spans="1:3">
      <c r="A44" s="530" t="s">
        <v>1597</v>
      </c>
      <c r="B44" s="557" t="s">
        <v>1598</v>
      </c>
      <c r="C44" s="532">
        <v>5754.7599999999993</v>
      </c>
    </row>
    <row r="45" spans="1:3">
      <c r="A45" s="530" t="s">
        <v>1599</v>
      </c>
      <c r="B45" s="557" t="s">
        <v>1600</v>
      </c>
      <c r="C45" s="532">
        <v>21135.199999999997</v>
      </c>
    </row>
    <row r="46" spans="1:3">
      <c r="A46" s="530" t="s">
        <v>1601</v>
      </c>
      <c r="B46" s="557" t="s">
        <v>1602</v>
      </c>
      <c r="C46" s="532">
        <v>11062.92</v>
      </c>
    </row>
    <row r="47" spans="1:3">
      <c r="A47" s="530" t="s">
        <v>1603</v>
      </c>
      <c r="B47" s="557" t="s">
        <v>1604</v>
      </c>
      <c r="C47" s="532">
        <f>111240*1.19</f>
        <v>132375.6</v>
      </c>
    </row>
    <row r="48" spans="1:3">
      <c r="A48" s="530" t="s">
        <v>1605</v>
      </c>
      <c r="B48" s="559" t="s">
        <v>1606</v>
      </c>
      <c r="C48" s="532">
        <v>7000</v>
      </c>
    </row>
    <row r="49" spans="1:3">
      <c r="A49" s="530" t="s">
        <v>1607</v>
      </c>
      <c r="B49" s="559" t="s">
        <v>1608</v>
      </c>
      <c r="C49" s="532">
        <v>48000</v>
      </c>
    </row>
    <row r="50" spans="1:3">
      <c r="A50" s="530" t="s">
        <v>1609</v>
      </c>
      <c r="B50" s="559" t="s">
        <v>1610</v>
      </c>
      <c r="C50" s="532">
        <v>3500000</v>
      </c>
    </row>
    <row r="51" spans="1:3">
      <c r="A51" s="530" t="s">
        <v>1611</v>
      </c>
      <c r="B51" s="559" t="s">
        <v>1612</v>
      </c>
      <c r="C51" s="532">
        <v>3000</v>
      </c>
    </row>
    <row r="52" spans="1:3">
      <c r="A52" s="530" t="s">
        <v>1613</v>
      </c>
      <c r="B52" s="559" t="s">
        <v>1614</v>
      </c>
      <c r="C52" s="532">
        <v>23000</v>
      </c>
    </row>
    <row r="53" spans="1:3">
      <c r="A53" s="530" t="s">
        <v>1615</v>
      </c>
      <c r="B53" s="557" t="s">
        <v>1616</v>
      </c>
      <c r="C53" s="532">
        <f>101970*1.19</f>
        <v>121344.29999999999</v>
      </c>
    </row>
    <row r="54" spans="1:3">
      <c r="A54" s="530" t="s">
        <v>1617</v>
      </c>
      <c r="B54" s="557" t="s">
        <v>1618</v>
      </c>
      <c r="C54" s="532">
        <f>103000*1.19</f>
        <v>122570</v>
      </c>
    </row>
    <row r="55" spans="1:3">
      <c r="A55" s="530" t="s">
        <v>1619</v>
      </c>
      <c r="B55" s="562" t="s">
        <v>1620</v>
      </c>
      <c r="C55" s="532">
        <f>103000*1.19</f>
        <v>122570</v>
      </c>
    </row>
    <row r="56" spans="1:3">
      <c r="A56" s="530" t="s">
        <v>1621</v>
      </c>
      <c r="B56" s="562" t="s">
        <v>1622</v>
      </c>
      <c r="C56" s="532">
        <v>210000</v>
      </c>
    </row>
    <row r="57" spans="1:3">
      <c r="A57" s="530" t="s">
        <v>1623</v>
      </c>
      <c r="B57" s="562" t="s">
        <v>1624</v>
      </c>
      <c r="C57" s="532">
        <f>604000*1.19</f>
        <v>718760</v>
      </c>
    </row>
    <row r="58" spans="1:3">
      <c r="A58" s="530" t="s">
        <v>1625</v>
      </c>
      <c r="B58" s="562" t="s">
        <v>1626</v>
      </c>
      <c r="C58" s="532">
        <v>265000</v>
      </c>
    </row>
    <row r="59" spans="1:3">
      <c r="A59" s="530" t="s">
        <v>1627</v>
      </c>
      <c r="B59" s="562" t="s">
        <v>1628</v>
      </c>
      <c r="C59" s="532">
        <f>328000*1.19</f>
        <v>390320</v>
      </c>
    </row>
    <row r="60" spans="1:3">
      <c r="A60" s="530" t="s">
        <v>1629</v>
      </c>
      <c r="B60" s="563" t="s">
        <v>1630</v>
      </c>
      <c r="C60" s="532">
        <f>498000*1.19</f>
        <v>592620</v>
      </c>
    </row>
    <row r="61" spans="1:3">
      <c r="A61" s="530" t="s">
        <v>1631</v>
      </c>
      <c r="B61" s="563" t="s">
        <v>1632</v>
      </c>
      <c r="C61" s="532">
        <v>425000</v>
      </c>
    </row>
    <row r="62" spans="1:3">
      <c r="A62" s="530" t="s">
        <v>1633</v>
      </c>
      <c r="B62" s="563" t="s">
        <v>1634</v>
      </c>
      <c r="C62" s="532">
        <v>560000</v>
      </c>
    </row>
    <row r="63" spans="1:3">
      <c r="A63" s="530" t="s">
        <v>1635</v>
      </c>
      <c r="B63" s="563" t="s">
        <v>1636</v>
      </c>
      <c r="C63" s="532">
        <v>760000</v>
      </c>
    </row>
    <row r="64" spans="1:3">
      <c r="A64" s="530" t="s">
        <v>1637</v>
      </c>
      <c r="B64" s="563" t="s">
        <v>1638</v>
      </c>
      <c r="C64" s="532">
        <f>604000*1.19</f>
        <v>718760</v>
      </c>
    </row>
    <row r="65" spans="1:3">
      <c r="A65" s="530" t="s">
        <v>1639</v>
      </c>
      <c r="B65" s="563" t="s">
        <v>1640</v>
      </c>
      <c r="C65" s="532">
        <v>780000</v>
      </c>
    </row>
    <row r="66" spans="1:3">
      <c r="A66" s="539" t="s">
        <v>1641</v>
      </c>
      <c r="B66" s="562" t="s">
        <v>1642</v>
      </c>
      <c r="C66" s="532">
        <v>1000000</v>
      </c>
    </row>
    <row r="67" spans="1:3">
      <c r="A67" s="540" t="s">
        <v>1643</v>
      </c>
      <c r="B67" s="563" t="s">
        <v>1644</v>
      </c>
      <c r="C67" s="532">
        <f>2317000*1.19</f>
        <v>2757230</v>
      </c>
    </row>
    <row r="68" spans="1:3">
      <c r="A68" s="539" t="s">
        <v>1645</v>
      </c>
      <c r="B68" s="564" t="s">
        <v>1646</v>
      </c>
      <c r="C68" s="532">
        <v>4200000</v>
      </c>
    </row>
    <row r="69" spans="1:3">
      <c r="A69" s="530" t="s">
        <v>1627</v>
      </c>
      <c r="B69" s="563" t="s">
        <v>1647</v>
      </c>
      <c r="C69" s="532">
        <v>368000</v>
      </c>
    </row>
    <row r="70" spans="1:3">
      <c r="A70" s="539" t="s">
        <v>1648</v>
      </c>
      <c r="B70" s="562" t="s">
        <v>1649</v>
      </c>
      <c r="C70" s="532">
        <v>325000</v>
      </c>
    </row>
    <row r="71" spans="1:3">
      <c r="A71" s="530" t="s">
        <v>1650</v>
      </c>
      <c r="B71" s="563" t="s">
        <v>1651</v>
      </c>
      <c r="C71" s="532">
        <f>498200*1.19</f>
        <v>592858</v>
      </c>
    </row>
    <row r="72" spans="1:3">
      <c r="A72" s="530" t="s">
        <v>1652</v>
      </c>
      <c r="B72" s="559" t="s">
        <v>1653</v>
      </c>
      <c r="C72" s="532">
        <v>742400</v>
      </c>
    </row>
    <row r="73" spans="1:3">
      <c r="A73" s="530" t="s">
        <v>1654</v>
      </c>
      <c r="B73" s="557" t="s">
        <v>1655</v>
      </c>
      <c r="C73" s="532">
        <f>7585*1.19</f>
        <v>9026.15</v>
      </c>
    </row>
    <row r="74" spans="1:3">
      <c r="A74" s="530" t="s">
        <v>1656</v>
      </c>
      <c r="B74" s="557" t="s">
        <v>1657</v>
      </c>
      <c r="C74" s="532">
        <f>14000*1.16</f>
        <v>16239.999999999998</v>
      </c>
    </row>
    <row r="75" spans="1:3">
      <c r="A75" s="530" t="s">
        <v>1658</v>
      </c>
      <c r="B75" s="557" t="s">
        <v>1659</v>
      </c>
      <c r="C75" s="532">
        <f>26400*1.16</f>
        <v>30623.999999999996</v>
      </c>
    </row>
    <row r="76" spans="1:3">
      <c r="A76" s="530" t="s">
        <v>1660</v>
      </c>
      <c r="B76" s="557" t="s">
        <v>1661</v>
      </c>
      <c r="C76" s="532">
        <v>30624</v>
      </c>
    </row>
    <row r="77" spans="1:3">
      <c r="A77" s="530" t="s">
        <v>1625</v>
      </c>
      <c r="B77" s="557" t="s">
        <v>1662</v>
      </c>
      <c r="C77" s="532">
        <f>116390*1.19</f>
        <v>138504.1</v>
      </c>
    </row>
    <row r="78" spans="1:3">
      <c r="A78" s="530" t="s">
        <v>1663</v>
      </c>
      <c r="B78" s="557" t="s">
        <v>1664</v>
      </c>
      <c r="C78" s="532">
        <f>4230*1.16</f>
        <v>4906.7999999999993</v>
      </c>
    </row>
    <row r="79" spans="1:3">
      <c r="A79" s="530" t="s">
        <v>1665</v>
      </c>
      <c r="B79" s="557" t="s">
        <v>1666</v>
      </c>
      <c r="C79" s="532">
        <v>23000</v>
      </c>
    </row>
    <row r="80" spans="1:3">
      <c r="A80" s="530" t="s">
        <v>1667</v>
      </c>
      <c r="B80" s="557" t="s">
        <v>1668</v>
      </c>
      <c r="C80" s="532">
        <f>14300*1.16</f>
        <v>16588</v>
      </c>
    </row>
    <row r="81" spans="1:3">
      <c r="A81" s="530" t="s">
        <v>1669</v>
      </c>
      <c r="B81" s="557" t="s">
        <v>1670</v>
      </c>
      <c r="C81" s="532">
        <v>1000</v>
      </c>
    </row>
    <row r="82" spans="1:3" ht="16.8">
      <c r="A82" s="243" t="s">
        <v>1671</v>
      </c>
      <c r="B82" s="557" t="s">
        <v>1672</v>
      </c>
      <c r="C82" s="532">
        <v>5690</v>
      </c>
    </row>
    <row r="83" spans="1:3">
      <c r="A83" s="530" t="s">
        <v>1673</v>
      </c>
      <c r="B83" s="557" t="s">
        <v>1674</v>
      </c>
      <c r="C83" s="532">
        <v>7600</v>
      </c>
    </row>
    <row r="84" spans="1:3">
      <c r="A84" s="530" t="s">
        <v>1675</v>
      </c>
      <c r="B84" s="557" t="s">
        <v>1676</v>
      </c>
      <c r="C84" s="532">
        <v>8220</v>
      </c>
    </row>
    <row r="85" spans="1:3">
      <c r="A85" s="530" t="s">
        <v>1677</v>
      </c>
      <c r="B85" s="557" t="s">
        <v>1678</v>
      </c>
      <c r="C85" s="532">
        <f>1300*1.16</f>
        <v>1508</v>
      </c>
    </row>
    <row r="86" spans="1:3">
      <c r="A86" s="530" t="s">
        <v>1679</v>
      </c>
      <c r="B86" s="557" t="s">
        <v>1680</v>
      </c>
      <c r="C86" s="532">
        <f>1844*1.16</f>
        <v>2139.04</v>
      </c>
    </row>
    <row r="87" spans="1:3">
      <c r="A87" s="530" t="s">
        <v>1681</v>
      </c>
      <c r="B87" s="557" t="s">
        <v>1682</v>
      </c>
      <c r="C87" s="532">
        <f>2842*1.16</f>
        <v>3296.72</v>
      </c>
    </row>
    <row r="88" spans="1:3">
      <c r="A88" s="530" t="s">
        <v>1683</v>
      </c>
      <c r="B88" s="557" t="s">
        <v>1684</v>
      </c>
      <c r="C88" s="532">
        <f>5627*1.19</f>
        <v>6696.13</v>
      </c>
    </row>
    <row r="89" spans="1:3">
      <c r="A89" s="530" t="s">
        <v>1685</v>
      </c>
      <c r="B89" s="557" t="s">
        <v>1686</v>
      </c>
      <c r="C89" s="532">
        <f>635*1.16</f>
        <v>736.59999999999991</v>
      </c>
    </row>
    <row r="90" spans="1:3">
      <c r="A90" s="530" t="s">
        <v>1687</v>
      </c>
      <c r="B90" s="557" t="s">
        <v>1688</v>
      </c>
      <c r="C90" s="532">
        <f>2800*1.16</f>
        <v>3248</v>
      </c>
    </row>
    <row r="91" spans="1:3">
      <c r="A91" s="530" t="s">
        <v>1689</v>
      </c>
      <c r="B91" s="557" t="s">
        <v>1690</v>
      </c>
      <c r="C91" s="532">
        <v>13520</v>
      </c>
    </row>
    <row r="92" spans="1:3">
      <c r="A92" s="530" t="s">
        <v>1691</v>
      </c>
      <c r="B92" s="557" t="s">
        <v>1692</v>
      </c>
      <c r="C92" s="542">
        <v>16775</v>
      </c>
    </row>
    <row r="93" spans="1:3">
      <c r="A93" s="530" t="s">
        <v>1693</v>
      </c>
      <c r="B93" s="557" t="s">
        <v>1694</v>
      </c>
      <c r="C93" s="542">
        <v>15050</v>
      </c>
    </row>
    <row r="94" spans="1:3">
      <c r="A94" s="530" t="s">
        <v>1695</v>
      </c>
      <c r="B94" s="557" t="s">
        <v>1696</v>
      </c>
      <c r="C94" s="532">
        <v>26285</v>
      </c>
    </row>
    <row r="95" spans="1:3" ht="16.8">
      <c r="A95" s="243" t="s">
        <v>1671</v>
      </c>
      <c r="B95" s="557" t="s">
        <v>1672</v>
      </c>
      <c r="C95" s="533"/>
    </row>
    <row r="96" spans="1:3">
      <c r="A96" s="530" t="s">
        <v>1697</v>
      </c>
      <c r="B96" s="559" t="s">
        <v>1698</v>
      </c>
      <c r="C96" s="532">
        <v>12450</v>
      </c>
    </row>
    <row r="97" spans="1:3">
      <c r="A97" s="530" t="s">
        <v>1699</v>
      </c>
      <c r="B97" s="559" t="s">
        <v>1700</v>
      </c>
      <c r="C97" s="532">
        <v>8150</v>
      </c>
    </row>
    <row r="98" spans="1:3">
      <c r="A98" s="530" t="s">
        <v>1701</v>
      </c>
      <c r="B98" s="559" t="s">
        <v>1702</v>
      </c>
      <c r="C98" s="532">
        <v>7500</v>
      </c>
    </row>
    <row r="99" spans="1:3">
      <c r="A99" s="530" t="s">
        <v>1703</v>
      </c>
      <c r="B99" s="559" t="s">
        <v>1704</v>
      </c>
      <c r="C99" s="532">
        <v>5375</v>
      </c>
    </row>
    <row r="100" spans="1:3">
      <c r="A100" s="530" t="s">
        <v>1705</v>
      </c>
      <c r="B100" s="559" t="s">
        <v>1706</v>
      </c>
      <c r="C100" s="532">
        <v>4060</v>
      </c>
    </row>
    <row r="101" spans="1:3">
      <c r="A101" s="530" t="s">
        <v>1707</v>
      </c>
      <c r="B101" s="559" t="s">
        <v>1708</v>
      </c>
      <c r="C101" s="543">
        <f>4841*1.19</f>
        <v>5760.79</v>
      </c>
    </row>
    <row r="102" spans="1:3">
      <c r="A102" s="530" t="s">
        <v>1701</v>
      </c>
      <c r="B102" s="559" t="s">
        <v>1709</v>
      </c>
      <c r="C102" s="532">
        <v>6700</v>
      </c>
    </row>
    <row r="103" spans="1:3">
      <c r="A103" s="530" t="s">
        <v>1710</v>
      </c>
      <c r="B103" s="559" t="s">
        <v>1711</v>
      </c>
      <c r="C103" s="532">
        <v>2500</v>
      </c>
    </row>
    <row r="104" spans="1:3">
      <c r="A104" s="530" t="s">
        <v>1712</v>
      </c>
      <c r="B104" s="557" t="s">
        <v>1713</v>
      </c>
      <c r="C104" s="532">
        <v>1303.8399999999999</v>
      </c>
    </row>
    <row r="105" spans="1:3">
      <c r="A105" s="530" t="s">
        <v>1714</v>
      </c>
      <c r="B105" s="557" t="s">
        <v>1715</v>
      </c>
      <c r="C105" s="532">
        <v>1300</v>
      </c>
    </row>
    <row r="106" spans="1:3">
      <c r="A106" s="530" t="s">
        <v>1716</v>
      </c>
      <c r="B106" s="557" t="s">
        <v>1717</v>
      </c>
      <c r="C106" s="532">
        <v>1450</v>
      </c>
    </row>
    <row r="107" spans="1:3">
      <c r="A107" s="530" t="s">
        <v>1718</v>
      </c>
      <c r="B107" s="559" t="s">
        <v>1719</v>
      </c>
      <c r="C107" s="532">
        <v>176000</v>
      </c>
    </row>
    <row r="108" spans="1:3">
      <c r="A108" s="530" t="s">
        <v>1720</v>
      </c>
      <c r="B108" s="559" t="s">
        <v>1721</v>
      </c>
      <c r="C108" s="532">
        <v>86000</v>
      </c>
    </row>
    <row r="109" spans="1:3">
      <c r="A109" s="530"/>
      <c r="B109" s="559" t="s">
        <v>1715</v>
      </c>
      <c r="C109" s="532"/>
    </row>
    <row r="110" spans="1:3">
      <c r="A110" s="530" t="s">
        <v>1722</v>
      </c>
      <c r="B110" s="559" t="s">
        <v>1723</v>
      </c>
      <c r="C110" s="532">
        <f>52100*1.16</f>
        <v>60435.999999999993</v>
      </c>
    </row>
    <row r="111" spans="1:3" ht="13.8">
      <c r="A111" s="530" t="s">
        <v>1724</v>
      </c>
      <c r="B111" s="559" t="s">
        <v>1725</v>
      </c>
      <c r="C111" s="532">
        <f>81800*1.16</f>
        <v>94888</v>
      </c>
    </row>
    <row r="112" spans="1:3">
      <c r="A112" s="530" t="s">
        <v>1726</v>
      </c>
      <c r="B112" s="559" t="s">
        <v>1727</v>
      </c>
      <c r="C112" s="532">
        <f>320*1.16</f>
        <v>371.2</v>
      </c>
    </row>
    <row r="113" spans="1:3">
      <c r="A113" s="530" t="s">
        <v>1728</v>
      </c>
      <c r="B113" s="557" t="s">
        <v>1729</v>
      </c>
      <c r="C113" s="532">
        <v>80000</v>
      </c>
    </row>
    <row r="114" spans="1:3">
      <c r="A114" s="530" t="s">
        <v>1730</v>
      </c>
      <c r="B114" s="557" t="s">
        <v>1731</v>
      </c>
      <c r="C114" s="532">
        <v>175000</v>
      </c>
    </row>
    <row r="115" spans="1:3">
      <c r="A115" s="530" t="s">
        <v>1732</v>
      </c>
      <c r="B115" s="557" t="s">
        <v>1733</v>
      </c>
      <c r="C115" s="532">
        <f>450000*1.16</f>
        <v>521999.99999999994</v>
      </c>
    </row>
    <row r="116" spans="1:3">
      <c r="A116" s="530" t="s">
        <v>1734</v>
      </c>
      <c r="B116" s="557" t="s">
        <v>1735</v>
      </c>
      <c r="C116" s="532">
        <v>175000</v>
      </c>
    </row>
    <row r="117" spans="1:3">
      <c r="A117" s="530" t="s">
        <v>1736</v>
      </c>
      <c r="B117" s="557" t="s">
        <v>1737</v>
      </c>
      <c r="C117" s="532">
        <v>25000</v>
      </c>
    </row>
    <row r="118" spans="1:3">
      <c r="A118" s="530" t="s">
        <v>1738</v>
      </c>
      <c r="B118" s="557" t="s">
        <v>1739</v>
      </c>
      <c r="C118" s="532">
        <v>35000</v>
      </c>
    </row>
    <row r="119" spans="1:3">
      <c r="A119" s="530" t="s">
        <v>1740</v>
      </c>
      <c r="B119" s="557" t="s">
        <v>1741</v>
      </c>
      <c r="C119" s="532">
        <f>18585*1.19</f>
        <v>22116.149999999998</v>
      </c>
    </row>
    <row r="120" spans="1:3">
      <c r="A120" s="530" t="s">
        <v>1742</v>
      </c>
      <c r="B120" s="557" t="s">
        <v>1743</v>
      </c>
      <c r="C120" s="532">
        <v>7500</v>
      </c>
    </row>
    <row r="121" spans="1:3">
      <c r="A121" s="530" t="s">
        <v>1744</v>
      </c>
      <c r="B121" s="557" t="s">
        <v>1745</v>
      </c>
      <c r="C121" s="532">
        <f>5962*1.19</f>
        <v>7094.78</v>
      </c>
    </row>
    <row r="122" spans="1:3">
      <c r="A122" s="530" t="s">
        <v>1746</v>
      </c>
      <c r="B122" s="557" t="s">
        <v>1747</v>
      </c>
      <c r="C122" s="532">
        <f>6000*1.16</f>
        <v>6959.9999999999991</v>
      </c>
    </row>
    <row r="123" spans="1:3" ht="26.4">
      <c r="A123" s="530" t="s">
        <v>1748</v>
      </c>
      <c r="B123" s="557" t="s">
        <v>1749</v>
      </c>
      <c r="C123" s="532">
        <v>4500000</v>
      </c>
    </row>
    <row r="124" spans="1:3" ht="26.4">
      <c r="A124" s="530" t="s">
        <v>1750</v>
      </c>
      <c r="B124" s="557" t="s">
        <v>1751</v>
      </c>
      <c r="C124" s="532">
        <v>700000</v>
      </c>
    </row>
    <row r="125" spans="1:3">
      <c r="A125" s="530" t="s">
        <v>1752</v>
      </c>
      <c r="B125" s="559" t="s">
        <v>1753</v>
      </c>
      <c r="C125" s="532">
        <v>6700000</v>
      </c>
    </row>
    <row r="126" spans="1:3">
      <c r="A126" s="530" t="s">
        <v>1754</v>
      </c>
      <c r="B126" s="559" t="s">
        <v>1755</v>
      </c>
      <c r="C126" s="532">
        <v>4800000</v>
      </c>
    </row>
    <row r="127" spans="1:3">
      <c r="A127" s="530" t="s">
        <v>1756</v>
      </c>
      <c r="B127" s="557" t="s">
        <v>1757</v>
      </c>
      <c r="C127" s="532">
        <v>1300</v>
      </c>
    </row>
    <row r="128" spans="1:3">
      <c r="A128" s="530" t="s">
        <v>1758</v>
      </c>
      <c r="B128" s="557" t="s">
        <v>1759</v>
      </c>
      <c r="C128" s="532">
        <v>20500</v>
      </c>
    </row>
    <row r="129" spans="1:3">
      <c r="A129" s="530" t="s">
        <v>1760</v>
      </c>
      <c r="B129" s="557" t="s">
        <v>1761</v>
      </c>
      <c r="C129" s="532">
        <v>12000</v>
      </c>
    </row>
    <row r="130" spans="1:3">
      <c r="A130" s="530" t="s">
        <v>1762</v>
      </c>
      <c r="B130" s="557" t="s">
        <v>1763</v>
      </c>
      <c r="C130" s="532">
        <v>1000</v>
      </c>
    </row>
    <row r="131" spans="1:3">
      <c r="A131" s="530" t="s">
        <v>1764</v>
      </c>
      <c r="B131" s="557" t="s">
        <v>1765</v>
      </c>
      <c r="C131" s="532">
        <v>123000</v>
      </c>
    </row>
    <row r="132" spans="1:3">
      <c r="A132" s="530" t="s">
        <v>1766</v>
      </c>
      <c r="B132" s="557" t="s">
        <v>1767</v>
      </c>
      <c r="C132" s="532">
        <f>220000*1.15</f>
        <v>252999.99999999997</v>
      </c>
    </row>
    <row r="133" spans="1:3">
      <c r="A133" s="530" t="s">
        <v>1768</v>
      </c>
      <c r="B133" s="557" t="s">
        <v>1769</v>
      </c>
      <c r="C133" s="532">
        <v>265000</v>
      </c>
    </row>
    <row r="134" spans="1:3">
      <c r="A134" s="530" t="s">
        <v>1770</v>
      </c>
      <c r="B134" s="557" t="s">
        <v>1771</v>
      </c>
      <c r="C134" s="532">
        <v>395000</v>
      </c>
    </row>
    <row r="135" spans="1:3">
      <c r="A135" s="530" t="s">
        <v>1772</v>
      </c>
      <c r="B135" s="557" t="s">
        <v>1773</v>
      </c>
      <c r="C135" s="532">
        <v>201000</v>
      </c>
    </row>
    <row r="136" spans="1:3">
      <c r="A136" s="530" t="s">
        <v>1774</v>
      </c>
      <c r="B136" s="557" t="s">
        <v>1775</v>
      </c>
      <c r="C136" s="532">
        <v>167000</v>
      </c>
    </row>
    <row r="137" spans="1:3">
      <c r="A137" s="530" t="s">
        <v>1776</v>
      </c>
      <c r="B137" s="557" t="s">
        <v>1777</v>
      </c>
      <c r="C137" s="532">
        <v>180000</v>
      </c>
    </row>
    <row r="138" spans="1:3">
      <c r="A138" s="530" t="s">
        <v>1778</v>
      </c>
      <c r="B138" s="557" t="s">
        <v>1779</v>
      </c>
      <c r="C138" s="532">
        <v>400000</v>
      </c>
    </row>
    <row r="139" spans="1:3">
      <c r="A139" s="530" t="s">
        <v>1780</v>
      </c>
      <c r="B139" s="557" t="s">
        <v>1781</v>
      </c>
      <c r="C139" s="532">
        <v>425000</v>
      </c>
    </row>
    <row r="140" spans="1:3">
      <c r="A140" s="530" t="s">
        <v>1782</v>
      </c>
      <c r="B140" s="557" t="s">
        <v>1783</v>
      </c>
      <c r="C140" s="532">
        <v>2459.1999999999998</v>
      </c>
    </row>
    <row r="141" spans="1:3">
      <c r="A141" s="530" t="s">
        <v>1784</v>
      </c>
      <c r="B141" s="559" t="s">
        <v>1785</v>
      </c>
      <c r="C141" s="532">
        <v>5754.7599999999993</v>
      </c>
    </row>
    <row r="142" spans="1:3">
      <c r="A142" s="530" t="s">
        <v>1782</v>
      </c>
      <c r="B142" s="557" t="s">
        <v>1786</v>
      </c>
      <c r="C142" s="532">
        <v>5568</v>
      </c>
    </row>
    <row r="143" spans="1:3">
      <c r="A143" s="530" t="s">
        <v>1787</v>
      </c>
      <c r="B143" s="557" t="s">
        <v>1788</v>
      </c>
      <c r="C143" s="532">
        <f>4180*1.19</f>
        <v>4974.2</v>
      </c>
    </row>
    <row r="144" spans="1:3">
      <c r="A144" s="530" t="s">
        <v>1789</v>
      </c>
      <c r="B144" s="557" t="s">
        <v>1790</v>
      </c>
      <c r="C144" s="533">
        <v>17800</v>
      </c>
    </row>
    <row r="145" spans="1:3">
      <c r="A145" s="530" t="s">
        <v>1791</v>
      </c>
      <c r="B145" s="563" t="s">
        <v>1792</v>
      </c>
      <c r="C145" s="532">
        <v>350000</v>
      </c>
    </row>
    <row r="146" spans="1:3">
      <c r="A146" s="530" t="s">
        <v>1793</v>
      </c>
      <c r="B146" s="559" t="s">
        <v>1794</v>
      </c>
      <c r="C146" s="532">
        <v>380000</v>
      </c>
    </row>
    <row r="147" spans="1:3">
      <c r="A147" s="530" t="s">
        <v>1795</v>
      </c>
      <c r="B147" s="559" t="s">
        <v>1796</v>
      </c>
      <c r="C147" s="532">
        <f>629828*1.19</f>
        <v>749495.32</v>
      </c>
    </row>
    <row r="148" spans="1:3">
      <c r="A148" s="530" t="s">
        <v>1797</v>
      </c>
      <c r="B148" s="559" t="s">
        <v>1798</v>
      </c>
      <c r="C148" s="532">
        <f>629828*1.19</f>
        <v>749495.32</v>
      </c>
    </row>
    <row r="149" spans="1:3">
      <c r="A149" s="530" t="s">
        <v>1799</v>
      </c>
      <c r="B149" s="559" t="s">
        <v>1800</v>
      </c>
      <c r="C149" s="532">
        <f>132910*1.16</f>
        <v>154175.59999999998</v>
      </c>
    </row>
    <row r="150" spans="1:3">
      <c r="A150" s="530" t="s">
        <v>1801</v>
      </c>
      <c r="B150" s="557" t="s">
        <v>1802</v>
      </c>
      <c r="C150" s="532">
        <f>359340*1.19</f>
        <v>427614.6</v>
      </c>
    </row>
    <row r="151" spans="1:3">
      <c r="A151" s="530" t="s">
        <v>1803</v>
      </c>
      <c r="B151" s="557" t="s">
        <v>1804</v>
      </c>
      <c r="C151" s="532">
        <f>830000*1.16</f>
        <v>962799.99999999988</v>
      </c>
    </row>
    <row r="152" spans="1:3" ht="16.8">
      <c r="A152" s="535" t="s">
        <v>1805</v>
      </c>
      <c r="B152" s="561" t="s">
        <v>1806</v>
      </c>
      <c r="C152" s="532">
        <v>180000</v>
      </c>
    </row>
    <row r="153" spans="1:3">
      <c r="A153" s="530" t="s">
        <v>1807</v>
      </c>
      <c r="B153" s="557" t="s">
        <v>1808</v>
      </c>
      <c r="C153" s="532">
        <v>131731.91999999998</v>
      </c>
    </row>
    <row r="154" spans="1:3">
      <c r="A154" s="530" t="s">
        <v>1809</v>
      </c>
      <c r="B154" s="557" t="s">
        <v>1810</v>
      </c>
      <c r="C154" s="532">
        <v>61479.999999999993</v>
      </c>
    </row>
    <row r="155" spans="1:3">
      <c r="A155" s="530" t="s">
        <v>1811</v>
      </c>
      <c r="B155" s="557" t="s">
        <v>1812</v>
      </c>
      <c r="C155" s="532">
        <v>97440</v>
      </c>
    </row>
    <row r="156" spans="1:3">
      <c r="A156" s="530" t="s">
        <v>1813</v>
      </c>
      <c r="B156" s="557" t="s">
        <v>1814</v>
      </c>
      <c r="C156" s="532">
        <v>150000</v>
      </c>
    </row>
    <row r="157" spans="1:3">
      <c r="A157" s="530" t="s">
        <v>1815</v>
      </c>
      <c r="B157" s="559" t="s">
        <v>1816</v>
      </c>
      <c r="C157" s="532">
        <v>150000</v>
      </c>
    </row>
    <row r="158" spans="1:3">
      <c r="A158" s="530" t="s">
        <v>1817</v>
      </c>
      <c r="B158" s="559" t="s">
        <v>1818</v>
      </c>
      <c r="C158" s="532">
        <v>150000</v>
      </c>
    </row>
    <row r="159" spans="1:3">
      <c r="A159" s="530" t="s">
        <v>1819</v>
      </c>
      <c r="B159" s="557" t="s">
        <v>1820</v>
      </c>
      <c r="C159" s="532">
        <v>150000</v>
      </c>
    </row>
    <row r="160" spans="1:3">
      <c r="A160" s="530" t="s">
        <v>1821</v>
      </c>
      <c r="B160" s="557" t="s">
        <v>1822</v>
      </c>
      <c r="C160" s="532">
        <v>150000</v>
      </c>
    </row>
    <row r="161" spans="1:3">
      <c r="A161" s="530" t="s">
        <v>1823</v>
      </c>
      <c r="B161" s="557" t="s">
        <v>1824</v>
      </c>
      <c r="C161" s="532">
        <v>150000</v>
      </c>
    </row>
    <row r="162" spans="1:3">
      <c r="A162" s="530" t="s">
        <v>1825</v>
      </c>
      <c r="B162" s="559" t="s">
        <v>1826</v>
      </c>
      <c r="C162" s="532">
        <f>785*1.16</f>
        <v>910.59999999999991</v>
      </c>
    </row>
    <row r="163" spans="1:3">
      <c r="A163" s="530" t="s">
        <v>1827</v>
      </c>
      <c r="B163" s="559" t="s">
        <v>1828</v>
      </c>
      <c r="C163" s="532">
        <f>150*1.16</f>
        <v>174</v>
      </c>
    </row>
    <row r="164" spans="1:3">
      <c r="A164" s="530" t="s">
        <v>1829</v>
      </c>
      <c r="B164" s="559" t="s">
        <v>1830</v>
      </c>
      <c r="C164" s="532">
        <v>625</v>
      </c>
    </row>
    <row r="165" spans="1:3">
      <c r="A165" s="530" t="s">
        <v>1831</v>
      </c>
      <c r="B165" s="559" t="s">
        <v>1832</v>
      </c>
      <c r="C165" s="532">
        <v>420</v>
      </c>
    </row>
    <row r="166" spans="1:3">
      <c r="A166" s="530" t="s">
        <v>1833</v>
      </c>
      <c r="B166" s="559" t="s">
        <v>1834</v>
      </c>
      <c r="C166" s="532">
        <v>2130</v>
      </c>
    </row>
    <row r="167" spans="1:3">
      <c r="A167" s="530" t="s">
        <v>1835</v>
      </c>
      <c r="B167" s="559" t="s">
        <v>1836</v>
      </c>
      <c r="C167" s="532">
        <v>20880</v>
      </c>
    </row>
    <row r="168" spans="1:3">
      <c r="A168" s="530" t="s">
        <v>1837</v>
      </c>
      <c r="B168" s="559" t="s">
        <v>1838</v>
      </c>
      <c r="C168" s="532">
        <f>64600*1.16</f>
        <v>74936</v>
      </c>
    </row>
    <row r="169" spans="1:3">
      <c r="A169" s="530" t="s">
        <v>1839</v>
      </c>
      <c r="B169" s="560" t="s">
        <v>1840</v>
      </c>
      <c r="C169" s="532">
        <v>3000000</v>
      </c>
    </row>
    <row r="170" spans="1:3">
      <c r="A170" s="530" t="s">
        <v>1841</v>
      </c>
      <c r="B170" s="559" t="s">
        <v>1842</v>
      </c>
      <c r="C170" s="532">
        <v>5755</v>
      </c>
    </row>
    <row r="171" spans="1:3">
      <c r="A171" s="530" t="s">
        <v>1843</v>
      </c>
      <c r="B171" s="559" t="s">
        <v>1844</v>
      </c>
      <c r="C171" s="532">
        <v>85000</v>
      </c>
    </row>
    <row r="172" spans="1:3" ht="13.8">
      <c r="A172" s="544" t="s">
        <v>1845</v>
      </c>
      <c r="B172" s="565" t="s">
        <v>1846</v>
      </c>
      <c r="C172" s="532">
        <v>45000</v>
      </c>
    </row>
    <row r="173" spans="1:3">
      <c r="A173" s="530" t="s">
        <v>1847</v>
      </c>
      <c r="B173" s="557" t="s">
        <v>1848</v>
      </c>
      <c r="C173" s="532">
        <v>18993.84</v>
      </c>
    </row>
    <row r="174" spans="1:3">
      <c r="A174" s="530" t="s">
        <v>1849</v>
      </c>
      <c r="B174" s="557" t="s">
        <v>1850</v>
      </c>
      <c r="C174" s="532">
        <v>18993.84</v>
      </c>
    </row>
    <row r="175" spans="1:3">
      <c r="A175" s="530" t="s">
        <v>1851</v>
      </c>
      <c r="B175" s="557" t="s">
        <v>1852</v>
      </c>
      <c r="C175" s="532">
        <v>10000</v>
      </c>
    </row>
    <row r="176" spans="1:3">
      <c r="A176" s="530" t="s">
        <v>1853</v>
      </c>
      <c r="B176" s="557" t="s">
        <v>1854</v>
      </c>
      <c r="C176" s="532">
        <v>2000</v>
      </c>
    </row>
    <row r="177" spans="1:3">
      <c r="A177" s="530" t="s">
        <v>1855</v>
      </c>
      <c r="B177" s="557" t="s">
        <v>1856</v>
      </c>
      <c r="C177" s="532">
        <f>5575*1.19</f>
        <v>6634.25</v>
      </c>
    </row>
    <row r="178" spans="1:3">
      <c r="A178" s="530" t="s">
        <v>1857</v>
      </c>
      <c r="B178" s="557" t="s">
        <v>1858</v>
      </c>
      <c r="C178" s="532">
        <f>2026*1.19</f>
        <v>2410.94</v>
      </c>
    </row>
    <row r="179" spans="1:3">
      <c r="A179" s="530" t="s">
        <v>1859</v>
      </c>
      <c r="B179" s="557" t="s">
        <v>1860</v>
      </c>
      <c r="C179" s="532">
        <v>2500</v>
      </c>
    </row>
    <row r="180" spans="1:3">
      <c r="A180" s="530" t="s">
        <v>1861</v>
      </c>
      <c r="B180" s="557" t="s">
        <v>1862</v>
      </c>
      <c r="C180" s="532">
        <f>350*1.16</f>
        <v>406</v>
      </c>
    </row>
    <row r="181" spans="1:3">
      <c r="A181" s="530" t="s">
        <v>1863</v>
      </c>
      <c r="B181" s="557" t="s">
        <v>1864</v>
      </c>
      <c r="C181" s="532">
        <f>490*1.16</f>
        <v>568.4</v>
      </c>
    </row>
    <row r="182" spans="1:3">
      <c r="A182" s="530" t="s">
        <v>1865</v>
      </c>
      <c r="B182" s="557" t="s">
        <v>1866</v>
      </c>
      <c r="C182" s="532">
        <v>3980</v>
      </c>
    </row>
    <row r="183" spans="1:3">
      <c r="A183" s="530" t="s">
        <v>1867</v>
      </c>
      <c r="B183" s="557" t="s">
        <v>1868</v>
      </c>
      <c r="C183" s="533">
        <f>5500*1.16</f>
        <v>6380</v>
      </c>
    </row>
    <row r="184" spans="1:3">
      <c r="A184" s="530" t="s">
        <v>1869</v>
      </c>
      <c r="B184" s="557" t="s">
        <v>1870</v>
      </c>
      <c r="C184" s="532">
        <f>26555*1.16</f>
        <v>30803.8</v>
      </c>
    </row>
    <row r="185" spans="1:3">
      <c r="A185" s="530" t="s">
        <v>1871</v>
      </c>
      <c r="B185" s="557" t="s">
        <v>1872</v>
      </c>
      <c r="C185" s="532">
        <f>40600*1.16</f>
        <v>47096</v>
      </c>
    </row>
    <row r="186" spans="1:3">
      <c r="A186" s="530" t="s">
        <v>1873</v>
      </c>
      <c r="B186" s="557" t="s">
        <v>1874</v>
      </c>
      <c r="C186" s="532">
        <f>59600*1.16</f>
        <v>69136</v>
      </c>
    </row>
    <row r="187" spans="1:3">
      <c r="A187" s="530" t="s">
        <v>1875</v>
      </c>
      <c r="B187" s="557" t="s">
        <v>1875</v>
      </c>
      <c r="C187" s="532">
        <v>25000</v>
      </c>
    </row>
    <row r="188" spans="1:3">
      <c r="A188" s="530" t="s">
        <v>1876</v>
      </c>
      <c r="B188" s="557" t="s">
        <v>1877</v>
      </c>
      <c r="C188" s="532">
        <v>4332.5999999999995</v>
      </c>
    </row>
    <row r="189" spans="1:3">
      <c r="A189" s="530" t="s">
        <v>1878</v>
      </c>
      <c r="B189" s="559" t="s">
        <v>1879</v>
      </c>
      <c r="C189" s="532">
        <v>800000</v>
      </c>
    </row>
    <row r="190" spans="1:3">
      <c r="A190" s="530" t="s">
        <v>1880</v>
      </c>
      <c r="B190" s="559" t="s">
        <v>1881</v>
      </c>
      <c r="C190" s="532">
        <v>1800000</v>
      </c>
    </row>
    <row r="191" spans="1:3">
      <c r="A191" s="530" t="s">
        <v>1882</v>
      </c>
      <c r="B191" s="557" t="s">
        <v>1883</v>
      </c>
      <c r="C191" s="532">
        <v>1500000</v>
      </c>
    </row>
    <row r="192" spans="1:3">
      <c r="A192" s="530" t="s">
        <v>1884</v>
      </c>
      <c r="B192" s="557" t="s">
        <v>1885</v>
      </c>
      <c r="C192" s="532">
        <v>2500000</v>
      </c>
    </row>
    <row r="193" spans="1:3">
      <c r="A193" s="546" t="s">
        <v>1886</v>
      </c>
      <c r="B193" s="557" t="s">
        <v>1887</v>
      </c>
      <c r="C193" s="532">
        <v>2850000</v>
      </c>
    </row>
    <row r="194" spans="1:3" ht="13.8">
      <c r="A194" s="546" t="s">
        <v>1888</v>
      </c>
      <c r="B194" s="557" t="s">
        <v>1889</v>
      </c>
      <c r="C194" s="532">
        <v>65000</v>
      </c>
    </row>
    <row r="195" spans="1:3" ht="27.6">
      <c r="A195" s="2" t="s">
        <v>1890</v>
      </c>
      <c r="B195" s="566" t="s">
        <v>1891</v>
      </c>
      <c r="C195" s="532">
        <v>3550000</v>
      </c>
    </row>
    <row r="196" spans="1:3" ht="16.8">
      <c r="A196" s="547" t="s">
        <v>1892</v>
      </c>
      <c r="B196" s="565" t="s">
        <v>1893</v>
      </c>
      <c r="C196" s="532">
        <f>3800*1.16</f>
        <v>4408</v>
      </c>
    </row>
    <row r="197" spans="1:3">
      <c r="A197" s="530" t="s">
        <v>1894</v>
      </c>
      <c r="B197" s="557" t="s">
        <v>1895</v>
      </c>
      <c r="C197" s="532">
        <v>5286.12</v>
      </c>
    </row>
    <row r="198" spans="1:3">
      <c r="A198" s="530" t="s">
        <v>1896</v>
      </c>
      <c r="B198" s="557" t="s">
        <v>1897</v>
      </c>
      <c r="C198" s="532">
        <v>21135.199999999997</v>
      </c>
    </row>
    <row r="199" spans="1:3" ht="16.8">
      <c r="A199" s="2" t="s">
        <v>1898</v>
      </c>
      <c r="B199" s="565" t="s">
        <v>1899</v>
      </c>
      <c r="C199" s="532">
        <v>18000</v>
      </c>
    </row>
    <row r="200" spans="1:3">
      <c r="A200" s="530" t="s">
        <v>1900</v>
      </c>
      <c r="B200" s="557" t="s">
        <v>1901</v>
      </c>
      <c r="C200" s="532">
        <v>1250.48</v>
      </c>
    </row>
    <row r="201" spans="1:3">
      <c r="A201" s="530" t="s">
        <v>1902</v>
      </c>
      <c r="B201" s="557" t="s">
        <v>1903</v>
      </c>
      <c r="C201" s="532">
        <v>150000</v>
      </c>
    </row>
    <row r="202" spans="1:3">
      <c r="A202" s="530" t="s">
        <v>1904</v>
      </c>
      <c r="B202" s="557" t="s">
        <v>1905</v>
      </c>
      <c r="C202" s="532">
        <v>870</v>
      </c>
    </row>
    <row r="203" spans="1:3">
      <c r="A203" s="530" t="s">
        <v>1906</v>
      </c>
      <c r="B203" s="557" t="s">
        <v>1907</v>
      </c>
      <c r="C203" s="532">
        <f>84520*1.19</f>
        <v>100578.79999999999</v>
      </c>
    </row>
    <row r="204" spans="1:3">
      <c r="A204" s="530" t="s">
        <v>1908</v>
      </c>
      <c r="B204" s="557" t="s">
        <v>1909</v>
      </c>
      <c r="C204" s="532">
        <f>26500*1.16</f>
        <v>30739.999999999996</v>
      </c>
    </row>
    <row r="205" spans="1:3">
      <c r="A205" s="530" t="s">
        <v>1910</v>
      </c>
      <c r="B205" s="557" t="s">
        <v>1911</v>
      </c>
      <c r="C205" s="532">
        <v>6000</v>
      </c>
    </row>
    <row r="206" spans="1:3">
      <c r="A206" s="530" t="s">
        <v>1912</v>
      </c>
      <c r="B206" s="557" t="s">
        <v>1913</v>
      </c>
      <c r="C206" s="532">
        <v>289000</v>
      </c>
    </row>
    <row r="207" spans="1:3">
      <c r="A207" s="530" t="s">
        <v>1914</v>
      </c>
      <c r="B207" s="557" t="s">
        <v>1915</v>
      </c>
      <c r="C207" s="532">
        <v>223000</v>
      </c>
    </row>
    <row r="208" spans="1:3">
      <c r="A208" s="530" t="s">
        <v>1916</v>
      </c>
      <c r="B208" s="557" t="s">
        <v>1917</v>
      </c>
      <c r="C208" s="532">
        <v>750000</v>
      </c>
    </row>
    <row r="209" spans="1:3">
      <c r="A209" s="530" t="s">
        <v>1918</v>
      </c>
      <c r="B209" s="557" t="s">
        <v>1919</v>
      </c>
      <c r="C209" s="532">
        <v>525000</v>
      </c>
    </row>
    <row r="210" spans="1:3">
      <c r="A210" s="530" t="s">
        <v>1920</v>
      </c>
      <c r="B210" s="557" t="s">
        <v>1921</v>
      </c>
      <c r="C210" s="532">
        <v>100000</v>
      </c>
    </row>
    <row r="211" spans="1:3">
      <c r="A211" s="530" t="s">
        <v>1922</v>
      </c>
      <c r="B211" s="557" t="s">
        <v>1923</v>
      </c>
      <c r="C211" s="532">
        <v>301600</v>
      </c>
    </row>
    <row r="212" spans="1:3">
      <c r="A212" s="530" t="s">
        <v>1924</v>
      </c>
      <c r="B212" s="559" t="s">
        <v>1925</v>
      </c>
      <c r="C212" s="532">
        <v>180000</v>
      </c>
    </row>
    <row r="213" spans="1:3">
      <c r="A213" s="530" t="s">
        <v>1926</v>
      </c>
      <c r="B213" s="559" t="s">
        <v>1927</v>
      </c>
      <c r="C213" s="532">
        <f>42250*1.19</f>
        <v>50277.5</v>
      </c>
    </row>
    <row r="214" spans="1:3">
      <c r="A214" s="530" t="s">
        <v>1928</v>
      </c>
      <c r="B214" s="559" t="s">
        <v>1929</v>
      </c>
      <c r="C214" s="532">
        <v>245000</v>
      </c>
    </row>
    <row r="215" spans="1:3" ht="26.4">
      <c r="A215" s="530" t="s">
        <v>1930</v>
      </c>
      <c r="B215" s="559" t="s">
        <v>1931</v>
      </c>
      <c r="C215" s="532">
        <v>14970</v>
      </c>
    </row>
    <row r="216" spans="1:3">
      <c r="A216" s="530" t="s">
        <v>1932</v>
      </c>
      <c r="B216" s="559" t="s">
        <v>1933</v>
      </c>
      <c r="C216" s="532">
        <v>48000</v>
      </c>
    </row>
    <row r="217" spans="1:3" ht="26.4">
      <c r="A217" s="530" t="s">
        <v>1934</v>
      </c>
      <c r="B217" s="559" t="s">
        <v>1935</v>
      </c>
      <c r="C217" s="532">
        <f>3894000*1.19</f>
        <v>4633860</v>
      </c>
    </row>
    <row r="218" spans="1:3" ht="26.4">
      <c r="A218" s="530" t="s">
        <v>1936</v>
      </c>
      <c r="B218" s="559" t="s">
        <v>1937</v>
      </c>
      <c r="C218" s="532">
        <v>5203000</v>
      </c>
    </row>
    <row r="219" spans="1:3" ht="26.4">
      <c r="A219" s="530" t="s">
        <v>1938</v>
      </c>
      <c r="B219" s="559" t="s">
        <v>1939</v>
      </c>
      <c r="C219" s="532">
        <f>3545000*1.16</f>
        <v>4112199.9999999995</v>
      </c>
    </row>
    <row r="220" spans="1:3" ht="26.4">
      <c r="A220" s="530" t="s">
        <v>1940</v>
      </c>
      <c r="B220" s="559" t="s">
        <v>1941</v>
      </c>
      <c r="C220" s="532">
        <v>5620000</v>
      </c>
    </row>
    <row r="221" spans="1:3" ht="26.4">
      <c r="A221" s="530" t="s">
        <v>1934</v>
      </c>
      <c r="B221" s="559" t="s">
        <v>1942</v>
      </c>
      <c r="C221" s="532">
        <f>9918000*1.16</f>
        <v>11504880</v>
      </c>
    </row>
    <row r="222" spans="1:3" ht="26.4">
      <c r="A222" s="530" t="s">
        <v>1943</v>
      </c>
      <c r="B222" s="559" t="s">
        <v>1944</v>
      </c>
      <c r="C222" s="532">
        <v>8700000</v>
      </c>
    </row>
    <row r="223" spans="1:3" ht="26.4">
      <c r="A223" s="530" t="s">
        <v>1945</v>
      </c>
      <c r="B223" s="559" t="s">
        <v>1946</v>
      </c>
      <c r="C223" s="532">
        <v>11350000</v>
      </c>
    </row>
    <row r="224" spans="1:3" ht="26.4">
      <c r="A224" s="530" t="s">
        <v>1947</v>
      </c>
      <c r="B224" s="559" t="s">
        <v>1948</v>
      </c>
      <c r="C224" s="532">
        <f>9600000*1.16</f>
        <v>11136000</v>
      </c>
    </row>
    <row r="225" spans="1:3" ht="26.4">
      <c r="A225" s="530" t="s">
        <v>1949</v>
      </c>
      <c r="B225" s="559" t="s">
        <v>1950</v>
      </c>
      <c r="C225" s="532">
        <v>22000000</v>
      </c>
    </row>
    <row r="226" spans="1:3" ht="26.4">
      <c r="A226" s="530" t="s">
        <v>1951</v>
      </c>
      <c r="B226" s="559" t="s">
        <v>1952</v>
      </c>
      <c r="C226" s="532">
        <f>16700000*1.16</f>
        <v>19372000</v>
      </c>
    </row>
    <row r="227" spans="1:3" ht="26.4">
      <c r="A227" s="530" t="s">
        <v>1953</v>
      </c>
      <c r="B227" s="559" t="s">
        <v>1954</v>
      </c>
      <c r="C227" s="532">
        <f>26505200*1.19</f>
        <v>31541188</v>
      </c>
    </row>
    <row r="228" spans="1:3" ht="26.4">
      <c r="A228" s="530" t="s">
        <v>1955</v>
      </c>
      <c r="B228" s="559" t="s">
        <v>1956</v>
      </c>
      <c r="C228" s="532">
        <f>30524150*1.19</f>
        <v>36323738.5</v>
      </c>
    </row>
    <row r="229" spans="1:3" ht="26.4">
      <c r="A229" s="530" t="s">
        <v>1957</v>
      </c>
      <c r="B229" s="559" t="s">
        <v>1958</v>
      </c>
      <c r="C229" s="532">
        <f>37192000*1.16</f>
        <v>43142720</v>
      </c>
    </row>
    <row r="230" spans="1:3" ht="26.4">
      <c r="A230" s="530" t="s">
        <v>1959</v>
      </c>
      <c r="B230" s="559" t="s">
        <v>1960</v>
      </c>
      <c r="C230" s="532">
        <f>6109000*1.16</f>
        <v>7086439.9999999991</v>
      </c>
    </row>
    <row r="231" spans="1:3" ht="39.6">
      <c r="A231" s="535" t="s">
        <v>1961</v>
      </c>
      <c r="B231" s="559" t="s">
        <v>1962</v>
      </c>
      <c r="C231" s="532">
        <f>7609000*1.16</f>
        <v>8826440</v>
      </c>
    </row>
    <row r="232" spans="1:3" ht="26.4">
      <c r="A232" s="530" t="s">
        <v>1963</v>
      </c>
      <c r="B232" s="559" t="s">
        <v>1964</v>
      </c>
      <c r="C232" s="532">
        <v>30000000</v>
      </c>
    </row>
    <row r="233" spans="1:3" ht="26.4">
      <c r="A233" s="530" t="s">
        <v>1965</v>
      </c>
      <c r="B233" s="559" t="s">
        <v>1966</v>
      </c>
      <c r="C233" s="532">
        <v>25000000</v>
      </c>
    </row>
    <row r="234" spans="1:3" ht="26.4">
      <c r="A234" s="530" t="s">
        <v>1967</v>
      </c>
      <c r="B234" s="559" t="s">
        <v>1968</v>
      </c>
      <c r="C234" s="532">
        <v>23000000</v>
      </c>
    </row>
    <row r="235" spans="1:3" ht="26.4">
      <c r="A235" s="530" t="s">
        <v>1969</v>
      </c>
      <c r="B235" s="559" t="s">
        <v>1970</v>
      </c>
      <c r="C235" s="532">
        <f>22760000*1.16</f>
        <v>26401600</v>
      </c>
    </row>
    <row r="236" spans="1:3" ht="26.4">
      <c r="A236" s="530" t="s">
        <v>1971</v>
      </c>
      <c r="B236" s="559" t="s">
        <v>1972</v>
      </c>
      <c r="C236" s="532">
        <f>10900000*1.16</f>
        <v>12644000</v>
      </c>
    </row>
    <row r="237" spans="1:3" ht="33.6">
      <c r="A237" s="530" t="s">
        <v>1973</v>
      </c>
      <c r="B237" s="561" t="s">
        <v>1974</v>
      </c>
      <c r="C237" s="532">
        <f>169355102*1.16</f>
        <v>196451918.31999999</v>
      </c>
    </row>
    <row r="238" spans="1:3" ht="26.4">
      <c r="A238" s="530" t="s">
        <v>1975</v>
      </c>
      <c r="B238" s="559" t="s">
        <v>1976</v>
      </c>
      <c r="C238" s="532">
        <v>66000000</v>
      </c>
    </row>
    <row r="239" spans="1:3" ht="26.4">
      <c r="A239" s="530" t="s">
        <v>1977</v>
      </c>
      <c r="B239" s="559" t="s">
        <v>1978</v>
      </c>
      <c r="C239" s="532">
        <v>48000000</v>
      </c>
    </row>
    <row r="240" spans="1:3" ht="26.4">
      <c r="A240" s="530" t="s">
        <v>1979</v>
      </c>
      <c r="B240" s="559" t="s">
        <v>1980</v>
      </c>
      <c r="C240" s="532">
        <v>66000000</v>
      </c>
    </row>
    <row r="241" spans="1:3" ht="26.4">
      <c r="A241" s="530" t="s">
        <v>1981</v>
      </c>
      <c r="B241" s="559" t="s">
        <v>1982</v>
      </c>
      <c r="C241" s="532">
        <f>7200000*1.16</f>
        <v>8351999.9999999991</v>
      </c>
    </row>
    <row r="242" spans="1:3" ht="26.4">
      <c r="A242" s="530" t="s">
        <v>1983</v>
      </c>
      <c r="B242" s="559" t="s">
        <v>1984</v>
      </c>
      <c r="C242" s="532">
        <f>7454000*1.16</f>
        <v>8646640</v>
      </c>
    </row>
    <row r="243" spans="1:3" ht="13.8">
      <c r="A243" s="530" t="s">
        <v>1985</v>
      </c>
      <c r="B243" s="559" t="s">
        <v>1986</v>
      </c>
      <c r="C243" s="532">
        <v>467100</v>
      </c>
    </row>
    <row r="244" spans="1:3" ht="13.8">
      <c r="A244" s="530" t="s">
        <v>1987</v>
      </c>
      <c r="B244" s="559" t="s">
        <v>1988</v>
      </c>
      <c r="C244" s="532">
        <v>1200000</v>
      </c>
    </row>
    <row r="245" spans="1:3">
      <c r="A245" s="530" t="s">
        <v>1989</v>
      </c>
      <c r="B245" s="559" t="s">
        <v>1990</v>
      </c>
      <c r="C245" s="532">
        <v>132000</v>
      </c>
    </row>
    <row r="246" spans="1:3">
      <c r="A246" s="530" t="s">
        <v>1991</v>
      </c>
      <c r="B246" s="559" t="s">
        <v>1992</v>
      </c>
      <c r="C246" s="532">
        <v>620000</v>
      </c>
    </row>
    <row r="247" spans="1:3" ht="13.8">
      <c r="A247" s="530" t="s">
        <v>1993</v>
      </c>
      <c r="B247" s="559" t="s">
        <v>1994</v>
      </c>
      <c r="C247" s="532">
        <v>225000</v>
      </c>
    </row>
    <row r="248" spans="1:3" ht="13.8">
      <c r="A248" s="530" t="s">
        <v>1995</v>
      </c>
      <c r="B248" s="559" t="s">
        <v>1996</v>
      </c>
      <c r="C248" s="532">
        <v>135000</v>
      </c>
    </row>
    <row r="249" spans="1:3">
      <c r="A249" s="530" t="s">
        <v>345</v>
      </c>
      <c r="B249" s="557" t="s">
        <v>1997</v>
      </c>
      <c r="C249" s="532">
        <v>56105.478000000003</v>
      </c>
    </row>
    <row r="250" spans="1:3">
      <c r="A250" s="530" t="s">
        <v>1998</v>
      </c>
      <c r="B250" s="557" t="s">
        <v>1999</v>
      </c>
      <c r="C250" s="532">
        <v>5754.7599999999993</v>
      </c>
    </row>
    <row r="251" spans="1:3">
      <c r="A251" s="530" t="s">
        <v>2000</v>
      </c>
      <c r="B251" s="557" t="s">
        <v>2001</v>
      </c>
      <c r="C251" s="532">
        <v>75904.599999999991</v>
      </c>
    </row>
    <row r="252" spans="1:3">
      <c r="A252" s="530" t="s">
        <v>2002</v>
      </c>
      <c r="B252" s="557" t="s">
        <v>2003</v>
      </c>
      <c r="C252" s="532">
        <f>62525*1.19</f>
        <v>74404.75</v>
      </c>
    </row>
    <row r="253" spans="1:3" ht="13.8">
      <c r="A253" s="530" t="s">
        <v>2004</v>
      </c>
      <c r="B253" s="565" t="s">
        <v>2005</v>
      </c>
      <c r="C253" s="532">
        <v>780000</v>
      </c>
    </row>
    <row r="254" spans="1:3">
      <c r="A254" s="546" t="s">
        <v>2006</v>
      </c>
      <c r="B254" s="557" t="s">
        <v>2007</v>
      </c>
      <c r="C254" s="532">
        <f>5150*1.16</f>
        <v>5974</v>
      </c>
    </row>
    <row r="255" spans="1:3" ht="26.4">
      <c r="A255" s="530" t="s">
        <v>2008</v>
      </c>
      <c r="B255" s="559" t="s">
        <v>2009</v>
      </c>
      <c r="C255" s="532">
        <v>190000000</v>
      </c>
    </row>
    <row r="256" spans="1:3" ht="26.4">
      <c r="A256" s="530" t="s">
        <v>2010</v>
      </c>
      <c r="B256" s="559" t="s">
        <v>2011</v>
      </c>
      <c r="C256" s="532">
        <v>155000000</v>
      </c>
    </row>
    <row r="257" spans="1:3" ht="26.4">
      <c r="A257" s="530" t="s">
        <v>2012</v>
      </c>
      <c r="B257" s="559" t="s">
        <v>2013</v>
      </c>
      <c r="C257" s="532">
        <f>95100000*1.16 + 600000</f>
        <v>110915999.99999999</v>
      </c>
    </row>
    <row r="258" spans="1:3">
      <c r="A258" s="530" t="s">
        <v>2014</v>
      </c>
      <c r="B258" s="559" t="s">
        <v>2015</v>
      </c>
      <c r="C258" s="532">
        <f>81225000*1.16 + 600000</f>
        <v>94821000</v>
      </c>
    </row>
    <row r="259" spans="1:3" ht="26.4">
      <c r="A259" s="530" t="s">
        <v>2016</v>
      </c>
      <c r="B259" s="559" t="s">
        <v>2017</v>
      </c>
      <c r="C259" s="532">
        <f>25341*3000*1.19+4000000</f>
        <v>94467370</v>
      </c>
    </row>
    <row r="260" spans="1:3" ht="26.4">
      <c r="A260" s="530" t="s">
        <v>2018</v>
      </c>
      <c r="B260" s="559" t="s">
        <v>2019</v>
      </c>
      <c r="C260" s="532">
        <v>92000000</v>
      </c>
    </row>
    <row r="261" spans="1:3">
      <c r="A261" s="530" t="s">
        <v>2020</v>
      </c>
      <c r="B261" s="559" t="s">
        <v>2021</v>
      </c>
      <c r="C261" s="532">
        <f>39682500*1.16 + 600000</f>
        <v>46631700</v>
      </c>
    </row>
    <row r="262" spans="1:3" ht="26.4">
      <c r="A262" s="530" t="s">
        <v>2022</v>
      </c>
      <c r="B262" s="559" t="s">
        <v>2023</v>
      </c>
      <c r="C262" s="532">
        <f>44770000*1.16 + 600000</f>
        <v>52533200</v>
      </c>
    </row>
    <row r="263" spans="1:3">
      <c r="A263" s="530" t="s">
        <v>2024</v>
      </c>
      <c r="B263" s="559" t="s">
        <v>2025</v>
      </c>
      <c r="C263" s="532">
        <f>30247500*1.16 + 600000</f>
        <v>35687100</v>
      </c>
    </row>
    <row r="264" spans="1:3" ht="26.4">
      <c r="A264" s="530" t="s">
        <v>2026</v>
      </c>
      <c r="B264" s="559" t="s">
        <v>2027</v>
      </c>
      <c r="C264" s="532">
        <f>35890000*1.16 + 600000</f>
        <v>42232400</v>
      </c>
    </row>
    <row r="265" spans="1:3">
      <c r="A265" s="530" t="s">
        <v>2028</v>
      </c>
      <c r="B265" s="559" t="s">
        <v>2029</v>
      </c>
      <c r="C265" s="532">
        <v>41550000</v>
      </c>
    </row>
    <row r="266" spans="1:3">
      <c r="A266" s="530" t="s">
        <v>2030</v>
      </c>
      <c r="B266" s="559" t="s">
        <v>2031</v>
      </c>
      <c r="C266" s="532">
        <f>30624900*1.16 + 600000</f>
        <v>36124884</v>
      </c>
    </row>
    <row r="267" spans="1:3">
      <c r="A267" s="530" t="s">
        <v>2032</v>
      </c>
      <c r="B267" s="559" t="s">
        <v>2033</v>
      </c>
      <c r="C267" s="532">
        <f>27590900*1.16 + 600000</f>
        <v>32605443.999999996</v>
      </c>
    </row>
    <row r="268" spans="1:3">
      <c r="A268" s="530" t="s">
        <v>2034</v>
      </c>
      <c r="B268" s="559" t="s">
        <v>2035</v>
      </c>
      <c r="C268" s="532">
        <f>22940000*1.16 + 600000</f>
        <v>27210400</v>
      </c>
    </row>
    <row r="269" spans="1:3">
      <c r="A269" s="530" t="s">
        <v>2036</v>
      </c>
      <c r="B269" s="559" t="s">
        <v>2037</v>
      </c>
      <c r="C269" s="532">
        <f>22100000*1.16</f>
        <v>25636000</v>
      </c>
    </row>
    <row r="270" spans="1:3">
      <c r="A270" s="530" t="s">
        <v>2038</v>
      </c>
      <c r="B270" s="559" t="s">
        <v>2039</v>
      </c>
      <c r="C270" s="532">
        <f>16100000*1.16</f>
        <v>18676000</v>
      </c>
    </row>
    <row r="271" spans="1:3">
      <c r="A271" s="530" t="s">
        <v>2040</v>
      </c>
      <c r="B271" s="557" t="s">
        <v>2041</v>
      </c>
      <c r="C271" s="532">
        <f>16500000*1.16</f>
        <v>19140000</v>
      </c>
    </row>
    <row r="272" spans="1:3">
      <c r="A272" s="530" t="s">
        <v>2042</v>
      </c>
      <c r="B272" s="557" t="s">
        <v>2043</v>
      </c>
      <c r="C272" s="532">
        <f>20000000*1.16</f>
        <v>23200000</v>
      </c>
    </row>
    <row r="273" spans="1:3">
      <c r="A273" s="530" t="s">
        <v>2044</v>
      </c>
      <c r="B273" s="557" t="s">
        <v>2045</v>
      </c>
      <c r="C273" s="532">
        <f>1895*1.16</f>
        <v>2198.1999999999998</v>
      </c>
    </row>
    <row r="274" spans="1:3">
      <c r="A274" s="530" t="s">
        <v>2046</v>
      </c>
      <c r="B274" s="557" t="s">
        <v>2047</v>
      </c>
      <c r="C274" s="532">
        <v>65000</v>
      </c>
    </row>
    <row r="275" spans="1:3">
      <c r="A275" s="530" t="s">
        <v>2048</v>
      </c>
      <c r="B275" s="557" t="s">
        <v>2049</v>
      </c>
      <c r="C275" s="532">
        <f>12300*1.16</f>
        <v>14267.999999999998</v>
      </c>
    </row>
    <row r="276" spans="1:3">
      <c r="A276" s="530"/>
      <c r="B276" s="557"/>
      <c r="C276" s="532"/>
    </row>
    <row r="277" spans="1:3" ht="26.4">
      <c r="A277" s="530" t="s">
        <v>2050</v>
      </c>
      <c r="B277" s="558" t="s">
        <v>2051</v>
      </c>
      <c r="C277" s="532">
        <v>2000000</v>
      </c>
    </row>
    <row r="278" spans="1:3">
      <c r="A278" s="530" t="s">
        <v>2052</v>
      </c>
      <c r="B278" s="558" t="s">
        <v>2053</v>
      </c>
      <c r="C278" s="532">
        <v>1900000</v>
      </c>
    </row>
    <row r="279" spans="1:3">
      <c r="A279" s="530" t="s">
        <v>2054</v>
      </c>
      <c r="B279" s="557" t="s">
        <v>2055</v>
      </c>
      <c r="C279" s="532">
        <v>1550000</v>
      </c>
    </row>
    <row r="280" spans="1:3">
      <c r="A280" s="530" t="s">
        <v>2056</v>
      </c>
      <c r="B280" s="557" t="s">
        <v>2057</v>
      </c>
      <c r="C280" s="532">
        <f>996000*1.16</f>
        <v>1155360</v>
      </c>
    </row>
    <row r="281" spans="1:3">
      <c r="A281" s="530" t="s">
        <v>2058</v>
      </c>
      <c r="B281" s="557" t="s">
        <v>2059</v>
      </c>
      <c r="C281" s="532">
        <f>623000*1.16</f>
        <v>722680</v>
      </c>
    </row>
    <row r="282" spans="1:3">
      <c r="A282" s="530" t="s">
        <v>2060</v>
      </c>
      <c r="B282" s="557" t="s">
        <v>2061</v>
      </c>
      <c r="C282" s="532">
        <v>756320</v>
      </c>
    </row>
    <row r="283" spans="1:3">
      <c r="A283" s="530" t="s">
        <v>2062</v>
      </c>
      <c r="B283" s="557" t="s">
        <v>2063</v>
      </c>
      <c r="C283" s="532">
        <v>415280</v>
      </c>
    </row>
    <row r="284" spans="1:3">
      <c r="A284" s="530" t="s">
        <v>2064</v>
      </c>
      <c r="B284" s="557" t="s">
        <v>2065</v>
      </c>
      <c r="C284" s="532">
        <f>347000</f>
        <v>347000</v>
      </c>
    </row>
    <row r="285" spans="1:3">
      <c r="A285" s="530" t="s">
        <v>2066</v>
      </c>
      <c r="B285" s="557" t="s">
        <v>2067</v>
      </c>
      <c r="C285" s="532">
        <f>565000</f>
        <v>565000</v>
      </c>
    </row>
    <row r="286" spans="1:3">
      <c r="A286" s="530" t="s">
        <v>2068</v>
      </c>
      <c r="B286" s="557" t="s">
        <v>2069</v>
      </c>
      <c r="C286" s="532">
        <v>89000</v>
      </c>
    </row>
    <row r="287" spans="1:3">
      <c r="A287" s="530" t="s">
        <v>2070</v>
      </c>
      <c r="B287" s="559" t="s">
        <v>2071</v>
      </c>
      <c r="C287" s="532">
        <v>65000</v>
      </c>
    </row>
    <row r="288" spans="1:3" ht="39.6">
      <c r="A288" s="530" t="s">
        <v>2072</v>
      </c>
      <c r="B288" s="559" t="s">
        <v>2073</v>
      </c>
      <c r="C288" s="532">
        <v>800000</v>
      </c>
    </row>
    <row r="289" spans="1:3">
      <c r="A289" s="530" t="s">
        <v>2074</v>
      </c>
      <c r="B289" s="559" t="s">
        <v>2075</v>
      </c>
      <c r="C289" s="532">
        <v>320000</v>
      </c>
    </row>
    <row r="290" spans="1:3">
      <c r="A290" s="530" t="s">
        <v>2076</v>
      </c>
      <c r="B290" s="557" t="s">
        <v>2077</v>
      </c>
      <c r="C290" s="532">
        <v>298000</v>
      </c>
    </row>
    <row r="291" spans="1:3">
      <c r="A291" s="530" t="s">
        <v>2078</v>
      </c>
      <c r="B291" s="557" t="s">
        <v>2079</v>
      </c>
      <c r="C291" s="532">
        <v>223000</v>
      </c>
    </row>
    <row r="292" spans="1:3">
      <c r="A292" s="530" t="s">
        <v>2080</v>
      </c>
      <c r="B292" s="557" t="s">
        <v>2081</v>
      </c>
      <c r="C292" s="532">
        <v>113099.99999999999</v>
      </c>
    </row>
    <row r="293" spans="1:3">
      <c r="A293" s="530" t="s">
        <v>2082</v>
      </c>
      <c r="B293" s="557" t="s">
        <v>2083</v>
      </c>
      <c r="C293" s="532">
        <v>1500000</v>
      </c>
    </row>
    <row r="294" spans="1:3">
      <c r="A294" s="530" t="s">
        <v>2084</v>
      </c>
      <c r="B294" s="557" t="s">
        <v>2085</v>
      </c>
      <c r="C294" s="532">
        <v>100000</v>
      </c>
    </row>
    <row r="295" spans="1:3">
      <c r="A295" s="530" t="s">
        <v>2086</v>
      </c>
      <c r="B295" s="557" t="s">
        <v>2087</v>
      </c>
      <c r="C295" s="532">
        <v>23000</v>
      </c>
    </row>
    <row r="296" spans="1:3">
      <c r="A296" s="530" t="s">
        <v>2088</v>
      </c>
      <c r="B296" s="557" t="s">
        <v>2089</v>
      </c>
      <c r="C296" s="532">
        <v>25000</v>
      </c>
    </row>
    <row r="297" spans="1:3">
      <c r="A297" s="530" t="s">
        <v>2090</v>
      </c>
      <c r="B297" s="557" t="s">
        <v>2091</v>
      </c>
      <c r="C297" s="532">
        <v>3600000</v>
      </c>
    </row>
    <row r="298" spans="1:3">
      <c r="A298" s="530" t="s">
        <v>2092</v>
      </c>
      <c r="B298" s="559" t="s">
        <v>2093</v>
      </c>
      <c r="C298" s="532">
        <v>65000</v>
      </c>
    </row>
    <row r="299" spans="1:3">
      <c r="A299" s="530" t="s">
        <v>2094</v>
      </c>
      <c r="B299" s="559" t="s">
        <v>2095</v>
      </c>
      <c r="C299" s="532">
        <v>65000</v>
      </c>
    </row>
    <row r="300" spans="1:3">
      <c r="A300" s="530" t="s">
        <v>2096</v>
      </c>
      <c r="B300" s="559" t="s">
        <v>2097</v>
      </c>
      <c r="C300" s="532">
        <v>45000</v>
      </c>
    </row>
    <row r="301" spans="1:3">
      <c r="A301" s="530" t="s">
        <v>2098</v>
      </c>
      <c r="B301" s="559" t="s">
        <v>2099</v>
      </c>
      <c r="C301" s="532">
        <v>35000</v>
      </c>
    </row>
    <row r="302" spans="1:3" ht="39.6">
      <c r="A302" s="2" t="s">
        <v>2100</v>
      </c>
      <c r="B302" s="560" t="s">
        <v>2101</v>
      </c>
      <c r="C302" s="532">
        <v>1890000</v>
      </c>
    </row>
    <row r="303" spans="1:3" ht="16.8">
      <c r="A303" s="2" t="s">
        <v>2102</v>
      </c>
      <c r="B303" s="559" t="s">
        <v>2103</v>
      </c>
      <c r="C303" s="532">
        <v>55000</v>
      </c>
    </row>
    <row r="304" spans="1:3">
      <c r="A304" s="530" t="s">
        <v>2104</v>
      </c>
      <c r="B304" s="559" t="s">
        <v>2105</v>
      </c>
      <c r="C304" s="532">
        <v>200000</v>
      </c>
    </row>
    <row r="305" spans="1:3">
      <c r="A305" s="530" t="s">
        <v>2106</v>
      </c>
      <c r="B305" s="559" t="s">
        <v>2107</v>
      </c>
      <c r="C305" s="532">
        <v>175000</v>
      </c>
    </row>
    <row r="306" spans="1:3">
      <c r="A306" s="530" t="s">
        <v>2108</v>
      </c>
      <c r="B306" s="559" t="s">
        <v>2109</v>
      </c>
      <c r="C306" s="532">
        <v>150000</v>
      </c>
    </row>
    <row r="307" spans="1:3" ht="39.6">
      <c r="A307" s="2" t="s">
        <v>2110</v>
      </c>
      <c r="B307" s="559" t="s">
        <v>2111</v>
      </c>
      <c r="C307" s="532">
        <v>3300000</v>
      </c>
    </row>
    <row r="308" spans="1:3" ht="16.8">
      <c r="A308" s="547" t="s">
        <v>2112</v>
      </c>
      <c r="B308" s="559" t="s">
        <v>2113</v>
      </c>
      <c r="C308" s="532">
        <f>5000*1.16</f>
        <v>5800</v>
      </c>
    </row>
    <row r="309" spans="1:3" ht="16.8">
      <c r="A309" s="547" t="s">
        <v>2114</v>
      </c>
      <c r="B309" s="559" t="s">
        <v>2115</v>
      </c>
      <c r="C309" s="532">
        <f>169980*1.19</f>
        <v>202276.19999999998</v>
      </c>
    </row>
    <row r="310" spans="1:3">
      <c r="A310" s="530" t="s">
        <v>2116</v>
      </c>
      <c r="B310" s="557" t="s">
        <v>2117</v>
      </c>
      <c r="C310" s="532">
        <v>189660</v>
      </c>
    </row>
    <row r="311" spans="1:3">
      <c r="A311" s="530" t="s">
        <v>2118</v>
      </c>
      <c r="B311" s="557" t="s">
        <v>2119</v>
      </c>
      <c r="C311" s="532">
        <f>65000*1.16</f>
        <v>75400</v>
      </c>
    </row>
    <row r="312" spans="1:3">
      <c r="A312" s="530" t="s">
        <v>2120</v>
      </c>
      <c r="B312" s="557" t="s">
        <v>2121</v>
      </c>
      <c r="C312" s="532">
        <f>58000*1.16</f>
        <v>67280</v>
      </c>
    </row>
    <row r="313" spans="1:3">
      <c r="A313" s="530" t="s">
        <v>2122</v>
      </c>
      <c r="B313" s="557" t="s">
        <v>2123</v>
      </c>
      <c r="C313" s="532">
        <v>122760.00000000001</v>
      </c>
    </row>
    <row r="314" spans="1:3">
      <c r="A314" s="530" t="s">
        <v>2124</v>
      </c>
      <c r="B314" s="557" t="s">
        <v>2125</v>
      </c>
      <c r="C314" s="532">
        <v>15000</v>
      </c>
    </row>
    <row r="315" spans="1:3">
      <c r="A315" s="530" t="s">
        <v>2126</v>
      </c>
      <c r="B315" s="559" t="s">
        <v>2127</v>
      </c>
      <c r="C315" s="532">
        <v>17000</v>
      </c>
    </row>
    <row r="316" spans="1:3">
      <c r="A316" s="530" t="s">
        <v>2128</v>
      </c>
      <c r="B316" s="559" t="s">
        <v>2129</v>
      </c>
      <c r="C316" s="532">
        <v>5750</v>
      </c>
    </row>
    <row r="317" spans="1:3">
      <c r="A317" s="530" t="s">
        <v>2130</v>
      </c>
      <c r="B317" s="559" t="s">
        <v>2131</v>
      </c>
      <c r="C317" s="532">
        <v>12000</v>
      </c>
    </row>
    <row r="318" spans="1:3">
      <c r="A318" s="530" t="s">
        <v>2132</v>
      </c>
      <c r="B318" s="559" t="s">
        <v>2133</v>
      </c>
      <c r="C318" s="532">
        <v>2500</v>
      </c>
    </row>
    <row r="319" spans="1:3">
      <c r="A319" s="530" t="s">
        <v>2134</v>
      </c>
      <c r="B319" s="559" t="s">
        <v>2135</v>
      </c>
      <c r="C319" s="532">
        <v>2000</v>
      </c>
    </row>
    <row r="320" spans="1:3">
      <c r="A320" s="530" t="s">
        <v>2136</v>
      </c>
      <c r="B320" s="559" t="s">
        <v>2137</v>
      </c>
      <c r="C320" s="532">
        <v>1501</v>
      </c>
    </row>
    <row r="321" spans="1:3">
      <c r="A321" s="530" t="s">
        <v>2138</v>
      </c>
      <c r="B321" s="559" t="s">
        <v>2139</v>
      </c>
      <c r="C321" s="532">
        <v>1200</v>
      </c>
    </row>
    <row r="322" spans="1:3">
      <c r="A322" s="530" t="s">
        <v>2140</v>
      </c>
      <c r="B322" s="559" t="s">
        <v>2141</v>
      </c>
      <c r="C322" s="532">
        <v>20300</v>
      </c>
    </row>
    <row r="323" spans="1:3">
      <c r="A323" s="530" t="s">
        <v>2142</v>
      </c>
      <c r="B323" s="557" t="s">
        <v>2143</v>
      </c>
      <c r="C323" s="532">
        <v>20300</v>
      </c>
    </row>
    <row r="324" spans="1:3">
      <c r="A324" s="530" t="s">
        <v>2144</v>
      </c>
      <c r="B324" s="557" t="s">
        <v>2145</v>
      </c>
      <c r="C324" s="532">
        <v>20300</v>
      </c>
    </row>
    <row r="325" spans="1:3">
      <c r="A325" s="530" t="s">
        <v>2146</v>
      </c>
      <c r="B325" s="557" t="s">
        <v>2147</v>
      </c>
      <c r="C325" s="532">
        <v>29579.999999999996</v>
      </c>
    </row>
    <row r="326" spans="1:3">
      <c r="A326" s="530" t="s">
        <v>2148</v>
      </c>
      <c r="B326" s="557" t="s">
        <v>2149</v>
      </c>
      <c r="C326" s="532">
        <f>6200*1.16</f>
        <v>7191.9999999999991</v>
      </c>
    </row>
    <row r="327" spans="1:3">
      <c r="A327" s="530" t="s">
        <v>2150</v>
      </c>
      <c r="B327" s="557" t="s">
        <v>2151</v>
      </c>
      <c r="C327" s="532">
        <f>5900*1.16</f>
        <v>6843.9999999999991</v>
      </c>
    </row>
    <row r="328" spans="1:3" ht="26.4">
      <c r="A328" s="530" t="s">
        <v>2152</v>
      </c>
      <c r="B328" s="557" t="s">
        <v>2153</v>
      </c>
      <c r="C328" s="532">
        <v>25000</v>
      </c>
    </row>
    <row r="329" spans="1:3">
      <c r="A329" s="530" t="s">
        <v>2154</v>
      </c>
      <c r="B329" s="557" t="s">
        <v>2155</v>
      </c>
      <c r="C329" s="532">
        <f>2456*1.19</f>
        <v>2922.64</v>
      </c>
    </row>
    <row r="330" spans="1:3">
      <c r="A330" s="530" t="s">
        <v>2156</v>
      </c>
      <c r="B330" s="557" t="s">
        <v>2157</v>
      </c>
      <c r="C330" s="532">
        <v>5286.12</v>
      </c>
    </row>
    <row r="331" spans="1:3">
      <c r="A331" s="530" t="s">
        <v>2158</v>
      </c>
      <c r="B331" s="557" t="s">
        <v>2159</v>
      </c>
      <c r="C331" s="532">
        <v>7907.7199999999993</v>
      </c>
    </row>
    <row r="332" spans="1:3">
      <c r="A332" s="530" t="s">
        <v>2160</v>
      </c>
      <c r="B332" s="557" t="s">
        <v>2161</v>
      </c>
      <c r="C332" s="532">
        <v>8900</v>
      </c>
    </row>
    <row r="333" spans="1:3">
      <c r="A333" s="530" t="s">
        <v>2162</v>
      </c>
      <c r="B333" s="557" t="s">
        <v>2163</v>
      </c>
      <c r="C333" s="532">
        <v>9907.7199999999993</v>
      </c>
    </row>
    <row r="334" spans="1:3">
      <c r="A334" s="530" t="s">
        <v>2164</v>
      </c>
      <c r="B334" s="557" t="s">
        <v>2165</v>
      </c>
      <c r="C334" s="532">
        <v>5286.12</v>
      </c>
    </row>
    <row r="335" spans="1:3">
      <c r="A335" s="530" t="s">
        <v>2166</v>
      </c>
      <c r="B335" s="557" t="s">
        <v>2167</v>
      </c>
      <c r="C335" s="532">
        <v>9900000</v>
      </c>
    </row>
    <row r="336" spans="1:3">
      <c r="A336" s="530" t="s">
        <v>2166</v>
      </c>
      <c r="B336" s="557" t="s">
        <v>2168</v>
      </c>
      <c r="C336" s="532">
        <f>7875877*1.19</f>
        <v>9372293.629999999</v>
      </c>
    </row>
    <row r="337" spans="1:3">
      <c r="A337" s="539" t="s">
        <v>2169</v>
      </c>
      <c r="B337" s="567" t="s">
        <v>2170</v>
      </c>
      <c r="C337" s="532">
        <v>3000000</v>
      </c>
    </row>
    <row r="338" spans="1:3">
      <c r="A338" s="530" t="s">
        <v>2171</v>
      </c>
      <c r="B338" s="557" t="s">
        <v>2172</v>
      </c>
      <c r="C338" s="532">
        <f>23800000*1.19</f>
        <v>28322000</v>
      </c>
    </row>
    <row r="339" spans="1:3">
      <c r="A339" s="530" t="s">
        <v>2173</v>
      </c>
      <c r="B339" s="557" t="s">
        <v>2174</v>
      </c>
      <c r="C339" s="532">
        <f>22100000*1.19</f>
        <v>26299000</v>
      </c>
    </row>
    <row r="340" spans="1:3">
      <c r="A340" s="530" t="s">
        <v>2175</v>
      </c>
      <c r="B340" s="557" t="s">
        <v>2176</v>
      </c>
      <c r="C340" s="532">
        <f>24064000*1.19</f>
        <v>28636160</v>
      </c>
    </row>
    <row r="341" spans="1:3">
      <c r="A341" s="530" t="s">
        <v>2177</v>
      </c>
      <c r="B341" s="557" t="s">
        <v>2178</v>
      </c>
      <c r="C341" s="532">
        <f>12896000*1.19</f>
        <v>15346240</v>
      </c>
    </row>
    <row r="342" spans="1:3">
      <c r="A342" s="530" t="s">
        <v>2179</v>
      </c>
      <c r="B342" s="557" t="s">
        <v>2178</v>
      </c>
      <c r="C342" s="532">
        <f>14887500*1.19</f>
        <v>17716125</v>
      </c>
    </row>
    <row r="343" spans="1:3">
      <c r="A343" s="530" t="s">
        <v>2180</v>
      </c>
      <c r="B343" s="557" t="s">
        <v>2181</v>
      </c>
      <c r="C343" s="532">
        <f>11200000*1.19</f>
        <v>13328000</v>
      </c>
    </row>
    <row r="344" spans="1:3">
      <c r="A344" s="530" t="s">
        <v>2182</v>
      </c>
      <c r="B344" s="557" t="s">
        <v>2183</v>
      </c>
      <c r="C344" s="532">
        <f>14910000*1.19</f>
        <v>17742900</v>
      </c>
    </row>
    <row r="345" spans="1:3">
      <c r="A345" s="530" t="s">
        <v>2184</v>
      </c>
      <c r="B345" s="557" t="s">
        <v>2185</v>
      </c>
      <c r="C345" s="532">
        <f>15535000*1.19</f>
        <v>18486650</v>
      </c>
    </row>
    <row r="346" spans="1:3">
      <c r="A346" s="530" t="s">
        <v>2186</v>
      </c>
      <c r="B346" s="557" t="s">
        <v>2187</v>
      </c>
      <c r="C346" s="532">
        <f>13250000*1.19</f>
        <v>15767500</v>
      </c>
    </row>
    <row r="347" spans="1:3">
      <c r="A347" s="530" t="s">
        <v>2188</v>
      </c>
      <c r="B347" s="557" t="s">
        <v>2189</v>
      </c>
      <c r="C347" s="532">
        <f>7040000*1.19</f>
        <v>8377600</v>
      </c>
    </row>
    <row r="348" spans="1:3">
      <c r="A348" s="530" t="s">
        <v>2190</v>
      </c>
      <c r="B348" s="557" t="s">
        <v>2191</v>
      </c>
      <c r="C348" s="532">
        <f>6048000*1.19</f>
        <v>7197120</v>
      </c>
    </row>
    <row r="349" spans="1:3">
      <c r="A349" s="530" t="s">
        <v>2192</v>
      </c>
      <c r="B349" s="557" t="s">
        <v>2193</v>
      </c>
      <c r="C349" s="532">
        <f>5088000*1.19</f>
        <v>6054720</v>
      </c>
    </row>
    <row r="350" spans="1:3">
      <c r="A350" s="530" t="s">
        <v>2194</v>
      </c>
      <c r="B350" s="557" t="s">
        <v>2195</v>
      </c>
      <c r="C350" s="532">
        <f>5088000*1.19</f>
        <v>6054720</v>
      </c>
    </row>
    <row r="351" spans="1:3">
      <c r="A351" s="530" t="s">
        <v>2196</v>
      </c>
      <c r="B351" s="557" t="s">
        <v>2197</v>
      </c>
      <c r="C351" s="532">
        <f>3936000*1.19</f>
        <v>4683840</v>
      </c>
    </row>
    <row r="352" spans="1:3">
      <c r="A352" s="530" t="s">
        <v>2198</v>
      </c>
      <c r="B352" s="557" t="s">
        <v>2199</v>
      </c>
      <c r="C352" s="532">
        <f>3296000*1.19</f>
        <v>3922240</v>
      </c>
    </row>
    <row r="353" spans="1:3" ht="16.8">
      <c r="A353" s="243" t="s">
        <v>2200</v>
      </c>
      <c r="B353" s="567" t="s">
        <v>2201</v>
      </c>
      <c r="C353" s="532">
        <f>2688000*1.19</f>
        <v>3198720</v>
      </c>
    </row>
    <row r="354" spans="1:3">
      <c r="A354" s="530" t="s">
        <v>2202</v>
      </c>
      <c r="B354" s="559" t="s">
        <v>2203</v>
      </c>
      <c r="C354" s="532">
        <v>850000</v>
      </c>
    </row>
    <row r="355" spans="1:3">
      <c r="A355" s="530" t="s">
        <v>2204</v>
      </c>
      <c r="B355" s="559" t="s">
        <v>2205</v>
      </c>
      <c r="C355" s="532">
        <v>650000</v>
      </c>
    </row>
    <row r="356" spans="1:3">
      <c r="A356" s="530" t="s">
        <v>2206</v>
      </c>
      <c r="B356" s="557" t="s">
        <v>2207</v>
      </c>
      <c r="C356" s="532">
        <v>2500000</v>
      </c>
    </row>
    <row r="357" spans="1:3">
      <c r="A357" s="530" t="s">
        <v>2208</v>
      </c>
      <c r="B357" s="557" t="s">
        <v>2209</v>
      </c>
      <c r="C357" s="532">
        <v>2300000</v>
      </c>
    </row>
    <row r="358" spans="1:3">
      <c r="A358" s="530" t="s">
        <v>2180</v>
      </c>
      <c r="B358" s="557" t="s">
        <v>2210</v>
      </c>
      <c r="C358" s="532">
        <v>65000</v>
      </c>
    </row>
    <row r="359" spans="1:3">
      <c r="A359" s="530" t="s">
        <v>2211</v>
      </c>
      <c r="B359" s="557" t="s">
        <v>2212</v>
      </c>
      <c r="C359" s="532">
        <v>85000</v>
      </c>
    </row>
    <row r="360" spans="1:3">
      <c r="A360" s="530" t="s">
        <v>2188</v>
      </c>
      <c r="B360" s="557" t="s">
        <v>2213</v>
      </c>
      <c r="C360" s="532">
        <v>85000</v>
      </c>
    </row>
    <row r="361" spans="1:3">
      <c r="A361" s="530" t="s">
        <v>2214</v>
      </c>
      <c r="B361" s="559" t="s">
        <v>2215</v>
      </c>
      <c r="C361" s="532">
        <v>65000</v>
      </c>
    </row>
    <row r="362" spans="1:3">
      <c r="A362" s="530" t="s">
        <v>2177</v>
      </c>
      <c r="B362" s="559" t="s">
        <v>2216</v>
      </c>
      <c r="C362" s="532">
        <v>65000</v>
      </c>
    </row>
    <row r="363" spans="1:3">
      <c r="A363" s="530" t="s">
        <v>2217</v>
      </c>
      <c r="B363" s="557" t="s">
        <v>2218</v>
      </c>
      <c r="C363" s="532">
        <v>750000</v>
      </c>
    </row>
    <row r="364" spans="1:3" ht="16.8">
      <c r="A364" s="243" t="s">
        <v>2219</v>
      </c>
      <c r="B364" s="568" t="s">
        <v>2220</v>
      </c>
      <c r="C364" s="532">
        <v>800000</v>
      </c>
    </row>
    <row r="365" spans="1:3">
      <c r="A365" s="530" t="s">
        <v>2221</v>
      </c>
      <c r="B365" s="557" t="s">
        <v>2222</v>
      </c>
      <c r="C365" s="532">
        <f>4300*1.16</f>
        <v>4988</v>
      </c>
    </row>
    <row r="366" spans="1:3">
      <c r="A366" s="530" t="s">
        <v>2223</v>
      </c>
      <c r="B366" s="557" t="s">
        <v>2224</v>
      </c>
      <c r="C366" s="532">
        <f>4890*1.16</f>
        <v>5672.4</v>
      </c>
    </row>
    <row r="367" spans="1:3">
      <c r="A367" s="530" t="s">
        <v>2225</v>
      </c>
      <c r="B367" s="557" t="s">
        <v>2226</v>
      </c>
      <c r="C367" s="532">
        <f>43100*1.16</f>
        <v>49996</v>
      </c>
    </row>
    <row r="368" spans="1:3">
      <c r="A368" s="530" t="s">
        <v>2227</v>
      </c>
      <c r="B368" s="557" t="s">
        <v>2228</v>
      </c>
      <c r="C368" s="532">
        <f>62500*1.16</f>
        <v>72500</v>
      </c>
    </row>
    <row r="369" spans="1:3">
      <c r="A369" s="530" t="s">
        <v>2229</v>
      </c>
      <c r="B369" s="557" t="s">
        <v>2230</v>
      </c>
      <c r="C369" s="532">
        <f>108560*1.16</f>
        <v>125929.59999999999</v>
      </c>
    </row>
    <row r="370" spans="1:3">
      <c r="A370" s="530" t="s">
        <v>2231</v>
      </c>
      <c r="B370" s="557" t="s">
        <v>2232</v>
      </c>
      <c r="C370" s="532">
        <v>38000</v>
      </c>
    </row>
    <row r="371" spans="1:3" ht="26.4">
      <c r="A371" s="530" t="s">
        <v>2233</v>
      </c>
      <c r="B371" s="557" t="s">
        <v>2234</v>
      </c>
      <c r="C371" s="532">
        <v>45000</v>
      </c>
    </row>
    <row r="372" spans="1:3">
      <c r="A372" s="530" t="s">
        <v>2235</v>
      </c>
      <c r="B372" s="557" t="s">
        <v>2236</v>
      </c>
      <c r="C372" s="532">
        <v>750000</v>
      </c>
    </row>
    <row r="373" spans="1:3">
      <c r="A373" s="530" t="s">
        <v>2237</v>
      </c>
      <c r="B373" s="557" t="s">
        <v>2238</v>
      </c>
      <c r="C373" s="532">
        <v>89000</v>
      </c>
    </row>
    <row r="374" spans="1:3">
      <c r="A374" s="530" t="s">
        <v>2239</v>
      </c>
      <c r="B374" s="557" t="s">
        <v>2240</v>
      </c>
      <c r="C374" s="532">
        <v>80000</v>
      </c>
    </row>
    <row r="375" spans="1:3">
      <c r="A375" s="530" t="s">
        <v>2241</v>
      </c>
      <c r="B375" s="557" t="s">
        <v>2242</v>
      </c>
      <c r="C375" s="532">
        <f>57879*1.19</f>
        <v>68876.009999999995</v>
      </c>
    </row>
    <row r="376" spans="1:3">
      <c r="A376" s="530" t="s">
        <v>2243</v>
      </c>
      <c r="B376" s="557" t="s">
        <v>2244</v>
      </c>
      <c r="C376" s="532">
        <f>26000*1.16</f>
        <v>30159.999999999996</v>
      </c>
    </row>
    <row r="377" spans="1:3">
      <c r="A377" s="530" t="s">
        <v>2245</v>
      </c>
      <c r="B377" s="559" t="s">
        <v>2246</v>
      </c>
      <c r="C377" s="532">
        <v>6700</v>
      </c>
    </row>
    <row r="378" spans="1:3">
      <c r="A378" s="530" t="s">
        <v>2247</v>
      </c>
      <c r="B378" s="559" t="s">
        <v>2248</v>
      </c>
      <c r="C378" s="532">
        <v>2840</v>
      </c>
    </row>
    <row r="379" spans="1:3">
      <c r="A379" s="530" t="s">
        <v>2249</v>
      </c>
      <c r="B379" s="559" t="s">
        <v>2250</v>
      </c>
      <c r="C379" s="532">
        <v>2500</v>
      </c>
    </row>
    <row r="380" spans="1:3">
      <c r="A380" s="530" t="s">
        <v>2251</v>
      </c>
      <c r="B380" s="559" t="s">
        <v>2252</v>
      </c>
      <c r="C380" s="532">
        <v>2400</v>
      </c>
    </row>
    <row r="381" spans="1:3">
      <c r="A381" s="530" t="s">
        <v>2253</v>
      </c>
      <c r="B381" s="557" t="s">
        <v>2254</v>
      </c>
      <c r="C381" s="532">
        <v>9772.9999999999982</v>
      </c>
    </row>
    <row r="382" spans="1:3">
      <c r="A382" s="530" t="s">
        <v>2255</v>
      </c>
      <c r="B382" s="557" t="s">
        <v>2256</v>
      </c>
      <c r="C382" s="532">
        <v>12100</v>
      </c>
    </row>
    <row r="383" spans="1:3">
      <c r="A383" s="530" t="s">
        <v>2257</v>
      </c>
      <c r="B383" s="557" t="s">
        <v>2258</v>
      </c>
      <c r="C383" s="532">
        <v>1200</v>
      </c>
    </row>
    <row r="384" spans="1:3">
      <c r="A384" s="530" t="s">
        <v>2259</v>
      </c>
      <c r="B384" s="557" t="s">
        <v>2260</v>
      </c>
      <c r="C384" s="532">
        <f>(1634*1.16)/3</f>
        <v>631.81333333333328</v>
      </c>
    </row>
    <row r="385" spans="1:3">
      <c r="A385" s="530" t="s">
        <v>2261</v>
      </c>
      <c r="B385" s="557" t="s">
        <v>2262</v>
      </c>
      <c r="C385" s="532">
        <f>7351*1.16</f>
        <v>8527.16</v>
      </c>
    </row>
    <row r="386" spans="1:3">
      <c r="A386" s="530" t="s">
        <v>2263</v>
      </c>
      <c r="B386" s="557" t="s">
        <v>2264</v>
      </c>
      <c r="C386" s="532">
        <v>3500</v>
      </c>
    </row>
    <row r="387" spans="1:3">
      <c r="A387" s="530" t="s">
        <v>2265</v>
      </c>
      <c r="B387" s="557" t="s">
        <v>2266</v>
      </c>
      <c r="C387" s="532">
        <v>2259.6799999999998</v>
      </c>
    </row>
    <row r="388" spans="1:3">
      <c r="A388" s="530" t="s">
        <v>2267</v>
      </c>
      <c r="B388" s="557" t="s">
        <v>2268</v>
      </c>
      <c r="C388" s="532">
        <v>5754.7599999999993</v>
      </c>
    </row>
    <row r="389" spans="1:3">
      <c r="A389" s="530" t="s">
        <v>2269</v>
      </c>
      <c r="B389" s="557" t="s">
        <v>2270</v>
      </c>
      <c r="C389" s="532">
        <v>48000</v>
      </c>
    </row>
    <row r="390" spans="1:3">
      <c r="A390" s="530" t="s">
        <v>2271</v>
      </c>
      <c r="B390" s="557" t="s">
        <v>2272</v>
      </c>
      <c r="C390" s="532">
        <v>135000</v>
      </c>
    </row>
    <row r="391" spans="1:3">
      <c r="A391" s="530" t="s">
        <v>2273</v>
      </c>
      <c r="B391" s="557" t="s">
        <v>2274</v>
      </c>
      <c r="C391" s="532">
        <v>123000</v>
      </c>
    </row>
    <row r="392" spans="1:3">
      <c r="A392" s="530" t="s">
        <v>2275</v>
      </c>
      <c r="B392" s="557" t="s">
        <v>2276</v>
      </c>
      <c r="C392" s="532">
        <v>108000</v>
      </c>
    </row>
    <row r="393" spans="1:3">
      <c r="A393" s="530" t="s">
        <v>2277</v>
      </c>
      <c r="B393" s="557" t="s">
        <v>2278</v>
      </c>
      <c r="C393" s="532">
        <f>400*1.16</f>
        <v>463.99999999999994</v>
      </c>
    </row>
    <row r="394" spans="1:3">
      <c r="A394" s="530" t="s">
        <v>2279</v>
      </c>
      <c r="B394" s="557" t="s">
        <v>2280</v>
      </c>
      <c r="C394" s="532">
        <f>450*1.16</f>
        <v>522</v>
      </c>
    </row>
    <row r="395" spans="1:3">
      <c r="A395" s="530" t="s">
        <v>2281</v>
      </c>
      <c r="B395" s="557" t="s">
        <v>2282</v>
      </c>
      <c r="C395" s="532">
        <f>400000*1.16</f>
        <v>463999.99999999994</v>
      </c>
    </row>
    <row r="396" spans="1:3">
      <c r="A396" s="530" t="s">
        <v>2283</v>
      </c>
      <c r="B396" s="557" t="s">
        <v>2284</v>
      </c>
      <c r="C396" s="532">
        <v>905000</v>
      </c>
    </row>
    <row r="397" spans="1:3">
      <c r="A397" s="530" t="s">
        <v>2285</v>
      </c>
      <c r="B397" s="557" t="s">
        <v>2286</v>
      </c>
      <c r="C397" s="532">
        <v>797000</v>
      </c>
    </row>
    <row r="398" spans="1:3">
      <c r="A398" s="530" t="s">
        <v>2287</v>
      </c>
      <c r="B398" s="557" t="s">
        <v>2288</v>
      </c>
      <c r="C398" s="532">
        <f>458000*1.16</f>
        <v>531280</v>
      </c>
    </row>
    <row r="399" spans="1:3">
      <c r="A399" s="530" t="s">
        <v>2289</v>
      </c>
      <c r="B399" s="557" t="s">
        <v>2290</v>
      </c>
      <c r="C399" s="532">
        <v>1150000</v>
      </c>
    </row>
    <row r="400" spans="1:3">
      <c r="A400" s="530" t="s">
        <v>2291</v>
      </c>
      <c r="B400" s="557" t="s">
        <v>2292</v>
      </c>
      <c r="C400" s="532">
        <v>1600000</v>
      </c>
    </row>
    <row r="401" spans="1:3">
      <c r="A401" s="530" t="s">
        <v>2287</v>
      </c>
      <c r="B401" s="557" t="s">
        <v>2293</v>
      </c>
      <c r="C401" s="532">
        <v>635000</v>
      </c>
    </row>
    <row r="402" spans="1:3">
      <c r="A402" s="530" t="s">
        <v>2294</v>
      </c>
      <c r="B402" s="557" t="s">
        <v>2295</v>
      </c>
      <c r="C402" s="532">
        <v>38000</v>
      </c>
    </row>
    <row r="403" spans="1:3">
      <c r="A403" s="530" t="s">
        <v>2296</v>
      </c>
      <c r="B403" s="557" t="s">
        <v>2297</v>
      </c>
      <c r="C403" s="532">
        <f>96300*1.19</f>
        <v>114597</v>
      </c>
    </row>
    <row r="404" spans="1:3">
      <c r="A404" s="530" t="s">
        <v>2298</v>
      </c>
      <c r="B404" s="557" t="s">
        <v>2299</v>
      </c>
      <c r="C404" s="532">
        <v>17665.64</v>
      </c>
    </row>
    <row r="405" spans="1:3">
      <c r="A405" s="530" t="s">
        <v>2300</v>
      </c>
      <c r="B405" s="557" t="s">
        <v>2301</v>
      </c>
      <c r="C405" s="549">
        <v>15500</v>
      </c>
    </row>
    <row r="406" spans="1:3" ht="39.6">
      <c r="A406" s="243" t="s">
        <v>2302</v>
      </c>
      <c r="B406" s="559" t="s">
        <v>2303</v>
      </c>
      <c r="C406" s="549">
        <v>22800000</v>
      </c>
    </row>
    <row r="407" spans="1:3" ht="39.6">
      <c r="A407" s="243" t="s">
        <v>2304</v>
      </c>
      <c r="B407" s="559" t="s">
        <v>2305</v>
      </c>
      <c r="C407" s="549">
        <f>14298750*1.19</f>
        <v>17015512.5</v>
      </c>
    </row>
    <row r="408" spans="1:3" ht="39.6">
      <c r="A408" s="530" t="s">
        <v>2306</v>
      </c>
      <c r="B408" s="557" t="s">
        <v>2307</v>
      </c>
      <c r="C408" s="532">
        <f>15828000*1.16</f>
        <v>18360480</v>
      </c>
    </row>
    <row r="409" spans="1:3" ht="39.6">
      <c r="A409" s="243" t="s">
        <v>2308</v>
      </c>
      <c r="B409" s="559" t="s">
        <v>2309</v>
      </c>
      <c r="C409" s="532">
        <v>17800000</v>
      </c>
    </row>
    <row r="410" spans="1:3" ht="41.4">
      <c r="A410" s="243" t="s">
        <v>2310</v>
      </c>
      <c r="B410" s="565" t="s">
        <v>2311</v>
      </c>
      <c r="C410" s="532">
        <v>19800000</v>
      </c>
    </row>
    <row r="411" spans="1:3" ht="50.4">
      <c r="A411" s="243" t="s">
        <v>2312</v>
      </c>
      <c r="B411" s="561" t="s">
        <v>2313</v>
      </c>
      <c r="C411" s="532">
        <f>25982000*1.16</f>
        <v>30139119.999999996</v>
      </c>
    </row>
    <row r="412" spans="1:3" ht="50.4">
      <c r="A412" s="243" t="s">
        <v>2314</v>
      </c>
      <c r="B412" s="561" t="s">
        <v>2315</v>
      </c>
      <c r="C412" s="532">
        <f>17572500*1.19</f>
        <v>20911275</v>
      </c>
    </row>
    <row r="413" spans="1:3" ht="50.4">
      <c r="A413" s="243" t="s">
        <v>2316</v>
      </c>
      <c r="B413" s="561" t="s">
        <v>2317</v>
      </c>
      <c r="C413" s="532">
        <f>32433750*1.19</f>
        <v>38596162.5</v>
      </c>
    </row>
    <row r="414" spans="1:3" ht="50.4">
      <c r="A414" s="243" t="s">
        <v>2318</v>
      </c>
      <c r="B414" s="561" t="s">
        <v>2319</v>
      </c>
      <c r="C414" s="532">
        <v>32000000</v>
      </c>
    </row>
    <row r="415" spans="1:3" ht="33.6">
      <c r="A415" s="243" t="s">
        <v>2320</v>
      </c>
      <c r="B415" s="561" t="s">
        <v>2321</v>
      </c>
      <c r="C415" s="532">
        <v>6200000</v>
      </c>
    </row>
    <row r="416" spans="1:3" ht="33.6">
      <c r="A416" s="243" t="s">
        <v>2322</v>
      </c>
      <c r="B416" s="561" t="s">
        <v>2323</v>
      </c>
      <c r="C416" s="532">
        <v>3565000</v>
      </c>
    </row>
    <row r="417" spans="1:3" ht="33.6">
      <c r="A417" s="243" t="s">
        <v>2324</v>
      </c>
      <c r="B417" s="561" t="s">
        <v>2325</v>
      </c>
      <c r="C417" s="532">
        <v>3576000</v>
      </c>
    </row>
    <row r="418" spans="1:3" ht="33.6">
      <c r="A418" s="243" t="s">
        <v>2326</v>
      </c>
      <c r="B418" s="561" t="s">
        <v>2327</v>
      </c>
      <c r="C418" s="532">
        <v>3100000</v>
      </c>
    </row>
    <row r="419" spans="1:3" ht="39.6">
      <c r="A419" s="243" t="s">
        <v>2328</v>
      </c>
      <c r="B419" s="559" t="s">
        <v>2329</v>
      </c>
      <c r="C419" s="532">
        <v>2978000</v>
      </c>
    </row>
    <row r="420" spans="1:3" ht="33.6">
      <c r="A420" s="243" t="s">
        <v>2330</v>
      </c>
      <c r="B420" s="561" t="s">
        <v>2331</v>
      </c>
      <c r="C420" s="532">
        <f>2520000*1.16</f>
        <v>2923200</v>
      </c>
    </row>
    <row r="421" spans="1:3" ht="33.6">
      <c r="A421" s="243" t="s">
        <v>2332</v>
      </c>
      <c r="B421" s="561" t="s">
        <v>2333</v>
      </c>
      <c r="C421" s="532">
        <v>2900500</v>
      </c>
    </row>
    <row r="422" spans="1:3" ht="33.6">
      <c r="A422" s="243" t="s">
        <v>2334</v>
      </c>
      <c r="B422" s="561" t="s">
        <v>2335</v>
      </c>
      <c r="C422" s="532">
        <f>2976000*1.19</f>
        <v>3541440</v>
      </c>
    </row>
    <row r="423" spans="1:3">
      <c r="A423" s="530" t="s">
        <v>2336</v>
      </c>
      <c r="B423" s="559" t="s">
        <v>2337</v>
      </c>
      <c r="C423" s="532">
        <v>100000</v>
      </c>
    </row>
    <row r="424" spans="1:3">
      <c r="A424" s="530" t="s">
        <v>2338</v>
      </c>
      <c r="B424" s="559" t="s">
        <v>2339</v>
      </c>
      <c r="C424" s="532">
        <v>690000</v>
      </c>
    </row>
    <row r="425" spans="1:3">
      <c r="A425" s="530" t="s">
        <v>2340</v>
      </c>
      <c r="B425" s="559" t="s">
        <v>2341</v>
      </c>
      <c r="C425" s="532">
        <v>559000</v>
      </c>
    </row>
    <row r="426" spans="1:3">
      <c r="A426" s="530" t="s">
        <v>2342</v>
      </c>
      <c r="B426" s="559" t="s">
        <v>2343</v>
      </c>
      <c r="C426" s="532">
        <v>367900</v>
      </c>
    </row>
    <row r="427" spans="1:3">
      <c r="A427" s="550" t="s">
        <v>2344</v>
      </c>
      <c r="B427" s="558" t="s">
        <v>189</v>
      </c>
      <c r="C427" s="551"/>
    </row>
    <row r="428" spans="1:3">
      <c r="A428" s="552" t="s">
        <v>2345</v>
      </c>
      <c r="B428" s="569" t="s">
        <v>2346</v>
      </c>
      <c r="C428" s="553">
        <f>850000*1.16</f>
        <v>985999.99999999988</v>
      </c>
    </row>
    <row r="429" spans="1:3">
      <c r="A429" s="552" t="s">
        <v>2347</v>
      </c>
      <c r="B429" s="569" t="s">
        <v>2348</v>
      </c>
      <c r="C429" s="553">
        <f>990000*1.16</f>
        <v>1148400</v>
      </c>
    </row>
    <row r="430" spans="1:3">
      <c r="A430" s="552" t="s">
        <v>2349</v>
      </c>
      <c r="B430" s="569" t="s">
        <v>2350</v>
      </c>
      <c r="C430" s="553">
        <f>850000*1.16</f>
        <v>985999.99999999988</v>
      </c>
    </row>
    <row r="431" spans="1:3">
      <c r="A431" s="552" t="s">
        <v>2351</v>
      </c>
      <c r="B431" s="569" t="s">
        <v>2352</v>
      </c>
      <c r="C431" s="553">
        <f>990000*1.16</f>
        <v>1148400</v>
      </c>
    </row>
    <row r="432" spans="1:3" ht="26.4">
      <c r="A432" s="552" t="s">
        <v>2353</v>
      </c>
      <c r="B432" s="559" t="s">
        <v>2354</v>
      </c>
      <c r="C432" s="553">
        <f>136000*1.16</f>
        <v>157760</v>
      </c>
    </row>
    <row r="433" spans="1:3" ht="26.4">
      <c r="A433" s="552" t="s">
        <v>2355</v>
      </c>
      <c r="B433" s="559" t="s">
        <v>2356</v>
      </c>
      <c r="C433" s="553">
        <f>136000*1.16</f>
        <v>157760</v>
      </c>
    </row>
    <row r="434" spans="1:3" ht="26.4">
      <c r="A434" s="552" t="s">
        <v>2357</v>
      </c>
      <c r="B434" s="559" t="s">
        <v>2358</v>
      </c>
      <c r="C434" s="553">
        <f t="shared" ref="C434:C437" si="0">136000*1.16</f>
        <v>157760</v>
      </c>
    </row>
    <row r="435" spans="1:3" ht="26.4">
      <c r="A435" s="552" t="s">
        <v>2359</v>
      </c>
      <c r="B435" s="559" t="s">
        <v>2360</v>
      </c>
      <c r="C435" s="553">
        <f t="shared" si="0"/>
        <v>157760</v>
      </c>
    </row>
    <row r="436" spans="1:3" ht="26.4">
      <c r="A436" s="552" t="s">
        <v>2361</v>
      </c>
      <c r="B436" s="559" t="s">
        <v>2362</v>
      </c>
      <c r="C436" s="553">
        <f t="shared" si="0"/>
        <v>157760</v>
      </c>
    </row>
    <row r="437" spans="1:3" ht="26.4">
      <c r="A437" s="552" t="s">
        <v>2363</v>
      </c>
      <c r="B437" s="559" t="s">
        <v>2364</v>
      </c>
      <c r="C437" s="553">
        <f t="shared" si="0"/>
        <v>157760</v>
      </c>
    </row>
    <row r="438" spans="1:3" ht="26.4">
      <c r="A438" s="552" t="s">
        <v>2365</v>
      </c>
      <c r="B438" s="559" t="s">
        <v>2366</v>
      </c>
      <c r="C438" s="553">
        <f>175000*1.16</f>
        <v>203000</v>
      </c>
    </row>
    <row r="439" spans="1:3" ht="26.4">
      <c r="A439" s="552" t="s">
        <v>2367</v>
      </c>
      <c r="B439" s="559" t="s">
        <v>2368</v>
      </c>
      <c r="C439" s="553">
        <f>175000*1.16</f>
        <v>203000</v>
      </c>
    </row>
    <row r="440" spans="1:3" ht="26.4">
      <c r="A440" s="552" t="s">
        <v>2369</v>
      </c>
      <c r="B440" s="559" t="s">
        <v>2370</v>
      </c>
      <c r="C440" s="553">
        <f>260000*1.16</f>
        <v>301600</v>
      </c>
    </row>
    <row r="441" spans="1:3" ht="26.4">
      <c r="A441" s="552" t="s">
        <v>2371</v>
      </c>
      <c r="B441" s="559" t="s">
        <v>2372</v>
      </c>
      <c r="C441" s="553">
        <f t="shared" ref="C441:C444" si="1">260000*1.16</f>
        <v>301600</v>
      </c>
    </row>
    <row r="442" spans="1:3" ht="26.4">
      <c r="A442" s="552" t="s">
        <v>2373</v>
      </c>
      <c r="B442" s="559" t="s">
        <v>2374</v>
      </c>
      <c r="C442" s="553">
        <f t="shared" si="1"/>
        <v>301600</v>
      </c>
    </row>
    <row r="443" spans="1:3" ht="26.4">
      <c r="A443" s="552" t="s">
        <v>2375</v>
      </c>
      <c r="B443" s="559" t="s">
        <v>2376</v>
      </c>
      <c r="C443" s="553">
        <f t="shared" si="1"/>
        <v>301600</v>
      </c>
    </row>
    <row r="444" spans="1:3" ht="26.4">
      <c r="A444" s="552" t="s">
        <v>2377</v>
      </c>
      <c r="B444" s="559" t="s">
        <v>2378</v>
      </c>
      <c r="C444" s="553">
        <f t="shared" si="1"/>
        <v>301600</v>
      </c>
    </row>
    <row r="445" spans="1:3" ht="26.4">
      <c r="A445" s="552" t="s">
        <v>2379</v>
      </c>
      <c r="B445" s="559" t="s">
        <v>2380</v>
      </c>
      <c r="C445" s="553">
        <f>300000*1.16</f>
        <v>348000</v>
      </c>
    </row>
    <row r="446" spans="1:3" ht="26.4">
      <c r="A446" s="552" t="s">
        <v>2381</v>
      </c>
      <c r="B446" s="559" t="s">
        <v>2382</v>
      </c>
      <c r="C446" s="553">
        <f>640000*1.16</f>
        <v>742400</v>
      </c>
    </row>
    <row r="447" spans="1:3" ht="26.4">
      <c r="A447" s="552" t="s">
        <v>2383</v>
      </c>
      <c r="B447" s="559" t="s">
        <v>2384</v>
      </c>
      <c r="C447" s="553">
        <f t="shared" ref="C447:C449" si="2">640000*1.16</f>
        <v>742400</v>
      </c>
    </row>
    <row r="448" spans="1:3" ht="26.4">
      <c r="A448" s="552" t="s">
        <v>2385</v>
      </c>
      <c r="B448" s="559" t="s">
        <v>2386</v>
      </c>
      <c r="C448" s="553">
        <f t="shared" si="2"/>
        <v>742400</v>
      </c>
    </row>
    <row r="449" spans="1:3" ht="26.4">
      <c r="A449" s="552" t="s">
        <v>2387</v>
      </c>
      <c r="B449" s="559" t="s">
        <v>2388</v>
      </c>
      <c r="C449" s="553">
        <f t="shared" si="2"/>
        <v>742400</v>
      </c>
    </row>
    <row r="450" spans="1:3" ht="26.4">
      <c r="A450" s="552" t="s">
        <v>2389</v>
      </c>
      <c r="B450" s="559" t="s">
        <v>2390</v>
      </c>
      <c r="C450" s="553">
        <f>1400000*1.16</f>
        <v>1624000</v>
      </c>
    </row>
    <row r="451" spans="1:3" ht="26.4">
      <c r="A451" s="552" t="s">
        <v>2391</v>
      </c>
      <c r="B451" s="559" t="s">
        <v>2392</v>
      </c>
      <c r="C451" s="553">
        <f>1400000*1.16</f>
        <v>1624000</v>
      </c>
    </row>
    <row r="452" spans="1:3" ht="26.4">
      <c r="A452" s="552" t="s">
        <v>2393</v>
      </c>
      <c r="B452" s="559" t="s">
        <v>2394</v>
      </c>
      <c r="C452" s="553">
        <f>2350000*1.16</f>
        <v>2726000</v>
      </c>
    </row>
    <row r="453" spans="1:3" ht="26.4">
      <c r="A453" s="552" t="s">
        <v>2395</v>
      </c>
      <c r="B453" s="559" t="s">
        <v>2396</v>
      </c>
      <c r="C453" s="553">
        <f>2350000*1.16</f>
        <v>2726000</v>
      </c>
    </row>
    <row r="454" spans="1:3" ht="26.4">
      <c r="A454" s="552" t="s">
        <v>2397</v>
      </c>
      <c r="B454" s="559" t="s">
        <v>2398</v>
      </c>
      <c r="C454" s="553">
        <f>4500000*1.16</f>
        <v>5220000</v>
      </c>
    </row>
    <row r="455" spans="1:3" ht="26.4">
      <c r="A455" s="552" t="s">
        <v>2399</v>
      </c>
      <c r="B455" s="559" t="s">
        <v>2400</v>
      </c>
      <c r="C455" s="553">
        <f>5000000*1.16</f>
        <v>5800000</v>
      </c>
    </row>
    <row r="456" spans="1:3" ht="26.4">
      <c r="A456" s="552" t="s">
        <v>2401</v>
      </c>
      <c r="B456" s="559" t="s">
        <v>2402</v>
      </c>
      <c r="C456" s="553">
        <f>350000*1.16</f>
        <v>406000</v>
      </c>
    </row>
    <row r="457" spans="1:3" ht="26.4">
      <c r="A457" s="552" t="s">
        <v>2403</v>
      </c>
      <c r="B457" s="559" t="s">
        <v>2404</v>
      </c>
      <c r="C457" s="553">
        <f>680000*1.16</f>
        <v>788800</v>
      </c>
    </row>
    <row r="458" spans="1:3" ht="26.4">
      <c r="A458" s="552" t="s">
        <v>2405</v>
      </c>
      <c r="B458" s="559" t="s">
        <v>2406</v>
      </c>
      <c r="C458" s="553">
        <f>750000*1.16</f>
        <v>869999.99999999988</v>
      </c>
    </row>
    <row r="459" spans="1:3" ht="26.4">
      <c r="A459" s="552" t="s">
        <v>2407</v>
      </c>
      <c r="B459" s="559" t="s">
        <v>2408</v>
      </c>
      <c r="C459" s="553">
        <f>750000*1.16</f>
        <v>869999.99999999988</v>
      </c>
    </row>
    <row r="460" spans="1:3" ht="26.4">
      <c r="A460" s="552" t="s">
        <v>2409</v>
      </c>
      <c r="B460" s="559" t="s">
        <v>2410</v>
      </c>
      <c r="C460" s="553">
        <f>800000*1.16</f>
        <v>927999.99999999988</v>
      </c>
    </row>
    <row r="461" spans="1:3" ht="26.4">
      <c r="A461" s="552" t="s">
        <v>2411</v>
      </c>
      <c r="B461" s="559" t="s">
        <v>2412</v>
      </c>
      <c r="C461" s="553">
        <f>1350000*1.16</f>
        <v>1566000</v>
      </c>
    </row>
    <row r="462" spans="1:3" ht="26.4">
      <c r="A462" s="552" t="s">
        <v>2413</v>
      </c>
      <c r="B462" s="559" t="s">
        <v>2414</v>
      </c>
      <c r="C462" s="553">
        <f>1350000*1.16</f>
        <v>1566000</v>
      </c>
    </row>
    <row r="463" spans="1:3" ht="26.4">
      <c r="A463" s="552" t="s">
        <v>2415</v>
      </c>
      <c r="B463" s="559" t="s">
        <v>2414</v>
      </c>
      <c r="C463" s="553">
        <f>1800000*1.16</f>
        <v>2087999.9999999998</v>
      </c>
    </row>
    <row r="464" spans="1:3" ht="26.4">
      <c r="A464" s="552" t="s">
        <v>2416</v>
      </c>
      <c r="B464" s="559" t="s">
        <v>2417</v>
      </c>
      <c r="C464" s="553">
        <f>1800000*1.16</f>
        <v>2087999.9999999998</v>
      </c>
    </row>
    <row r="465" spans="1:3" ht="26.4">
      <c r="A465" s="552" t="s">
        <v>2418</v>
      </c>
      <c r="B465" s="559" t="s">
        <v>2419</v>
      </c>
      <c r="C465" s="553">
        <f>1800000*1.16</f>
        <v>2087999.9999999998</v>
      </c>
    </row>
    <row r="466" spans="1:3" ht="26.4">
      <c r="A466" s="552" t="s">
        <v>2420</v>
      </c>
      <c r="B466" s="559" t="s">
        <v>2421</v>
      </c>
      <c r="C466" s="553">
        <f>5200000*1.16</f>
        <v>6032000</v>
      </c>
    </row>
    <row r="467" spans="1:3" ht="26.4">
      <c r="A467" s="552" t="s">
        <v>2422</v>
      </c>
      <c r="B467" s="559" t="s">
        <v>2423</v>
      </c>
      <c r="C467" s="553">
        <f>6500000*1.16</f>
        <v>7539999.9999999991</v>
      </c>
    </row>
    <row r="468" spans="1:3">
      <c r="A468" s="552" t="s">
        <v>2424</v>
      </c>
      <c r="B468" s="559" t="s">
        <v>2425</v>
      </c>
      <c r="C468" s="553">
        <f>70000*1.16</f>
        <v>81200</v>
      </c>
    </row>
    <row r="469" spans="1:3">
      <c r="A469" s="552" t="s">
        <v>2426</v>
      </c>
      <c r="B469" s="559" t="s">
        <v>2427</v>
      </c>
      <c r="C469" s="553">
        <f>80000*1.16</f>
        <v>92800</v>
      </c>
    </row>
    <row r="470" spans="1:3">
      <c r="A470" s="552" t="s">
        <v>2428</v>
      </c>
      <c r="B470" s="559" t="s">
        <v>2429</v>
      </c>
      <c r="C470" s="553">
        <f>90000*1.16</f>
        <v>104400</v>
      </c>
    </row>
    <row r="471" spans="1:3">
      <c r="A471" s="552" t="s">
        <v>2430</v>
      </c>
      <c r="B471" s="559" t="s">
        <v>2431</v>
      </c>
      <c r="C471" s="553">
        <f>100000*1.16</f>
        <v>115999.99999999999</v>
      </c>
    </row>
    <row r="472" spans="1:3">
      <c r="A472" s="552" t="s">
        <v>2432</v>
      </c>
      <c r="B472" s="559" t="s">
        <v>2433</v>
      </c>
      <c r="C472" s="553">
        <f>115000*1.16</f>
        <v>133400</v>
      </c>
    </row>
    <row r="473" spans="1:3">
      <c r="A473" s="552" t="s">
        <v>2434</v>
      </c>
      <c r="B473" s="559" t="s">
        <v>2435</v>
      </c>
      <c r="C473" s="553">
        <f>140000*1.16</f>
        <v>162400</v>
      </c>
    </row>
    <row r="474" spans="1:3">
      <c r="A474" s="552" t="s">
        <v>2436</v>
      </c>
      <c r="B474" s="559" t="s">
        <v>2437</v>
      </c>
      <c r="C474" s="553">
        <f>220000*1.16</f>
        <v>255199.99999999997</v>
      </c>
    </row>
    <row r="475" spans="1:3">
      <c r="A475" s="552" t="s">
        <v>2438</v>
      </c>
      <c r="B475" s="559" t="s">
        <v>2439</v>
      </c>
      <c r="C475" s="553">
        <f>240000*1.16</f>
        <v>278400</v>
      </c>
    </row>
    <row r="476" spans="1:3">
      <c r="A476" s="552" t="s">
        <v>2440</v>
      </c>
      <c r="B476" s="559" t="s">
        <v>2441</v>
      </c>
      <c r="C476" s="553">
        <f>260000*1.16</f>
        <v>301600</v>
      </c>
    </row>
    <row r="477" spans="1:3">
      <c r="A477" s="552" t="s">
        <v>2442</v>
      </c>
      <c r="B477" s="559" t="s">
        <v>2443</v>
      </c>
      <c r="C477" s="553">
        <f>340000*1.16</f>
        <v>394400</v>
      </c>
    </row>
    <row r="478" spans="1:3">
      <c r="A478" s="552" t="s">
        <v>2444</v>
      </c>
      <c r="B478" s="559" t="s">
        <v>2445</v>
      </c>
      <c r="C478" s="553">
        <f>140000*1.16</f>
        <v>162400</v>
      </c>
    </row>
    <row r="479" spans="1:3">
      <c r="A479" s="552" t="s">
        <v>2446</v>
      </c>
      <c r="B479" s="559" t="s">
        <v>2447</v>
      </c>
      <c r="C479" s="553">
        <f>150000*1.16</f>
        <v>174000</v>
      </c>
    </row>
    <row r="480" spans="1:3">
      <c r="A480" s="552" t="s">
        <v>2448</v>
      </c>
      <c r="B480" s="559" t="s">
        <v>2449</v>
      </c>
      <c r="C480" s="553">
        <f>180000*1.16</f>
        <v>208800</v>
      </c>
    </row>
    <row r="481" spans="1:3" ht="26.4">
      <c r="A481" s="552" t="s">
        <v>2450</v>
      </c>
      <c r="B481" s="559" t="s">
        <v>2451</v>
      </c>
      <c r="C481" s="553">
        <v>9000000</v>
      </c>
    </row>
    <row r="482" spans="1:3" ht="26.4">
      <c r="A482" s="552" t="s">
        <v>2452</v>
      </c>
      <c r="B482" s="559" t="s">
        <v>2453</v>
      </c>
      <c r="C482" s="553">
        <v>9100000</v>
      </c>
    </row>
    <row r="483" spans="1:3" ht="26.4">
      <c r="A483" s="552" t="s">
        <v>2454</v>
      </c>
      <c r="B483" s="559" t="s">
        <v>2455</v>
      </c>
      <c r="C483" s="553">
        <v>9500000</v>
      </c>
    </row>
    <row r="484" spans="1:3" ht="26.4">
      <c r="A484" s="552" t="s">
        <v>2456</v>
      </c>
      <c r="B484" s="559" t="s">
        <v>2457</v>
      </c>
      <c r="C484" s="553">
        <v>10000000</v>
      </c>
    </row>
    <row r="485" spans="1:3" ht="26.4">
      <c r="A485" s="552" t="s">
        <v>2458</v>
      </c>
      <c r="B485" s="559" t="s">
        <v>2459</v>
      </c>
      <c r="C485" s="553">
        <v>10800000</v>
      </c>
    </row>
    <row r="486" spans="1:3" ht="26.4">
      <c r="A486" s="552" t="s">
        <v>2460</v>
      </c>
      <c r="B486" s="559" t="s">
        <v>2461</v>
      </c>
      <c r="C486" s="553">
        <f>6500000*1.16</f>
        <v>7539999.9999999991</v>
      </c>
    </row>
    <row r="487" spans="1:3" ht="26.4">
      <c r="A487" s="552" t="s">
        <v>2460</v>
      </c>
      <c r="B487" s="559" t="s">
        <v>2461</v>
      </c>
      <c r="C487" s="553">
        <f>9750000*1.16</f>
        <v>11310000</v>
      </c>
    </row>
    <row r="488" spans="1:3" ht="26.4">
      <c r="A488" s="552" t="s">
        <v>2462</v>
      </c>
      <c r="B488" s="559" t="s">
        <v>2463</v>
      </c>
      <c r="C488" s="553">
        <f>9000000*1.16</f>
        <v>10440000</v>
      </c>
    </row>
    <row r="489" spans="1:3" ht="26.4">
      <c r="A489" s="552" t="s">
        <v>2464</v>
      </c>
      <c r="B489" s="559" t="s">
        <v>2463</v>
      </c>
      <c r="C489" s="553">
        <f>9750000*1.16</f>
        <v>11310000</v>
      </c>
    </row>
    <row r="490" spans="1:3" ht="26.4">
      <c r="A490" s="552" t="s">
        <v>2465</v>
      </c>
      <c r="B490" s="559" t="s">
        <v>2466</v>
      </c>
      <c r="C490" s="553">
        <f>12700000*1.16</f>
        <v>14731999.999999998</v>
      </c>
    </row>
    <row r="491" spans="1:3" ht="26.4">
      <c r="A491" s="552" t="s">
        <v>2467</v>
      </c>
      <c r="B491" s="559" t="s">
        <v>2466</v>
      </c>
      <c r="C491" s="553">
        <f>13350000*1.16</f>
        <v>15485999.999999998</v>
      </c>
    </row>
    <row r="492" spans="1:3" ht="26.4">
      <c r="A492" s="552" t="s">
        <v>2468</v>
      </c>
      <c r="B492" s="559" t="s">
        <v>2469</v>
      </c>
      <c r="C492" s="553">
        <f>13200000*1.16</f>
        <v>15311999.999999998</v>
      </c>
    </row>
    <row r="493" spans="1:3" ht="26.4">
      <c r="A493" s="552" t="s">
        <v>2468</v>
      </c>
      <c r="B493" s="559" t="s">
        <v>2470</v>
      </c>
      <c r="C493" s="553">
        <f>13900000*1.16</f>
        <v>16123999.999999998</v>
      </c>
    </row>
    <row r="494" spans="1:3" ht="26.4">
      <c r="A494" s="552" t="s">
        <v>2471</v>
      </c>
      <c r="B494" s="559" t="s">
        <v>2472</v>
      </c>
      <c r="C494" s="553">
        <v>18000000</v>
      </c>
    </row>
    <row r="495" spans="1:3" ht="26.4">
      <c r="A495" s="552" t="s">
        <v>2473</v>
      </c>
      <c r="B495" s="559" t="s">
        <v>2474</v>
      </c>
      <c r="C495" s="553">
        <v>18900000</v>
      </c>
    </row>
    <row r="496" spans="1:3" ht="26.4">
      <c r="A496" s="552" t="s">
        <v>2475</v>
      </c>
      <c r="B496" s="559" t="s">
        <v>2476</v>
      </c>
      <c r="C496" s="553">
        <v>19500000</v>
      </c>
    </row>
    <row r="497" spans="1:3">
      <c r="A497" s="552"/>
      <c r="B497" s="559" t="s">
        <v>2477</v>
      </c>
      <c r="C497" s="553">
        <f>1400000*1.16</f>
        <v>1624000</v>
      </c>
    </row>
    <row r="498" spans="1:3" ht="26.4">
      <c r="A498" s="552" t="s">
        <v>2478</v>
      </c>
      <c r="B498" s="559" t="s">
        <v>2479</v>
      </c>
      <c r="C498" s="553">
        <f>24000*1.16</f>
        <v>27839.999999999996</v>
      </c>
    </row>
    <row r="499" spans="1:3" ht="26.4">
      <c r="A499" s="552" t="s">
        <v>2480</v>
      </c>
      <c r="B499" s="559" t="s">
        <v>2481</v>
      </c>
      <c r="C499" s="553">
        <f>24000*1.16</f>
        <v>27839.999999999996</v>
      </c>
    </row>
    <row r="500" spans="1:3" ht="26.4">
      <c r="A500" s="552" t="s">
        <v>2482</v>
      </c>
      <c r="B500" s="559" t="s">
        <v>2483</v>
      </c>
      <c r="C500" s="553">
        <f>25300*1.16</f>
        <v>29347.999999999996</v>
      </c>
    </row>
    <row r="501" spans="1:3" ht="26.4">
      <c r="A501" s="552" t="s">
        <v>2484</v>
      </c>
      <c r="B501" s="559" t="s">
        <v>2485</v>
      </c>
      <c r="C501" s="553">
        <f>25300*1.16</f>
        <v>29347.999999999996</v>
      </c>
    </row>
    <row r="502" spans="1:3" ht="26.4">
      <c r="A502" s="552" t="s">
        <v>2486</v>
      </c>
      <c r="B502" s="559" t="s">
        <v>2487</v>
      </c>
      <c r="C502" s="553">
        <f>27300*1.16</f>
        <v>31667.999999999996</v>
      </c>
    </row>
    <row r="503" spans="1:3" ht="26.4">
      <c r="A503" s="552" t="s">
        <v>2488</v>
      </c>
      <c r="B503" s="559" t="s">
        <v>2489</v>
      </c>
      <c r="C503" s="553">
        <f>43300*1.16</f>
        <v>50228</v>
      </c>
    </row>
    <row r="504" spans="1:3" ht="26.4">
      <c r="A504" s="552" t="s">
        <v>2490</v>
      </c>
      <c r="B504" s="559" t="s">
        <v>2491</v>
      </c>
      <c r="C504" s="553">
        <f>44400*1.16</f>
        <v>51504</v>
      </c>
    </row>
    <row r="505" spans="1:3" ht="26.4">
      <c r="A505" s="552" t="s">
        <v>2492</v>
      </c>
      <c r="B505" s="559" t="s">
        <v>2493</v>
      </c>
      <c r="C505" s="553">
        <f>92000*1.16</f>
        <v>106719.99999999999</v>
      </c>
    </row>
    <row r="506" spans="1:3" ht="26.4">
      <c r="A506" s="552" t="s">
        <v>2494</v>
      </c>
      <c r="B506" s="559" t="s">
        <v>2495</v>
      </c>
      <c r="C506" s="553">
        <f>95300*1.16</f>
        <v>110547.99999999999</v>
      </c>
    </row>
    <row r="507" spans="1:3" ht="26.4">
      <c r="A507" s="552" t="s">
        <v>2496</v>
      </c>
      <c r="B507" s="559" t="s">
        <v>2497</v>
      </c>
      <c r="C507" s="553">
        <f>104000*1.16</f>
        <v>120639.99999999999</v>
      </c>
    </row>
    <row r="508" spans="1:3" ht="26.4">
      <c r="A508" s="552" t="s">
        <v>2498</v>
      </c>
      <c r="B508" s="559" t="s">
        <v>2499</v>
      </c>
      <c r="C508" s="553">
        <f>168000*1.16</f>
        <v>194880</v>
      </c>
    </row>
    <row r="509" spans="1:3" ht="26.4">
      <c r="A509" s="552" t="s">
        <v>2500</v>
      </c>
      <c r="B509" s="559" t="s">
        <v>2501</v>
      </c>
      <c r="C509" s="553">
        <f>173000*1.16</f>
        <v>200680</v>
      </c>
    </row>
    <row r="510" spans="1:3">
      <c r="A510" s="552" t="s">
        <v>2502</v>
      </c>
      <c r="B510" s="559" t="s">
        <v>2503</v>
      </c>
      <c r="C510" s="553">
        <f>406000*1.16</f>
        <v>470959.99999999994</v>
      </c>
    </row>
    <row r="511" spans="1:3">
      <c r="A511" s="552" t="s">
        <v>2504</v>
      </c>
      <c r="B511" s="559" t="s">
        <v>2505</v>
      </c>
      <c r="C511" s="553">
        <f>500000*1.16</f>
        <v>580000</v>
      </c>
    </row>
    <row r="512" spans="1:3">
      <c r="A512" s="552" t="s">
        <v>2506</v>
      </c>
      <c r="B512" s="559" t="s">
        <v>2507</v>
      </c>
      <c r="C512" s="553">
        <f>600000*1.16</f>
        <v>696000</v>
      </c>
    </row>
    <row r="513" spans="1:3">
      <c r="A513" s="552" t="s">
        <v>2508</v>
      </c>
      <c r="B513" s="559" t="s">
        <v>2509</v>
      </c>
      <c r="C513" s="553">
        <f>750000*1.16</f>
        <v>869999.99999999988</v>
      </c>
    </row>
    <row r="514" spans="1:3">
      <c r="A514" s="552" t="s">
        <v>2510</v>
      </c>
      <c r="B514" s="559" t="s">
        <v>2511</v>
      </c>
      <c r="C514" s="553">
        <f>900000*1.16</f>
        <v>1043999.9999999999</v>
      </c>
    </row>
    <row r="515" spans="1:3">
      <c r="A515" s="552" t="s">
        <v>2512</v>
      </c>
      <c r="B515" s="559" t="s">
        <v>2513</v>
      </c>
      <c r="C515" s="553">
        <f>1200000*1.16</f>
        <v>1392000</v>
      </c>
    </row>
    <row r="516" spans="1:3">
      <c r="A516" s="552" t="s">
        <v>2514</v>
      </c>
      <c r="B516" s="559" t="s">
        <v>2515</v>
      </c>
      <c r="C516" s="553">
        <f>1350000*1.16</f>
        <v>1566000</v>
      </c>
    </row>
    <row r="517" spans="1:3">
      <c r="A517" s="552" t="s">
        <v>2516</v>
      </c>
      <c r="B517" s="559" t="s">
        <v>2517</v>
      </c>
      <c r="C517" s="553">
        <f>1450000*1.16</f>
        <v>1682000</v>
      </c>
    </row>
    <row r="518" spans="1:3">
      <c r="A518" s="552" t="s">
        <v>2518</v>
      </c>
      <c r="B518" s="559" t="s">
        <v>2519</v>
      </c>
      <c r="C518" s="553">
        <f>1990000*1.16</f>
        <v>2308400</v>
      </c>
    </row>
    <row r="519" spans="1:3" ht="26.4">
      <c r="A519" s="552" t="s">
        <v>2520</v>
      </c>
      <c r="B519" s="559" t="s">
        <v>2521</v>
      </c>
      <c r="C519" s="553">
        <f>60500*1.16</f>
        <v>70180</v>
      </c>
    </row>
    <row r="520" spans="1:3" ht="26.4">
      <c r="A520" s="552" t="s">
        <v>2522</v>
      </c>
      <c r="B520" s="559" t="s">
        <v>2523</v>
      </c>
      <c r="C520" s="553">
        <f>70000*1.16</f>
        <v>81200</v>
      </c>
    </row>
    <row r="521" spans="1:3" ht="26.4">
      <c r="A521" s="552" t="s">
        <v>2524</v>
      </c>
      <c r="B521" s="559" t="s">
        <v>2525</v>
      </c>
      <c r="C521" s="553">
        <f>85000*1.16</f>
        <v>98600</v>
      </c>
    </row>
    <row r="522" spans="1:3" ht="26.4">
      <c r="A522" s="552" t="s">
        <v>2526</v>
      </c>
      <c r="B522" s="559" t="s">
        <v>2527</v>
      </c>
      <c r="C522" s="553">
        <f>161000*1.16</f>
        <v>186760</v>
      </c>
    </row>
    <row r="523" spans="1:3" ht="26.4">
      <c r="A523" s="552" t="s">
        <v>2528</v>
      </c>
      <c r="B523" s="559" t="s">
        <v>2529</v>
      </c>
      <c r="C523" s="553">
        <f>245000*1.16</f>
        <v>284200</v>
      </c>
    </row>
    <row r="524" spans="1:3">
      <c r="A524" s="552" t="s">
        <v>2530</v>
      </c>
      <c r="B524" s="559" t="s">
        <v>2531</v>
      </c>
      <c r="C524" s="553">
        <v>50228</v>
      </c>
    </row>
    <row r="525" spans="1:3">
      <c r="A525" s="552" t="s">
        <v>2532</v>
      </c>
      <c r="B525" s="559" t="s">
        <v>2533</v>
      </c>
      <c r="C525" s="553">
        <v>50228</v>
      </c>
    </row>
    <row r="526" spans="1:3">
      <c r="A526" s="552" t="s">
        <v>2534</v>
      </c>
      <c r="B526" s="559" t="s">
        <v>2535</v>
      </c>
      <c r="C526" s="553">
        <v>50228</v>
      </c>
    </row>
    <row r="527" spans="1:3">
      <c r="A527" s="552" t="s">
        <v>2536</v>
      </c>
      <c r="B527" s="559" t="s">
        <v>2537</v>
      </c>
      <c r="C527" s="553">
        <v>50228</v>
      </c>
    </row>
    <row r="528" spans="1:3">
      <c r="A528" s="552" t="s">
        <v>2538</v>
      </c>
      <c r="B528" s="559" t="s">
        <v>2539</v>
      </c>
      <c r="C528" s="553">
        <v>50228</v>
      </c>
    </row>
    <row r="529" spans="1:3">
      <c r="A529" s="552" t="s">
        <v>2540</v>
      </c>
      <c r="B529" s="559" t="s">
        <v>2541</v>
      </c>
      <c r="C529" s="553">
        <v>50228</v>
      </c>
    </row>
    <row r="530" spans="1:3">
      <c r="A530" s="552" t="s">
        <v>2542</v>
      </c>
      <c r="B530" s="559" t="s">
        <v>2543</v>
      </c>
      <c r="C530" s="553">
        <v>50228</v>
      </c>
    </row>
    <row r="531" spans="1:3">
      <c r="A531" s="552" t="s">
        <v>2544</v>
      </c>
      <c r="B531" s="559" t="s">
        <v>2545</v>
      </c>
      <c r="C531" s="553">
        <v>52780</v>
      </c>
    </row>
    <row r="532" spans="1:3" ht="26.4">
      <c r="A532" s="552" t="s">
        <v>2546</v>
      </c>
      <c r="B532" s="559" t="s">
        <v>2547</v>
      </c>
      <c r="C532" s="553">
        <v>52780</v>
      </c>
    </row>
    <row r="533" spans="1:3">
      <c r="A533" s="552" t="s">
        <v>2548</v>
      </c>
      <c r="B533" s="559" t="s">
        <v>2549</v>
      </c>
      <c r="C533" s="553">
        <v>52780</v>
      </c>
    </row>
    <row r="534" spans="1:3" ht="26.4">
      <c r="A534" s="552" t="s">
        <v>2550</v>
      </c>
      <c r="B534" s="559" t="s">
        <v>2551</v>
      </c>
      <c r="C534" s="553">
        <v>64031.999999999993</v>
      </c>
    </row>
    <row r="535" spans="1:3">
      <c r="A535" s="552" t="s">
        <v>2552</v>
      </c>
      <c r="B535" s="559" t="s">
        <v>2553</v>
      </c>
      <c r="C535" s="553">
        <v>64031.999999999993</v>
      </c>
    </row>
    <row r="536" spans="1:3">
      <c r="A536" s="552" t="s">
        <v>2554</v>
      </c>
      <c r="B536" s="559" t="s">
        <v>2555</v>
      </c>
      <c r="C536" s="553">
        <v>113099.99999999999</v>
      </c>
    </row>
    <row r="537" spans="1:3">
      <c r="A537" s="552" t="s">
        <v>2556</v>
      </c>
      <c r="B537" s="559" t="s">
        <v>2557</v>
      </c>
      <c r="C537" s="553">
        <v>113099.99999999999</v>
      </c>
    </row>
    <row r="538" spans="1:3">
      <c r="A538" s="552" t="s">
        <v>2558</v>
      </c>
      <c r="B538" s="559" t="s">
        <v>2559</v>
      </c>
      <c r="C538" s="553">
        <v>113099.99999999999</v>
      </c>
    </row>
    <row r="539" spans="1:3">
      <c r="A539" s="552" t="s">
        <v>2560</v>
      </c>
      <c r="B539" s="559" t="s">
        <v>2561</v>
      </c>
      <c r="C539" s="553">
        <v>113099.99999999999</v>
      </c>
    </row>
    <row r="540" spans="1:3">
      <c r="A540" s="552" t="s">
        <v>2562</v>
      </c>
      <c r="B540" s="559" t="s">
        <v>2563</v>
      </c>
      <c r="C540" s="553">
        <v>113099.99999999999</v>
      </c>
    </row>
    <row r="541" spans="1:3">
      <c r="A541" s="552" t="s">
        <v>2564</v>
      </c>
      <c r="B541" s="559" t="s">
        <v>2565</v>
      </c>
      <c r="C541" s="553">
        <v>113099.99999999999</v>
      </c>
    </row>
    <row r="542" spans="1:3">
      <c r="A542" s="552" t="s">
        <v>2566</v>
      </c>
      <c r="B542" s="559" t="s">
        <v>2567</v>
      </c>
      <c r="C542" s="553">
        <v>115535.99999999999</v>
      </c>
    </row>
    <row r="543" spans="1:3" ht="26.4">
      <c r="A543" s="552" t="s">
        <v>2568</v>
      </c>
      <c r="B543" s="559" t="s">
        <v>2569</v>
      </c>
      <c r="C543" s="553">
        <v>324800</v>
      </c>
    </row>
    <row r="544" spans="1:3" ht="26.4">
      <c r="A544" s="552" t="s">
        <v>2570</v>
      </c>
      <c r="B544" s="559" t="s">
        <v>2571</v>
      </c>
      <c r="C544" s="553">
        <v>382800</v>
      </c>
    </row>
    <row r="545" spans="1:3" ht="26.4">
      <c r="A545" s="552" t="s">
        <v>2572</v>
      </c>
      <c r="B545" s="559" t="s">
        <v>2573</v>
      </c>
      <c r="C545" s="553">
        <v>406000</v>
      </c>
    </row>
    <row r="546" spans="1:3" ht="26.4">
      <c r="A546" s="552" t="s">
        <v>2574</v>
      </c>
      <c r="B546" s="559" t="s">
        <v>2575</v>
      </c>
      <c r="C546" s="553">
        <v>463999.99999999994</v>
      </c>
    </row>
    <row r="547" spans="1:3">
      <c r="A547" s="552" t="s">
        <v>2576</v>
      </c>
      <c r="B547" s="559" t="s">
        <v>2577</v>
      </c>
      <c r="C547" s="553">
        <f>15000*1.16</f>
        <v>17400</v>
      </c>
    </row>
    <row r="548" spans="1:3" ht="26.4">
      <c r="A548" s="552" t="s">
        <v>2578</v>
      </c>
      <c r="B548" s="559" t="s">
        <v>2579</v>
      </c>
      <c r="C548" s="553">
        <v>1041447.9999999999</v>
      </c>
    </row>
    <row r="549" spans="1:3" ht="26.4">
      <c r="A549" s="552" t="s">
        <v>2580</v>
      </c>
      <c r="B549" s="559" t="s">
        <v>2581</v>
      </c>
      <c r="C549" s="553">
        <v>1047131.9999999999</v>
      </c>
    </row>
    <row r="550" spans="1:3" ht="26.4">
      <c r="A550" s="552" t="s">
        <v>2582</v>
      </c>
      <c r="B550" s="559" t="s">
        <v>2583</v>
      </c>
      <c r="C550" s="553">
        <v>1088370</v>
      </c>
    </row>
    <row r="551" spans="1:3" ht="26.4">
      <c r="A551" s="552" t="s">
        <v>2584</v>
      </c>
      <c r="B551" s="559" t="s">
        <v>2585</v>
      </c>
      <c r="C551" s="553">
        <v>1109888</v>
      </c>
    </row>
    <row r="552" spans="1:3" ht="26.4">
      <c r="A552" s="552" t="s">
        <v>2586</v>
      </c>
      <c r="B552" s="559" t="s">
        <v>2587</v>
      </c>
      <c r="C552" s="553">
        <v>1739999.9999999998</v>
      </c>
    </row>
    <row r="553" spans="1:3" ht="26.4">
      <c r="A553" s="552" t="s">
        <v>2588</v>
      </c>
      <c r="B553" s="559" t="s">
        <v>2589</v>
      </c>
      <c r="C553" s="553">
        <v>1797999.9999999998</v>
      </c>
    </row>
    <row r="554" spans="1:3" ht="26.4">
      <c r="A554" s="552" t="s">
        <v>2590</v>
      </c>
      <c r="B554" s="559" t="s">
        <v>2591</v>
      </c>
      <c r="C554" s="553">
        <v>1855999.9999999998</v>
      </c>
    </row>
    <row r="555" spans="1:3" ht="26.4">
      <c r="A555" s="552" t="s">
        <v>2592</v>
      </c>
      <c r="B555" s="559" t="s">
        <v>2593</v>
      </c>
      <c r="C555" s="553">
        <v>2378000</v>
      </c>
    </row>
    <row r="556" spans="1:3" ht="26.4">
      <c r="A556" s="552" t="s">
        <v>2594</v>
      </c>
      <c r="B556" s="559" t="s">
        <v>2595</v>
      </c>
      <c r="C556" s="553">
        <v>2436000</v>
      </c>
    </row>
    <row r="557" spans="1:3" ht="26.4">
      <c r="A557" s="552" t="s">
        <v>2596</v>
      </c>
      <c r="B557" s="559" t="s">
        <v>2597</v>
      </c>
      <c r="C557" s="553">
        <v>3421999.9999999995</v>
      </c>
    </row>
    <row r="558" spans="1:3" ht="26.4">
      <c r="A558" s="552" t="s">
        <v>2598</v>
      </c>
      <c r="B558" s="559" t="s">
        <v>2599</v>
      </c>
      <c r="C558" s="553">
        <v>3653999.9999999995</v>
      </c>
    </row>
    <row r="559" spans="1:3" ht="26.4">
      <c r="A559" s="552" t="s">
        <v>2600</v>
      </c>
      <c r="B559" s="559" t="s">
        <v>2601</v>
      </c>
      <c r="C559" s="553">
        <v>127599.99999999999</v>
      </c>
    </row>
    <row r="560" spans="1:3" ht="26.4">
      <c r="A560" s="552" t="s">
        <v>2602</v>
      </c>
      <c r="B560" s="559" t="s">
        <v>2603</v>
      </c>
      <c r="C560" s="553">
        <v>127599.99999999999</v>
      </c>
    </row>
    <row r="561" spans="1:3" ht="26.4">
      <c r="A561" s="552" t="s">
        <v>2604</v>
      </c>
      <c r="B561" s="559" t="s">
        <v>2605</v>
      </c>
      <c r="C561" s="553">
        <v>127599.99999999999</v>
      </c>
    </row>
    <row r="562" spans="1:3" ht="26.4">
      <c r="A562" s="552" t="s">
        <v>2606</v>
      </c>
      <c r="B562" s="559" t="s">
        <v>2607</v>
      </c>
      <c r="C562" s="553">
        <v>127599.99999999999</v>
      </c>
    </row>
    <row r="563" spans="1:3" ht="26.4">
      <c r="A563" s="552" t="s">
        <v>2608</v>
      </c>
      <c r="B563" s="559" t="s">
        <v>2609</v>
      </c>
      <c r="C563" s="553">
        <v>7539.9999999999991</v>
      </c>
    </row>
    <row r="564" spans="1:3" ht="26.4">
      <c r="A564" s="552" t="s">
        <v>2610</v>
      </c>
      <c r="B564" s="559" t="s">
        <v>2611</v>
      </c>
      <c r="C564" s="553">
        <v>8119.9999999999991</v>
      </c>
    </row>
    <row r="565" spans="1:3" ht="26.4">
      <c r="A565" s="552" t="s">
        <v>2612</v>
      </c>
      <c r="B565" s="559" t="s">
        <v>2613</v>
      </c>
      <c r="C565" s="553">
        <v>10440</v>
      </c>
    </row>
    <row r="566" spans="1:3" ht="26.4">
      <c r="A566" s="552" t="s">
        <v>2614</v>
      </c>
      <c r="B566" s="559" t="s">
        <v>2615</v>
      </c>
      <c r="C566" s="553">
        <v>9860</v>
      </c>
    </row>
    <row r="567" spans="1:3">
      <c r="A567" s="552" t="s">
        <v>2616</v>
      </c>
      <c r="B567" s="559" t="s">
        <v>2617</v>
      </c>
      <c r="C567" s="553">
        <v>7539.9999999999991</v>
      </c>
    </row>
    <row r="568" spans="1:3">
      <c r="A568" s="552" t="s">
        <v>2618</v>
      </c>
      <c r="B568" s="559" t="s">
        <v>2619</v>
      </c>
      <c r="C568" s="553">
        <v>8816</v>
      </c>
    </row>
    <row r="569" spans="1:3">
      <c r="A569" s="552" t="s">
        <v>2620</v>
      </c>
      <c r="B569" s="559" t="s">
        <v>2621</v>
      </c>
      <c r="C569" s="553">
        <v>21460</v>
      </c>
    </row>
    <row r="570" spans="1:3">
      <c r="A570" s="552" t="s">
        <v>2622</v>
      </c>
      <c r="B570" s="559" t="s">
        <v>2623</v>
      </c>
      <c r="C570" s="553">
        <v>92800</v>
      </c>
    </row>
    <row r="571" spans="1:3">
      <c r="A571" s="552" t="s">
        <v>2624</v>
      </c>
      <c r="B571" s="559" t="s">
        <v>2625</v>
      </c>
      <c r="C571" s="553">
        <v>104400</v>
      </c>
    </row>
    <row r="572" spans="1:3">
      <c r="A572" s="552" t="s">
        <v>2626</v>
      </c>
      <c r="B572" s="559" t="s">
        <v>2627</v>
      </c>
      <c r="C572" s="553">
        <v>127599.99999999999</v>
      </c>
    </row>
    <row r="573" spans="1:3">
      <c r="A573" s="552" t="s">
        <v>2628</v>
      </c>
      <c r="B573" s="559" t="s">
        <v>2629</v>
      </c>
      <c r="C573" s="553">
        <v>139200</v>
      </c>
    </row>
    <row r="574" spans="1:3">
      <c r="A574" s="552" t="s">
        <v>2630</v>
      </c>
      <c r="B574" s="559" t="s">
        <v>2631</v>
      </c>
      <c r="C574" s="553">
        <v>150800</v>
      </c>
    </row>
    <row r="575" spans="1:3">
      <c r="A575" s="552" t="s">
        <v>2632</v>
      </c>
      <c r="B575" s="559" t="s">
        <v>2633</v>
      </c>
      <c r="C575" s="553">
        <v>162400</v>
      </c>
    </row>
    <row r="576" spans="1:3">
      <c r="A576" s="552" t="s">
        <v>2634</v>
      </c>
      <c r="B576" s="559" t="s">
        <v>2635</v>
      </c>
      <c r="C576" s="553">
        <v>11600</v>
      </c>
    </row>
    <row r="577" spans="1:3">
      <c r="A577" s="552" t="s">
        <v>2636</v>
      </c>
      <c r="B577" s="559" t="s">
        <v>2637</v>
      </c>
      <c r="C577" s="553">
        <v>12760</v>
      </c>
    </row>
    <row r="578" spans="1:3">
      <c r="A578" s="552" t="s">
        <v>2638</v>
      </c>
      <c r="B578" s="559" t="s">
        <v>2639</v>
      </c>
      <c r="C578" s="553">
        <v>15079.999999999998</v>
      </c>
    </row>
    <row r="579" spans="1:3">
      <c r="A579" s="552" t="s">
        <v>2640</v>
      </c>
      <c r="B579" s="559" t="s">
        <v>2641</v>
      </c>
      <c r="C579" s="553">
        <v>46400</v>
      </c>
    </row>
    <row r="580" spans="1:3">
      <c r="A580" s="552" t="s">
        <v>2642</v>
      </c>
      <c r="B580" s="559" t="s">
        <v>2643</v>
      </c>
      <c r="C580" s="553">
        <v>52200</v>
      </c>
    </row>
    <row r="581" spans="1:3">
      <c r="A581" s="552" t="s">
        <v>2644</v>
      </c>
      <c r="B581" s="559" t="s">
        <v>2645</v>
      </c>
      <c r="C581" s="553">
        <v>57999.999999999993</v>
      </c>
    </row>
    <row r="582" spans="1:3">
      <c r="A582" s="552" t="s">
        <v>2646</v>
      </c>
      <c r="B582" s="559" t="s">
        <v>2647</v>
      </c>
      <c r="C582" s="553">
        <v>81200</v>
      </c>
    </row>
    <row r="583" spans="1:3" ht="26.4">
      <c r="A583" s="552" t="s">
        <v>2648</v>
      </c>
      <c r="B583" s="559" t="s">
        <v>2649</v>
      </c>
      <c r="C583" s="553">
        <v>110199.99999999999</v>
      </c>
    </row>
    <row r="584" spans="1:3" ht="26.4">
      <c r="A584" s="552" t="s">
        <v>2650</v>
      </c>
      <c r="B584" s="559" t="s">
        <v>2651</v>
      </c>
      <c r="C584" s="553">
        <v>110199.99999999999</v>
      </c>
    </row>
    <row r="585" spans="1:3" ht="26.4">
      <c r="A585" s="552" t="s">
        <v>2652</v>
      </c>
      <c r="B585" s="559" t="s">
        <v>2653</v>
      </c>
      <c r="C585" s="553">
        <v>110199.99999999999</v>
      </c>
    </row>
    <row r="586" spans="1:3" ht="26.4">
      <c r="A586" s="552" t="s">
        <v>2654</v>
      </c>
      <c r="B586" s="559" t="s">
        <v>2655</v>
      </c>
      <c r="C586" s="553">
        <v>110199.99999999999</v>
      </c>
    </row>
    <row r="587" spans="1:3" ht="26.4">
      <c r="A587" s="552" t="s">
        <v>2656</v>
      </c>
      <c r="B587" s="559" t="s">
        <v>2657</v>
      </c>
      <c r="C587" s="553">
        <v>110199.99999999999</v>
      </c>
    </row>
    <row r="588" spans="1:3" ht="26.4">
      <c r="A588" s="552" t="s">
        <v>2658</v>
      </c>
      <c r="B588" s="559" t="s">
        <v>2659</v>
      </c>
      <c r="C588" s="553">
        <v>110199.99999999999</v>
      </c>
    </row>
    <row r="589" spans="1:3" ht="26.4">
      <c r="A589" s="552" t="s">
        <v>2660</v>
      </c>
      <c r="B589" s="559" t="s">
        <v>2661</v>
      </c>
      <c r="C589" s="553">
        <v>110199.99999999999</v>
      </c>
    </row>
    <row r="590" spans="1:3" ht="26.4">
      <c r="A590" s="552" t="s">
        <v>2662</v>
      </c>
      <c r="B590" s="559" t="s">
        <v>2663</v>
      </c>
      <c r="C590" s="553">
        <v>110199.99999999999</v>
      </c>
    </row>
    <row r="591" spans="1:3" ht="26.4">
      <c r="A591" s="552" t="s">
        <v>2664</v>
      </c>
      <c r="B591" s="559" t="s">
        <v>2665</v>
      </c>
      <c r="C591" s="553">
        <v>110199.99999999999</v>
      </c>
    </row>
    <row r="592" spans="1:3" ht="26.4">
      <c r="A592" s="552" t="s">
        <v>2666</v>
      </c>
      <c r="B592" s="559" t="s">
        <v>2667</v>
      </c>
      <c r="C592" s="553">
        <v>110199.99999999999</v>
      </c>
    </row>
    <row r="593" spans="1:3">
      <c r="A593" s="552" t="s">
        <v>2668</v>
      </c>
      <c r="B593" s="559" t="s">
        <v>2669</v>
      </c>
      <c r="C593" s="553">
        <v>30159.999999999996</v>
      </c>
    </row>
    <row r="594" spans="1:3">
      <c r="A594" s="552" t="s">
        <v>2670</v>
      </c>
      <c r="B594" s="559" t="s">
        <v>2671</v>
      </c>
      <c r="C594" s="553">
        <v>15079.999999999998</v>
      </c>
    </row>
    <row r="595" spans="1:3">
      <c r="A595" s="552" t="s">
        <v>2672</v>
      </c>
      <c r="B595" s="559" t="s">
        <v>2673</v>
      </c>
      <c r="C595" s="553">
        <v>64959.999999999993</v>
      </c>
    </row>
    <row r="596" spans="1:3">
      <c r="A596" s="552" t="s">
        <v>2674</v>
      </c>
      <c r="B596" s="559" t="s">
        <v>2675</v>
      </c>
      <c r="C596" s="553">
        <v>52200</v>
      </c>
    </row>
    <row r="597" spans="1:3">
      <c r="A597" s="552" t="s">
        <v>2676</v>
      </c>
      <c r="B597" s="559" t="s">
        <v>2677</v>
      </c>
      <c r="C597" s="553">
        <v>30159.999999999996</v>
      </c>
    </row>
    <row r="598" spans="1:3">
      <c r="A598" s="552" t="s">
        <v>2678</v>
      </c>
      <c r="B598" s="559" t="s">
        <v>2679</v>
      </c>
      <c r="C598" s="553">
        <v>30159.999999999996</v>
      </c>
    </row>
    <row r="599" spans="1:3">
      <c r="A599" s="552" t="s">
        <v>2680</v>
      </c>
      <c r="B599" s="559" t="s">
        <v>2681</v>
      </c>
      <c r="C599" s="553">
        <v>30159.999999999996</v>
      </c>
    </row>
    <row r="600" spans="1:3" ht="26.4">
      <c r="A600" s="552" t="s">
        <v>2682</v>
      </c>
      <c r="B600" s="559" t="s">
        <v>2683</v>
      </c>
      <c r="C600" s="553">
        <v>10440</v>
      </c>
    </row>
    <row r="601" spans="1:3" ht="26.4">
      <c r="A601" s="552" t="s">
        <v>2684</v>
      </c>
      <c r="B601" s="559" t="s">
        <v>2685</v>
      </c>
      <c r="C601" s="553">
        <v>10440</v>
      </c>
    </row>
    <row r="602" spans="1:3" ht="26.4">
      <c r="A602" s="552" t="s">
        <v>2686</v>
      </c>
      <c r="B602" s="559" t="s">
        <v>2687</v>
      </c>
      <c r="C602" s="553">
        <v>10440</v>
      </c>
    </row>
    <row r="603" spans="1:3" ht="26.4">
      <c r="A603" s="552" t="s">
        <v>2688</v>
      </c>
      <c r="B603" s="559" t="s">
        <v>2689</v>
      </c>
      <c r="C603" s="553">
        <v>17400</v>
      </c>
    </row>
    <row r="604" spans="1:3" ht="26.4">
      <c r="A604" s="552" t="s">
        <v>2690</v>
      </c>
      <c r="B604" s="559" t="s">
        <v>2691</v>
      </c>
      <c r="C604" s="553">
        <v>19720</v>
      </c>
    </row>
    <row r="605" spans="1:3" ht="26.4">
      <c r="A605" s="552" t="s">
        <v>2692</v>
      </c>
      <c r="B605" s="559" t="s">
        <v>2693</v>
      </c>
      <c r="C605" s="553">
        <v>11020</v>
      </c>
    </row>
    <row r="606" spans="1:3" ht="26.4">
      <c r="A606" s="552" t="s">
        <v>2694</v>
      </c>
      <c r="B606" s="559" t="s">
        <v>2695</v>
      </c>
      <c r="C606" s="553">
        <v>10440</v>
      </c>
    </row>
    <row r="607" spans="1:3" ht="26.4">
      <c r="A607" s="552" t="s">
        <v>2696</v>
      </c>
      <c r="B607" s="559" t="s">
        <v>2697</v>
      </c>
      <c r="C607" s="553">
        <v>10440</v>
      </c>
    </row>
    <row r="608" spans="1:3" ht="26.4">
      <c r="A608" s="552" t="s">
        <v>2698</v>
      </c>
      <c r="B608" s="559" t="s">
        <v>2699</v>
      </c>
      <c r="C608" s="553">
        <v>22620</v>
      </c>
    </row>
    <row r="609" spans="1:3" ht="26.4">
      <c r="A609" s="552" t="s">
        <v>2700</v>
      </c>
      <c r="B609" s="559" t="s">
        <v>2701</v>
      </c>
      <c r="C609" s="553">
        <v>22620</v>
      </c>
    </row>
    <row r="610" spans="1:3" ht="26.4">
      <c r="A610" s="552" t="s">
        <v>2702</v>
      </c>
      <c r="B610" s="559" t="s">
        <v>2703</v>
      </c>
      <c r="C610" s="553">
        <v>22620</v>
      </c>
    </row>
    <row r="611" spans="1:3" ht="26.4">
      <c r="A611" s="552" t="s">
        <v>2704</v>
      </c>
      <c r="B611" s="559" t="s">
        <v>2705</v>
      </c>
      <c r="C611" s="553">
        <v>9396</v>
      </c>
    </row>
    <row r="612" spans="1:3" ht="26.4">
      <c r="A612" s="552" t="s">
        <v>2706</v>
      </c>
      <c r="B612" s="559" t="s">
        <v>2707</v>
      </c>
      <c r="C612" s="553">
        <v>9396</v>
      </c>
    </row>
    <row r="613" spans="1:3" ht="26.4">
      <c r="A613" s="552" t="s">
        <v>2708</v>
      </c>
      <c r="B613" s="559" t="s">
        <v>2709</v>
      </c>
      <c r="C613" s="553">
        <v>9396</v>
      </c>
    </row>
    <row r="614" spans="1:3" ht="26.4">
      <c r="A614" s="552" t="s">
        <v>2710</v>
      </c>
      <c r="B614" s="559" t="s">
        <v>2711</v>
      </c>
      <c r="C614" s="553">
        <v>9396</v>
      </c>
    </row>
    <row r="615" spans="1:3" ht="26.4">
      <c r="A615" s="552" t="s">
        <v>2712</v>
      </c>
      <c r="B615" s="559" t="s">
        <v>2713</v>
      </c>
      <c r="C615" s="553">
        <v>9396</v>
      </c>
    </row>
    <row r="616" spans="1:3" ht="26.4">
      <c r="A616" s="552" t="s">
        <v>2714</v>
      </c>
      <c r="B616" s="559" t="s">
        <v>2715</v>
      </c>
      <c r="C616" s="553">
        <v>9396</v>
      </c>
    </row>
    <row r="617" spans="1:3" ht="26.4">
      <c r="A617" s="552" t="s">
        <v>2716</v>
      </c>
      <c r="B617" s="559" t="s">
        <v>2717</v>
      </c>
      <c r="C617" s="553">
        <v>9396</v>
      </c>
    </row>
    <row r="618" spans="1:3" ht="26.4">
      <c r="A618" s="552" t="s">
        <v>2718</v>
      </c>
      <c r="B618" s="559" t="s">
        <v>2719</v>
      </c>
      <c r="C618" s="553">
        <v>9396</v>
      </c>
    </row>
    <row r="619" spans="1:3" ht="26.4">
      <c r="A619" s="552" t="s">
        <v>2720</v>
      </c>
      <c r="B619" s="559" t="s">
        <v>2721</v>
      </c>
      <c r="C619" s="553">
        <v>11600</v>
      </c>
    </row>
    <row r="620" spans="1:3" ht="26.4">
      <c r="A620" s="552" t="s">
        <v>2722</v>
      </c>
      <c r="B620" s="559" t="s">
        <v>2723</v>
      </c>
      <c r="C620" s="553">
        <v>14499.999999999998</v>
      </c>
    </row>
    <row r="621" spans="1:3" ht="26.4">
      <c r="A621" s="552" t="s">
        <v>2724</v>
      </c>
      <c r="B621" s="559" t="s">
        <v>2725</v>
      </c>
      <c r="C621" s="553">
        <v>18560</v>
      </c>
    </row>
    <row r="622" spans="1:3" ht="26.4">
      <c r="A622" s="552" t="s">
        <v>2726</v>
      </c>
      <c r="B622" s="559" t="s">
        <v>2727</v>
      </c>
      <c r="C622" s="553">
        <v>15659.999999999998</v>
      </c>
    </row>
    <row r="623" spans="1:3" ht="26.4">
      <c r="A623" s="552" t="s">
        <v>2728</v>
      </c>
      <c r="B623" s="559" t="s">
        <v>2729</v>
      </c>
      <c r="C623" s="553">
        <f>3300*1.16</f>
        <v>3827.9999999999995</v>
      </c>
    </row>
    <row r="624" spans="1:3" ht="26.4">
      <c r="A624" s="552" t="s">
        <v>2730</v>
      </c>
      <c r="B624" s="559" t="s">
        <v>2731</v>
      </c>
      <c r="C624" s="553">
        <f>3300*1.16</f>
        <v>3827.9999999999995</v>
      </c>
    </row>
    <row r="625" spans="1:3" ht="26.4">
      <c r="A625" s="552" t="s">
        <v>2732</v>
      </c>
      <c r="B625" s="559" t="s">
        <v>2733</v>
      </c>
      <c r="C625" s="553">
        <v>75400</v>
      </c>
    </row>
    <row r="626" spans="1:3" ht="26.4">
      <c r="A626" s="552" t="s">
        <v>2734</v>
      </c>
      <c r="B626" s="559" t="s">
        <v>2735</v>
      </c>
      <c r="C626" s="553">
        <v>75400</v>
      </c>
    </row>
    <row r="627" spans="1:3" ht="39.6">
      <c r="A627" s="552" t="s">
        <v>2736</v>
      </c>
      <c r="B627" s="559" t="s">
        <v>2737</v>
      </c>
      <c r="C627" s="553">
        <v>145000</v>
      </c>
    </row>
    <row r="628" spans="1:3" ht="26.4">
      <c r="A628" s="552" t="s">
        <v>2738</v>
      </c>
      <c r="B628" s="559" t="s">
        <v>2739</v>
      </c>
      <c r="C628" s="553">
        <v>35380</v>
      </c>
    </row>
    <row r="629" spans="1:3" ht="26.4">
      <c r="A629" s="552" t="s">
        <v>2740</v>
      </c>
      <c r="B629" s="559" t="s">
        <v>2741</v>
      </c>
      <c r="C629" s="553">
        <v>35380</v>
      </c>
    </row>
    <row r="630" spans="1:3" ht="26.4">
      <c r="A630" s="552" t="s">
        <v>2742</v>
      </c>
      <c r="B630" s="559" t="s">
        <v>2743</v>
      </c>
      <c r="C630" s="553">
        <v>35380</v>
      </c>
    </row>
    <row r="631" spans="1:3" ht="26.4">
      <c r="A631" s="552" t="s">
        <v>2744</v>
      </c>
      <c r="B631" s="559" t="s">
        <v>2745</v>
      </c>
      <c r="C631" s="553">
        <v>35380</v>
      </c>
    </row>
    <row r="632" spans="1:3" ht="26.4">
      <c r="A632" s="552" t="s">
        <v>2746</v>
      </c>
      <c r="B632" s="559" t="s">
        <v>2747</v>
      </c>
      <c r="C632" s="553">
        <v>35380</v>
      </c>
    </row>
    <row r="633" spans="1:3" ht="26.4">
      <c r="A633" s="552" t="s">
        <v>2748</v>
      </c>
      <c r="B633" s="559" t="s">
        <v>2749</v>
      </c>
      <c r="C633" s="553">
        <v>35380</v>
      </c>
    </row>
    <row r="634" spans="1:3" ht="26.4">
      <c r="A634" s="552" t="s">
        <v>2750</v>
      </c>
      <c r="B634" s="559" t="s">
        <v>2751</v>
      </c>
      <c r="C634" s="553">
        <v>35380</v>
      </c>
    </row>
    <row r="635" spans="1:3" ht="26.4">
      <c r="A635" s="552" t="s">
        <v>2752</v>
      </c>
      <c r="B635" s="559" t="s">
        <v>2753</v>
      </c>
      <c r="C635" s="553">
        <v>35380</v>
      </c>
    </row>
    <row r="636" spans="1:3" ht="26.4">
      <c r="A636" s="552" t="s">
        <v>2754</v>
      </c>
      <c r="B636" s="559" t="s">
        <v>2755</v>
      </c>
      <c r="C636" s="553">
        <v>35380</v>
      </c>
    </row>
    <row r="637" spans="1:3" ht="26.4">
      <c r="A637" s="552" t="s">
        <v>2756</v>
      </c>
      <c r="B637" s="559" t="s">
        <v>2757</v>
      </c>
      <c r="C637" s="553">
        <v>35380</v>
      </c>
    </row>
    <row r="638" spans="1:3" ht="26.4">
      <c r="A638" s="552" t="s">
        <v>2758</v>
      </c>
      <c r="B638" s="559" t="s">
        <v>2759</v>
      </c>
      <c r="C638" s="553">
        <v>35380</v>
      </c>
    </row>
    <row r="639" spans="1:3" ht="26.4">
      <c r="A639" s="552" t="s">
        <v>2760</v>
      </c>
      <c r="B639" s="559" t="s">
        <v>2761</v>
      </c>
      <c r="C639" s="553">
        <v>35380</v>
      </c>
    </row>
    <row r="640" spans="1:3" ht="26.4">
      <c r="A640" s="552" t="s">
        <v>2762</v>
      </c>
      <c r="B640" s="559" t="s">
        <v>2763</v>
      </c>
      <c r="C640" s="553">
        <v>35380</v>
      </c>
    </row>
    <row r="641" spans="1:3" ht="26.4">
      <c r="A641" s="552" t="s">
        <v>2764</v>
      </c>
      <c r="B641" s="559" t="s">
        <v>2765</v>
      </c>
      <c r="C641" s="553">
        <v>35380</v>
      </c>
    </row>
    <row r="642" spans="1:3" ht="26.4">
      <c r="A642" s="552" t="s">
        <v>2766</v>
      </c>
      <c r="B642" s="559" t="s">
        <v>2767</v>
      </c>
      <c r="C642" s="553">
        <v>19140</v>
      </c>
    </row>
    <row r="643" spans="1:3" ht="26.4">
      <c r="A643" s="552" t="s">
        <v>2768</v>
      </c>
      <c r="B643" s="559" t="s">
        <v>2769</v>
      </c>
      <c r="C643" s="553">
        <v>19140</v>
      </c>
    </row>
    <row r="644" spans="1:3" ht="26.4">
      <c r="A644" s="552" t="s">
        <v>2770</v>
      </c>
      <c r="B644" s="559" t="s">
        <v>2771</v>
      </c>
      <c r="C644" s="553">
        <v>19140</v>
      </c>
    </row>
    <row r="645" spans="1:3" ht="26.4">
      <c r="A645" s="552" t="s">
        <v>2772</v>
      </c>
      <c r="B645" s="559" t="s">
        <v>2773</v>
      </c>
      <c r="C645" s="553">
        <v>19140</v>
      </c>
    </row>
    <row r="646" spans="1:3" ht="26.4">
      <c r="A646" s="552" t="s">
        <v>2774</v>
      </c>
      <c r="B646" s="559" t="s">
        <v>2775</v>
      </c>
      <c r="C646" s="553">
        <v>22040</v>
      </c>
    </row>
    <row r="647" spans="1:3" ht="26.4">
      <c r="A647" s="552" t="s">
        <v>2776</v>
      </c>
      <c r="B647" s="559" t="s">
        <v>2777</v>
      </c>
      <c r="C647" s="553">
        <v>22040</v>
      </c>
    </row>
    <row r="648" spans="1:3" ht="26.4">
      <c r="A648" s="552" t="s">
        <v>2778</v>
      </c>
      <c r="B648" s="559" t="s">
        <v>2779</v>
      </c>
      <c r="C648" s="553">
        <v>22040</v>
      </c>
    </row>
    <row r="649" spans="1:3" ht="26.4">
      <c r="A649" s="552" t="s">
        <v>2780</v>
      </c>
      <c r="B649" s="559" t="s">
        <v>2781</v>
      </c>
      <c r="C649" s="553">
        <v>22040</v>
      </c>
    </row>
    <row r="650" spans="1:3" ht="26.4">
      <c r="A650" s="552" t="s">
        <v>2782</v>
      </c>
      <c r="B650" s="559" t="s">
        <v>2783</v>
      </c>
      <c r="C650" s="553">
        <v>11020</v>
      </c>
    </row>
    <row r="651" spans="1:3" ht="26.4">
      <c r="A651" s="552" t="s">
        <v>2784</v>
      </c>
      <c r="B651" s="559" t="s">
        <v>2785</v>
      </c>
      <c r="C651" s="553">
        <v>11020</v>
      </c>
    </row>
    <row r="652" spans="1:3" ht="26.4">
      <c r="A652" s="552" t="s">
        <v>2786</v>
      </c>
      <c r="B652" s="559" t="s">
        <v>2787</v>
      </c>
      <c r="C652" s="553">
        <v>14499.999999999998</v>
      </c>
    </row>
    <row r="653" spans="1:3" ht="26.4">
      <c r="A653" s="552" t="s">
        <v>2788</v>
      </c>
      <c r="B653" s="559" t="s">
        <v>2789</v>
      </c>
      <c r="C653" s="553">
        <v>14499.999999999998</v>
      </c>
    </row>
    <row r="654" spans="1:3">
      <c r="A654" s="552" t="s">
        <v>2790</v>
      </c>
      <c r="B654" s="559" t="s">
        <v>2791</v>
      </c>
      <c r="C654" s="553">
        <v>4640</v>
      </c>
    </row>
    <row r="655" spans="1:3">
      <c r="A655" s="552" t="s">
        <v>2792</v>
      </c>
      <c r="B655" s="559" t="s">
        <v>2793</v>
      </c>
      <c r="C655" s="553">
        <v>5684</v>
      </c>
    </row>
    <row r="656" spans="1:3">
      <c r="A656" s="552" t="s">
        <v>2794</v>
      </c>
      <c r="B656" s="559" t="s">
        <v>2795</v>
      </c>
      <c r="C656" s="553">
        <v>6843.9999999999991</v>
      </c>
    </row>
    <row r="657" spans="1:3" ht="26.4">
      <c r="A657" s="552" t="s">
        <v>2796</v>
      </c>
      <c r="B657" s="559" t="s">
        <v>2797</v>
      </c>
      <c r="C657" s="553">
        <v>26679.999999999996</v>
      </c>
    </row>
    <row r="658" spans="1:3">
      <c r="A658" s="552" t="s">
        <v>2798</v>
      </c>
      <c r="B658" s="559" t="s">
        <v>2799</v>
      </c>
      <c r="C658" s="553">
        <v>26679.999999999996</v>
      </c>
    </row>
    <row r="659" spans="1:3">
      <c r="A659" s="552" t="s">
        <v>2800</v>
      </c>
      <c r="B659" s="559" t="s">
        <v>2801</v>
      </c>
      <c r="C659" s="553">
        <v>75400</v>
      </c>
    </row>
    <row r="660" spans="1:3">
      <c r="A660" s="552" t="s">
        <v>2802</v>
      </c>
      <c r="B660" s="559" t="s">
        <v>2803</v>
      </c>
      <c r="C660" s="553">
        <v>29580</v>
      </c>
    </row>
    <row r="661" spans="1:3">
      <c r="A661" s="552" t="s">
        <v>2804</v>
      </c>
      <c r="B661" s="559" t="s">
        <v>2805</v>
      </c>
      <c r="C661" s="553">
        <v>29579.999999999996</v>
      </c>
    </row>
    <row r="662" spans="1:3">
      <c r="A662" s="552" t="s">
        <v>2806</v>
      </c>
      <c r="B662" s="559" t="s">
        <v>2807</v>
      </c>
      <c r="C662" s="553">
        <v>34220</v>
      </c>
    </row>
    <row r="663" spans="1:3">
      <c r="A663" s="552" t="s">
        <v>2808</v>
      </c>
      <c r="B663" s="559" t="s">
        <v>2809</v>
      </c>
      <c r="C663" s="553">
        <v>34220</v>
      </c>
    </row>
    <row r="664" spans="1:3">
      <c r="A664" s="552" t="s">
        <v>2810</v>
      </c>
      <c r="B664" s="559" t="s">
        <v>2811</v>
      </c>
      <c r="C664" s="553">
        <v>29579.999999999996</v>
      </c>
    </row>
    <row r="665" spans="1:3">
      <c r="A665" s="552" t="s">
        <v>2812</v>
      </c>
      <c r="B665" s="559" t="s">
        <v>2813</v>
      </c>
      <c r="C665" s="553">
        <v>29579.999999999996</v>
      </c>
    </row>
    <row r="666" spans="1:3">
      <c r="A666" s="552" t="s">
        <v>2814</v>
      </c>
      <c r="B666" s="559" t="s">
        <v>2815</v>
      </c>
      <c r="C666" s="553">
        <v>29579.999999999996</v>
      </c>
    </row>
    <row r="667" spans="1:3">
      <c r="A667" s="552" t="s">
        <v>2816</v>
      </c>
      <c r="B667" s="559" t="s">
        <v>2817</v>
      </c>
      <c r="C667" s="553">
        <v>29579.999999999996</v>
      </c>
    </row>
    <row r="668" spans="1:3">
      <c r="A668" s="552" t="s">
        <v>2818</v>
      </c>
      <c r="B668" s="559" t="s">
        <v>2819</v>
      </c>
      <c r="C668" s="553">
        <v>29579.999999999996</v>
      </c>
    </row>
    <row r="669" spans="1:3">
      <c r="A669" s="552" t="s">
        <v>2820</v>
      </c>
      <c r="B669" s="559" t="s">
        <v>2821</v>
      </c>
      <c r="C669" s="553">
        <f>29500*1.16</f>
        <v>34220</v>
      </c>
    </row>
    <row r="670" spans="1:3">
      <c r="A670" s="552" t="s">
        <v>2822</v>
      </c>
      <c r="B670" s="559" t="s">
        <v>2823</v>
      </c>
      <c r="C670" s="553">
        <f t="shared" ref="C670:C679" si="3">29500*1.16</f>
        <v>34220</v>
      </c>
    </row>
    <row r="671" spans="1:3">
      <c r="A671" s="552" t="s">
        <v>2824</v>
      </c>
      <c r="B671" s="559" t="s">
        <v>2825</v>
      </c>
      <c r="C671" s="553">
        <f t="shared" si="3"/>
        <v>34220</v>
      </c>
    </row>
    <row r="672" spans="1:3">
      <c r="A672" s="552" t="s">
        <v>2826</v>
      </c>
      <c r="B672" s="559" t="s">
        <v>2827</v>
      </c>
      <c r="C672" s="553">
        <f t="shared" si="3"/>
        <v>34220</v>
      </c>
    </row>
    <row r="673" spans="1:3">
      <c r="A673" s="552" t="s">
        <v>2828</v>
      </c>
      <c r="B673" s="559" t="s">
        <v>2829</v>
      </c>
      <c r="C673" s="553">
        <f t="shared" si="3"/>
        <v>34220</v>
      </c>
    </row>
    <row r="674" spans="1:3">
      <c r="A674" s="552" t="s">
        <v>2830</v>
      </c>
      <c r="B674" s="559" t="s">
        <v>2831</v>
      </c>
      <c r="C674" s="553">
        <f t="shared" si="3"/>
        <v>34220</v>
      </c>
    </row>
    <row r="675" spans="1:3">
      <c r="A675" s="552" t="s">
        <v>2832</v>
      </c>
      <c r="B675" s="559" t="s">
        <v>2833</v>
      </c>
      <c r="C675" s="553">
        <f t="shared" si="3"/>
        <v>34220</v>
      </c>
    </row>
    <row r="676" spans="1:3">
      <c r="A676" s="552" t="s">
        <v>2834</v>
      </c>
      <c r="B676" s="559" t="s">
        <v>2835</v>
      </c>
      <c r="C676" s="553">
        <f t="shared" si="3"/>
        <v>34220</v>
      </c>
    </row>
    <row r="677" spans="1:3">
      <c r="A677" s="552" t="s">
        <v>2836</v>
      </c>
      <c r="B677" s="559" t="s">
        <v>2837</v>
      </c>
      <c r="C677" s="553">
        <f t="shared" si="3"/>
        <v>34220</v>
      </c>
    </row>
    <row r="678" spans="1:3">
      <c r="A678" s="552" t="s">
        <v>2838</v>
      </c>
      <c r="B678" s="559" t="s">
        <v>2839</v>
      </c>
      <c r="C678" s="553">
        <f t="shared" si="3"/>
        <v>34220</v>
      </c>
    </row>
    <row r="679" spans="1:3">
      <c r="A679" s="552" t="s">
        <v>2840</v>
      </c>
      <c r="B679" s="559" t="s">
        <v>2841</v>
      </c>
      <c r="C679" s="553">
        <f t="shared" si="3"/>
        <v>34220</v>
      </c>
    </row>
    <row r="680" spans="1:3">
      <c r="A680" s="552" t="s">
        <v>2842</v>
      </c>
      <c r="B680" s="559" t="s">
        <v>2843</v>
      </c>
      <c r="C680" s="553">
        <f>45000*1.16</f>
        <v>52200</v>
      </c>
    </row>
    <row r="681" spans="1:3">
      <c r="A681" s="552" t="s">
        <v>2844</v>
      </c>
      <c r="B681" s="559" t="s">
        <v>2843</v>
      </c>
      <c r="C681" s="553">
        <f>49300*1.16</f>
        <v>57187.999999999993</v>
      </c>
    </row>
    <row r="682" spans="1:3">
      <c r="A682" s="552" t="s">
        <v>2845</v>
      </c>
      <c r="B682" s="559" t="s">
        <v>2846</v>
      </c>
      <c r="C682" s="553">
        <f>55300*1.16</f>
        <v>64147.999999999993</v>
      </c>
    </row>
    <row r="683" spans="1:3">
      <c r="A683" s="552" t="s">
        <v>2847</v>
      </c>
      <c r="B683" s="559" t="s">
        <v>2848</v>
      </c>
      <c r="C683" s="553">
        <v>28999.999999999996</v>
      </c>
    </row>
    <row r="684" spans="1:3">
      <c r="A684" s="552" t="s">
        <v>2849</v>
      </c>
      <c r="B684" s="559" t="s">
        <v>2850</v>
      </c>
      <c r="C684" s="553">
        <v>28999.999999999996</v>
      </c>
    </row>
    <row r="685" spans="1:3">
      <c r="A685" s="552" t="s">
        <v>2851</v>
      </c>
      <c r="B685" s="559" t="s">
        <v>2852</v>
      </c>
      <c r="C685" s="553">
        <v>28999.999999999996</v>
      </c>
    </row>
    <row r="686" spans="1:3">
      <c r="A686" s="552" t="s">
        <v>2853</v>
      </c>
      <c r="B686" s="559" t="s">
        <v>2854</v>
      </c>
      <c r="C686" s="553">
        <v>28999.999999999996</v>
      </c>
    </row>
    <row r="687" spans="1:3">
      <c r="A687" s="552" t="s">
        <v>2855</v>
      </c>
      <c r="B687" s="559" t="s">
        <v>2856</v>
      </c>
      <c r="C687" s="553">
        <v>33640</v>
      </c>
    </row>
    <row r="688" spans="1:3">
      <c r="A688" s="552" t="s">
        <v>2857</v>
      </c>
      <c r="B688" s="559" t="s">
        <v>2858</v>
      </c>
      <c r="C688" s="553">
        <v>37120</v>
      </c>
    </row>
    <row r="689" spans="1:3">
      <c r="A689" s="552" t="s">
        <v>2859</v>
      </c>
      <c r="B689" s="559" t="s">
        <v>2860</v>
      </c>
      <c r="C689" s="553">
        <v>37120</v>
      </c>
    </row>
    <row r="690" spans="1:3">
      <c r="A690" s="552" t="s">
        <v>2861</v>
      </c>
      <c r="B690" s="559" t="s">
        <v>2862</v>
      </c>
      <c r="C690" s="553">
        <v>38280</v>
      </c>
    </row>
    <row r="691" spans="1:3">
      <c r="A691" s="552" t="s">
        <v>2863</v>
      </c>
      <c r="B691" s="559" t="s">
        <v>2864</v>
      </c>
      <c r="C691" s="553">
        <v>45240</v>
      </c>
    </row>
    <row r="692" spans="1:3">
      <c r="A692" s="552" t="s">
        <v>2865</v>
      </c>
      <c r="B692" s="559" t="s">
        <v>2866</v>
      </c>
      <c r="C692" s="553">
        <v>52200</v>
      </c>
    </row>
    <row r="693" spans="1:3">
      <c r="A693" s="552" t="s">
        <v>2867</v>
      </c>
      <c r="B693" s="559" t="s">
        <v>2868</v>
      </c>
      <c r="C693" s="553">
        <v>63799.999999999993</v>
      </c>
    </row>
    <row r="694" spans="1:3">
      <c r="A694" s="552" t="s">
        <v>2869</v>
      </c>
      <c r="B694" s="559" t="s">
        <v>2870</v>
      </c>
      <c r="C694" s="553">
        <v>81200</v>
      </c>
    </row>
    <row r="695" spans="1:3" ht="26.4">
      <c r="A695" s="552" t="s">
        <v>2871</v>
      </c>
      <c r="B695" s="559" t="s">
        <v>2872</v>
      </c>
      <c r="C695" s="553">
        <v>2088</v>
      </c>
    </row>
    <row r="696" spans="1:3" ht="26.4">
      <c r="A696" s="552" t="s">
        <v>2873</v>
      </c>
      <c r="B696" s="559" t="s">
        <v>2874</v>
      </c>
      <c r="C696" s="553">
        <v>2436</v>
      </c>
    </row>
    <row r="697" spans="1:3" ht="26.4">
      <c r="A697" s="552" t="s">
        <v>2875</v>
      </c>
      <c r="B697" s="559" t="s">
        <v>2876</v>
      </c>
      <c r="C697" s="553">
        <v>3305.9999999999995</v>
      </c>
    </row>
    <row r="698" spans="1:3" ht="26.4">
      <c r="A698" s="552" t="s">
        <v>2877</v>
      </c>
      <c r="B698" s="559" t="s">
        <v>2878</v>
      </c>
      <c r="C698" s="553">
        <v>4408</v>
      </c>
    </row>
    <row r="699" spans="1:3" ht="26.4">
      <c r="A699" s="552" t="s">
        <v>2879</v>
      </c>
      <c r="B699" s="559" t="s">
        <v>2880</v>
      </c>
      <c r="C699" s="553">
        <v>7017.9999999999991</v>
      </c>
    </row>
    <row r="700" spans="1:3" ht="26.4">
      <c r="A700" s="552" t="s">
        <v>2881</v>
      </c>
      <c r="B700" s="559" t="s">
        <v>2882</v>
      </c>
      <c r="C700" s="553">
        <v>12180</v>
      </c>
    </row>
    <row r="701" spans="1:3" ht="26.4">
      <c r="A701" s="552" t="s">
        <v>2883</v>
      </c>
      <c r="B701" s="559" t="s">
        <v>2884</v>
      </c>
      <c r="C701" s="553">
        <v>42340</v>
      </c>
    </row>
    <row r="702" spans="1:3" ht="26.4">
      <c r="A702" s="552" t="s">
        <v>2885</v>
      </c>
      <c r="B702" s="559" t="s">
        <v>2886</v>
      </c>
      <c r="C702" s="553">
        <v>2088</v>
      </c>
    </row>
    <row r="703" spans="1:3" ht="26.4">
      <c r="A703" s="552" t="s">
        <v>2887</v>
      </c>
      <c r="B703" s="559" t="s">
        <v>2888</v>
      </c>
      <c r="C703" s="553">
        <v>2436</v>
      </c>
    </row>
    <row r="704" spans="1:3" ht="26.4">
      <c r="A704" s="552" t="s">
        <v>2889</v>
      </c>
      <c r="B704" s="559" t="s">
        <v>2890</v>
      </c>
      <c r="C704" s="553">
        <v>3305.9999999999995</v>
      </c>
    </row>
    <row r="705" spans="1:3" ht="26.4">
      <c r="A705" s="552" t="s">
        <v>2891</v>
      </c>
      <c r="B705" s="559" t="s">
        <v>2892</v>
      </c>
      <c r="C705" s="553">
        <v>4408</v>
      </c>
    </row>
    <row r="706" spans="1:3" ht="26.4">
      <c r="A706" s="552" t="s">
        <v>2893</v>
      </c>
      <c r="B706" s="559" t="s">
        <v>2894</v>
      </c>
      <c r="C706" s="553">
        <v>5452</v>
      </c>
    </row>
    <row r="707" spans="1:3" ht="26.4">
      <c r="A707" s="552" t="s">
        <v>2895</v>
      </c>
      <c r="B707" s="559" t="s">
        <v>2896</v>
      </c>
      <c r="C707" s="553">
        <v>6843.9999999999991</v>
      </c>
    </row>
    <row r="708" spans="1:3" ht="26.4">
      <c r="A708" s="552" t="s">
        <v>2897</v>
      </c>
      <c r="B708" s="559" t="s">
        <v>2898</v>
      </c>
      <c r="C708" s="553">
        <v>8468</v>
      </c>
    </row>
    <row r="709" spans="1:3" ht="26.4">
      <c r="A709" s="552" t="s">
        <v>2899</v>
      </c>
      <c r="B709" s="559" t="s">
        <v>2900</v>
      </c>
      <c r="C709" s="553">
        <v>11020</v>
      </c>
    </row>
    <row r="710" spans="1:3" ht="26.4">
      <c r="A710" s="552" t="s">
        <v>2901</v>
      </c>
      <c r="B710" s="559" t="s">
        <v>2902</v>
      </c>
      <c r="C710" s="553">
        <v>16936</v>
      </c>
    </row>
    <row r="711" spans="1:3" ht="26.4">
      <c r="A711" s="552" t="s">
        <v>2903</v>
      </c>
      <c r="B711" s="559" t="s">
        <v>2904</v>
      </c>
      <c r="C711" s="553">
        <v>23780</v>
      </c>
    </row>
    <row r="712" spans="1:3">
      <c r="A712" s="552" t="s">
        <v>2905</v>
      </c>
      <c r="B712" s="559" t="s">
        <v>2906</v>
      </c>
      <c r="C712" s="553">
        <f>8000*1.16</f>
        <v>9280</v>
      </c>
    </row>
    <row r="713" spans="1:3">
      <c r="A713" s="552" t="s">
        <v>2907</v>
      </c>
      <c r="B713" s="559" t="s">
        <v>2908</v>
      </c>
      <c r="C713" s="553">
        <f>8400*1.16</f>
        <v>9744</v>
      </c>
    </row>
    <row r="714" spans="1:3">
      <c r="A714" s="552" t="s">
        <v>2909</v>
      </c>
      <c r="B714" s="559" t="s">
        <v>2910</v>
      </c>
      <c r="C714" s="553">
        <v>1739.9999999999998</v>
      </c>
    </row>
    <row r="715" spans="1:3">
      <c r="A715" s="552" t="s">
        <v>2911</v>
      </c>
      <c r="B715" s="559" t="s">
        <v>2912</v>
      </c>
      <c r="C715" s="553">
        <v>927.99999999999989</v>
      </c>
    </row>
    <row r="716" spans="1:3">
      <c r="A716" s="552" t="s">
        <v>2913</v>
      </c>
      <c r="B716" s="559" t="s">
        <v>2914</v>
      </c>
      <c r="C716" s="553">
        <v>1044</v>
      </c>
    </row>
    <row r="717" spans="1:3">
      <c r="A717" s="552" t="s">
        <v>2915</v>
      </c>
      <c r="B717" s="559" t="s">
        <v>2916</v>
      </c>
      <c r="C717" s="553">
        <v>1218</v>
      </c>
    </row>
    <row r="718" spans="1:3">
      <c r="A718" s="552" t="s">
        <v>2917</v>
      </c>
      <c r="B718" s="559" t="s">
        <v>2918</v>
      </c>
      <c r="C718" s="553">
        <v>2088</v>
      </c>
    </row>
    <row r="719" spans="1:3">
      <c r="A719" s="552" t="s">
        <v>2919</v>
      </c>
      <c r="B719" s="559" t="s">
        <v>2920</v>
      </c>
      <c r="C719" s="553">
        <v>4025.2</v>
      </c>
    </row>
    <row r="720" spans="1:3">
      <c r="A720" s="552" t="s">
        <v>2921</v>
      </c>
      <c r="B720" s="559" t="s">
        <v>2922</v>
      </c>
      <c r="C720" s="553">
        <v>927.99999999999989</v>
      </c>
    </row>
    <row r="721" spans="1:3">
      <c r="A721" s="552" t="s">
        <v>2923</v>
      </c>
      <c r="B721" s="559" t="s">
        <v>2924</v>
      </c>
      <c r="C721" s="553">
        <v>1218</v>
      </c>
    </row>
    <row r="722" spans="1:3">
      <c r="A722" s="552" t="s">
        <v>2925</v>
      </c>
      <c r="B722" s="559" t="s">
        <v>2926</v>
      </c>
      <c r="C722" s="553">
        <v>8584</v>
      </c>
    </row>
    <row r="723" spans="1:3">
      <c r="A723" s="552" t="s">
        <v>2927</v>
      </c>
      <c r="B723" s="559" t="s">
        <v>2928</v>
      </c>
      <c r="C723" s="553">
        <v>7191.9999999999991</v>
      </c>
    </row>
    <row r="724" spans="1:3">
      <c r="A724" s="552" t="s">
        <v>2929</v>
      </c>
      <c r="B724" s="559" t="s">
        <v>2930</v>
      </c>
      <c r="C724" s="553">
        <v>8468</v>
      </c>
    </row>
    <row r="725" spans="1:3">
      <c r="A725" s="552" t="s">
        <v>2931</v>
      </c>
      <c r="B725" s="559" t="s">
        <v>2932</v>
      </c>
      <c r="C725" s="553">
        <v>16007.999999999998</v>
      </c>
    </row>
    <row r="726" spans="1:3">
      <c r="A726" s="552" t="s">
        <v>2933</v>
      </c>
      <c r="B726" s="559" t="s">
        <v>2934</v>
      </c>
      <c r="C726" s="553">
        <v>16007.999999999998</v>
      </c>
    </row>
    <row r="727" spans="1:3">
      <c r="A727" s="552" t="s">
        <v>2935</v>
      </c>
      <c r="B727" s="559" t="s">
        <v>2936</v>
      </c>
      <c r="C727" s="553">
        <v>16007.999999999998</v>
      </c>
    </row>
    <row r="728" spans="1:3">
      <c r="A728" s="552" t="s">
        <v>2937</v>
      </c>
      <c r="B728" s="559" t="s">
        <v>2938</v>
      </c>
      <c r="C728" s="553">
        <v>16007.999999999998</v>
      </c>
    </row>
    <row r="729" spans="1:3">
      <c r="A729" s="552" t="s">
        <v>2939</v>
      </c>
      <c r="B729" s="559" t="s">
        <v>2940</v>
      </c>
      <c r="C729" s="553">
        <v>16007.999999999998</v>
      </c>
    </row>
    <row r="730" spans="1:3">
      <c r="A730" s="552" t="s">
        <v>2941</v>
      </c>
      <c r="B730" s="559" t="s">
        <v>2942</v>
      </c>
      <c r="C730" s="553">
        <v>16007.999999999998</v>
      </c>
    </row>
    <row r="731" spans="1:3">
      <c r="A731" s="552" t="s">
        <v>2943</v>
      </c>
      <c r="B731" s="559" t="s">
        <v>2944</v>
      </c>
      <c r="C731" s="553">
        <v>16007.999999999998</v>
      </c>
    </row>
    <row r="732" spans="1:3">
      <c r="A732" s="552" t="s">
        <v>2945</v>
      </c>
      <c r="B732" s="559" t="s">
        <v>2946</v>
      </c>
      <c r="C732" s="553">
        <v>16007.999999999998</v>
      </c>
    </row>
    <row r="733" spans="1:3">
      <c r="A733" s="552" t="s">
        <v>2947</v>
      </c>
      <c r="B733" s="559" t="s">
        <v>2948</v>
      </c>
      <c r="C733" s="553">
        <v>16007.999999999998</v>
      </c>
    </row>
    <row r="734" spans="1:3">
      <c r="A734" s="552" t="s">
        <v>2949</v>
      </c>
      <c r="B734" s="559" t="s">
        <v>2950</v>
      </c>
      <c r="C734" s="553">
        <v>16007.999999999998</v>
      </c>
    </row>
    <row r="735" spans="1:3">
      <c r="A735" s="552" t="s">
        <v>2951</v>
      </c>
      <c r="B735" s="559" t="s">
        <v>2952</v>
      </c>
      <c r="C735" s="553">
        <v>16007.999999999998</v>
      </c>
    </row>
    <row r="736" spans="1:3">
      <c r="A736" s="552" t="s">
        <v>2953</v>
      </c>
      <c r="B736" s="559" t="s">
        <v>2954</v>
      </c>
      <c r="C736" s="553">
        <v>16007.999999999998</v>
      </c>
    </row>
    <row r="737" spans="1:3">
      <c r="A737" s="552" t="s">
        <v>2955</v>
      </c>
      <c r="B737" s="559" t="s">
        <v>2956</v>
      </c>
      <c r="C737" s="553">
        <v>16007.999999999998</v>
      </c>
    </row>
    <row r="738" spans="1:3">
      <c r="A738" s="552" t="s">
        <v>2957</v>
      </c>
      <c r="B738" s="559" t="s">
        <v>2958</v>
      </c>
      <c r="C738" s="553">
        <f>30000*1.16</f>
        <v>34800</v>
      </c>
    </row>
    <row r="739" spans="1:3">
      <c r="A739" s="552" t="s">
        <v>2959</v>
      </c>
      <c r="B739" s="559" t="s">
        <v>2960</v>
      </c>
      <c r="C739" s="553">
        <f t="shared" ref="C739:C750" si="4">30000*1.16</f>
        <v>34800</v>
      </c>
    </row>
    <row r="740" spans="1:3">
      <c r="A740" s="552" t="s">
        <v>2961</v>
      </c>
      <c r="B740" s="559" t="s">
        <v>2962</v>
      </c>
      <c r="C740" s="553">
        <f t="shared" si="4"/>
        <v>34800</v>
      </c>
    </row>
    <row r="741" spans="1:3">
      <c r="A741" s="552" t="s">
        <v>2963</v>
      </c>
      <c r="B741" s="559" t="s">
        <v>2964</v>
      </c>
      <c r="C741" s="553">
        <f t="shared" si="4"/>
        <v>34800</v>
      </c>
    </row>
    <row r="742" spans="1:3">
      <c r="A742" s="552" t="s">
        <v>2965</v>
      </c>
      <c r="B742" s="559" t="s">
        <v>2966</v>
      </c>
      <c r="C742" s="553">
        <f t="shared" si="4"/>
        <v>34800</v>
      </c>
    </row>
    <row r="743" spans="1:3">
      <c r="A743" s="552" t="s">
        <v>2967</v>
      </c>
      <c r="B743" s="559" t="s">
        <v>2968</v>
      </c>
      <c r="C743" s="553">
        <f t="shared" si="4"/>
        <v>34800</v>
      </c>
    </row>
    <row r="744" spans="1:3">
      <c r="A744" s="552" t="s">
        <v>2969</v>
      </c>
      <c r="B744" s="559" t="s">
        <v>2970</v>
      </c>
      <c r="C744" s="553">
        <f t="shared" si="4"/>
        <v>34800</v>
      </c>
    </row>
    <row r="745" spans="1:3">
      <c r="A745" s="552" t="s">
        <v>2971</v>
      </c>
      <c r="B745" s="559" t="s">
        <v>2972</v>
      </c>
      <c r="C745" s="553">
        <f t="shared" si="4"/>
        <v>34800</v>
      </c>
    </row>
    <row r="746" spans="1:3">
      <c r="A746" s="552" t="s">
        <v>2973</v>
      </c>
      <c r="B746" s="559" t="s">
        <v>2974</v>
      </c>
      <c r="C746" s="553">
        <f t="shared" si="4"/>
        <v>34800</v>
      </c>
    </row>
    <row r="747" spans="1:3">
      <c r="A747" s="552" t="s">
        <v>2975</v>
      </c>
      <c r="B747" s="559" t="s">
        <v>2976</v>
      </c>
      <c r="C747" s="553">
        <f t="shared" si="4"/>
        <v>34800</v>
      </c>
    </row>
    <row r="748" spans="1:3">
      <c r="A748" s="552" t="s">
        <v>2977</v>
      </c>
      <c r="B748" s="559" t="s">
        <v>2978</v>
      </c>
      <c r="C748" s="553">
        <f t="shared" si="4"/>
        <v>34800</v>
      </c>
    </row>
    <row r="749" spans="1:3">
      <c r="A749" s="552" t="s">
        <v>2979</v>
      </c>
      <c r="B749" s="559" t="s">
        <v>2980</v>
      </c>
      <c r="C749" s="553">
        <f t="shared" si="4"/>
        <v>34800</v>
      </c>
    </row>
    <row r="750" spans="1:3">
      <c r="A750" s="552" t="s">
        <v>2981</v>
      </c>
      <c r="B750" s="559" t="s">
        <v>2982</v>
      </c>
      <c r="C750" s="553">
        <f t="shared" si="4"/>
        <v>34800</v>
      </c>
    </row>
    <row r="751" spans="1:3">
      <c r="A751" s="552" t="s">
        <v>2983</v>
      </c>
      <c r="B751" s="559" t="s">
        <v>2984</v>
      </c>
      <c r="C751" s="553">
        <f>50000*1.16</f>
        <v>57999.999999999993</v>
      </c>
    </row>
    <row r="752" spans="1:3">
      <c r="A752" s="552" t="s">
        <v>2985</v>
      </c>
      <c r="B752" s="559" t="s">
        <v>2986</v>
      </c>
      <c r="C752" s="553">
        <f t="shared" ref="C752:C763" si="5">50000*1.16</f>
        <v>57999.999999999993</v>
      </c>
    </row>
    <row r="753" spans="1:3">
      <c r="A753" s="552" t="s">
        <v>2987</v>
      </c>
      <c r="B753" s="559" t="s">
        <v>2988</v>
      </c>
      <c r="C753" s="553">
        <f t="shared" si="5"/>
        <v>57999.999999999993</v>
      </c>
    </row>
    <row r="754" spans="1:3">
      <c r="A754" s="552" t="s">
        <v>2989</v>
      </c>
      <c r="B754" s="559" t="s">
        <v>2990</v>
      </c>
      <c r="C754" s="553">
        <f t="shared" si="5"/>
        <v>57999.999999999993</v>
      </c>
    </row>
    <row r="755" spans="1:3">
      <c r="A755" s="552" t="s">
        <v>2991</v>
      </c>
      <c r="B755" s="559" t="s">
        <v>2992</v>
      </c>
      <c r="C755" s="553">
        <f t="shared" si="5"/>
        <v>57999.999999999993</v>
      </c>
    </row>
    <row r="756" spans="1:3">
      <c r="A756" s="552" t="s">
        <v>2993</v>
      </c>
      <c r="B756" s="559" t="s">
        <v>2994</v>
      </c>
      <c r="C756" s="553">
        <f t="shared" si="5"/>
        <v>57999.999999999993</v>
      </c>
    </row>
    <row r="757" spans="1:3">
      <c r="A757" s="552" t="s">
        <v>2995</v>
      </c>
      <c r="B757" s="559" t="s">
        <v>2996</v>
      </c>
      <c r="C757" s="553">
        <f t="shared" si="5"/>
        <v>57999.999999999993</v>
      </c>
    </row>
    <row r="758" spans="1:3">
      <c r="A758" s="552" t="s">
        <v>2997</v>
      </c>
      <c r="B758" s="559" t="s">
        <v>2998</v>
      </c>
      <c r="C758" s="553">
        <f t="shared" si="5"/>
        <v>57999.999999999993</v>
      </c>
    </row>
    <row r="759" spans="1:3">
      <c r="A759" s="552" t="s">
        <v>2999</v>
      </c>
      <c r="B759" s="559" t="s">
        <v>3000</v>
      </c>
      <c r="C759" s="553">
        <f t="shared" si="5"/>
        <v>57999.999999999993</v>
      </c>
    </row>
    <row r="760" spans="1:3">
      <c r="A760" s="552" t="s">
        <v>3001</v>
      </c>
      <c r="B760" s="559" t="s">
        <v>3002</v>
      </c>
      <c r="C760" s="553">
        <f t="shared" si="5"/>
        <v>57999.999999999993</v>
      </c>
    </row>
    <row r="761" spans="1:3">
      <c r="A761" s="552" t="s">
        <v>3003</v>
      </c>
      <c r="B761" s="559" t="s">
        <v>3004</v>
      </c>
      <c r="C761" s="553">
        <f t="shared" si="5"/>
        <v>57999.999999999993</v>
      </c>
    </row>
    <row r="762" spans="1:3">
      <c r="A762" s="552" t="s">
        <v>3005</v>
      </c>
      <c r="B762" s="559" t="s">
        <v>3006</v>
      </c>
      <c r="C762" s="553">
        <f t="shared" si="5"/>
        <v>57999.999999999993</v>
      </c>
    </row>
    <row r="763" spans="1:3">
      <c r="A763" s="552" t="s">
        <v>3007</v>
      </c>
      <c r="B763" s="559" t="s">
        <v>3008</v>
      </c>
      <c r="C763" s="553">
        <f t="shared" si="5"/>
        <v>57999.999999999993</v>
      </c>
    </row>
    <row r="764" spans="1:3">
      <c r="A764" s="552" t="s">
        <v>3009</v>
      </c>
      <c r="B764" s="559" t="s">
        <v>3010</v>
      </c>
      <c r="C764" s="553">
        <v>18328</v>
      </c>
    </row>
    <row r="765" spans="1:3" ht="26.4">
      <c r="A765" s="552" t="s">
        <v>3011</v>
      </c>
      <c r="B765" s="559" t="s">
        <v>3012</v>
      </c>
      <c r="C765" s="553">
        <v>18328</v>
      </c>
    </row>
    <row r="766" spans="1:3" ht="26.4">
      <c r="A766" s="552" t="s">
        <v>3013</v>
      </c>
      <c r="B766" s="559" t="s">
        <v>3014</v>
      </c>
      <c r="C766" s="553">
        <v>23200</v>
      </c>
    </row>
    <row r="767" spans="1:3" ht="26.4">
      <c r="A767" s="552" t="s">
        <v>3015</v>
      </c>
      <c r="B767" s="559" t="s">
        <v>3016</v>
      </c>
      <c r="C767" s="553">
        <v>38280</v>
      </c>
    </row>
    <row r="768" spans="1:3" ht="26.4">
      <c r="A768" s="552" t="s">
        <v>3017</v>
      </c>
      <c r="B768" s="559" t="s">
        <v>3018</v>
      </c>
      <c r="C768" s="553">
        <v>22156</v>
      </c>
    </row>
    <row r="769" spans="1:3" ht="26.4">
      <c r="A769" s="552" t="s">
        <v>3019</v>
      </c>
      <c r="B769" s="559" t="s">
        <v>3020</v>
      </c>
      <c r="C769" s="553">
        <f>170000*1.16</f>
        <v>197200</v>
      </c>
    </row>
    <row r="770" spans="1:3" ht="26.4">
      <c r="A770" s="552" t="s">
        <v>3021</v>
      </c>
      <c r="B770" s="559" t="s">
        <v>3022</v>
      </c>
      <c r="C770" s="553">
        <f>103000*1.16</f>
        <v>119479.99999999999</v>
      </c>
    </row>
    <row r="771" spans="1:3" ht="26.4">
      <c r="A771" s="552" t="s">
        <v>3023</v>
      </c>
      <c r="B771" s="559" t="s">
        <v>3024</v>
      </c>
      <c r="C771" s="553">
        <f>140000*1.16</f>
        <v>162400</v>
      </c>
    </row>
    <row r="772" spans="1:3">
      <c r="A772" s="552" t="s">
        <v>3025</v>
      </c>
      <c r="B772" s="559" t="s">
        <v>3026</v>
      </c>
      <c r="C772" s="553">
        <v>1027759.9999999999</v>
      </c>
    </row>
    <row r="773" spans="1:3">
      <c r="A773" s="552" t="s">
        <v>3027</v>
      </c>
      <c r="B773" s="559" t="s">
        <v>3028</v>
      </c>
      <c r="C773" s="553">
        <v>1218000</v>
      </c>
    </row>
    <row r="774" spans="1:3">
      <c r="A774" s="552" t="s">
        <v>3029</v>
      </c>
      <c r="B774" s="559" t="s">
        <v>3030</v>
      </c>
      <c r="C774" s="553">
        <v>2552000</v>
      </c>
    </row>
    <row r="775" spans="1:3">
      <c r="A775" s="552" t="s">
        <v>3031</v>
      </c>
      <c r="B775" s="559" t="s">
        <v>3032</v>
      </c>
      <c r="C775" s="553">
        <f>886000*1.16</f>
        <v>1027759.9999999999</v>
      </c>
    </row>
    <row r="776" spans="1:3">
      <c r="A776" s="552" t="s">
        <v>3033</v>
      </c>
      <c r="B776" s="559" t="s">
        <v>3034</v>
      </c>
      <c r="C776" s="553">
        <f>1050000*1.16</f>
        <v>1218000</v>
      </c>
    </row>
    <row r="777" spans="1:3" ht="26.4">
      <c r="A777" s="552" t="s">
        <v>3035</v>
      </c>
      <c r="B777" s="559" t="s">
        <v>3036</v>
      </c>
      <c r="C777" s="553">
        <v>235479.99999999997</v>
      </c>
    </row>
    <row r="778" spans="1:3">
      <c r="A778" s="552" t="s">
        <v>3037</v>
      </c>
      <c r="B778" s="559" t="s">
        <v>3038</v>
      </c>
      <c r="C778" s="553">
        <v>312040</v>
      </c>
    </row>
    <row r="779" spans="1:3" ht="26.4">
      <c r="A779" s="552" t="s">
        <v>3039</v>
      </c>
      <c r="B779" s="559" t="s">
        <v>3040</v>
      </c>
      <c r="C779" s="553">
        <v>445439.99999999994</v>
      </c>
    </row>
    <row r="780" spans="1:3" ht="26.4">
      <c r="A780" s="552" t="s">
        <v>3041</v>
      </c>
      <c r="B780" s="559" t="s">
        <v>3042</v>
      </c>
      <c r="C780" s="553">
        <v>531280</v>
      </c>
    </row>
    <row r="781" spans="1:3" ht="26.4">
      <c r="A781" s="552" t="s">
        <v>3043</v>
      </c>
      <c r="B781" s="559" t="s">
        <v>3042</v>
      </c>
      <c r="C781" s="553">
        <v>554480</v>
      </c>
    </row>
    <row r="782" spans="1:3" ht="26.4">
      <c r="A782" s="552" t="s">
        <v>3044</v>
      </c>
      <c r="B782" s="559" t="s">
        <v>3045</v>
      </c>
      <c r="C782" s="553">
        <v>416440</v>
      </c>
    </row>
    <row r="783" spans="1:3" ht="26.4">
      <c r="A783" s="552" t="s">
        <v>3046</v>
      </c>
      <c r="B783" s="559" t="s">
        <v>3047</v>
      </c>
      <c r="C783" s="553">
        <v>1073000</v>
      </c>
    </row>
    <row r="784" spans="1:3">
      <c r="A784" s="552" t="s">
        <v>3048</v>
      </c>
      <c r="B784" s="559" t="s">
        <v>3049</v>
      </c>
      <c r="C784" s="553">
        <v>274920</v>
      </c>
    </row>
    <row r="785" spans="1:3" ht="26.4">
      <c r="A785" s="552" t="s">
        <v>3050</v>
      </c>
      <c r="B785" s="559" t="s">
        <v>3051</v>
      </c>
      <c r="C785" s="553">
        <v>274920</v>
      </c>
    </row>
    <row r="786" spans="1:3" ht="26.4">
      <c r="A786" s="552" t="s">
        <v>3052</v>
      </c>
      <c r="B786" s="559" t="s">
        <v>3053</v>
      </c>
      <c r="C786" s="553">
        <v>341040</v>
      </c>
    </row>
    <row r="787" spans="1:3" ht="26.4">
      <c r="A787" s="552" t="s">
        <v>3054</v>
      </c>
      <c r="B787" s="559" t="s">
        <v>3055</v>
      </c>
      <c r="C787" s="553">
        <v>341040</v>
      </c>
    </row>
    <row r="788" spans="1:3" ht="26.4">
      <c r="A788" s="552" t="s">
        <v>3056</v>
      </c>
      <c r="B788" s="559" t="s">
        <v>3057</v>
      </c>
      <c r="C788" s="553">
        <v>468639.99999999994</v>
      </c>
    </row>
    <row r="789" spans="1:3" ht="26.4">
      <c r="A789" s="552" t="s">
        <v>3058</v>
      </c>
      <c r="B789" s="559" t="s">
        <v>3059</v>
      </c>
      <c r="C789" s="553">
        <v>468639.99999999994</v>
      </c>
    </row>
    <row r="790" spans="1:3" ht="26.4">
      <c r="A790" s="552" t="s">
        <v>3060</v>
      </c>
      <c r="B790" s="559" t="s">
        <v>3061</v>
      </c>
      <c r="C790" s="553">
        <v>481399.99999999994</v>
      </c>
    </row>
    <row r="791" spans="1:3" ht="26.4">
      <c r="A791" s="552" t="s">
        <v>3062</v>
      </c>
      <c r="B791" s="559" t="s">
        <v>3063</v>
      </c>
      <c r="C791" s="553">
        <v>502279.99999999994</v>
      </c>
    </row>
    <row r="792" spans="1:3" ht="26.4">
      <c r="A792" s="552" t="s">
        <v>3064</v>
      </c>
      <c r="B792" s="559" t="s">
        <v>3065</v>
      </c>
      <c r="C792" s="553">
        <v>609000</v>
      </c>
    </row>
    <row r="793" spans="1:3">
      <c r="A793" s="552" t="s">
        <v>3066</v>
      </c>
      <c r="B793" s="559" t="s">
        <v>3067</v>
      </c>
      <c r="C793" s="553">
        <v>313200</v>
      </c>
    </row>
    <row r="794" spans="1:3">
      <c r="A794" s="552" t="s">
        <v>3068</v>
      </c>
      <c r="B794" s="559" t="s">
        <v>3069</v>
      </c>
      <c r="C794" s="553">
        <v>348000</v>
      </c>
    </row>
    <row r="795" spans="1:3">
      <c r="A795" s="552" t="s">
        <v>3070</v>
      </c>
      <c r="B795" s="559" t="s">
        <v>3071</v>
      </c>
      <c r="C795" s="553">
        <v>417600</v>
      </c>
    </row>
    <row r="796" spans="1:3">
      <c r="A796" s="552" t="s">
        <v>3072</v>
      </c>
      <c r="B796" s="559" t="s">
        <v>3073</v>
      </c>
      <c r="C796" s="553">
        <v>533600</v>
      </c>
    </row>
    <row r="797" spans="1:3">
      <c r="A797" s="552" t="s">
        <v>3074</v>
      </c>
      <c r="B797" s="559" t="s">
        <v>3075</v>
      </c>
      <c r="C797" s="553">
        <v>585800</v>
      </c>
    </row>
    <row r="798" spans="1:3">
      <c r="A798" s="552" t="s">
        <v>3076</v>
      </c>
      <c r="B798" s="559" t="s">
        <v>3077</v>
      </c>
      <c r="C798" s="553">
        <v>2900</v>
      </c>
    </row>
    <row r="799" spans="1:3">
      <c r="A799" s="552" t="s">
        <v>3078</v>
      </c>
      <c r="B799" s="559" t="s">
        <v>3079</v>
      </c>
      <c r="C799" s="553">
        <v>3132</v>
      </c>
    </row>
    <row r="800" spans="1:3">
      <c r="A800" s="552" t="s">
        <v>3080</v>
      </c>
      <c r="B800" s="559" t="s">
        <v>3081</v>
      </c>
      <c r="C800" s="553">
        <v>8236</v>
      </c>
    </row>
    <row r="801" spans="1:3">
      <c r="A801" s="552" t="s">
        <v>3082</v>
      </c>
      <c r="B801" s="559" t="s">
        <v>3083</v>
      </c>
      <c r="C801" s="553">
        <v>56839.999999999993</v>
      </c>
    </row>
    <row r="802" spans="1:3">
      <c r="A802" s="552" t="s">
        <v>3084</v>
      </c>
      <c r="B802" s="559" t="s">
        <v>3085</v>
      </c>
      <c r="C802" s="553">
        <v>18560</v>
      </c>
    </row>
    <row r="803" spans="1:3">
      <c r="A803" s="552" t="s">
        <v>3086</v>
      </c>
      <c r="B803" s="559" t="s">
        <v>3087</v>
      </c>
      <c r="C803" s="553">
        <v>22040</v>
      </c>
    </row>
    <row r="804" spans="1:3">
      <c r="A804" s="552" t="s">
        <v>3088</v>
      </c>
      <c r="B804" s="559" t="s">
        <v>3089</v>
      </c>
      <c r="C804" s="553">
        <v>26679.999999999996</v>
      </c>
    </row>
    <row r="805" spans="1:3">
      <c r="A805" s="552" t="s">
        <v>3090</v>
      </c>
      <c r="B805" s="559" t="s">
        <v>3091</v>
      </c>
      <c r="C805" s="553">
        <v>26679.999999999996</v>
      </c>
    </row>
    <row r="806" spans="1:3">
      <c r="A806" s="552" t="s">
        <v>3092</v>
      </c>
      <c r="B806" s="559" t="s">
        <v>3085</v>
      </c>
      <c r="C806" s="553">
        <v>29463.999999999996</v>
      </c>
    </row>
    <row r="807" spans="1:3">
      <c r="A807" s="552" t="s">
        <v>3093</v>
      </c>
      <c r="B807" s="559" t="s">
        <v>3094</v>
      </c>
      <c r="C807" s="553">
        <v>30507.999999999996</v>
      </c>
    </row>
    <row r="808" spans="1:3">
      <c r="A808" s="552" t="s">
        <v>3095</v>
      </c>
      <c r="B808" s="559" t="s">
        <v>3096</v>
      </c>
      <c r="C808" s="553">
        <v>30507.999999999996</v>
      </c>
    </row>
    <row r="809" spans="1:3">
      <c r="A809" s="552" t="s">
        <v>3097</v>
      </c>
      <c r="B809" s="559" t="s">
        <v>3098</v>
      </c>
      <c r="C809" s="553">
        <v>37352</v>
      </c>
    </row>
    <row r="810" spans="1:3">
      <c r="A810" s="552" t="s">
        <v>3099</v>
      </c>
      <c r="B810" s="559" t="s">
        <v>3100</v>
      </c>
      <c r="C810" s="553">
        <v>38860</v>
      </c>
    </row>
    <row r="811" spans="1:3">
      <c r="A811" s="552" t="s">
        <v>3101</v>
      </c>
      <c r="B811" s="559" t="s">
        <v>3102</v>
      </c>
      <c r="C811" s="553">
        <v>12992</v>
      </c>
    </row>
    <row r="812" spans="1:3">
      <c r="A812" s="552" t="s">
        <v>3103</v>
      </c>
      <c r="B812" s="559" t="s">
        <v>3104</v>
      </c>
      <c r="C812" s="553">
        <v>55679.999999999993</v>
      </c>
    </row>
    <row r="813" spans="1:3">
      <c r="A813" s="552" t="s">
        <v>3105</v>
      </c>
      <c r="B813" s="559" t="s">
        <v>3106</v>
      </c>
      <c r="C813" s="553">
        <v>46168</v>
      </c>
    </row>
    <row r="814" spans="1:3">
      <c r="A814" s="552" t="s">
        <v>3107</v>
      </c>
      <c r="B814" s="559" t="s">
        <v>3108</v>
      </c>
      <c r="C814" s="553">
        <v>43384</v>
      </c>
    </row>
    <row r="815" spans="1:3">
      <c r="A815" s="552" t="s">
        <v>3109</v>
      </c>
      <c r="B815" s="559" t="s">
        <v>3110</v>
      </c>
      <c r="C815" s="553">
        <v>38280</v>
      </c>
    </row>
    <row r="816" spans="1:3">
      <c r="A816" s="552" t="s">
        <v>3111</v>
      </c>
      <c r="B816" s="559" t="s">
        <v>3112</v>
      </c>
      <c r="C816" s="553">
        <v>42920</v>
      </c>
    </row>
    <row r="817" spans="1:3">
      <c r="A817" s="552" t="s">
        <v>3113</v>
      </c>
      <c r="B817" s="559" t="s">
        <v>3114</v>
      </c>
      <c r="C817" s="553">
        <v>34220</v>
      </c>
    </row>
    <row r="818" spans="1:3">
      <c r="A818" s="552" t="s">
        <v>3115</v>
      </c>
      <c r="B818" s="559" t="s">
        <v>3116</v>
      </c>
      <c r="C818" s="553">
        <v>48024</v>
      </c>
    </row>
    <row r="819" spans="1:3">
      <c r="A819" s="552" t="s">
        <v>3117</v>
      </c>
      <c r="B819" s="559" t="s">
        <v>3118</v>
      </c>
      <c r="C819" s="553">
        <v>64263.999999999993</v>
      </c>
    </row>
    <row r="820" spans="1:3">
      <c r="A820" s="552" t="s">
        <v>3119</v>
      </c>
      <c r="B820" s="559" t="s">
        <v>3120</v>
      </c>
      <c r="C820" s="553">
        <v>46516</v>
      </c>
    </row>
    <row r="821" spans="1:3">
      <c r="A821" s="552" t="s">
        <v>3121</v>
      </c>
      <c r="B821" s="559" t="s">
        <v>3122</v>
      </c>
      <c r="C821" s="553">
        <v>73544</v>
      </c>
    </row>
    <row r="822" spans="1:3">
      <c r="A822" s="552" t="s">
        <v>3123</v>
      </c>
      <c r="B822" s="559" t="s">
        <v>3124</v>
      </c>
      <c r="C822" s="553">
        <v>71456</v>
      </c>
    </row>
    <row r="823" spans="1:3">
      <c r="A823" s="552" t="s">
        <v>3125</v>
      </c>
      <c r="B823" s="559" t="s">
        <v>3126</v>
      </c>
      <c r="C823" s="553">
        <v>50924</v>
      </c>
    </row>
    <row r="824" spans="1:3">
      <c r="A824" s="552" t="s">
        <v>3127</v>
      </c>
      <c r="B824" s="559" t="s">
        <v>3128</v>
      </c>
      <c r="C824" s="553">
        <v>39440</v>
      </c>
    </row>
    <row r="825" spans="1:3">
      <c r="A825" s="552" t="s">
        <v>3129</v>
      </c>
      <c r="B825" s="559" t="s">
        <v>3130</v>
      </c>
      <c r="C825" s="553">
        <v>55679.999999999993</v>
      </c>
    </row>
    <row r="826" spans="1:3">
      <c r="A826" s="552" t="s">
        <v>3131</v>
      </c>
      <c r="B826" s="559" t="s">
        <v>3132</v>
      </c>
      <c r="C826" s="553">
        <v>43500</v>
      </c>
    </row>
    <row r="827" spans="1:3">
      <c r="A827" s="552" t="s">
        <v>3133</v>
      </c>
      <c r="B827" s="559" t="s">
        <v>3134</v>
      </c>
      <c r="C827" s="553">
        <v>46980</v>
      </c>
    </row>
    <row r="828" spans="1:3">
      <c r="A828" s="552" t="s">
        <v>3135</v>
      </c>
      <c r="B828" s="559" t="s">
        <v>3136</v>
      </c>
      <c r="C828" s="553">
        <v>69600</v>
      </c>
    </row>
    <row r="829" spans="1:3">
      <c r="A829" s="552" t="s">
        <v>3137</v>
      </c>
      <c r="B829" s="559" t="s">
        <v>3138</v>
      </c>
      <c r="C829" s="553">
        <v>47444</v>
      </c>
    </row>
    <row r="830" spans="1:3">
      <c r="A830" s="552" t="s">
        <v>3139</v>
      </c>
      <c r="B830" s="559" t="s">
        <v>3140</v>
      </c>
      <c r="C830" s="553">
        <v>54983.999999999993</v>
      </c>
    </row>
    <row r="831" spans="1:3">
      <c r="A831" s="552" t="s">
        <v>3141</v>
      </c>
      <c r="B831" s="559" t="s">
        <v>3142</v>
      </c>
      <c r="C831" s="553">
        <v>59971.999999999993</v>
      </c>
    </row>
    <row r="832" spans="1:3">
      <c r="A832" s="552" t="s">
        <v>3143</v>
      </c>
      <c r="B832" s="559" t="s">
        <v>3144</v>
      </c>
      <c r="C832" s="553">
        <v>39440</v>
      </c>
    </row>
    <row r="833" spans="1:3">
      <c r="A833" s="552" t="s">
        <v>3145</v>
      </c>
      <c r="B833" s="559" t="s">
        <v>3146</v>
      </c>
      <c r="C833" s="553">
        <v>49880</v>
      </c>
    </row>
    <row r="834" spans="1:3">
      <c r="A834" s="552" t="s">
        <v>3147</v>
      </c>
      <c r="B834" s="559" t="s">
        <v>3148</v>
      </c>
      <c r="C834" s="553">
        <v>42340</v>
      </c>
    </row>
    <row r="835" spans="1:3">
      <c r="A835" s="552" t="s">
        <v>3149</v>
      </c>
      <c r="B835" s="559" t="s">
        <v>3150</v>
      </c>
      <c r="C835" s="553">
        <v>69136</v>
      </c>
    </row>
    <row r="836" spans="1:3">
      <c r="A836" s="552" t="s">
        <v>3151</v>
      </c>
      <c r="B836" s="559" t="s">
        <v>3152</v>
      </c>
      <c r="C836" s="553">
        <v>71572</v>
      </c>
    </row>
    <row r="837" spans="1:3">
      <c r="A837" s="552" t="s">
        <v>3153</v>
      </c>
      <c r="B837" s="559" t="s">
        <v>3154</v>
      </c>
      <c r="C837" s="553">
        <v>62291.999999999993</v>
      </c>
    </row>
    <row r="838" spans="1:3">
      <c r="A838" s="552" t="s">
        <v>3155</v>
      </c>
      <c r="B838" s="559" t="s">
        <v>3156</v>
      </c>
      <c r="C838" s="553">
        <v>74008</v>
      </c>
    </row>
    <row r="839" spans="1:3">
      <c r="A839" s="552" t="s">
        <v>3157</v>
      </c>
      <c r="B839" s="559" t="s">
        <v>3158</v>
      </c>
      <c r="C839" s="553">
        <v>107763.99999999999</v>
      </c>
    </row>
    <row r="840" spans="1:3">
      <c r="A840" s="552" t="s">
        <v>3159</v>
      </c>
      <c r="B840" s="559" t="s">
        <v>3160</v>
      </c>
      <c r="C840" s="553">
        <v>56375.999999999993</v>
      </c>
    </row>
    <row r="841" spans="1:3" ht="26.4">
      <c r="A841" s="552" t="s">
        <v>3161</v>
      </c>
      <c r="B841" s="559" t="s">
        <v>3162</v>
      </c>
      <c r="C841" s="553">
        <v>211931.99999999997</v>
      </c>
    </row>
    <row r="842" spans="1:3" ht="26.4">
      <c r="A842" s="552" t="s">
        <v>3163</v>
      </c>
      <c r="B842" s="559" t="s">
        <v>3164</v>
      </c>
      <c r="C842" s="553">
        <v>259491.99999999997</v>
      </c>
    </row>
    <row r="843" spans="1:3" ht="26.4">
      <c r="A843" s="552" t="s">
        <v>3165</v>
      </c>
      <c r="B843" s="559" t="s">
        <v>3166</v>
      </c>
      <c r="C843" s="553">
        <v>338604</v>
      </c>
    </row>
    <row r="844" spans="1:3" ht="26.4">
      <c r="A844" s="552" t="s">
        <v>3167</v>
      </c>
      <c r="B844" s="559" t="s">
        <v>3168</v>
      </c>
      <c r="C844" s="553">
        <v>465275.99999999994</v>
      </c>
    </row>
    <row r="845" spans="1:3" ht="26.4">
      <c r="A845" s="552" t="s">
        <v>3169</v>
      </c>
      <c r="B845" s="559" t="s">
        <v>3170</v>
      </c>
      <c r="C845" s="553">
        <v>688228</v>
      </c>
    </row>
    <row r="846" spans="1:3" ht="26.4">
      <c r="A846" s="552" t="s">
        <v>3171</v>
      </c>
      <c r="B846" s="559" t="s">
        <v>3172</v>
      </c>
      <c r="C846" s="553">
        <v>805156</v>
      </c>
    </row>
    <row r="847" spans="1:3" ht="26.4">
      <c r="A847" s="552" t="s">
        <v>3173</v>
      </c>
      <c r="B847" s="559" t="s">
        <v>3174</v>
      </c>
      <c r="C847" s="553">
        <v>859907.99999999988</v>
      </c>
    </row>
    <row r="848" spans="1:3" ht="26.4">
      <c r="A848" s="552" t="s">
        <v>3175</v>
      </c>
      <c r="B848" s="559" t="s">
        <v>3176</v>
      </c>
      <c r="C848" s="553">
        <v>1007343.9999999999</v>
      </c>
    </row>
    <row r="849" spans="1:3" ht="26.4">
      <c r="A849" s="552" t="s">
        <v>3177</v>
      </c>
      <c r="B849" s="559" t="s">
        <v>3178</v>
      </c>
      <c r="C849" s="553">
        <v>1266720</v>
      </c>
    </row>
    <row r="850" spans="1:3" ht="26.4">
      <c r="A850" s="552" t="s">
        <v>3179</v>
      </c>
      <c r="B850" s="559" t="s">
        <v>3180</v>
      </c>
      <c r="C850" s="553">
        <v>1617504</v>
      </c>
    </row>
    <row r="851" spans="1:3" ht="26.4">
      <c r="A851" s="552" t="s">
        <v>3181</v>
      </c>
      <c r="B851" s="559" t="s">
        <v>3182</v>
      </c>
      <c r="C851" s="553">
        <v>1684552</v>
      </c>
    </row>
    <row r="852" spans="1:3" ht="26.4">
      <c r="A852" s="552" t="s">
        <v>3183</v>
      </c>
      <c r="B852" s="559" t="s">
        <v>3184</v>
      </c>
      <c r="C852" s="553">
        <v>2274064</v>
      </c>
    </row>
    <row r="853" spans="1:3" ht="26.4">
      <c r="A853" s="552" t="s">
        <v>3185</v>
      </c>
      <c r="B853" s="559" t="s">
        <v>3186</v>
      </c>
      <c r="C853" s="553">
        <v>2589468</v>
      </c>
    </row>
    <row r="854" spans="1:3" ht="26.4">
      <c r="A854" s="552" t="s">
        <v>3187</v>
      </c>
      <c r="B854" s="559" t="s">
        <v>3188</v>
      </c>
      <c r="C854" s="553">
        <v>2522536</v>
      </c>
    </row>
    <row r="855" spans="1:3" ht="26.4">
      <c r="A855" s="552" t="s">
        <v>3189</v>
      </c>
      <c r="B855" s="559" t="s">
        <v>3190</v>
      </c>
      <c r="C855" s="553">
        <v>2852556</v>
      </c>
    </row>
    <row r="856" spans="1:3" ht="26.4">
      <c r="A856" s="552" t="s">
        <v>3191</v>
      </c>
      <c r="B856" s="559" t="s">
        <v>3192</v>
      </c>
      <c r="C856" s="553">
        <v>4315432</v>
      </c>
    </row>
    <row r="857" spans="1:3" ht="26.4">
      <c r="A857" s="552" t="s">
        <v>3193</v>
      </c>
      <c r="B857" s="559" t="s">
        <v>3194</v>
      </c>
      <c r="C857" s="553">
        <v>4831864</v>
      </c>
    </row>
    <row r="858" spans="1:3" ht="26.4">
      <c r="A858" s="552" t="s">
        <v>3195</v>
      </c>
      <c r="B858" s="559" t="s">
        <v>3196</v>
      </c>
      <c r="C858" s="553">
        <v>5761140</v>
      </c>
    </row>
    <row r="859" spans="1:3" ht="26.4">
      <c r="A859" s="552" t="s">
        <v>3197</v>
      </c>
      <c r="B859" s="559" t="s">
        <v>3198</v>
      </c>
      <c r="C859" s="553">
        <v>6694128</v>
      </c>
    </row>
    <row r="860" spans="1:3" ht="26.4">
      <c r="A860" s="552" t="s">
        <v>3199</v>
      </c>
      <c r="B860" s="559" t="s">
        <v>3200</v>
      </c>
      <c r="C860" s="553">
        <v>7622243.9999999991</v>
      </c>
    </row>
    <row r="861" spans="1:3" ht="26.4">
      <c r="A861" s="552" t="s">
        <v>3201</v>
      </c>
      <c r="B861" s="559" t="s">
        <v>3202</v>
      </c>
      <c r="C861" s="553">
        <f>98700*1.16</f>
        <v>114491.99999999999</v>
      </c>
    </row>
    <row r="862" spans="1:3">
      <c r="A862" s="552" t="s">
        <v>3203</v>
      </c>
      <c r="B862" s="559" t="s">
        <v>3204</v>
      </c>
      <c r="C862" s="553">
        <f>190000*1.16</f>
        <v>220399.99999999997</v>
      </c>
    </row>
    <row r="863" spans="1:3">
      <c r="A863" s="552" t="s">
        <v>3205</v>
      </c>
      <c r="B863" s="559" t="s">
        <v>3206</v>
      </c>
      <c r="C863" s="553">
        <f>190000*1.16</f>
        <v>220399.99999999997</v>
      </c>
    </row>
    <row r="864" spans="1:3" ht="26.4">
      <c r="A864" s="552" t="s">
        <v>3207</v>
      </c>
      <c r="B864" s="559" t="s">
        <v>3208</v>
      </c>
      <c r="C864" s="553">
        <v>259491.99999999997</v>
      </c>
    </row>
    <row r="865" spans="1:3" ht="26.4">
      <c r="A865" s="552" t="s">
        <v>3209</v>
      </c>
      <c r="B865" s="559" t="s">
        <v>3210</v>
      </c>
      <c r="C865" s="553">
        <v>259491.99999999997</v>
      </c>
    </row>
    <row r="866" spans="1:3" ht="26.4">
      <c r="A866" s="552" t="s">
        <v>3211</v>
      </c>
      <c r="B866" s="559" t="s">
        <v>3212</v>
      </c>
      <c r="C866" s="553">
        <v>259491.99999999997</v>
      </c>
    </row>
    <row r="867" spans="1:3" ht="26.4">
      <c r="A867" s="552" t="s">
        <v>3213</v>
      </c>
      <c r="B867" s="559" t="s">
        <v>3214</v>
      </c>
      <c r="C867" s="553">
        <v>259491.99999999997</v>
      </c>
    </row>
    <row r="868" spans="1:3" ht="26.4">
      <c r="A868" s="552" t="s">
        <v>3215</v>
      </c>
      <c r="B868" s="559" t="s">
        <v>3216</v>
      </c>
      <c r="C868" s="553">
        <v>259491.99999999997</v>
      </c>
    </row>
    <row r="869" spans="1:3" ht="26.4">
      <c r="A869" s="552" t="s">
        <v>3217</v>
      </c>
      <c r="B869" s="559" t="s">
        <v>3218</v>
      </c>
      <c r="C869" s="553">
        <v>259491.99999999997</v>
      </c>
    </row>
    <row r="870" spans="1:3" ht="26.4">
      <c r="A870" s="552" t="s">
        <v>3219</v>
      </c>
      <c r="B870" s="559" t="s">
        <v>3220</v>
      </c>
      <c r="C870" s="553">
        <v>259491.99999999997</v>
      </c>
    </row>
    <row r="871" spans="1:3" ht="26.4">
      <c r="A871" s="552" t="s">
        <v>3221</v>
      </c>
      <c r="B871" s="559" t="s">
        <v>3222</v>
      </c>
      <c r="C871" s="553">
        <v>259491.99999999997</v>
      </c>
    </row>
    <row r="872" spans="1:3" ht="26.4">
      <c r="A872" s="552" t="s">
        <v>3223</v>
      </c>
      <c r="B872" s="559" t="s">
        <v>3224</v>
      </c>
      <c r="C872" s="553">
        <v>259491.99999999997</v>
      </c>
    </row>
    <row r="873" spans="1:3" ht="26.4">
      <c r="A873" s="552" t="s">
        <v>3225</v>
      </c>
      <c r="B873" s="559" t="s">
        <v>3226</v>
      </c>
      <c r="C873" s="553">
        <v>259491.99999999997</v>
      </c>
    </row>
    <row r="874" spans="1:3" ht="26.4">
      <c r="A874" s="552" t="s">
        <v>3227</v>
      </c>
      <c r="B874" s="559" t="s">
        <v>3228</v>
      </c>
      <c r="C874" s="553">
        <v>282576</v>
      </c>
    </row>
    <row r="875" spans="1:3" ht="26.4">
      <c r="A875" s="552" t="s">
        <v>3229</v>
      </c>
      <c r="B875" s="559" t="s">
        <v>3230</v>
      </c>
      <c r="C875" s="553">
        <v>282576</v>
      </c>
    </row>
    <row r="876" spans="1:3" ht="26.4">
      <c r="A876" s="552" t="s">
        <v>3231</v>
      </c>
      <c r="B876" s="559" t="s">
        <v>3232</v>
      </c>
      <c r="C876" s="553">
        <v>467711.99999999994</v>
      </c>
    </row>
    <row r="877" spans="1:3" ht="26.4">
      <c r="A877" s="552" t="s">
        <v>3233</v>
      </c>
      <c r="B877" s="559" t="s">
        <v>3234</v>
      </c>
      <c r="C877" s="553">
        <v>467711.99999999994</v>
      </c>
    </row>
    <row r="878" spans="1:3">
      <c r="A878" s="552" t="s">
        <v>3235</v>
      </c>
      <c r="B878" s="559" t="s">
        <v>4276</v>
      </c>
      <c r="C878" s="553">
        <v>476295.99999999994</v>
      </c>
    </row>
    <row r="879" spans="1:3" ht="26.4">
      <c r="A879" s="552" t="s">
        <v>3236</v>
      </c>
      <c r="B879" s="559" t="s">
        <v>3237</v>
      </c>
      <c r="C879" s="553">
        <v>543228</v>
      </c>
    </row>
    <row r="880" spans="1:3" ht="26.4">
      <c r="A880" s="552" t="s">
        <v>3238</v>
      </c>
      <c r="B880" s="559" t="s">
        <v>3239</v>
      </c>
      <c r="C880" s="553">
        <v>543228</v>
      </c>
    </row>
    <row r="881" spans="1:3" ht="26.4">
      <c r="A881" s="552" t="s">
        <v>3240</v>
      </c>
      <c r="B881" s="559" t="s">
        <v>3241</v>
      </c>
      <c r="C881" s="553">
        <v>602968</v>
      </c>
    </row>
    <row r="882" spans="1:3" ht="26.4">
      <c r="A882" s="552" t="s">
        <v>3242</v>
      </c>
      <c r="B882" s="559" t="s">
        <v>3243</v>
      </c>
      <c r="C882" s="553">
        <v>617584</v>
      </c>
    </row>
    <row r="883" spans="1:3" ht="26.4">
      <c r="A883" s="552" t="s">
        <v>3244</v>
      </c>
      <c r="B883" s="559" t="s">
        <v>3245</v>
      </c>
      <c r="C883" s="553">
        <v>617584</v>
      </c>
    </row>
    <row r="884" spans="1:3" ht="26.4">
      <c r="A884" s="552" t="s">
        <v>3246</v>
      </c>
      <c r="B884" s="559" t="s">
        <v>3247</v>
      </c>
      <c r="C884" s="553">
        <v>813624</v>
      </c>
    </row>
    <row r="885" spans="1:3" ht="26.4">
      <c r="A885" s="552" t="s">
        <v>3248</v>
      </c>
      <c r="B885" s="559" t="s">
        <v>3249</v>
      </c>
      <c r="C885" s="553">
        <v>863619.99999999988</v>
      </c>
    </row>
    <row r="886" spans="1:3" ht="26.4">
      <c r="A886" s="552" t="s">
        <v>3250</v>
      </c>
      <c r="B886" s="559" t="s">
        <v>3251</v>
      </c>
      <c r="C886" s="553">
        <v>1013375.9999999999</v>
      </c>
    </row>
    <row r="887" spans="1:3" ht="26.4">
      <c r="A887" s="552" t="s">
        <v>3252</v>
      </c>
      <c r="B887" s="559" t="s">
        <v>3253</v>
      </c>
      <c r="C887" s="553">
        <v>1119400</v>
      </c>
    </row>
    <row r="888" spans="1:3">
      <c r="A888" s="552" t="s">
        <v>3254</v>
      </c>
      <c r="B888" s="559" t="s">
        <v>3255</v>
      </c>
      <c r="C888" s="553">
        <f>42000*1.16</f>
        <v>48720</v>
      </c>
    </row>
    <row r="889" spans="1:3" ht="26.4">
      <c r="A889" s="552" t="s">
        <v>3256</v>
      </c>
      <c r="B889" s="559" t="s">
        <v>3257</v>
      </c>
      <c r="C889" s="553">
        <v>335008</v>
      </c>
    </row>
    <row r="890" spans="1:3" ht="26.4">
      <c r="A890" s="552" t="s">
        <v>3258</v>
      </c>
      <c r="B890" s="559" t="s">
        <v>3259</v>
      </c>
      <c r="C890" s="553">
        <v>335008</v>
      </c>
    </row>
    <row r="891" spans="1:3" ht="26.4">
      <c r="A891" s="552" t="s">
        <v>3260</v>
      </c>
      <c r="B891" s="559" t="s">
        <v>3261</v>
      </c>
      <c r="C891" s="553">
        <v>335008</v>
      </c>
    </row>
    <row r="892" spans="1:3" ht="26.4">
      <c r="A892" s="552" t="s">
        <v>3262</v>
      </c>
      <c r="B892" s="559" t="s">
        <v>3263</v>
      </c>
      <c r="C892" s="553">
        <v>53591.999999999993</v>
      </c>
    </row>
    <row r="893" spans="1:3" ht="26.4">
      <c r="A893" s="552" t="s">
        <v>3264</v>
      </c>
      <c r="B893" s="559" t="s">
        <v>3265</v>
      </c>
      <c r="C893" s="553">
        <v>90132</v>
      </c>
    </row>
    <row r="894" spans="1:3" ht="26.4">
      <c r="A894" s="552" t="s">
        <v>3266</v>
      </c>
      <c r="B894" s="559" t="s">
        <v>3267</v>
      </c>
      <c r="C894" s="553">
        <v>90132</v>
      </c>
    </row>
    <row r="895" spans="1:3" ht="26.4">
      <c r="A895" s="552" t="s">
        <v>3268</v>
      </c>
      <c r="B895" s="559" t="s">
        <v>3269</v>
      </c>
      <c r="C895" s="553">
        <v>90132</v>
      </c>
    </row>
    <row r="896" spans="1:3" ht="26.4">
      <c r="A896" s="552" t="s">
        <v>3270</v>
      </c>
      <c r="B896" s="559" t="s">
        <v>3271</v>
      </c>
      <c r="C896" s="553">
        <f>68300*1.16</f>
        <v>79228</v>
      </c>
    </row>
    <row r="897" spans="1:3">
      <c r="A897" s="552" t="s">
        <v>3272</v>
      </c>
      <c r="B897" s="559" t="s">
        <v>3273</v>
      </c>
      <c r="C897" s="553">
        <f>66200*1.16</f>
        <v>76792</v>
      </c>
    </row>
    <row r="898" spans="1:3">
      <c r="A898" s="552" t="s">
        <v>3274</v>
      </c>
      <c r="B898" s="559" t="s">
        <v>3275</v>
      </c>
      <c r="C898" s="553">
        <f t="shared" ref="C898:C900" si="6">66200*1.16</f>
        <v>76792</v>
      </c>
    </row>
    <row r="899" spans="1:3">
      <c r="A899" s="552" t="s">
        <v>3276</v>
      </c>
      <c r="B899" s="559" t="s">
        <v>3277</v>
      </c>
      <c r="C899" s="553">
        <f t="shared" si="6"/>
        <v>76792</v>
      </c>
    </row>
    <row r="900" spans="1:3">
      <c r="A900" s="552" t="s">
        <v>3278</v>
      </c>
      <c r="B900" s="559" t="s">
        <v>3279</v>
      </c>
      <c r="C900" s="553">
        <f t="shared" si="6"/>
        <v>76792</v>
      </c>
    </row>
    <row r="901" spans="1:3">
      <c r="A901" s="552" t="s">
        <v>3280</v>
      </c>
      <c r="B901" s="559" t="s">
        <v>3281</v>
      </c>
      <c r="C901" s="553">
        <v>176668</v>
      </c>
    </row>
    <row r="902" spans="1:3">
      <c r="A902" s="552" t="s">
        <v>3282</v>
      </c>
      <c r="B902" s="559" t="s">
        <v>3283</v>
      </c>
      <c r="C902" s="553">
        <v>176668</v>
      </c>
    </row>
    <row r="903" spans="1:3">
      <c r="A903" s="552" t="s">
        <v>3284</v>
      </c>
      <c r="B903" s="559" t="s">
        <v>3285</v>
      </c>
      <c r="C903" s="553">
        <v>176668</v>
      </c>
    </row>
    <row r="904" spans="1:3">
      <c r="A904" s="552" t="s">
        <v>3286</v>
      </c>
      <c r="B904" s="559" t="s">
        <v>3287</v>
      </c>
      <c r="C904" s="553">
        <v>176668</v>
      </c>
    </row>
    <row r="905" spans="1:3">
      <c r="A905" s="552" t="s">
        <v>3288</v>
      </c>
      <c r="B905" s="559" t="s">
        <v>3289</v>
      </c>
      <c r="C905" s="553">
        <v>71920</v>
      </c>
    </row>
    <row r="906" spans="1:3">
      <c r="A906" s="552" t="s">
        <v>3290</v>
      </c>
      <c r="B906" s="559" t="s">
        <v>3291</v>
      </c>
      <c r="C906" s="553">
        <v>192444</v>
      </c>
    </row>
    <row r="907" spans="1:3" ht="26.4">
      <c r="A907" s="552" t="s">
        <v>3292</v>
      </c>
      <c r="B907" s="559" t="s">
        <v>3293</v>
      </c>
      <c r="C907" s="553">
        <v>166924</v>
      </c>
    </row>
    <row r="908" spans="1:3">
      <c r="A908" s="552" t="s">
        <v>3294</v>
      </c>
      <c r="B908" s="559" t="s">
        <v>3295</v>
      </c>
      <c r="C908" s="553">
        <v>270396</v>
      </c>
    </row>
    <row r="909" spans="1:3">
      <c r="A909" s="552" t="s">
        <v>3296</v>
      </c>
      <c r="B909" s="559" t="s">
        <v>3297</v>
      </c>
      <c r="C909" s="553">
        <v>225387.99999999997</v>
      </c>
    </row>
    <row r="910" spans="1:3">
      <c r="A910" s="552" t="s">
        <v>3298</v>
      </c>
      <c r="B910" s="559" t="s">
        <v>3299</v>
      </c>
      <c r="C910" s="553">
        <v>282576</v>
      </c>
    </row>
    <row r="911" spans="1:3" ht="26.4">
      <c r="A911" s="552" t="s">
        <v>3300</v>
      </c>
      <c r="B911" s="559" t="s">
        <v>3301</v>
      </c>
      <c r="C911" s="553">
        <v>293596</v>
      </c>
    </row>
    <row r="912" spans="1:3" ht="26.4">
      <c r="A912" s="552" t="s">
        <v>3302</v>
      </c>
      <c r="B912" s="559" t="s">
        <v>3303</v>
      </c>
      <c r="C912" s="553">
        <v>311808</v>
      </c>
    </row>
    <row r="913" spans="1:3" ht="26.4">
      <c r="A913" s="552" t="s">
        <v>3304</v>
      </c>
      <c r="B913" s="559" t="s">
        <v>3305</v>
      </c>
      <c r="C913" s="553">
        <v>328860</v>
      </c>
    </row>
    <row r="914" spans="1:3" ht="26.4">
      <c r="A914" s="552" t="s">
        <v>3306</v>
      </c>
      <c r="B914" s="559" t="s">
        <v>3307</v>
      </c>
      <c r="C914" s="553">
        <v>328860</v>
      </c>
    </row>
    <row r="915" spans="1:3" ht="26.4">
      <c r="A915" s="552" t="s">
        <v>3308</v>
      </c>
      <c r="B915" s="559" t="s">
        <v>3309</v>
      </c>
      <c r="C915" s="553">
        <v>328860</v>
      </c>
    </row>
    <row r="916" spans="1:3" ht="26.4">
      <c r="A916" s="552" t="s">
        <v>3310</v>
      </c>
      <c r="B916" s="559" t="s">
        <v>3311</v>
      </c>
      <c r="C916" s="553">
        <v>328860</v>
      </c>
    </row>
    <row r="917" spans="1:3" ht="26.4">
      <c r="A917" s="552" t="s">
        <v>3312</v>
      </c>
      <c r="B917" s="559" t="s">
        <v>3313</v>
      </c>
      <c r="C917" s="553">
        <v>328860</v>
      </c>
    </row>
    <row r="918" spans="1:3" ht="26.4">
      <c r="A918" s="552" t="s">
        <v>3314</v>
      </c>
      <c r="B918" s="559" t="s">
        <v>3315</v>
      </c>
      <c r="C918" s="553">
        <v>415396</v>
      </c>
    </row>
    <row r="919" spans="1:3" ht="26.4">
      <c r="A919" s="552" t="s">
        <v>3316</v>
      </c>
      <c r="B919" s="559" t="s">
        <v>3317</v>
      </c>
      <c r="C919" s="553">
        <v>415396</v>
      </c>
    </row>
    <row r="920" spans="1:3" ht="26.4">
      <c r="A920" s="552" t="s">
        <v>3318</v>
      </c>
      <c r="B920" s="559" t="s">
        <v>3319</v>
      </c>
      <c r="C920" s="553">
        <v>415396</v>
      </c>
    </row>
    <row r="921" spans="1:3" ht="26.4">
      <c r="A921" s="552" t="s">
        <v>3320</v>
      </c>
      <c r="B921" s="559" t="s">
        <v>3321</v>
      </c>
      <c r="C921" s="553">
        <v>466551.99999999994</v>
      </c>
    </row>
    <row r="922" spans="1:3" ht="26.4">
      <c r="A922" s="552" t="s">
        <v>3322</v>
      </c>
      <c r="B922" s="559" t="s">
        <v>3323</v>
      </c>
      <c r="C922" s="553">
        <v>510399.99999999994</v>
      </c>
    </row>
    <row r="923" spans="1:3" ht="26.4">
      <c r="A923" s="552" t="s">
        <v>3324</v>
      </c>
      <c r="B923" s="559" t="s">
        <v>3325</v>
      </c>
      <c r="C923" s="553">
        <v>696696</v>
      </c>
    </row>
    <row r="924" spans="1:3">
      <c r="A924" s="552" t="s">
        <v>3326</v>
      </c>
      <c r="B924" s="559" t="s">
        <v>3327</v>
      </c>
      <c r="C924" s="553">
        <v>68208</v>
      </c>
    </row>
    <row r="925" spans="1:3">
      <c r="A925" s="552" t="s">
        <v>3328</v>
      </c>
      <c r="B925" s="559" t="s">
        <v>3329</v>
      </c>
      <c r="C925" s="553">
        <v>68208</v>
      </c>
    </row>
    <row r="926" spans="1:3">
      <c r="A926" s="552" t="s">
        <v>3330</v>
      </c>
      <c r="B926" s="559" t="s">
        <v>3331</v>
      </c>
      <c r="C926" s="553">
        <v>102312</v>
      </c>
    </row>
    <row r="927" spans="1:3">
      <c r="A927" s="552" t="s">
        <v>3332</v>
      </c>
      <c r="B927" s="559" t="s">
        <v>3333</v>
      </c>
      <c r="C927" s="553">
        <v>90132</v>
      </c>
    </row>
    <row r="928" spans="1:3">
      <c r="A928" s="552" t="s">
        <v>3334</v>
      </c>
      <c r="B928" s="559" t="s">
        <v>3335</v>
      </c>
      <c r="C928" s="553">
        <v>90132</v>
      </c>
    </row>
    <row r="929" spans="1:3">
      <c r="A929" s="552" t="s">
        <v>3336</v>
      </c>
      <c r="B929" s="559" t="s">
        <v>3337</v>
      </c>
      <c r="C929" s="553">
        <v>90132</v>
      </c>
    </row>
    <row r="930" spans="1:3">
      <c r="A930" s="552" t="s">
        <v>3338</v>
      </c>
      <c r="B930" s="559" t="s">
        <v>3339</v>
      </c>
      <c r="C930" s="553">
        <v>30507.999999999996</v>
      </c>
    </row>
    <row r="931" spans="1:3" ht="26.4">
      <c r="A931" s="552" t="s">
        <v>3340</v>
      </c>
      <c r="B931" s="559" t="s">
        <v>3341</v>
      </c>
      <c r="C931" s="553">
        <v>61131.999999999993</v>
      </c>
    </row>
    <row r="932" spans="1:3" ht="26.4">
      <c r="A932" s="552" t="s">
        <v>3342</v>
      </c>
      <c r="B932" s="559" t="s">
        <v>3343</v>
      </c>
      <c r="C932" s="553">
        <v>61131.999999999993</v>
      </c>
    </row>
    <row r="933" spans="1:3" ht="26.4">
      <c r="A933" s="552" t="s">
        <v>3344</v>
      </c>
      <c r="B933" s="559" t="s">
        <v>3345</v>
      </c>
      <c r="C933" s="553">
        <v>61131.999999999993</v>
      </c>
    </row>
    <row r="934" spans="1:3" ht="26.4">
      <c r="A934" s="552" t="s">
        <v>3346</v>
      </c>
      <c r="B934" s="559" t="s">
        <v>3347</v>
      </c>
      <c r="C934" s="553">
        <v>107879.99999999999</v>
      </c>
    </row>
    <row r="935" spans="1:3" ht="26.4">
      <c r="A935" s="552" t="s">
        <v>3348</v>
      </c>
      <c r="B935" s="559" t="s">
        <v>3349</v>
      </c>
      <c r="C935" s="553">
        <v>107879.99999999999</v>
      </c>
    </row>
    <row r="936" spans="1:3" ht="26.4">
      <c r="A936" s="552" t="s">
        <v>3350</v>
      </c>
      <c r="B936" s="559" t="s">
        <v>3351</v>
      </c>
      <c r="C936" s="553">
        <v>107879.99999999999</v>
      </c>
    </row>
    <row r="937" spans="1:3" ht="26.4">
      <c r="A937" s="552" t="s">
        <v>3352</v>
      </c>
      <c r="B937" s="559" t="s">
        <v>3353</v>
      </c>
      <c r="C937" s="553">
        <v>124003.99999999999</v>
      </c>
    </row>
    <row r="938" spans="1:3" ht="26.4">
      <c r="A938" s="552" t="s">
        <v>3354</v>
      </c>
      <c r="B938" s="559" t="s">
        <v>3355</v>
      </c>
      <c r="C938" s="553">
        <v>115419.99999999999</v>
      </c>
    </row>
    <row r="939" spans="1:3" ht="26.4">
      <c r="A939" s="552" t="s">
        <v>3356</v>
      </c>
      <c r="B939" s="559" t="s">
        <v>3357</v>
      </c>
      <c r="C939" s="553">
        <v>107879.99999999999</v>
      </c>
    </row>
    <row r="940" spans="1:3">
      <c r="A940" s="552" t="s">
        <v>3358</v>
      </c>
      <c r="B940" s="559" t="s">
        <v>3359</v>
      </c>
      <c r="C940" s="553">
        <v>50425.2</v>
      </c>
    </row>
    <row r="941" spans="1:3">
      <c r="A941" s="552" t="s">
        <v>3360</v>
      </c>
      <c r="B941" s="559" t="s">
        <v>3361</v>
      </c>
      <c r="C941" s="553">
        <v>50425.2</v>
      </c>
    </row>
    <row r="942" spans="1:3">
      <c r="A942" s="552" t="s">
        <v>3362</v>
      </c>
      <c r="B942" s="559" t="s">
        <v>3363</v>
      </c>
      <c r="C942" s="553">
        <v>50425.2</v>
      </c>
    </row>
    <row r="943" spans="1:3">
      <c r="A943" s="552" t="s">
        <v>3364</v>
      </c>
      <c r="B943" s="559" t="s">
        <v>3365</v>
      </c>
      <c r="C943" s="553">
        <v>71920</v>
      </c>
    </row>
    <row r="944" spans="1:3">
      <c r="A944" s="552" t="s">
        <v>3366</v>
      </c>
      <c r="B944" s="559" t="s">
        <v>3367</v>
      </c>
      <c r="C944" s="553">
        <v>93844</v>
      </c>
    </row>
    <row r="945" spans="1:3">
      <c r="A945" s="552" t="s">
        <v>3368</v>
      </c>
      <c r="B945" s="559" t="s">
        <v>3369</v>
      </c>
      <c r="C945" s="553">
        <v>116927.99999999999</v>
      </c>
    </row>
    <row r="946" spans="1:3">
      <c r="A946" s="552" t="s">
        <v>3370</v>
      </c>
      <c r="B946" s="559" t="s">
        <v>3371</v>
      </c>
      <c r="C946" s="553">
        <v>158340</v>
      </c>
    </row>
    <row r="947" spans="1:3">
      <c r="A947" s="552" t="s">
        <v>3372</v>
      </c>
      <c r="B947" s="559" t="s">
        <v>3373</v>
      </c>
      <c r="C947" s="553">
        <v>71920</v>
      </c>
    </row>
    <row r="948" spans="1:3">
      <c r="A948" s="552" t="s">
        <v>3374</v>
      </c>
      <c r="B948" s="559" t="s">
        <v>3375</v>
      </c>
      <c r="C948" s="553">
        <v>93844</v>
      </c>
    </row>
    <row r="949" spans="1:3">
      <c r="A949" s="552" t="s">
        <v>3376</v>
      </c>
      <c r="B949" s="559" t="s">
        <v>3377</v>
      </c>
      <c r="C949" s="553">
        <v>169789.19999999998</v>
      </c>
    </row>
    <row r="950" spans="1:3">
      <c r="A950" s="552" t="s">
        <v>3378</v>
      </c>
      <c r="B950" s="559" t="s">
        <v>3379</v>
      </c>
      <c r="C950" s="553">
        <v>169824</v>
      </c>
    </row>
    <row r="951" spans="1:3">
      <c r="A951" s="552" t="s">
        <v>3380</v>
      </c>
      <c r="B951" s="559" t="s">
        <v>3381</v>
      </c>
      <c r="C951" s="553">
        <v>169789.19999999998</v>
      </c>
    </row>
    <row r="952" spans="1:3">
      <c r="A952" s="552" t="s">
        <v>3382</v>
      </c>
      <c r="B952" s="559" t="s">
        <v>3383</v>
      </c>
      <c r="C952" s="553">
        <v>186876</v>
      </c>
    </row>
    <row r="953" spans="1:3">
      <c r="A953" s="552" t="s">
        <v>3384</v>
      </c>
      <c r="B953" s="559" t="s">
        <v>3385</v>
      </c>
      <c r="C953" s="553">
        <v>193836</v>
      </c>
    </row>
    <row r="954" spans="1:3">
      <c r="A954" s="552" t="s">
        <v>3386</v>
      </c>
      <c r="B954" s="559" t="s">
        <v>3387</v>
      </c>
      <c r="C954" s="553">
        <v>179452</v>
      </c>
    </row>
    <row r="955" spans="1:3">
      <c r="A955" s="552" t="s">
        <v>3388</v>
      </c>
      <c r="B955" s="559" t="s">
        <v>3389</v>
      </c>
      <c r="C955" s="553">
        <v>179452</v>
      </c>
    </row>
    <row r="956" spans="1:3">
      <c r="A956" s="552" t="s">
        <v>3390</v>
      </c>
      <c r="B956" s="559" t="s">
        <v>3391</v>
      </c>
      <c r="C956" s="553">
        <v>179452</v>
      </c>
    </row>
    <row r="957" spans="1:3">
      <c r="A957" s="552" t="s">
        <v>3392</v>
      </c>
      <c r="B957" s="559" t="s">
        <v>3393</v>
      </c>
      <c r="C957" s="553">
        <v>148828</v>
      </c>
    </row>
    <row r="958" spans="1:3">
      <c r="A958" s="552" t="s">
        <v>3394</v>
      </c>
      <c r="B958" s="559" t="s">
        <v>3395</v>
      </c>
      <c r="C958" s="553">
        <v>148828</v>
      </c>
    </row>
    <row r="959" spans="1:3">
      <c r="A959" s="552" t="s">
        <v>3396</v>
      </c>
      <c r="B959" s="559" t="s">
        <v>3397</v>
      </c>
      <c r="C959" s="553">
        <v>148828</v>
      </c>
    </row>
    <row r="960" spans="1:3">
      <c r="A960" s="552" t="s">
        <v>3398</v>
      </c>
      <c r="B960" s="559" t="s">
        <v>3399</v>
      </c>
      <c r="C960" s="553">
        <f>93500*1.16</f>
        <v>108459.99999999999</v>
      </c>
    </row>
    <row r="961" spans="1:3">
      <c r="A961" s="552" t="s">
        <v>3400</v>
      </c>
      <c r="B961" s="559" t="s">
        <v>3401</v>
      </c>
      <c r="C961" s="553">
        <f>110300*1.16</f>
        <v>127947.99999999999</v>
      </c>
    </row>
    <row r="962" spans="1:3">
      <c r="A962" s="552" t="s">
        <v>3402</v>
      </c>
      <c r="B962" s="559" t="s">
        <v>3403</v>
      </c>
      <c r="C962" s="553">
        <f>110300*1.16</f>
        <v>127947.99999999999</v>
      </c>
    </row>
    <row r="963" spans="1:3">
      <c r="A963" s="552" t="s">
        <v>3404</v>
      </c>
      <c r="B963" s="559" t="s">
        <v>3405</v>
      </c>
      <c r="C963" s="553">
        <v>106023.99999999999</v>
      </c>
    </row>
    <row r="964" spans="1:3">
      <c r="A964" s="552" t="s">
        <v>3406</v>
      </c>
      <c r="B964" s="559" t="s">
        <v>3407</v>
      </c>
      <c r="C964" s="553">
        <v>108401.99999999999</v>
      </c>
    </row>
    <row r="965" spans="1:3">
      <c r="A965" s="552" t="s">
        <v>3408</v>
      </c>
      <c r="B965" s="559" t="s">
        <v>3409</v>
      </c>
      <c r="C965" s="553">
        <v>57303.999999999993</v>
      </c>
    </row>
    <row r="966" spans="1:3">
      <c r="A966" s="552" t="s">
        <v>3410</v>
      </c>
      <c r="B966" s="559" t="s">
        <v>3411</v>
      </c>
      <c r="C966" s="553">
        <v>82824</v>
      </c>
    </row>
    <row r="967" spans="1:3">
      <c r="A967" s="552" t="s">
        <v>3412</v>
      </c>
      <c r="B967" s="559" t="s">
        <v>3413</v>
      </c>
      <c r="C967" s="553">
        <v>133980</v>
      </c>
    </row>
    <row r="968" spans="1:3">
      <c r="A968" s="552" t="s">
        <v>3414</v>
      </c>
      <c r="B968" s="559" t="s">
        <v>3415</v>
      </c>
      <c r="C968" s="553">
        <v>26795.999999999996</v>
      </c>
    </row>
    <row r="969" spans="1:3">
      <c r="A969" s="552" t="s">
        <v>3416</v>
      </c>
      <c r="B969" s="559" t="s">
        <v>3417</v>
      </c>
      <c r="C969" s="553">
        <v>26795.999999999996</v>
      </c>
    </row>
    <row r="970" spans="1:3">
      <c r="A970" s="552" t="s">
        <v>3418</v>
      </c>
      <c r="B970" s="559" t="s">
        <v>3419</v>
      </c>
      <c r="C970" s="553">
        <v>152540</v>
      </c>
    </row>
    <row r="971" spans="1:3">
      <c r="A971" s="552" t="s">
        <v>3420</v>
      </c>
      <c r="B971" s="559" t="s">
        <v>3421</v>
      </c>
      <c r="C971" s="553">
        <v>187572</v>
      </c>
    </row>
    <row r="972" spans="1:3">
      <c r="A972" s="552" t="s">
        <v>3422</v>
      </c>
      <c r="B972" s="559" t="s">
        <v>3423</v>
      </c>
      <c r="C972" s="553">
        <v>177828</v>
      </c>
    </row>
    <row r="973" spans="1:3" ht="26.4">
      <c r="A973" s="552" t="s">
        <v>3424</v>
      </c>
      <c r="B973" s="559" t="s">
        <v>3425</v>
      </c>
      <c r="C973" s="553">
        <v>180264</v>
      </c>
    </row>
    <row r="974" spans="1:3">
      <c r="A974" s="552" t="s">
        <v>3426</v>
      </c>
      <c r="B974" s="559" t="s">
        <v>3427</v>
      </c>
      <c r="C974" s="553">
        <v>181540</v>
      </c>
    </row>
    <row r="975" spans="1:3">
      <c r="A975" s="552" t="s">
        <v>3428</v>
      </c>
      <c r="B975" s="559" t="s">
        <v>3429</v>
      </c>
      <c r="C975" s="553">
        <v>319116</v>
      </c>
    </row>
    <row r="976" spans="1:3">
      <c r="A976" s="552" t="s">
        <v>3430</v>
      </c>
      <c r="B976" s="559" t="s">
        <v>3431</v>
      </c>
      <c r="C976" s="553">
        <v>319116</v>
      </c>
    </row>
    <row r="977" spans="1:3">
      <c r="A977" s="552" t="s">
        <v>3432</v>
      </c>
      <c r="B977" s="559" t="s">
        <v>3419</v>
      </c>
      <c r="C977" s="553">
        <v>319116</v>
      </c>
    </row>
    <row r="978" spans="1:3">
      <c r="A978" s="552" t="s">
        <v>3433</v>
      </c>
      <c r="B978" s="559" t="s">
        <v>3434</v>
      </c>
      <c r="C978" s="553">
        <v>120639.99999999999</v>
      </c>
    </row>
    <row r="979" spans="1:3">
      <c r="A979" s="552" t="s">
        <v>3435</v>
      </c>
      <c r="B979" s="559" t="s">
        <v>3436</v>
      </c>
      <c r="C979" s="553">
        <v>120639.99999999999</v>
      </c>
    </row>
    <row r="980" spans="1:3">
      <c r="A980" s="552" t="s">
        <v>3437</v>
      </c>
      <c r="B980" s="559" t="s">
        <v>3438</v>
      </c>
      <c r="C980" s="553">
        <v>179104</v>
      </c>
    </row>
    <row r="981" spans="1:3">
      <c r="A981" s="552" t="s">
        <v>3439</v>
      </c>
      <c r="B981" s="559" t="s">
        <v>3440</v>
      </c>
      <c r="C981" s="553">
        <v>254619.99999999997</v>
      </c>
    </row>
    <row r="982" spans="1:3" ht="26.4">
      <c r="A982" s="552" t="s">
        <v>3441</v>
      </c>
      <c r="B982" s="559" t="s">
        <v>3442</v>
      </c>
      <c r="C982" s="553">
        <v>319116</v>
      </c>
    </row>
    <row r="983" spans="1:3" ht="26.4">
      <c r="A983" s="552" t="s">
        <v>3443</v>
      </c>
      <c r="B983" s="559" t="s">
        <v>3444</v>
      </c>
      <c r="C983" s="553">
        <v>319116</v>
      </c>
    </row>
    <row r="984" spans="1:3">
      <c r="A984" s="552" t="s">
        <v>3445</v>
      </c>
      <c r="B984" s="559" t="s">
        <v>3446</v>
      </c>
      <c r="C984" s="553">
        <v>164488</v>
      </c>
    </row>
    <row r="985" spans="1:3">
      <c r="A985" s="552" t="s">
        <v>3447</v>
      </c>
      <c r="B985" s="559" t="s">
        <v>3448</v>
      </c>
      <c r="C985" s="553">
        <f>444200*1.16</f>
        <v>515271.99999999994</v>
      </c>
    </row>
    <row r="986" spans="1:3">
      <c r="A986" s="552" t="s">
        <v>3449</v>
      </c>
      <c r="B986" s="559" t="s">
        <v>3450</v>
      </c>
      <c r="C986" s="553">
        <v>646816</v>
      </c>
    </row>
    <row r="987" spans="1:3">
      <c r="A987" s="552" t="s">
        <v>3451</v>
      </c>
      <c r="B987" s="559" t="s">
        <v>3452</v>
      </c>
      <c r="C987" s="553">
        <v>851439.99999999988</v>
      </c>
    </row>
    <row r="988" spans="1:3">
      <c r="A988" s="552" t="s">
        <v>3453</v>
      </c>
      <c r="B988" s="559" t="s">
        <v>3454</v>
      </c>
      <c r="C988" s="553">
        <v>1069404</v>
      </c>
    </row>
    <row r="989" spans="1:3">
      <c r="A989" s="552" t="s">
        <v>3455</v>
      </c>
      <c r="B989" s="559" t="s">
        <v>3456</v>
      </c>
      <c r="C989" s="553">
        <v>1299664</v>
      </c>
    </row>
    <row r="990" spans="1:3">
      <c r="A990" s="552" t="s">
        <v>3457</v>
      </c>
      <c r="B990" s="559" t="s">
        <v>3458</v>
      </c>
      <c r="C990" s="553">
        <v>75400</v>
      </c>
    </row>
    <row r="991" spans="1:3">
      <c r="A991" s="552" t="s">
        <v>3459</v>
      </c>
      <c r="B991" s="559" t="s">
        <v>3460</v>
      </c>
      <c r="C991" s="553">
        <v>82824</v>
      </c>
    </row>
    <row r="992" spans="1:3">
      <c r="A992" s="552" t="s">
        <v>3461</v>
      </c>
      <c r="B992" s="559" t="s">
        <v>3462</v>
      </c>
      <c r="C992" s="553">
        <v>82824</v>
      </c>
    </row>
    <row r="993" spans="1:3">
      <c r="A993" s="552" t="s">
        <v>3463</v>
      </c>
      <c r="B993" s="559" t="s">
        <v>3464</v>
      </c>
      <c r="C993" s="553">
        <v>85260</v>
      </c>
    </row>
    <row r="994" spans="1:3">
      <c r="A994" s="552" t="s">
        <v>3465</v>
      </c>
      <c r="B994" s="559" t="s">
        <v>3466</v>
      </c>
      <c r="C994" s="553">
        <v>92104</v>
      </c>
    </row>
    <row r="995" spans="1:3">
      <c r="A995" s="552" t="s">
        <v>3467</v>
      </c>
      <c r="B995" s="559" t="s">
        <v>3468</v>
      </c>
      <c r="C995" s="553">
        <v>36888</v>
      </c>
    </row>
    <row r="996" spans="1:3">
      <c r="A996" s="552" t="s">
        <v>3469</v>
      </c>
      <c r="B996" s="559" t="s">
        <v>3470</v>
      </c>
      <c r="C996" s="553">
        <v>62871.999999999993</v>
      </c>
    </row>
    <row r="997" spans="1:3">
      <c r="A997" s="552" t="s">
        <v>3471</v>
      </c>
      <c r="B997" s="559" t="s">
        <v>3472</v>
      </c>
      <c r="C997" s="553">
        <v>62871.999999999993</v>
      </c>
    </row>
    <row r="998" spans="1:3">
      <c r="A998" s="552" t="s">
        <v>3473</v>
      </c>
      <c r="B998" s="559" t="s">
        <v>3474</v>
      </c>
      <c r="C998" s="553">
        <v>62871.999999999993</v>
      </c>
    </row>
    <row r="999" spans="1:3">
      <c r="A999" s="552" t="s">
        <v>3475</v>
      </c>
      <c r="B999" s="559" t="s">
        <v>3476</v>
      </c>
      <c r="C999" s="553">
        <v>62871.999999999993</v>
      </c>
    </row>
    <row r="1000" spans="1:3">
      <c r="A1000" s="552" t="s">
        <v>3477</v>
      </c>
      <c r="B1000" s="559" t="s">
        <v>3478</v>
      </c>
      <c r="C1000" s="553">
        <v>42920</v>
      </c>
    </row>
    <row r="1001" spans="1:3">
      <c r="A1001" s="552" t="s">
        <v>3479</v>
      </c>
      <c r="B1001" s="559" t="s">
        <v>3480</v>
      </c>
      <c r="C1001" s="553">
        <v>515155.99999999994</v>
      </c>
    </row>
    <row r="1002" spans="1:3">
      <c r="A1002" s="552" t="s">
        <v>3481</v>
      </c>
      <c r="B1002" s="559" t="s">
        <v>3482</v>
      </c>
      <c r="C1002" s="553">
        <v>515155.99999999994</v>
      </c>
    </row>
    <row r="1003" spans="1:3">
      <c r="A1003" s="552" t="s">
        <v>3483</v>
      </c>
      <c r="B1003" s="559" t="s">
        <v>3484</v>
      </c>
      <c r="C1003" s="553">
        <v>515155.99999999994</v>
      </c>
    </row>
    <row r="1004" spans="1:3">
      <c r="A1004" s="552" t="s">
        <v>3485</v>
      </c>
      <c r="B1004" s="559" t="s">
        <v>3486</v>
      </c>
      <c r="C1004" s="553">
        <v>515155.99999999994</v>
      </c>
    </row>
    <row r="1005" spans="1:3">
      <c r="A1005" s="552" t="s">
        <v>3487</v>
      </c>
      <c r="B1005" s="559" t="s">
        <v>3488</v>
      </c>
      <c r="C1005" s="553">
        <v>515155.99999999994</v>
      </c>
    </row>
    <row r="1006" spans="1:3">
      <c r="A1006" s="552" t="s">
        <v>3489</v>
      </c>
      <c r="B1006" s="559" t="s">
        <v>3490</v>
      </c>
      <c r="C1006" s="553">
        <v>515155.99999999994</v>
      </c>
    </row>
    <row r="1007" spans="1:3">
      <c r="A1007" s="552" t="s">
        <v>3491</v>
      </c>
      <c r="B1007" s="559" t="s">
        <v>3492</v>
      </c>
      <c r="C1007" s="553">
        <v>515155.99999999994</v>
      </c>
    </row>
    <row r="1008" spans="1:3">
      <c r="A1008" s="552" t="s">
        <v>3493</v>
      </c>
      <c r="B1008" s="559" t="s">
        <v>3494</v>
      </c>
      <c r="C1008" s="553">
        <v>670480</v>
      </c>
    </row>
    <row r="1009" spans="1:3">
      <c r="A1009" s="552" t="s">
        <v>3495</v>
      </c>
      <c r="B1009" s="559" t="s">
        <v>3496</v>
      </c>
      <c r="C1009" s="553">
        <v>750520</v>
      </c>
    </row>
    <row r="1010" spans="1:3">
      <c r="A1010" s="552" t="s">
        <v>3497</v>
      </c>
      <c r="B1010" s="559" t="s">
        <v>3498</v>
      </c>
      <c r="C1010" s="553">
        <v>924519.99999999988</v>
      </c>
    </row>
    <row r="1011" spans="1:3">
      <c r="A1011" s="552" t="s">
        <v>3499</v>
      </c>
      <c r="B1011" s="559" t="s">
        <v>3500</v>
      </c>
      <c r="C1011" s="553">
        <v>1287600</v>
      </c>
    </row>
    <row r="1012" spans="1:3">
      <c r="A1012" s="552" t="s">
        <v>3501</v>
      </c>
      <c r="B1012" s="559" t="s">
        <v>3502</v>
      </c>
      <c r="C1012" s="553">
        <v>1545120</v>
      </c>
    </row>
    <row r="1013" spans="1:3">
      <c r="A1013" s="552" t="s">
        <v>3503</v>
      </c>
      <c r="B1013" s="559" t="s">
        <v>3500</v>
      </c>
      <c r="C1013" s="553">
        <v>1545120</v>
      </c>
    </row>
    <row r="1014" spans="1:3">
      <c r="A1014" s="552" t="s">
        <v>3504</v>
      </c>
      <c r="B1014" s="559" t="s">
        <v>3505</v>
      </c>
      <c r="C1014" s="553">
        <v>2107720</v>
      </c>
    </row>
    <row r="1015" spans="1:3">
      <c r="A1015" s="552" t="s">
        <v>3506</v>
      </c>
      <c r="B1015" s="559" t="s">
        <v>3507</v>
      </c>
      <c r="C1015" s="553">
        <v>1756239.9999999998</v>
      </c>
    </row>
    <row r="1016" spans="1:3">
      <c r="A1016" s="552" t="s">
        <v>3508</v>
      </c>
      <c r="B1016" s="559" t="s">
        <v>3509</v>
      </c>
      <c r="C1016" s="553">
        <v>431519.99999999994</v>
      </c>
    </row>
    <row r="1017" spans="1:3">
      <c r="A1017" s="552" t="s">
        <v>3510</v>
      </c>
      <c r="B1017" s="559" t="s">
        <v>3511</v>
      </c>
      <c r="C1017" s="553">
        <v>36540</v>
      </c>
    </row>
    <row r="1018" spans="1:3">
      <c r="A1018" s="552" t="s">
        <v>3512</v>
      </c>
      <c r="B1018" s="559" t="s">
        <v>3513</v>
      </c>
      <c r="C1018" s="553">
        <v>1464036</v>
      </c>
    </row>
    <row r="1019" spans="1:3">
      <c r="A1019" s="552" t="s">
        <v>3514</v>
      </c>
      <c r="B1019" s="559" t="s">
        <v>3515</v>
      </c>
      <c r="C1019" s="553">
        <v>5000000</v>
      </c>
    </row>
    <row r="1020" spans="1:3">
      <c r="A1020" s="552" t="s">
        <v>3516</v>
      </c>
      <c r="B1020" s="559" t="s">
        <v>3517</v>
      </c>
      <c r="C1020" s="553">
        <v>3000</v>
      </c>
    </row>
    <row r="1021" spans="1:3">
      <c r="A1021" s="552" t="s">
        <v>3518</v>
      </c>
      <c r="B1021" s="559" t="s">
        <v>3519</v>
      </c>
      <c r="C1021" s="553">
        <v>750000</v>
      </c>
    </row>
    <row r="1022" spans="1:3">
      <c r="A1022" s="552" t="s">
        <v>3520</v>
      </c>
      <c r="B1022" s="559" t="s">
        <v>3521</v>
      </c>
      <c r="C1022" s="553">
        <v>500000</v>
      </c>
    </row>
    <row r="1023" spans="1:3" ht="26.4">
      <c r="A1023" s="552" t="s">
        <v>3522</v>
      </c>
      <c r="B1023" s="559" t="s">
        <v>3523</v>
      </c>
      <c r="C1023" s="553">
        <v>2320000</v>
      </c>
    </row>
    <row r="1024" spans="1:3">
      <c r="A1024" s="552" t="s">
        <v>3524</v>
      </c>
      <c r="B1024" s="559" t="s">
        <v>3525</v>
      </c>
      <c r="C1024" s="553">
        <v>198000</v>
      </c>
    </row>
    <row r="1025" spans="1:3">
      <c r="A1025" s="552" t="s">
        <v>3526</v>
      </c>
      <c r="B1025" s="559" t="s">
        <v>3527</v>
      </c>
      <c r="C1025" s="553">
        <v>178000</v>
      </c>
    </row>
    <row r="1026" spans="1:3">
      <c r="A1026" s="552" t="s">
        <v>3528</v>
      </c>
      <c r="B1026" s="559" t="s">
        <v>3529</v>
      </c>
      <c r="C1026" s="553">
        <v>200000</v>
      </c>
    </row>
    <row r="1027" spans="1:3">
      <c r="A1027" s="552" t="s">
        <v>3530</v>
      </c>
      <c r="B1027" s="559" t="s">
        <v>3531</v>
      </c>
      <c r="C1027" s="553">
        <v>10000000</v>
      </c>
    </row>
    <row r="1028" spans="1:3">
      <c r="A1028" s="552" t="s">
        <v>3532</v>
      </c>
      <c r="B1028" s="559" t="s">
        <v>3533</v>
      </c>
      <c r="C1028" s="553">
        <v>258000</v>
      </c>
    </row>
    <row r="1029" spans="1:3">
      <c r="A1029" s="552" t="s">
        <v>3534</v>
      </c>
      <c r="B1029" s="559" t="s">
        <v>3535</v>
      </c>
      <c r="C1029" s="553">
        <v>1800000</v>
      </c>
    </row>
    <row r="1030" spans="1:3">
      <c r="A1030" s="552" t="s">
        <v>3536</v>
      </c>
      <c r="B1030" s="559" t="s">
        <v>3537</v>
      </c>
      <c r="C1030" s="553">
        <v>800000</v>
      </c>
    </row>
    <row r="1031" spans="1:3">
      <c r="A1031" s="552" t="s">
        <v>3538</v>
      </c>
      <c r="B1031" s="559" t="s">
        <v>3539</v>
      </c>
      <c r="C1031" s="553">
        <v>1600000</v>
      </c>
    </row>
    <row r="1032" spans="1:3">
      <c r="A1032" s="552" t="s">
        <v>3540</v>
      </c>
      <c r="B1032" s="559" t="s">
        <v>3541</v>
      </c>
      <c r="C1032" s="553">
        <v>2100000</v>
      </c>
    </row>
    <row r="1033" spans="1:3">
      <c r="A1033" s="552" t="s">
        <v>3542</v>
      </c>
      <c r="B1033" s="559" t="s">
        <v>3543</v>
      </c>
      <c r="C1033" s="553">
        <v>35000</v>
      </c>
    </row>
    <row r="1034" spans="1:3">
      <c r="A1034" s="552" t="s">
        <v>3544</v>
      </c>
      <c r="B1034" s="559" t="s">
        <v>3545</v>
      </c>
      <c r="C1034" s="553">
        <v>1000</v>
      </c>
    </row>
    <row r="1035" spans="1:3">
      <c r="A1035" s="552" t="s">
        <v>3546</v>
      </c>
      <c r="B1035" s="559" t="s">
        <v>3547</v>
      </c>
      <c r="C1035" s="553">
        <v>40000</v>
      </c>
    </row>
    <row r="1036" spans="1:3">
      <c r="A1036" s="552" t="s">
        <v>3548</v>
      </c>
      <c r="B1036" s="559" t="s">
        <v>3549</v>
      </c>
      <c r="C1036" s="553">
        <v>3500</v>
      </c>
    </row>
    <row r="1037" spans="1:3">
      <c r="A1037" s="552" t="s">
        <v>3550</v>
      </c>
      <c r="B1037" s="559" t="s">
        <v>3551</v>
      </c>
      <c r="C1037" s="553">
        <v>20000</v>
      </c>
    </row>
    <row r="1038" spans="1:3">
      <c r="A1038" s="552" t="s">
        <v>3552</v>
      </c>
      <c r="B1038" s="559" t="s">
        <v>3553</v>
      </c>
      <c r="C1038" s="553">
        <v>30000</v>
      </c>
    </row>
    <row r="1039" spans="1:3">
      <c r="A1039" s="552" t="s">
        <v>3554</v>
      </c>
      <c r="B1039" s="559" t="s">
        <v>3555</v>
      </c>
      <c r="C1039" s="553">
        <v>11000</v>
      </c>
    </row>
    <row r="1040" spans="1:3">
      <c r="A1040" s="552" t="s">
        <v>3556</v>
      </c>
      <c r="B1040" s="559" t="s">
        <v>3557</v>
      </c>
      <c r="C1040" s="553">
        <v>9000</v>
      </c>
    </row>
    <row r="1041" spans="1:3">
      <c r="A1041" s="552" t="s">
        <v>3558</v>
      </c>
      <c r="B1041" s="559" t="s">
        <v>3559</v>
      </c>
      <c r="C1041" s="553">
        <v>9000</v>
      </c>
    </row>
    <row r="1042" spans="1:3">
      <c r="A1042" s="552" t="s">
        <v>3560</v>
      </c>
      <c r="B1042" s="559" t="s">
        <v>3561</v>
      </c>
      <c r="C1042" s="553">
        <v>9000</v>
      </c>
    </row>
    <row r="1043" spans="1:3">
      <c r="A1043" s="552" t="s">
        <v>3562</v>
      </c>
      <c r="B1043" s="559" t="s">
        <v>3563</v>
      </c>
      <c r="C1043" s="553">
        <v>5000</v>
      </c>
    </row>
    <row r="1044" spans="1:3">
      <c r="A1044" s="552" t="s">
        <v>3564</v>
      </c>
      <c r="B1044" s="559" t="s">
        <v>3565</v>
      </c>
      <c r="C1044" s="553">
        <v>1678000</v>
      </c>
    </row>
    <row r="1045" spans="1:3" ht="26.4">
      <c r="A1045" s="552" t="s">
        <v>3566</v>
      </c>
      <c r="B1045" s="559" t="s">
        <v>3567</v>
      </c>
      <c r="C1045" s="553">
        <v>4400000</v>
      </c>
    </row>
    <row r="1046" spans="1:3">
      <c r="A1046" s="552" t="s">
        <v>3568</v>
      </c>
      <c r="B1046" s="559" t="s">
        <v>3569</v>
      </c>
      <c r="C1046" s="553">
        <v>3300000</v>
      </c>
    </row>
    <row r="1047" spans="1:3">
      <c r="A1047" s="552" t="s">
        <v>3570</v>
      </c>
      <c r="B1047" s="559" t="s">
        <v>3571</v>
      </c>
      <c r="C1047" s="553">
        <v>345000</v>
      </c>
    </row>
    <row r="1048" spans="1:3">
      <c r="A1048" s="552" t="s">
        <v>3572</v>
      </c>
      <c r="B1048" s="559" t="s">
        <v>3573</v>
      </c>
      <c r="C1048" s="553">
        <v>15000</v>
      </c>
    </row>
    <row r="1049" spans="1:3">
      <c r="A1049" s="552" t="s">
        <v>3574</v>
      </c>
      <c r="B1049" s="559" t="s">
        <v>3575</v>
      </c>
      <c r="C1049" s="553">
        <v>105000</v>
      </c>
    </row>
    <row r="1050" spans="1:3">
      <c r="A1050" s="552" t="s">
        <v>2002</v>
      </c>
      <c r="B1050" s="559" t="s">
        <v>3576</v>
      </c>
      <c r="C1050" s="553">
        <v>107500</v>
      </c>
    </row>
    <row r="1051" spans="1:3">
      <c r="A1051" s="552" t="s">
        <v>3577</v>
      </c>
      <c r="B1051" s="559" t="s">
        <v>3578</v>
      </c>
      <c r="C1051" s="553">
        <v>75000</v>
      </c>
    </row>
    <row r="1052" spans="1:3">
      <c r="A1052" s="552" t="s">
        <v>3579</v>
      </c>
      <c r="B1052" s="559" t="s">
        <v>3580</v>
      </c>
      <c r="C1052" s="553">
        <v>385000</v>
      </c>
    </row>
    <row r="1053" spans="1:3">
      <c r="A1053" s="552" t="s">
        <v>3581</v>
      </c>
      <c r="B1053" s="559" t="s">
        <v>3582</v>
      </c>
      <c r="C1053" s="553">
        <f>54071*1.19</f>
        <v>64344.49</v>
      </c>
    </row>
    <row r="1054" spans="1:3">
      <c r="A1054" s="552" t="s">
        <v>3583</v>
      </c>
      <c r="B1054" s="559" t="s">
        <v>3584</v>
      </c>
      <c r="C1054" s="553">
        <v>12000000</v>
      </c>
    </row>
    <row r="1055" spans="1:3">
      <c r="A1055" s="552" t="s">
        <v>3585</v>
      </c>
      <c r="B1055" s="559" t="s">
        <v>3586</v>
      </c>
      <c r="C1055" s="553">
        <v>13500000</v>
      </c>
    </row>
    <row r="1056" spans="1:3">
      <c r="A1056" s="552" t="s">
        <v>3587</v>
      </c>
      <c r="B1056" s="559" t="s">
        <v>3588</v>
      </c>
      <c r="C1056" s="553">
        <v>15000000</v>
      </c>
    </row>
    <row r="1057" spans="1:3">
      <c r="A1057" s="552" t="s">
        <v>3589</v>
      </c>
      <c r="B1057" s="559" t="s">
        <v>3590</v>
      </c>
      <c r="C1057" s="553">
        <v>2800000</v>
      </c>
    </row>
    <row r="1058" spans="1:3">
      <c r="A1058" s="530" t="s">
        <v>3591</v>
      </c>
      <c r="B1058" s="563" t="s">
        <v>3592</v>
      </c>
      <c r="C1058" s="553">
        <v>2000000</v>
      </c>
    </row>
    <row r="1059" spans="1:3">
      <c r="A1059" s="552" t="s">
        <v>3593</v>
      </c>
      <c r="B1059" s="559" t="s">
        <v>3594</v>
      </c>
      <c r="C1059" s="553">
        <v>5200000</v>
      </c>
    </row>
    <row r="1060" spans="1:3">
      <c r="A1060" s="530" t="s">
        <v>3595</v>
      </c>
      <c r="B1060" s="563" t="s">
        <v>3596</v>
      </c>
      <c r="C1060" s="553">
        <v>2500000</v>
      </c>
    </row>
    <row r="1061" spans="1:3">
      <c r="A1061" s="552" t="s">
        <v>3597</v>
      </c>
      <c r="B1061" s="559" t="s">
        <v>3598</v>
      </c>
      <c r="C1061" s="553">
        <v>1300000</v>
      </c>
    </row>
    <row r="1062" spans="1:3">
      <c r="A1062" s="530" t="s">
        <v>3599</v>
      </c>
      <c r="B1062" s="563" t="s">
        <v>3600</v>
      </c>
      <c r="C1062" s="553">
        <v>900000</v>
      </c>
    </row>
    <row r="1063" spans="1:3">
      <c r="A1063" s="552" t="s">
        <v>3601</v>
      </c>
      <c r="B1063" s="559" t="s">
        <v>3602</v>
      </c>
      <c r="C1063" s="553"/>
    </row>
    <row r="1064" spans="1:3">
      <c r="A1064" s="552" t="s">
        <v>3603</v>
      </c>
      <c r="B1064" s="559" t="s">
        <v>3604</v>
      </c>
      <c r="C1064" s="553"/>
    </row>
    <row r="1065" spans="1:3">
      <c r="A1065" s="552" t="s">
        <v>3605</v>
      </c>
      <c r="B1065" s="559" t="s">
        <v>3606</v>
      </c>
      <c r="C1065" s="553"/>
    </row>
    <row r="1066" spans="1:3">
      <c r="A1066" s="552" t="s">
        <v>3607</v>
      </c>
      <c r="B1066" s="559" t="s">
        <v>3602</v>
      </c>
      <c r="C1066" s="553"/>
    </row>
    <row r="1067" spans="1:3">
      <c r="A1067" s="552" t="s">
        <v>3608</v>
      </c>
      <c r="B1067" s="559" t="s">
        <v>3604</v>
      </c>
      <c r="C1067" s="553"/>
    </row>
    <row r="1068" spans="1:3">
      <c r="A1068" s="552" t="s">
        <v>3609</v>
      </c>
      <c r="B1068" s="559" t="s">
        <v>3606</v>
      </c>
      <c r="C1068" s="553"/>
    </row>
    <row r="1069" spans="1:3">
      <c r="A1069" s="552" t="s">
        <v>3610</v>
      </c>
      <c r="B1069" s="559" t="s">
        <v>3611</v>
      </c>
      <c r="C1069" s="553"/>
    </row>
    <row r="1070" spans="1:3">
      <c r="A1070" s="552" t="s">
        <v>3612</v>
      </c>
      <c r="B1070" s="559" t="s">
        <v>3613</v>
      </c>
      <c r="C1070" s="553"/>
    </row>
    <row r="1071" spans="1:3" ht="26.4">
      <c r="A1071" s="552" t="s">
        <v>3614</v>
      </c>
      <c r="B1071" s="559" t="s">
        <v>3615</v>
      </c>
      <c r="C1071" s="553"/>
    </row>
    <row r="1072" spans="1:3" ht="26.4">
      <c r="A1072" s="552" t="s">
        <v>3616</v>
      </c>
      <c r="B1072" s="571" t="s">
        <v>3617</v>
      </c>
      <c r="C1072" s="553"/>
    </row>
    <row r="1073" spans="1:3" ht="13.8" thickBot="1">
      <c r="A1073" s="554"/>
      <c r="B1073" s="555"/>
      <c r="C1073" s="556"/>
    </row>
    <row r="1074" spans="1:3" ht="13.8" thickTop="1"/>
  </sheetData>
  <mergeCells count="2">
    <mergeCell ref="A1:C1"/>
    <mergeCell ref="A3:C3"/>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2:I789"/>
  <sheetViews>
    <sheetView zoomScale="85" zoomScaleNormal="85" workbookViewId="0">
      <selection activeCell="D173" sqref="D173:D184"/>
    </sheetView>
  </sheetViews>
  <sheetFormatPr baseColWidth="10" defaultColWidth="11.44140625" defaultRowHeight="16.8"/>
  <cols>
    <col min="1" max="1" width="11.44140625" style="596"/>
    <col min="2" max="2" width="54.109375" style="19" customWidth="1"/>
    <col min="3" max="3" width="11.44140625" style="596"/>
    <col min="4" max="4" width="12.6640625" style="2103" customWidth="1"/>
    <col min="5" max="5" width="11.44140625" style="596" hidden="1" customWidth="1"/>
    <col min="6" max="6" width="11.44140625" style="19"/>
    <col min="7" max="7" width="50.109375" style="19" customWidth="1"/>
    <col min="8" max="16384" width="11.44140625" style="19"/>
  </cols>
  <sheetData>
    <row r="2" spans="1:5" ht="17.399999999999999" thickBot="1"/>
    <row r="3" spans="1:5" ht="17.399999999999999" thickBot="1">
      <c r="B3" s="2104" t="s">
        <v>139</v>
      </c>
      <c r="C3" s="2385">
        <f>+AIU</f>
        <v>0.29572249606750989</v>
      </c>
    </row>
    <row r="6" spans="1:5">
      <c r="B6" s="72" t="str">
        <f>IF(PRESTA&gt;0,"SMMLV 2019 (INCLUYE "&amp;""&amp;PRESTA*100&amp;"% PRESTACIONES)",0)</f>
        <v>SMMLV 2019 (INCLUYE 82,22% PRESTACIONES)</v>
      </c>
      <c r="C6" s="2" t="s">
        <v>967</v>
      </c>
      <c r="D6" s="2105">
        <f>+PRESTA</f>
        <v>0.82220000000000015</v>
      </c>
    </row>
    <row r="7" spans="1:5">
      <c r="B7" s="23"/>
      <c r="C7" s="13"/>
      <c r="D7" s="2106"/>
    </row>
    <row r="8" spans="1:5">
      <c r="B8" s="5" t="s">
        <v>383</v>
      </c>
      <c r="C8" s="2" t="s">
        <v>967</v>
      </c>
      <c r="D8" s="2311">
        <v>0.82220000000000004</v>
      </c>
    </row>
    <row r="10" spans="1:5">
      <c r="A10" s="1" t="s">
        <v>141</v>
      </c>
      <c r="B10" s="74" t="s">
        <v>342</v>
      </c>
      <c r="C10" s="49" t="s">
        <v>343</v>
      </c>
      <c r="D10" s="2107" t="s">
        <v>344</v>
      </c>
      <c r="E10" s="1" t="s">
        <v>141</v>
      </c>
    </row>
    <row r="11" spans="1:5">
      <c r="A11" s="2" t="s">
        <v>345</v>
      </c>
      <c r="B11" s="2310" t="str">
        <f>IF(PRESTA&gt;0,"OFICIAL (INCLUYE "&amp;""&amp;PRESTA*100&amp;"% PRESTACIONES)",0)</f>
        <v>OFICIAL (INCLUYE 82,22% PRESTACIONES)</v>
      </c>
      <c r="C11" s="2118" t="s">
        <v>346</v>
      </c>
      <c r="D11" s="2109">
        <f>+PRESTA!F5</f>
        <v>80479.625344</v>
      </c>
      <c r="E11" s="2" t="s">
        <v>345</v>
      </c>
    </row>
    <row r="12" spans="1:5">
      <c r="A12" s="2" t="s">
        <v>347</v>
      </c>
      <c r="B12" s="2310" t="str">
        <f>IF(PRESTA&gt;0,"AYUD. ENTENDIDO (INCLUYE "&amp;""&amp;PRESTA*100&amp;"% PRESTACIONES)",0)</f>
        <v>AYUD. ENTENDIDO (INCLUYE 82,22% PRESTACIONES)</v>
      </c>
      <c r="C12" s="2118" t="s">
        <v>346</v>
      </c>
      <c r="D12" s="2109">
        <f>+PRESTA!F6</f>
        <v>65389.695592000004</v>
      </c>
      <c r="E12" s="2" t="s">
        <v>347</v>
      </c>
    </row>
    <row r="13" spans="1:5">
      <c r="A13" s="471" t="s">
        <v>348</v>
      </c>
      <c r="B13" s="2310" t="str">
        <f>IF(PRESTA&gt;0,"AYUD. RASO (INCLUYE "&amp;""&amp;PRESTA*100&amp;"% PRESTACIONES)",0)</f>
        <v>AYUD. RASO (INCLUYE 82,22% PRESTACIONES)</v>
      </c>
      <c r="C13" s="2118" t="s">
        <v>346</v>
      </c>
      <c r="D13" s="2109">
        <f>+PRESTA!F7</f>
        <v>50299.76584</v>
      </c>
      <c r="E13" s="471" t="s">
        <v>348</v>
      </c>
    </row>
    <row r="14" spans="1:5">
      <c r="A14" s="471" t="s">
        <v>5397</v>
      </c>
      <c r="B14" s="72" t="s">
        <v>5396</v>
      </c>
      <c r="C14" s="50" t="s">
        <v>717</v>
      </c>
      <c r="D14" s="2105">
        <v>90000</v>
      </c>
      <c r="E14" s="471"/>
    </row>
    <row r="15" spans="1:5">
      <c r="A15" s="471" t="s">
        <v>5398</v>
      </c>
      <c r="B15" s="72" t="s">
        <v>5399</v>
      </c>
      <c r="C15" s="50" t="s">
        <v>717</v>
      </c>
      <c r="D15" s="2105">
        <v>63000</v>
      </c>
      <c r="E15" s="471"/>
    </row>
    <row r="16" spans="1:5">
      <c r="A16" s="471" t="s">
        <v>5408</v>
      </c>
      <c r="B16" s="100" t="s">
        <v>5411</v>
      </c>
      <c r="C16" s="50" t="s">
        <v>717</v>
      </c>
      <c r="D16" s="2105">
        <v>153000</v>
      </c>
      <c r="E16" s="471"/>
    </row>
    <row r="17" spans="1:5">
      <c r="A17" s="471" t="s">
        <v>5409</v>
      </c>
      <c r="B17" s="100" t="s">
        <v>5412</v>
      </c>
      <c r="C17" s="50" t="s">
        <v>717</v>
      </c>
      <c r="D17" s="2105">
        <v>63000</v>
      </c>
      <c r="E17" s="471"/>
    </row>
    <row r="18" spans="1:5">
      <c r="A18" s="471" t="s">
        <v>5410</v>
      </c>
      <c r="B18" s="18" t="s">
        <v>5413</v>
      </c>
      <c r="C18" s="50" t="s">
        <v>717</v>
      </c>
      <c r="D18" s="2105">
        <v>90000</v>
      </c>
      <c r="E18" s="471"/>
    </row>
    <row r="19" spans="1:5">
      <c r="A19" s="2" t="s">
        <v>349</v>
      </c>
      <c r="B19" s="75" t="s">
        <v>350</v>
      </c>
      <c r="C19" s="50" t="s">
        <v>346</v>
      </c>
      <c r="D19" s="2105">
        <v>550000</v>
      </c>
      <c r="E19" s="2" t="s">
        <v>349</v>
      </c>
    </row>
    <row r="20" spans="1:5">
      <c r="A20" s="2" t="s">
        <v>351</v>
      </c>
      <c r="B20" s="3" t="s">
        <v>352</v>
      </c>
      <c r="C20" s="50" t="s">
        <v>346</v>
      </c>
      <c r="D20" s="2105">
        <f>4*AYUDR+OFICI</f>
        <v>281678.68870399997</v>
      </c>
      <c r="E20" s="2" t="s">
        <v>351</v>
      </c>
    </row>
    <row r="21" spans="1:5">
      <c r="A21" s="2" t="s">
        <v>1013</v>
      </c>
      <c r="B21" s="18" t="s">
        <v>1014</v>
      </c>
      <c r="C21" s="42" t="s">
        <v>356</v>
      </c>
      <c r="D21" s="2105">
        <v>180000</v>
      </c>
      <c r="E21" s="2" t="s">
        <v>1013</v>
      </c>
    </row>
    <row r="22" spans="1:5">
      <c r="A22" s="2" t="s">
        <v>868</v>
      </c>
      <c r="B22" s="18" t="s">
        <v>430</v>
      </c>
      <c r="C22" s="42" t="s">
        <v>647</v>
      </c>
      <c r="D22" s="2105">
        <v>500</v>
      </c>
      <c r="E22" s="2" t="s">
        <v>868</v>
      </c>
    </row>
    <row r="23" spans="1:5">
      <c r="A23" s="2" t="s">
        <v>336</v>
      </c>
      <c r="B23" s="5" t="s">
        <v>4479</v>
      </c>
      <c r="C23" s="50" t="s">
        <v>717</v>
      </c>
      <c r="D23" s="32">
        <v>95000</v>
      </c>
      <c r="E23" s="2" t="s">
        <v>336</v>
      </c>
    </row>
    <row r="24" spans="1:5">
      <c r="A24" s="2" t="s">
        <v>1005</v>
      </c>
      <c r="B24" s="3" t="s">
        <v>1006</v>
      </c>
      <c r="C24" s="6" t="s">
        <v>1002</v>
      </c>
      <c r="D24" s="710">
        <f>(OFICI+AYUDR)/8</f>
        <v>16347.423898000001</v>
      </c>
      <c r="E24" s="2" t="s">
        <v>1005</v>
      </c>
    </row>
    <row r="25" spans="1:5">
      <c r="A25" s="2" t="s">
        <v>627</v>
      </c>
      <c r="B25" s="3" t="s">
        <v>626</v>
      </c>
      <c r="C25" s="50" t="s">
        <v>356</v>
      </c>
      <c r="D25" s="710">
        <v>12600</v>
      </c>
      <c r="E25" s="2" t="s">
        <v>627</v>
      </c>
    </row>
    <row r="26" spans="1:5">
      <c r="A26" s="13"/>
      <c r="B26" s="18"/>
      <c r="C26" s="2"/>
      <c r="D26" s="2108"/>
      <c r="E26" s="13"/>
    </row>
    <row r="27" spans="1:5">
      <c r="A27" s="1" t="s">
        <v>141</v>
      </c>
      <c r="B27" s="74" t="s">
        <v>303</v>
      </c>
      <c r="C27" s="49" t="s">
        <v>343</v>
      </c>
      <c r="D27" s="2107" t="s">
        <v>344</v>
      </c>
      <c r="E27" s="1" t="s">
        <v>141</v>
      </c>
    </row>
    <row r="28" spans="1:5">
      <c r="A28" s="2" t="s">
        <v>865</v>
      </c>
      <c r="B28" s="18" t="s">
        <v>866</v>
      </c>
      <c r="C28" s="42" t="s">
        <v>647</v>
      </c>
      <c r="D28" s="2109">
        <v>3000</v>
      </c>
      <c r="E28" s="2" t="s">
        <v>865</v>
      </c>
    </row>
    <row r="29" spans="1:5">
      <c r="A29" s="2" t="s">
        <v>867</v>
      </c>
      <c r="B29" s="2027" t="s">
        <v>96</v>
      </c>
      <c r="C29" s="42" t="s">
        <v>647</v>
      </c>
      <c r="D29" s="2109">
        <v>3200</v>
      </c>
      <c r="E29" s="2" t="s">
        <v>867</v>
      </c>
    </row>
    <row r="30" spans="1:5">
      <c r="A30" s="2" t="s">
        <v>98</v>
      </c>
      <c r="B30" s="18" t="s">
        <v>97</v>
      </c>
      <c r="C30" s="42" t="s">
        <v>647</v>
      </c>
      <c r="D30" s="2105">
        <v>3200</v>
      </c>
      <c r="E30" s="2" t="s">
        <v>98</v>
      </c>
    </row>
    <row r="31" spans="1:5">
      <c r="A31" s="2" t="s">
        <v>202</v>
      </c>
      <c r="B31" s="18" t="s">
        <v>203</v>
      </c>
      <c r="C31" s="42" t="s">
        <v>647</v>
      </c>
      <c r="D31" s="2105">
        <v>3130</v>
      </c>
      <c r="E31" s="2" t="s">
        <v>202</v>
      </c>
    </row>
    <row r="32" spans="1:5">
      <c r="A32" s="2" t="s">
        <v>663</v>
      </c>
      <c r="B32" s="78" t="s">
        <v>107</v>
      </c>
      <c r="C32" s="2" t="s">
        <v>647</v>
      </c>
      <c r="D32" s="710">
        <v>3199.7400000000002</v>
      </c>
      <c r="E32" s="2" t="s">
        <v>663</v>
      </c>
    </row>
    <row r="33" spans="1:5">
      <c r="A33" s="2" t="s">
        <v>664</v>
      </c>
      <c r="B33" s="78" t="s">
        <v>108</v>
      </c>
      <c r="C33" s="2" t="s">
        <v>363</v>
      </c>
      <c r="D33" s="710">
        <v>82824</v>
      </c>
      <c r="E33" s="2" t="s">
        <v>664</v>
      </c>
    </row>
    <row r="34" spans="1:5">
      <c r="A34" s="2" t="s">
        <v>665</v>
      </c>
      <c r="B34" s="78" t="s">
        <v>692</v>
      </c>
      <c r="C34" s="2" t="s">
        <v>363</v>
      </c>
      <c r="D34" s="710">
        <v>82824</v>
      </c>
      <c r="E34" s="2" t="s">
        <v>665</v>
      </c>
    </row>
    <row r="35" spans="1:5">
      <c r="A35" s="13"/>
      <c r="B35" s="78"/>
      <c r="C35" s="2"/>
      <c r="D35" s="746"/>
      <c r="E35" s="13"/>
    </row>
    <row r="36" spans="1:5">
      <c r="A36" s="1" t="s">
        <v>141</v>
      </c>
      <c r="B36" s="74" t="s">
        <v>710</v>
      </c>
      <c r="C36" s="49" t="s">
        <v>343</v>
      </c>
      <c r="D36" s="2107" t="s">
        <v>344</v>
      </c>
      <c r="E36" s="1" t="s">
        <v>141</v>
      </c>
    </row>
    <row r="37" spans="1:5">
      <c r="A37" s="2" t="s">
        <v>1112</v>
      </c>
      <c r="B37" s="2027" t="s">
        <v>4669</v>
      </c>
      <c r="C37" s="2194" t="s">
        <v>356</v>
      </c>
      <c r="D37" s="2109">
        <f>+'BASE CTOS'!B134</f>
        <v>488795.14911417139</v>
      </c>
      <c r="E37" s="1"/>
    </row>
    <row r="38" spans="1:5">
      <c r="A38" s="2" t="s">
        <v>302</v>
      </c>
      <c r="B38" s="2027" t="s">
        <v>16</v>
      </c>
      <c r="C38" s="2194" t="s">
        <v>356</v>
      </c>
      <c r="D38" s="2109">
        <f>+'BASE CTOS'!B120</f>
        <v>469469.49922490004</v>
      </c>
      <c r="E38" s="2" t="s">
        <v>302</v>
      </c>
    </row>
    <row r="39" spans="1:5">
      <c r="A39" s="2" t="s">
        <v>308</v>
      </c>
      <c r="B39" s="2020" t="s">
        <v>18</v>
      </c>
      <c r="C39" s="2194" t="s">
        <v>356</v>
      </c>
      <c r="D39" s="2109">
        <f>+'BASE CTOS'!B106</f>
        <v>419022.54922489997</v>
      </c>
      <c r="E39" s="2" t="s">
        <v>308</v>
      </c>
    </row>
    <row r="40" spans="1:5">
      <c r="A40" s="2" t="s">
        <v>671</v>
      </c>
      <c r="B40" s="2020" t="s">
        <v>17</v>
      </c>
      <c r="C40" s="2118" t="s">
        <v>356</v>
      </c>
      <c r="D40" s="2023">
        <f>+'BASE CTOS'!B92</f>
        <v>387711.3992249</v>
      </c>
      <c r="E40" s="2" t="s">
        <v>671</v>
      </c>
    </row>
    <row r="41" spans="1:5">
      <c r="A41" s="2" t="s">
        <v>863</v>
      </c>
      <c r="B41" s="2020" t="s">
        <v>864</v>
      </c>
      <c r="C41" s="2194" t="s">
        <v>356</v>
      </c>
      <c r="D41" s="2109">
        <f>+'BASE CTOS'!B78</f>
        <v>362394.84922490001</v>
      </c>
      <c r="E41" s="2" t="s">
        <v>863</v>
      </c>
    </row>
    <row r="42" spans="1:5">
      <c r="A42" s="2" t="s">
        <v>91</v>
      </c>
      <c r="B42" s="1455" t="s">
        <v>19</v>
      </c>
      <c r="C42" s="2194" t="s">
        <v>356</v>
      </c>
      <c r="D42" s="2023">
        <f>+'BASE CTOS'!B64</f>
        <v>364500.62422489998</v>
      </c>
      <c r="E42" s="2" t="s">
        <v>91</v>
      </c>
    </row>
    <row r="43" spans="1:5">
      <c r="A43" s="2" t="s">
        <v>307</v>
      </c>
      <c r="B43" s="1455" t="s">
        <v>20</v>
      </c>
      <c r="C43" s="2194" t="s">
        <v>356</v>
      </c>
      <c r="D43" s="2109">
        <f>+'BASE CTOS'!B50</f>
        <v>361854.3992249</v>
      </c>
      <c r="E43" s="2" t="s">
        <v>307</v>
      </c>
    </row>
    <row r="44" spans="1:5">
      <c r="A44" s="2" t="s">
        <v>281</v>
      </c>
      <c r="B44" s="1455" t="s">
        <v>280</v>
      </c>
      <c r="C44" s="2194" t="s">
        <v>356</v>
      </c>
      <c r="D44" s="2109">
        <f>+'BASE CTOS'!B36</f>
        <v>329955.0242249</v>
      </c>
      <c r="E44" s="2" t="s">
        <v>281</v>
      </c>
    </row>
    <row r="45" spans="1:5">
      <c r="A45" s="2" t="s">
        <v>877</v>
      </c>
      <c r="B45" s="1455" t="s">
        <v>876</v>
      </c>
      <c r="C45" s="2194" t="s">
        <v>356</v>
      </c>
      <c r="D45" s="2109">
        <f>+'BASE CTOS'!B22</f>
        <v>315397.8992249</v>
      </c>
      <c r="E45" s="2" t="s">
        <v>877</v>
      </c>
    </row>
    <row r="46" spans="1:5">
      <c r="A46" s="2"/>
      <c r="B46" s="18"/>
      <c r="C46" s="42"/>
      <c r="D46" s="2105"/>
      <c r="E46" s="2"/>
    </row>
    <row r="47" spans="1:5">
      <c r="A47" s="2" t="s">
        <v>644</v>
      </c>
      <c r="B47" s="2019" t="s">
        <v>946</v>
      </c>
      <c r="C47" s="2110" t="s">
        <v>356</v>
      </c>
      <c r="D47" s="2109">
        <f>+'BASE CTOS'!B149</f>
        <v>414261.84922490001</v>
      </c>
      <c r="E47" s="2" t="s">
        <v>644</v>
      </c>
    </row>
    <row r="48" spans="1:5">
      <c r="A48" s="2" t="s">
        <v>410</v>
      </c>
      <c r="B48" s="2020" t="s">
        <v>947</v>
      </c>
      <c r="C48" s="6" t="s">
        <v>356</v>
      </c>
      <c r="D48" s="2021">
        <f>+'BASE CTOS'!B162</f>
        <v>372116.6492249</v>
      </c>
      <c r="E48" s="2" t="s">
        <v>410</v>
      </c>
    </row>
    <row r="49" spans="1:5">
      <c r="A49" s="2" t="s">
        <v>997</v>
      </c>
      <c r="B49" s="2027" t="s">
        <v>948</v>
      </c>
      <c r="C49" s="2110" t="s">
        <v>356</v>
      </c>
      <c r="D49" s="2109">
        <f>+'BASE CTOS'!B175</f>
        <v>306881.04922489997</v>
      </c>
      <c r="E49" s="2" t="s">
        <v>997</v>
      </c>
    </row>
    <row r="50" spans="1:5">
      <c r="A50" s="2"/>
      <c r="B50" s="18"/>
      <c r="C50" s="2110"/>
      <c r="D50" s="2105"/>
      <c r="E50" s="2"/>
    </row>
    <row r="51" spans="1:5">
      <c r="A51" s="1" t="s">
        <v>141</v>
      </c>
      <c r="B51" s="74" t="s">
        <v>353</v>
      </c>
      <c r="C51" s="49" t="s">
        <v>343</v>
      </c>
      <c r="D51" s="2107" t="s">
        <v>344</v>
      </c>
      <c r="E51" s="1" t="s">
        <v>141</v>
      </c>
    </row>
    <row r="52" spans="1:5">
      <c r="A52" s="2" t="s">
        <v>642</v>
      </c>
      <c r="B52" s="2019" t="s">
        <v>6413</v>
      </c>
      <c r="C52" s="50" t="s">
        <v>356</v>
      </c>
      <c r="D52" s="2109">
        <v>68000</v>
      </c>
      <c r="E52" s="2" t="s">
        <v>642</v>
      </c>
    </row>
    <row r="53" spans="1:5">
      <c r="A53" s="2" t="s">
        <v>331</v>
      </c>
      <c r="B53" s="3" t="s">
        <v>330</v>
      </c>
      <c r="C53" s="50" t="s">
        <v>356</v>
      </c>
      <c r="D53" s="2105">
        <v>45000</v>
      </c>
      <c r="E53" s="2" t="s">
        <v>331</v>
      </c>
    </row>
    <row r="54" spans="1:5">
      <c r="A54" s="2" t="s">
        <v>354</v>
      </c>
      <c r="B54" s="5" t="s">
        <v>355</v>
      </c>
      <c r="C54" s="50" t="s">
        <v>356</v>
      </c>
      <c r="D54" s="2105">
        <v>35000</v>
      </c>
      <c r="E54" s="2" t="s">
        <v>354</v>
      </c>
    </row>
    <row r="55" spans="1:5">
      <c r="A55" s="2" t="s">
        <v>357</v>
      </c>
      <c r="B55" s="3" t="s">
        <v>358</v>
      </c>
      <c r="C55" s="2110" t="s">
        <v>356</v>
      </c>
      <c r="D55" s="2105">
        <v>26500</v>
      </c>
      <c r="E55" s="2" t="s">
        <v>357</v>
      </c>
    </row>
    <row r="56" spans="1:5">
      <c r="A56" s="2" t="s">
        <v>740</v>
      </c>
      <c r="B56" s="2019" t="s">
        <v>6414</v>
      </c>
      <c r="C56" s="2111" t="s">
        <v>356</v>
      </c>
      <c r="D56" s="2109">
        <v>70500</v>
      </c>
      <c r="E56" s="2" t="s">
        <v>740</v>
      </c>
    </row>
    <row r="57" spans="1:5">
      <c r="A57" s="2" t="s">
        <v>364</v>
      </c>
      <c r="B57" s="3" t="s">
        <v>365</v>
      </c>
      <c r="C57" s="50" t="s">
        <v>356</v>
      </c>
      <c r="D57" s="2105">
        <v>34000</v>
      </c>
      <c r="E57" s="2" t="s">
        <v>364</v>
      </c>
    </row>
    <row r="58" spans="1:5">
      <c r="A58" s="2" t="s">
        <v>366</v>
      </c>
      <c r="B58" s="2019" t="s">
        <v>367</v>
      </c>
      <c r="C58" s="50" t="s">
        <v>356</v>
      </c>
      <c r="D58" s="2109">
        <v>85000</v>
      </c>
      <c r="E58" s="2" t="s">
        <v>366</v>
      </c>
    </row>
    <row r="59" spans="1:5">
      <c r="A59" s="2"/>
      <c r="B59" s="2019" t="s">
        <v>6639</v>
      </c>
      <c r="C59" s="50" t="s">
        <v>356</v>
      </c>
      <c r="D59" s="2109">
        <v>36000</v>
      </c>
      <c r="E59" s="2"/>
    </row>
    <row r="60" spans="1:5" hidden="1">
      <c r="A60" s="2" t="s">
        <v>368</v>
      </c>
      <c r="B60" s="3" t="s">
        <v>369</v>
      </c>
      <c r="C60" s="50" t="s">
        <v>370</v>
      </c>
      <c r="D60" s="2105">
        <v>25500</v>
      </c>
      <c r="E60" s="2" t="s">
        <v>368</v>
      </c>
    </row>
    <row r="61" spans="1:5" hidden="1">
      <c r="A61" s="2" t="s">
        <v>167</v>
      </c>
      <c r="B61" s="5" t="s">
        <v>725</v>
      </c>
      <c r="C61" s="42" t="s">
        <v>363</v>
      </c>
      <c r="D61" s="2105">
        <v>1540</v>
      </c>
      <c r="E61" s="2" t="s">
        <v>167</v>
      </c>
    </row>
    <row r="62" spans="1:5" hidden="1">
      <c r="A62" s="2" t="s">
        <v>176</v>
      </c>
      <c r="B62" s="5" t="s">
        <v>175</v>
      </c>
      <c r="C62" s="42" t="s">
        <v>356</v>
      </c>
      <c r="D62" s="32">
        <v>45900</v>
      </c>
      <c r="E62" s="2" t="s">
        <v>176</v>
      </c>
    </row>
    <row r="63" spans="1:5" hidden="1">
      <c r="A63" s="471" t="s">
        <v>335</v>
      </c>
      <c r="B63" s="3" t="s">
        <v>728</v>
      </c>
      <c r="C63" s="50" t="s">
        <v>356</v>
      </c>
      <c r="D63" s="32">
        <v>229500</v>
      </c>
      <c r="E63" s="471" t="s">
        <v>335</v>
      </c>
    </row>
    <row r="64" spans="1:5" hidden="1">
      <c r="A64" s="471" t="s">
        <v>555</v>
      </c>
      <c r="B64" s="3" t="s">
        <v>556</v>
      </c>
      <c r="C64" s="50" t="s">
        <v>356</v>
      </c>
      <c r="D64" s="32">
        <v>265200</v>
      </c>
      <c r="E64" s="471" t="s">
        <v>555</v>
      </c>
    </row>
    <row r="65" spans="1:5" hidden="1">
      <c r="A65" s="471" t="s">
        <v>557</v>
      </c>
      <c r="B65" s="3" t="s">
        <v>558</v>
      </c>
      <c r="C65" s="50" t="s">
        <v>356</v>
      </c>
      <c r="D65" s="32">
        <v>20400</v>
      </c>
      <c r="E65" s="471" t="s">
        <v>557</v>
      </c>
    </row>
    <row r="66" spans="1:5" hidden="1">
      <c r="A66" s="471" t="s">
        <v>559</v>
      </c>
      <c r="B66" s="3" t="s">
        <v>560</v>
      </c>
      <c r="C66" s="50" t="s">
        <v>356</v>
      </c>
      <c r="D66" s="32">
        <v>252136</v>
      </c>
      <c r="E66" s="471" t="s">
        <v>559</v>
      </c>
    </row>
    <row r="67" spans="1:5" hidden="1">
      <c r="A67" s="2" t="s">
        <v>986</v>
      </c>
      <c r="B67" s="5" t="s">
        <v>987</v>
      </c>
      <c r="C67" s="50" t="s">
        <v>356</v>
      </c>
      <c r="D67" s="32">
        <v>35700</v>
      </c>
      <c r="E67" s="2" t="s">
        <v>986</v>
      </c>
    </row>
    <row r="68" spans="1:5" hidden="1">
      <c r="A68" s="2" t="s">
        <v>435</v>
      </c>
      <c r="B68" s="5" t="s">
        <v>436</v>
      </c>
      <c r="C68" s="50" t="s">
        <v>356</v>
      </c>
      <c r="D68" s="32">
        <v>37842</v>
      </c>
      <c r="E68" s="2" t="s">
        <v>435</v>
      </c>
    </row>
    <row r="69" spans="1:5" hidden="1">
      <c r="A69" s="2" t="s">
        <v>173</v>
      </c>
      <c r="B69" s="5" t="s">
        <v>174</v>
      </c>
      <c r="C69" s="6" t="s">
        <v>363</v>
      </c>
      <c r="D69" s="710">
        <v>1071</v>
      </c>
      <c r="E69" s="2" t="s">
        <v>173</v>
      </c>
    </row>
    <row r="70" spans="1:5" hidden="1">
      <c r="A70" s="2" t="s">
        <v>173</v>
      </c>
      <c r="B70" s="5" t="s">
        <v>3857</v>
      </c>
      <c r="C70" s="6" t="s">
        <v>363</v>
      </c>
      <c r="D70" s="710">
        <v>1224</v>
      </c>
      <c r="E70" s="2" t="s">
        <v>173</v>
      </c>
    </row>
    <row r="71" spans="1:5" hidden="1">
      <c r="A71" s="2" t="s">
        <v>1007</v>
      </c>
      <c r="B71" s="5" t="s">
        <v>1008</v>
      </c>
      <c r="C71" s="6" t="s">
        <v>363</v>
      </c>
      <c r="D71" s="2112">
        <v>561</v>
      </c>
      <c r="E71" s="2" t="s">
        <v>1007</v>
      </c>
    </row>
    <row r="72" spans="1:5" hidden="1">
      <c r="A72" s="2" t="s">
        <v>80</v>
      </c>
      <c r="B72" s="41" t="s">
        <v>81</v>
      </c>
      <c r="C72" s="2" t="s">
        <v>363</v>
      </c>
      <c r="D72" s="710">
        <v>202031.4</v>
      </c>
      <c r="E72" s="2" t="s">
        <v>80</v>
      </c>
    </row>
    <row r="73" spans="1:5">
      <c r="A73" s="13"/>
      <c r="B73" s="76"/>
      <c r="C73" s="14"/>
      <c r="D73" s="2113"/>
      <c r="E73" s="13"/>
    </row>
    <row r="74" spans="1:5">
      <c r="A74" s="1" t="s">
        <v>141</v>
      </c>
      <c r="B74" s="77" t="s">
        <v>371</v>
      </c>
      <c r="C74" s="49" t="s">
        <v>343</v>
      </c>
      <c r="D74" s="2107" t="s">
        <v>344</v>
      </c>
      <c r="E74" s="1" t="s">
        <v>141</v>
      </c>
    </row>
    <row r="75" spans="1:5">
      <c r="A75" s="2" t="s">
        <v>372</v>
      </c>
      <c r="B75" s="75" t="s">
        <v>373</v>
      </c>
      <c r="C75" s="50" t="s">
        <v>374</v>
      </c>
      <c r="D75" s="2105">
        <v>2300</v>
      </c>
      <c r="E75" s="2" t="s">
        <v>372</v>
      </c>
    </row>
    <row r="76" spans="1:5">
      <c r="A76" s="2" t="s">
        <v>375</v>
      </c>
      <c r="B76" s="3" t="s">
        <v>43</v>
      </c>
      <c r="C76" s="50" t="s">
        <v>860</v>
      </c>
      <c r="D76" s="2105">
        <v>13275</v>
      </c>
      <c r="E76" s="2" t="s">
        <v>375</v>
      </c>
    </row>
    <row r="77" spans="1:5">
      <c r="A77" s="2" t="s">
        <v>859</v>
      </c>
      <c r="B77" s="3" t="s">
        <v>861</v>
      </c>
      <c r="C77" s="50" t="s">
        <v>860</v>
      </c>
      <c r="D77" s="2105">
        <v>104140.5312</v>
      </c>
      <c r="E77" s="2" t="s">
        <v>859</v>
      </c>
    </row>
    <row r="78" spans="1:5">
      <c r="A78" s="2" t="s">
        <v>419</v>
      </c>
      <c r="B78" s="3" t="s">
        <v>420</v>
      </c>
      <c r="C78" s="50" t="s">
        <v>44</v>
      </c>
      <c r="D78" s="2105">
        <v>15264.4632</v>
      </c>
      <c r="E78" s="2" t="s">
        <v>419</v>
      </c>
    </row>
    <row r="79" spans="1:5">
      <c r="A79" s="2" t="s">
        <v>418</v>
      </c>
      <c r="B79" s="3" t="s">
        <v>421</v>
      </c>
      <c r="C79" s="50" t="s">
        <v>238</v>
      </c>
      <c r="D79" s="2105">
        <v>18605.82</v>
      </c>
      <c r="E79" s="2" t="s">
        <v>418</v>
      </c>
    </row>
    <row r="80" spans="1:5">
      <c r="A80" s="2" t="s">
        <v>177</v>
      </c>
      <c r="B80" s="5" t="s">
        <v>788</v>
      </c>
      <c r="C80" s="42" t="s">
        <v>45</v>
      </c>
      <c r="D80" s="2105">
        <v>1989</v>
      </c>
      <c r="E80" s="2" t="s">
        <v>177</v>
      </c>
    </row>
    <row r="81" spans="1:5">
      <c r="A81" s="5" t="s">
        <v>68</v>
      </c>
      <c r="B81" s="5" t="s">
        <v>789</v>
      </c>
      <c r="C81" s="42" t="s">
        <v>45</v>
      </c>
      <c r="D81" s="32">
        <v>3049.1063999999997</v>
      </c>
      <c r="E81" s="5" t="s">
        <v>68</v>
      </c>
    </row>
    <row r="82" spans="1:5">
      <c r="A82" s="2"/>
      <c r="B82" s="3"/>
      <c r="C82" s="50"/>
      <c r="D82" s="2105"/>
      <c r="E82" s="2"/>
    </row>
    <row r="83" spans="1:5" hidden="1">
      <c r="A83" s="2" t="s">
        <v>114</v>
      </c>
      <c r="B83" s="3" t="s">
        <v>152</v>
      </c>
      <c r="C83" s="50" t="s">
        <v>94</v>
      </c>
      <c r="D83" s="19">
        <v>13335.9375</v>
      </c>
      <c r="E83" s="2" t="s">
        <v>114</v>
      </c>
    </row>
    <row r="84" spans="1:5" hidden="1">
      <c r="A84" s="2" t="s">
        <v>76</v>
      </c>
      <c r="B84" s="3" t="s">
        <v>142</v>
      </c>
      <c r="C84" s="50" t="s">
        <v>94</v>
      </c>
      <c r="D84" s="2105">
        <v>15651.25</v>
      </c>
      <c r="E84" s="2" t="s">
        <v>76</v>
      </c>
    </row>
    <row r="85" spans="1:5" hidden="1">
      <c r="A85" s="2" t="s">
        <v>115</v>
      </c>
      <c r="B85" s="3" t="s">
        <v>153</v>
      </c>
      <c r="C85" s="50" t="s">
        <v>94</v>
      </c>
      <c r="D85" s="2105">
        <v>23351.25</v>
      </c>
      <c r="E85" s="2" t="s">
        <v>115</v>
      </c>
    </row>
    <row r="86" spans="1:5" hidden="1">
      <c r="A86" s="2" t="s">
        <v>116</v>
      </c>
      <c r="B86" s="3" t="s">
        <v>154</v>
      </c>
      <c r="C86" s="50" t="s">
        <v>94</v>
      </c>
      <c r="D86" s="2105">
        <v>38527.5</v>
      </c>
      <c r="E86" s="2" t="s">
        <v>116</v>
      </c>
    </row>
    <row r="87" spans="1:5" hidden="1">
      <c r="A87" s="2" t="s">
        <v>119</v>
      </c>
      <c r="B87" s="3" t="s">
        <v>155</v>
      </c>
      <c r="C87" s="50" t="s">
        <v>94</v>
      </c>
      <c r="D87" s="2105">
        <v>84125</v>
      </c>
      <c r="E87" s="2" t="s">
        <v>119</v>
      </c>
    </row>
    <row r="88" spans="1:5" hidden="1">
      <c r="A88" s="2" t="s">
        <v>120</v>
      </c>
      <c r="B88" s="3" t="s">
        <v>143</v>
      </c>
      <c r="C88" s="50" t="s">
        <v>94</v>
      </c>
      <c r="D88" s="2105">
        <v>102500</v>
      </c>
      <c r="E88" s="2" t="s">
        <v>120</v>
      </c>
    </row>
    <row r="89" spans="1:5" hidden="1">
      <c r="A89" s="2" t="s">
        <v>118</v>
      </c>
      <c r="B89" s="3" t="s">
        <v>144</v>
      </c>
      <c r="C89" s="50" t="s">
        <v>94</v>
      </c>
      <c r="D89" s="32">
        <v>224325</v>
      </c>
      <c r="E89" s="2" t="s">
        <v>118</v>
      </c>
    </row>
    <row r="90" spans="1:5" hidden="1">
      <c r="A90" s="2" t="s">
        <v>125</v>
      </c>
      <c r="B90" s="3" t="s">
        <v>145</v>
      </c>
      <c r="C90" s="50" t="s">
        <v>94</v>
      </c>
      <c r="D90" s="32">
        <v>313957.5</v>
      </c>
      <c r="E90" s="2" t="s">
        <v>125</v>
      </c>
    </row>
    <row r="91" spans="1:5" hidden="1">
      <c r="A91" s="2" t="s">
        <v>127</v>
      </c>
      <c r="B91" s="3" t="s">
        <v>128</v>
      </c>
      <c r="C91" s="50" t="s">
        <v>94</v>
      </c>
      <c r="D91" s="32">
        <v>389166.25</v>
      </c>
      <c r="E91" s="2" t="s">
        <v>127</v>
      </c>
    </row>
    <row r="92" spans="1:5" hidden="1">
      <c r="A92" s="2" t="s">
        <v>130</v>
      </c>
      <c r="B92" s="3" t="s">
        <v>129</v>
      </c>
      <c r="C92" s="50" t="s">
        <v>94</v>
      </c>
      <c r="D92" s="32">
        <v>510832.5</v>
      </c>
      <c r="E92" s="2" t="s">
        <v>130</v>
      </c>
    </row>
    <row r="93" spans="1:5" hidden="1">
      <c r="A93" s="2"/>
      <c r="B93" s="3"/>
      <c r="C93" s="50"/>
      <c r="D93" s="32">
        <v>0</v>
      </c>
      <c r="E93" s="2"/>
    </row>
    <row r="94" spans="1:5" hidden="1">
      <c r="A94" s="2" t="s">
        <v>121</v>
      </c>
      <c r="B94" s="3" t="s">
        <v>601</v>
      </c>
      <c r="C94" s="50" t="s">
        <v>45</v>
      </c>
      <c r="D94" s="32">
        <v>8957.5</v>
      </c>
      <c r="E94" s="2" t="s">
        <v>121</v>
      </c>
    </row>
    <row r="95" spans="1:5" hidden="1">
      <c r="A95" s="2" t="s">
        <v>122</v>
      </c>
      <c r="B95" s="3" t="s">
        <v>602</v>
      </c>
      <c r="C95" s="50" t="s">
        <v>45</v>
      </c>
      <c r="D95" s="32">
        <v>19478.75</v>
      </c>
      <c r="E95" s="2" t="s">
        <v>122</v>
      </c>
    </row>
    <row r="96" spans="1:5" hidden="1">
      <c r="A96" s="2" t="s">
        <v>123</v>
      </c>
      <c r="B96" s="3" t="s">
        <v>603</v>
      </c>
      <c r="C96" s="50" t="s">
        <v>45</v>
      </c>
      <c r="D96" s="32">
        <v>32165</v>
      </c>
      <c r="E96" s="2" t="s">
        <v>123</v>
      </c>
    </row>
    <row r="97" spans="1:5" hidden="1">
      <c r="A97" s="2" t="s">
        <v>117</v>
      </c>
      <c r="B97" s="3" t="s">
        <v>604</v>
      </c>
      <c r="C97" s="50" t="s">
        <v>45</v>
      </c>
      <c r="D97" s="32">
        <v>68903.75</v>
      </c>
      <c r="E97" s="2" t="s">
        <v>117</v>
      </c>
    </row>
    <row r="98" spans="1:5" hidden="1">
      <c r="A98" s="2" t="s">
        <v>199</v>
      </c>
      <c r="B98" s="3" t="s">
        <v>605</v>
      </c>
      <c r="C98" s="42" t="s">
        <v>45</v>
      </c>
      <c r="D98" s="32">
        <v>234166.25</v>
      </c>
      <c r="E98" s="2" t="s">
        <v>199</v>
      </c>
    </row>
    <row r="99" spans="1:5" hidden="1">
      <c r="A99" s="2" t="s">
        <v>124</v>
      </c>
      <c r="B99" s="3" t="s">
        <v>606</v>
      </c>
      <c r="C99" s="50" t="s">
        <v>45</v>
      </c>
      <c r="D99" s="32">
        <v>182291.25</v>
      </c>
      <c r="E99" s="2" t="s">
        <v>124</v>
      </c>
    </row>
    <row r="100" spans="1:5" hidden="1">
      <c r="A100" s="2" t="s">
        <v>126</v>
      </c>
      <c r="B100" s="3" t="s">
        <v>607</v>
      </c>
      <c r="C100" s="50" t="s">
        <v>45</v>
      </c>
      <c r="D100" s="32">
        <v>257197.5</v>
      </c>
      <c r="E100" s="2" t="s">
        <v>126</v>
      </c>
    </row>
    <row r="101" spans="1:5" hidden="1">
      <c r="A101" s="2"/>
      <c r="B101" s="3"/>
      <c r="C101" s="42"/>
      <c r="D101" s="32">
        <v>0</v>
      </c>
      <c r="E101" s="2"/>
    </row>
    <row r="102" spans="1:5" hidden="1">
      <c r="A102" s="2" t="s">
        <v>82</v>
      </c>
      <c r="B102" s="3" t="s">
        <v>608</v>
      </c>
      <c r="C102" s="50" t="s">
        <v>45</v>
      </c>
      <c r="D102" s="32">
        <v>15625</v>
      </c>
      <c r="E102" s="2" t="s">
        <v>82</v>
      </c>
    </row>
    <row r="103" spans="1:5" hidden="1">
      <c r="A103" s="2" t="s">
        <v>83</v>
      </c>
      <c r="B103" s="3" t="s">
        <v>609</v>
      </c>
      <c r="C103" s="50" t="s">
        <v>45</v>
      </c>
      <c r="D103" s="32">
        <v>25790</v>
      </c>
      <c r="E103" s="2" t="s">
        <v>83</v>
      </c>
    </row>
    <row r="104" spans="1:5" hidden="1">
      <c r="A104" s="2" t="s">
        <v>880</v>
      </c>
      <c r="B104" s="3" t="s">
        <v>610</v>
      </c>
      <c r="C104" s="50" t="s">
        <v>45</v>
      </c>
      <c r="D104" s="32">
        <v>56216.25</v>
      </c>
      <c r="E104" s="2" t="s">
        <v>880</v>
      </c>
    </row>
    <row r="105" spans="1:5" hidden="1">
      <c r="A105" s="2" t="s">
        <v>881</v>
      </c>
      <c r="B105" s="3" t="s">
        <v>611</v>
      </c>
      <c r="C105" s="42" t="s">
        <v>45</v>
      </c>
      <c r="D105" s="32">
        <v>95657.5</v>
      </c>
      <c r="E105" s="2" t="s">
        <v>881</v>
      </c>
    </row>
    <row r="106" spans="1:5" hidden="1">
      <c r="A106" s="2" t="s">
        <v>882</v>
      </c>
      <c r="B106" s="3" t="s">
        <v>612</v>
      </c>
      <c r="C106" s="50" t="s">
        <v>45</v>
      </c>
      <c r="D106" s="32">
        <v>149525</v>
      </c>
      <c r="E106" s="2" t="s">
        <v>882</v>
      </c>
    </row>
    <row r="107" spans="1:5" hidden="1">
      <c r="A107" s="2" t="s">
        <v>883</v>
      </c>
      <c r="B107" s="3" t="s">
        <v>613</v>
      </c>
      <c r="C107" s="50" t="s">
        <v>45</v>
      </c>
      <c r="D107" s="32">
        <v>210642.5</v>
      </c>
      <c r="E107" s="2" t="s">
        <v>883</v>
      </c>
    </row>
    <row r="108" spans="1:5" hidden="1">
      <c r="A108" s="2"/>
      <c r="B108" s="3"/>
      <c r="C108" s="50"/>
      <c r="D108" s="32">
        <v>0</v>
      </c>
      <c r="E108" s="2"/>
    </row>
    <row r="109" spans="1:5" hidden="1">
      <c r="A109" s="2" t="s">
        <v>884</v>
      </c>
      <c r="B109" s="3" t="s">
        <v>614</v>
      </c>
      <c r="C109" s="50" t="s">
        <v>45</v>
      </c>
      <c r="D109" s="2105">
        <v>21250</v>
      </c>
      <c r="E109" s="2" t="s">
        <v>884</v>
      </c>
    </row>
    <row r="110" spans="1:5" hidden="1">
      <c r="A110" s="2" t="s">
        <v>885</v>
      </c>
      <c r="B110" s="3" t="s">
        <v>615</v>
      </c>
      <c r="C110" s="50" t="s">
        <v>45</v>
      </c>
      <c r="D110" s="2105">
        <v>43230</v>
      </c>
      <c r="E110" s="2" t="s">
        <v>885</v>
      </c>
    </row>
    <row r="111" spans="1:5" hidden="1">
      <c r="A111" s="2" t="s">
        <v>886</v>
      </c>
      <c r="B111" s="3" t="s">
        <v>616</v>
      </c>
      <c r="C111" s="50" t="s">
        <v>45</v>
      </c>
      <c r="D111" s="2105">
        <v>76537.5</v>
      </c>
      <c r="E111" s="2" t="s">
        <v>886</v>
      </c>
    </row>
    <row r="112" spans="1:5" hidden="1">
      <c r="A112" s="2" t="s">
        <v>887</v>
      </c>
      <c r="B112" s="3" t="s">
        <v>617</v>
      </c>
      <c r="C112" s="50" t="s">
        <v>45</v>
      </c>
      <c r="D112" s="32">
        <v>119687.5</v>
      </c>
      <c r="E112" s="2" t="s">
        <v>887</v>
      </c>
    </row>
    <row r="113" spans="1:5" hidden="1">
      <c r="A113" s="2" t="s">
        <v>888</v>
      </c>
      <c r="B113" s="3" t="s">
        <v>618</v>
      </c>
      <c r="C113" s="50" t="s">
        <v>45</v>
      </c>
      <c r="D113" s="32">
        <v>169506.25</v>
      </c>
      <c r="E113" s="2" t="s">
        <v>888</v>
      </c>
    </row>
    <row r="114" spans="1:5" hidden="1">
      <c r="A114" s="2" t="s">
        <v>465</v>
      </c>
      <c r="B114" s="5" t="s">
        <v>466</v>
      </c>
      <c r="C114" s="62" t="s">
        <v>94</v>
      </c>
      <c r="D114" s="32">
        <v>1635.7739999999999</v>
      </c>
      <c r="E114" s="2" t="s">
        <v>465</v>
      </c>
    </row>
    <row r="115" spans="1:5" hidden="1">
      <c r="A115" s="2" t="s">
        <v>970</v>
      </c>
      <c r="B115" s="3" t="s">
        <v>969</v>
      </c>
      <c r="C115" s="6" t="s">
        <v>363</v>
      </c>
      <c r="D115" s="32">
        <v>10990.448999999999</v>
      </c>
      <c r="E115" s="2" t="s">
        <v>970</v>
      </c>
    </row>
    <row r="116" spans="1:5" hidden="1">
      <c r="A116" s="471" t="s">
        <v>656</v>
      </c>
      <c r="B116" s="3" t="s">
        <v>655</v>
      </c>
      <c r="C116" s="6" t="s">
        <v>363</v>
      </c>
      <c r="D116" s="710">
        <v>80800.728000000003</v>
      </c>
      <c r="E116" s="471" t="s">
        <v>656</v>
      </c>
    </row>
    <row r="117" spans="1:5" hidden="1">
      <c r="A117" s="2"/>
      <c r="B117" s="3"/>
      <c r="C117" s="50"/>
      <c r="D117" s="32">
        <v>0</v>
      </c>
      <c r="E117" s="2"/>
    </row>
    <row r="118" spans="1:5" hidden="1">
      <c r="A118" s="471" t="s">
        <v>890</v>
      </c>
      <c r="B118" s="3" t="s">
        <v>889</v>
      </c>
      <c r="C118" s="50" t="s">
        <v>363</v>
      </c>
      <c r="D118" s="32">
        <v>467500</v>
      </c>
      <c r="E118" s="471" t="s">
        <v>890</v>
      </c>
    </row>
    <row r="119" spans="1:5" hidden="1">
      <c r="A119" s="471" t="s">
        <v>523</v>
      </c>
      <c r="B119" s="3" t="s">
        <v>722</v>
      </c>
      <c r="C119" s="50" t="s">
        <v>363</v>
      </c>
      <c r="D119" s="32">
        <v>261936.25</v>
      </c>
      <c r="E119" s="471" t="s">
        <v>523</v>
      </c>
    </row>
    <row r="120" spans="1:5" hidden="1">
      <c r="A120" s="2" t="s">
        <v>209</v>
      </c>
      <c r="B120" s="3" t="s">
        <v>210</v>
      </c>
      <c r="C120" s="50" t="s">
        <v>363</v>
      </c>
      <c r="D120" s="2105">
        <v>142572.5</v>
      </c>
      <c r="E120" s="2" t="s">
        <v>209</v>
      </c>
    </row>
    <row r="121" spans="1:5" hidden="1">
      <c r="A121" s="471" t="s">
        <v>211</v>
      </c>
      <c r="B121" s="3" t="s">
        <v>212</v>
      </c>
      <c r="C121" s="50" t="s">
        <v>363</v>
      </c>
      <c r="D121" s="2105">
        <v>59685</v>
      </c>
      <c r="E121" s="471" t="s">
        <v>211</v>
      </c>
    </row>
    <row r="122" spans="1:5" hidden="1">
      <c r="A122" s="471" t="s">
        <v>213</v>
      </c>
      <c r="B122" s="3" t="s">
        <v>214</v>
      </c>
      <c r="C122" s="50" t="s">
        <v>363</v>
      </c>
      <c r="D122" s="2105">
        <v>36720</v>
      </c>
      <c r="E122" s="471" t="s">
        <v>213</v>
      </c>
    </row>
    <row r="123" spans="1:5" hidden="1">
      <c r="A123" s="471" t="s">
        <v>60</v>
      </c>
      <c r="B123" s="3" t="s">
        <v>61</v>
      </c>
      <c r="C123" s="50" t="s">
        <v>363</v>
      </c>
      <c r="D123" s="2105">
        <v>21443.75</v>
      </c>
      <c r="E123" s="471" t="s">
        <v>60</v>
      </c>
    </row>
    <row r="124" spans="1:5">
      <c r="A124" s="471"/>
      <c r="B124" s="2020" t="s">
        <v>6473</v>
      </c>
      <c r="C124" s="50" t="s">
        <v>363</v>
      </c>
      <c r="D124" s="2109">
        <f>1160800*1.19</f>
        <v>1381352</v>
      </c>
      <c r="E124" s="471"/>
    </row>
    <row r="125" spans="1:5">
      <c r="A125" s="471" t="s">
        <v>103</v>
      </c>
      <c r="B125" s="2020" t="s">
        <v>6460</v>
      </c>
      <c r="C125" s="50" t="s">
        <v>363</v>
      </c>
      <c r="D125" s="2023">
        <f>709990*1.19</f>
        <v>844888.1</v>
      </c>
      <c r="E125" s="471" t="s">
        <v>103</v>
      </c>
    </row>
    <row r="126" spans="1:5">
      <c r="A126" s="471"/>
      <c r="B126" s="2020" t="s">
        <v>6474</v>
      </c>
      <c r="C126" s="50" t="s">
        <v>363</v>
      </c>
      <c r="D126" s="2023">
        <f>387500*1.19</f>
        <v>461125</v>
      </c>
      <c r="E126" s="471"/>
    </row>
    <row r="127" spans="1:5">
      <c r="A127" s="471"/>
      <c r="B127" s="2020" t="s">
        <v>6476</v>
      </c>
      <c r="C127" s="50" t="s">
        <v>363</v>
      </c>
      <c r="D127" s="2023">
        <f>227500*1.19</f>
        <v>270725</v>
      </c>
      <c r="E127" s="471"/>
    </row>
    <row r="128" spans="1:5">
      <c r="A128" s="471" t="s">
        <v>414</v>
      </c>
      <c r="B128" s="3" t="s">
        <v>282</v>
      </c>
      <c r="C128" s="50" t="s">
        <v>363</v>
      </c>
      <c r="D128" s="32">
        <v>306250</v>
      </c>
      <c r="E128" s="471" t="s">
        <v>414</v>
      </c>
    </row>
    <row r="129" spans="1:5">
      <c r="A129" s="471" t="s">
        <v>891</v>
      </c>
      <c r="B129" s="3" t="s">
        <v>233</v>
      </c>
      <c r="C129" s="50" t="s">
        <v>363</v>
      </c>
      <c r="D129" s="32">
        <v>193750</v>
      </c>
      <c r="E129" s="471" t="s">
        <v>891</v>
      </c>
    </row>
    <row r="130" spans="1:5">
      <c r="A130" s="471" t="s">
        <v>441</v>
      </c>
      <c r="B130" s="3" t="s">
        <v>411</v>
      </c>
      <c r="C130" s="50" t="s">
        <v>363</v>
      </c>
      <c r="D130" s="32">
        <v>25388.75</v>
      </c>
      <c r="E130" s="471" t="s">
        <v>441</v>
      </c>
    </row>
    <row r="131" spans="1:5">
      <c r="A131" s="471" t="s">
        <v>619</v>
      </c>
      <c r="B131" s="3" t="s">
        <v>412</v>
      </c>
      <c r="C131" s="50" t="s">
        <v>363</v>
      </c>
      <c r="D131" s="32">
        <v>42057.5</v>
      </c>
      <c r="E131" s="471" t="s">
        <v>619</v>
      </c>
    </row>
    <row r="132" spans="1:5">
      <c r="A132" s="471" t="s">
        <v>742</v>
      </c>
      <c r="B132" s="3" t="s">
        <v>413</v>
      </c>
      <c r="C132" s="50" t="s">
        <v>363</v>
      </c>
      <c r="D132" s="32">
        <v>72117.5</v>
      </c>
      <c r="E132" s="471" t="s">
        <v>742</v>
      </c>
    </row>
    <row r="133" spans="1:5">
      <c r="A133" s="471"/>
      <c r="B133" s="3"/>
      <c r="C133" s="50"/>
      <c r="D133" s="32"/>
      <c r="E133" s="471"/>
    </row>
    <row r="134" spans="1:5">
      <c r="A134" s="471"/>
      <c r="B134" s="2019" t="s">
        <v>4836</v>
      </c>
      <c r="C134" s="50" t="s">
        <v>363</v>
      </c>
      <c r="D134" s="2023">
        <f>555000*1.19</f>
        <v>660450</v>
      </c>
      <c r="E134" s="471"/>
    </row>
    <row r="135" spans="1:5">
      <c r="A135" s="471"/>
      <c r="B135" s="2019" t="s">
        <v>7142</v>
      </c>
      <c r="C135" s="50" t="s">
        <v>363</v>
      </c>
      <c r="D135" s="2023">
        <f>230000*1.19</f>
        <v>273700</v>
      </c>
      <c r="E135" s="471"/>
    </row>
    <row r="136" spans="1:5">
      <c r="A136" s="471"/>
      <c r="B136" s="2019" t="s">
        <v>7133</v>
      </c>
      <c r="C136" s="50" t="s">
        <v>363</v>
      </c>
      <c r="D136" s="2023">
        <f>989000*1.19</f>
        <v>1176910</v>
      </c>
      <c r="E136" s="471"/>
    </row>
    <row r="137" spans="1:5">
      <c r="A137" s="471"/>
      <c r="B137" s="2019" t="s">
        <v>6605</v>
      </c>
      <c r="C137" s="50" t="s">
        <v>363</v>
      </c>
      <c r="D137" s="2023">
        <f>390000*1.19</f>
        <v>464100</v>
      </c>
      <c r="E137" s="471"/>
    </row>
    <row r="138" spans="1:5">
      <c r="A138" s="471"/>
      <c r="B138" s="2019" t="s">
        <v>6631</v>
      </c>
      <c r="C138" s="50" t="s">
        <v>363</v>
      </c>
      <c r="D138" s="2023">
        <f>499000*1.19</f>
        <v>593810</v>
      </c>
      <c r="E138" s="471"/>
    </row>
    <row r="139" spans="1:5">
      <c r="A139" s="471"/>
      <c r="B139" s="2019" t="s">
        <v>4491</v>
      </c>
      <c r="C139" s="50" t="s">
        <v>363</v>
      </c>
      <c r="D139" s="2023">
        <f>3120000*1.19</f>
        <v>3712800</v>
      </c>
      <c r="E139" s="471"/>
    </row>
    <row r="140" spans="1:5">
      <c r="A140" s="471"/>
      <c r="B140" s="3"/>
      <c r="C140" s="50"/>
      <c r="D140" s="32"/>
      <c r="E140" s="471"/>
    </row>
    <row r="141" spans="1:5" hidden="1">
      <c r="A141" s="471" t="s">
        <v>870</v>
      </c>
      <c r="B141" s="5" t="s">
        <v>869</v>
      </c>
      <c r="C141" s="50" t="s">
        <v>363</v>
      </c>
      <c r="D141" s="32">
        <v>320.94299999999998</v>
      </c>
      <c r="E141" s="471" t="s">
        <v>870</v>
      </c>
    </row>
    <row r="142" spans="1:5" hidden="1">
      <c r="A142" s="471" t="s">
        <v>994</v>
      </c>
      <c r="B142" s="5" t="s">
        <v>995</v>
      </c>
      <c r="C142" s="50" t="s">
        <v>363</v>
      </c>
      <c r="D142" s="32">
        <v>4296.4949999999999</v>
      </c>
      <c r="E142" s="471" t="s">
        <v>994</v>
      </c>
    </row>
    <row r="143" spans="1:5" hidden="1">
      <c r="A143" s="471" t="s">
        <v>201</v>
      </c>
      <c r="B143" s="5" t="s">
        <v>200</v>
      </c>
      <c r="C143" s="50" t="s">
        <v>363</v>
      </c>
      <c r="D143" s="32">
        <v>16891.659</v>
      </c>
      <c r="E143" s="471" t="s">
        <v>201</v>
      </c>
    </row>
    <row r="144" spans="1:5" hidden="1">
      <c r="A144" s="471" t="s">
        <v>334</v>
      </c>
      <c r="B144" s="5" t="s">
        <v>333</v>
      </c>
      <c r="C144" s="50" t="s">
        <v>363</v>
      </c>
      <c r="D144" s="32">
        <v>31069.353000000003</v>
      </c>
      <c r="E144" s="471" t="s">
        <v>334</v>
      </c>
    </row>
    <row r="145" spans="1:5" hidden="1">
      <c r="A145" s="471" t="s">
        <v>778</v>
      </c>
      <c r="B145" s="41" t="s">
        <v>636</v>
      </c>
      <c r="C145" s="50" t="s">
        <v>363</v>
      </c>
      <c r="D145" s="32">
        <v>4086.4769999999999</v>
      </c>
      <c r="E145" s="471" t="s">
        <v>778</v>
      </c>
    </row>
    <row r="146" spans="1:5" hidden="1">
      <c r="A146" s="2" t="s">
        <v>298</v>
      </c>
      <c r="B146" s="41" t="s">
        <v>299</v>
      </c>
      <c r="C146" s="50" t="s">
        <v>363</v>
      </c>
      <c r="D146" s="32">
        <v>23208.467999999997</v>
      </c>
      <c r="E146" s="2" t="s">
        <v>298</v>
      </c>
    </row>
    <row r="147" spans="1:5" hidden="1">
      <c r="A147" s="2"/>
      <c r="B147" s="41"/>
      <c r="C147" s="2110"/>
      <c r="D147" s="32"/>
      <c r="E147" s="2"/>
    </row>
    <row r="148" spans="1:5" hidden="1">
      <c r="A148" s="471" t="s">
        <v>467</v>
      </c>
      <c r="B148" s="41" t="s">
        <v>468</v>
      </c>
      <c r="C148" s="2110" t="s">
        <v>45</v>
      </c>
      <c r="D148" s="32">
        <v>37034.160000000003</v>
      </c>
      <c r="E148" s="471" t="s">
        <v>467</v>
      </c>
    </row>
    <row r="149" spans="1:5" hidden="1">
      <c r="A149" s="2"/>
      <c r="B149" s="41"/>
      <c r="C149" s="2110"/>
      <c r="D149" s="32"/>
      <c r="E149" s="2"/>
    </row>
    <row r="150" spans="1:5" hidden="1">
      <c r="A150" s="2" t="s">
        <v>253</v>
      </c>
      <c r="B150" s="5" t="s">
        <v>254</v>
      </c>
      <c r="C150" s="2" t="s">
        <v>45</v>
      </c>
      <c r="D150" s="32">
        <v>3845.4</v>
      </c>
      <c r="E150" s="2" t="s">
        <v>253</v>
      </c>
    </row>
    <row r="151" spans="1:5" hidden="1">
      <c r="A151" s="2"/>
      <c r="B151" s="5"/>
      <c r="C151" s="2"/>
      <c r="D151" s="32">
        <v>0</v>
      </c>
      <c r="E151" s="2"/>
    </row>
    <row r="152" spans="1:5" hidden="1">
      <c r="A152" s="2" t="s">
        <v>293</v>
      </c>
      <c r="B152" s="5" t="s">
        <v>285</v>
      </c>
      <c r="C152" s="2" t="s">
        <v>94</v>
      </c>
      <c r="D152" s="32">
        <v>1586</v>
      </c>
      <c r="E152" s="2" t="s">
        <v>293</v>
      </c>
    </row>
    <row r="153" spans="1:5" hidden="1">
      <c r="A153" s="2" t="s">
        <v>294</v>
      </c>
      <c r="B153" s="5" t="s">
        <v>1017</v>
      </c>
      <c r="C153" s="2" t="s">
        <v>94</v>
      </c>
      <c r="D153" s="32">
        <v>2684</v>
      </c>
      <c r="E153" s="2" t="s">
        <v>294</v>
      </c>
    </row>
    <row r="154" spans="1:5" hidden="1">
      <c r="A154" s="2" t="s">
        <v>295</v>
      </c>
      <c r="B154" s="5" t="s">
        <v>292</v>
      </c>
      <c r="C154" s="2" t="s">
        <v>94</v>
      </c>
      <c r="D154" s="32">
        <v>4514</v>
      </c>
      <c r="E154" s="2" t="s">
        <v>295</v>
      </c>
    </row>
    <row r="155" spans="1:5" hidden="1">
      <c r="A155" s="2"/>
      <c r="B155" s="5"/>
      <c r="C155" s="2"/>
      <c r="D155" s="32">
        <v>0</v>
      </c>
      <c r="E155" s="2"/>
    </row>
    <row r="156" spans="1:5" hidden="1">
      <c r="A156" s="2" t="s">
        <v>286</v>
      </c>
      <c r="B156" s="5" t="s">
        <v>255</v>
      </c>
      <c r="C156" s="2" t="s">
        <v>94</v>
      </c>
      <c r="D156" s="32">
        <v>8906</v>
      </c>
      <c r="E156" s="2" t="s">
        <v>286</v>
      </c>
    </row>
    <row r="157" spans="1:5" hidden="1">
      <c r="A157" s="2" t="s">
        <v>287</v>
      </c>
      <c r="B157" s="5" t="s">
        <v>432</v>
      </c>
      <c r="C157" s="2" t="s">
        <v>94</v>
      </c>
      <c r="D157" s="32">
        <v>17934</v>
      </c>
      <c r="E157" s="2" t="s">
        <v>287</v>
      </c>
    </row>
    <row r="158" spans="1:5" hidden="1">
      <c r="A158" s="2" t="s">
        <v>288</v>
      </c>
      <c r="B158" s="5" t="s">
        <v>433</v>
      </c>
      <c r="C158" s="2" t="s">
        <v>94</v>
      </c>
      <c r="D158" s="32">
        <v>19520</v>
      </c>
      <c r="E158" s="2" t="s">
        <v>288</v>
      </c>
    </row>
    <row r="159" spans="1:5" hidden="1">
      <c r="A159" s="2"/>
      <c r="B159" s="5" t="s">
        <v>475</v>
      </c>
      <c r="C159" s="2" t="s">
        <v>94</v>
      </c>
      <c r="D159" s="32">
        <v>25448.75</v>
      </c>
      <c r="E159" s="2"/>
    </row>
    <row r="160" spans="1:5" hidden="1">
      <c r="A160" s="2" t="s">
        <v>289</v>
      </c>
      <c r="B160" s="5" t="s">
        <v>434</v>
      </c>
      <c r="C160" s="2" t="s">
        <v>94</v>
      </c>
      <c r="D160" s="32">
        <v>39650</v>
      </c>
      <c r="E160" s="2" t="s">
        <v>289</v>
      </c>
    </row>
    <row r="161" spans="1:9" hidden="1">
      <c r="A161" s="2" t="s">
        <v>290</v>
      </c>
      <c r="B161" s="5" t="s">
        <v>660</v>
      </c>
      <c r="C161" s="2" t="s">
        <v>94</v>
      </c>
      <c r="D161" s="32">
        <v>61000</v>
      </c>
      <c r="E161" s="2" t="s">
        <v>290</v>
      </c>
    </row>
    <row r="162" spans="1:9" hidden="1">
      <c r="A162" s="2" t="s">
        <v>291</v>
      </c>
      <c r="B162" s="5" t="s">
        <v>661</v>
      </c>
      <c r="C162" s="2" t="s">
        <v>94</v>
      </c>
      <c r="D162" s="32">
        <v>91744</v>
      </c>
      <c r="E162" s="2" t="s">
        <v>291</v>
      </c>
    </row>
    <row r="163" spans="1:9">
      <c r="A163" s="2"/>
      <c r="B163" s="5"/>
      <c r="C163" s="2"/>
      <c r="D163" s="32"/>
      <c r="E163" s="2"/>
    </row>
    <row r="164" spans="1:9">
      <c r="A164" s="2"/>
      <c r="B164" s="2124" t="s">
        <v>6928</v>
      </c>
      <c r="C164" s="2"/>
      <c r="D164" s="32"/>
      <c r="E164" s="2"/>
    </row>
    <row r="165" spans="1:9">
      <c r="A165" s="2"/>
      <c r="B165" s="2020" t="s">
        <v>1264</v>
      </c>
      <c r="C165" s="2" t="s">
        <v>94</v>
      </c>
      <c r="D165" s="2023">
        <f>752405/6*0.9</f>
        <v>112860.75</v>
      </c>
      <c r="E165" s="2"/>
    </row>
    <row r="166" spans="1:9">
      <c r="A166" s="2"/>
      <c r="B166" s="2020" t="s">
        <v>1265</v>
      </c>
      <c r="C166" s="2" t="s">
        <v>94</v>
      </c>
      <c r="D166" s="2023">
        <f>444190/6*0.9</f>
        <v>66628.5</v>
      </c>
      <c r="E166" s="2"/>
    </row>
    <row r="167" spans="1:9">
      <c r="A167" s="2"/>
      <c r="B167" s="2020"/>
      <c r="C167" s="2"/>
      <c r="D167" s="2023"/>
      <c r="E167" s="2"/>
    </row>
    <row r="168" spans="1:9">
      <c r="A168" s="2"/>
      <c r="B168" s="5"/>
      <c r="C168" s="2"/>
      <c r="D168" s="32"/>
      <c r="E168" s="2"/>
    </row>
    <row r="169" spans="1:9">
      <c r="A169" s="2"/>
      <c r="B169" s="2124" t="s">
        <v>6495</v>
      </c>
      <c r="C169" s="2"/>
      <c r="D169" s="32"/>
      <c r="E169" s="2"/>
    </row>
    <row r="170" spans="1:9">
      <c r="A170" s="2"/>
      <c r="B170" s="2020" t="s">
        <v>6433</v>
      </c>
      <c r="C170" s="1457" t="s">
        <v>94</v>
      </c>
      <c r="D170" s="2023">
        <f>57227*1.19</f>
        <v>68100.12999999999</v>
      </c>
      <c r="E170" s="2"/>
      <c r="G170"/>
      <c r="H170"/>
      <c r="I170"/>
    </row>
    <row r="171" spans="1:9">
      <c r="A171" s="2"/>
      <c r="B171" s="2660" t="s">
        <v>8551</v>
      </c>
      <c r="C171" s="2661" t="s">
        <v>94</v>
      </c>
      <c r="D171" s="2662">
        <f>118280*1.19</f>
        <v>140753.19999999998</v>
      </c>
      <c r="E171" s="2"/>
      <c r="G171"/>
      <c r="H171"/>
      <c r="I171"/>
    </row>
    <row r="172" spans="1:9">
      <c r="A172" s="2"/>
      <c r="B172" s="2660" t="s">
        <v>8549</v>
      </c>
      <c r="C172" s="2661" t="s">
        <v>94</v>
      </c>
      <c r="D172" s="2662">
        <f>186064*1.19</f>
        <v>221416.16</v>
      </c>
      <c r="E172" s="2"/>
      <c r="G172"/>
      <c r="H172"/>
      <c r="I172"/>
    </row>
    <row r="173" spans="1:9">
      <c r="A173" s="2"/>
      <c r="B173" s="2835" t="s">
        <v>8765</v>
      </c>
      <c r="C173" s="2836" t="s">
        <v>94</v>
      </c>
      <c r="D173" s="2840">
        <f>408425*1.19</f>
        <v>486025.75</v>
      </c>
      <c r="E173" s="2"/>
      <c r="G173"/>
      <c r="H173"/>
      <c r="I173"/>
    </row>
    <row r="174" spans="1:9">
      <c r="A174" s="2"/>
      <c r="B174" s="2835" t="s">
        <v>8550</v>
      </c>
      <c r="C174" s="2836" t="s">
        <v>94</v>
      </c>
      <c r="D174" s="2839">
        <f>351411*1.19</f>
        <v>418179.08999999997</v>
      </c>
      <c r="E174" s="2"/>
      <c r="F174" s="2402"/>
      <c r="G174"/>
      <c r="H174"/>
      <c r="I174"/>
    </row>
    <row r="175" spans="1:9">
      <c r="A175" s="2"/>
      <c r="B175" s="2837" t="s">
        <v>8732</v>
      </c>
      <c r="C175" s="2836" t="s">
        <v>94</v>
      </c>
      <c r="D175" s="2839">
        <f>280530*1.19</f>
        <v>333830.7</v>
      </c>
      <c r="E175" s="2"/>
      <c r="F175" s="2402"/>
      <c r="G175"/>
      <c r="H175"/>
      <c r="I175"/>
    </row>
    <row r="176" spans="1:9">
      <c r="A176" s="2"/>
      <c r="B176" s="2837" t="s">
        <v>8733</v>
      </c>
      <c r="C176" s="2836" t="s">
        <v>94</v>
      </c>
      <c r="D176" s="2839">
        <f>238095*1.19</f>
        <v>283333.05</v>
      </c>
      <c r="E176" s="2"/>
      <c r="F176" s="2402"/>
      <c r="G176"/>
      <c r="H176"/>
      <c r="I176"/>
    </row>
    <row r="177" spans="1:9">
      <c r="A177" s="2"/>
      <c r="B177" s="2837" t="s">
        <v>8734</v>
      </c>
      <c r="C177" s="2836" t="s">
        <v>94</v>
      </c>
      <c r="D177" s="2839">
        <f>188280*1.19</f>
        <v>224053.19999999998</v>
      </c>
      <c r="E177" s="2"/>
      <c r="F177" s="2402"/>
      <c r="G177"/>
      <c r="H177"/>
      <c r="I177"/>
    </row>
    <row r="178" spans="1:9">
      <c r="A178" s="2"/>
      <c r="B178" s="2837" t="s">
        <v>8756</v>
      </c>
      <c r="C178" s="2836" t="s">
        <v>94</v>
      </c>
      <c r="D178" s="2839">
        <f>120528*1.19</f>
        <v>143428.32</v>
      </c>
      <c r="E178" s="2"/>
      <c r="F178" s="2402"/>
      <c r="G178"/>
      <c r="H178"/>
      <c r="I178"/>
    </row>
    <row r="179" spans="1:9">
      <c r="A179" s="2"/>
      <c r="B179" s="2837" t="s">
        <v>8757</v>
      </c>
      <c r="C179" s="2836" t="s">
        <v>94</v>
      </c>
      <c r="D179" s="2839">
        <f>62460*1.19</f>
        <v>74327.399999999994</v>
      </c>
      <c r="E179" s="2"/>
      <c r="F179" s="2402"/>
      <c r="G179"/>
      <c r="H179"/>
      <c r="I179"/>
    </row>
    <row r="180" spans="1:9">
      <c r="A180" s="2"/>
      <c r="B180" s="2837" t="s">
        <v>8758</v>
      </c>
      <c r="C180" s="2836" t="s">
        <v>94</v>
      </c>
      <c r="D180" s="2839">
        <f>55036*1.19</f>
        <v>65492.84</v>
      </c>
      <c r="E180" s="2"/>
      <c r="F180" s="2402"/>
      <c r="G180"/>
      <c r="H180"/>
      <c r="I180"/>
    </row>
    <row r="181" spans="1:9">
      <c r="A181" s="2"/>
      <c r="B181" s="2838" t="s">
        <v>8759</v>
      </c>
      <c r="C181" s="2836" t="s">
        <v>94</v>
      </c>
      <c r="D181" s="2839">
        <f>41877*1.19</f>
        <v>49833.63</v>
      </c>
      <c r="E181" s="2"/>
      <c r="F181" s="2402"/>
      <c r="G181"/>
      <c r="H181"/>
      <c r="I181"/>
    </row>
    <row r="182" spans="1:9">
      <c r="A182" s="2"/>
      <c r="B182" s="2838" t="s">
        <v>8760</v>
      </c>
      <c r="C182" s="2836" t="s">
        <v>94</v>
      </c>
      <c r="D182" s="2839">
        <f>36659*1.19</f>
        <v>43624.21</v>
      </c>
      <c r="E182" s="2"/>
      <c r="F182" s="2402"/>
      <c r="G182"/>
      <c r="H182"/>
      <c r="I182"/>
    </row>
    <row r="183" spans="1:9">
      <c r="A183" s="2"/>
      <c r="B183" s="2838" t="s">
        <v>8761</v>
      </c>
      <c r="C183" s="2836" t="s">
        <v>94</v>
      </c>
      <c r="D183" s="2839">
        <f>29898*1.19</f>
        <v>35578.619999999995</v>
      </c>
      <c r="E183" s="2"/>
      <c r="F183" s="2402"/>
      <c r="G183"/>
      <c r="H183"/>
      <c r="I183"/>
    </row>
    <row r="184" spans="1:9">
      <c r="A184" s="2"/>
      <c r="B184" s="2838" t="s">
        <v>8776</v>
      </c>
      <c r="C184" s="2836" t="s">
        <v>94</v>
      </c>
      <c r="D184" s="2839">
        <f>39875*1.19</f>
        <v>47451.25</v>
      </c>
      <c r="E184" s="2"/>
      <c r="F184" s="2402"/>
      <c r="G184"/>
      <c r="H184"/>
      <c r="I184"/>
    </row>
    <row r="185" spans="1:9">
      <c r="A185" s="2"/>
      <c r="B185" s="5"/>
      <c r="C185" s="2"/>
      <c r="D185" s="32"/>
      <c r="E185" s="2"/>
      <c r="G185"/>
      <c r="H185"/>
      <c r="I185"/>
    </row>
    <row r="186" spans="1:9">
      <c r="A186" s="2"/>
      <c r="B186" s="2124" t="s">
        <v>6496</v>
      </c>
      <c r="C186" s="62"/>
      <c r="D186" s="32"/>
      <c r="E186" s="2"/>
    </row>
    <row r="187" spans="1:9">
      <c r="A187" s="2"/>
      <c r="B187" s="2020" t="s">
        <v>6497</v>
      </c>
      <c r="C187" s="2123" t="s">
        <v>94</v>
      </c>
      <c r="D187" s="2023">
        <v>805623</v>
      </c>
      <c r="E187" s="2"/>
    </row>
    <row r="188" spans="1:9">
      <c r="A188" s="2"/>
      <c r="B188" s="2020" t="s">
        <v>6523</v>
      </c>
      <c r="C188" s="2123" t="s">
        <v>94</v>
      </c>
      <c r="D188" s="2023">
        <v>998563</v>
      </c>
      <c r="E188" s="2"/>
    </row>
    <row r="189" spans="1:9">
      <c r="A189" s="2"/>
      <c r="B189" s="2020"/>
      <c r="C189" s="2123"/>
      <c r="D189" s="2023"/>
      <c r="E189" s="2"/>
    </row>
    <row r="190" spans="1:9">
      <c r="A190" s="2"/>
      <c r="B190" s="2124" t="s">
        <v>6665</v>
      </c>
      <c r="C190" s="2123"/>
      <c r="D190" s="2023"/>
      <c r="E190" s="2"/>
    </row>
    <row r="191" spans="1:9">
      <c r="A191" s="2"/>
      <c r="B191" s="2020" t="s">
        <v>6663</v>
      </c>
      <c r="C191" s="2123" t="s">
        <v>94</v>
      </c>
      <c r="D191" s="2023">
        <f>26711*1.19</f>
        <v>31786.09</v>
      </c>
      <c r="E191" s="2"/>
    </row>
    <row r="192" spans="1:9">
      <c r="A192" s="2"/>
      <c r="B192" s="5"/>
      <c r="C192" s="62"/>
      <c r="D192" s="32"/>
      <c r="E192" s="2"/>
    </row>
    <row r="193" spans="1:5">
      <c r="A193" s="2"/>
      <c r="B193" s="2020" t="s">
        <v>6517</v>
      </c>
      <c r="C193" s="2123" t="s">
        <v>133</v>
      </c>
      <c r="D193" s="2023">
        <f>1018755*1.19</f>
        <v>1212318.45</v>
      </c>
      <c r="E193" s="2" t="s">
        <v>898</v>
      </c>
    </row>
    <row r="194" spans="1:5">
      <c r="A194" s="2"/>
      <c r="B194" s="2020" t="s">
        <v>6521</v>
      </c>
      <c r="C194" s="2123" t="s">
        <v>133</v>
      </c>
      <c r="D194" s="2023">
        <f>184954*1.19</f>
        <v>220095.25999999998</v>
      </c>
      <c r="E194" s="2"/>
    </row>
    <row r="195" spans="1:5">
      <c r="A195" s="2"/>
      <c r="B195" s="2020" t="s">
        <v>6513</v>
      </c>
      <c r="C195" s="2123" t="s">
        <v>133</v>
      </c>
      <c r="D195" s="2023">
        <f>107697*1.19</f>
        <v>128159.43</v>
      </c>
      <c r="E195" s="2"/>
    </row>
    <row r="196" spans="1:5">
      <c r="A196" s="2"/>
      <c r="B196" s="2020" t="s">
        <v>6514</v>
      </c>
      <c r="C196" s="2123" t="s">
        <v>133</v>
      </c>
      <c r="D196" s="2023">
        <f>154912*1.19</f>
        <v>184345.28</v>
      </c>
      <c r="E196" s="2"/>
    </row>
    <row r="197" spans="1:5">
      <c r="A197" s="2"/>
      <c r="B197" s="2020" t="s">
        <v>6515</v>
      </c>
      <c r="C197" s="2123" t="s">
        <v>133</v>
      </c>
      <c r="D197" s="2023">
        <f>154912*1.19</f>
        <v>184345.28</v>
      </c>
      <c r="E197" s="2"/>
    </row>
    <row r="198" spans="1:5" hidden="1">
      <c r="A198" s="2" t="s">
        <v>543</v>
      </c>
      <c r="B198" s="5" t="s">
        <v>544</v>
      </c>
      <c r="C198" s="62" t="s">
        <v>133</v>
      </c>
      <c r="D198" s="32">
        <v>729068</v>
      </c>
      <c r="E198" s="2" t="s">
        <v>543</v>
      </c>
    </row>
    <row r="199" spans="1:5" hidden="1">
      <c r="A199" s="2" t="s">
        <v>545</v>
      </c>
      <c r="B199" s="5" t="s">
        <v>546</v>
      </c>
      <c r="C199" s="62" t="s">
        <v>133</v>
      </c>
      <c r="D199" s="32">
        <v>549000</v>
      </c>
      <c r="E199" s="2" t="s">
        <v>545</v>
      </c>
    </row>
    <row r="200" spans="1:5" hidden="1">
      <c r="A200" s="2" t="s">
        <v>898</v>
      </c>
      <c r="B200" s="5" t="s">
        <v>899</v>
      </c>
      <c r="C200" s="62" t="s">
        <v>133</v>
      </c>
      <c r="D200" s="32">
        <v>1780120</v>
      </c>
      <c r="E200" s="2" t="s">
        <v>898</v>
      </c>
    </row>
    <row r="201" spans="1:5" hidden="1">
      <c r="A201" s="2"/>
      <c r="B201" s="5"/>
      <c r="C201" s="62"/>
      <c r="D201" s="32"/>
      <c r="E201" s="2"/>
    </row>
    <row r="202" spans="1:5" hidden="1">
      <c r="A202" s="2"/>
      <c r="B202" s="5"/>
      <c r="C202" s="62"/>
      <c r="D202" s="32"/>
      <c r="E202" s="2"/>
    </row>
    <row r="203" spans="1:5" hidden="1">
      <c r="A203" s="2" t="s">
        <v>747</v>
      </c>
      <c r="B203" s="5" t="s">
        <v>1017</v>
      </c>
      <c r="C203" s="2" t="s">
        <v>94</v>
      </c>
      <c r="D203" s="32">
        <v>2472.5</v>
      </c>
      <c r="E203" s="2" t="s">
        <v>747</v>
      </c>
    </row>
    <row r="204" spans="1:5" hidden="1">
      <c r="A204" s="2" t="s">
        <v>1016</v>
      </c>
      <c r="B204" s="5" t="s">
        <v>1018</v>
      </c>
      <c r="C204" s="2" t="s">
        <v>94</v>
      </c>
      <c r="D204" s="32">
        <v>4630</v>
      </c>
      <c r="E204" s="2" t="s">
        <v>1016</v>
      </c>
    </row>
    <row r="205" spans="1:5" hidden="1">
      <c r="A205" s="2"/>
      <c r="B205" s="5"/>
      <c r="C205" s="2"/>
      <c r="D205" s="32"/>
      <c r="E205" s="2"/>
    </row>
    <row r="206" spans="1:5" hidden="1">
      <c r="A206" s="2"/>
      <c r="B206" s="5"/>
      <c r="C206" s="2"/>
      <c r="D206" s="32">
        <v>0</v>
      </c>
      <c r="E206" s="2"/>
    </row>
    <row r="207" spans="1:5" hidden="1">
      <c r="A207" s="2" t="s">
        <v>384</v>
      </c>
      <c r="B207" s="5" t="s">
        <v>402</v>
      </c>
      <c r="C207" s="2" t="s">
        <v>94</v>
      </c>
      <c r="D207" s="32">
        <v>11590</v>
      </c>
      <c r="E207" s="2" t="s">
        <v>384</v>
      </c>
    </row>
    <row r="208" spans="1:5" hidden="1">
      <c r="A208" s="2" t="s">
        <v>385</v>
      </c>
      <c r="B208" s="5" t="s">
        <v>403</v>
      </c>
      <c r="C208" s="2" t="s">
        <v>94</v>
      </c>
      <c r="D208" s="32">
        <v>21960</v>
      </c>
      <c r="E208" s="2" t="s">
        <v>385</v>
      </c>
    </row>
    <row r="209" spans="1:5" hidden="1">
      <c r="A209" s="2" t="s">
        <v>386</v>
      </c>
      <c r="B209" s="5" t="s">
        <v>404</v>
      </c>
      <c r="C209" s="2" t="s">
        <v>94</v>
      </c>
      <c r="D209" s="32">
        <v>31720</v>
      </c>
      <c r="E209" s="2" t="s">
        <v>386</v>
      </c>
    </row>
    <row r="210" spans="1:5" hidden="1">
      <c r="A210" s="2" t="s">
        <v>387</v>
      </c>
      <c r="B210" s="5" t="s">
        <v>405</v>
      </c>
      <c r="C210" s="2" t="s">
        <v>94</v>
      </c>
      <c r="D210" s="32">
        <f>61152*1.19</f>
        <v>72770.87999999999</v>
      </c>
      <c r="E210" s="2" t="s">
        <v>387</v>
      </c>
    </row>
    <row r="211" spans="1:5" hidden="1">
      <c r="A211" s="2" t="s">
        <v>388</v>
      </c>
      <c r="B211" s="5" t="s">
        <v>406</v>
      </c>
      <c r="C211" s="2" t="s">
        <v>94</v>
      </c>
      <c r="D211" s="32">
        <v>109800</v>
      </c>
      <c r="E211" s="2" t="s">
        <v>388</v>
      </c>
    </row>
    <row r="212" spans="1:5" hidden="1">
      <c r="A212" s="2" t="s">
        <v>389</v>
      </c>
      <c r="B212" s="5" t="s">
        <v>284</v>
      </c>
      <c r="C212" s="2" t="s">
        <v>94</v>
      </c>
      <c r="D212" s="32">
        <v>170800</v>
      </c>
      <c r="E212" s="2" t="s">
        <v>389</v>
      </c>
    </row>
    <row r="213" spans="1:5" hidden="1">
      <c r="A213" s="2"/>
      <c r="B213" s="5"/>
      <c r="C213" s="2"/>
      <c r="D213" s="32">
        <v>0</v>
      </c>
      <c r="E213" s="2"/>
    </row>
    <row r="214" spans="1:5" hidden="1">
      <c r="A214" s="2" t="s">
        <v>590</v>
      </c>
      <c r="B214" s="5" t="s">
        <v>591</v>
      </c>
      <c r="C214" s="2" t="s">
        <v>94</v>
      </c>
      <c r="D214" s="32">
        <v>1918.2629999999999</v>
      </c>
      <c r="E214" s="2" t="s">
        <v>590</v>
      </c>
    </row>
    <row r="215" spans="1:5" hidden="1">
      <c r="A215" s="2" t="s">
        <v>390</v>
      </c>
      <c r="B215" s="5" t="s">
        <v>396</v>
      </c>
      <c r="C215" s="2" t="s">
        <v>94</v>
      </c>
      <c r="D215" s="32">
        <v>13054</v>
      </c>
      <c r="E215" s="2" t="s">
        <v>390</v>
      </c>
    </row>
    <row r="216" spans="1:5" hidden="1">
      <c r="A216" s="2" t="s">
        <v>391</v>
      </c>
      <c r="B216" s="5" t="s">
        <v>397</v>
      </c>
      <c r="C216" s="2" t="s">
        <v>94</v>
      </c>
      <c r="D216" s="32">
        <v>26718</v>
      </c>
      <c r="E216" s="2" t="s">
        <v>391</v>
      </c>
    </row>
    <row r="217" spans="1:5" hidden="1">
      <c r="A217" s="2" t="s">
        <v>392</v>
      </c>
      <c r="B217" s="5" t="s">
        <v>398</v>
      </c>
      <c r="C217" s="2" t="s">
        <v>94</v>
      </c>
      <c r="D217" s="32">
        <v>36600</v>
      </c>
      <c r="E217" s="2" t="s">
        <v>392</v>
      </c>
    </row>
    <row r="218" spans="1:5" hidden="1">
      <c r="A218" s="2" t="s">
        <v>393</v>
      </c>
      <c r="B218" s="5" t="s">
        <v>399</v>
      </c>
      <c r="C218" s="2" t="s">
        <v>94</v>
      </c>
      <c r="D218" s="32">
        <f>69400*1.19</f>
        <v>82586</v>
      </c>
      <c r="E218" s="2" t="s">
        <v>393</v>
      </c>
    </row>
    <row r="219" spans="1:5" hidden="1">
      <c r="A219" s="2" t="s">
        <v>394</v>
      </c>
      <c r="B219" s="5" t="s">
        <v>400</v>
      </c>
      <c r="C219" s="2" t="s">
        <v>94</v>
      </c>
      <c r="D219" s="32">
        <v>131760</v>
      </c>
      <c r="E219" s="2" t="s">
        <v>394</v>
      </c>
    </row>
    <row r="220" spans="1:5" hidden="1">
      <c r="A220" s="2" t="s">
        <v>395</v>
      </c>
      <c r="B220" s="5" t="s">
        <v>401</v>
      </c>
      <c r="C220" s="2" t="s">
        <v>94</v>
      </c>
      <c r="D220" s="32">
        <v>220820</v>
      </c>
      <c r="E220" s="2" t="s">
        <v>395</v>
      </c>
    </row>
    <row r="221" spans="1:5" hidden="1">
      <c r="A221" s="2"/>
      <c r="B221" s="5"/>
      <c r="C221" s="2"/>
      <c r="D221" s="32">
        <v>0</v>
      </c>
      <c r="E221" s="2"/>
    </row>
    <row r="222" spans="1:5" hidden="1">
      <c r="A222" s="2" t="s">
        <v>215</v>
      </c>
      <c r="B222" s="5" t="s">
        <v>628</v>
      </c>
      <c r="C222" s="62" t="s">
        <v>133</v>
      </c>
      <c r="D222" s="32">
        <v>9638</v>
      </c>
      <c r="E222" s="2" t="s">
        <v>215</v>
      </c>
    </row>
    <row r="223" spans="1:5" hidden="1">
      <c r="A223" s="2" t="s">
        <v>216</v>
      </c>
      <c r="B223" s="5" t="s">
        <v>224</v>
      </c>
      <c r="C223" s="62" t="s">
        <v>133</v>
      </c>
      <c r="D223" s="32">
        <v>26474</v>
      </c>
      <c r="E223" s="2" t="s">
        <v>216</v>
      </c>
    </row>
    <row r="224" spans="1:5" hidden="1">
      <c r="A224" s="2" t="s">
        <v>217</v>
      </c>
      <c r="B224" s="5" t="s">
        <v>629</v>
      </c>
      <c r="C224" s="62" t="s">
        <v>133</v>
      </c>
      <c r="D224" s="32">
        <v>56852</v>
      </c>
      <c r="E224" s="2" t="s">
        <v>217</v>
      </c>
    </row>
    <row r="225" spans="1:5" hidden="1">
      <c r="A225" s="2" t="s">
        <v>218</v>
      </c>
      <c r="B225" s="5" t="s">
        <v>225</v>
      </c>
      <c r="C225" s="62" t="s">
        <v>133</v>
      </c>
      <c r="D225" s="32">
        <v>52094</v>
      </c>
      <c r="E225" s="2" t="s">
        <v>218</v>
      </c>
    </row>
    <row r="226" spans="1:5" hidden="1">
      <c r="A226" s="2" t="s">
        <v>219</v>
      </c>
      <c r="B226" s="5" t="s">
        <v>226</v>
      </c>
      <c r="C226" s="62" t="s">
        <v>133</v>
      </c>
      <c r="D226" s="32">
        <v>33062</v>
      </c>
      <c r="E226" s="2" t="s">
        <v>219</v>
      </c>
    </row>
    <row r="227" spans="1:5" hidden="1">
      <c r="A227" s="2"/>
      <c r="B227" s="41"/>
      <c r="C227" s="62"/>
      <c r="D227" s="32"/>
      <c r="E227" s="2"/>
    </row>
    <row r="228" spans="1:5" hidden="1">
      <c r="A228" s="2" t="s">
        <v>220</v>
      </c>
      <c r="B228" s="41" t="s">
        <v>227</v>
      </c>
      <c r="C228" s="62" t="s">
        <v>133</v>
      </c>
      <c r="D228" s="2105">
        <v>31440</v>
      </c>
      <c r="E228" s="2" t="s">
        <v>220</v>
      </c>
    </row>
    <row r="229" spans="1:5" hidden="1">
      <c r="A229" s="2"/>
      <c r="B229" s="41"/>
      <c r="C229" s="62"/>
      <c r="D229" s="32"/>
      <c r="E229" s="2"/>
    </row>
    <row r="230" spans="1:5" hidden="1">
      <c r="A230" s="2" t="s">
        <v>221</v>
      </c>
      <c r="B230" s="41" t="s">
        <v>872</v>
      </c>
      <c r="C230" s="62" t="s">
        <v>133</v>
      </c>
      <c r="D230" s="32">
        <v>5531.46</v>
      </c>
      <c r="E230" s="2" t="s">
        <v>221</v>
      </c>
    </row>
    <row r="231" spans="1:5" hidden="1">
      <c r="A231" s="2" t="s">
        <v>222</v>
      </c>
      <c r="B231" s="41" t="s">
        <v>795</v>
      </c>
      <c r="C231" s="62" t="s">
        <v>133</v>
      </c>
      <c r="D231" s="32">
        <v>4174.3296</v>
      </c>
      <c r="E231" s="2" t="s">
        <v>222</v>
      </c>
    </row>
    <row r="232" spans="1:5" hidden="1">
      <c r="A232" s="2"/>
      <c r="B232" s="41"/>
      <c r="C232" s="62"/>
      <c r="D232" s="32"/>
      <c r="E232" s="2"/>
    </row>
    <row r="233" spans="1:5" hidden="1">
      <c r="A233" s="2" t="s">
        <v>223</v>
      </c>
      <c r="B233" s="41" t="s">
        <v>796</v>
      </c>
      <c r="C233" s="62" t="s">
        <v>133</v>
      </c>
      <c r="D233" s="32">
        <v>73243.6296</v>
      </c>
      <c r="E233" s="2" t="s">
        <v>223</v>
      </c>
    </row>
    <row r="234" spans="1:5" hidden="1">
      <c r="A234" s="471"/>
      <c r="B234" s="3"/>
      <c r="C234" s="50"/>
      <c r="D234" s="32"/>
      <c r="E234" s="471"/>
    </row>
    <row r="235" spans="1:5" hidden="1">
      <c r="A235" s="2" t="s">
        <v>180</v>
      </c>
      <c r="B235" s="18" t="s">
        <v>183</v>
      </c>
      <c r="C235" s="42" t="s">
        <v>45</v>
      </c>
      <c r="D235" s="32">
        <v>9306</v>
      </c>
      <c r="E235" s="2" t="s">
        <v>180</v>
      </c>
    </row>
    <row r="236" spans="1:5" hidden="1">
      <c r="A236" s="2" t="s">
        <v>181</v>
      </c>
      <c r="B236" s="18" t="s">
        <v>184</v>
      </c>
      <c r="C236" s="42" t="s">
        <v>45</v>
      </c>
      <c r="D236" s="32">
        <v>13901</v>
      </c>
      <c r="E236" s="2" t="s">
        <v>181</v>
      </c>
    </row>
    <row r="237" spans="1:5" hidden="1">
      <c r="A237" s="2" t="s">
        <v>182</v>
      </c>
      <c r="B237" s="18" t="s">
        <v>185</v>
      </c>
      <c r="C237" s="42" t="s">
        <v>45</v>
      </c>
      <c r="D237" s="2105">
        <v>19372</v>
      </c>
      <c r="E237" s="2" t="s">
        <v>182</v>
      </c>
    </row>
    <row r="238" spans="1:5" hidden="1">
      <c r="A238" s="2" t="s">
        <v>178</v>
      </c>
      <c r="B238" s="18" t="s">
        <v>179</v>
      </c>
      <c r="C238" s="42" t="s">
        <v>45</v>
      </c>
      <c r="D238" s="32">
        <v>41025</v>
      </c>
      <c r="E238" s="2" t="s">
        <v>178</v>
      </c>
    </row>
    <row r="239" spans="1:5" hidden="1">
      <c r="A239" s="2"/>
      <c r="B239" s="18"/>
      <c r="C239" s="42"/>
      <c r="D239" s="32"/>
      <c r="E239" s="2"/>
    </row>
    <row r="240" spans="1:5" hidden="1">
      <c r="A240" s="2" t="s">
        <v>632</v>
      </c>
      <c r="B240" s="5" t="s">
        <v>204</v>
      </c>
      <c r="C240" s="42" t="s">
        <v>363</v>
      </c>
      <c r="D240" s="32">
        <v>2500</v>
      </c>
      <c r="E240" s="2" t="s">
        <v>632</v>
      </c>
    </row>
    <row r="241" spans="1:5" hidden="1">
      <c r="A241" s="2" t="s">
        <v>633</v>
      </c>
      <c r="B241" s="5" t="s">
        <v>205</v>
      </c>
      <c r="C241" s="42" t="s">
        <v>363</v>
      </c>
      <c r="D241" s="32">
        <v>5800</v>
      </c>
      <c r="E241" s="2" t="s">
        <v>633</v>
      </c>
    </row>
    <row r="242" spans="1:5" hidden="1">
      <c r="A242" s="2" t="s">
        <v>640</v>
      </c>
      <c r="B242" s="5" t="s">
        <v>206</v>
      </c>
      <c r="C242" s="42" t="s">
        <v>363</v>
      </c>
      <c r="D242" s="32">
        <v>9994</v>
      </c>
      <c r="E242" s="2" t="s">
        <v>640</v>
      </c>
    </row>
    <row r="243" spans="1:5" hidden="1">
      <c r="A243" s="2" t="s">
        <v>641</v>
      </c>
      <c r="B243" s="5" t="s">
        <v>265</v>
      </c>
      <c r="C243" s="42" t="s">
        <v>363</v>
      </c>
      <c r="D243" s="32">
        <v>85365</v>
      </c>
      <c r="E243" s="2" t="s">
        <v>641</v>
      </c>
    </row>
    <row r="244" spans="1:5" hidden="1">
      <c r="A244" s="2"/>
      <c r="B244" s="5"/>
      <c r="C244" s="42"/>
      <c r="D244" s="32"/>
      <c r="E244" s="2"/>
    </row>
    <row r="245" spans="1:5" hidden="1">
      <c r="A245" s="2" t="s">
        <v>638</v>
      </c>
      <c r="B245" s="5" t="s">
        <v>639</v>
      </c>
      <c r="C245" s="42" t="s">
        <v>363</v>
      </c>
      <c r="D245" s="32">
        <v>48546.695999999996</v>
      </c>
      <c r="E245" s="2" t="s">
        <v>638</v>
      </c>
    </row>
    <row r="246" spans="1:5" hidden="1">
      <c r="A246" s="2"/>
      <c r="B246" s="5"/>
      <c r="C246" s="42"/>
      <c r="D246" s="32"/>
      <c r="E246" s="2"/>
    </row>
    <row r="247" spans="1:5" hidden="1">
      <c r="A247" s="2" t="s">
        <v>679</v>
      </c>
      <c r="B247" s="5" t="s">
        <v>682</v>
      </c>
      <c r="C247" s="42" t="s">
        <v>363</v>
      </c>
      <c r="D247" s="32">
        <v>2998</v>
      </c>
      <c r="E247" s="2" t="s">
        <v>679</v>
      </c>
    </row>
    <row r="248" spans="1:5" hidden="1">
      <c r="A248" s="2" t="s">
        <v>680</v>
      </c>
      <c r="B248" s="5" t="s">
        <v>683</v>
      </c>
      <c r="C248" s="42" t="s">
        <v>363</v>
      </c>
      <c r="D248" s="32">
        <v>6443</v>
      </c>
      <c r="E248" s="2" t="s">
        <v>680</v>
      </c>
    </row>
    <row r="249" spans="1:5" hidden="1">
      <c r="A249" s="2" t="s">
        <v>620</v>
      </c>
      <c r="B249" s="5" t="s">
        <v>634</v>
      </c>
      <c r="C249" s="42" t="s">
        <v>363</v>
      </c>
      <c r="D249" s="32">
        <v>11243</v>
      </c>
      <c r="E249" s="2" t="s">
        <v>620</v>
      </c>
    </row>
    <row r="250" spans="1:5" hidden="1">
      <c r="A250" s="2" t="s">
        <v>681</v>
      </c>
      <c r="B250" s="5" t="s">
        <v>635</v>
      </c>
      <c r="C250" s="42" t="s">
        <v>363</v>
      </c>
      <c r="D250" s="32">
        <v>41261</v>
      </c>
      <c r="E250" s="2" t="s">
        <v>681</v>
      </c>
    </row>
    <row r="251" spans="1:5" hidden="1">
      <c r="A251" s="471"/>
      <c r="B251" s="3"/>
      <c r="C251" s="50"/>
      <c r="D251" s="32"/>
      <c r="E251" s="471"/>
    </row>
    <row r="252" spans="1:5" hidden="1">
      <c r="A252" s="471" t="s">
        <v>780</v>
      </c>
      <c r="B252" s="3" t="s">
        <v>782</v>
      </c>
      <c r="C252" s="50" t="s">
        <v>363</v>
      </c>
      <c r="D252" s="32">
        <v>13</v>
      </c>
      <c r="E252" s="471" t="s">
        <v>780</v>
      </c>
    </row>
    <row r="253" spans="1:5" hidden="1">
      <c r="A253" s="471" t="s">
        <v>779</v>
      </c>
      <c r="B253" s="3" t="s">
        <v>781</v>
      </c>
      <c r="C253" s="50" t="s">
        <v>363</v>
      </c>
      <c r="D253" s="32">
        <v>93193.564799999993</v>
      </c>
      <c r="E253" s="471" t="s">
        <v>779</v>
      </c>
    </row>
    <row r="254" spans="1:5" hidden="1">
      <c r="A254" s="471" t="s">
        <v>784</v>
      </c>
      <c r="B254" s="3" t="s">
        <v>783</v>
      </c>
      <c r="C254" s="50" t="s">
        <v>363</v>
      </c>
      <c r="D254" s="32">
        <v>93193.564799999993</v>
      </c>
      <c r="E254" s="471" t="s">
        <v>784</v>
      </c>
    </row>
    <row r="255" spans="1:5" hidden="1">
      <c r="A255" s="471"/>
      <c r="B255" s="3"/>
      <c r="C255" s="50"/>
      <c r="D255" s="32"/>
      <c r="E255" s="471"/>
    </row>
    <row r="256" spans="1:5" hidden="1">
      <c r="A256" s="471" t="s">
        <v>985</v>
      </c>
      <c r="B256" s="3" t="s">
        <v>984</v>
      </c>
      <c r="C256" s="50" t="s">
        <v>363</v>
      </c>
      <c r="D256" s="32">
        <v>21643.094399999998</v>
      </c>
      <c r="E256" s="471" t="s">
        <v>985</v>
      </c>
    </row>
    <row r="257" spans="1:5" hidden="1">
      <c r="A257" s="471"/>
      <c r="B257" s="3"/>
      <c r="C257" s="50"/>
      <c r="D257" s="32"/>
      <c r="E257" s="471"/>
    </row>
    <row r="258" spans="1:5" hidden="1">
      <c r="A258" s="2" t="s">
        <v>971</v>
      </c>
      <c r="B258" s="78" t="s">
        <v>973</v>
      </c>
      <c r="C258" s="42" t="s">
        <v>94</v>
      </c>
      <c r="D258" s="32">
        <v>26532</v>
      </c>
      <c r="E258" s="2" t="s">
        <v>971</v>
      </c>
    </row>
    <row r="259" spans="1:5" hidden="1">
      <c r="A259" s="2" t="s">
        <v>785</v>
      </c>
      <c r="B259" s="78" t="s">
        <v>974</v>
      </c>
      <c r="C259" s="42" t="s">
        <v>94</v>
      </c>
      <c r="D259" s="32">
        <v>36234</v>
      </c>
      <c r="E259" s="2" t="s">
        <v>785</v>
      </c>
    </row>
    <row r="260" spans="1:5" hidden="1">
      <c r="A260" s="2" t="s">
        <v>972</v>
      </c>
      <c r="B260" s="78" t="s">
        <v>975</v>
      </c>
      <c r="C260" s="42" t="s">
        <v>94</v>
      </c>
      <c r="D260" s="32">
        <v>52922</v>
      </c>
      <c r="E260" s="2" t="s">
        <v>972</v>
      </c>
    </row>
    <row r="261" spans="1:5" hidden="1">
      <c r="A261" s="2" t="s">
        <v>976</v>
      </c>
      <c r="B261" s="78" t="s">
        <v>977</v>
      </c>
      <c r="C261" s="42" t="s">
        <v>94</v>
      </c>
      <c r="D261" s="32">
        <v>78300</v>
      </c>
      <c r="E261" s="2" t="s">
        <v>976</v>
      </c>
    </row>
    <row r="262" spans="1:5" hidden="1">
      <c r="A262" s="2" t="s">
        <v>981</v>
      </c>
      <c r="B262" s="78" t="s">
        <v>978</v>
      </c>
      <c r="C262" s="42" t="s">
        <v>94</v>
      </c>
      <c r="D262" s="32">
        <v>137137</v>
      </c>
      <c r="E262" s="2" t="s">
        <v>981</v>
      </c>
    </row>
    <row r="263" spans="1:5" hidden="1">
      <c r="A263" s="2" t="s">
        <v>982</v>
      </c>
      <c r="B263" s="78" t="s">
        <v>979</v>
      </c>
      <c r="C263" s="42" t="s">
        <v>94</v>
      </c>
      <c r="D263" s="32">
        <v>177112</v>
      </c>
      <c r="E263" s="2" t="s">
        <v>982</v>
      </c>
    </row>
    <row r="264" spans="1:5" hidden="1">
      <c r="A264" s="2" t="s">
        <v>983</v>
      </c>
      <c r="B264" s="78" t="s">
        <v>980</v>
      </c>
      <c r="C264" s="42" t="s">
        <v>94</v>
      </c>
      <c r="D264" s="32">
        <v>230902</v>
      </c>
      <c r="E264" s="2" t="s">
        <v>983</v>
      </c>
    </row>
    <row r="265" spans="1:5" hidden="1">
      <c r="A265" s="101"/>
      <c r="B265" s="79"/>
      <c r="C265" s="43"/>
      <c r="D265" s="2114"/>
      <c r="E265" s="101"/>
    </row>
    <row r="266" spans="1:5" hidden="1">
      <c r="A266" s="2" t="s">
        <v>100</v>
      </c>
      <c r="B266" s="78" t="s">
        <v>504</v>
      </c>
      <c r="C266" s="42" t="s">
        <v>94</v>
      </c>
      <c r="D266" s="32">
        <v>240784</v>
      </c>
      <c r="E266" s="2" t="s">
        <v>100</v>
      </c>
    </row>
    <row r="267" spans="1:5" hidden="1">
      <c r="A267" s="2" t="s">
        <v>99</v>
      </c>
      <c r="B267" s="78" t="s">
        <v>511</v>
      </c>
      <c r="C267" s="42" t="s">
        <v>94</v>
      </c>
      <c r="D267" s="32">
        <v>299409</v>
      </c>
      <c r="E267" s="2" t="s">
        <v>99</v>
      </c>
    </row>
    <row r="268" spans="1:5" hidden="1">
      <c r="A268" s="2" t="s">
        <v>101</v>
      </c>
      <c r="B268" s="78" t="s">
        <v>512</v>
      </c>
      <c r="C268" s="42" t="s">
        <v>94</v>
      </c>
      <c r="D268" s="32">
        <v>368701</v>
      </c>
      <c r="E268" s="2" t="s">
        <v>101</v>
      </c>
    </row>
    <row r="269" spans="1:5" hidden="1">
      <c r="A269" s="2" t="s">
        <v>501</v>
      </c>
      <c r="B269" s="78" t="s">
        <v>513</v>
      </c>
      <c r="C269" s="42" t="s">
        <v>94</v>
      </c>
      <c r="D269" s="32">
        <v>431731</v>
      </c>
      <c r="E269" s="2" t="s">
        <v>501</v>
      </c>
    </row>
    <row r="270" spans="1:5" hidden="1">
      <c r="A270" s="2" t="s">
        <v>502</v>
      </c>
      <c r="B270" s="78" t="s">
        <v>514</v>
      </c>
      <c r="C270" s="42" t="s">
        <v>94</v>
      </c>
      <c r="D270" s="32">
        <v>615392</v>
      </c>
      <c r="E270" s="2" t="s">
        <v>502</v>
      </c>
    </row>
    <row r="271" spans="1:5" hidden="1">
      <c r="A271" s="2" t="s">
        <v>503</v>
      </c>
      <c r="B271" s="78" t="s">
        <v>515</v>
      </c>
      <c r="C271" s="42" t="s">
        <v>94</v>
      </c>
      <c r="D271" s="32">
        <v>807312</v>
      </c>
      <c r="E271" s="2" t="s">
        <v>503</v>
      </c>
    </row>
    <row r="272" spans="1:5" hidden="1">
      <c r="A272" s="2" t="s">
        <v>505</v>
      </c>
      <c r="B272" s="78" t="s">
        <v>516</v>
      </c>
      <c r="C272" s="42" t="s">
        <v>94</v>
      </c>
      <c r="D272" s="32">
        <v>878440</v>
      </c>
      <c r="E272" s="2" t="s">
        <v>505</v>
      </c>
    </row>
    <row r="273" spans="1:5" hidden="1">
      <c r="A273" s="2" t="s">
        <v>506</v>
      </c>
      <c r="B273" s="78" t="s">
        <v>517</v>
      </c>
      <c r="C273" s="42" t="s">
        <v>94</v>
      </c>
      <c r="D273" s="32">
        <v>941634</v>
      </c>
      <c r="E273" s="2" t="s">
        <v>506</v>
      </c>
    </row>
    <row r="274" spans="1:5" hidden="1">
      <c r="A274" s="2" t="s">
        <v>507</v>
      </c>
      <c r="B274" s="78" t="s">
        <v>518</v>
      </c>
      <c r="C274" s="42" t="s">
        <v>94</v>
      </c>
      <c r="D274" s="32">
        <v>1343442</v>
      </c>
      <c r="E274" s="2" t="s">
        <v>507</v>
      </c>
    </row>
    <row r="275" spans="1:5" hidden="1">
      <c r="A275" s="2" t="s">
        <v>508</v>
      </c>
      <c r="B275" s="78" t="s">
        <v>519</v>
      </c>
      <c r="C275" s="42" t="s">
        <v>94</v>
      </c>
      <c r="D275" s="32">
        <v>1445411</v>
      </c>
      <c r="E275" s="2" t="s">
        <v>508</v>
      </c>
    </row>
    <row r="276" spans="1:5" hidden="1">
      <c r="A276" s="2" t="s">
        <v>509</v>
      </c>
      <c r="B276" s="78" t="s">
        <v>520</v>
      </c>
      <c r="C276" s="42" t="s">
        <v>94</v>
      </c>
      <c r="D276" s="32">
        <v>1513163</v>
      </c>
      <c r="E276" s="2" t="s">
        <v>509</v>
      </c>
    </row>
    <row r="277" spans="1:5" hidden="1">
      <c r="A277" s="2" t="s">
        <v>510</v>
      </c>
      <c r="B277" s="78" t="s">
        <v>521</v>
      </c>
      <c r="C277" s="42" t="s">
        <v>94</v>
      </c>
      <c r="D277" s="32">
        <v>1712022</v>
      </c>
      <c r="E277" s="2" t="s">
        <v>510</v>
      </c>
    </row>
    <row r="278" spans="1:5" hidden="1">
      <c r="A278" s="2"/>
      <c r="B278" s="78"/>
      <c r="C278" s="42"/>
      <c r="D278" s="32"/>
      <c r="E278" s="2"/>
    </row>
    <row r="279" spans="1:5" hidden="1">
      <c r="A279" s="2" t="s">
        <v>572</v>
      </c>
      <c r="B279" s="78" t="s">
        <v>313</v>
      </c>
      <c r="C279" s="42" t="s">
        <v>363</v>
      </c>
      <c r="D279" s="32">
        <v>165352</v>
      </c>
      <c r="E279" s="2" t="s">
        <v>572</v>
      </c>
    </row>
    <row r="280" spans="1:5" hidden="1">
      <c r="A280" s="2" t="s">
        <v>573</v>
      </c>
      <c r="B280" s="78" t="s">
        <v>314</v>
      </c>
      <c r="C280" s="42" t="s">
        <v>363</v>
      </c>
      <c r="D280" s="32">
        <v>205067</v>
      </c>
      <c r="E280" s="2" t="s">
        <v>573</v>
      </c>
    </row>
    <row r="281" spans="1:5" hidden="1">
      <c r="A281" s="2" t="s">
        <v>574</v>
      </c>
      <c r="B281" s="78" t="s">
        <v>562</v>
      </c>
      <c r="C281" s="42" t="s">
        <v>363</v>
      </c>
      <c r="D281" s="32">
        <v>233093</v>
      </c>
      <c r="E281" s="2" t="s">
        <v>574</v>
      </c>
    </row>
    <row r="282" spans="1:5" hidden="1">
      <c r="A282" s="2" t="s">
        <v>575</v>
      </c>
      <c r="B282" s="78" t="s">
        <v>563</v>
      </c>
      <c r="C282" s="42" t="s">
        <v>363</v>
      </c>
      <c r="D282" s="32">
        <v>313813</v>
      </c>
      <c r="E282" s="2" t="s">
        <v>575</v>
      </c>
    </row>
    <row r="283" spans="1:5" hidden="1">
      <c r="A283" s="2" t="s">
        <v>576</v>
      </c>
      <c r="B283" s="78" t="s">
        <v>564</v>
      </c>
      <c r="C283" s="42" t="s">
        <v>363</v>
      </c>
      <c r="D283" s="32">
        <v>526311</v>
      </c>
      <c r="E283" s="2" t="s">
        <v>576</v>
      </c>
    </row>
    <row r="284" spans="1:5" hidden="1">
      <c r="A284" s="2" t="s">
        <v>577</v>
      </c>
      <c r="B284" s="78" t="s">
        <v>565</v>
      </c>
      <c r="C284" s="42" t="s">
        <v>363</v>
      </c>
      <c r="D284" s="32">
        <v>540146.18160000001</v>
      </c>
      <c r="E284" s="2" t="s">
        <v>577</v>
      </c>
    </row>
    <row r="285" spans="1:5" hidden="1">
      <c r="A285" s="2" t="s">
        <v>578</v>
      </c>
      <c r="B285" s="78" t="s">
        <v>566</v>
      </c>
      <c r="C285" s="42" t="s">
        <v>363</v>
      </c>
      <c r="D285" s="32">
        <v>579720.67200000002</v>
      </c>
      <c r="E285" s="2" t="s">
        <v>578</v>
      </c>
    </row>
    <row r="286" spans="1:5" hidden="1">
      <c r="A286" s="2" t="s">
        <v>579</v>
      </c>
      <c r="B286" s="78" t="s">
        <v>567</v>
      </c>
      <c r="C286" s="42" t="s">
        <v>363</v>
      </c>
      <c r="D286" s="32">
        <v>627379</v>
      </c>
      <c r="E286" s="2" t="s">
        <v>579</v>
      </c>
    </row>
    <row r="287" spans="1:5" hidden="1">
      <c r="A287" s="2" t="s">
        <v>580</v>
      </c>
      <c r="B287" s="78" t="s">
        <v>568</v>
      </c>
      <c r="C287" s="42" t="s">
        <v>363</v>
      </c>
      <c r="D287" s="32">
        <v>646201</v>
      </c>
      <c r="E287" s="2" t="s">
        <v>580</v>
      </c>
    </row>
    <row r="288" spans="1:5" hidden="1">
      <c r="A288" s="2" t="s">
        <v>460</v>
      </c>
      <c r="B288" s="78" t="s">
        <v>569</v>
      </c>
      <c r="C288" s="42" t="s">
        <v>363</v>
      </c>
      <c r="D288" s="32">
        <v>666494</v>
      </c>
      <c r="E288" s="2" t="s">
        <v>460</v>
      </c>
    </row>
    <row r="289" spans="1:5" hidden="1">
      <c r="A289" s="2" t="s">
        <v>461</v>
      </c>
      <c r="B289" s="78" t="s">
        <v>570</v>
      </c>
      <c r="C289" s="42" t="s">
        <v>363</v>
      </c>
      <c r="D289" s="32">
        <v>710070</v>
      </c>
      <c r="E289" s="2" t="s">
        <v>461</v>
      </c>
    </row>
    <row r="290" spans="1:5" hidden="1">
      <c r="A290" s="2" t="s">
        <v>462</v>
      </c>
      <c r="B290" s="78" t="s">
        <v>571</v>
      </c>
      <c r="C290" s="42" t="s">
        <v>363</v>
      </c>
      <c r="D290" s="32">
        <v>765290</v>
      </c>
      <c r="E290" s="2" t="s">
        <v>462</v>
      </c>
    </row>
    <row r="291" spans="1:5" hidden="1">
      <c r="A291" s="2"/>
      <c r="B291" s="78"/>
      <c r="C291" s="42"/>
      <c r="D291" s="32"/>
      <c r="E291" s="2"/>
    </row>
    <row r="292" spans="1:5" hidden="1">
      <c r="A292" s="2" t="s">
        <v>729</v>
      </c>
      <c r="B292" s="18" t="s">
        <v>228</v>
      </c>
      <c r="C292" s="2" t="s">
        <v>363</v>
      </c>
      <c r="D292" s="710">
        <v>49003</v>
      </c>
      <c r="E292" s="2" t="s">
        <v>729</v>
      </c>
    </row>
    <row r="293" spans="1:5" hidden="1">
      <c r="A293" s="2" t="s">
        <v>231</v>
      </c>
      <c r="B293" s="18" t="s">
        <v>498</v>
      </c>
      <c r="C293" s="2" t="s">
        <v>363</v>
      </c>
      <c r="D293" s="710">
        <v>62163</v>
      </c>
      <c r="E293" s="2" t="s">
        <v>231</v>
      </c>
    </row>
    <row r="294" spans="1:5" hidden="1">
      <c r="A294" s="2" t="s">
        <v>492</v>
      </c>
      <c r="B294" s="18" t="s">
        <v>499</v>
      </c>
      <c r="C294" s="2" t="s">
        <v>363</v>
      </c>
      <c r="D294" s="710">
        <v>178555</v>
      </c>
      <c r="E294" s="2" t="s">
        <v>492</v>
      </c>
    </row>
    <row r="295" spans="1:5" hidden="1">
      <c r="A295" s="2" t="s">
        <v>207</v>
      </c>
      <c r="B295" s="18" t="s">
        <v>208</v>
      </c>
      <c r="C295" s="2" t="s">
        <v>363</v>
      </c>
      <c r="D295" s="710">
        <v>203104</v>
      </c>
      <c r="E295" s="2" t="s">
        <v>207</v>
      </c>
    </row>
    <row r="296" spans="1:5" hidden="1">
      <c r="A296" s="2" t="s">
        <v>495</v>
      </c>
      <c r="B296" s="18" t="s">
        <v>500</v>
      </c>
      <c r="C296" s="2" t="s">
        <v>363</v>
      </c>
      <c r="D296" s="710">
        <v>225981</v>
      </c>
      <c r="E296" s="2" t="s">
        <v>495</v>
      </c>
    </row>
    <row r="297" spans="1:5" hidden="1">
      <c r="A297" s="2" t="s">
        <v>496</v>
      </c>
      <c r="B297" s="18" t="s">
        <v>497</v>
      </c>
      <c r="C297" s="2" t="s">
        <v>363</v>
      </c>
      <c r="D297" s="710">
        <v>315542</v>
      </c>
      <c r="E297" s="2" t="s">
        <v>496</v>
      </c>
    </row>
    <row r="298" spans="1:5" hidden="1">
      <c r="A298" s="2"/>
      <c r="B298" s="18"/>
      <c r="C298" s="42"/>
      <c r="D298" s="710"/>
      <c r="E298" s="2"/>
    </row>
    <row r="299" spans="1:5" hidden="1">
      <c r="A299" s="2" t="s">
        <v>443</v>
      </c>
      <c r="B299" s="18" t="s">
        <v>533</v>
      </c>
      <c r="C299" s="2" t="s">
        <v>363</v>
      </c>
      <c r="D299" s="710">
        <v>31246</v>
      </c>
      <c r="E299" s="2" t="s">
        <v>443</v>
      </c>
    </row>
    <row r="300" spans="1:5" hidden="1">
      <c r="A300" s="2" t="s">
        <v>444</v>
      </c>
      <c r="B300" s="18" t="s">
        <v>534</v>
      </c>
      <c r="C300" s="2" t="s">
        <v>363</v>
      </c>
      <c r="D300" s="710">
        <v>41570</v>
      </c>
      <c r="E300" s="2" t="s">
        <v>444</v>
      </c>
    </row>
    <row r="301" spans="1:5" hidden="1">
      <c r="A301" s="2" t="s">
        <v>445</v>
      </c>
      <c r="B301" s="18" t="s">
        <v>535</v>
      </c>
      <c r="C301" s="2" t="s">
        <v>363</v>
      </c>
      <c r="D301" s="710">
        <v>49003</v>
      </c>
      <c r="E301" s="2" t="s">
        <v>445</v>
      </c>
    </row>
    <row r="302" spans="1:5" hidden="1">
      <c r="A302" s="2" t="s">
        <v>446</v>
      </c>
      <c r="B302" s="18" t="s">
        <v>536</v>
      </c>
      <c r="C302" s="2" t="s">
        <v>363</v>
      </c>
      <c r="D302" s="710">
        <v>53085</v>
      </c>
      <c r="E302" s="2" t="s">
        <v>446</v>
      </c>
    </row>
    <row r="303" spans="1:5" hidden="1">
      <c r="A303" s="2" t="s">
        <v>529</v>
      </c>
      <c r="B303" s="18" t="s">
        <v>537</v>
      </c>
      <c r="C303" s="2" t="s">
        <v>363</v>
      </c>
      <c r="D303" s="710">
        <v>62163</v>
      </c>
      <c r="E303" s="2" t="s">
        <v>529</v>
      </c>
    </row>
    <row r="304" spans="1:5" hidden="1">
      <c r="A304" s="2" t="s">
        <v>447</v>
      </c>
      <c r="B304" s="18" t="s">
        <v>538</v>
      </c>
      <c r="C304" s="2" t="s">
        <v>363</v>
      </c>
      <c r="D304" s="710">
        <v>110197</v>
      </c>
      <c r="E304" s="2" t="s">
        <v>447</v>
      </c>
    </row>
    <row r="305" spans="1:5" hidden="1">
      <c r="A305" s="2" t="s">
        <v>448</v>
      </c>
      <c r="B305" s="18" t="s">
        <v>442</v>
      </c>
      <c r="C305" s="2" t="s">
        <v>363</v>
      </c>
      <c r="D305" s="710">
        <v>127780</v>
      </c>
      <c r="E305" s="2" t="s">
        <v>448</v>
      </c>
    </row>
    <row r="306" spans="1:5" hidden="1">
      <c r="A306" s="2" t="s">
        <v>527</v>
      </c>
      <c r="B306" s="18" t="s">
        <v>526</v>
      </c>
      <c r="C306" s="2" t="s">
        <v>363</v>
      </c>
      <c r="D306" s="710">
        <v>198752</v>
      </c>
      <c r="E306" s="2" t="s">
        <v>527</v>
      </c>
    </row>
    <row r="307" spans="1:5" hidden="1">
      <c r="A307" s="2" t="s">
        <v>525</v>
      </c>
      <c r="B307" s="18" t="s">
        <v>524</v>
      </c>
      <c r="C307" s="2" t="s">
        <v>363</v>
      </c>
      <c r="D307" s="710">
        <v>210791</v>
      </c>
      <c r="E307" s="2" t="s">
        <v>525</v>
      </c>
    </row>
    <row r="308" spans="1:5" hidden="1">
      <c r="A308" s="2" t="s">
        <v>532</v>
      </c>
      <c r="B308" s="18" t="s">
        <v>528</v>
      </c>
      <c r="C308" s="2" t="s">
        <v>363</v>
      </c>
      <c r="D308" s="710">
        <v>225981</v>
      </c>
      <c r="E308" s="2" t="s">
        <v>532</v>
      </c>
    </row>
    <row r="309" spans="1:5" hidden="1">
      <c r="A309" s="2" t="s">
        <v>531</v>
      </c>
      <c r="B309" s="18" t="s">
        <v>3858</v>
      </c>
      <c r="C309" s="2" t="s">
        <v>363</v>
      </c>
      <c r="D309" s="710">
        <v>330714</v>
      </c>
      <c r="E309" s="2" t="s">
        <v>531</v>
      </c>
    </row>
    <row r="310" spans="1:5" hidden="1">
      <c r="A310" s="2"/>
      <c r="B310" s="18"/>
      <c r="C310" s="42"/>
      <c r="D310" s="710"/>
      <c r="E310" s="2"/>
    </row>
    <row r="311" spans="1:5" hidden="1">
      <c r="A311" s="2" t="s">
        <v>750</v>
      </c>
      <c r="B311" s="18" t="s">
        <v>751</v>
      </c>
      <c r="C311" s="2" t="s">
        <v>45</v>
      </c>
      <c r="D311" s="710">
        <v>84699.371999999988</v>
      </c>
      <c r="E311" s="2" t="s">
        <v>750</v>
      </c>
    </row>
    <row r="312" spans="1:5" hidden="1">
      <c r="A312" s="2" t="s">
        <v>493</v>
      </c>
      <c r="B312" s="18" t="s">
        <v>494</v>
      </c>
      <c r="C312" s="2" t="s">
        <v>363</v>
      </c>
      <c r="D312" s="710">
        <v>55146.3</v>
      </c>
      <c r="E312" s="2" t="s">
        <v>493</v>
      </c>
    </row>
    <row r="313" spans="1:5" hidden="1">
      <c r="A313" s="471"/>
      <c r="B313" s="3"/>
      <c r="C313" s="50"/>
      <c r="D313" s="32"/>
      <c r="E313" s="471"/>
    </row>
    <row r="314" spans="1:5" hidden="1">
      <c r="A314" s="2" t="s">
        <v>110</v>
      </c>
      <c r="B314" s="18" t="s">
        <v>109</v>
      </c>
      <c r="C314" s="42" t="s">
        <v>45</v>
      </c>
      <c r="D314" s="32">
        <v>431867.99999999994</v>
      </c>
      <c r="E314" s="2" t="s">
        <v>110</v>
      </c>
    </row>
    <row r="315" spans="1:5">
      <c r="A315" s="2"/>
      <c r="B315" s="18"/>
      <c r="C315" s="42"/>
      <c r="D315" s="32"/>
      <c r="E315" s="2"/>
    </row>
    <row r="316" spans="1:5">
      <c r="A316" s="2"/>
      <c r="B316" s="2031" t="s">
        <v>6462</v>
      </c>
      <c r="C316" s="42"/>
      <c r="D316" s="32"/>
      <c r="E316" s="2"/>
    </row>
    <row r="317" spans="1:5">
      <c r="A317" s="2"/>
      <c r="B317" s="2019" t="s">
        <v>6730</v>
      </c>
      <c r="C317" s="50" t="s">
        <v>363</v>
      </c>
      <c r="D317" s="2023">
        <f>448000*1.19</f>
        <v>533120</v>
      </c>
      <c r="E317" s="2"/>
    </row>
    <row r="318" spans="1:5">
      <c r="A318" s="471"/>
      <c r="B318" s="2019" t="s">
        <v>4498</v>
      </c>
      <c r="C318" s="50" t="s">
        <v>363</v>
      </c>
      <c r="D318" s="2023">
        <f>594000*1.19</f>
        <v>706860</v>
      </c>
      <c r="E318" s="471"/>
    </row>
    <row r="319" spans="1:5">
      <c r="A319" s="471"/>
      <c r="B319" s="2019" t="s">
        <v>6612</v>
      </c>
      <c r="C319" s="50" t="s">
        <v>363</v>
      </c>
      <c r="D319" s="2023">
        <f>1180000*1.19</f>
        <v>1404200</v>
      </c>
      <c r="E319" s="471"/>
    </row>
    <row r="320" spans="1:5">
      <c r="A320" s="471"/>
      <c r="B320" s="2019" t="s">
        <v>6580</v>
      </c>
      <c r="C320" s="50" t="s">
        <v>363</v>
      </c>
      <c r="D320" s="2023">
        <f>1950000*1.19</f>
        <v>2320500</v>
      </c>
      <c r="E320" s="471"/>
    </row>
    <row r="321" spans="1:5">
      <c r="A321" s="471"/>
      <c r="B321" s="2019" t="s">
        <v>4485</v>
      </c>
      <c r="C321" s="50" t="s">
        <v>363</v>
      </c>
      <c r="D321" s="2023">
        <f>3925000*1.19</f>
        <v>4670750</v>
      </c>
      <c r="E321" s="471"/>
    </row>
    <row r="322" spans="1:5">
      <c r="A322" s="471"/>
      <c r="B322" s="2019"/>
      <c r="C322" s="50"/>
      <c r="D322" s="2023"/>
      <c r="E322" s="471"/>
    </row>
    <row r="323" spans="1:5" hidden="1">
      <c r="A323" s="471" t="s">
        <v>773</v>
      </c>
      <c r="B323" s="3" t="s">
        <v>55</v>
      </c>
      <c r="C323" s="50" t="s">
        <v>363</v>
      </c>
      <c r="D323" s="2105">
        <v>143167.20000000001</v>
      </c>
      <c r="E323" s="471" t="s">
        <v>773</v>
      </c>
    </row>
    <row r="324" spans="1:5" hidden="1">
      <c r="A324" s="471" t="s">
        <v>906</v>
      </c>
      <c r="B324" s="3" t="s">
        <v>54</v>
      </c>
      <c r="C324" s="50" t="s">
        <v>363</v>
      </c>
      <c r="D324" s="2105">
        <v>358509.60000000003</v>
      </c>
      <c r="E324" s="471" t="s">
        <v>906</v>
      </c>
    </row>
    <row r="325" spans="1:5" hidden="1">
      <c r="A325" s="471" t="s">
        <v>968</v>
      </c>
      <c r="B325" s="3" t="s">
        <v>56</v>
      </c>
      <c r="C325" s="6" t="s">
        <v>363</v>
      </c>
      <c r="D325" s="32">
        <v>286334.40000000002</v>
      </c>
      <c r="E325" s="471" t="s">
        <v>968</v>
      </c>
    </row>
    <row r="326" spans="1:5" hidden="1">
      <c r="A326" s="471" t="s">
        <v>907</v>
      </c>
      <c r="B326" s="3" t="s">
        <v>908</v>
      </c>
      <c r="C326" s="50" t="s">
        <v>363</v>
      </c>
      <c r="D326" s="2105">
        <v>243739.19999999998</v>
      </c>
      <c r="E326" s="471" t="s">
        <v>907</v>
      </c>
    </row>
    <row r="327" spans="1:5" hidden="1">
      <c r="A327" s="471" t="s">
        <v>909</v>
      </c>
      <c r="B327" s="3" t="s">
        <v>910</v>
      </c>
      <c r="C327" s="50" t="s">
        <v>363</v>
      </c>
      <c r="D327" s="2105">
        <v>222441.59999999998</v>
      </c>
      <c r="E327" s="471" t="s">
        <v>909</v>
      </c>
    </row>
    <row r="328" spans="1:5" hidden="1">
      <c r="A328" s="471" t="s">
        <v>911</v>
      </c>
      <c r="B328" s="3" t="s">
        <v>57</v>
      </c>
      <c r="C328" s="50" t="s">
        <v>363</v>
      </c>
      <c r="D328" s="2105">
        <v>114770.4</v>
      </c>
      <c r="E328" s="471" t="s">
        <v>911</v>
      </c>
    </row>
    <row r="329" spans="1:5" hidden="1">
      <c r="A329" s="471" t="s">
        <v>912</v>
      </c>
      <c r="B329" s="3" t="s">
        <v>62</v>
      </c>
      <c r="C329" s="50" t="s">
        <v>363</v>
      </c>
      <c r="D329" s="2105">
        <v>101755.2</v>
      </c>
      <c r="E329" s="471" t="s">
        <v>912</v>
      </c>
    </row>
    <row r="330" spans="1:5" hidden="1">
      <c r="A330" s="471" t="s">
        <v>913</v>
      </c>
      <c r="B330" s="3" t="s">
        <v>58</v>
      </c>
      <c r="C330" s="50" t="s">
        <v>363</v>
      </c>
      <c r="D330" s="2105">
        <v>108854.39999999999</v>
      </c>
      <c r="E330" s="471" t="s">
        <v>913</v>
      </c>
    </row>
    <row r="331" spans="1:5" hidden="1">
      <c r="A331" s="471" t="s">
        <v>914</v>
      </c>
      <c r="B331" s="3" t="s">
        <v>64</v>
      </c>
      <c r="C331" s="50" t="s">
        <v>363</v>
      </c>
      <c r="D331" s="2105">
        <v>73358.399999999994</v>
      </c>
      <c r="E331" s="471" t="s">
        <v>914</v>
      </c>
    </row>
    <row r="332" spans="1:5" hidden="1">
      <c r="A332" s="471" t="s">
        <v>915</v>
      </c>
      <c r="B332" s="3" t="s">
        <v>63</v>
      </c>
      <c r="C332" s="50" t="s">
        <v>363</v>
      </c>
      <c r="D332" s="2105">
        <v>57976.799999999996</v>
      </c>
      <c r="E332" s="471" t="s">
        <v>915</v>
      </c>
    </row>
    <row r="333" spans="1:5" hidden="1">
      <c r="A333" s="2" t="s">
        <v>188</v>
      </c>
      <c r="B333" s="5" t="s">
        <v>66</v>
      </c>
      <c r="C333" s="50" t="s">
        <v>363</v>
      </c>
      <c r="D333" s="32">
        <v>2147508</v>
      </c>
      <c r="E333" s="2" t="s">
        <v>188</v>
      </c>
    </row>
    <row r="334" spans="1:5" hidden="1">
      <c r="A334" s="2" t="s">
        <v>194</v>
      </c>
      <c r="B334" s="5" t="s">
        <v>65</v>
      </c>
      <c r="C334" s="50" t="s">
        <v>363</v>
      </c>
      <c r="D334" s="32">
        <f>1270756.8</f>
        <v>1270756.8</v>
      </c>
      <c r="E334" s="2" t="s">
        <v>194</v>
      </c>
    </row>
    <row r="335" spans="1:5" hidden="1">
      <c r="A335" s="2" t="s">
        <v>195</v>
      </c>
      <c r="B335" s="5" t="s">
        <v>67</v>
      </c>
      <c r="C335" s="50" t="s">
        <v>363</v>
      </c>
      <c r="D335" s="32">
        <v>585684</v>
      </c>
      <c r="E335" s="2" t="s">
        <v>195</v>
      </c>
    </row>
    <row r="336" spans="1:5" hidden="1">
      <c r="A336" s="2" t="s">
        <v>196</v>
      </c>
      <c r="B336" s="5" t="s">
        <v>596</v>
      </c>
      <c r="C336" s="50" t="s">
        <v>363</v>
      </c>
      <c r="D336" s="32">
        <v>957208.79999999993</v>
      </c>
      <c r="E336" s="2" t="s">
        <v>196</v>
      </c>
    </row>
    <row r="337" spans="1:5" hidden="1">
      <c r="A337" s="2" t="s">
        <v>408</v>
      </c>
      <c r="B337" s="41" t="s">
        <v>597</v>
      </c>
      <c r="C337" s="6" t="s">
        <v>363</v>
      </c>
      <c r="D337" s="32">
        <v>572668.80000000005</v>
      </c>
      <c r="E337" s="2" t="s">
        <v>408</v>
      </c>
    </row>
    <row r="338" spans="1:5" hidden="1">
      <c r="A338" s="2" t="s">
        <v>599</v>
      </c>
      <c r="B338" s="41" t="s">
        <v>598</v>
      </c>
      <c r="C338" s="6" t="s">
        <v>363</v>
      </c>
      <c r="D338" s="32">
        <v>501676.79999999993</v>
      </c>
      <c r="E338" s="2" t="s">
        <v>599</v>
      </c>
    </row>
    <row r="339" spans="1:5" hidden="1">
      <c r="A339" s="2" t="s">
        <v>600</v>
      </c>
      <c r="B339" s="41" t="s">
        <v>166</v>
      </c>
      <c r="C339" s="6" t="s">
        <v>363</v>
      </c>
      <c r="D339" s="32">
        <v>437783.99999999994</v>
      </c>
      <c r="E339" s="2" t="s">
        <v>600</v>
      </c>
    </row>
    <row r="340" spans="1:5" hidden="1">
      <c r="A340" s="471" t="s">
        <v>916</v>
      </c>
      <c r="B340" s="3" t="s">
        <v>917</v>
      </c>
      <c r="C340" s="50" t="s">
        <v>363</v>
      </c>
      <c r="D340" s="2105">
        <v>199960.80000000002</v>
      </c>
      <c r="E340" s="471" t="s">
        <v>916</v>
      </c>
    </row>
    <row r="341" spans="1:5" hidden="1">
      <c r="A341" s="471" t="s">
        <v>918</v>
      </c>
      <c r="B341" s="3" t="s">
        <v>919</v>
      </c>
      <c r="C341" s="50" t="s">
        <v>363</v>
      </c>
      <c r="D341" s="2105">
        <v>133701.6</v>
      </c>
      <c r="E341" s="471" t="s">
        <v>918</v>
      </c>
    </row>
    <row r="342" spans="1:5" hidden="1">
      <c r="A342" s="471" t="s">
        <v>920</v>
      </c>
      <c r="B342" s="3" t="s">
        <v>921</v>
      </c>
      <c r="C342" s="50" t="s">
        <v>363</v>
      </c>
      <c r="D342" s="2105">
        <v>78091.199999999997</v>
      </c>
      <c r="E342" s="471" t="s">
        <v>920</v>
      </c>
    </row>
    <row r="343" spans="1:5" hidden="1">
      <c r="A343" s="471" t="s">
        <v>469</v>
      </c>
      <c r="B343" s="3" t="s">
        <v>470</v>
      </c>
      <c r="C343" s="50" t="s">
        <v>363</v>
      </c>
      <c r="D343" s="2105">
        <v>131335.19999999998</v>
      </c>
      <c r="E343" s="471" t="s">
        <v>469</v>
      </c>
    </row>
    <row r="344" spans="1:5" hidden="1">
      <c r="A344" s="471" t="s">
        <v>471</v>
      </c>
      <c r="B344" s="3" t="s">
        <v>472</v>
      </c>
      <c r="C344" s="50" t="s">
        <v>363</v>
      </c>
      <c r="D344" s="2105">
        <v>113587.19999999998</v>
      </c>
      <c r="E344" s="471" t="s">
        <v>471</v>
      </c>
    </row>
    <row r="345" spans="1:5" hidden="1">
      <c r="A345" s="471" t="s">
        <v>473</v>
      </c>
      <c r="B345" s="3" t="s">
        <v>474</v>
      </c>
      <c r="C345" s="50" t="s">
        <v>363</v>
      </c>
      <c r="D345" s="2105">
        <v>243739.19999999998</v>
      </c>
      <c r="E345" s="471" t="s">
        <v>473</v>
      </c>
    </row>
    <row r="346" spans="1:5">
      <c r="A346" s="471"/>
      <c r="B346" s="3"/>
      <c r="C346" s="50"/>
      <c r="D346" s="2105"/>
      <c r="E346" s="471"/>
    </row>
    <row r="347" spans="1:5">
      <c r="A347" s="471"/>
      <c r="B347" s="2019" t="s">
        <v>6791</v>
      </c>
      <c r="C347" s="50" t="s">
        <v>363</v>
      </c>
      <c r="D347" s="2109">
        <f>240000*1.19</f>
        <v>285600</v>
      </c>
      <c r="E347" s="471"/>
    </row>
    <row r="348" spans="1:5">
      <c r="A348" s="471"/>
      <c r="B348" s="2019" t="s">
        <v>6790</v>
      </c>
      <c r="C348" s="50" t="s">
        <v>363</v>
      </c>
      <c r="D348" s="2109">
        <f>173400*1.19</f>
        <v>206346</v>
      </c>
      <c r="E348" s="471"/>
    </row>
    <row r="349" spans="1:5">
      <c r="A349" s="471"/>
      <c r="B349" s="3"/>
      <c r="C349" s="50"/>
      <c r="D349" s="2105"/>
      <c r="E349" s="471"/>
    </row>
    <row r="350" spans="1:5">
      <c r="A350" s="471"/>
      <c r="B350" s="2019" t="s">
        <v>5100</v>
      </c>
      <c r="C350" s="50" t="s">
        <v>363</v>
      </c>
      <c r="D350" s="2109">
        <f>372000*1.19</f>
        <v>442680</v>
      </c>
      <c r="E350" s="471"/>
    </row>
    <row r="351" spans="1:5">
      <c r="A351" s="471"/>
      <c r="B351" s="2019" t="s">
        <v>6453</v>
      </c>
      <c r="C351" s="50" t="s">
        <v>363</v>
      </c>
      <c r="D351" s="2109">
        <f>301000*1.19</f>
        <v>358190</v>
      </c>
      <c r="E351" s="471"/>
    </row>
    <row r="352" spans="1:5">
      <c r="A352" s="471"/>
      <c r="B352" s="2019" t="s">
        <v>6606</v>
      </c>
      <c r="C352" s="50" t="s">
        <v>363</v>
      </c>
      <c r="D352" s="2109">
        <f>671200*1.19</f>
        <v>798728</v>
      </c>
      <c r="E352" s="471"/>
    </row>
    <row r="353" spans="1:8">
      <c r="A353" s="471"/>
      <c r="B353" s="2019" t="s">
        <v>5066</v>
      </c>
      <c r="C353" s="50" t="s">
        <v>363</v>
      </c>
      <c r="D353" s="2109">
        <f>890000*1.19</f>
        <v>1059100</v>
      </c>
      <c r="E353" s="471"/>
    </row>
    <row r="354" spans="1:8">
      <c r="A354" s="471"/>
      <c r="B354" s="2019" t="s">
        <v>4364</v>
      </c>
      <c r="C354" s="50" t="s">
        <v>363</v>
      </c>
      <c r="D354" s="2109">
        <f>1204500*1.19</f>
        <v>1433355</v>
      </c>
      <c r="E354" s="471"/>
    </row>
    <row r="355" spans="1:8">
      <c r="A355" s="471"/>
      <c r="B355" s="2019" t="s">
        <v>4495</v>
      </c>
      <c r="C355" s="50" t="s">
        <v>363</v>
      </c>
      <c r="D355" s="2109">
        <f>1672300*1.19</f>
        <v>1990037</v>
      </c>
      <c r="E355" s="471"/>
      <c r="H355" s="2129"/>
    </row>
    <row r="356" spans="1:8">
      <c r="A356" s="471"/>
      <c r="B356" s="2019" t="s">
        <v>4483</v>
      </c>
      <c r="C356" s="50" t="s">
        <v>363</v>
      </c>
      <c r="D356" s="2109">
        <f>2085000*1.19</f>
        <v>2481150</v>
      </c>
      <c r="E356" s="471"/>
    </row>
    <row r="357" spans="1:8">
      <c r="A357" s="471"/>
      <c r="B357" s="2019" t="s">
        <v>6533</v>
      </c>
      <c r="C357" s="50" t="s">
        <v>363</v>
      </c>
      <c r="D357" s="2109">
        <v>385690</v>
      </c>
      <c r="E357" s="471"/>
    </row>
    <row r="358" spans="1:8">
      <c r="A358" s="471"/>
      <c r="B358" s="2019"/>
      <c r="C358" s="50"/>
      <c r="D358" s="2109"/>
      <c r="E358" s="471"/>
    </row>
    <row r="359" spans="1:8">
      <c r="A359" s="471"/>
      <c r="B359" s="2019" t="s">
        <v>6725</v>
      </c>
      <c r="C359" s="50" t="s">
        <v>363</v>
      </c>
      <c r="D359" s="2109">
        <f>192500*1.19</f>
        <v>229075</v>
      </c>
      <c r="E359" s="471"/>
    </row>
    <row r="360" spans="1:8">
      <c r="A360" s="471"/>
      <c r="B360" s="2019" t="s">
        <v>6692</v>
      </c>
      <c r="C360" s="50" t="s">
        <v>363</v>
      </c>
      <c r="D360" s="2109">
        <f>210000*1.19</f>
        <v>249900</v>
      </c>
      <c r="E360" s="471"/>
    </row>
    <row r="361" spans="1:8" hidden="1">
      <c r="A361" s="471"/>
      <c r="B361" s="2019"/>
      <c r="C361" s="50"/>
      <c r="D361" s="2105"/>
      <c r="E361" s="471"/>
    </row>
    <row r="362" spans="1:8" hidden="1">
      <c r="A362" s="471" t="s">
        <v>790</v>
      </c>
      <c r="B362" s="3" t="s">
        <v>691</v>
      </c>
      <c r="C362" s="50" t="s">
        <v>363</v>
      </c>
      <c r="D362" s="2105">
        <v>1351214.4000000001</v>
      </c>
      <c r="E362" s="471" t="s">
        <v>790</v>
      </c>
    </row>
    <row r="363" spans="1:8" hidden="1">
      <c r="A363" s="471" t="s">
        <v>752</v>
      </c>
      <c r="B363" s="3" t="s">
        <v>690</v>
      </c>
      <c r="C363" s="50" t="s">
        <v>363</v>
      </c>
      <c r="D363" s="2105">
        <v>260303.99999999997</v>
      </c>
      <c r="E363" s="471" t="s">
        <v>752</v>
      </c>
    </row>
    <row r="364" spans="1:8" hidden="1">
      <c r="A364" s="471" t="s">
        <v>301</v>
      </c>
      <c r="B364" s="3" t="s">
        <v>300</v>
      </c>
      <c r="C364" s="50" t="s">
        <v>363</v>
      </c>
      <c r="D364" s="2105">
        <v>234273.59999999998</v>
      </c>
      <c r="E364" s="471" t="s">
        <v>301</v>
      </c>
    </row>
    <row r="365" spans="1:8" hidden="1">
      <c r="A365" s="471" t="s">
        <v>589</v>
      </c>
      <c r="B365" s="3" t="s">
        <v>588</v>
      </c>
      <c r="C365" s="50" t="s">
        <v>363</v>
      </c>
      <c r="D365" s="2105">
        <v>188128.80000000002</v>
      </c>
      <c r="E365" s="471" t="s">
        <v>589</v>
      </c>
    </row>
    <row r="366" spans="1:8" hidden="1">
      <c r="A366" s="471" t="s">
        <v>922</v>
      </c>
      <c r="B366" s="3" t="s">
        <v>923</v>
      </c>
      <c r="C366" s="50" t="s">
        <v>363</v>
      </c>
      <c r="D366" s="2105">
        <v>157365.6</v>
      </c>
      <c r="E366" s="471" t="s">
        <v>922</v>
      </c>
    </row>
    <row r="367" spans="1:8" hidden="1">
      <c r="A367" s="471" t="s">
        <v>587</v>
      </c>
      <c r="B367" s="3" t="s">
        <v>586</v>
      </c>
      <c r="C367" s="50" t="s">
        <v>363</v>
      </c>
      <c r="D367" s="2105">
        <v>128968.79999999999</v>
      </c>
      <c r="E367" s="471" t="s">
        <v>587</v>
      </c>
    </row>
    <row r="368" spans="1:8" hidden="1">
      <c r="A368" s="471" t="s">
        <v>924</v>
      </c>
      <c r="B368" s="3" t="s">
        <v>925</v>
      </c>
      <c r="C368" s="50" t="s">
        <v>363</v>
      </c>
      <c r="D368" s="2105">
        <v>79274.399999999994</v>
      </c>
      <c r="E368" s="471" t="s">
        <v>924</v>
      </c>
    </row>
    <row r="369" spans="1:5" hidden="1">
      <c r="A369" s="471" t="s">
        <v>926</v>
      </c>
      <c r="B369" s="3" t="s">
        <v>927</v>
      </c>
      <c r="C369" s="50" t="s">
        <v>363</v>
      </c>
      <c r="D369" s="2105">
        <v>54427.199999999997</v>
      </c>
      <c r="E369" s="471" t="s">
        <v>926</v>
      </c>
    </row>
    <row r="370" spans="1:5" hidden="1">
      <c r="A370" s="471" t="s">
        <v>928</v>
      </c>
      <c r="B370" s="3" t="s">
        <v>929</v>
      </c>
      <c r="C370" s="50" t="s">
        <v>363</v>
      </c>
      <c r="D370" s="2105">
        <f>46000*1.16</f>
        <v>53359.999999999993</v>
      </c>
      <c r="E370" s="471" t="s">
        <v>928</v>
      </c>
    </row>
    <row r="371" spans="1:5" hidden="1">
      <c r="A371" s="2" t="s">
        <v>930</v>
      </c>
      <c r="B371" s="3" t="s">
        <v>696</v>
      </c>
      <c r="C371" s="2110" t="s">
        <v>363</v>
      </c>
      <c r="D371" s="2105">
        <v>35141.040000000001</v>
      </c>
      <c r="E371" s="2" t="s">
        <v>930</v>
      </c>
    </row>
    <row r="372" spans="1:5" hidden="1">
      <c r="A372" s="2" t="s">
        <v>186</v>
      </c>
      <c r="B372" s="5" t="s">
        <v>376</v>
      </c>
      <c r="C372" s="50" t="s">
        <v>363</v>
      </c>
      <c r="D372" s="32">
        <v>224334.71999999997</v>
      </c>
      <c r="E372" s="2" t="s">
        <v>186</v>
      </c>
    </row>
    <row r="373" spans="1:5" hidden="1">
      <c r="A373" s="2" t="s">
        <v>187</v>
      </c>
      <c r="B373" s="5" t="s">
        <v>712</v>
      </c>
      <c r="C373" s="50" t="s">
        <v>363</v>
      </c>
      <c r="D373" s="32">
        <v>214395.84</v>
      </c>
      <c r="E373" s="2" t="s">
        <v>187</v>
      </c>
    </row>
    <row r="374" spans="1:5" hidden="1">
      <c r="A374" s="2" t="s">
        <v>112</v>
      </c>
      <c r="B374" s="18" t="s">
        <v>113</v>
      </c>
      <c r="C374" s="50" t="s">
        <v>363</v>
      </c>
      <c r="D374" s="32">
        <v>205876.80000000002</v>
      </c>
      <c r="E374" s="2" t="s">
        <v>112</v>
      </c>
    </row>
    <row r="375" spans="1:5" hidden="1">
      <c r="A375" s="2" t="s">
        <v>70</v>
      </c>
      <c r="B375" s="18" t="s">
        <v>69</v>
      </c>
      <c r="C375" s="50" t="s">
        <v>363</v>
      </c>
      <c r="D375" s="32">
        <f>229540.8*1.25</f>
        <v>286926</v>
      </c>
      <c r="E375" s="2" t="s">
        <v>70</v>
      </c>
    </row>
    <row r="376" spans="1:5" hidden="1">
      <c r="A376" s="2" t="s">
        <v>659</v>
      </c>
      <c r="B376" s="18" t="s">
        <v>658</v>
      </c>
      <c r="C376" s="6" t="s">
        <v>363</v>
      </c>
      <c r="D376" s="710">
        <v>205640.16</v>
      </c>
      <c r="E376" s="2" t="s">
        <v>659</v>
      </c>
    </row>
    <row r="377" spans="1:5" hidden="1">
      <c r="A377" s="2"/>
      <c r="B377" s="18"/>
      <c r="C377" s="2110"/>
      <c r="D377" s="710"/>
      <c r="E377" s="2"/>
    </row>
    <row r="378" spans="1:5" hidden="1">
      <c r="A378" s="2" t="s">
        <v>931</v>
      </c>
      <c r="B378" s="3" t="s">
        <v>4273</v>
      </c>
      <c r="C378" s="50" t="s">
        <v>363</v>
      </c>
      <c r="D378" s="2105">
        <f>263000*1.19</f>
        <v>312970</v>
      </c>
      <c r="E378" s="2" t="s">
        <v>931</v>
      </c>
    </row>
    <row r="379" spans="1:5" hidden="1">
      <c r="A379" s="471" t="s">
        <v>935</v>
      </c>
      <c r="B379" s="3" t="s">
        <v>936</v>
      </c>
      <c r="C379" s="50" t="s">
        <v>363</v>
      </c>
      <c r="D379" s="2105">
        <v>58568.399999999994</v>
      </c>
      <c r="E379" s="471" t="s">
        <v>935</v>
      </c>
    </row>
    <row r="380" spans="1:5" hidden="1">
      <c r="A380" s="471" t="s">
        <v>933</v>
      </c>
      <c r="B380" s="3" t="s">
        <v>934</v>
      </c>
      <c r="C380" s="50" t="s">
        <v>363</v>
      </c>
      <c r="D380" s="2105">
        <v>85900.32</v>
      </c>
      <c r="E380" s="471" t="s">
        <v>933</v>
      </c>
    </row>
    <row r="381" spans="1:5" hidden="1">
      <c r="A381" s="471" t="s">
        <v>38</v>
      </c>
      <c r="B381" s="3" t="s">
        <v>4275</v>
      </c>
      <c r="C381" s="50" t="s">
        <v>363</v>
      </c>
      <c r="D381" s="2105">
        <v>110629.19999999998</v>
      </c>
      <c r="E381" s="471" t="s">
        <v>38</v>
      </c>
    </row>
    <row r="382" spans="1:5" hidden="1">
      <c r="A382" s="471" t="s">
        <v>762</v>
      </c>
      <c r="B382" s="3" t="s">
        <v>4274</v>
      </c>
      <c r="C382" s="50" t="s">
        <v>363</v>
      </c>
      <c r="D382" s="2105">
        <v>360000</v>
      </c>
      <c r="E382" s="471" t="s">
        <v>762</v>
      </c>
    </row>
    <row r="383" spans="1:5" hidden="1">
      <c r="A383" s="471" t="s">
        <v>39</v>
      </c>
      <c r="B383" s="3" t="s">
        <v>42</v>
      </c>
      <c r="C383" s="50" t="s">
        <v>363</v>
      </c>
      <c r="D383" s="2105">
        <v>694183.44000000006</v>
      </c>
      <c r="E383" s="471" t="s">
        <v>39</v>
      </c>
    </row>
    <row r="384" spans="1:5" hidden="1">
      <c r="A384" s="2" t="s">
        <v>311</v>
      </c>
      <c r="B384" s="3" t="s">
        <v>312</v>
      </c>
      <c r="C384" s="6" t="s">
        <v>363</v>
      </c>
      <c r="D384" s="32">
        <v>715836</v>
      </c>
      <c r="E384" s="2" t="s">
        <v>311</v>
      </c>
    </row>
    <row r="385" spans="1:5" hidden="1">
      <c r="A385" s="2" t="s">
        <v>791</v>
      </c>
      <c r="B385" s="3" t="s">
        <v>792</v>
      </c>
      <c r="C385" s="6" t="s">
        <v>363</v>
      </c>
      <c r="D385" s="32">
        <v>922895.99999999988</v>
      </c>
      <c r="E385" s="2" t="s">
        <v>791</v>
      </c>
    </row>
    <row r="386" spans="1:5" hidden="1">
      <c r="A386" s="471"/>
      <c r="B386" s="3"/>
      <c r="C386" s="50"/>
      <c r="D386" s="2105"/>
      <c r="E386" s="471"/>
    </row>
    <row r="387" spans="1:5" hidden="1">
      <c r="A387" s="471" t="s">
        <v>937</v>
      </c>
      <c r="B387" s="3" t="s">
        <v>938</v>
      </c>
      <c r="C387" s="50" t="s">
        <v>363</v>
      </c>
      <c r="D387" s="2105">
        <v>100217.04000000001</v>
      </c>
      <c r="E387" s="471" t="s">
        <v>937</v>
      </c>
    </row>
    <row r="388" spans="1:5" hidden="1">
      <c r="A388" s="2" t="s">
        <v>755</v>
      </c>
      <c r="B388" s="3" t="s">
        <v>756</v>
      </c>
      <c r="C388" s="2110" t="s">
        <v>363</v>
      </c>
      <c r="D388" s="2105">
        <v>71583.600000000006</v>
      </c>
      <c r="E388" s="2" t="s">
        <v>755</v>
      </c>
    </row>
    <row r="389" spans="1:5" hidden="1">
      <c r="A389" s="2" t="s">
        <v>657</v>
      </c>
      <c r="B389" s="41" t="s">
        <v>310</v>
      </c>
      <c r="C389" s="6" t="s">
        <v>363</v>
      </c>
      <c r="D389" s="32">
        <v>400000</v>
      </c>
      <c r="E389" s="2" t="s">
        <v>657</v>
      </c>
    </row>
    <row r="390" spans="1:5" hidden="1">
      <c r="A390" s="471" t="s">
        <v>757</v>
      </c>
      <c r="B390" s="3" t="s">
        <v>758</v>
      </c>
      <c r="C390" s="50" t="s">
        <v>363</v>
      </c>
      <c r="D390" s="2105">
        <v>57266.879999999997</v>
      </c>
      <c r="E390" s="471" t="s">
        <v>757</v>
      </c>
    </row>
    <row r="391" spans="1:5" hidden="1">
      <c r="A391" s="471" t="s">
        <v>759</v>
      </c>
      <c r="B391" s="3" t="s">
        <v>760</v>
      </c>
      <c r="C391" s="50" t="s">
        <v>363</v>
      </c>
      <c r="D391" s="2105">
        <v>71583.600000000006</v>
      </c>
      <c r="E391" s="471" t="s">
        <v>759</v>
      </c>
    </row>
    <row r="392" spans="1:5" hidden="1">
      <c r="A392" s="471" t="s">
        <v>761</v>
      </c>
      <c r="B392" s="3" t="s">
        <v>328</v>
      </c>
      <c r="C392" s="50" t="s">
        <v>363</v>
      </c>
      <c r="D392" s="2105">
        <v>126247.44</v>
      </c>
      <c r="E392" s="471" t="s">
        <v>761</v>
      </c>
    </row>
    <row r="393" spans="1:5" hidden="1">
      <c r="A393" s="471" t="s">
        <v>329</v>
      </c>
      <c r="B393" s="3" t="s">
        <v>763</v>
      </c>
      <c r="C393" s="50" t="s">
        <v>363</v>
      </c>
      <c r="D393" s="2105">
        <v>380000</v>
      </c>
      <c r="E393" s="471" t="s">
        <v>329</v>
      </c>
    </row>
    <row r="394" spans="1:5" hidden="1">
      <c r="A394" s="2" t="s">
        <v>766</v>
      </c>
      <c r="B394" s="3" t="s">
        <v>549</v>
      </c>
      <c r="C394" s="2110" t="s">
        <v>363</v>
      </c>
      <c r="D394" s="2105">
        <v>104121.60000000001</v>
      </c>
      <c r="E394" s="2" t="s">
        <v>766</v>
      </c>
    </row>
    <row r="395" spans="1:5" hidden="1">
      <c r="A395" s="2" t="s">
        <v>550</v>
      </c>
      <c r="B395" s="3" t="s">
        <v>767</v>
      </c>
      <c r="C395" s="2110" t="s">
        <v>363</v>
      </c>
      <c r="D395" s="2105">
        <v>70992</v>
      </c>
      <c r="E395" s="2" t="s">
        <v>550</v>
      </c>
    </row>
    <row r="396" spans="1:5" hidden="1">
      <c r="A396" s="2" t="s">
        <v>548</v>
      </c>
      <c r="B396" s="3" t="s">
        <v>547</v>
      </c>
      <c r="C396" s="2110" t="s">
        <v>363</v>
      </c>
      <c r="D396" s="2105">
        <v>141984</v>
      </c>
      <c r="E396" s="2" t="s">
        <v>548</v>
      </c>
    </row>
    <row r="397" spans="1:5" hidden="1">
      <c r="A397" s="2" t="s">
        <v>425</v>
      </c>
      <c r="B397" s="3" t="s">
        <v>592</v>
      </c>
      <c r="C397" s="2110" t="s">
        <v>363</v>
      </c>
      <c r="D397" s="2105">
        <v>106488</v>
      </c>
      <c r="E397" s="2" t="s">
        <v>425</v>
      </c>
    </row>
    <row r="398" spans="1:5" hidden="1">
      <c r="A398" s="2" t="s">
        <v>553</v>
      </c>
      <c r="B398" s="3" t="s">
        <v>554</v>
      </c>
      <c r="C398" s="2110" t="s">
        <v>363</v>
      </c>
      <c r="D398" s="2105">
        <v>165648</v>
      </c>
      <c r="E398" s="2" t="s">
        <v>553</v>
      </c>
    </row>
    <row r="399" spans="1:5" hidden="1">
      <c r="A399" s="2" t="s">
        <v>594</v>
      </c>
      <c r="B399" s="3" t="s">
        <v>593</v>
      </c>
      <c r="C399" s="2110" t="s">
        <v>363</v>
      </c>
      <c r="D399" s="2105">
        <v>218891.99999999997</v>
      </c>
      <c r="E399" s="2" t="s">
        <v>594</v>
      </c>
    </row>
    <row r="400" spans="1:5" hidden="1">
      <c r="A400" s="2" t="s">
        <v>764</v>
      </c>
      <c r="B400" s="3" t="s">
        <v>551</v>
      </c>
      <c r="C400" s="2110" t="s">
        <v>363</v>
      </c>
      <c r="D400" s="2105">
        <v>237823.19999999998</v>
      </c>
      <c r="E400" s="2" t="s">
        <v>764</v>
      </c>
    </row>
    <row r="401" spans="1:5" hidden="1">
      <c r="A401" s="2" t="s">
        <v>552</v>
      </c>
      <c r="B401" s="3" t="s">
        <v>765</v>
      </c>
      <c r="C401" s="2110" t="s">
        <v>363</v>
      </c>
      <c r="D401" s="2105">
        <v>237823.19999999998</v>
      </c>
      <c r="E401" s="2" t="s">
        <v>552</v>
      </c>
    </row>
    <row r="402" spans="1:5" hidden="1">
      <c r="A402" s="2" t="s">
        <v>4271</v>
      </c>
      <c r="B402" s="3" t="s">
        <v>4270</v>
      </c>
      <c r="C402" s="2110" t="s">
        <v>363</v>
      </c>
      <c r="D402" s="2105">
        <v>450000</v>
      </c>
      <c r="E402" s="2"/>
    </row>
    <row r="403" spans="1:5" hidden="1">
      <c r="A403" s="2" t="s">
        <v>668</v>
      </c>
      <c r="B403" s="3" t="s">
        <v>667</v>
      </c>
      <c r="C403" s="2110" t="s">
        <v>363</v>
      </c>
      <c r="D403" s="2105">
        <v>717.01919999999996</v>
      </c>
      <c r="E403" s="2" t="s">
        <v>668</v>
      </c>
    </row>
    <row r="404" spans="1:5" hidden="1">
      <c r="A404" s="2" t="s">
        <v>768</v>
      </c>
      <c r="B404" s="3" t="s">
        <v>769</v>
      </c>
      <c r="C404" s="2110" t="s">
        <v>363</v>
      </c>
      <c r="D404" s="2105">
        <v>3006.96</v>
      </c>
      <c r="E404" s="2" t="s">
        <v>768</v>
      </c>
    </row>
    <row r="405" spans="1:5" hidden="1">
      <c r="A405" s="2" t="s">
        <v>744</v>
      </c>
      <c r="B405" s="3" t="s">
        <v>743</v>
      </c>
      <c r="C405" s="2110" t="s">
        <v>363</v>
      </c>
      <c r="D405" s="32">
        <v>13652.944799999999</v>
      </c>
      <c r="E405" s="2" t="s">
        <v>744</v>
      </c>
    </row>
    <row r="406" spans="1:5" hidden="1">
      <c r="A406" s="2" t="s">
        <v>745</v>
      </c>
      <c r="B406" s="3" t="s">
        <v>746</v>
      </c>
      <c r="C406" s="2110" t="s">
        <v>363</v>
      </c>
      <c r="D406" s="32">
        <v>24805.787999999997</v>
      </c>
      <c r="E406" s="2" t="s">
        <v>745</v>
      </c>
    </row>
    <row r="407" spans="1:5" hidden="1">
      <c r="A407" s="2" t="s">
        <v>956</v>
      </c>
      <c r="B407" s="3" t="s">
        <v>957</v>
      </c>
      <c r="C407" s="2110" t="s">
        <v>363</v>
      </c>
      <c r="D407" s="32">
        <v>31581.974399999999</v>
      </c>
      <c r="E407" s="2" t="s">
        <v>956</v>
      </c>
    </row>
    <row r="408" spans="1:5" hidden="1">
      <c r="A408" s="471" t="s">
        <v>770</v>
      </c>
      <c r="B408" s="3" t="s">
        <v>771</v>
      </c>
      <c r="C408" s="50" t="s">
        <v>772</v>
      </c>
      <c r="D408" s="2105">
        <v>12500.1</v>
      </c>
      <c r="E408" s="471" t="s">
        <v>770</v>
      </c>
    </row>
    <row r="409" spans="1:5" hidden="1">
      <c r="A409" s="2" t="s">
        <v>871</v>
      </c>
      <c r="B409" s="3" t="s">
        <v>449</v>
      </c>
      <c r="C409" s="2110" t="s">
        <v>450</v>
      </c>
      <c r="D409" s="2105">
        <v>58250.119200000001</v>
      </c>
      <c r="E409" s="2" t="s">
        <v>871</v>
      </c>
    </row>
    <row r="410" spans="1:5" hidden="1">
      <c r="A410" s="2" t="s">
        <v>451</v>
      </c>
      <c r="B410" s="3" t="s">
        <v>452</v>
      </c>
      <c r="C410" s="2110" t="s">
        <v>450</v>
      </c>
      <c r="D410" s="2105">
        <v>28085.7</v>
      </c>
      <c r="E410" s="710">
        <f>+'BASE 2'!D738</f>
        <v>200979.89333333331</v>
      </c>
    </row>
    <row r="411" spans="1:5" hidden="1">
      <c r="A411" s="2" t="s">
        <v>453</v>
      </c>
      <c r="B411" s="3" t="s">
        <v>454</v>
      </c>
      <c r="C411" s="2110" t="s">
        <v>45</v>
      </c>
      <c r="D411" s="2105">
        <v>1307.4359999999999</v>
      </c>
      <c r="E411" s="2" t="s">
        <v>453</v>
      </c>
    </row>
    <row r="412" spans="1:5" hidden="1">
      <c r="A412" s="2" t="s">
        <v>455</v>
      </c>
      <c r="B412" s="3" t="s">
        <v>456</v>
      </c>
      <c r="C412" s="2110" t="s">
        <v>363</v>
      </c>
      <c r="D412" s="2105">
        <v>3031.3583999999996</v>
      </c>
      <c r="E412" s="2" t="s">
        <v>455</v>
      </c>
    </row>
    <row r="413" spans="1:5" hidden="1">
      <c r="A413" s="2" t="s">
        <v>457</v>
      </c>
      <c r="B413" s="3" t="s">
        <v>24</v>
      </c>
      <c r="C413" s="2110" t="s">
        <v>363</v>
      </c>
      <c r="D413" s="2105">
        <v>2853.8783999999996</v>
      </c>
      <c r="E413" s="2" t="s">
        <v>457</v>
      </c>
    </row>
    <row r="414" spans="1:5" hidden="1">
      <c r="A414" s="2" t="s">
        <v>25</v>
      </c>
      <c r="B414" s="3" t="s">
        <v>26</v>
      </c>
      <c r="C414" s="2110" t="s">
        <v>363</v>
      </c>
      <c r="D414" s="2105">
        <v>6182.22</v>
      </c>
      <c r="E414" s="2" t="s">
        <v>25</v>
      </c>
    </row>
    <row r="415" spans="1:5" hidden="1">
      <c r="A415" s="2" t="s">
        <v>27</v>
      </c>
      <c r="B415" s="3" t="s">
        <v>28</v>
      </c>
      <c r="C415" s="2110" t="s">
        <v>363</v>
      </c>
      <c r="D415" s="2105">
        <v>12367.989599999999</v>
      </c>
      <c r="E415" s="2" t="s">
        <v>27</v>
      </c>
    </row>
    <row r="416" spans="1:5" hidden="1">
      <c r="A416" s="2" t="s">
        <v>29</v>
      </c>
      <c r="B416" s="3" t="s">
        <v>786</v>
      </c>
      <c r="C416" s="2110" t="s">
        <v>363</v>
      </c>
      <c r="D416" s="2105">
        <v>13999.622399999998</v>
      </c>
      <c r="E416" s="2" t="s">
        <v>29</v>
      </c>
    </row>
    <row r="417" spans="1:5" hidden="1">
      <c r="A417" s="2" t="s">
        <v>787</v>
      </c>
      <c r="B417" s="3" t="s">
        <v>37</v>
      </c>
      <c r="C417" s="2110" t="s">
        <v>363</v>
      </c>
      <c r="D417" s="2105">
        <v>17795.327999999998</v>
      </c>
      <c r="E417" s="2" t="s">
        <v>787</v>
      </c>
    </row>
    <row r="418" spans="1:5" hidden="1">
      <c r="A418" s="2" t="s">
        <v>315</v>
      </c>
      <c r="B418" s="3" t="s">
        <v>316</v>
      </c>
      <c r="C418" s="2110" t="s">
        <v>363</v>
      </c>
      <c r="D418" s="2105">
        <v>15300</v>
      </c>
      <c r="E418" s="2" t="s">
        <v>315</v>
      </c>
    </row>
    <row r="419" spans="1:5" hidden="1">
      <c r="A419" s="2" t="s">
        <v>317</v>
      </c>
      <c r="B419" s="3" t="s">
        <v>318</v>
      </c>
      <c r="C419" s="2110" t="s">
        <v>363</v>
      </c>
      <c r="D419" s="2105">
        <v>7140</v>
      </c>
      <c r="E419" s="2" t="s">
        <v>317</v>
      </c>
    </row>
    <row r="420" spans="1:5" hidden="1">
      <c r="A420" s="2" t="s">
        <v>319</v>
      </c>
      <c r="B420" s="3" t="s">
        <v>320</v>
      </c>
      <c r="C420" s="2110" t="s">
        <v>363</v>
      </c>
      <c r="D420" s="2105">
        <v>67320</v>
      </c>
      <c r="E420" s="2" t="s">
        <v>319</v>
      </c>
    </row>
    <row r="421" spans="1:5" hidden="1">
      <c r="A421" s="471" t="s">
        <v>321</v>
      </c>
      <c r="B421" s="3" t="s">
        <v>322</v>
      </c>
      <c r="C421" s="50" t="s">
        <v>363</v>
      </c>
      <c r="D421" s="2105">
        <v>25500</v>
      </c>
      <c r="E421" s="471" t="s">
        <v>321</v>
      </c>
    </row>
    <row r="422" spans="1:5" hidden="1">
      <c r="A422" s="471" t="s">
        <v>323</v>
      </c>
      <c r="B422" s="3" t="s">
        <v>324</v>
      </c>
      <c r="C422" s="50" t="s">
        <v>363</v>
      </c>
      <c r="D422" s="2105">
        <v>23460</v>
      </c>
      <c r="E422" s="471" t="s">
        <v>323</v>
      </c>
    </row>
    <row r="423" spans="1:5" hidden="1">
      <c r="A423" s="2" t="s">
        <v>250</v>
      </c>
      <c r="B423" s="18" t="s">
        <v>251</v>
      </c>
      <c r="C423" s="42" t="s">
        <v>647</v>
      </c>
      <c r="D423" s="2109">
        <v>8896</v>
      </c>
      <c r="E423" s="2" t="s">
        <v>250</v>
      </c>
    </row>
    <row r="424" spans="1:5" hidden="1">
      <c r="A424" s="2" t="s">
        <v>263</v>
      </c>
      <c r="B424" s="18" t="s">
        <v>264</v>
      </c>
      <c r="C424" s="42" t="s">
        <v>374</v>
      </c>
      <c r="D424" s="2105">
        <v>1632</v>
      </c>
      <c r="E424" s="2" t="s">
        <v>263</v>
      </c>
    </row>
    <row r="425" spans="1:5" hidden="1">
      <c r="A425" s="2" t="s">
        <v>431</v>
      </c>
      <c r="B425" s="18" t="s">
        <v>163</v>
      </c>
      <c r="C425" s="42" t="s">
        <v>45</v>
      </c>
      <c r="D425" s="2105">
        <v>25379.640000000003</v>
      </c>
      <c r="E425" s="2" t="s">
        <v>431</v>
      </c>
    </row>
    <row r="426" spans="1:5" hidden="1">
      <c r="A426" s="2" t="s">
        <v>415</v>
      </c>
      <c r="B426" s="18" t="s">
        <v>416</v>
      </c>
      <c r="C426" s="42" t="s">
        <v>363</v>
      </c>
      <c r="D426" s="2105">
        <v>142.80000000000001</v>
      </c>
      <c r="E426" s="2" t="s">
        <v>415</v>
      </c>
    </row>
    <row r="427" spans="1:5" hidden="1">
      <c r="A427" s="2" t="s">
        <v>417</v>
      </c>
      <c r="B427" s="18" t="s">
        <v>996</v>
      </c>
      <c r="C427" s="42" t="s">
        <v>45</v>
      </c>
      <c r="D427" s="2105">
        <v>19788</v>
      </c>
      <c r="E427" s="2" t="s">
        <v>417</v>
      </c>
    </row>
    <row r="428" spans="1:5" hidden="1">
      <c r="A428" s="2" t="s">
        <v>630</v>
      </c>
      <c r="B428" s="18" t="s">
        <v>309</v>
      </c>
      <c r="C428" s="42" t="s">
        <v>45</v>
      </c>
      <c r="D428" s="2105">
        <v>12525.6</v>
      </c>
      <c r="E428" s="2" t="s">
        <v>630</v>
      </c>
    </row>
    <row r="429" spans="1:5" hidden="1">
      <c r="A429" s="2" t="s">
        <v>198</v>
      </c>
      <c r="B429" s="18" t="s">
        <v>306</v>
      </c>
      <c r="C429" s="42" t="s">
        <v>45</v>
      </c>
      <c r="D429" s="2105">
        <v>11093.52</v>
      </c>
      <c r="E429" s="2" t="s">
        <v>198</v>
      </c>
    </row>
    <row r="430" spans="1:5" hidden="1">
      <c r="A430" s="2" t="s">
        <v>723</v>
      </c>
      <c r="B430" s="100" t="s">
        <v>724</v>
      </c>
      <c r="C430" s="2" t="s">
        <v>45</v>
      </c>
      <c r="D430" s="710">
        <v>12311.4</v>
      </c>
      <c r="E430" s="2" t="s">
        <v>723</v>
      </c>
    </row>
    <row r="431" spans="1:5" hidden="1">
      <c r="A431" s="2" t="s">
        <v>672</v>
      </c>
      <c r="B431" s="5" t="s">
        <v>673</v>
      </c>
      <c r="C431" s="50" t="s">
        <v>363</v>
      </c>
      <c r="D431" s="32">
        <v>263853.59999999998</v>
      </c>
      <c r="E431" s="2" t="s">
        <v>672</v>
      </c>
    </row>
    <row r="432" spans="1:5" hidden="1">
      <c r="A432" s="2" t="s">
        <v>674</v>
      </c>
      <c r="B432" s="5" t="s">
        <v>675</v>
      </c>
      <c r="C432" s="50" t="s">
        <v>363</v>
      </c>
      <c r="D432" s="32">
        <v>396372</v>
      </c>
      <c r="E432" s="2" t="s">
        <v>674</v>
      </c>
    </row>
    <row r="433" spans="1:5" hidden="1">
      <c r="A433" s="2" t="s">
        <v>676</v>
      </c>
      <c r="B433" s="5" t="s">
        <v>677</v>
      </c>
      <c r="C433" s="50" t="s">
        <v>363</v>
      </c>
      <c r="D433" s="32">
        <v>567936</v>
      </c>
      <c r="E433" s="2" t="s">
        <v>676</v>
      </c>
    </row>
    <row r="434" spans="1:5" hidden="1">
      <c r="A434" s="2" t="s">
        <v>678</v>
      </c>
      <c r="B434" s="5" t="s">
        <v>730</v>
      </c>
      <c r="C434" s="50" t="s">
        <v>363</v>
      </c>
      <c r="D434" s="32">
        <v>1579572</v>
      </c>
      <c r="E434" s="2" t="s">
        <v>678</v>
      </c>
    </row>
    <row r="435" spans="1:5" hidden="1">
      <c r="A435" s="2" t="s">
        <v>731</v>
      </c>
      <c r="B435" s="5" t="s">
        <v>732</v>
      </c>
      <c r="C435" s="50" t="s">
        <v>363</v>
      </c>
      <c r="D435" s="32">
        <v>2129760</v>
      </c>
      <c r="E435" s="2" t="s">
        <v>731</v>
      </c>
    </row>
    <row r="436" spans="1:5" hidden="1">
      <c r="A436" s="2" t="s">
        <v>86</v>
      </c>
      <c r="B436" s="100" t="s">
        <v>87</v>
      </c>
      <c r="C436" s="42" t="s">
        <v>363</v>
      </c>
      <c r="D436" s="32">
        <v>15300</v>
      </c>
      <c r="E436" s="2" t="s">
        <v>86</v>
      </c>
    </row>
    <row r="437" spans="1:5" hidden="1">
      <c r="A437" s="2" t="s">
        <v>90</v>
      </c>
      <c r="B437" s="100" t="s">
        <v>88</v>
      </c>
      <c r="C437" s="42" t="s">
        <v>772</v>
      </c>
      <c r="D437" s="32">
        <v>714</v>
      </c>
      <c r="E437" s="2" t="s">
        <v>90</v>
      </c>
    </row>
    <row r="438" spans="1:5" hidden="1">
      <c r="A438" s="2" t="s">
        <v>726</v>
      </c>
      <c r="B438" s="100" t="s">
        <v>89</v>
      </c>
      <c r="C438" s="42" t="s">
        <v>94</v>
      </c>
      <c r="D438" s="32">
        <v>867</v>
      </c>
      <c r="E438" s="2" t="s">
        <v>726</v>
      </c>
    </row>
    <row r="439" spans="1:5" hidden="1">
      <c r="A439" s="2" t="s">
        <v>960</v>
      </c>
      <c r="B439" s="3" t="s">
        <v>104</v>
      </c>
      <c r="C439" s="50" t="s">
        <v>363</v>
      </c>
      <c r="D439" s="32">
        <v>44319</v>
      </c>
      <c r="E439" s="2" t="s">
        <v>960</v>
      </c>
    </row>
    <row r="440" spans="1:5" hidden="1">
      <c r="A440" s="2" t="s">
        <v>961</v>
      </c>
      <c r="B440" s="3" t="s">
        <v>106</v>
      </c>
      <c r="C440" s="50" t="s">
        <v>363</v>
      </c>
      <c r="D440" s="32">
        <v>41514</v>
      </c>
      <c r="E440" s="2" t="s">
        <v>961</v>
      </c>
    </row>
    <row r="441" spans="1:5" hidden="1">
      <c r="A441" s="2" t="s">
        <v>964</v>
      </c>
      <c r="B441" s="3" t="s">
        <v>106</v>
      </c>
      <c r="C441" s="50" t="s">
        <v>363</v>
      </c>
      <c r="D441" s="32">
        <v>60486</v>
      </c>
      <c r="E441" s="2" t="s">
        <v>964</v>
      </c>
    </row>
    <row r="442" spans="1:5" hidden="1">
      <c r="A442" s="2" t="s">
        <v>962</v>
      </c>
      <c r="B442" s="3" t="s">
        <v>105</v>
      </c>
      <c r="C442" s="50" t="s">
        <v>363</v>
      </c>
      <c r="D442" s="32">
        <v>28050.000000000004</v>
      </c>
      <c r="E442" s="2" t="s">
        <v>962</v>
      </c>
    </row>
    <row r="443" spans="1:5" hidden="1">
      <c r="A443" s="2" t="s">
        <v>234</v>
      </c>
      <c r="B443" s="3" t="s">
        <v>235</v>
      </c>
      <c r="C443" s="50" t="s">
        <v>236</v>
      </c>
      <c r="D443" s="32">
        <v>27489.000000000004</v>
      </c>
      <c r="E443" s="2" t="s">
        <v>234</v>
      </c>
    </row>
    <row r="444" spans="1:5" hidden="1">
      <c r="A444" s="2" t="s">
        <v>963</v>
      </c>
      <c r="B444" s="3" t="s">
        <v>237</v>
      </c>
      <c r="C444" s="50" t="s">
        <v>238</v>
      </c>
      <c r="D444" s="32">
        <v>13045.800000000001</v>
      </c>
      <c r="E444" s="2" t="s">
        <v>963</v>
      </c>
    </row>
    <row r="445" spans="1:5" hidden="1">
      <c r="A445" s="2" t="s">
        <v>338</v>
      </c>
      <c r="B445" s="5" t="s">
        <v>339</v>
      </c>
      <c r="C445" s="50" t="s">
        <v>647</v>
      </c>
      <c r="D445" s="32">
        <v>248390.39999999999</v>
      </c>
      <c r="E445" s="2" t="s">
        <v>338</v>
      </c>
    </row>
    <row r="446" spans="1:5" hidden="1">
      <c r="A446" s="2" t="s">
        <v>477</v>
      </c>
      <c r="B446" s="5" t="s">
        <v>95</v>
      </c>
      <c r="C446" s="50" t="s">
        <v>238</v>
      </c>
      <c r="D446" s="32">
        <v>35700</v>
      </c>
      <c r="E446" s="2" t="s">
        <v>477</v>
      </c>
    </row>
    <row r="447" spans="1:5" hidden="1">
      <c r="A447" s="2" t="s">
        <v>340</v>
      </c>
      <c r="B447" s="5" t="s">
        <v>341</v>
      </c>
      <c r="C447" s="50" t="s">
        <v>363</v>
      </c>
      <c r="D447" s="32">
        <v>6660.6</v>
      </c>
      <c r="E447" s="2" t="s">
        <v>340</v>
      </c>
    </row>
    <row r="448" spans="1:5" hidden="1">
      <c r="A448" s="2" t="s">
        <v>243</v>
      </c>
      <c r="B448" s="5" t="s">
        <v>244</v>
      </c>
      <c r="C448" s="50" t="s">
        <v>363</v>
      </c>
      <c r="D448" s="32">
        <v>6528</v>
      </c>
      <c r="E448" s="2" t="s">
        <v>243</v>
      </c>
    </row>
    <row r="449" spans="1:5" hidden="1">
      <c r="A449" s="2" t="s">
        <v>988</v>
      </c>
      <c r="B449" s="5" t="s">
        <v>989</v>
      </c>
      <c r="C449" s="50" t="s">
        <v>363</v>
      </c>
      <c r="D449" s="32">
        <v>185640</v>
      </c>
      <c r="E449" s="2" t="s">
        <v>988</v>
      </c>
    </row>
    <row r="450" spans="1:5" hidden="1">
      <c r="A450" s="2" t="s">
        <v>245</v>
      </c>
      <c r="B450" s="5" t="s">
        <v>146</v>
      </c>
      <c r="C450" s="50" t="s">
        <v>363</v>
      </c>
      <c r="D450" s="32">
        <v>2958</v>
      </c>
      <c r="E450" s="2" t="s">
        <v>245</v>
      </c>
    </row>
    <row r="451" spans="1:5" hidden="1">
      <c r="A451" s="2" t="s">
        <v>79</v>
      </c>
      <c r="B451" s="78" t="s">
        <v>332</v>
      </c>
      <c r="C451" s="6" t="s">
        <v>650</v>
      </c>
      <c r="D451" s="32">
        <v>2366.4</v>
      </c>
      <c r="E451" s="2" t="s">
        <v>79</v>
      </c>
    </row>
    <row r="452" spans="1:5" hidden="1">
      <c r="A452" s="2" t="s">
        <v>147</v>
      </c>
      <c r="B452" s="18" t="s">
        <v>148</v>
      </c>
      <c r="C452" s="50" t="s">
        <v>363</v>
      </c>
      <c r="D452" s="32">
        <v>2042.0400000000002</v>
      </c>
      <c r="E452" s="2" t="s">
        <v>147</v>
      </c>
    </row>
    <row r="453" spans="1:5" hidden="1">
      <c r="A453" s="2" t="s">
        <v>149</v>
      </c>
      <c r="B453" s="5" t="s">
        <v>111</v>
      </c>
      <c r="C453" s="50" t="s">
        <v>363</v>
      </c>
      <c r="D453" s="32">
        <v>57283.200000000012</v>
      </c>
      <c r="E453" s="2" t="s">
        <v>149</v>
      </c>
    </row>
    <row r="454" spans="1:5" hidden="1">
      <c r="A454" s="2" t="s">
        <v>958</v>
      </c>
      <c r="B454" s="5" t="s">
        <v>959</v>
      </c>
      <c r="C454" s="50" t="s">
        <v>363</v>
      </c>
      <c r="D454" s="32">
        <v>51387.600000000006</v>
      </c>
      <c r="E454" s="2" t="s">
        <v>958</v>
      </c>
    </row>
    <row r="455" spans="1:5" hidden="1">
      <c r="A455" s="2" t="s">
        <v>241</v>
      </c>
      <c r="B455" s="5" t="s">
        <v>242</v>
      </c>
      <c r="C455" s="50" t="s">
        <v>363</v>
      </c>
      <c r="D455" s="32">
        <v>2805</v>
      </c>
      <c r="E455" s="2" t="s">
        <v>241</v>
      </c>
    </row>
    <row r="456" spans="1:5" hidden="1">
      <c r="A456" s="471" t="s">
        <v>561</v>
      </c>
      <c r="B456" s="3" t="s">
        <v>727</v>
      </c>
      <c r="C456" s="50" t="s">
        <v>363</v>
      </c>
      <c r="D456" s="32">
        <v>7140</v>
      </c>
      <c r="E456" s="471" t="s">
        <v>561</v>
      </c>
    </row>
    <row r="457" spans="1:5" hidden="1">
      <c r="A457" s="2" t="s">
        <v>990</v>
      </c>
      <c r="B457" s="5" t="s">
        <v>991</v>
      </c>
      <c r="C457" s="50" t="s">
        <v>363</v>
      </c>
      <c r="D457" s="32">
        <v>141984</v>
      </c>
      <c r="E457" s="2" t="s">
        <v>990</v>
      </c>
    </row>
    <row r="458" spans="1:5" hidden="1">
      <c r="A458" s="2" t="s">
        <v>992</v>
      </c>
      <c r="B458" s="5" t="s">
        <v>993</v>
      </c>
      <c r="C458" s="50" t="s">
        <v>363</v>
      </c>
      <c r="D458" s="32">
        <v>826.2</v>
      </c>
      <c r="E458" s="2" t="s">
        <v>992</v>
      </c>
    </row>
    <row r="459" spans="1:5" hidden="1">
      <c r="A459" s="471" t="s">
        <v>277</v>
      </c>
      <c r="B459" s="3" t="s">
        <v>711</v>
      </c>
      <c r="C459" s="6" t="s">
        <v>363</v>
      </c>
      <c r="D459" s="710">
        <v>2342255.3250000002</v>
      </c>
      <c r="E459" s="471" t="s">
        <v>277</v>
      </c>
    </row>
    <row r="460" spans="1:5" hidden="1">
      <c r="A460" s="2" t="s">
        <v>239</v>
      </c>
      <c r="B460" s="18" t="s">
        <v>240</v>
      </c>
      <c r="C460" s="2" t="s">
        <v>363</v>
      </c>
      <c r="D460" s="710">
        <v>2550</v>
      </c>
      <c r="E460" s="2" t="s">
        <v>239</v>
      </c>
    </row>
    <row r="461" spans="1:5" hidden="1">
      <c r="A461" s="2" t="s">
        <v>522</v>
      </c>
      <c r="B461" s="5" t="s">
        <v>1001</v>
      </c>
      <c r="C461" s="6" t="s">
        <v>363</v>
      </c>
      <c r="D461" s="710">
        <v>108854.39999999999</v>
      </c>
      <c r="E461" s="2" t="s">
        <v>522</v>
      </c>
    </row>
    <row r="462" spans="1:5" hidden="1">
      <c r="A462" s="2" t="s">
        <v>33</v>
      </c>
      <c r="B462" s="5" t="s">
        <v>32</v>
      </c>
      <c r="C462" s="6" t="s">
        <v>363</v>
      </c>
      <c r="D462" s="710">
        <v>166831.20000000001</v>
      </c>
      <c r="E462" s="2" t="s">
        <v>33</v>
      </c>
    </row>
    <row r="463" spans="1:5" hidden="1">
      <c r="A463" s="2" t="s">
        <v>1003</v>
      </c>
      <c r="B463" s="3" t="s">
        <v>1004</v>
      </c>
      <c r="C463" s="6" t="s">
        <v>647</v>
      </c>
      <c r="D463" s="2112">
        <v>828.24</v>
      </c>
      <c r="E463" s="2" t="s">
        <v>1003</v>
      </c>
    </row>
    <row r="464" spans="1:5" hidden="1">
      <c r="A464" s="2" t="s">
        <v>1009</v>
      </c>
      <c r="B464" s="3" t="s">
        <v>1010</v>
      </c>
      <c r="C464" s="6" t="s">
        <v>772</v>
      </c>
      <c r="D464" s="710">
        <v>53550</v>
      </c>
      <c r="E464" s="2" t="s">
        <v>1009</v>
      </c>
    </row>
    <row r="465" spans="1:5" hidden="1">
      <c r="A465" s="2" t="s">
        <v>1011</v>
      </c>
      <c r="B465" s="3" t="s">
        <v>1012</v>
      </c>
      <c r="C465" s="6" t="s">
        <v>1002</v>
      </c>
      <c r="D465" s="2112">
        <v>13056</v>
      </c>
      <c r="E465" s="2" t="s">
        <v>1011</v>
      </c>
    </row>
    <row r="466" spans="1:5" hidden="1">
      <c r="A466" s="471" t="s">
        <v>437</v>
      </c>
      <c r="B466" s="3" t="s">
        <v>438</v>
      </c>
      <c r="C466" s="6" t="s">
        <v>650</v>
      </c>
      <c r="D466" s="585">
        <v>19584</v>
      </c>
      <c r="E466" s="471" t="s">
        <v>437</v>
      </c>
    </row>
    <row r="467" spans="1:5" hidden="1">
      <c r="A467" s="2" t="s">
        <v>439</v>
      </c>
      <c r="B467" s="100" t="s">
        <v>440</v>
      </c>
      <c r="C467" s="2" t="s">
        <v>650</v>
      </c>
      <c r="D467" s="710">
        <v>8160</v>
      </c>
      <c r="E467" s="2" t="s">
        <v>439</v>
      </c>
    </row>
    <row r="468" spans="1:5" hidden="1">
      <c r="A468" s="2" t="s">
        <v>382</v>
      </c>
      <c r="B468" s="100" t="s">
        <v>381</v>
      </c>
      <c r="C468" s="2" t="s">
        <v>647</v>
      </c>
      <c r="D468" s="710">
        <v>4080</v>
      </c>
      <c r="E468" s="2" t="s">
        <v>382</v>
      </c>
    </row>
    <row r="469" spans="1:5" hidden="1">
      <c r="A469" s="13" t="s">
        <v>4670</v>
      </c>
      <c r="B469" s="55" t="s">
        <v>4671</v>
      </c>
      <c r="C469" s="596" t="s">
        <v>4672</v>
      </c>
      <c r="D469" s="2115">
        <v>50850</v>
      </c>
      <c r="E469" s="13"/>
    </row>
    <row r="470" spans="1:5" hidden="1">
      <c r="A470" s="13"/>
      <c r="B470" s="22"/>
      <c r="C470" s="13"/>
      <c r="D470" s="2105"/>
      <c r="E470" s="13"/>
    </row>
    <row r="471" spans="1:5" hidden="1">
      <c r="A471" s="1" t="s">
        <v>141</v>
      </c>
      <c r="B471" s="77" t="s">
        <v>304</v>
      </c>
      <c r="C471" s="49" t="s">
        <v>343</v>
      </c>
      <c r="D471" s="2107" t="s">
        <v>344</v>
      </c>
      <c r="E471" s="1" t="s">
        <v>141</v>
      </c>
    </row>
    <row r="472" spans="1:5" hidden="1">
      <c r="A472" s="2" t="s">
        <v>305</v>
      </c>
      <c r="B472" s="18" t="s">
        <v>998</v>
      </c>
      <c r="C472" s="42" t="s">
        <v>45</v>
      </c>
      <c r="D472" s="2105">
        <v>3337.2700000000004</v>
      </c>
      <c r="E472" s="2" t="s">
        <v>305</v>
      </c>
    </row>
    <row r="473" spans="1:5" hidden="1">
      <c r="A473" s="2" t="s">
        <v>999</v>
      </c>
      <c r="B473" s="18" t="s">
        <v>197</v>
      </c>
      <c r="C473" s="42" t="s">
        <v>363</v>
      </c>
      <c r="D473" s="2105">
        <v>9917.4600000000009</v>
      </c>
      <c r="E473" s="2" t="s">
        <v>999</v>
      </c>
    </row>
    <row r="474" spans="1:5" hidden="1">
      <c r="A474" s="42"/>
      <c r="B474" s="18" t="s">
        <v>156</v>
      </c>
      <c r="C474" s="42" t="s">
        <v>363</v>
      </c>
      <c r="D474" s="32">
        <v>14546.22</v>
      </c>
      <c r="E474" s="42"/>
    </row>
    <row r="475" spans="1:5" hidden="1">
      <c r="A475" s="42"/>
      <c r="B475" s="18" t="s">
        <v>157</v>
      </c>
      <c r="C475" s="42" t="s">
        <v>363</v>
      </c>
      <c r="D475" s="32">
        <v>29367.84</v>
      </c>
      <c r="E475" s="42"/>
    </row>
    <row r="476" spans="1:5" hidden="1">
      <c r="A476" s="42" t="s">
        <v>85</v>
      </c>
      <c r="B476" s="18" t="s">
        <v>158</v>
      </c>
      <c r="C476" s="42" t="s">
        <v>363</v>
      </c>
      <c r="D476" s="32">
        <v>29851.32</v>
      </c>
      <c r="E476" s="42" t="s">
        <v>85</v>
      </c>
    </row>
    <row r="477" spans="1:5" hidden="1">
      <c r="A477" s="2" t="s">
        <v>595</v>
      </c>
      <c r="B477" s="18" t="s">
        <v>159</v>
      </c>
      <c r="C477" s="42" t="s">
        <v>363</v>
      </c>
      <c r="D477" s="32">
        <v>16498.5</v>
      </c>
      <c r="E477" s="2" t="s">
        <v>595</v>
      </c>
    </row>
    <row r="478" spans="1:5" hidden="1">
      <c r="A478" s="2" t="s">
        <v>168</v>
      </c>
      <c r="B478" s="18" t="s">
        <v>160</v>
      </c>
      <c r="C478" s="42" t="s">
        <v>363</v>
      </c>
      <c r="D478" s="32">
        <v>19082.16</v>
      </c>
      <c r="E478" s="2" t="s">
        <v>168</v>
      </c>
    </row>
    <row r="479" spans="1:5" hidden="1">
      <c r="A479" s="2" t="s">
        <v>84</v>
      </c>
      <c r="B479" s="18" t="s">
        <v>161</v>
      </c>
      <c r="C479" s="42" t="s">
        <v>363</v>
      </c>
      <c r="D479" s="32">
        <v>44516.88</v>
      </c>
      <c r="E479" s="2" t="s">
        <v>84</v>
      </c>
    </row>
    <row r="480" spans="1:5" ht="13.5" hidden="1" customHeight="1">
      <c r="A480" s="2" t="s">
        <v>169</v>
      </c>
      <c r="B480" s="18" t="s">
        <v>162</v>
      </c>
      <c r="C480" s="42" t="s">
        <v>363</v>
      </c>
      <c r="D480" s="2116">
        <v>85473.96</v>
      </c>
      <c r="E480" s="2" t="s">
        <v>169</v>
      </c>
    </row>
    <row r="481" spans="1:5">
      <c r="A481" s="471"/>
      <c r="B481" s="2019" t="s">
        <v>6701</v>
      </c>
      <c r="C481" s="50" t="s">
        <v>363</v>
      </c>
      <c r="D481" s="2109">
        <f>381500*1.19</f>
        <v>453985</v>
      </c>
      <c r="E481" s="471"/>
    </row>
    <row r="482" spans="1:5">
      <c r="A482" s="471"/>
      <c r="B482" s="2019"/>
      <c r="C482" s="50"/>
      <c r="D482" s="2109"/>
      <c r="E482" s="73"/>
    </row>
    <row r="483" spans="1:5" ht="13.5" customHeight="1">
      <c r="A483" s="2"/>
      <c r="B483" s="2019" t="s">
        <v>4414</v>
      </c>
      <c r="C483" s="50" t="s">
        <v>363</v>
      </c>
      <c r="D483" s="2109">
        <f>410000*1.19</f>
        <v>487900</v>
      </c>
      <c r="E483" s="13"/>
    </row>
    <row r="484" spans="1:5" ht="13.5" customHeight="1">
      <c r="A484" s="2"/>
      <c r="B484" s="2019" t="s">
        <v>4415</v>
      </c>
      <c r="C484" s="50" t="s">
        <v>363</v>
      </c>
      <c r="D484" s="2109">
        <f>385000*1.19</f>
        <v>458150</v>
      </c>
      <c r="E484" s="13"/>
    </row>
    <row r="485" spans="1:5" ht="13.5" customHeight="1">
      <c r="A485" s="2"/>
      <c r="B485" s="2019" t="s">
        <v>4527</v>
      </c>
      <c r="C485" s="50" t="s">
        <v>363</v>
      </c>
      <c r="D485" s="2109">
        <f>545000*1.19</f>
        <v>648550</v>
      </c>
      <c r="E485" s="13"/>
    </row>
    <row r="486" spans="1:5">
      <c r="A486" s="471"/>
      <c r="B486" s="3"/>
      <c r="C486" s="6"/>
      <c r="D486" s="2105"/>
      <c r="E486" s="73"/>
    </row>
    <row r="487" spans="1:5">
      <c r="A487" s="1" t="s">
        <v>141</v>
      </c>
      <c r="B487" s="77" t="s">
        <v>325</v>
      </c>
      <c r="C487" s="49" t="s">
        <v>343</v>
      </c>
      <c r="D487" s="2107" t="s">
        <v>344</v>
      </c>
      <c r="E487" s="1" t="s">
        <v>141</v>
      </c>
    </row>
    <row r="488" spans="1:5">
      <c r="A488" s="1"/>
      <c r="B488" s="2151" t="s">
        <v>6808</v>
      </c>
      <c r="C488" s="2300" t="s">
        <v>363</v>
      </c>
      <c r="D488" s="2152">
        <f>46675*1.19</f>
        <v>55543.25</v>
      </c>
      <c r="E488" s="1"/>
    </row>
    <row r="489" spans="1:5">
      <c r="A489" s="1"/>
      <c r="B489" s="2151" t="s">
        <v>7168</v>
      </c>
      <c r="C489" s="2300" t="s">
        <v>363</v>
      </c>
      <c r="D489" s="2152">
        <f>615200*1.19</f>
        <v>732088</v>
      </c>
      <c r="E489" s="1"/>
    </row>
    <row r="490" spans="1:5" ht="33.6">
      <c r="A490" s="1"/>
      <c r="B490" s="2151" t="s">
        <v>6720</v>
      </c>
      <c r="C490" s="2300" t="s">
        <v>363</v>
      </c>
      <c r="D490" s="2152">
        <f>338000*1.19</f>
        <v>402220</v>
      </c>
      <c r="E490" s="1"/>
    </row>
    <row r="491" spans="1:5" ht="33.6">
      <c r="A491" s="1"/>
      <c r="B491" s="2151" t="s">
        <v>6695</v>
      </c>
      <c r="C491" s="2300" t="s">
        <v>363</v>
      </c>
      <c r="D491" s="2152">
        <f>747500*1.19</f>
        <v>889525</v>
      </c>
      <c r="E491" s="1"/>
    </row>
    <row r="492" spans="1:5" ht="33.6">
      <c r="A492" s="1"/>
      <c r="B492" s="2151" t="s">
        <v>4524</v>
      </c>
      <c r="C492" s="2300" t="s">
        <v>363</v>
      </c>
      <c r="D492" s="2152">
        <f>666250*1.19</f>
        <v>792837.5</v>
      </c>
      <c r="E492" s="1"/>
    </row>
    <row r="493" spans="1:5">
      <c r="A493" s="1"/>
      <c r="B493" s="2151" t="s">
        <v>7119</v>
      </c>
      <c r="C493" s="2300" t="s">
        <v>363</v>
      </c>
      <c r="D493" s="2152">
        <f>1413000*1.19</f>
        <v>1681470</v>
      </c>
      <c r="E493" s="1"/>
    </row>
    <row r="494" spans="1:5" ht="30" customHeight="1">
      <c r="A494" s="471"/>
      <c r="B494" s="2151" t="s">
        <v>4570</v>
      </c>
      <c r="C494" s="2312" t="s">
        <v>363</v>
      </c>
      <c r="D494" s="2152">
        <f>1245000*1.19</f>
        <v>1481550</v>
      </c>
      <c r="E494" s="1"/>
    </row>
    <row r="495" spans="1:5" ht="30" customHeight="1">
      <c r="A495" s="471"/>
      <c r="B495" s="2151" t="s">
        <v>6820</v>
      </c>
      <c r="C495" s="2312" t="s">
        <v>363</v>
      </c>
      <c r="D495" s="2152">
        <f>1700000*1.19</f>
        <v>2023000</v>
      </c>
      <c r="E495" s="1"/>
    </row>
    <row r="496" spans="1:5" ht="30" customHeight="1">
      <c r="A496" s="471"/>
      <c r="B496" s="2151" t="s">
        <v>1322</v>
      </c>
      <c r="C496" s="2312" t="s">
        <v>363</v>
      </c>
      <c r="D496" s="2152">
        <f>1050000*1.19</f>
        <v>1249500</v>
      </c>
      <c r="E496" s="1"/>
    </row>
    <row r="497" spans="1:5" ht="28.5" customHeight="1">
      <c r="A497" s="471"/>
      <c r="B497" s="2151" t="s">
        <v>4360</v>
      </c>
      <c r="C497" s="2312" t="s">
        <v>363</v>
      </c>
      <c r="D497" s="2152">
        <f>2585000*1.19</f>
        <v>3076150</v>
      </c>
      <c r="E497" s="1"/>
    </row>
    <row r="498" spans="1:5" ht="30" customHeight="1">
      <c r="A498" s="471"/>
      <c r="B498" s="2151" t="s">
        <v>4494</v>
      </c>
      <c r="C498" s="2312" t="s">
        <v>363</v>
      </c>
      <c r="D498" s="2152">
        <f>2475000*1.19</f>
        <v>2945250</v>
      </c>
      <c r="E498" s="1"/>
    </row>
    <row r="499" spans="1:5">
      <c r="A499" s="471"/>
      <c r="B499" s="2019" t="s">
        <v>6446</v>
      </c>
      <c r="C499" s="2312" t="s">
        <v>363</v>
      </c>
      <c r="D499" s="2109">
        <f>1654000*1.19</f>
        <v>1968260</v>
      </c>
      <c r="E499" s="1"/>
    </row>
    <row r="500" spans="1:5" ht="30" customHeight="1">
      <c r="A500" s="471"/>
      <c r="B500" s="2151" t="s">
        <v>4486</v>
      </c>
      <c r="C500" s="2312" t="s">
        <v>363</v>
      </c>
      <c r="D500" s="2152">
        <f>2910000*1.19</f>
        <v>3462900</v>
      </c>
      <c r="E500" s="1"/>
    </row>
    <row r="501" spans="1:5">
      <c r="A501" s="471"/>
      <c r="B501" s="2019" t="s">
        <v>4367</v>
      </c>
      <c r="C501" s="2312" t="s">
        <v>363</v>
      </c>
      <c r="D501" s="2109">
        <f>3932600*1.19</f>
        <v>4679794</v>
      </c>
      <c r="E501" s="1"/>
    </row>
    <row r="502" spans="1:5" ht="30" customHeight="1">
      <c r="A502" s="471"/>
      <c r="B502" s="2151" t="s">
        <v>4488</v>
      </c>
      <c r="C502" s="2312" t="s">
        <v>363</v>
      </c>
      <c r="D502" s="2152">
        <f>5150400*1.19</f>
        <v>6128976</v>
      </c>
      <c r="E502" s="1"/>
    </row>
    <row r="503" spans="1:5" ht="78" customHeight="1">
      <c r="A503" s="471"/>
      <c r="B503" s="2301" t="s">
        <v>6301</v>
      </c>
      <c r="C503" s="2312" t="s">
        <v>363</v>
      </c>
      <c r="D503" s="2152">
        <f>875000*1.19</f>
        <v>1041250</v>
      </c>
      <c r="E503" s="1"/>
    </row>
    <row r="504" spans="1:5" ht="67.2">
      <c r="A504" s="471"/>
      <c r="B504" s="2151" t="s">
        <v>6302</v>
      </c>
      <c r="C504" s="2312" t="s">
        <v>363</v>
      </c>
      <c r="D504" s="2152">
        <f>476000*1.19</f>
        <v>566440</v>
      </c>
      <c r="E504" s="1"/>
    </row>
    <row r="505" spans="1:5" ht="84">
      <c r="A505" s="471"/>
      <c r="B505" s="2151" t="s">
        <v>6917</v>
      </c>
      <c r="C505" s="2312" t="s">
        <v>363</v>
      </c>
      <c r="D505" s="2152">
        <f>455000*1.19</f>
        <v>541450</v>
      </c>
      <c r="E505" s="1"/>
    </row>
    <row r="506" spans="1:5" ht="67.2">
      <c r="A506" s="471"/>
      <c r="B506" s="2151" t="s">
        <v>6306</v>
      </c>
      <c r="C506" s="2312" t="s">
        <v>363</v>
      </c>
      <c r="D506" s="2152">
        <f>338000*1.19</f>
        <v>402220</v>
      </c>
      <c r="E506" s="1"/>
    </row>
    <row r="507" spans="1:5" ht="62.25" customHeight="1">
      <c r="A507" s="471"/>
      <c r="B507" s="2151" t="s">
        <v>5070</v>
      </c>
      <c r="C507" s="2312" t="s">
        <v>363</v>
      </c>
      <c r="D507" s="2152">
        <f>455000*1.19</f>
        <v>541450</v>
      </c>
      <c r="E507" s="1"/>
    </row>
    <row r="508" spans="1:5" ht="67.2">
      <c r="A508" s="471"/>
      <c r="B508" s="2151" t="s">
        <v>1316</v>
      </c>
      <c r="C508" s="2312" t="s">
        <v>363</v>
      </c>
      <c r="D508" s="2152">
        <f>442000*1.19</f>
        <v>525980</v>
      </c>
      <c r="E508" s="1"/>
    </row>
    <row r="509" spans="1:5" ht="50.4">
      <c r="A509" s="471"/>
      <c r="B509" s="2151" t="s">
        <v>6969</v>
      </c>
      <c r="C509" s="2312" t="s">
        <v>363</v>
      </c>
      <c r="D509" s="2152">
        <f>5976000*1.19</f>
        <v>7111440</v>
      </c>
      <c r="E509" s="1"/>
    </row>
    <row r="510" spans="1:5" ht="50.4">
      <c r="A510" s="471"/>
      <c r="B510" s="2151" t="s">
        <v>6972</v>
      </c>
      <c r="C510" s="2312" t="s">
        <v>363</v>
      </c>
      <c r="D510" s="2152">
        <f>6418680*1.19</f>
        <v>7638229.1999999993</v>
      </c>
      <c r="E510" s="1"/>
    </row>
    <row r="511" spans="1:5" ht="50.4">
      <c r="A511" s="471"/>
      <c r="B511" s="2151" t="s">
        <v>4821</v>
      </c>
      <c r="C511" s="2133" t="s">
        <v>363</v>
      </c>
      <c r="D511" s="2152">
        <f>10675548*1.19</f>
        <v>12703902.119999999</v>
      </c>
      <c r="E511" s="1"/>
    </row>
    <row r="512" spans="1:5">
      <c r="A512" s="73"/>
      <c r="B512" s="2306"/>
      <c r="C512" s="2307"/>
      <c r="D512" s="2308"/>
      <c r="E512" s="2303"/>
    </row>
    <row r="513" spans="1:5" hidden="1">
      <c r="A513" s="321" t="s">
        <v>625</v>
      </c>
      <c r="B513" s="2304" t="s">
        <v>624</v>
      </c>
      <c r="C513" s="2305" t="s">
        <v>363</v>
      </c>
      <c r="D513" s="2113">
        <v>3910000</v>
      </c>
      <c r="E513" s="471" t="s">
        <v>625</v>
      </c>
    </row>
    <row r="514" spans="1:5" hidden="1">
      <c r="A514" s="471" t="s">
        <v>687</v>
      </c>
      <c r="B514" s="3" t="s">
        <v>688</v>
      </c>
      <c r="C514" s="50" t="s">
        <v>363</v>
      </c>
      <c r="D514" s="2105">
        <v>533600</v>
      </c>
      <c r="E514" s="471" t="s">
        <v>687</v>
      </c>
    </row>
    <row r="515" spans="1:5" hidden="1">
      <c r="A515" s="471" t="s">
        <v>326</v>
      </c>
      <c r="B515" s="3" t="s">
        <v>327</v>
      </c>
      <c r="C515" s="50" t="s">
        <v>363</v>
      </c>
      <c r="D515" s="2105">
        <v>1366596</v>
      </c>
      <c r="E515" s="471" t="s">
        <v>326</v>
      </c>
    </row>
    <row r="516" spans="1:5" hidden="1">
      <c r="A516" s="471" t="s">
        <v>1019</v>
      </c>
      <c r="B516" s="3" t="s">
        <v>1020</v>
      </c>
      <c r="C516" s="50" t="s">
        <v>363</v>
      </c>
      <c r="D516" s="2105">
        <f>476000*1.16</f>
        <v>552160</v>
      </c>
      <c r="E516" s="471" t="s">
        <v>1019</v>
      </c>
    </row>
    <row r="517" spans="1:5" hidden="1">
      <c r="A517" s="471" t="s">
        <v>701</v>
      </c>
      <c r="B517" s="3" t="s">
        <v>700</v>
      </c>
      <c r="C517" s="50" t="s">
        <v>363</v>
      </c>
      <c r="D517" s="2105">
        <v>740000</v>
      </c>
      <c r="E517" s="471" t="s">
        <v>701</v>
      </c>
    </row>
    <row r="518" spans="1:5" hidden="1">
      <c r="A518" s="471" t="s">
        <v>1021</v>
      </c>
      <c r="B518" s="3" t="s">
        <v>709</v>
      </c>
      <c r="C518" s="50" t="s">
        <v>363</v>
      </c>
      <c r="D518" s="2105">
        <f>393000*1.16</f>
        <v>455879.99999999994</v>
      </c>
      <c r="E518" s="471" t="s">
        <v>1021</v>
      </c>
    </row>
    <row r="519" spans="1:5" hidden="1">
      <c r="A519" s="471" t="s">
        <v>794</v>
      </c>
      <c r="B519" s="3" t="s">
        <v>793</v>
      </c>
      <c r="C519" s="50" t="s">
        <v>363</v>
      </c>
      <c r="D519" s="2105">
        <v>45079.92</v>
      </c>
      <c r="E519" s="471" t="s">
        <v>794</v>
      </c>
    </row>
    <row r="520" spans="1:5" hidden="1">
      <c r="A520" s="471" t="s">
        <v>4265</v>
      </c>
      <c r="B520" s="3" t="s">
        <v>4267</v>
      </c>
      <c r="C520" s="50" t="s">
        <v>363</v>
      </c>
      <c r="D520" s="585">
        <v>4550000</v>
      </c>
      <c r="E520" s="471"/>
    </row>
    <row r="521" spans="1:5" hidden="1">
      <c r="A521" s="471" t="s">
        <v>4268</v>
      </c>
      <c r="B521" s="3" t="s">
        <v>4269</v>
      </c>
      <c r="C521" s="50" t="s">
        <v>363</v>
      </c>
      <c r="D521" s="2105">
        <v>3565000</v>
      </c>
      <c r="E521" s="471"/>
    </row>
    <row r="522" spans="1:5" ht="18.75" hidden="1" customHeight="1">
      <c r="A522" s="471" t="s">
        <v>703</v>
      </c>
      <c r="B522" s="3" t="s">
        <v>706</v>
      </c>
      <c r="C522" s="50" t="s">
        <v>363</v>
      </c>
      <c r="D522" s="2105">
        <v>2651000</v>
      </c>
      <c r="E522" s="471" t="s">
        <v>703</v>
      </c>
    </row>
    <row r="523" spans="1:5" hidden="1">
      <c r="A523" s="471" t="s">
        <v>704</v>
      </c>
      <c r="B523" s="3" t="s">
        <v>707</v>
      </c>
      <c r="C523" s="50" t="s">
        <v>363</v>
      </c>
      <c r="D523" s="2105">
        <v>1100000</v>
      </c>
      <c r="E523" s="471" t="s">
        <v>704</v>
      </c>
    </row>
    <row r="524" spans="1:5" hidden="1">
      <c r="A524" s="471" t="s">
        <v>705</v>
      </c>
      <c r="B524" s="3" t="s">
        <v>708</v>
      </c>
      <c r="C524" s="50" t="s">
        <v>363</v>
      </c>
      <c r="D524" s="2105">
        <v>696000</v>
      </c>
      <c r="E524" s="471" t="s">
        <v>705</v>
      </c>
    </row>
    <row r="525" spans="1:5" hidden="1">
      <c r="A525" s="471" t="s">
        <v>702</v>
      </c>
      <c r="B525" s="3" t="s">
        <v>1022</v>
      </c>
      <c r="C525" s="50" t="s">
        <v>363</v>
      </c>
      <c r="D525" s="2105">
        <v>547900</v>
      </c>
      <c r="E525" s="471" t="s">
        <v>702</v>
      </c>
    </row>
    <row r="526" spans="1:5" hidden="1">
      <c r="A526" s="471" t="s">
        <v>684</v>
      </c>
      <c r="B526" s="3" t="s">
        <v>685</v>
      </c>
      <c r="C526" s="50" t="s">
        <v>363</v>
      </c>
      <c r="D526" s="2105">
        <f>576000*1.16</f>
        <v>668160</v>
      </c>
      <c r="E526" s="471" t="s">
        <v>684</v>
      </c>
    </row>
    <row r="527" spans="1:5" hidden="1">
      <c r="A527" s="471" t="s">
        <v>684</v>
      </c>
      <c r="B527" s="3" t="s">
        <v>429</v>
      </c>
      <c r="C527" s="50" t="s">
        <v>363</v>
      </c>
      <c r="D527" s="2105">
        <v>884000</v>
      </c>
      <c r="E527" s="471" t="s">
        <v>684</v>
      </c>
    </row>
    <row r="528" spans="1:5" hidden="1">
      <c r="A528" s="471" t="s">
        <v>687</v>
      </c>
      <c r="B528" s="3" t="s">
        <v>688</v>
      </c>
      <c r="C528" s="50" t="s">
        <v>363</v>
      </c>
      <c r="D528" s="2105">
        <v>368000</v>
      </c>
      <c r="E528" s="471" t="s">
        <v>687</v>
      </c>
    </row>
    <row r="529" spans="1:5" hidden="1">
      <c r="A529" s="471"/>
      <c r="B529" s="3"/>
      <c r="C529" s="50"/>
      <c r="D529" s="2105"/>
      <c r="E529" s="471"/>
    </row>
    <row r="530" spans="1:5" hidden="1">
      <c r="A530" s="471" t="s">
        <v>895</v>
      </c>
      <c r="B530" s="5" t="s">
        <v>1074</v>
      </c>
      <c r="C530" s="50" t="s">
        <v>363</v>
      </c>
      <c r="D530" s="2105">
        <v>1400000</v>
      </c>
      <c r="E530" s="471"/>
    </row>
    <row r="531" spans="1:5" hidden="1">
      <c r="A531" s="471" t="s">
        <v>31</v>
      </c>
      <c r="B531" s="3" t="s">
        <v>30</v>
      </c>
      <c r="C531" s="50" t="s">
        <v>363</v>
      </c>
      <c r="D531" s="32">
        <v>17478.72</v>
      </c>
      <c r="E531" s="471" t="s">
        <v>31</v>
      </c>
    </row>
    <row r="532" spans="1:5" hidden="1">
      <c r="A532" s="471" t="s">
        <v>480</v>
      </c>
      <c r="B532" s="3" t="s">
        <v>478</v>
      </c>
      <c r="C532" s="50" t="s">
        <v>363</v>
      </c>
      <c r="D532" s="32">
        <v>307632</v>
      </c>
      <c r="E532" s="471" t="s">
        <v>480</v>
      </c>
    </row>
    <row r="533" spans="1:5" hidden="1">
      <c r="A533" s="471" t="s">
        <v>481</v>
      </c>
      <c r="B533" s="3" t="s">
        <v>479</v>
      </c>
      <c r="C533" s="50" t="s">
        <v>363</v>
      </c>
      <c r="D533" s="32">
        <v>272340</v>
      </c>
      <c r="E533" s="471" t="s">
        <v>481</v>
      </c>
    </row>
    <row r="534" spans="1:5" ht="33.6" hidden="1">
      <c r="A534" s="471"/>
      <c r="B534" s="323" t="s">
        <v>1303</v>
      </c>
      <c r="C534" s="50" t="s">
        <v>363</v>
      </c>
      <c r="D534" s="32">
        <v>3200000</v>
      </c>
      <c r="E534" s="471"/>
    </row>
    <row r="535" spans="1:5" hidden="1">
      <c r="A535" s="471" t="s">
        <v>1023</v>
      </c>
      <c r="B535" s="3" t="s">
        <v>1024</v>
      </c>
      <c r="C535" s="50" t="s">
        <v>772</v>
      </c>
      <c r="D535" s="2309">
        <f>92019.042*1.1</f>
        <v>101220.94620000001</v>
      </c>
      <c r="E535" s="471" t="s">
        <v>1023</v>
      </c>
    </row>
    <row r="536" spans="1:5">
      <c r="A536" s="73"/>
      <c r="B536" s="80"/>
      <c r="C536" s="14"/>
      <c r="D536" s="2106"/>
      <c r="E536" s="73"/>
    </row>
    <row r="537" spans="1:5">
      <c r="A537" s="73"/>
      <c r="B537" s="2029" t="s">
        <v>6487</v>
      </c>
      <c r="C537" s="1" t="s">
        <v>343</v>
      </c>
      <c r="D537" s="2107" t="s">
        <v>344</v>
      </c>
      <c r="E537" s="73"/>
    </row>
    <row r="538" spans="1:5" ht="50.4">
      <c r="A538" s="73"/>
      <c r="B538" s="2151" t="s">
        <v>6488</v>
      </c>
      <c r="C538" s="2133" t="s">
        <v>363</v>
      </c>
      <c r="D538" s="2134">
        <f>14500000*1.19</f>
        <v>17255000</v>
      </c>
      <c r="E538" s="73"/>
    </row>
    <row r="539" spans="1:5" ht="33.6">
      <c r="A539" s="73"/>
      <c r="B539" s="2151" t="s">
        <v>6630</v>
      </c>
      <c r="C539" s="2133" t="s">
        <v>363</v>
      </c>
      <c r="D539" s="2134">
        <f>4415000*1.19</f>
        <v>5253850</v>
      </c>
      <c r="E539" s="73"/>
    </row>
    <row r="540" spans="1:5" ht="42" customHeight="1">
      <c r="A540" s="73"/>
      <c r="B540" s="2151" t="s">
        <v>6505</v>
      </c>
      <c r="C540" s="2133" t="s">
        <v>363</v>
      </c>
      <c r="D540" s="2134">
        <v>175000</v>
      </c>
      <c r="E540" s="73"/>
    </row>
    <row r="541" spans="1:5">
      <c r="A541" s="73"/>
      <c r="B541" s="3"/>
      <c r="C541" s="6"/>
      <c r="D541" s="2105"/>
      <c r="E541" s="73"/>
    </row>
    <row r="542" spans="1:5">
      <c r="A542" s="73"/>
      <c r="B542" s="3"/>
      <c r="C542" s="6"/>
      <c r="D542" s="2105"/>
      <c r="E542" s="73"/>
    </row>
    <row r="543" spans="1:5">
      <c r="A543" s="73"/>
      <c r="B543" s="2029" t="s">
        <v>6490</v>
      </c>
      <c r="C543" s="6"/>
      <c r="D543" s="2105"/>
      <c r="E543" s="73"/>
    </row>
    <row r="544" spans="1:5">
      <c r="A544" s="73"/>
      <c r="B544" s="2019" t="s">
        <v>6491</v>
      </c>
      <c r="C544" s="2117" t="s">
        <v>363</v>
      </c>
      <c r="D544" s="2109">
        <f>8600741*1.19</f>
        <v>10234881.789999999</v>
      </c>
      <c r="E544" s="73"/>
    </row>
    <row r="545" spans="1:5">
      <c r="A545" s="73"/>
      <c r="B545" s="3"/>
      <c r="C545" s="6"/>
      <c r="D545" s="2105"/>
      <c r="E545" s="73"/>
    </row>
    <row r="546" spans="1:5">
      <c r="A546" s="1"/>
      <c r="B546" s="2029" t="s">
        <v>6436</v>
      </c>
      <c r="C546" s="49" t="s">
        <v>343</v>
      </c>
      <c r="D546" s="2107" t="s">
        <v>344</v>
      </c>
      <c r="E546" s="1" t="s">
        <v>141</v>
      </c>
    </row>
    <row r="547" spans="1:5">
      <c r="A547" s="1"/>
      <c r="B547" s="2302" t="s">
        <v>7169</v>
      </c>
      <c r="C547" s="2117" t="s">
        <v>363</v>
      </c>
      <c r="D547" s="2109">
        <f>587400*1.19</f>
        <v>699006</v>
      </c>
      <c r="E547" s="734"/>
    </row>
    <row r="548" spans="1:5">
      <c r="A548" s="1"/>
      <c r="B548" s="2019" t="s">
        <v>7157</v>
      </c>
      <c r="C548" s="2194" t="s">
        <v>363</v>
      </c>
      <c r="D548" s="2109">
        <f>747350*1.19</f>
        <v>889346.5</v>
      </c>
      <c r="E548" s="734"/>
    </row>
    <row r="549" spans="1:5">
      <c r="A549" s="1"/>
      <c r="B549" s="2019" t="s">
        <v>7195</v>
      </c>
      <c r="C549" s="2194" t="s">
        <v>363</v>
      </c>
      <c r="D549" s="2109">
        <f>999300*1.19</f>
        <v>1189167</v>
      </c>
      <c r="E549" s="734"/>
    </row>
    <row r="550" spans="1:5">
      <c r="A550" s="471"/>
      <c r="B550" s="2019" t="s">
        <v>4499</v>
      </c>
      <c r="C550" s="2117" t="s">
        <v>363</v>
      </c>
      <c r="D550" s="2109">
        <f>587500*1.19</f>
        <v>699125</v>
      </c>
      <c r="E550" s="73"/>
    </row>
    <row r="551" spans="1:5">
      <c r="A551" s="471"/>
      <c r="B551" s="2019" t="s">
        <v>7090</v>
      </c>
      <c r="C551" s="2117" t="s">
        <v>363</v>
      </c>
      <c r="D551" s="2109">
        <f>726200*1.19</f>
        <v>864178</v>
      </c>
      <c r="E551" s="73"/>
    </row>
    <row r="552" spans="1:5">
      <c r="A552" s="471"/>
      <c r="B552" s="2019" t="s">
        <v>7173</v>
      </c>
      <c r="C552" s="2117" t="s">
        <v>363</v>
      </c>
      <c r="D552" s="2109">
        <f>788100*1.19</f>
        <v>937839</v>
      </c>
      <c r="E552" s="73"/>
    </row>
    <row r="553" spans="1:5">
      <c r="A553" s="471"/>
      <c r="B553" s="2019" t="s">
        <v>7095</v>
      </c>
      <c r="C553" s="2117" t="s">
        <v>363</v>
      </c>
      <c r="D553" s="2109">
        <f>1076120*1.19</f>
        <v>1280582.8</v>
      </c>
      <c r="E553" s="73"/>
    </row>
    <row r="554" spans="1:5">
      <c r="A554" s="471"/>
      <c r="B554" s="2019" t="s">
        <v>7177</v>
      </c>
      <c r="C554" s="2117" t="s">
        <v>363</v>
      </c>
      <c r="D554" s="2109">
        <f>468200*1.19</f>
        <v>557158</v>
      </c>
      <c r="E554" s="73"/>
    </row>
    <row r="555" spans="1:5">
      <c r="A555" s="471"/>
      <c r="B555" s="2019" t="s">
        <v>7185</v>
      </c>
      <c r="C555" s="2117" t="s">
        <v>363</v>
      </c>
      <c r="D555" s="2109">
        <f>595200*1.19</f>
        <v>708288</v>
      </c>
      <c r="E555" s="73"/>
    </row>
    <row r="556" spans="1:5">
      <c r="A556" s="471"/>
      <c r="B556" s="2019" t="s">
        <v>7091</v>
      </c>
      <c r="C556" s="2117" t="s">
        <v>363</v>
      </c>
      <c r="D556" s="2109">
        <f>874200*1.19</f>
        <v>1040298</v>
      </c>
      <c r="E556" s="73"/>
    </row>
    <row r="557" spans="1:5">
      <c r="A557" s="471"/>
      <c r="B557" s="2019" t="s">
        <v>5082</v>
      </c>
      <c r="C557" s="2117" t="s">
        <v>363</v>
      </c>
      <c r="D557" s="2109">
        <f>925000*1.19</f>
        <v>1100750</v>
      </c>
      <c r="E557" s="73"/>
    </row>
    <row r="558" spans="1:5">
      <c r="A558" s="471"/>
      <c r="B558" s="2019" t="s">
        <v>7092</v>
      </c>
      <c r="C558" s="2117" t="s">
        <v>363</v>
      </c>
      <c r="D558" s="2109">
        <f>994300*1.19</f>
        <v>1183217</v>
      </c>
      <c r="E558" s="73"/>
    </row>
    <row r="559" spans="1:5">
      <c r="A559" s="471"/>
      <c r="B559" s="2019" t="s">
        <v>7094</v>
      </c>
      <c r="C559" s="2117" t="s">
        <v>363</v>
      </c>
      <c r="D559" s="2109">
        <f>1315200*1.19</f>
        <v>1565088</v>
      </c>
      <c r="E559" s="73"/>
    </row>
    <row r="560" spans="1:5">
      <c r="A560" s="471"/>
      <c r="B560" s="2019" t="s">
        <v>7959</v>
      </c>
      <c r="C560" s="2117" t="s">
        <v>363</v>
      </c>
      <c r="D560" s="2109">
        <f>456312*1.19</f>
        <v>543011.28</v>
      </c>
      <c r="E560" s="73"/>
    </row>
    <row r="561" spans="1:6">
      <c r="A561" s="471"/>
      <c r="B561" s="2019" t="s">
        <v>7129</v>
      </c>
      <c r="C561" s="2117" t="s">
        <v>363</v>
      </c>
      <c r="D561" s="2109">
        <f>697430*1.19</f>
        <v>829941.7</v>
      </c>
      <c r="E561" s="73"/>
    </row>
    <row r="562" spans="1:6">
      <c r="A562" s="471"/>
      <c r="B562" s="2019" t="s">
        <v>4399</v>
      </c>
      <c r="C562" s="2117" t="s">
        <v>363</v>
      </c>
      <c r="D562" s="2109">
        <f>925000*1.19</f>
        <v>1100750</v>
      </c>
      <c r="E562" s="73"/>
    </row>
    <row r="563" spans="1:6">
      <c r="A563" s="471"/>
      <c r="B563" s="2019" t="s">
        <v>7961</v>
      </c>
      <c r="C563" s="2117" t="s">
        <v>363</v>
      </c>
      <c r="D563" s="2109">
        <f>735362*1.19</f>
        <v>875080.77999999991</v>
      </c>
      <c r="E563" s="73"/>
    </row>
    <row r="564" spans="1:6">
      <c r="A564" s="471"/>
      <c r="B564" s="2019" t="s">
        <v>7124</v>
      </c>
      <c r="C564" s="2117" t="s">
        <v>363</v>
      </c>
      <c r="D564" s="2109">
        <f>1029000*1.19</f>
        <v>1224510</v>
      </c>
      <c r="E564" s="73"/>
    </row>
    <row r="565" spans="1:6">
      <c r="A565" s="471"/>
      <c r="B565" s="2019" t="s">
        <v>7138</v>
      </c>
      <c r="C565" s="2117" t="s">
        <v>363</v>
      </c>
      <c r="D565" s="2109">
        <f>725000*1.19</f>
        <v>862750</v>
      </c>
      <c r="E565" s="73"/>
    </row>
    <row r="566" spans="1:6">
      <c r="A566" s="471"/>
      <c r="B566" s="2019" t="s">
        <v>4410</v>
      </c>
      <c r="C566" s="2117" t="s">
        <v>363</v>
      </c>
      <c r="D566" s="2109">
        <f>1094100*1.19</f>
        <v>1301979</v>
      </c>
      <c r="E566" s="73"/>
    </row>
    <row r="567" spans="1:6">
      <c r="A567" s="471"/>
      <c r="B567" s="2019" t="s">
        <v>7958</v>
      </c>
      <c r="C567" s="2117" t="s">
        <v>363</v>
      </c>
      <c r="D567" s="2109">
        <f>942315*1.19</f>
        <v>1121354.8499999999</v>
      </c>
      <c r="E567" s="73"/>
    </row>
    <row r="568" spans="1:6">
      <c r="A568" s="471"/>
      <c r="B568" s="2019" t="s">
        <v>7093</v>
      </c>
      <c r="C568" s="2117" t="s">
        <v>363</v>
      </c>
      <c r="D568" s="2109">
        <f>1409150*1.19</f>
        <v>1676888.5</v>
      </c>
      <c r="E568" s="73"/>
    </row>
    <row r="569" spans="1:6">
      <c r="A569" s="471"/>
      <c r="B569" s="2019" t="s">
        <v>7197</v>
      </c>
      <c r="C569" s="2117" t="s">
        <v>363</v>
      </c>
      <c r="D569" s="2109">
        <f>1276500*1.19</f>
        <v>1519035</v>
      </c>
      <c r="E569" s="73"/>
    </row>
    <row r="570" spans="1:6">
      <c r="A570" s="471"/>
      <c r="B570" s="2019" t="s">
        <v>6609</v>
      </c>
      <c r="C570" s="2117" t="s">
        <v>363</v>
      </c>
      <c r="D570" s="2109">
        <f>1110000*1.19</f>
        <v>1320900</v>
      </c>
      <c r="E570" s="73"/>
    </row>
    <row r="571" spans="1:6">
      <c r="A571" s="471"/>
      <c r="B571" s="2019" t="s">
        <v>4395</v>
      </c>
      <c r="C571" s="2117" t="s">
        <v>363</v>
      </c>
      <c r="D571" s="2109">
        <f>1346300*1.19</f>
        <v>1602097</v>
      </c>
      <c r="E571" s="73"/>
    </row>
    <row r="572" spans="1:6">
      <c r="A572" s="471"/>
      <c r="B572" s="2019" t="s">
        <v>7954</v>
      </c>
      <c r="C572" s="2117" t="s">
        <v>363</v>
      </c>
      <c r="D572" s="2109">
        <f>1034182.5*1.19</f>
        <v>1230677.175</v>
      </c>
      <c r="E572" s="73"/>
      <c r="F572" s="2129"/>
    </row>
    <row r="573" spans="1:6">
      <c r="A573" s="471"/>
      <c r="B573" s="2019" t="s">
        <v>4497</v>
      </c>
      <c r="C573" s="2117" t="s">
        <v>363</v>
      </c>
      <c r="D573" s="2109">
        <f>1098000*1.19</f>
        <v>1306620</v>
      </c>
      <c r="E573" s="73"/>
    </row>
    <row r="574" spans="1:6">
      <c r="A574" s="471"/>
      <c r="B574" s="2019" t="s">
        <v>7200</v>
      </c>
      <c r="C574" s="2117" t="s">
        <v>363</v>
      </c>
      <c r="D574" s="2109">
        <f>1912300*1.19</f>
        <v>2275637</v>
      </c>
      <c r="E574" s="73"/>
    </row>
    <row r="575" spans="1:6">
      <c r="A575" s="471"/>
      <c r="B575" s="2019" t="s">
        <v>7960</v>
      </c>
      <c r="C575" s="2117" t="s">
        <v>363</v>
      </c>
      <c r="D575" s="2109">
        <f>1959684*1.19</f>
        <v>2332023.96</v>
      </c>
      <c r="E575" s="73"/>
    </row>
    <row r="576" spans="1:6">
      <c r="A576" s="471"/>
      <c r="B576" s="2019" t="s">
        <v>7152</v>
      </c>
      <c r="C576" s="2117" t="s">
        <v>363</v>
      </c>
      <c r="D576" s="2109">
        <f>2046150*1.19</f>
        <v>2434918.5</v>
      </c>
      <c r="E576" s="73"/>
    </row>
    <row r="577" spans="1:5">
      <c r="A577" s="471"/>
      <c r="B577" s="2019" t="s">
        <v>7147</v>
      </c>
      <c r="C577" s="2117" t="s">
        <v>363</v>
      </c>
      <c r="D577" s="2109">
        <f>3098200*1.19</f>
        <v>3686858</v>
      </c>
      <c r="E577" s="73"/>
    </row>
    <row r="578" spans="1:5">
      <c r="A578" s="471"/>
      <c r="B578" s="2019" t="s">
        <v>4409</v>
      </c>
      <c r="C578" s="2117" t="s">
        <v>363</v>
      </c>
      <c r="D578" s="2109">
        <f>1110100*1.19</f>
        <v>1321019</v>
      </c>
      <c r="E578" s="73"/>
    </row>
    <row r="579" spans="1:5">
      <c r="A579" s="471"/>
      <c r="B579" s="2019" t="s">
        <v>4545</v>
      </c>
      <c r="C579" s="2117" t="s">
        <v>363</v>
      </c>
      <c r="D579" s="2109">
        <f>1215000*1.19</f>
        <v>1445850</v>
      </c>
      <c r="E579" s="73"/>
    </row>
    <row r="580" spans="1:5">
      <c r="A580" s="471"/>
      <c r="B580" s="2019" t="s">
        <v>4556</v>
      </c>
      <c r="C580" s="2117" t="s">
        <v>363</v>
      </c>
      <c r="D580" s="2109">
        <f>1486200*1.19</f>
        <v>1768578</v>
      </c>
      <c r="E580" s="73"/>
    </row>
    <row r="581" spans="1:5">
      <c r="A581" s="471"/>
      <c r="B581" s="2019" t="s">
        <v>6584</v>
      </c>
      <c r="C581" s="2117" t="s">
        <v>363</v>
      </c>
      <c r="D581" s="2109">
        <f>1595000*1.19</f>
        <v>1898050</v>
      </c>
      <c r="E581" s="73"/>
    </row>
    <row r="582" spans="1:5">
      <c r="A582" s="471"/>
      <c r="B582" s="2019" t="s">
        <v>4554</v>
      </c>
      <c r="C582" s="2117" t="s">
        <v>363</v>
      </c>
      <c r="D582" s="2109">
        <f>1793000*1.19</f>
        <v>2133670</v>
      </c>
      <c r="E582" s="73"/>
    </row>
    <row r="583" spans="1:5">
      <c r="A583" s="471"/>
      <c r="B583" s="2019" t="s">
        <v>4565</v>
      </c>
      <c r="C583" s="2117" t="s">
        <v>363</v>
      </c>
      <c r="D583" s="2109">
        <f>2355000*1.19</f>
        <v>2802450</v>
      </c>
      <c r="E583" s="73"/>
    </row>
    <row r="584" spans="1:5">
      <c r="A584" s="471"/>
      <c r="B584" s="2019" t="s">
        <v>6591</v>
      </c>
      <c r="C584" s="2117" t="s">
        <v>363</v>
      </c>
      <c r="D584" s="2109">
        <f>3785000*1.19</f>
        <v>4504150</v>
      </c>
      <c r="E584" s="73"/>
    </row>
    <row r="585" spans="1:5">
      <c r="A585" s="471"/>
      <c r="B585" s="2019" t="s">
        <v>4559</v>
      </c>
      <c r="C585" s="2117" t="s">
        <v>363</v>
      </c>
      <c r="D585" s="2109">
        <f>5224200*1.19</f>
        <v>6216798</v>
      </c>
      <c r="E585" s="73"/>
    </row>
    <row r="586" spans="1:5">
      <c r="A586" s="471"/>
      <c r="B586" s="2019" t="s">
        <v>6586</v>
      </c>
      <c r="C586" s="2117" t="s">
        <v>363</v>
      </c>
      <c r="D586" s="2109">
        <f>5442300*1.19</f>
        <v>6476337</v>
      </c>
      <c r="E586" s="73"/>
    </row>
    <row r="587" spans="1:5">
      <c r="A587" s="471"/>
      <c r="B587" s="2019" t="s">
        <v>6596</v>
      </c>
      <c r="C587" s="2117" t="s">
        <v>363</v>
      </c>
      <c r="D587" s="2109">
        <f>5565000*1.19</f>
        <v>6622350</v>
      </c>
      <c r="E587" s="73"/>
    </row>
    <row r="588" spans="1:5">
      <c r="A588" s="471"/>
      <c r="B588" s="2019" t="s">
        <v>4562</v>
      </c>
      <c r="C588" s="2117" t="s">
        <v>363</v>
      </c>
      <c r="D588" s="2109">
        <f>18186927*1.19</f>
        <v>21642443.129999999</v>
      </c>
      <c r="E588" s="73"/>
    </row>
    <row r="589" spans="1:5">
      <c r="A589" s="471"/>
      <c r="B589" s="2019" t="s">
        <v>7096</v>
      </c>
      <c r="C589" s="2117" t="s">
        <v>363</v>
      </c>
      <c r="D589" s="2109">
        <f>1795300*1.19</f>
        <v>2136407</v>
      </c>
      <c r="E589" s="73"/>
    </row>
    <row r="590" spans="1:5">
      <c r="A590" s="471"/>
      <c r="B590" s="2019" t="s">
        <v>4390</v>
      </c>
      <c r="C590" s="2117" t="s">
        <v>363</v>
      </c>
      <c r="D590" s="2109">
        <f>2871000*1.19</f>
        <v>3416490</v>
      </c>
      <c r="E590" s="73"/>
    </row>
    <row r="591" spans="1:5">
      <c r="A591" s="471"/>
      <c r="B591" s="2019" t="s">
        <v>6483</v>
      </c>
      <c r="C591" s="2117" t="s">
        <v>363</v>
      </c>
      <c r="D591" s="2109">
        <f>2092000*1.19</f>
        <v>2489480</v>
      </c>
      <c r="E591" s="73"/>
    </row>
    <row r="592" spans="1:5">
      <c r="A592" s="471"/>
      <c r="B592" s="2019" t="s">
        <v>7089</v>
      </c>
      <c r="C592" s="2117" t="s">
        <v>363</v>
      </c>
      <c r="D592" s="2109">
        <f>4091200*1.19</f>
        <v>4868528</v>
      </c>
      <c r="E592" s="73"/>
    </row>
    <row r="593" spans="1:5">
      <c r="A593" s="471"/>
      <c r="B593" s="2019" t="s">
        <v>4365</v>
      </c>
      <c r="C593" s="2117" t="s">
        <v>363</v>
      </c>
      <c r="D593" s="2109">
        <f>3768500*1.19</f>
        <v>4484515</v>
      </c>
      <c r="E593" s="73"/>
    </row>
    <row r="594" spans="1:5">
      <c r="A594" s="471"/>
      <c r="B594" s="2019" t="s">
        <v>4393</v>
      </c>
      <c r="C594" s="2117" t="s">
        <v>363</v>
      </c>
      <c r="D594" s="2109">
        <f>10601000*1.19</f>
        <v>12615190</v>
      </c>
      <c r="E594" s="73"/>
    </row>
    <row r="595" spans="1:5">
      <c r="A595" s="471"/>
      <c r="B595" s="2019" t="s">
        <v>7191</v>
      </c>
      <c r="C595" s="2117" t="s">
        <v>363</v>
      </c>
      <c r="D595" s="2109">
        <f>3325800*1.19</f>
        <v>3957702</v>
      </c>
      <c r="E595" s="73"/>
    </row>
    <row r="596" spans="1:5">
      <c r="A596" s="471"/>
      <c r="B596" s="2019" t="s">
        <v>4490</v>
      </c>
      <c r="C596" s="2117" t="s">
        <v>363</v>
      </c>
      <c r="D596" s="2109">
        <f>1685000*1.19</f>
        <v>2005150</v>
      </c>
      <c r="E596" s="73"/>
    </row>
    <row r="597" spans="1:5">
      <c r="A597" s="471"/>
      <c r="B597" s="2019" t="s">
        <v>4368</v>
      </c>
      <c r="C597" s="2117" t="s">
        <v>363</v>
      </c>
      <c r="D597" s="2109">
        <f>3033000*1.19</f>
        <v>3609270</v>
      </c>
      <c r="E597" s="73"/>
    </row>
    <row r="598" spans="1:5">
      <c r="A598" s="471"/>
      <c r="B598" s="2302" t="s">
        <v>4389</v>
      </c>
      <c r="C598" s="2117" t="s">
        <v>363</v>
      </c>
      <c r="D598" s="2109">
        <f>2292000*1.19</f>
        <v>2727480</v>
      </c>
      <c r="E598" s="73"/>
    </row>
    <row r="599" spans="1:5">
      <c r="A599" s="471"/>
      <c r="B599" s="2019" t="s">
        <v>6493</v>
      </c>
      <c r="C599" s="2117" t="s">
        <v>363</v>
      </c>
      <c r="D599" s="2109">
        <f>3346000*1.19</f>
        <v>3981740</v>
      </c>
      <c r="E599" s="73"/>
    </row>
    <row r="600" spans="1:5" ht="27.75" customHeight="1">
      <c r="A600" s="471"/>
      <c r="B600" s="2132" t="s">
        <v>6492</v>
      </c>
      <c r="C600" s="2133" t="s">
        <v>363</v>
      </c>
      <c r="D600" s="2134">
        <v>13189122</v>
      </c>
      <c r="E600" s="73"/>
    </row>
    <row r="601" spans="1:5">
      <c r="A601" s="471"/>
      <c r="B601" s="2019" t="s">
        <v>4369</v>
      </c>
      <c r="C601" s="2117" t="s">
        <v>363</v>
      </c>
      <c r="D601" s="2109">
        <f>7378000*1.19</f>
        <v>8779820</v>
      </c>
      <c r="E601" s="73"/>
    </row>
    <row r="602" spans="1:5">
      <c r="A602" s="471"/>
      <c r="B602" s="2019" t="s">
        <v>6735</v>
      </c>
      <c r="C602" s="2117" t="s">
        <v>363</v>
      </c>
      <c r="D602" s="2109">
        <f>294609*1.19</f>
        <v>350584.70999999996</v>
      </c>
      <c r="E602" s="73"/>
    </row>
    <row r="603" spans="1:5">
      <c r="A603" s="471"/>
      <c r="B603" s="2019" t="s">
        <v>8206</v>
      </c>
      <c r="C603" s="2117" t="s">
        <v>363</v>
      </c>
      <c r="D603" s="2109">
        <f>240609*1.19</f>
        <v>286324.70999999996</v>
      </c>
      <c r="E603" s="73"/>
    </row>
    <row r="604" spans="1:5">
      <c r="A604" s="471"/>
      <c r="B604" s="2019" t="s">
        <v>6741</v>
      </c>
      <c r="C604" s="2117" t="s">
        <v>363</v>
      </c>
      <c r="D604" s="2109">
        <f>532562.64*1.19</f>
        <v>633749.5416</v>
      </c>
      <c r="E604" s="73"/>
    </row>
    <row r="605" spans="1:5">
      <c r="A605" s="471"/>
      <c r="B605" s="2019" t="s">
        <v>6745</v>
      </c>
      <c r="C605" s="2117" t="s">
        <v>363</v>
      </c>
      <c r="D605" s="2109">
        <f>589218.24*1.19</f>
        <v>701169.70559999999</v>
      </c>
      <c r="E605" s="73"/>
    </row>
    <row r="606" spans="1:5">
      <c r="A606" s="471"/>
      <c r="B606" s="2019" t="s">
        <v>6752</v>
      </c>
      <c r="C606" s="2117" t="s">
        <v>363</v>
      </c>
      <c r="D606" s="2109">
        <f>691198.32*1.19</f>
        <v>822526.00079999992</v>
      </c>
      <c r="E606" s="73"/>
    </row>
    <row r="607" spans="1:5">
      <c r="A607" s="471"/>
      <c r="B607" s="2019" t="s">
        <v>6762</v>
      </c>
      <c r="C607" s="2117" t="s">
        <v>363</v>
      </c>
      <c r="D607" s="2109">
        <f>1903628.16*1.19</f>
        <v>2265317.5104</v>
      </c>
      <c r="E607" s="73"/>
    </row>
    <row r="608" spans="1:5">
      <c r="A608" s="471"/>
      <c r="B608" s="2019" t="s">
        <v>6756</v>
      </c>
      <c r="C608" s="2117" t="s">
        <v>363</v>
      </c>
      <c r="D608" s="2109">
        <f>7895524.416*1.19</f>
        <v>9395674.05504</v>
      </c>
      <c r="E608" s="73"/>
    </row>
    <row r="609" spans="1:5">
      <c r="A609" s="471"/>
      <c r="B609" s="2019" t="s">
        <v>6766</v>
      </c>
      <c r="C609" s="2117" t="s">
        <v>363</v>
      </c>
      <c r="D609" s="2109">
        <f>761451.264*1.19</f>
        <v>906127.00415999989</v>
      </c>
      <c r="E609" s="73"/>
    </row>
    <row r="610" spans="1:5">
      <c r="A610" s="471"/>
      <c r="B610" s="2019" t="s">
        <v>4846</v>
      </c>
      <c r="C610" s="2117" t="s">
        <v>363</v>
      </c>
      <c r="D610" s="2109">
        <f>355172.94*1.19</f>
        <v>422655.79859999998</v>
      </c>
      <c r="E610" s="73"/>
    </row>
    <row r="611" spans="1:5">
      <c r="A611" s="471"/>
      <c r="B611" s="2019" t="s">
        <v>6782</v>
      </c>
      <c r="C611" s="2117" t="s">
        <v>363</v>
      </c>
      <c r="D611" s="2109">
        <f>416616.36*1.19</f>
        <v>495773.46839999995</v>
      </c>
      <c r="E611" s="73"/>
    </row>
    <row r="612" spans="1:5">
      <c r="A612" s="471"/>
      <c r="B612" s="2019" t="s">
        <v>6785</v>
      </c>
      <c r="C612" s="2117" t="s">
        <v>363</v>
      </c>
      <c r="D612" s="2109">
        <f>479558.4*1.19</f>
        <v>570674.49600000004</v>
      </c>
      <c r="E612" s="73"/>
    </row>
    <row r="613" spans="1:5">
      <c r="A613" s="471"/>
      <c r="B613" s="2019" t="s">
        <v>6770</v>
      </c>
      <c r="C613" s="2117" t="s">
        <v>363</v>
      </c>
      <c r="D613" s="2109">
        <f>1858421.46*1.19</f>
        <v>2211521.5373999998</v>
      </c>
      <c r="E613" s="73"/>
    </row>
    <row r="614" spans="1:5">
      <c r="A614" s="471"/>
      <c r="B614" s="2019" t="s">
        <v>6777</v>
      </c>
      <c r="C614" s="2117" t="s">
        <v>363</v>
      </c>
      <c r="D614" s="2109">
        <f>2664483.78*1.19</f>
        <v>3170735.6981999995</v>
      </c>
      <c r="E614" s="73"/>
    </row>
    <row r="615" spans="1:5">
      <c r="A615" s="471"/>
      <c r="B615" s="2020" t="s">
        <v>6792</v>
      </c>
      <c r="C615" s="2117" t="s">
        <v>363</v>
      </c>
      <c r="D615" s="2109">
        <f>9897.444*1.19</f>
        <v>11777.958359999999</v>
      </c>
      <c r="E615" s="73"/>
    </row>
    <row r="616" spans="1:5">
      <c r="A616" s="471"/>
      <c r="B616" s="2020" t="s">
        <v>6800</v>
      </c>
      <c r="C616" s="2117" t="s">
        <v>363</v>
      </c>
      <c r="D616" s="2109">
        <f>17517.6*1.19</f>
        <v>20845.943999999996</v>
      </c>
      <c r="E616" s="73"/>
    </row>
    <row r="617" spans="1:5">
      <c r="A617" s="471"/>
      <c r="B617" s="2019"/>
      <c r="C617" s="2117"/>
      <c r="D617" s="2109"/>
      <c r="E617" s="73"/>
    </row>
    <row r="618" spans="1:5">
      <c r="A618" s="471"/>
      <c r="B618" s="2029" t="s">
        <v>6801</v>
      </c>
      <c r="C618" s="2117"/>
      <c r="D618" s="2109"/>
      <c r="E618" s="73"/>
    </row>
    <row r="619" spans="1:5">
      <c r="A619" s="471"/>
      <c r="B619" s="2019" t="s">
        <v>6803</v>
      </c>
      <c r="C619" s="2117" t="s">
        <v>363</v>
      </c>
      <c r="D619" s="2109">
        <f>116818.044*1.19</f>
        <v>139013.47235999999</v>
      </c>
      <c r="E619" s="73"/>
    </row>
    <row r="620" spans="1:5">
      <c r="A620" s="471"/>
      <c r="B620" s="2019"/>
      <c r="C620" s="2117"/>
      <c r="D620" s="2109"/>
      <c r="E620" s="73"/>
    </row>
    <row r="621" spans="1:5">
      <c r="A621" s="471"/>
      <c r="B621" s="2029" t="s">
        <v>6437</v>
      </c>
      <c r="C621" s="6"/>
      <c r="D621" s="2105"/>
      <c r="E621" s="73"/>
    </row>
    <row r="622" spans="1:5">
      <c r="A622" s="471"/>
      <c r="B622" s="2019" t="s">
        <v>6438</v>
      </c>
      <c r="C622" s="2117" t="s">
        <v>363</v>
      </c>
      <c r="D622" s="2109">
        <v>295000</v>
      </c>
      <c r="E622" s="73"/>
    </row>
    <row r="623" spans="1:5">
      <c r="A623" s="471"/>
      <c r="B623" s="2019" t="s">
        <v>6457</v>
      </c>
      <c r="C623" s="2117" t="s">
        <v>363</v>
      </c>
      <c r="D623" s="2109">
        <v>170000</v>
      </c>
      <c r="E623" s="73"/>
    </row>
    <row r="624" spans="1:5">
      <c r="A624" s="471"/>
      <c r="B624" s="2019" t="s">
        <v>6445</v>
      </c>
      <c r="C624" s="2117" t="s">
        <v>363</v>
      </c>
      <c r="D624" s="2109">
        <v>152000</v>
      </c>
      <c r="E624" s="73"/>
    </row>
    <row r="625" spans="1:5">
      <c r="A625" s="471"/>
      <c r="B625" s="2019" t="s">
        <v>6455</v>
      </c>
      <c r="C625" s="2117" t="s">
        <v>363</v>
      </c>
      <c r="D625" s="2109">
        <v>91000</v>
      </c>
      <c r="E625" s="73"/>
    </row>
    <row r="626" spans="1:5">
      <c r="A626" s="471"/>
      <c r="B626" s="2019" t="s">
        <v>6448</v>
      </c>
      <c r="C626" s="2117" t="s">
        <v>363</v>
      </c>
      <c r="D626" s="2109">
        <v>80000</v>
      </c>
      <c r="E626" s="73"/>
    </row>
    <row r="627" spans="1:5">
      <c r="A627" s="471"/>
      <c r="B627" s="2019" t="s">
        <v>6451</v>
      </c>
      <c r="C627" s="2117" t="s">
        <v>363</v>
      </c>
      <c r="D627" s="2109">
        <v>72000</v>
      </c>
      <c r="E627" s="73"/>
    </row>
    <row r="628" spans="1:5">
      <c r="A628" s="471"/>
      <c r="B628" s="2019" t="s">
        <v>6454</v>
      </c>
      <c r="C628" s="2117" t="s">
        <v>363</v>
      </c>
      <c r="D628" s="2109">
        <v>65000</v>
      </c>
      <c r="E628" s="73"/>
    </row>
    <row r="629" spans="1:5">
      <c r="A629" s="471"/>
      <c r="B629" s="2019"/>
      <c r="C629" s="2117"/>
      <c r="D629" s="2109"/>
      <c r="E629" s="73"/>
    </row>
    <row r="630" spans="1:5">
      <c r="A630" s="2"/>
      <c r="B630" s="2029" t="s">
        <v>6668</v>
      </c>
      <c r="C630" s="2110"/>
      <c r="D630" s="710"/>
      <c r="E630" s="2"/>
    </row>
    <row r="631" spans="1:5">
      <c r="A631" s="2"/>
      <c r="B631" s="2019" t="s">
        <v>4481</v>
      </c>
      <c r="C631" s="2117" t="s">
        <v>363</v>
      </c>
      <c r="D631" s="2109">
        <f>1180000*1.19</f>
        <v>1404200</v>
      </c>
      <c r="E631" s="2"/>
    </row>
    <row r="632" spans="1:5">
      <c r="A632" s="2"/>
      <c r="B632" s="2019" t="s">
        <v>6705</v>
      </c>
      <c r="C632" s="2118" t="s">
        <v>363</v>
      </c>
      <c r="D632" s="2109">
        <f>364000*1.19</f>
        <v>433160</v>
      </c>
      <c r="E632" s="13"/>
    </row>
    <row r="633" spans="1:5">
      <c r="A633" s="2"/>
      <c r="B633" s="2019" t="s">
        <v>6710</v>
      </c>
      <c r="C633" s="2118" t="s">
        <v>363</v>
      </c>
      <c r="D633" s="2109">
        <f>378000*1.19</f>
        <v>449820</v>
      </c>
      <c r="E633" s="13"/>
    </row>
    <row r="634" spans="1:5">
      <c r="A634" s="2"/>
      <c r="B634" s="2027" t="s">
        <v>6524</v>
      </c>
      <c r="C634" s="2118" t="s">
        <v>363</v>
      </c>
      <c r="D634" s="2021">
        <v>320546</v>
      </c>
      <c r="E634" s="2"/>
    </row>
    <row r="635" spans="1:5">
      <c r="A635" s="2"/>
      <c r="B635" s="2027" t="s">
        <v>6527</v>
      </c>
      <c r="C635" s="2118" t="s">
        <v>363</v>
      </c>
      <c r="D635" s="2021">
        <v>345628</v>
      </c>
      <c r="E635" s="2"/>
    </row>
    <row r="636" spans="1:5">
      <c r="A636" s="2"/>
      <c r="B636" s="2027" t="s">
        <v>6530</v>
      </c>
      <c r="C636" s="2118" t="s">
        <v>363</v>
      </c>
      <c r="D636" s="2021">
        <v>365912</v>
      </c>
      <c r="E636" s="2"/>
    </row>
    <row r="637" spans="1:5">
      <c r="A637" s="2"/>
      <c r="B637" s="2027"/>
      <c r="C637" s="2118"/>
      <c r="D637" s="2021"/>
      <c r="E637" s="13"/>
    </row>
    <row r="638" spans="1:5">
      <c r="A638" s="471"/>
      <c r="B638" s="2029" t="s">
        <v>6440</v>
      </c>
      <c r="C638" s="6"/>
      <c r="D638" s="2105"/>
      <c r="E638" s="73"/>
    </row>
    <row r="639" spans="1:5">
      <c r="A639" s="471"/>
      <c r="B639" s="2019" t="s">
        <v>4357</v>
      </c>
      <c r="C639" s="2117" t="s">
        <v>363</v>
      </c>
      <c r="D639" s="2109">
        <f>3065000*1.19</f>
        <v>3647350</v>
      </c>
      <c r="E639" s="73"/>
    </row>
    <row r="640" spans="1:5">
      <c r="A640" s="471"/>
      <c r="B640" s="2019" t="s">
        <v>4489</v>
      </c>
      <c r="C640" s="2117" t="s">
        <v>363</v>
      </c>
      <c r="D640" s="2109">
        <f>2950000*1.19</f>
        <v>3510500</v>
      </c>
      <c r="E640" s="73"/>
    </row>
    <row r="641" spans="1:5">
      <c r="A641" s="471"/>
      <c r="B641" s="2019" t="s">
        <v>4366</v>
      </c>
      <c r="C641" s="2117" t="s">
        <v>363</v>
      </c>
      <c r="D641" s="2109">
        <f>1520000*1.19</f>
        <v>1808800</v>
      </c>
      <c r="E641" s="73"/>
    </row>
    <row r="642" spans="1:5">
      <c r="A642" s="471"/>
      <c r="B642" s="2019" t="s">
        <v>6675</v>
      </c>
      <c r="C642" s="2117" t="s">
        <v>363</v>
      </c>
      <c r="D642" s="2109">
        <f>1200000*1.19</f>
        <v>1428000</v>
      </c>
      <c r="E642" s="73"/>
    </row>
    <row r="643" spans="1:5">
      <c r="A643" s="2"/>
      <c r="B643" s="2019" t="s">
        <v>4362</v>
      </c>
      <c r="C643" s="2118" t="s">
        <v>363</v>
      </c>
      <c r="D643" s="2109">
        <f>1280000*1.19</f>
        <v>1523200</v>
      </c>
      <c r="E643" s="2"/>
    </row>
    <row r="644" spans="1:5">
      <c r="A644" s="2"/>
      <c r="B644" s="2019" t="s">
        <v>6681</v>
      </c>
      <c r="C644" s="2117" t="s">
        <v>363</v>
      </c>
      <c r="D644" s="2109">
        <f>525000*1.19</f>
        <v>624750</v>
      </c>
      <c r="E644" s="13"/>
    </row>
    <row r="645" spans="1:5">
      <c r="A645" s="2"/>
      <c r="B645" s="2019" t="s">
        <v>6669</v>
      </c>
      <c r="C645" s="2117" t="s">
        <v>363</v>
      </c>
      <c r="D645" s="2109">
        <f>540000*1.19</f>
        <v>642600</v>
      </c>
      <c r="E645" s="13"/>
    </row>
    <row r="646" spans="1:5">
      <c r="A646" s="2"/>
      <c r="B646" s="2019" t="s">
        <v>4420</v>
      </c>
      <c r="C646" s="2117" t="s">
        <v>363</v>
      </c>
      <c r="D646" s="2109">
        <f>740000*1.19</f>
        <v>880600</v>
      </c>
      <c r="E646" s="13"/>
    </row>
    <row r="647" spans="1:5">
      <c r="A647" s="471"/>
      <c r="B647" s="2019" t="s">
        <v>6667</v>
      </c>
      <c r="C647" s="2117" t="s">
        <v>363</v>
      </c>
      <c r="D647" s="2109">
        <f>430000*1.19</f>
        <v>511700</v>
      </c>
      <c r="E647" s="73"/>
    </row>
    <row r="648" spans="1:5">
      <c r="A648" s="471"/>
      <c r="B648" s="2019" t="s">
        <v>6666</v>
      </c>
      <c r="C648" s="2117" t="s">
        <v>363</v>
      </c>
      <c r="D648" s="2109">
        <f>301000*1.19</f>
        <v>358190</v>
      </c>
      <c r="E648" s="73"/>
    </row>
    <row r="649" spans="1:5">
      <c r="A649" s="471"/>
      <c r="B649" s="2019" t="s">
        <v>6715</v>
      </c>
      <c r="C649" s="2117" t="s">
        <v>363</v>
      </c>
      <c r="D649" s="2109">
        <f>140000*1.19</f>
        <v>166600</v>
      </c>
      <c r="E649" s="73"/>
    </row>
    <row r="650" spans="1:5">
      <c r="A650" s="471"/>
      <c r="B650" s="2019"/>
      <c r="C650" s="2117"/>
      <c r="D650" s="2109"/>
      <c r="E650" s="73"/>
    </row>
    <row r="651" spans="1:5">
      <c r="A651" s="471"/>
      <c r="B651" s="2029" t="s">
        <v>6771</v>
      </c>
      <c r="C651" s="2117"/>
      <c r="D651" s="2109"/>
      <c r="E651" s="73"/>
    </row>
    <row r="652" spans="1:5">
      <c r="A652" s="471"/>
      <c r="B652" s="2019" t="s">
        <v>6772</v>
      </c>
      <c r="C652" s="2117" t="s">
        <v>363</v>
      </c>
      <c r="D652" s="2109">
        <f>154222.8*1.19</f>
        <v>183525.13199999998</v>
      </c>
      <c r="E652" s="73"/>
    </row>
    <row r="653" spans="1:5">
      <c r="A653" s="471"/>
      <c r="B653" s="2019" t="s">
        <v>6796</v>
      </c>
      <c r="C653" s="2117" t="s">
        <v>363</v>
      </c>
      <c r="D653" s="2109">
        <f>12912.6*1.19</f>
        <v>15365.994000000001</v>
      </c>
      <c r="E653" s="73"/>
    </row>
    <row r="654" spans="1:5">
      <c r="A654" s="471"/>
      <c r="B654" s="2019"/>
      <c r="C654" s="2117"/>
      <c r="D654" s="2109"/>
      <c r="E654" s="73"/>
    </row>
    <row r="655" spans="1:5">
      <c r="A655" s="471"/>
      <c r="B655" s="2030" t="s">
        <v>6443</v>
      </c>
      <c r="C655" s="2117"/>
      <c r="D655" s="2109"/>
      <c r="E655" s="73"/>
    </row>
    <row r="656" spans="1:5">
      <c r="A656" s="471"/>
      <c r="B656" s="2019" t="s">
        <v>6442</v>
      </c>
      <c r="C656" s="2117" t="s">
        <v>363</v>
      </c>
      <c r="D656" s="2109">
        <v>6514325.4000000013</v>
      </c>
      <c r="E656" s="73"/>
    </row>
    <row r="657" spans="1:5">
      <c r="A657" s="471"/>
      <c r="B657" s="2019" t="s">
        <v>6615</v>
      </c>
      <c r="C657" s="2117" t="s">
        <v>363</v>
      </c>
      <c r="D657" s="2109">
        <f>500000*1.19</f>
        <v>595000</v>
      </c>
      <c r="E657" s="73"/>
    </row>
    <row r="658" spans="1:5">
      <c r="A658" s="471"/>
      <c r="B658" s="2019" t="s">
        <v>4487</v>
      </c>
      <c r="C658" s="2117" t="s">
        <v>363</v>
      </c>
      <c r="D658" s="2109">
        <v>1194948.02</v>
      </c>
      <c r="E658" s="73"/>
    </row>
    <row r="659" spans="1:5">
      <c r="A659" s="471"/>
      <c r="B659" s="2019" t="s">
        <v>4353</v>
      </c>
      <c r="C659" s="2117" t="s">
        <v>363</v>
      </c>
      <c r="D659" s="2109">
        <v>2290938.02</v>
      </c>
      <c r="E659" s="73"/>
    </row>
    <row r="660" spans="1:5">
      <c r="A660" s="471"/>
      <c r="B660" s="2019" t="s">
        <v>4492</v>
      </c>
      <c r="C660" s="2117" t="s">
        <v>363</v>
      </c>
      <c r="D660" s="2109">
        <f>2685200*1.19</f>
        <v>3195388</v>
      </c>
      <c r="E660" s="73"/>
    </row>
    <row r="661" spans="1:5">
      <c r="A661" s="471"/>
      <c r="B661" s="2019" t="s">
        <v>6633</v>
      </c>
      <c r="C661" s="2117" t="s">
        <v>363</v>
      </c>
      <c r="D661" s="2109">
        <f>135000*1.19</f>
        <v>160650</v>
      </c>
      <c r="E661" s="73"/>
    </row>
    <row r="662" spans="1:5">
      <c r="A662" s="471"/>
      <c r="B662" s="2019" t="s">
        <v>6635</v>
      </c>
      <c r="C662" s="2117" t="s">
        <v>363</v>
      </c>
      <c r="D662" s="2109">
        <f>571000*1.19</f>
        <v>679490</v>
      </c>
      <c r="E662" s="73"/>
    </row>
    <row r="663" spans="1:5">
      <c r="A663" s="2144"/>
      <c r="B663" s="2019" t="s">
        <v>1466</v>
      </c>
      <c r="C663" s="2117" t="s">
        <v>45</v>
      </c>
      <c r="D663" s="2109">
        <f>25600*1.19</f>
        <v>30464</v>
      </c>
      <c r="E663" s="73"/>
    </row>
    <row r="664" spans="1:5" ht="50.4">
      <c r="A664" s="2144"/>
      <c r="B664" s="2151" t="s">
        <v>6957</v>
      </c>
      <c r="C664" s="2133" t="s">
        <v>45</v>
      </c>
      <c r="D664" s="2134">
        <f>62000*1.19</f>
        <v>73780</v>
      </c>
      <c r="E664" s="73"/>
    </row>
    <row r="665" spans="1:5" ht="33.6">
      <c r="A665" s="2144"/>
      <c r="B665" s="2151" t="s">
        <v>6960</v>
      </c>
      <c r="C665" s="2133" t="s">
        <v>1002</v>
      </c>
      <c r="D665" s="2134">
        <f>99500*1.19</f>
        <v>118405</v>
      </c>
      <c r="E665" s="73"/>
    </row>
    <row r="666" spans="1:5">
      <c r="A666" s="2144"/>
      <c r="B666" s="2151" t="s">
        <v>6963</v>
      </c>
      <c r="C666" s="2133" t="s">
        <v>363</v>
      </c>
      <c r="D666" s="2134">
        <f>350000*1.19</f>
        <v>416500</v>
      </c>
      <c r="E666" s="73"/>
    </row>
    <row r="667" spans="1:5" ht="33.6">
      <c r="A667" s="2144"/>
      <c r="B667" s="2151" t="s">
        <v>6966</v>
      </c>
      <c r="C667" s="2133" t="s">
        <v>363</v>
      </c>
      <c r="D667" s="2134">
        <f>1430000*1.19</f>
        <v>1701700</v>
      </c>
      <c r="E667" s="73"/>
    </row>
    <row r="668" spans="1:5" ht="50.4">
      <c r="A668" s="2144"/>
      <c r="B668" s="2151" t="s">
        <v>6975</v>
      </c>
      <c r="C668" s="2133" t="s">
        <v>45</v>
      </c>
      <c r="D668" s="2134">
        <f>175000*1.19</f>
        <v>208250</v>
      </c>
      <c r="E668" s="73"/>
    </row>
    <row r="669" spans="1:5" ht="33.6">
      <c r="A669" s="2144"/>
      <c r="B669" s="2151" t="s">
        <v>6978</v>
      </c>
      <c r="C669" s="2133" t="s">
        <v>363</v>
      </c>
      <c r="D669" s="2134">
        <f>325000*1.19</f>
        <v>386750</v>
      </c>
      <c r="E669" s="73"/>
    </row>
    <row r="670" spans="1:5" ht="33.6">
      <c r="A670" s="2144"/>
      <c r="B670" s="2151" t="s">
        <v>6981</v>
      </c>
      <c r="C670" s="2133" t="s">
        <v>363</v>
      </c>
      <c r="D670" s="2134">
        <f>700000*1.19</f>
        <v>833000</v>
      </c>
      <c r="E670" s="73"/>
    </row>
    <row r="671" spans="1:5">
      <c r="A671" s="2144"/>
      <c r="B671" s="2151" t="s">
        <v>6986</v>
      </c>
      <c r="C671" s="2133" t="s">
        <v>363</v>
      </c>
      <c r="D671" s="2134">
        <f>2618000*1.19</f>
        <v>3115420</v>
      </c>
      <c r="E671" s="73"/>
    </row>
    <row r="672" spans="1:5" ht="33.6">
      <c r="A672" s="2144"/>
      <c r="B672" s="2151" t="s">
        <v>6990</v>
      </c>
      <c r="C672" s="2133" t="s">
        <v>363</v>
      </c>
      <c r="D672" s="2134">
        <f>11000000*1.19</f>
        <v>13090000</v>
      </c>
      <c r="E672" s="73"/>
    </row>
    <row r="673" spans="1:5" ht="50.4">
      <c r="A673" s="2144"/>
      <c r="B673" s="2151" t="s">
        <v>6993</v>
      </c>
      <c r="C673" s="2133" t="s">
        <v>363</v>
      </c>
      <c r="D673" s="2134">
        <f>14115600*1.19</f>
        <v>16797564</v>
      </c>
      <c r="E673" s="73"/>
    </row>
    <row r="674" spans="1:5" ht="33.6">
      <c r="A674" s="2144"/>
      <c r="B674" s="2151" t="s">
        <v>6994</v>
      </c>
      <c r="C674" s="2133" t="s">
        <v>363</v>
      </c>
      <c r="D674" s="2134">
        <f>4581500*1.19</f>
        <v>5451985</v>
      </c>
      <c r="E674" s="73"/>
    </row>
    <row r="675" spans="1:5" ht="33.6">
      <c r="A675" s="2144"/>
      <c r="B675" s="2151" t="s">
        <v>7000</v>
      </c>
      <c r="C675" s="2133" t="s">
        <v>363</v>
      </c>
      <c r="D675" s="2134">
        <f>3927000*1.19</f>
        <v>4673130</v>
      </c>
      <c r="E675" s="73"/>
    </row>
    <row r="676" spans="1:5" ht="33.6">
      <c r="A676" s="2144"/>
      <c r="B676" s="2151" t="s">
        <v>7003</v>
      </c>
      <c r="C676" s="2133" t="s">
        <v>363</v>
      </c>
      <c r="D676" s="2134">
        <f>3534300*1.19</f>
        <v>4205817</v>
      </c>
      <c r="E676" s="73"/>
    </row>
    <row r="677" spans="1:5" ht="33.6">
      <c r="A677" s="2144"/>
      <c r="B677" s="2151" t="s">
        <v>7006</v>
      </c>
      <c r="C677" s="2133" t="s">
        <v>363</v>
      </c>
      <c r="D677" s="2134">
        <f>4990000*1.19</f>
        <v>5938100</v>
      </c>
      <c r="E677" s="73"/>
    </row>
    <row r="678" spans="1:5">
      <c r="A678" s="2144"/>
      <c r="B678" s="2151" t="s">
        <v>7029</v>
      </c>
      <c r="C678" s="2133" t="s">
        <v>363</v>
      </c>
      <c r="D678" s="2134">
        <f>135000*1.19</f>
        <v>160650</v>
      </c>
      <c r="E678" s="73"/>
    </row>
    <row r="679" spans="1:5">
      <c r="A679" s="2144"/>
      <c r="B679" s="2151" t="s">
        <v>4735</v>
      </c>
      <c r="C679" s="2133" t="s">
        <v>363</v>
      </c>
      <c r="D679" s="2134">
        <f>5944*1.19</f>
        <v>7073.36</v>
      </c>
      <c r="E679" s="73"/>
    </row>
    <row r="680" spans="1:5" ht="33.6">
      <c r="A680" s="2144"/>
      <c r="B680" s="2151" t="s">
        <v>4739</v>
      </c>
      <c r="C680" s="2133" t="s">
        <v>1292</v>
      </c>
      <c r="D680" s="2134">
        <f>540000*1.19</f>
        <v>642600</v>
      </c>
      <c r="E680" s="73"/>
    </row>
    <row r="681" spans="1:5">
      <c r="A681" s="2144"/>
      <c r="B681" s="2151" t="s">
        <v>7011</v>
      </c>
      <c r="C681" s="2133" t="s">
        <v>1292</v>
      </c>
      <c r="D681" s="2134">
        <f>1205640*1.19</f>
        <v>1434711.5999999999</v>
      </c>
      <c r="E681" s="73"/>
    </row>
    <row r="682" spans="1:5">
      <c r="A682" s="2144"/>
      <c r="B682" s="2151" t="s">
        <v>7019</v>
      </c>
      <c r="C682" s="2133" t="s">
        <v>1292</v>
      </c>
      <c r="D682" s="2134">
        <f>1306110*1.19</f>
        <v>1554270.9</v>
      </c>
      <c r="E682" s="73"/>
    </row>
    <row r="683" spans="1:5">
      <c r="A683" s="2144"/>
      <c r="B683" s="2151" t="s">
        <v>7023</v>
      </c>
      <c r="C683" s="2133" t="s">
        <v>1292</v>
      </c>
      <c r="D683" s="2134">
        <f>1232400*1.19</f>
        <v>1466556</v>
      </c>
      <c r="E683" s="73"/>
    </row>
    <row r="684" spans="1:5">
      <c r="A684" s="2144"/>
      <c r="B684" s="2151" t="s">
        <v>4768</v>
      </c>
      <c r="C684" s="2133" t="s">
        <v>45</v>
      </c>
      <c r="D684" s="2134">
        <f>36666.6666666667*1.19</f>
        <v>43633.333333333372</v>
      </c>
      <c r="E684" s="73"/>
    </row>
    <row r="685" spans="1:5">
      <c r="A685" s="2144"/>
      <c r="B685" s="2151" t="s">
        <v>5650</v>
      </c>
      <c r="C685" s="2133" t="s">
        <v>363</v>
      </c>
      <c r="D685" s="2134">
        <f>150000*1.19</f>
        <v>178500</v>
      </c>
      <c r="E685" s="73"/>
    </row>
    <row r="686" spans="1:5">
      <c r="A686" s="2144"/>
      <c r="B686" s="2151" t="s">
        <v>4746</v>
      </c>
      <c r="C686" s="2133" t="s">
        <v>363</v>
      </c>
      <c r="D686" s="2134">
        <f>135000*1.19</f>
        <v>160650</v>
      </c>
      <c r="E686" s="73"/>
    </row>
    <row r="687" spans="1:5">
      <c r="A687" s="2144"/>
      <c r="B687" s="2151" t="s">
        <v>4954</v>
      </c>
      <c r="C687" s="2133" t="s">
        <v>363</v>
      </c>
      <c r="D687" s="2134">
        <f>220000*1.19</f>
        <v>261800</v>
      </c>
      <c r="E687" s="73"/>
    </row>
    <row r="688" spans="1:5">
      <c r="A688" s="2144"/>
      <c r="B688" s="2151" t="s">
        <v>4747</v>
      </c>
      <c r="C688" s="2133" t="s">
        <v>363</v>
      </c>
      <c r="D688" s="2134">
        <f>3850000*1.19</f>
        <v>4581500</v>
      </c>
      <c r="E688" s="73"/>
    </row>
    <row r="689" spans="1:5">
      <c r="A689" s="2144"/>
      <c r="B689" s="2151" t="s">
        <v>4956</v>
      </c>
      <c r="C689" s="2133" t="s">
        <v>363</v>
      </c>
      <c r="D689" s="2134">
        <f>400000*1.19</f>
        <v>476000</v>
      </c>
      <c r="E689" s="73"/>
    </row>
    <row r="690" spans="1:5">
      <c r="A690" s="2144"/>
      <c r="B690" s="2151" t="s">
        <v>7210</v>
      </c>
      <c r="C690" s="2133" t="s">
        <v>363</v>
      </c>
      <c r="D690" s="2134">
        <f>250000*1.19</f>
        <v>297500</v>
      </c>
      <c r="E690" s="73"/>
    </row>
    <row r="691" spans="1:5">
      <c r="A691" s="2144"/>
      <c r="B691" s="2151" t="s">
        <v>7211</v>
      </c>
      <c r="C691" s="2133" t="s">
        <v>363</v>
      </c>
      <c r="D691" s="2134">
        <f>320000*1.19</f>
        <v>380800</v>
      </c>
      <c r="E691" s="73"/>
    </row>
    <row r="692" spans="1:5">
      <c r="A692" s="2144"/>
      <c r="B692" s="2151"/>
      <c r="C692" s="2133"/>
      <c r="D692" s="2134"/>
      <c r="E692" s="73"/>
    </row>
    <row r="693" spans="1:5" hidden="1">
      <c r="A693" s="2144"/>
      <c r="B693" s="2151"/>
      <c r="C693" s="2133"/>
      <c r="D693" s="2134"/>
      <c r="E693" s="73"/>
    </row>
    <row r="694" spans="1:5" hidden="1">
      <c r="A694" s="2144"/>
      <c r="B694" s="2151"/>
      <c r="C694" s="2133"/>
      <c r="D694" s="2134"/>
      <c r="E694" s="73"/>
    </row>
    <row r="695" spans="1:5" hidden="1">
      <c r="A695" s="2144"/>
      <c r="B695" s="3"/>
      <c r="C695" s="6"/>
      <c r="D695" s="2105"/>
      <c r="E695" s="73"/>
    </row>
    <row r="696" spans="1:5" hidden="1">
      <c r="A696" s="49" t="s">
        <v>141</v>
      </c>
      <c r="B696" s="77" t="s">
        <v>1025</v>
      </c>
      <c r="C696" s="1" t="s">
        <v>343</v>
      </c>
      <c r="D696" s="2107" t="s">
        <v>344</v>
      </c>
      <c r="E696" s="1" t="s">
        <v>141</v>
      </c>
    </row>
    <row r="697" spans="1:5" hidden="1">
      <c r="A697" s="2" t="s">
        <v>699</v>
      </c>
      <c r="B697" s="3" t="s">
        <v>1026</v>
      </c>
      <c r="C697" s="2110" t="s">
        <v>363</v>
      </c>
      <c r="D697" s="2105">
        <v>1320000</v>
      </c>
      <c r="E697" s="2" t="s">
        <v>699</v>
      </c>
    </row>
    <row r="698" spans="1:5" hidden="1">
      <c r="A698" s="2" t="s">
        <v>697</v>
      </c>
      <c r="B698" s="3" t="s">
        <v>698</v>
      </c>
      <c r="C698" s="2110" t="s">
        <v>363</v>
      </c>
      <c r="D698" s="2105">
        <v>1210000</v>
      </c>
      <c r="E698" s="2" t="s">
        <v>697</v>
      </c>
    </row>
    <row r="699" spans="1:5" hidden="1">
      <c r="A699" s="73"/>
      <c r="B699" s="80"/>
      <c r="C699" s="14"/>
      <c r="D699" s="2105"/>
      <c r="E699" s="73"/>
    </row>
    <row r="700" spans="1:5" hidden="1">
      <c r="A700" s="73"/>
      <c r="B700" s="80"/>
      <c r="C700" s="14"/>
      <c r="D700" s="2105"/>
      <c r="E700" s="73"/>
    </row>
    <row r="701" spans="1:5">
      <c r="A701" s="13"/>
      <c r="B701" s="76"/>
      <c r="C701" s="14"/>
      <c r="D701" s="2105"/>
      <c r="E701" s="13"/>
    </row>
    <row r="702" spans="1:5">
      <c r="A702" s="1" t="s">
        <v>141</v>
      </c>
      <c r="B702" s="74" t="s">
        <v>193</v>
      </c>
      <c r="C702" s="49" t="s">
        <v>343</v>
      </c>
      <c r="D702" s="2107" t="s">
        <v>344</v>
      </c>
      <c r="E702" s="1" t="s">
        <v>141</v>
      </c>
    </row>
    <row r="703" spans="1:5">
      <c r="A703" s="471" t="s">
        <v>733</v>
      </c>
      <c r="B703" s="2019" t="s">
        <v>6269</v>
      </c>
      <c r="C703" s="50" t="s">
        <v>735</v>
      </c>
      <c r="D703" s="2109">
        <v>73000</v>
      </c>
      <c r="E703" s="471" t="s">
        <v>733</v>
      </c>
    </row>
    <row r="704" spans="1:5">
      <c r="A704" s="471"/>
      <c r="B704" s="2019" t="s">
        <v>6291</v>
      </c>
      <c r="C704" s="50" t="s">
        <v>735</v>
      </c>
      <c r="D704" s="2109">
        <f>280000/8</f>
        <v>35000</v>
      </c>
      <c r="E704" s="471"/>
    </row>
    <row r="705" spans="1:9">
      <c r="A705" s="471"/>
      <c r="B705" s="2019" t="s">
        <v>7204</v>
      </c>
      <c r="C705" s="2118" t="s">
        <v>346</v>
      </c>
      <c r="D705" s="2109">
        <v>10000</v>
      </c>
      <c r="E705" s="471"/>
    </row>
    <row r="706" spans="1:9">
      <c r="A706" s="471"/>
      <c r="B706" s="2019" t="s">
        <v>6555</v>
      </c>
      <c r="C706" s="2118" t="s">
        <v>346</v>
      </c>
      <c r="D706" s="2109">
        <v>12000</v>
      </c>
      <c r="E706" s="471"/>
    </row>
    <row r="707" spans="1:9">
      <c r="A707" s="471"/>
      <c r="B707" s="2019" t="s">
        <v>6557</v>
      </c>
      <c r="C707" s="2118" t="s">
        <v>346</v>
      </c>
      <c r="D707" s="2109">
        <v>5000</v>
      </c>
      <c r="E707" s="471"/>
    </row>
    <row r="708" spans="1:9">
      <c r="A708" s="471" t="s">
        <v>78</v>
      </c>
      <c r="B708" s="2019" t="s">
        <v>6550</v>
      </c>
      <c r="C708" s="50" t="s">
        <v>735</v>
      </c>
      <c r="D708" s="2109">
        <v>73000</v>
      </c>
      <c r="E708" s="471" t="s">
        <v>78</v>
      </c>
    </row>
    <row r="709" spans="1:9">
      <c r="A709" s="471" t="s">
        <v>736</v>
      </c>
      <c r="B709" s="2019" t="s">
        <v>6410</v>
      </c>
      <c r="C709" s="50" t="s">
        <v>735</v>
      </c>
      <c r="D709" s="2109">
        <v>150000</v>
      </c>
      <c r="E709" s="471" t="s">
        <v>736</v>
      </c>
    </row>
    <row r="710" spans="1:9">
      <c r="A710" s="2" t="s">
        <v>738</v>
      </c>
      <c r="B710" s="2020" t="s">
        <v>6412</v>
      </c>
      <c r="C710" s="50" t="s">
        <v>735</v>
      </c>
      <c r="D710" s="2109">
        <f>93000/8</f>
        <v>11625</v>
      </c>
      <c r="E710" s="2" t="s">
        <v>738</v>
      </c>
    </row>
    <row r="711" spans="1:9">
      <c r="A711" s="2" t="s">
        <v>715</v>
      </c>
      <c r="B711" s="2019" t="s">
        <v>6419</v>
      </c>
      <c r="C711" s="50" t="s">
        <v>717</v>
      </c>
      <c r="D711" s="2109">
        <v>47000</v>
      </c>
      <c r="E711" s="2" t="s">
        <v>715</v>
      </c>
    </row>
    <row r="712" spans="1:9">
      <c r="A712" s="2" t="s">
        <v>246</v>
      </c>
      <c r="B712" s="2027" t="s">
        <v>247</v>
      </c>
      <c r="C712" s="42" t="s">
        <v>717</v>
      </c>
      <c r="D712" s="2109">
        <v>47000</v>
      </c>
      <c r="E712" s="2" t="s">
        <v>246</v>
      </c>
    </row>
    <row r="713" spans="1:9">
      <c r="A713" s="2" t="s">
        <v>258</v>
      </c>
      <c r="B713" s="18" t="s">
        <v>259</v>
      </c>
      <c r="C713" s="42" t="s">
        <v>717</v>
      </c>
      <c r="D713" s="2105">
        <v>25520</v>
      </c>
      <c r="E713" s="2" t="s">
        <v>258</v>
      </c>
    </row>
    <row r="714" spans="1:9">
      <c r="A714" s="471" t="s">
        <v>490</v>
      </c>
      <c r="B714" s="2022" t="s">
        <v>6411</v>
      </c>
      <c r="C714" s="1457" t="s">
        <v>735</v>
      </c>
      <c r="D714" s="2023">
        <v>80000</v>
      </c>
      <c r="E714" s="471" t="s">
        <v>490</v>
      </c>
    </row>
    <row r="715" spans="1:9">
      <c r="A715" s="471" t="s">
        <v>485</v>
      </c>
      <c r="B715" s="40" t="s">
        <v>484</v>
      </c>
      <c r="C715" s="2" t="s">
        <v>735</v>
      </c>
      <c r="D715" s="32">
        <v>130000</v>
      </c>
      <c r="E715" s="471" t="s">
        <v>485</v>
      </c>
    </row>
    <row r="716" spans="1:9">
      <c r="A716" s="471" t="s">
        <v>486</v>
      </c>
      <c r="B716" s="40" t="s">
        <v>631</v>
      </c>
      <c r="C716" s="2" t="s">
        <v>735</v>
      </c>
      <c r="D716" s="32">
        <v>62000</v>
      </c>
      <c r="E716" s="471" t="s">
        <v>486</v>
      </c>
    </row>
    <row r="717" spans="1:9">
      <c r="A717" s="471" t="s">
        <v>491</v>
      </c>
      <c r="B717" s="40" t="s">
        <v>488</v>
      </c>
      <c r="C717" s="2" t="s">
        <v>735</v>
      </c>
      <c r="D717" s="32">
        <v>71400</v>
      </c>
      <c r="E717" s="471" t="s">
        <v>491</v>
      </c>
    </row>
    <row r="718" spans="1:9">
      <c r="A718" s="471" t="s">
        <v>873</v>
      </c>
      <c r="B718" s="40" t="s">
        <v>489</v>
      </c>
      <c r="C718" s="2" t="s">
        <v>735</v>
      </c>
      <c r="D718" s="32">
        <v>40000</v>
      </c>
      <c r="E718" s="471" t="s">
        <v>873</v>
      </c>
    </row>
    <row r="719" spans="1:9">
      <c r="A719" s="471" t="s">
        <v>875</v>
      </c>
      <c r="B719" s="40" t="s">
        <v>874</v>
      </c>
      <c r="C719" s="2" t="s">
        <v>735</v>
      </c>
      <c r="D719" s="32">
        <v>40800</v>
      </c>
      <c r="E719" s="471" t="s">
        <v>875</v>
      </c>
      <c r="I719" s="19">
        <f>+TELEP</f>
        <v>15000</v>
      </c>
    </row>
    <row r="720" spans="1:9">
      <c r="A720" s="2" t="s">
        <v>248</v>
      </c>
      <c r="B720" s="2027" t="s">
        <v>249</v>
      </c>
      <c r="C720" s="2194" t="s">
        <v>363</v>
      </c>
      <c r="D720" s="2109">
        <v>15000</v>
      </c>
      <c r="E720" s="2" t="s">
        <v>248</v>
      </c>
    </row>
    <row r="721" spans="1:5">
      <c r="A721" s="2" t="s">
        <v>261</v>
      </c>
      <c r="B721" s="18" t="s">
        <v>262</v>
      </c>
      <c r="C721" s="42" t="s">
        <v>363</v>
      </c>
      <c r="D721" s="2105">
        <v>3366</v>
      </c>
      <c r="E721" s="2" t="s">
        <v>261</v>
      </c>
    </row>
    <row r="722" spans="1:5">
      <c r="A722" s="2" t="s">
        <v>361</v>
      </c>
      <c r="B722" s="3" t="s">
        <v>362</v>
      </c>
      <c r="C722" s="2110" t="s">
        <v>363</v>
      </c>
      <c r="D722" s="2105">
        <v>14500</v>
      </c>
      <c r="E722" s="2" t="s">
        <v>361</v>
      </c>
    </row>
    <row r="723" spans="1:5">
      <c r="A723" s="2" t="s">
        <v>256</v>
      </c>
      <c r="B723" s="18" t="s">
        <v>257</v>
      </c>
      <c r="C723" s="42" t="s">
        <v>346</v>
      </c>
      <c r="D723" s="2105">
        <v>538</v>
      </c>
      <c r="E723" s="2" t="s">
        <v>256</v>
      </c>
    </row>
    <row r="724" spans="1:5">
      <c r="A724" s="2" t="s">
        <v>654</v>
      </c>
      <c r="B724" s="2019" t="s">
        <v>296</v>
      </c>
      <c r="C724" s="2111" t="s">
        <v>650</v>
      </c>
      <c r="D724" s="2109">
        <v>2550</v>
      </c>
      <c r="E724" s="2" t="s">
        <v>654</v>
      </c>
    </row>
    <row r="725" spans="1:5">
      <c r="A725" s="2" t="s">
        <v>669</v>
      </c>
      <c r="B725" s="2020" t="s">
        <v>670</v>
      </c>
      <c r="C725" s="2118" t="s">
        <v>1002</v>
      </c>
      <c r="D725" s="2109">
        <f>(20000/0.9)/10</f>
        <v>2222.2222222222222</v>
      </c>
      <c r="E725" s="2" t="s">
        <v>669</v>
      </c>
    </row>
    <row r="726" spans="1:5">
      <c r="A726" s="2" t="s">
        <v>424</v>
      </c>
      <c r="B726" s="2020" t="s">
        <v>6263</v>
      </c>
      <c r="C726" s="2117" t="s">
        <v>45</v>
      </c>
      <c r="D726" s="2023">
        <v>4900</v>
      </c>
      <c r="E726" s="2" t="s">
        <v>424</v>
      </c>
    </row>
    <row r="727" spans="1:5">
      <c r="A727" s="2" t="s">
        <v>422</v>
      </c>
      <c r="B727" s="3" t="s">
        <v>423</v>
      </c>
      <c r="C727" s="6" t="s">
        <v>346</v>
      </c>
      <c r="D727" s="710">
        <v>650</v>
      </c>
      <c r="E727" s="2" t="s">
        <v>422</v>
      </c>
    </row>
    <row r="728" spans="1:5">
      <c r="A728" s="2" t="s">
        <v>164</v>
      </c>
      <c r="B728" s="78" t="s">
        <v>165</v>
      </c>
      <c r="C728" s="2" t="s">
        <v>717</v>
      </c>
      <c r="D728" s="710">
        <v>733.58399999999995</v>
      </c>
      <c r="E728" s="2" t="s">
        <v>164</v>
      </c>
    </row>
    <row r="729" spans="1:5">
      <c r="A729" s="42" t="s">
        <v>695</v>
      </c>
      <c r="B729" s="1455" t="s">
        <v>71</v>
      </c>
      <c r="C729" s="2" t="s">
        <v>772</v>
      </c>
      <c r="D729" s="2021">
        <v>17748</v>
      </c>
      <c r="E729" s="42" t="s">
        <v>695</v>
      </c>
    </row>
    <row r="730" spans="1:5">
      <c r="A730" s="2" t="s">
        <v>693</v>
      </c>
      <c r="B730" s="78" t="s">
        <v>694</v>
      </c>
      <c r="C730" s="2" t="s">
        <v>346</v>
      </c>
      <c r="D730" s="710">
        <v>28580</v>
      </c>
      <c r="E730" s="2" t="s">
        <v>693</v>
      </c>
    </row>
    <row r="731" spans="1:5">
      <c r="A731" s="2" t="s">
        <v>229</v>
      </c>
      <c r="B731" s="18" t="s">
        <v>230</v>
      </c>
      <c r="C731" s="2" t="s">
        <v>735</v>
      </c>
      <c r="D731" s="710">
        <f>47000/8</f>
        <v>5875</v>
      </c>
      <c r="E731" s="2" t="s">
        <v>229</v>
      </c>
    </row>
    <row r="732" spans="1:5">
      <c r="A732" s="2" t="s">
        <v>132</v>
      </c>
      <c r="B732" s="5" t="s">
        <v>131</v>
      </c>
      <c r="C732" s="2110" t="s">
        <v>363</v>
      </c>
      <c r="D732" s="710">
        <v>5916</v>
      </c>
      <c r="E732" s="2" t="s">
        <v>132</v>
      </c>
    </row>
    <row r="733" spans="1:5">
      <c r="A733" s="2" t="s">
        <v>47</v>
      </c>
      <c r="B733" s="2020" t="s">
        <v>6422</v>
      </c>
      <c r="C733" s="2110" t="s">
        <v>717</v>
      </c>
      <c r="D733" s="2021">
        <v>986448.12</v>
      </c>
      <c r="E733" s="2" t="s">
        <v>47</v>
      </c>
    </row>
    <row r="734" spans="1:5">
      <c r="A734" s="2"/>
      <c r="B734" s="2660" t="s">
        <v>8555</v>
      </c>
      <c r="C734" s="2663" t="s">
        <v>717</v>
      </c>
      <c r="D734" s="2664">
        <f>364104*1.19</f>
        <v>433283.76</v>
      </c>
      <c r="E734" s="2"/>
    </row>
    <row r="735" spans="1:5">
      <c r="A735" s="2" t="s">
        <v>48</v>
      </c>
      <c r="B735" s="2020" t="s">
        <v>6423</v>
      </c>
      <c r="C735" s="2110" t="s">
        <v>717</v>
      </c>
      <c r="D735" s="2021">
        <v>520232.3</v>
      </c>
      <c r="E735" s="2" t="s">
        <v>48</v>
      </c>
    </row>
    <row r="736" spans="1:5">
      <c r="A736" s="2"/>
      <c r="B736" s="2020" t="s">
        <v>6426</v>
      </c>
      <c r="C736" s="2110" t="s">
        <v>717</v>
      </c>
      <c r="D736" s="2021">
        <v>18500</v>
      </c>
      <c r="E736" s="2"/>
    </row>
    <row r="737" spans="1:5">
      <c r="A737" s="2" t="s">
        <v>53</v>
      </c>
      <c r="B737" s="2020" t="s">
        <v>6499</v>
      </c>
      <c r="C737" s="2111" t="s">
        <v>717</v>
      </c>
      <c r="D737" s="2021">
        <f>+((2796000+665000+1687500)/30)*1.19</f>
        <v>204223.83333333331</v>
      </c>
      <c r="E737" s="2" t="s">
        <v>53</v>
      </c>
    </row>
    <row r="738" spans="1:5">
      <c r="A738" s="2" t="s">
        <v>53</v>
      </c>
      <c r="B738" s="2020" t="s">
        <v>6502</v>
      </c>
      <c r="C738" s="2111" t="s">
        <v>717</v>
      </c>
      <c r="D738" s="2021">
        <f>+((2714220+665000+1687500)/30)*1.19</f>
        <v>200979.89333333331</v>
      </c>
      <c r="E738" s="2" t="s">
        <v>53</v>
      </c>
    </row>
    <row r="739" spans="1:5" s="2129" customFormat="1">
      <c r="A739" s="2125" t="s">
        <v>4673</v>
      </c>
      <c r="B739" s="2126" t="s">
        <v>4674</v>
      </c>
      <c r="C739" s="2127" t="s">
        <v>150</v>
      </c>
      <c r="D739" s="2128">
        <v>3500</v>
      </c>
      <c r="E739" s="2125"/>
    </row>
    <row r="740" spans="1:5">
      <c r="A740" s="2" t="s">
        <v>4675</v>
      </c>
      <c r="B740" s="3" t="s">
        <v>4676</v>
      </c>
      <c r="C740" s="2110" t="s">
        <v>4677</v>
      </c>
      <c r="D740" s="2105">
        <v>35000</v>
      </c>
      <c r="E740" s="2"/>
    </row>
    <row r="741" spans="1:5">
      <c r="A741" s="2" t="s">
        <v>5401</v>
      </c>
      <c r="B741" s="3" t="s">
        <v>5401</v>
      </c>
      <c r="C741" s="2110" t="s">
        <v>5402</v>
      </c>
      <c r="D741" s="2105">
        <v>150000</v>
      </c>
      <c r="E741" s="2"/>
    </row>
    <row r="742" spans="1:5">
      <c r="A742" s="2" t="s">
        <v>5406</v>
      </c>
      <c r="B742" s="3" t="s">
        <v>5405</v>
      </c>
      <c r="C742" s="2110" t="s">
        <v>5402</v>
      </c>
      <c r="D742" s="2105">
        <v>10000</v>
      </c>
      <c r="E742" s="2"/>
    </row>
    <row r="743" spans="1:5">
      <c r="A743" s="2" t="s">
        <v>5403</v>
      </c>
      <c r="B743" s="5" t="s">
        <v>5404</v>
      </c>
      <c r="C743" s="50" t="s">
        <v>5402</v>
      </c>
      <c r="D743" s="2105">
        <v>50000</v>
      </c>
      <c r="E743" s="2"/>
    </row>
    <row r="744" spans="1:5">
      <c r="A744" s="1" t="s">
        <v>141</v>
      </c>
      <c r="B744" s="74" t="s">
        <v>718</v>
      </c>
      <c r="C744" s="49" t="s">
        <v>343</v>
      </c>
      <c r="D744" s="2107" t="s">
        <v>344</v>
      </c>
      <c r="E744" s="1" t="s">
        <v>141</v>
      </c>
    </row>
    <row r="745" spans="1:5">
      <c r="A745" s="2" t="s">
        <v>719</v>
      </c>
      <c r="B745" s="3" t="s">
        <v>666</v>
      </c>
      <c r="C745" s="50" t="s">
        <v>356</v>
      </c>
      <c r="D745" s="2105">
        <v>22000</v>
      </c>
      <c r="E745" s="2" t="s">
        <v>719</v>
      </c>
    </row>
    <row r="746" spans="1:5">
      <c r="A746" s="2" t="s">
        <v>721</v>
      </c>
      <c r="B746" s="5" t="s">
        <v>463</v>
      </c>
      <c r="C746" s="50" t="s">
        <v>356</v>
      </c>
      <c r="D746" s="2105">
        <v>36200</v>
      </c>
      <c r="E746" s="2" t="s">
        <v>721</v>
      </c>
    </row>
    <row r="747" spans="1:5">
      <c r="A747" s="2" t="s">
        <v>464</v>
      </c>
      <c r="B747" s="3" t="s">
        <v>582</v>
      </c>
      <c r="C747" s="50" t="s">
        <v>6259</v>
      </c>
      <c r="D747" s="2105">
        <v>1350</v>
      </c>
      <c r="E747" s="2" t="s">
        <v>464</v>
      </c>
    </row>
    <row r="748" spans="1:5">
      <c r="A748" s="2" t="s">
        <v>584</v>
      </c>
      <c r="B748" s="5" t="s">
        <v>134</v>
      </c>
      <c r="C748" s="50" t="s">
        <v>583</v>
      </c>
      <c r="D748" s="2105">
        <v>1200000</v>
      </c>
      <c r="E748" s="2" t="s">
        <v>584</v>
      </c>
    </row>
    <row r="749" spans="1:5">
      <c r="A749" s="2"/>
      <c r="B749" s="5" t="s">
        <v>1000</v>
      </c>
      <c r="C749" s="50"/>
      <c r="D749" s="2105"/>
      <c r="E749" s="2"/>
    </row>
    <row r="750" spans="1:5">
      <c r="A750" s="2"/>
      <c r="B750" s="5"/>
      <c r="C750" s="50"/>
      <c r="D750" s="2105"/>
      <c r="E750" s="2"/>
    </row>
    <row r="751" spans="1:5">
      <c r="A751" s="2"/>
      <c r="B751" s="5"/>
      <c r="C751" s="50"/>
      <c r="D751" s="2105"/>
      <c r="E751" s="2"/>
    </row>
    <row r="752" spans="1:5">
      <c r="A752" s="2"/>
      <c r="B752" s="5"/>
      <c r="C752" s="50"/>
      <c r="D752" s="2105"/>
      <c r="E752" s="2"/>
    </row>
    <row r="753" spans="1:5">
      <c r="A753" s="2"/>
      <c r="B753" s="5"/>
      <c r="C753" s="50"/>
      <c r="D753" s="2105"/>
      <c r="E753" s="2"/>
    </row>
    <row r="754" spans="1:5">
      <c r="A754" s="471" t="s">
        <v>135</v>
      </c>
      <c r="B754" s="3" t="s">
        <v>136</v>
      </c>
      <c r="C754" s="50" t="s">
        <v>356</v>
      </c>
      <c r="D754" s="2105">
        <v>24000</v>
      </c>
      <c r="E754" s="471" t="s">
        <v>135</v>
      </c>
    </row>
    <row r="755" spans="1:5">
      <c r="A755" s="2" t="s">
        <v>137</v>
      </c>
      <c r="B755" s="3" t="s">
        <v>138</v>
      </c>
      <c r="C755" s="50" t="s">
        <v>356</v>
      </c>
      <c r="D755" s="2105">
        <v>30600</v>
      </c>
      <c r="E755" s="2" t="s">
        <v>137</v>
      </c>
    </row>
    <row r="756" spans="1:5">
      <c r="D756" s="2105"/>
    </row>
    <row r="757" spans="1:5">
      <c r="A757" s="1" t="s">
        <v>141</v>
      </c>
      <c r="B757" s="74" t="s">
        <v>377</v>
      </c>
      <c r="C757" s="49" t="s">
        <v>343</v>
      </c>
      <c r="D757" s="2107" t="s">
        <v>344</v>
      </c>
      <c r="E757" s="1" t="s">
        <v>141</v>
      </c>
    </row>
    <row r="758" spans="1:5">
      <c r="A758" s="2" t="s">
        <v>380</v>
      </c>
      <c r="B758" s="5" t="s">
        <v>378</v>
      </c>
      <c r="C758" s="2" t="s">
        <v>238</v>
      </c>
      <c r="D758" s="2105">
        <v>8800</v>
      </c>
      <c r="E758" s="2" t="s">
        <v>380</v>
      </c>
    </row>
    <row r="759" spans="1:5">
      <c r="A759" s="2" t="s">
        <v>379</v>
      </c>
      <c r="B759" s="5" t="s">
        <v>379</v>
      </c>
      <c r="C759" s="2" t="s">
        <v>238</v>
      </c>
      <c r="D759" s="2105">
        <v>6881</v>
      </c>
      <c r="E759" s="2" t="s">
        <v>379</v>
      </c>
    </row>
    <row r="760" spans="1:5">
      <c r="D760" s="2113"/>
    </row>
    <row r="761" spans="1:5">
      <c r="A761" s="2" t="s">
        <v>645</v>
      </c>
      <c r="B761" s="3" t="s">
        <v>646</v>
      </c>
      <c r="C761" s="2110" t="s">
        <v>647</v>
      </c>
      <c r="D761" s="2105">
        <v>82841.712</v>
      </c>
      <c r="E761" s="2" t="s">
        <v>645</v>
      </c>
    </row>
    <row r="762" spans="1:5">
      <c r="A762" s="42" t="s">
        <v>72</v>
      </c>
      <c r="B762" s="3" t="s">
        <v>72</v>
      </c>
      <c r="C762" s="50" t="s">
        <v>73</v>
      </c>
      <c r="D762" s="710">
        <v>10.199999999999999</v>
      </c>
      <c r="E762" s="42" t="s">
        <v>72</v>
      </c>
    </row>
    <row r="763" spans="1:5">
      <c r="A763" s="42" t="s">
        <v>9</v>
      </c>
      <c r="B763" s="3" t="s">
        <v>10</v>
      </c>
      <c r="C763" s="50" t="s">
        <v>647</v>
      </c>
      <c r="D763" s="710">
        <v>8171</v>
      </c>
      <c r="E763" s="42" t="s">
        <v>9</v>
      </c>
    </row>
    <row r="764" spans="1:5">
      <c r="A764" s="2" t="s">
        <v>648</v>
      </c>
      <c r="B764" s="3" t="s">
        <v>649</v>
      </c>
      <c r="C764" s="2110" t="s">
        <v>650</v>
      </c>
      <c r="D764" s="2105">
        <v>4843.76</v>
      </c>
      <c r="E764" s="2" t="s">
        <v>648</v>
      </c>
    </row>
    <row r="765" spans="1:5">
      <c r="A765" s="2" t="s">
        <v>651</v>
      </c>
      <c r="B765" s="3" t="s">
        <v>652</v>
      </c>
      <c r="C765" s="2110" t="s">
        <v>650</v>
      </c>
      <c r="D765" s="2105">
        <v>1155</v>
      </c>
      <c r="E765" s="2" t="s">
        <v>651</v>
      </c>
    </row>
    <row r="767" spans="1:5">
      <c r="B767" s="80" t="s">
        <v>894</v>
      </c>
      <c r="C767" s="596" t="s">
        <v>133</v>
      </c>
      <c r="D767" s="2103">
        <f>1392000*1.16</f>
        <v>1614720</v>
      </c>
    </row>
    <row r="768" spans="1:5">
      <c r="B768" s="80" t="s">
        <v>1075</v>
      </c>
      <c r="C768" s="596" t="s">
        <v>133</v>
      </c>
      <c r="D768" s="2103">
        <v>1752513</v>
      </c>
    </row>
    <row r="769" spans="1:5">
      <c r="B769" s="80" t="s">
        <v>1076</v>
      </c>
      <c r="C769" s="596" t="s">
        <v>133</v>
      </c>
      <c r="D769" s="2103">
        <v>3389537</v>
      </c>
      <c r="E769" s="19" t="s">
        <v>4266</v>
      </c>
    </row>
    <row r="771" spans="1:5">
      <c r="D771" s="2103">
        <v>423024.14899999998</v>
      </c>
      <c r="E771" s="596" t="s">
        <v>4247</v>
      </c>
    </row>
    <row r="772" spans="1:5">
      <c r="D772" s="2103">
        <v>35000</v>
      </c>
      <c r="E772" s="596" t="s">
        <v>1092</v>
      </c>
    </row>
    <row r="776" spans="1:5">
      <c r="A776" s="2119" t="s">
        <v>4332</v>
      </c>
      <c r="B776" s="2120" t="s">
        <v>4331</v>
      </c>
    </row>
    <row r="777" spans="1:5">
      <c r="A777" s="2120"/>
      <c r="B777" s="2120" t="s">
        <v>4330</v>
      </c>
    </row>
    <row r="778" spans="1:5">
      <c r="A778" s="2120"/>
      <c r="B778" s="2120"/>
      <c r="E778" s="596" t="s">
        <v>4339</v>
      </c>
    </row>
    <row r="779" spans="1:5">
      <c r="A779" s="2120"/>
      <c r="B779" s="2120"/>
    </row>
    <row r="780" spans="1:5">
      <c r="A780" s="2120"/>
      <c r="B780" s="2120"/>
    </row>
    <row r="781" spans="1:5">
      <c r="A781" s="2121"/>
      <c r="B781" s="2121"/>
    </row>
    <row r="782" spans="1:5">
      <c r="A782" s="2122" t="s">
        <v>4333</v>
      </c>
      <c r="B782" s="2121" t="s">
        <v>4334</v>
      </c>
    </row>
    <row r="783" spans="1:5">
      <c r="A783" s="2121"/>
      <c r="B783" s="2121" t="s">
        <v>4335</v>
      </c>
    </row>
    <row r="784" spans="1:5">
      <c r="A784" s="2121"/>
      <c r="B784" s="2121"/>
    </row>
    <row r="785" spans="1:2">
      <c r="A785" s="2121"/>
      <c r="B785" s="2121"/>
    </row>
    <row r="786" spans="1:2">
      <c r="A786" s="2121"/>
      <c r="B786" s="2121"/>
    </row>
    <row r="787" spans="1:2">
      <c r="A787" s="2121"/>
      <c r="B787" s="2121"/>
    </row>
    <row r="788" spans="1:2">
      <c r="A788" s="2121" t="s">
        <v>4336</v>
      </c>
      <c r="B788" s="2121" t="s">
        <v>4990</v>
      </c>
    </row>
    <row r="789" spans="1:2">
      <c r="A789" s="2121"/>
      <c r="B789" s="2121" t="s">
        <v>4991</v>
      </c>
    </row>
  </sheetData>
  <phoneticPr fontId="143" type="noConversion"/>
  <pageMargins left="0.7" right="0.7" top="0.75" bottom="0.75" header="0.3" footer="0.3"/>
  <pageSetup paperSize="9" scale="97" orientation="portrait" r:id="rId1"/>
  <rowBreaks count="1" manualBreakCount="1">
    <brk id="769" max="16383" man="1"/>
  </rowBreaks>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5" tint="0.59999389629810485"/>
  </sheetPr>
  <dimension ref="A1:N218"/>
  <sheetViews>
    <sheetView view="pageBreakPreview" zoomScale="70" zoomScaleNormal="110" zoomScaleSheetLayoutView="70" workbookViewId="0">
      <selection activeCell="E10" sqref="E10"/>
    </sheetView>
  </sheetViews>
  <sheetFormatPr baseColWidth="10" defaultColWidth="10.6640625" defaultRowHeight="18"/>
  <cols>
    <col min="1" max="1" width="13.6640625" style="516" customWidth="1"/>
    <col min="2" max="2" width="57.88671875" style="516" customWidth="1"/>
    <col min="3" max="3" width="15.109375" style="1494" customWidth="1"/>
    <col min="4" max="4" width="11.33203125" style="1493" customWidth="1"/>
    <col min="5" max="5" width="16.88671875" style="1518" customWidth="1"/>
    <col min="6" max="6" width="23.6640625" style="1518" customWidth="1"/>
    <col min="7" max="7" width="19.6640625" style="1825" customWidth="1"/>
    <col min="8" max="8" width="18.44140625" style="1825" customWidth="1"/>
    <col min="9" max="9" width="14.6640625" style="1825" bestFit="1" customWidth="1"/>
  </cols>
  <sheetData>
    <row r="1" spans="1:9" ht="12.75" customHeight="1" thickBot="1">
      <c r="A1" s="946"/>
      <c r="B1" s="1462"/>
      <c r="C1" s="1469"/>
      <c r="D1" s="1483"/>
      <c r="E1" s="1511"/>
      <c r="F1" s="1511"/>
    </row>
    <row r="2" spans="1:9" ht="35.25" customHeight="1">
      <c r="A2" s="3507"/>
      <c r="B2" s="3511" t="s">
        <v>6313</v>
      </c>
      <c r="C2" s="3512"/>
      <c r="D2" s="3512"/>
      <c r="E2" s="3513"/>
      <c r="F2" s="1829"/>
      <c r="G2" s="502"/>
      <c r="H2" s="3510"/>
      <c r="I2" s="3510"/>
    </row>
    <row r="3" spans="1:9" ht="19.2">
      <c r="A3" s="3508"/>
      <c r="B3" s="3516" t="s">
        <v>4264</v>
      </c>
      <c r="C3" s="3326"/>
      <c r="D3" s="3326"/>
      <c r="E3" s="3517"/>
      <c r="F3" s="1830"/>
      <c r="G3" s="502"/>
      <c r="H3" s="3510"/>
      <c r="I3" s="3510"/>
    </row>
    <row r="4" spans="1:9" ht="19.8" thickBot="1">
      <c r="A4" s="3509"/>
      <c r="B4" s="3310" t="s">
        <v>3859</v>
      </c>
      <c r="C4" s="3311"/>
      <c r="D4" s="3514" t="s">
        <v>8577</v>
      </c>
      <c r="E4" s="3515"/>
      <c r="F4" s="1831"/>
      <c r="G4" s="1826"/>
      <c r="H4" s="3510"/>
      <c r="I4" s="3510"/>
    </row>
    <row r="5" spans="1:9" ht="16.8">
      <c r="A5" s="178"/>
      <c r="B5" s="578"/>
      <c r="C5" s="830"/>
      <c r="D5" s="1475"/>
      <c r="E5" s="1501"/>
      <c r="F5" s="1501"/>
      <c r="G5" s="1827"/>
      <c r="H5" s="1827"/>
      <c r="I5" s="1827"/>
    </row>
    <row r="6" spans="1:9" ht="15" customHeight="1">
      <c r="A6" s="3523" t="s">
        <v>5763</v>
      </c>
      <c r="B6" s="3523"/>
      <c r="C6" s="3523"/>
      <c r="D6" s="3523"/>
      <c r="E6" s="3523"/>
      <c r="F6" s="3523"/>
    </row>
    <row r="7" spans="1:9" ht="33.6">
      <c r="A7" s="244" t="s">
        <v>22</v>
      </c>
      <c r="B7" s="245" t="s">
        <v>23</v>
      </c>
      <c r="C7" s="245" t="s">
        <v>150</v>
      </c>
      <c r="D7" s="1484" t="s">
        <v>539</v>
      </c>
      <c r="E7" s="1512" t="s">
        <v>151</v>
      </c>
      <c r="F7" s="1498" t="s">
        <v>540</v>
      </c>
    </row>
    <row r="8" spans="1:9" ht="27" customHeight="1">
      <c r="A8" s="1832" t="s">
        <v>622</v>
      </c>
      <c r="B8" s="3524" t="s">
        <v>5867</v>
      </c>
      <c r="C8" s="3524"/>
      <c r="D8" s="3524"/>
      <c r="E8" s="3524"/>
      <c r="F8" s="3524"/>
      <c r="I8" s="1495"/>
    </row>
    <row r="9" spans="1:9" ht="16.8">
      <c r="A9" s="972" t="s">
        <v>34</v>
      </c>
      <c r="B9" s="1467" t="s">
        <v>5190</v>
      </c>
      <c r="C9" s="972"/>
      <c r="D9" s="1486"/>
      <c r="E9" s="1499"/>
      <c r="F9" s="1695"/>
    </row>
    <row r="10" spans="1:9" ht="33.6">
      <c r="A10" s="1420" t="s">
        <v>805</v>
      </c>
      <c r="B10" s="1479" t="s">
        <v>5223</v>
      </c>
      <c r="C10" s="1470" t="s">
        <v>5191</v>
      </c>
      <c r="D10" s="1471">
        <v>1</v>
      </c>
      <c r="E10" s="1509">
        <f>+'APU CAPTACION'!B715</f>
        <v>334949.64875999995</v>
      </c>
      <c r="F10" s="1515">
        <f>ROUND((D10*E10),0)</f>
        <v>334950</v>
      </c>
    </row>
    <row r="11" spans="1:9" ht="16.8">
      <c r="A11" s="1420" t="s">
        <v>807</v>
      </c>
      <c r="B11" s="1479" t="s">
        <v>5225</v>
      </c>
      <c r="C11" s="1470" t="s">
        <v>5191</v>
      </c>
      <c r="D11" s="1478">
        <v>1</v>
      </c>
      <c r="E11" s="1509">
        <f>+'APU CAPTACION'!B743</f>
        <v>291830.94266499998</v>
      </c>
      <c r="F11" s="1515">
        <f t="shared" ref="F11:F12" si="0">ROUND((D11*E11),0)</f>
        <v>291831</v>
      </c>
    </row>
    <row r="12" spans="1:9" ht="16.8">
      <c r="A12" s="1420" t="s">
        <v>808</v>
      </c>
      <c r="B12" s="1479" t="s">
        <v>5216</v>
      </c>
      <c r="C12" s="1470" t="s">
        <v>5192</v>
      </c>
      <c r="D12" s="1471">
        <v>1</v>
      </c>
      <c r="E12" s="1509">
        <f>+'APU CAPTACION'!B773</f>
        <v>4043000</v>
      </c>
      <c r="F12" s="1515">
        <f t="shared" si="0"/>
        <v>4043000</v>
      </c>
    </row>
    <row r="13" spans="1:9" ht="16.8">
      <c r="A13" s="972" t="s">
        <v>1443</v>
      </c>
      <c r="B13" s="1467" t="s">
        <v>5552</v>
      </c>
      <c r="C13" s="972"/>
      <c r="D13" s="1486"/>
      <c r="E13" s="1499"/>
      <c r="F13" s="1695"/>
    </row>
    <row r="14" spans="1:9" ht="16.8">
      <c r="A14" s="1420" t="s">
        <v>4224</v>
      </c>
      <c r="B14" s="1479" t="s">
        <v>5551</v>
      </c>
      <c r="C14" s="1470" t="s">
        <v>5191</v>
      </c>
      <c r="D14" s="1471">
        <v>1</v>
      </c>
      <c r="E14" s="1509">
        <f>+'APU CAPTACION'!B791</f>
        <v>3682868.8532999996</v>
      </c>
      <c r="F14" s="1515">
        <f>ROUND((D14*E14),0)</f>
        <v>3682869</v>
      </c>
    </row>
    <row r="15" spans="1:9" ht="42" customHeight="1">
      <c r="A15" s="1420" t="s">
        <v>5773</v>
      </c>
      <c r="B15" s="258" t="s">
        <v>5553</v>
      </c>
      <c r="C15" s="1470" t="s">
        <v>5191</v>
      </c>
      <c r="D15" s="1471">
        <v>1</v>
      </c>
      <c r="E15" s="1509">
        <f>+'APU CAPTACION'!B817</f>
        <v>639899.29751999991</v>
      </c>
      <c r="F15" s="1515">
        <f t="shared" ref="F15:F17" si="1">ROUND((D15*E15),0)</f>
        <v>639899</v>
      </c>
    </row>
    <row r="16" spans="1:9" ht="50.4">
      <c r="A16" s="1420" t="s">
        <v>5774</v>
      </c>
      <c r="B16" s="1479" t="s">
        <v>5554</v>
      </c>
      <c r="C16" s="1470" t="s">
        <v>4693</v>
      </c>
      <c r="D16" s="1471">
        <v>30</v>
      </c>
      <c r="E16" s="1509">
        <f>+'APU CAPTACION'!B841</f>
        <v>49104.918043999998</v>
      </c>
      <c r="F16" s="1515">
        <f t="shared" si="1"/>
        <v>1473148</v>
      </c>
    </row>
    <row r="17" spans="1:6" ht="16.8">
      <c r="A17" s="1420" t="s">
        <v>5775</v>
      </c>
      <c r="B17" s="1479" t="s">
        <v>5435</v>
      </c>
      <c r="C17" s="1470" t="s">
        <v>5192</v>
      </c>
      <c r="D17" s="1471">
        <v>1</v>
      </c>
      <c r="E17" s="1509">
        <f>+'APU CAPTACION'!B857</f>
        <v>736573.77066000004</v>
      </c>
      <c r="F17" s="1515">
        <f t="shared" si="1"/>
        <v>736574</v>
      </c>
    </row>
    <row r="18" spans="1:6" ht="67.2">
      <c r="A18" s="1420" t="s">
        <v>5776</v>
      </c>
      <c r="B18" s="1479" t="s">
        <v>5430</v>
      </c>
      <c r="C18" s="1470" t="s">
        <v>5191</v>
      </c>
      <c r="D18" s="1471">
        <v>1</v>
      </c>
      <c r="E18" s="1509">
        <f>+'APU CAPTACION'!B882</f>
        <v>2720245.9021999999</v>
      </c>
      <c r="F18" s="1515">
        <f>ROUND((D18*E18),0)</f>
        <v>2720246</v>
      </c>
    </row>
    <row r="19" spans="1:6" ht="16.8">
      <c r="A19" s="972" t="s">
        <v>1444</v>
      </c>
      <c r="B19" s="1467" t="s">
        <v>5526</v>
      </c>
      <c r="C19" s="972"/>
      <c r="D19" s="1486"/>
      <c r="E19" s="1499"/>
      <c r="F19" s="1695"/>
    </row>
    <row r="20" spans="1:6" ht="16.8">
      <c r="A20" s="1420" t="s">
        <v>4227</v>
      </c>
      <c r="B20" s="1479" t="s">
        <v>5440</v>
      </c>
      <c r="C20" s="1470" t="s">
        <v>5191</v>
      </c>
      <c r="D20" s="1471">
        <v>2</v>
      </c>
      <c r="E20" s="1509">
        <f>+'APU CAPTACION'!B898</f>
        <v>305151.91276266664</v>
      </c>
      <c r="F20" s="1515">
        <f>ROUND((D20*E20),0)</f>
        <v>610304</v>
      </c>
    </row>
    <row r="21" spans="1:6" ht="16.8">
      <c r="A21" s="1420" t="s">
        <v>4229</v>
      </c>
      <c r="B21" s="1479" t="s">
        <v>5228</v>
      </c>
      <c r="C21" s="1470" t="s">
        <v>5191</v>
      </c>
      <c r="D21" s="1471">
        <v>3</v>
      </c>
      <c r="E21" s="1509">
        <f>+'APU CAPTACION'!B920</f>
        <v>305151.91276266664</v>
      </c>
      <c r="F21" s="1515">
        <f>ROUND((D21*E21),0)</f>
        <v>915456</v>
      </c>
    </row>
    <row r="22" spans="1:6" ht="16.8">
      <c r="A22" s="972" t="s">
        <v>1445</v>
      </c>
      <c r="B22" s="1467" t="s">
        <v>5527</v>
      </c>
      <c r="C22" s="972"/>
      <c r="D22" s="1486"/>
      <c r="E22" s="1499"/>
      <c r="F22" s="1695"/>
    </row>
    <row r="23" spans="1:6" ht="33" customHeight="1">
      <c r="A23" s="1420" t="s">
        <v>4235</v>
      </c>
      <c r="B23" s="604" t="s">
        <v>5229</v>
      </c>
      <c r="C23" s="1470" t="s">
        <v>5191</v>
      </c>
      <c r="D23" s="1472">
        <v>1</v>
      </c>
      <c r="E23" s="1509">
        <f>+'APU CAPTACION'!B944</f>
        <v>613661.88532999996</v>
      </c>
      <c r="F23" s="1515">
        <f>ROUND((D23*E23),0)</f>
        <v>613662</v>
      </c>
    </row>
    <row r="24" spans="1:6" ht="50.4">
      <c r="A24" s="1420" t="s">
        <v>4236</v>
      </c>
      <c r="B24" s="258" t="s">
        <v>5230</v>
      </c>
      <c r="C24" s="1470" t="s">
        <v>5191</v>
      </c>
      <c r="D24" s="1472">
        <v>1</v>
      </c>
      <c r="E24" s="1509">
        <f>+'APU CAPTACION'!B963</f>
        <v>588670.90185800008</v>
      </c>
      <c r="F24" s="1515">
        <f>ROUND((D24*E24),0)</f>
        <v>588671</v>
      </c>
    </row>
    <row r="25" spans="1:6" ht="33.6">
      <c r="A25" s="972" t="s">
        <v>814</v>
      </c>
      <c r="B25" s="1467" t="s">
        <v>5528</v>
      </c>
      <c r="C25" s="972"/>
      <c r="D25" s="1486"/>
      <c r="E25" s="1499"/>
      <c r="F25" s="1695"/>
    </row>
    <row r="26" spans="1:6" ht="50.4">
      <c r="A26" s="1420" t="s">
        <v>816</v>
      </c>
      <c r="B26" s="604" t="s">
        <v>5451</v>
      </c>
      <c r="C26" s="1470" t="s">
        <v>4693</v>
      </c>
      <c r="D26" s="1471">
        <v>15</v>
      </c>
      <c r="E26" s="1509">
        <f>+'APU CAPTACION'!B982</f>
        <v>36828.688533</v>
      </c>
      <c r="F26" s="1515">
        <f>ROUND((D26*E26),0)</f>
        <v>552430</v>
      </c>
    </row>
    <row r="27" spans="1:6" ht="33.6">
      <c r="A27" s="972" t="s">
        <v>826</v>
      </c>
      <c r="B27" s="1467" t="s">
        <v>5529</v>
      </c>
      <c r="C27" s="972"/>
      <c r="D27" s="1486"/>
      <c r="E27" s="1499"/>
      <c r="F27" s="1695"/>
    </row>
    <row r="28" spans="1:6" ht="103.5" customHeight="1">
      <c r="A28" s="1420" t="s">
        <v>827</v>
      </c>
      <c r="B28" s="536" t="s">
        <v>5456</v>
      </c>
      <c r="C28" s="1470" t="s">
        <v>5191</v>
      </c>
      <c r="D28" s="1472">
        <v>1</v>
      </c>
      <c r="E28" s="1509">
        <f>+'APU CAPTACION'!B999</f>
        <v>2946295.0826400002</v>
      </c>
      <c r="F28" s="1515">
        <f>ROUND((D28*E28),0)</f>
        <v>2946295</v>
      </c>
    </row>
    <row r="29" spans="1:6" ht="33.6">
      <c r="A29" s="972" t="s">
        <v>5722</v>
      </c>
      <c r="B29" s="1467" t="s">
        <v>5530</v>
      </c>
      <c r="C29" s="972"/>
      <c r="D29" s="1486"/>
      <c r="E29" s="1499"/>
      <c r="F29" s="1695"/>
    </row>
    <row r="30" spans="1:6" ht="42" customHeight="1">
      <c r="A30" s="1420" t="s">
        <v>5838</v>
      </c>
      <c r="B30" s="604" t="s">
        <v>5463</v>
      </c>
      <c r="C30" s="1470" t="s">
        <v>4693</v>
      </c>
      <c r="D30" s="1471">
        <v>26</v>
      </c>
      <c r="E30" s="1509">
        <f>+'APU CAPTACION'!B1020</f>
        <v>36828.688533</v>
      </c>
      <c r="F30" s="1515">
        <f>ROUND((D30*E30),0)</f>
        <v>957546</v>
      </c>
    </row>
    <row r="31" spans="1:6" ht="33.6">
      <c r="A31" s="972" t="s">
        <v>3913</v>
      </c>
      <c r="B31" s="1467" t="s">
        <v>5531</v>
      </c>
      <c r="C31" s="972"/>
      <c r="D31" s="1486"/>
      <c r="E31" s="1499"/>
      <c r="F31" s="1695"/>
    </row>
    <row r="32" spans="1:6" ht="67.2">
      <c r="A32" s="1420" t="s">
        <v>5839</v>
      </c>
      <c r="B32" s="604" t="s">
        <v>5465</v>
      </c>
      <c r="C32" s="1470" t="s">
        <v>4693</v>
      </c>
      <c r="D32" s="1471">
        <v>15</v>
      </c>
      <c r="E32" s="1509">
        <f>+'APU CAPTACION'!B1036</f>
        <v>36828.688533</v>
      </c>
      <c r="F32" s="1515">
        <f>ROUND((D32*E32),0)</f>
        <v>552430</v>
      </c>
    </row>
    <row r="33" spans="1:14" ht="16.8">
      <c r="A33" s="1420" t="s">
        <v>5840</v>
      </c>
      <c r="B33" s="536" t="s">
        <v>5467</v>
      </c>
      <c r="C33" s="1470" t="s">
        <v>4693</v>
      </c>
      <c r="D33" s="1471">
        <v>7</v>
      </c>
      <c r="E33" s="1509">
        <f>+'APU CAPTACION'!B1052</f>
        <v>36828.688533</v>
      </c>
      <c r="F33" s="1515">
        <f>ROUND((D33*E33),0)</f>
        <v>257801</v>
      </c>
    </row>
    <row r="34" spans="1:14" ht="16.8">
      <c r="A34" s="972" t="s">
        <v>5841</v>
      </c>
      <c r="B34" s="1467" t="s">
        <v>5532</v>
      </c>
      <c r="C34" s="972"/>
      <c r="D34" s="1486"/>
      <c r="E34" s="1499"/>
      <c r="F34" s="1695"/>
    </row>
    <row r="35" spans="1:14" ht="67.2">
      <c r="A35" s="1420" t="s">
        <v>5842</v>
      </c>
      <c r="B35" s="608" t="s">
        <v>5470</v>
      </c>
      <c r="C35" s="1470" t="s">
        <v>5191</v>
      </c>
      <c r="D35" s="1471">
        <v>1</v>
      </c>
      <c r="E35" s="1509">
        <f>+'APU CAPTACION'!B1068</f>
        <v>2454496.4875999996</v>
      </c>
      <c r="F35" s="1515">
        <f>ROUND((D35*E35),0)</f>
        <v>2454496</v>
      </c>
    </row>
    <row r="36" spans="1:14" ht="16.8">
      <c r="A36" s="972" t="s">
        <v>5843</v>
      </c>
      <c r="B36" s="1467" t="s">
        <v>5533</v>
      </c>
      <c r="C36" s="972"/>
      <c r="D36" s="1486"/>
      <c r="E36" s="1499"/>
      <c r="F36" s="1695"/>
    </row>
    <row r="37" spans="1:14" ht="134.4">
      <c r="A37" s="1420" t="s">
        <v>5844</v>
      </c>
      <c r="B37" s="1479" t="s">
        <v>5555</v>
      </c>
      <c r="C37" s="1470" t="s">
        <v>5191</v>
      </c>
      <c r="D37" s="1472">
        <v>1</v>
      </c>
      <c r="E37" s="1509">
        <f>+'APU CAPTACION'!B1083</f>
        <v>2455245.9021999999</v>
      </c>
      <c r="F37" s="1515">
        <f>ROUND((D37*E37),0)</f>
        <v>2455246</v>
      </c>
      <c r="N37" s="492"/>
    </row>
    <row r="38" spans="1:14" ht="33.6">
      <c r="A38" s="972" t="s">
        <v>5845</v>
      </c>
      <c r="B38" s="1467" t="s">
        <v>5534</v>
      </c>
      <c r="C38" s="972"/>
      <c r="D38" s="1486"/>
      <c r="E38" s="1499"/>
      <c r="F38" s="1695"/>
    </row>
    <row r="39" spans="1:14" ht="50.4">
      <c r="A39" s="1420" t="s">
        <v>5846</v>
      </c>
      <c r="B39" s="604" t="s">
        <v>5237</v>
      </c>
      <c r="C39" s="1470" t="s">
        <v>4693</v>
      </c>
      <c r="D39" s="1471">
        <v>30</v>
      </c>
      <c r="E39" s="1509">
        <f>+'APU CAPTACION'!B1118</f>
        <v>26083.370435416669</v>
      </c>
      <c r="F39" s="1515">
        <f>ROUND((D39*E39),0)</f>
        <v>782501</v>
      </c>
    </row>
    <row r="40" spans="1:14" ht="50.4">
      <c r="A40" s="1420" t="s">
        <v>5847</v>
      </c>
      <c r="B40" s="604" t="s">
        <v>5238</v>
      </c>
      <c r="C40" s="1470" t="s">
        <v>4693</v>
      </c>
      <c r="D40" s="1471">
        <v>10</v>
      </c>
      <c r="E40" s="1509">
        <f>+'APU CAPTACION'!B1134</f>
        <v>26083.370435416669</v>
      </c>
      <c r="F40" s="1515">
        <f t="shared" ref="F40:F56" si="2">ROUND((D40*E40),0)</f>
        <v>260834</v>
      </c>
    </row>
    <row r="41" spans="1:14" ht="67.2">
      <c r="A41" s="1420" t="s">
        <v>5848</v>
      </c>
      <c r="B41" s="604" t="s">
        <v>5556</v>
      </c>
      <c r="C41" s="1470" t="s">
        <v>4693</v>
      </c>
      <c r="D41" s="1471">
        <v>56</v>
      </c>
      <c r="E41" s="1509">
        <f>+'APU CAPTACION'!B1149</f>
        <v>20237.54685875</v>
      </c>
      <c r="F41" s="1515">
        <f t="shared" si="2"/>
        <v>1133303</v>
      </c>
    </row>
    <row r="42" spans="1:14" ht="33.6">
      <c r="A42" s="1420" t="s">
        <v>5849</v>
      </c>
      <c r="B42" s="604" t="s">
        <v>5557</v>
      </c>
      <c r="C42" s="1470" t="s">
        <v>4693</v>
      </c>
      <c r="D42" s="1471">
        <v>12</v>
      </c>
      <c r="E42" s="1509">
        <f>+'APU CAPTACION'!B1165</f>
        <v>14391.723282083334</v>
      </c>
      <c r="F42" s="1515">
        <f t="shared" si="2"/>
        <v>172701</v>
      </c>
    </row>
    <row r="43" spans="1:14" ht="16.8">
      <c r="A43" s="972" t="s">
        <v>5850</v>
      </c>
      <c r="B43" s="1467" t="s">
        <v>5535</v>
      </c>
      <c r="C43" s="972"/>
      <c r="D43" s="1486"/>
      <c r="E43" s="1499"/>
      <c r="F43" s="1695"/>
    </row>
    <row r="44" spans="1:14" ht="50.4">
      <c r="A44" s="1420" t="s">
        <v>5851</v>
      </c>
      <c r="B44" s="604" t="s">
        <v>5122</v>
      </c>
      <c r="C44" s="1470" t="s">
        <v>5191</v>
      </c>
      <c r="D44" s="1471">
        <v>1</v>
      </c>
      <c r="E44" s="1509">
        <f>+'APU CAPTACION'!B1182</f>
        <v>178074.78342875</v>
      </c>
      <c r="F44" s="1515">
        <f t="shared" si="2"/>
        <v>178075</v>
      </c>
    </row>
    <row r="45" spans="1:14" ht="50.4">
      <c r="A45" s="1420" t="s">
        <v>5852</v>
      </c>
      <c r="B45" s="604" t="s">
        <v>5558</v>
      </c>
      <c r="C45" s="1470" t="s">
        <v>5191</v>
      </c>
      <c r="D45" s="1471">
        <v>1</v>
      </c>
      <c r="E45" s="1509">
        <f>+'APU CAPTACION'!B1199</f>
        <v>283299.60780875001</v>
      </c>
      <c r="F45" s="1515">
        <f t="shared" si="2"/>
        <v>283300</v>
      </c>
    </row>
    <row r="46" spans="1:14" ht="33.6">
      <c r="A46" s="1420" t="s">
        <v>5853</v>
      </c>
      <c r="B46" s="1481" t="s">
        <v>5559</v>
      </c>
      <c r="C46" s="1470" t="s">
        <v>5191</v>
      </c>
      <c r="D46" s="1471">
        <v>33</v>
      </c>
      <c r="E46" s="1509">
        <f>+'APU CAPTACION'!B1216</f>
        <v>30760.029296749999</v>
      </c>
      <c r="F46" s="1515">
        <f t="shared" si="2"/>
        <v>1015081</v>
      </c>
    </row>
    <row r="47" spans="1:14" ht="33.6">
      <c r="A47" s="1420" t="s">
        <v>5854</v>
      </c>
      <c r="B47" s="1481" t="s">
        <v>5560</v>
      </c>
      <c r="C47" s="1470" t="s">
        <v>5191</v>
      </c>
      <c r="D47" s="1471">
        <v>5</v>
      </c>
      <c r="E47" s="1509">
        <f>+'APU CAPTACION'!B1236</f>
        <v>30760.029296749999</v>
      </c>
      <c r="F47" s="1515">
        <f t="shared" si="2"/>
        <v>153800</v>
      </c>
    </row>
    <row r="48" spans="1:14" ht="33.6">
      <c r="A48" s="1420" t="s">
        <v>5855</v>
      </c>
      <c r="B48" s="1481" t="s">
        <v>5561</v>
      </c>
      <c r="C48" s="1470" t="s">
        <v>5191</v>
      </c>
      <c r="D48" s="1471">
        <v>2</v>
      </c>
      <c r="E48" s="1509">
        <f>+'APU CAPTACION'!B1257</f>
        <v>37775.017588750001</v>
      </c>
      <c r="F48" s="1515">
        <f t="shared" si="2"/>
        <v>75550</v>
      </c>
    </row>
    <row r="49" spans="1:9" ht="16.8">
      <c r="A49" s="1420" t="s">
        <v>5856</v>
      </c>
      <c r="B49" s="1481" t="s">
        <v>5160</v>
      </c>
      <c r="C49" s="1470" t="s">
        <v>5191</v>
      </c>
      <c r="D49" s="1471">
        <v>19</v>
      </c>
      <c r="E49" s="1509">
        <f>+'APU CAPTACION'!B1277</f>
        <v>26083.370435416669</v>
      </c>
      <c r="F49" s="1515">
        <f t="shared" si="2"/>
        <v>495584</v>
      </c>
    </row>
    <row r="50" spans="1:9" ht="16.8">
      <c r="A50" s="1420" t="s">
        <v>5857</v>
      </c>
      <c r="B50" s="1481" t="s">
        <v>5164</v>
      </c>
      <c r="C50" s="1470" t="s">
        <v>5191</v>
      </c>
      <c r="D50" s="1471">
        <v>14</v>
      </c>
      <c r="E50" s="1509">
        <f>+'APU CAPTACION'!B1292</f>
        <v>26083.370435416669</v>
      </c>
      <c r="F50" s="1515">
        <f t="shared" si="2"/>
        <v>365167</v>
      </c>
    </row>
    <row r="51" spans="1:9" ht="16.8">
      <c r="A51" s="972" t="s">
        <v>5858</v>
      </c>
      <c r="B51" s="1467" t="s">
        <v>5536</v>
      </c>
      <c r="C51" s="972"/>
      <c r="D51" s="1486"/>
      <c r="E51" s="1499"/>
      <c r="F51" s="1695"/>
    </row>
    <row r="52" spans="1:9" ht="50.4">
      <c r="A52" s="1420" t="s">
        <v>5859</v>
      </c>
      <c r="B52" s="1482" t="s">
        <v>5167</v>
      </c>
      <c r="C52" s="471" t="s">
        <v>4693</v>
      </c>
      <c r="D52" s="1473">
        <v>90</v>
      </c>
      <c r="E52" s="1515">
        <f>+'APU CAPTACION'!B1307</f>
        <v>16730.052712750003</v>
      </c>
      <c r="F52" s="1515">
        <f t="shared" si="2"/>
        <v>1505705</v>
      </c>
    </row>
    <row r="53" spans="1:9" ht="33.6">
      <c r="A53" s="1420" t="s">
        <v>5860</v>
      </c>
      <c r="B53" s="1482" t="s">
        <v>5562</v>
      </c>
      <c r="C53" s="471" t="s">
        <v>5191</v>
      </c>
      <c r="D53" s="1473">
        <v>5</v>
      </c>
      <c r="E53" s="1515">
        <f>+'APU CAPTACION'!B1323</f>
        <v>142999.84196875</v>
      </c>
      <c r="F53" s="1515">
        <f t="shared" si="2"/>
        <v>714999</v>
      </c>
    </row>
    <row r="54" spans="1:9" ht="16.8">
      <c r="A54" s="1420" t="s">
        <v>5861</v>
      </c>
      <c r="B54" s="1482" t="s">
        <v>5177</v>
      </c>
      <c r="C54" s="471" t="s">
        <v>5191</v>
      </c>
      <c r="D54" s="1473">
        <v>4</v>
      </c>
      <c r="E54" s="1515">
        <f>+'APU CAPTACION'!B1340</f>
        <v>137318.3607432</v>
      </c>
      <c r="F54" s="1515">
        <f t="shared" si="2"/>
        <v>549273</v>
      </c>
    </row>
    <row r="55" spans="1:9" ht="16.8">
      <c r="A55" s="972" t="s">
        <v>5862</v>
      </c>
      <c r="B55" s="1467" t="s">
        <v>5537</v>
      </c>
      <c r="C55" s="972"/>
      <c r="D55" s="1486"/>
      <c r="E55" s="1499"/>
      <c r="F55" s="1695"/>
    </row>
    <row r="56" spans="1:9" ht="151.19999999999999">
      <c r="A56" s="1420" t="s">
        <v>5863</v>
      </c>
      <c r="B56" s="1479" t="s">
        <v>5244</v>
      </c>
      <c r="C56" s="1470" t="s">
        <v>5191</v>
      </c>
      <c r="D56" s="1471">
        <v>1</v>
      </c>
      <c r="E56" s="1509">
        <f>+'APU CAPTACION'!B1355</f>
        <v>1604198.9053287501</v>
      </c>
      <c r="F56" s="1515">
        <f t="shared" si="2"/>
        <v>1604199</v>
      </c>
    </row>
    <row r="57" spans="1:9" ht="16.8">
      <c r="A57" s="972" t="s">
        <v>5864</v>
      </c>
      <c r="B57" s="1467" t="s">
        <v>5657</v>
      </c>
      <c r="C57" s="972"/>
      <c r="D57" s="1486"/>
      <c r="E57" s="1499"/>
      <c r="F57" s="1513"/>
    </row>
    <row r="58" spans="1:9" s="10" customFormat="1" ht="134.4">
      <c r="A58" s="1420" t="s">
        <v>5865</v>
      </c>
      <c r="B58" s="349" t="s">
        <v>6238</v>
      </c>
      <c r="C58" s="1787" t="s">
        <v>5191</v>
      </c>
      <c r="D58" s="1787">
        <v>3</v>
      </c>
      <c r="E58" s="1509">
        <f>+'APU CAPTACION'!B1381</f>
        <v>787500</v>
      </c>
      <c r="F58" s="1515">
        <f>ROUND((D58*E58),0)</f>
        <v>2362500</v>
      </c>
      <c r="G58" s="28"/>
      <c r="H58" s="28"/>
      <c r="I58" s="28"/>
    </row>
    <row r="59" spans="1:9" ht="31.5" customHeight="1">
      <c r="A59" s="3539" t="s">
        <v>5764</v>
      </c>
      <c r="B59" s="3539"/>
      <c r="C59" s="3539"/>
      <c r="D59" s="3539"/>
      <c r="E59" s="3539"/>
      <c r="F59" s="2219">
        <f>SUM(F10:F58)</f>
        <v>38479426</v>
      </c>
      <c r="G59" s="2362">
        <f>+CONSOLIDADO!G55</f>
        <v>0</v>
      </c>
      <c r="H59" s="1828"/>
    </row>
    <row r="60" spans="1:9" ht="16.8">
      <c r="A60" s="3540" t="s">
        <v>3619</v>
      </c>
      <c r="B60" s="3540"/>
      <c r="C60" s="3540"/>
      <c r="D60" s="3540"/>
      <c r="E60" s="2401">
        <f>+AIU</f>
        <v>0.29572249606750989</v>
      </c>
      <c r="F60" s="1833">
        <f>ROUND(F59*E60,0)</f>
        <v>11379232</v>
      </c>
      <c r="H60" s="1828"/>
    </row>
    <row r="61" spans="1:9" ht="15" customHeight="1">
      <c r="A61" s="3540" t="s">
        <v>8713</v>
      </c>
      <c r="B61" s="3540"/>
      <c r="C61" s="3540"/>
      <c r="D61" s="3540"/>
      <c r="E61" s="2390">
        <f>+'PRESUPUESTO-INTERV'!J50</f>
        <v>0.16163254000625432</v>
      </c>
      <c r="F61" s="1833">
        <f>ROUND(E61*(F59+F60),0)</f>
        <v>8058782</v>
      </c>
      <c r="H61" s="1828"/>
    </row>
    <row r="62" spans="1:9" ht="17.25" customHeight="1">
      <c r="A62" s="3528" t="s">
        <v>8544</v>
      </c>
      <c r="B62" s="3529"/>
      <c r="C62" s="3529"/>
      <c r="D62" s="3530"/>
      <c r="E62" s="1510">
        <v>0.02</v>
      </c>
      <c r="F62" s="1833">
        <f>ROUND(E62*(F59+F60),0)</f>
        <v>997173</v>
      </c>
      <c r="H62" s="1828"/>
    </row>
    <row r="63" spans="1:9" ht="37.5" customHeight="1">
      <c r="A63" s="3541" t="s">
        <v>5765</v>
      </c>
      <c r="B63" s="3541"/>
      <c r="C63" s="3541"/>
      <c r="D63" s="3541"/>
      <c r="E63" s="3541"/>
      <c r="F63" s="2219">
        <f>+SUM(F59:F62)</f>
        <v>58914613</v>
      </c>
      <c r="H63" s="1828"/>
    </row>
    <row r="64" spans="1:9" ht="35.25" customHeight="1">
      <c r="A64" s="1832" t="s">
        <v>622</v>
      </c>
      <c r="B64" s="3524" t="s">
        <v>5866</v>
      </c>
      <c r="C64" s="3524"/>
      <c r="D64" s="3524"/>
      <c r="E64" s="3524"/>
      <c r="F64" s="3524"/>
    </row>
    <row r="65" spans="1:6" ht="16.8">
      <c r="A65" s="1786" t="s">
        <v>5868</v>
      </c>
      <c r="B65" s="3500" t="s">
        <v>5190</v>
      </c>
      <c r="C65" s="3500"/>
      <c r="D65" s="3500"/>
      <c r="E65" s="1500"/>
      <c r="F65" s="1500"/>
    </row>
    <row r="66" spans="1:6" ht="33.6">
      <c r="A66" s="1420" t="s">
        <v>5869</v>
      </c>
      <c r="B66" s="1479" t="s">
        <v>5563</v>
      </c>
      <c r="C66" s="1470" t="s">
        <v>5191</v>
      </c>
      <c r="D66" s="1471">
        <v>1</v>
      </c>
      <c r="E66" s="1509">
        <f>+'APU CAPTACION'!B732</f>
        <v>1389200</v>
      </c>
      <c r="F66" s="2378">
        <f>ROUND(+D66*E66,0)</f>
        <v>1389200</v>
      </c>
    </row>
    <row r="67" spans="1:6" ht="16.8">
      <c r="A67" s="1420" t="s">
        <v>5870</v>
      </c>
      <c r="B67" s="1479" t="s">
        <v>5350</v>
      </c>
      <c r="C67" s="1470" t="s">
        <v>5191</v>
      </c>
      <c r="D67" s="1478">
        <v>1</v>
      </c>
      <c r="E67" s="1509">
        <f>+'APU CAPTACION'!B760</f>
        <v>316150</v>
      </c>
      <c r="F67" s="2378">
        <f>ROUND(+D67*E67,0)</f>
        <v>316150</v>
      </c>
    </row>
    <row r="68" spans="1:6" ht="16.8">
      <c r="A68" s="1786" t="s">
        <v>5871</v>
      </c>
      <c r="B68" s="3500" t="s">
        <v>5552</v>
      </c>
      <c r="C68" s="3500"/>
      <c r="D68" s="3500"/>
      <c r="E68" s="1500"/>
      <c r="F68" s="1500"/>
    </row>
    <row r="69" spans="1:6" ht="33.6">
      <c r="A69" s="1420" t="s">
        <v>5872</v>
      </c>
      <c r="B69" s="1479" t="s">
        <v>5564</v>
      </c>
      <c r="C69" s="1470" t="s">
        <v>5191</v>
      </c>
      <c r="D69" s="1471">
        <v>1</v>
      </c>
      <c r="E69" s="1509">
        <f>+'APU CAPTACION'!B806</f>
        <v>25245000</v>
      </c>
      <c r="F69" s="1514">
        <f>ROUND(+D69*E69,0)</f>
        <v>25245000</v>
      </c>
    </row>
    <row r="70" spans="1:6" ht="50.4">
      <c r="A70" s="1420" t="s">
        <v>5873</v>
      </c>
      <c r="B70" s="1479" t="s">
        <v>5565</v>
      </c>
      <c r="C70" s="1470" t="s">
        <v>5191</v>
      </c>
      <c r="D70" s="1471">
        <v>1</v>
      </c>
      <c r="E70" s="1509">
        <f>+'APU CAPTACION'!B833</f>
        <v>2182400</v>
      </c>
      <c r="F70" s="1514">
        <f t="shared" ref="F70:F115" si="3">ROUND(+D70*E70,0)</f>
        <v>2182400</v>
      </c>
    </row>
    <row r="71" spans="1:6" ht="50.4">
      <c r="A71" s="1420" t="s">
        <v>5874</v>
      </c>
      <c r="B71" s="1479" t="s">
        <v>5566</v>
      </c>
      <c r="C71" s="1470" t="s">
        <v>4693</v>
      </c>
      <c r="D71" s="1471">
        <v>30</v>
      </c>
      <c r="E71" s="1509">
        <f>+'APU CAPTACION'!B849</f>
        <v>174500</v>
      </c>
      <c r="F71" s="1514">
        <f t="shared" si="3"/>
        <v>5235000</v>
      </c>
    </row>
    <row r="72" spans="1:6" ht="16.8">
      <c r="A72" s="1420" t="s">
        <v>5875</v>
      </c>
      <c r="B72" s="1479" t="s">
        <v>5434</v>
      </c>
      <c r="C72" s="1470" t="s">
        <v>5192</v>
      </c>
      <c r="D72" s="1471">
        <v>1</v>
      </c>
      <c r="E72" s="1509">
        <f>+'APU CAPTACION'!B872</f>
        <v>1269500</v>
      </c>
      <c r="F72" s="1514">
        <f t="shared" si="3"/>
        <v>1269500</v>
      </c>
    </row>
    <row r="73" spans="1:6" ht="67.2">
      <c r="A73" s="1420" t="s">
        <v>5876</v>
      </c>
      <c r="B73" s="1479" t="s">
        <v>5431</v>
      </c>
      <c r="C73" s="1470" t="s">
        <v>5191</v>
      </c>
      <c r="D73" s="1471">
        <v>1</v>
      </c>
      <c r="E73" s="1509">
        <f>+'APU CAPTACION'!B889</f>
        <v>32200000</v>
      </c>
      <c r="F73" s="1514">
        <f t="shared" si="3"/>
        <v>32200000</v>
      </c>
    </row>
    <row r="74" spans="1:6" ht="16.8">
      <c r="A74" s="1786" t="s">
        <v>5877</v>
      </c>
      <c r="B74" s="3500" t="s">
        <v>5526</v>
      </c>
      <c r="C74" s="3500"/>
      <c r="D74" s="3500"/>
      <c r="E74" s="1500"/>
      <c r="F74" s="1500"/>
    </row>
    <row r="75" spans="1:6" ht="16.8">
      <c r="A75" s="1420" t="s">
        <v>5878</v>
      </c>
      <c r="B75" s="1479" t="s">
        <v>5442</v>
      </c>
      <c r="C75" s="1470" t="s">
        <v>5191</v>
      </c>
      <c r="D75" s="1471">
        <v>2</v>
      </c>
      <c r="E75" s="1509">
        <f>+'APU CAPTACION'!B912</f>
        <v>320381</v>
      </c>
      <c r="F75" s="1514">
        <f t="shared" si="3"/>
        <v>640762</v>
      </c>
    </row>
    <row r="76" spans="1:6" ht="16.8">
      <c r="A76" s="1420" t="s">
        <v>5879</v>
      </c>
      <c r="B76" s="1479" t="s">
        <v>5250</v>
      </c>
      <c r="C76" s="1470" t="s">
        <v>5191</v>
      </c>
      <c r="D76" s="1471">
        <v>3</v>
      </c>
      <c r="E76" s="1509">
        <f>+'APU CAPTACION'!B934</f>
        <v>254747.5</v>
      </c>
      <c r="F76" s="1514">
        <f t="shared" si="3"/>
        <v>764243</v>
      </c>
    </row>
    <row r="77" spans="1:6" ht="16.8">
      <c r="A77" s="1786" t="s">
        <v>5880</v>
      </c>
      <c r="B77" s="3500" t="s">
        <v>5527</v>
      </c>
      <c r="C77" s="3500"/>
      <c r="D77" s="3500"/>
      <c r="E77" s="1500"/>
      <c r="F77" s="1500"/>
    </row>
    <row r="78" spans="1:6" ht="34.5" customHeight="1">
      <c r="A78" s="1420" t="s">
        <v>5881</v>
      </c>
      <c r="B78" s="536" t="s">
        <v>5251</v>
      </c>
      <c r="C78" s="1470" t="s">
        <v>5191</v>
      </c>
      <c r="D78" s="1472">
        <v>1</v>
      </c>
      <c r="E78" s="1509">
        <f>+'APU CAPTACION'!B953</f>
        <v>4120000</v>
      </c>
      <c r="F78" s="1514">
        <f t="shared" si="3"/>
        <v>4120000</v>
      </c>
    </row>
    <row r="79" spans="1:6" ht="50.4">
      <c r="A79" s="1420" t="s">
        <v>5882</v>
      </c>
      <c r="B79" s="875" t="s">
        <v>5567</v>
      </c>
      <c r="C79" s="1470" t="s">
        <v>5191</v>
      </c>
      <c r="D79" s="1472">
        <v>1</v>
      </c>
      <c r="E79" s="1509">
        <f>+'APU CAPTACION'!B974</f>
        <v>680000</v>
      </c>
      <c r="F79" s="1514">
        <f t="shared" si="3"/>
        <v>680000</v>
      </c>
    </row>
    <row r="80" spans="1:6" ht="16.8">
      <c r="A80" s="1786" t="s">
        <v>5883</v>
      </c>
      <c r="B80" s="3500" t="s">
        <v>5528</v>
      </c>
      <c r="C80" s="3500"/>
      <c r="D80" s="3500"/>
      <c r="E80" s="1500"/>
      <c r="F80" s="1500"/>
    </row>
    <row r="81" spans="1:14" ht="50.4">
      <c r="A81" s="1420" t="s">
        <v>5884</v>
      </c>
      <c r="B81" s="536" t="s">
        <v>5452</v>
      </c>
      <c r="C81" s="1470" t="s">
        <v>4693</v>
      </c>
      <c r="D81" s="1471">
        <v>15</v>
      </c>
      <c r="E81" s="1509">
        <f>+'APU CAPTACION'!B991</f>
        <v>721000</v>
      </c>
      <c r="F81" s="1514">
        <f t="shared" si="3"/>
        <v>10815000</v>
      </c>
    </row>
    <row r="82" spans="1:14" ht="16.8">
      <c r="A82" s="1786" t="s">
        <v>5885</v>
      </c>
      <c r="B82" s="3500" t="s">
        <v>5529</v>
      </c>
      <c r="C82" s="3500"/>
      <c r="D82" s="3500"/>
      <c r="E82" s="1500"/>
      <c r="F82" s="1500"/>
    </row>
    <row r="83" spans="1:14" ht="33.75" customHeight="1">
      <c r="A83" s="1420" t="s">
        <v>5886</v>
      </c>
      <c r="B83" s="536" t="s">
        <v>5457</v>
      </c>
      <c r="C83" s="1470" t="s">
        <v>5191</v>
      </c>
      <c r="D83" s="1472">
        <v>1</v>
      </c>
      <c r="E83" s="1509">
        <f>+'APU CAPTACION'!B1012</f>
        <v>33280000</v>
      </c>
      <c r="F83" s="1514">
        <f t="shared" si="3"/>
        <v>33280000</v>
      </c>
    </row>
    <row r="84" spans="1:14" ht="16.8">
      <c r="A84" s="1786" t="s">
        <v>5887</v>
      </c>
      <c r="B84" s="3500" t="s">
        <v>5530</v>
      </c>
      <c r="C84" s="3500"/>
      <c r="D84" s="3500"/>
      <c r="E84" s="1500"/>
      <c r="F84" s="1500"/>
    </row>
    <row r="85" spans="1:14" ht="61.5" customHeight="1">
      <c r="A85" s="1420" t="s">
        <v>5888</v>
      </c>
      <c r="B85" s="536" t="s">
        <v>5464</v>
      </c>
      <c r="C85" s="1470" t="s">
        <v>4693</v>
      </c>
      <c r="D85" s="1471">
        <v>26</v>
      </c>
      <c r="E85" s="1509">
        <f>+'APU CAPTACION'!B1028</f>
        <v>685000</v>
      </c>
      <c r="F85" s="1514">
        <f t="shared" si="3"/>
        <v>17810000</v>
      </c>
    </row>
    <row r="86" spans="1:14" ht="16.8">
      <c r="A86" s="1786" t="s">
        <v>5889</v>
      </c>
      <c r="B86" s="3500" t="s">
        <v>5531</v>
      </c>
      <c r="C86" s="3500"/>
      <c r="D86" s="3500"/>
      <c r="E86" s="1500"/>
      <c r="F86" s="1500"/>
    </row>
    <row r="87" spans="1:14" ht="67.2">
      <c r="A87" s="1420" t="s">
        <v>5890</v>
      </c>
      <c r="B87" s="536" t="s">
        <v>5568</v>
      </c>
      <c r="C87" s="1470" t="s">
        <v>4693</v>
      </c>
      <c r="D87" s="1471">
        <v>15</v>
      </c>
      <c r="E87" s="1509">
        <f>+'APU CAPTACION'!B1044</f>
        <v>685000</v>
      </c>
      <c r="F87" s="1514">
        <f t="shared" si="3"/>
        <v>10275000</v>
      </c>
      <c r="N87" s="492"/>
    </row>
    <row r="88" spans="1:14" ht="16.8">
      <c r="A88" s="1420" t="s">
        <v>5891</v>
      </c>
      <c r="B88" s="536" t="s">
        <v>5468</v>
      </c>
      <c r="C88" s="1470" t="s">
        <v>4693</v>
      </c>
      <c r="D88" s="1471">
        <v>7</v>
      </c>
      <c r="E88" s="1509">
        <f>+'APU CAPTACION'!B1059</f>
        <v>111000</v>
      </c>
      <c r="F88" s="1514">
        <f t="shared" si="3"/>
        <v>777000</v>
      </c>
    </row>
    <row r="89" spans="1:14" ht="16.8">
      <c r="A89" s="1786" t="s">
        <v>5892</v>
      </c>
      <c r="B89" s="3500" t="s">
        <v>5532</v>
      </c>
      <c r="C89" s="3500"/>
      <c r="D89" s="3500"/>
      <c r="E89" s="1500"/>
      <c r="F89" s="1500"/>
    </row>
    <row r="90" spans="1:14" ht="67.2">
      <c r="A90" s="1420" t="s">
        <v>5893</v>
      </c>
      <c r="B90" s="1480" t="s">
        <v>5471</v>
      </c>
      <c r="C90" s="1470" t="s">
        <v>5191</v>
      </c>
      <c r="D90" s="1471">
        <v>1</v>
      </c>
      <c r="E90" s="1509">
        <f>+'APU CAPTACION'!B1075</f>
        <v>195214714</v>
      </c>
      <c r="F90" s="1514">
        <f t="shared" si="3"/>
        <v>195214714</v>
      </c>
    </row>
    <row r="91" spans="1:14" ht="16.8">
      <c r="A91" s="1786" t="s">
        <v>5894</v>
      </c>
      <c r="B91" s="3500" t="s">
        <v>5533</v>
      </c>
      <c r="C91" s="3500"/>
      <c r="D91" s="3500"/>
      <c r="E91" s="1500"/>
      <c r="F91" s="1500"/>
    </row>
    <row r="92" spans="1:14" ht="42.75" customHeight="1">
      <c r="A92" s="1420" t="s">
        <v>5895</v>
      </c>
      <c r="B92" s="1479" t="s">
        <v>5569</v>
      </c>
      <c r="C92" s="1470" t="s">
        <v>5191</v>
      </c>
      <c r="D92" s="1472">
        <v>1</v>
      </c>
      <c r="E92" s="1509">
        <f>+'APU CAPTACION'!B1110</f>
        <v>135473000</v>
      </c>
      <c r="F92" s="1514">
        <f t="shared" si="3"/>
        <v>135473000</v>
      </c>
    </row>
    <row r="93" spans="1:14" ht="16.8">
      <c r="A93" s="1786" t="s">
        <v>5896</v>
      </c>
      <c r="B93" s="3500" t="s">
        <v>5534</v>
      </c>
      <c r="C93" s="3500"/>
      <c r="D93" s="3500"/>
      <c r="E93" s="1500"/>
      <c r="F93" s="1500"/>
    </row>
    <row r="94" spans="1:14" ht="50.4">
      <c r="A94" s="1420" t="s">
        <v>5897</v>
      </c>
      <c r="B94" s="536" t="s">
        <v>5570</v>
      </c>
      <c r="C94" s="1470" t="s">
        <v>4693</v>
      </c>
      <c r="D94" s="1471">
        <v>30</v>
      </c>
      <c r="E94" s="1509">
        <f>+'APU CAPTACION'!B1126</f>
        <v>22050</v>
      </c>
      <c r="F94" s="1514">
        <f t="shared" si="3"/>
        <v>661500</v>
      </c>
    </row>
    <row r="95" spans="1:14" ht="50.4">
      <c r="A95" s="1420" t="s">
        <v>5898</v>
      </c>
      <c r="B95" s="536" t="s">
        <v>5571</v>
      </c>
      <c r="C95" s="1470" t="s">
        <v>4693</v>
      </c>
      <c r="D95" s="1471">
        <v>10</v>
      </c>
      <c r="E95" s="1509">
        <f>+'APU CAPTACION'!B1141</f>
        <v>42050</v>
      </c>
      <c r="F95" s="1514">
        <f t="shared" si="3"/>
        <v>420500</v>
      </c>
    </row>
    <row r="96" spans="1:14" ht="67.2">
      <c r="A96" s="1420" t="s">
        <v>5899</v>
      </c>
      <c r="B96" s="536" t="s">
        <v>5572</v>
      </c>
      <c r="C96" s="1470" t="s">
        <v>4693</v>
      </c>
      <c r="D96" s="1471">
        <v>56</v>
      </c>
      <c r="E96" s="1509">
        <f>+'APU CAPTACION'!B1157</f>
        <v>169050</v>
      </c>
      <c r="F96" s="1514">
        <f t="shared" si="3"/>
        <v>9466800</v>
      </c>
    </row>
    <row r="97" spans="1:6" ht="33.6">
      <c r="A97" s="1420" t="s">
        <v>5900</v>
      </c>
      <c r="B97" s="536" t="s">
        <v>5573</v>
      </c>
      <c r="C97" s="1470" t="s">
        <v>4693</v>
      </c>
      <c r="D97" s="1471">
        <v>12</v>
      </c>
      <c r="E97" s="1509">
        <f>+'APU CAPTACION'!B1174</f>
        <v>67000</v>
      </c>
      <c r="F97" s="1514">
        <f t="shared" si="3"/>
        <v>804000</v>
      </c>
    </row>
    <row r="98" spans="1:6" ht="16.8">
      <c r="A98" s="1786" t="s">
        <v>5901</v>
      </c>
      <c r="B98" s="3500" t="s">
        <v>5535</v>
      </c>
      <c r="C98" s="3500"/>
      <c r="D98" s="3500"/>
      <c r="E98" s="1500"/>
      <c r="F98" s="1500"/>
    </row>
    <row r="99" spans="1:6" ht="50.4">
      <c r="A99" s="1420" t="s">
        <v>5902</v>
      </c>
      <c r="B99" s="536" t="s">
        <v>5123</v>
      </c>
      <c r="C99" s="1470" t="s">
        <v>5191</v>
      </c>
      <c r="D99" s="1471">
        <v>1</v>
      </c>
      <c r="E99" s="1509">
        <f>+'APU CAPTACION'!B1191</f>
        <v>285000</v>
      </c>
      <c r="F99" s="1514">
        <f t="shared" si="3"/>
        <v>285000</v>
      </c>
    </row>
    <row r="100" spans="1:6" ht="50.4">
      <c r="A100" s="1420" t="s">
        <v>5903</v>
      </c>
      <c r="B100" s="536" t="s">
        <v>5574</v>
      </c>
      <c r="C100" s="1470" t="s">
        <v>5191</v>
      </c>
      <c r="D100" s="1471">
        <v>1</v>
      </c>
      <c r="E100" s="1509">
        <f>+'APU CAPTACION'!B1208</f>
        <v>478000</v>
      </c>
      <c r="F100" s="1514">
        <f t="shared" si="3"/>
        <v>478000</v>
      </c>
    </row>
    <row r="101" spans="1:6" ht="33.6">
      <c r="A101" s="1420" t="s">
        <v>5904</v>
      </c>
      <c r="B101" s="1481" t="s">
        <v>5575</v>
      </c>
      <c r="C101" s="1470" t="s">
        <v>5191</v>
      </c>
      <c r="D101" s="1471">
        <v>33</v>
      </c>
      <c r="E101" s="1509">
        <f>+'APU CAPTACION'!B1228</f>
        <v>46200</v>
      </c>
      <c r="F101" s="1514">
        <f t="shared" si="3"/>
        <v>1524600</v>
      </c>
    </row>
    <row r="102" spans="1:6" ht="33.6">
      <c r="A102" s="1420" t="s">
        <v>5905</v>
      </c>
      <c r="B102" s="1481" t="s">
        <v>5576</v>
      </c>
      <c r="C102" s="1470" t="s">
        <v>5191</v>
      </c>
      <c r="D102" s="1471">
        <v>5</v>
      </c>
      <c r="E102" s="1509">
        <f>+'APU CAPTACION'!B1249</f>
        <v>39400</v>
      </c>
      <c r="F102" s="1514">
        <f t="shared" si="3"/>
        <v>197000</v>
      </c>
    </row>
    <row r="103" spans="1:6" ht="33.6">
      <c r="A103" s="1420" t="s">
        <v>5906</v>
      </c>
      <c r="B103" s="1481" t="s">
        <v>5577</v>
      </c>
      <c r="C103" s="1470" t="s">
        <v>5191</v>
      </c>
      <c r="D103" s="1471">
        <v>2</v>
      </c>
      <c r="E103" s="1509">
        <f>+'APU CAPTACION'!B1269</f>
        <v>52100</v>
      </c>
      <c r="F103" s="1514">
        <f t="shared" si="3"/>
        <v>104200</v>
      </c>
    </row>
    <row r="104" spans="1:6" ht="16.8">
      <c r="A104" s="1420" t="s">
        <v>5907</v>
      </c>
      <c r="B104" s="1481" t="s">
        <v>5159</v>
      </c>
      <c r="C104" s="1470" t="s">
        <v>5191</v>
      </c>
      <c r="D104" s="1471">
        <v>19</v>
      </c>
      <c r="E104" s="1509">
        <f>+'APU CAPTACION'!B1284</f>
        <v>215200</v>
      </c>
      <c r="F104" s="1514">
        <f t="shared" si="3"/>
        <v>4088800</v>
      </c>
    </row>
    <row r="105" spans="1:6" ht="16.8">
      <c r="A105" s="1420" t="s">
        <v>5908</v>
      </c>
      <c r="B105" s="1481" t="s">
        <v>5165</v>
      </c>
      <c r="C105" s="1470" t="s">
        <v>5191</v>
      </c>
      <c r="D105" s="1471">
        <v>14</v>
      </c>
      <c r="E105" s="1509">
        <f>+'APU CAPTACION'!B1299</f>
        <v>70200</v>
      </c>
      <c r="F105" s="1514">
        <f t="shared" si="3"/>
        <v>982800</v>
      </c>
    </row>
    <row r="106" spans="1:6" ht="16.8">
      <c r="A106" s="1786" t="s">
        <v>5909</v>
      </c>
      <c r="B106" s="3500" t="s">
        <v>5536</v>
      </c>
      <c r="C106" s="3500"/>
      <c r="D106" s="3500"/>
      <c r="E106" s="1500"/>
      <c r="F106" s="1500"/>
    </row>
    <row r="107" spans="1:6" ht="50.4">
      <c r="A107" s="1420" t="s">
        <v>5910</v>
      </c>
      <c r="B107" s="1482" t="s">
        <v>5168</v>
      </c>
      <c r="C107" s="471" t="s">
        <v>4693</v>
      </c>
      <c r="D107" s="1473">
        <v>90</v>
      </c>
      <c r="E107" s="1515">
        <f>+'APU CAPTACION'!B1315</f>
        <v>12200</v>
      </c>
      <c r="F107" s="1514">
        <f t="shared" si="3"/>
        <v>1098000</v>
      </c>
    </row>
    <row r="108" spans="1:6" ht="32.25" customHeight="1">
      <c r="A108" s="1420" t="s">
        <v>5911</v>
      </c>
      <c r="B108" s="1482" t="s">
        <v>5578</v>
      </c>
      <c r="C108" s="471" t="s">
        <v>5191</v>
      </c>
      <c r="D108" s="1473">
        <v>5</v>
      </c>
      <c r="E108" s="1515">
        <f>+'APU CAPTACION'!B1332</f>
        <v>925200</v>
      </c>
      <c r="F108" s="1514">
        <f t="shared" si="3"/>
        <v>4626000</v>
      </c>
    </row>
    <row r="109" spans="1:6" ht="16.8">
      <c r="A109" s="1420" t="s">
        <v>5912</v>
      </c>
      <c r="B109" s="1482" t="s">
        <v>5263</v>
      </c>
      <c r="C109" s="471" t="s">
        <v>5191</v>
      </c>
      <c r="D109" s="1473">
        <v>4</v>
      </c>
      <c r="E109" s="1515">
        <f>+'APU CAPTACION'!B1347</f>
        <v>145000</v>
      </c>
      <c r="F109" s="1514">
        <f t="shared" si="3"/>
        <v>580000</v>
      </c>
    </row>
    <row r="110" spans="1:6" ht="16.8">
      <c r="A110" s="1786" t="s">
        <v>5913</v>
      </c>
      <c r="B110" s="3500" t="s">
        <v>5537</v>
      </c>
      <c r="C110" s="3500"/>
      <c r="D110" s="3500"/>
      <c r="E110" s="1500"/>
      <c r="F110" s="1500"/>
    </row>
    <row r="111" spans="1:6" ht="151.19999999999999">
      <c r="A111" s="1420" t="s">
        <v>5914</v>
      </c>
      <c r="B111" s="1479" t="s">
        <v>5595</v>
      </c>
      <c r="C111" s="1470" t="s">
        <v>5191</v>
      </c>
      <c r="D111" s="1471">
        <v>1</v>
      </c>
      <c r="E111" s="1509">
        <f>+'APU CAPTACION'!B1365</f>
        <v>24420000</v>
      </c>
      <c r="F111" s="1509">
        <f t="shared" si="3"/>
        <v>24420000</v>
      </c>
    </row>
    <row r="112" spans="1:6" ht="16.8">
      <c r="A112" s="1786" t="s">
        <v>5915</v>
      </c>
      <c r="B112" s="3500" t="s">
        <v>5657</v>
      </c>
      <c r="C112" s="3500"/>
      <c r="D112" s="3500"/>
      <c r="E112" s="1500"/>
      <c r="F112" s="1500"/>
    </row>
    <row r="113" spans="1:9" s="10" customFormat="1" ht="117.6">
      <c r="A113" s="1420" t="s">
        <v>5916</v>
      </c>
      <c r="B113" s="349" t="s">
        <v>6239</v>
      </c>
      <c r="C113" s="1787" t="s">
        <v>5191</v>
      </c>
      <c r="D113" s="1787">
        <v>3</v>
      </c>
      <c r="E113" s="2208">
        <f>+'APU CAPTACION'!B1389</f>
        <v>43703738.5</v>
      </c>
      <c r="F113" s="1514">
        <f t="shared" si="3"/>
        <v>131111216</v>
      </c>
      <c r="G113" s="28"/>
      <c r="H113" s="28"/>
      <c r="I113" s="28"/>
    </row>
    <row r="114" spans="1:9" ht="16.8">
      <c r="A114" s="1786" t="s">
        <v>5917</v>
      </c>
      <c r="B114" s="3521" t="s">
        <v>5538</v>
      </c>
      <c r="C114" s="3522"/>
      <c r="D114" s="3522"/>
      <c r="E114" s="1516"/>
      <c r="F114" s="1500"/>
    </row>
    <row r="115" spans="1:9">
      <c r="A115" s="1420" t="s">
        <v>5918</v>
      </c>
      <c r="B115" s="536" t="s">
        <v>5189</v>
      </c>
      <c r="C115" s="1470" t="s">
        <v>5076</v>
      </c>
      <c r="D115" s="1474">
        <v>1</v>
      </c>
      <c r="E115" s="2208">
        <f>+'APU CAPTACION'!B1375</f>
        <v>6810000</v>
      </c>
      <c r="F115" s="1514">
        <f t="shared" si="3"/>
        <v>6810000</v>
      </c>
    </row>
    <row r="116" spans="1:9" ht="33" customHeight="1">
      <c r="A116" s="3533" t="s">
        <v>4296</v>
      </c>
      <c r="B116" s="3533"/>
      <c r="C116" s="3533"/>
      <c r="D116" s="3533"/>
      <c r="E116" s="3542"/>
      <c r="F116" s="2222">
        <f>SUM(F66:F115)</f>
        <v>665345385</v>
      </c>
      <c r="G116" s="2379">
        <f>+F116</f>
        <v>665345385</v>
      </c>
      <c r="H116" s="2380" t="s">
        <v>8225</v>
      </c>
    </row>
    <row r="117" spans="1:9" ht="16.8">
      <c r="A117" s="3505" t="s">
        <v>8715</v>
      </c>
      <c r="B117" s="3505"/>
      <c r="C117" s="3505"/>
      <c r="D117" s="3505"/>
      <c r="E117" s="2209">
        <f>AIU!H47</f>
        <v>0.18358899999999997</v>
      </c>
      <c r="F117" s="2213">
        <f>ROUND(+E117*F116,0)</f>
        <v>122150094</v>
      </c>
      <c r="H117" s="1828"/>
      <c r="I117" s="1828"/>
    </row>
    <row r="118" spans="1:9" ht="16.8">
      <c r="A118" s="3506" t="s">
        <v>8714</v>
      </c>
      <c r="B118" s="3506"/>
      <c r="C118" s="3506"/>
      <c r="D118" s="3506"/>
      <c r="E118" s="2210">
        <v>0.01</v>
      </c>
      <c r="F118" s="2213">
        <f>ROUND(E118*(F116+F117),0)</f>
        <v>7874955</v>
      </c>
      <c r="H118" s="1828"/>
    </row>
    <row r="119" spans="1:9" ht="17.25" customHeight="1">
      <c r="A119" s="3525" t="s">
        <v>8544</v>
      </c>
      <c r="B119" s="3526"/>
      <c r="C119" s="3526"/>
      <c r="D119" s="3527"/>
      <c r="E119" s="2211">
        <v>0.02</v>
      </c>
      <c r="F119" s="2214">
        <f>ROUND(E119*(F116+F117),0)</f>
        <v>15749910</v>
      </c>
      <c r="H119" s="1828"/>
    </row>
    <row r="120" spans="1:9" ht="16.8">
      <c r="A120" s="3504" t="s">
        <v>4297</v>
      </c>
      <c r="B120" s="3504"/>
      <c r="C120" s="3504"/>
      <c r="D120" s="3504"/>
      <c r="E120" s="2212"/>
      <c r="F120" s="2222">
        <f>+SUM(F116:F119)</f>
        <v>811120344</v>
      </c>
      <c r="H120" s="1828"/>
    </row>
    <row r="121" spans="1:9">
      <c r="G121" s="28"/>
    </row>
    <row r="122" spans="1:9" ht="15" customHeight="1">
      <c r="A122" s="1785" t="s">
        <v>260</v>
      </c>
      <c r="B122" s="3518" t="s">
        <v>5525</v>
      </c>
      <c r="C122" s="3519"/>
      <c r="D122" s="3519"/>
      <c r="E122" s="3519"/>
      <c r="F122" s="3520"/>
    </row>
    <row r="123" spans="1:9" ht="33.6">
      <c r="A123" s="244" t="s">
        <v>22</v>
      </c>
      <c r="B123" s="245" t="s">
        <v>23</v>
      </c>
      <c r="C123" s="245" t="s">
        <v>150</v>
      </c>
      <c r="D123" s="1484" t="s">
        <v>539</v>
      </c>
      <c r="E123" s="1512" t="s">
        <v>151</v>
      </c>
      <c r="F123" s="1824" t="s">
        <v>540</v>
      </c>
    </row>
    <row r="124" spans="1:9" ht="16.8">
      <c r="A124" s="972" t="s">
        <v>35</v>
      </c>
      <c r="B124" s="981" t="s">
        <v>1127</v>
      </c>
      <c r="C124" s="1450"/>
      <c r="D124" s="1491"/>
      <c r="E124" s="1519" t="s">
        <v>1158</v>
      </c>
      <c r="F124" s="2240">
        <f>SUM(F125:F164)</f>
        <v>36778852</v>
      </c>
    </row>
    <row r="125" spans="1:9" ht="16.8">
      <c r="A125" s="257" t="s">
        <v>5786</v>
      </c>
      <c r="B125" s="2228" t="s">
        <v>7980</v>
      </c>
      <c r="C125" s="2226" t="s">
        <v>427</v>
      </c>
      <c r="D125" s="2227">
        <v>1</v>
      </c>
      <c r="E125" s="2229">
        <f>+'APU CAPTACION'!$B$14</f>
        <v>463471.72158900008</v>
      </c>
      <c r="F125" s="2671">
        <f t="shared" ref="F125:F164" si="4">ROUND((+E125*D125),0)</f>
        <v>463472</v>
      </c>
    </row>
    <row r="126" spans="1:9" ht="16.8">
      <c r="A126" s="1788" t="s">
        <v>5919</v>
      </c>
      <c r="B126" s="2228" t="s">
        <v>7981</v>
      </c>
      <c r="C126" s="2226" t="s">
        <v>427</v>
      </c>
      <c r="D126" s="2227">
        <v>1</v>
      </c>
      <c r="E126" s="2229">
        <f>+'APU CAPTACION'!$B$32</f>
        <v>1375085.954205872</v>
      </c>
      <c r="F126" s="2671">
        <f t="shared" si="4"/>
        <v>1375086</v>
      </c>
    </row>
    <row r="127" spans="1:9" ht="16.8">
      <c r="A127" s="2138" t="s">
        <v>5920</v>
      </c>
      <c r="B127" s="2228" t="s">
        <v>7983</v>
      </c>
      <c r="C127" s="2226" t="s">
        <v>427</v>
      </c>
      <c r="D127" s="2227">
        <v>3</v>
      </c>
      <c r="E127" s="2229">
        <f>+'APU CAPTACION'!$B$49</f>
        <v>638855.27904712001</v>
      </c>
      <c r="F127" s="2671">
        <f t="shared" si="4"/>
        <v>1916566</v>
      </c>
    </row>
    <row r="128" spans="1:9" ht="16.8">
      <c r="A128" s="2138" t="s">
        <v>5921</v>
      </c>
      <c r="B128" s="2228" t="s">
        <v>7984</v>
      </c>
      <c r="C128" s="2226" t="s">
        <v>427</v>
      </c>
      <c r="D128" s="2227">
        <v>1</v>
      </c>
      <c r="E128" s="2229">
        <f>+'APU CAPTACION'!$B$66</f>
        <v>633411.35283829994</v>
      </c>
      <c r="F128" s="2671">
        <f t="shared" si="4"/>
        <v>633411</v>
      </c>
    </row>
    <row r="129" spans="1:6" ht="16.8">
      <c r="A129" s="2138" t="s">
        <v>5922</v>
      </c>
      <c r="B129" s="2228" t="s">
        <v>7985</v>
      </c>
      <c r="C129" s="2226" t="s">
        <v>427</v>
      </c>
      <c r="D129" s="2227">
        <v>2</v>
      </c>
      <c r="E129" s="2229">
        <f>+'APU CAPTACION'!$B$83</f>
        <v>1081448.8530948001</v>
      </c>
      <c r="F129" s="2671">
        <f t="shared" si="4"/>
        <v>2162898</v>
      </c>
    </row>
    <row r="130" spans="1:6" ht="33.6">
      <c r="A130" s="2138" t="s">
        <v>5923</v>
      </c>
      <c r="B130" s="2228" t="s">
        <v>7986</v>
      </c>
      <c r="C130" s="2226" t="s">
        <v>427</v>
      </c>
      <c r="D130" s="2227">
        <v>3</v>
      </c>
      <c r="E130" s="2229">
        <f>+'APU CAPTACION'!$B$101</f>
        <v>512369.79209715204</v>
      </c>
      <c r="F130" s="2671">
        <f t="shared" si="4"/>
        <v>1537109</v>
      </c>
    </row>
    <row r="131" spans="1:6" ht="16.8">
      <c r="A131" s="2138" t="s">
        <v>5924</v>
      </c>
      <c r="B131" s="2228" t="s">
        <v>7987</v>
      </c>
      <c r="C131" s="2226" t="s">
        <v>427</v>
      </c>
      <c r="D131" s="2227">
        <v>3</v>
      </c>
      <c r="E131" s="2229">
        <f>+'APU CAPTACION'!$B$119</f>
        <v>348950.85429615993</v>
      </c>
      <c r="F131" s="2671">
        <f t="shared" si="4"/>
        <v>1046853</v>
      </c>
    </row>
    <row r="132" spans="1:6" ht="16.8">
      <c r="A132" s="2138" t="s">
        <v>5925</v>
      </c>
      <c r="B132" s="2228" t="s">
        <v>7988</v>
      </c>
      <c r="C132" s="2226" t="s">
        <v>427</v>
      </c>
      <c r="D132" s="2227">
        <v>6</v>
      </c>
      <c r="E132" s="2229">
        <f>+'APU CAPTACION'!$B$135</f>
        <v>245060.45917248001</v>
      </c>
      <c r="F132" s="2671">
        <f t="shared" si="4"/>
        <v>1470363</v>
      </c>
    </row>
    <row r="133" spans="1:6" ht="16.8">
      <c r="A133" s="2138" t="s">
        <v>5926</v>
      </c>
      <c r="B133" s="2228" t="s">
        <v>7989</v>
      </c>
      <c r="C133" s="2226" t="s">
        <v>427</v>
      </c>
      <c r="D133" s="2227">
        <v>3</v>
      </c>
      <c r="E133" s="2229">
        <f>+'APU CAPTACION'!$B$152</f>
        <v>276370.26245755999</v>
      </c>
      <c r="F133" s="2671">
        <f t="shared" si="4"/>
        <v>829111</v>
      </c>
    </row>
    <row r="134" spans="1:6" ht="16.8">
      <c r="A134" s="2138" t="s">
        <v>5927</v>
      </c>
      <c r="B134" s="2228" t="s">
        <v>7990</v>
      </c>
      <c r="C134" s="2226" t="s">
        <v>427</v>
      </c>
      <c r="D134" s="2227">
        <v>3</v>
      </c>
      <c r="E134" s="2229">
        <f>+'APU CAPTACION'!$B$168</f>
        <v>130188.36893538</v>
      </c>
      <c r="F134" s="2671">
        <f t="shared" si="4"/>
        <v>390565</v>
      </c>
    </row>
    <row r="135" spans="1:6" ht="16.8">
      <c r="A135" s="2138" t="s">
        <v>5928</v>
      </c>
      <c r="B135" s="2228" t="s">
        <v>7991</v>
      </c>
      <c r="C135" s="2226" t="s">
        <v>427</v>
      </c>
      <c r="D135" s="2227">
        <v>3</v>
      </c>
      <c r="E135" s="2229">
        <f>+'APU CAPTACION'!$B$185</f>
        <v>154496.50828452001</v>
      </c>
      <c r="F135" s="2671">
        <f t="shared" si="4"/>
        <v>463490</v>
      </c>
    </row>
    <row r="136" spans="1:6" ht="33.6">
      <c r="A136" s="2138" t="s">
        <v>5929</v>
      </c>
      <c r="B136" s="2228" t="s">
        <v>7992</v>
      </c>
      <c r="C136" s="2226" t="s">
        <v>427</v>
      </c>
      <c r="D136" s="2227">
        <v>3</v>
      </c>
      <c r="E136" s="2229">
        <f>+'APU CAPTACION'!B202</f>
        <v>78113.021361227991</v>
      </c>
      <c r="F136" s="2671">
        <f t="shared" si="4"/>
        <v>234339</v>
      </c>
    </row>
    <row r="137" spans="1:6" ht="33.6">
      <c r="A137" s="2138" t="s">
        <v>5930</v>
      </c>
      <c r="B137" s="2228" t="s">
        <v>7993</v>
      </c>
      <c r="C137" s="2226" t="s">
        <v>427</v>
      </c>
      <c r="D137" s="2227">
        <v>3</v>
      </c>
      <c r="E137" s="2229">
        <f>+'APU CAPTACION'!B219</f>
        <v>88834.416450024</v>
      </c>
      <c r="F137" s="2671">
        <f t="shared" si="4"/>
        <v>266503</v>
      </c>
    </row>
    <row r="138" spans="1:6" ht="16.8">
      <c r="A138" s="2138" t="s">
        <v>5931</v>
      </c>
      <c r="B138" s="2228" t="s">
        <v>7994</v>
      </c>
      <c r="C138" s="2226" t="s">
        <v>427</v>
      </c>
      <c r="D138" s="2227">
        <v>1</v>
      </c>
      <c r="E138" s="2229">
        <f>+'APU CAPTACION'!$B$252</f>
        <v>197412.20503021998</v>
      </c>
      <c r="F138" s="2671">
        <f t="shared" si="4"/>
        <v>197412</v>
      </c>
    </row>
    <row r="139" spans="1:6" ht="16.8">
      <c r="A139" s="2138" t="s">
        <v>5932</v>
      </c>
      <c r="B139" s="2228" t="s">
        <v>7995</v>
      </c>
      <c r="C139" s="2226" t="s">
        <v>427</v>
      </c>
      <c r="D139" s="2227">
        <v>1</v>
      </c>
      <c r="E139" s="2229">
        <f>+'APU CAPTACION'!$B$270</f>
        <v>228311.506687124</v>
      </c>
      <c r="F139" s="2671">
        <f t="shared" si="4"/>
        <v>228312</v>
      </c>
    </row>
    <row r="140" spans="1:6" ht="16.8">
      <c r="A140" s="2138" t="s">
        <v>5933</v>
      </c>
      <c r="B140" s="2228" t="s">
        <v>7996</v>
      </c>
      <c r="C140" s="2226" t="s">
        <v>427</v>
      </c>
      <c r="D140" s="2227">
        <v>1</v>
      </c>
      <c r="E140" s="2229">
        <f>+'APU CAPTACION'!$B$287</f>
        <v>271563.823110472</v>
      </c>
      <c r="F140" s="2671">
        <f t="shared" si="4"/>
        <v>271564</v>
      </c>
    </row>
    <row r="141" spans="1:6" ht="16.8">
      <c r="A141" s="2138" t="s">
        <v>5934</v>
      </c>
      <c r="B141" s="2228" t="s">
        <v>7997</v>
      </c>
      <c r="C141" s="2226" t="s">
        <v>427</v>
      </c>
      <c r="D141" s="2227">
        <v>3</v>
      </c>
      <c r="E141" s="2229">
        <f>+'APU CAPTACION'!$B$304</f>
        <v>256886.04112506</v>
      </c>
      <c r="F141" s="2671">
        <f t="shared" si="4"/>
        <v>770658</v>
      </c>
    </row>
    <row r="142" spans="1:6" ht="13.5" customHeight="1">
      <c r="A142" s="2138" t="s">
        <v>5935</v>
      </c>
      <c r="B142" s="2228" t="s">
        <v>7998</v>
      </c>
      <c r="C142" s="2226" t="s">
        <v>427</v>
      </c>
      <c r="D142" s="2227">
        <v>3</v>
      </c>
      <c r="E142" s="2229">
        <f>+'APU CAPTACION'!$B$323</f>
        <v>738788.82001828006</v>
      </c>
      <c r="F142" s="2671">
        <f t="shared" si="4"/>
        <v>2216366</v>
      </c>
    </row>
    <row r="143" spans="1:6" ht="16.8">
      <c r="A143" s="2138" t="s">
        <v>5936</v>
      </c>
      <c r="B143" s="2228" t="s">
        <v>7999</v>
      </c>
      <c r="C143" s="2226" t="s">
        <v>427</v>
      </c>
      <c r="D143" s="2227">
        <v>3</v>
      </c>
      <c r="E143" s="2229">
        <f>+'APU CAPTACION'!$B$341</f>
        <v>1972438.0332612002</v>
      </c>
      <c r="F143" s="2671">
        <f t="shared" si="4"/>
        <v>5917314</v>
      </c>
    </row>
    <row r="144" spans="1:6" ht="16.8">
      <c r="A144" s="2138" t="s">
        <v>5937</v>
      </c>
      <c r="B144" s="2228" t="s">
        <v>8000</v>
      </c>
      <c r="C144" s="2226" t="s">
        <v>427</v>
      </c>
      <c r="D144" s="2227">
        <v>3</v>
      </c>
      <c r="E144" s="2229">
        <f>+'APU CAPTACION'!$B$358</f>
        <v>325624.33788717602</v>
      </c>
      <c r="F144" s="2671">
        <f t="shared" si="4"/>
        <v>976873</v>
      </c>
    </row>
    <row r="145" spans="1:6" ht="16.8">
      <c r="A145" s="2138" t="s">
        <v>5938</v>
      </c>
      <c r="B145" s="2228" t="s">
        <v>8001</v>
      </c>
      <c r="C145" s="2226" t="s">
        <v>427</v>
      </c>
      <c r="D145" s="2227">
        <v>3</v>
      </c>
      <c r="E145" s="2229">
        <f>+'APU CAPTACION'!B375</f>
        <v>564756.62328284001</v>
      </c>
      <c r="F145" s="2671">
        <f t="shared" si="4"/>
        <v>1694270</v>
      </c>
    </row>
    <row r="146" spans="1:6" ht="16.8">
      <c r="A146" s="2138" t="s">
        <v>5939</v>
      </c>
      <c r="B146" s="2228" t="s">
        <v>8002</v>
      </c>
      <c r="C146" s="2226" t="s">
        <v>427</v>
      </c>
      <c r="D146" s="2227">
        <v>3</v>
      </c>
      <c r="E146" s="2229">
        <f>+'APU CAPTACION'!B392</f>
        <v>757014.19716635998</v>
      </c>
      <c r="F146" s="2671">
        <f t="shared" si="4"/>
        <v>2271043</v>
      </c>
    </row>
    <row r="147" spans="1:6" ht="16.8">
      <c r="A147" s="2138" t="s">
        <v>5940</v>
      </c>
      <c r="B147" s="2228" t="s">
        <v>8003</v>
      </c>
      <c r="C147" s="2226" t="s">
        <v>427</v>
      </c>
      <c r="D147" s="2227">
        <v>1</v>
      </c>
      <c r="E147" s="2229">
        <f>+'APU CAPTACION'!B408</f>
        <v>214427.90177591998</v>
      </c>
      <c r="F147" s="2671">
        <f t="shared" si="4"/>
        <v>214428</v>
      </c>
    </row>
    <row r="148" spans="1:6" ht="16.8">
      <c r="A148" s="2138" t="s">
        <v>5941</v>
      </c>
      <c r="B148" s="2228" t="s">
        <v>8004</v>
      </c>
      <c r="C148" s="2226" t="s">
        <v>427</v>
      </c>
      <c r="D148" s="2227">
        <v>1</v>
      </c>
      <c r="E148" s="2229">
        <f>+'APU CAPTACION'!B426</f>
        <v>401757.38376338402</v>
      </c>
      <c r="F148" s="2671">
        <f t="shared" si="4"/>
        <v>401757</v>
      </c>
    </row>
    <row r="149" spans="1:6" ht="33.6">
      <c r="A149" s="2138" t="s">
        <v>5942</v>
      </c>
      <c r="B149" s="2228" t="s">
        <v>8005</v>
      </c>
      <c r="C149" s="2226" t="s">
        <v>427</v>
      </c>
      <c r="D149" s="2227">
        <v>1</v>
      </c>
      <c r="E149" s="2229">
        <f>+'APU CAPTACION'!B445</f>
        <v>574951.23453643196</v>
      </c>
      <c r="F149" s="2671">
        <f t="shared" si="4"/>
        <v>574951</v>
      </c>
    </row>
    <row r="150" spans="1:6" ht="16.8">
      <c r="A150" s="2138" t="s">
        <v>5943</v>
      </c>
      <c r="B150" s="2228" t="s">
        <v>8006</v>
      </c>
      <c r="C150" s="2226" t="s">
        <v>427</v>
      </c>
      <c r="D150" s="2227">
        <v>1</v>
      </c>
      <c r="E150" s="2229">
        <f>+'APU CAPTACION'!B462</f>
        <v>444595.63960564003</v>
      </c>
      <c r="F150" s="2671">
        <f t="shared" si="4"/>
        <v>444596</v>
      </c>
    </row>
    <row r="151" spans="1:6" ht="16.8">
      <c r="A151" s="2138" t="s">
        <v>5944</v>
      </c>
      <c r="B151" s="2228" t="s">
        <v>6464</v>
      </c>
      <c r="C151" s="2226" t="s">
        <v>427</v>
      </c>
      <c r="D151" s="2227">
        <v>1</v>
      </c>
      <c r="E151" s="2229">
        <f>+'APU CAPTACION'!$B$480</f>
        <v>793062.49226952007</v>
      </c>
      <c r="F151" s="2671">
        <f t="shared" si="4"/>
        <v>793062</v>
      </c>
    </row>
    <row r="152" spans="1:6" ht="16.8">
      <c r="A152" s="2138" t="s">
        <v>5945</v>
      </c>
      <c r="B152" s="2228" t="s">
        <v>6466</v>
      </c>
      <c r="C152" s="2226" t="s">
        <v>427</v>
      </c>
      <c r="D152" s="2227">
        <v>3</v>
      </c>
      <c r="E152" s="2229">
        <f>+'APU CAPTACION'!$B$500</f>
        <v>225428.82035571916</v>
      </c>
      <c r="F152" s="2671">
        <f t="shared" si="4"/>
        <v>676286</v>
      </c>
    </row>
    <row r="153" spans="1:6" ht="33.6">
      <c r="A153" s="2138" t="s">
        <v>5946</v>
      </c>
      <c r="B153" s="2228" t="s">
        <v>8007</v>
      </c>
      <c r="C153" s="2226" t="s">
        <v>427</v>
      </c>
      <c r="D153" s="2227">
        <v>2</v>
      </c>
      <c r="E153" s="2229">
        <f>+'APU CAPTACION'!$B$519</f>
        <v>965773.39201096795</v>
      </c>
      <c r="F153" s="2671">
        <f t="shared" si="4"/>
        <v>1931547</v>
      </c>
    </row>
    <row r="154" spans="1:6" ht="16.8">
      <c r="A154" s="2138" t="s">
        <v>5947</v>
      </c>
      <c r="B154" s="2228" t="s">
        <v>8008</v>
      </c>
      <c r="C154" s="2226" t="s">
        <v>427</v>
      </c>
      <c r="D154" s="2227">
        <v>1</v>
      </c>
      <c r="E154" s="2229">
        <f>+'APU CAPTACION'!$B$536</f>
        <v>617627.45610080799</v>
      </c>
      <c r="F154" s="2671">
        <f t="shared" si="4"/>
        <v>617627</v>
      </c>
    </row>
    <row r="155" spans="1:6" ht="16.8">
      <c r="A155" s="2138" t="s">
        <v>5948</v>
      </c>
      <c r="B155" s="2228" t="s">
        <v>8009</v>
      </c>
      <c r="C155" s="2226" t="s">
        <v>427</v>
      </c>
      <c r="D155" s="2227">
        <v>1</v>
      </c>
      <c r="E155" s="2229">
        <f>+'APU CAPTACION'!$B$553</f>
        <v>348466.85266387998</v>
      </c>
      <c r="F155" s="2671">
        <f t="shared" si="4"/>
        <v>348467</v>
      </c>
    </row>
    <row r="156" spans="1:6" ht="16.8">
      <c r="A156" s="2138" t="s">
        <v>5949</v>
      </c>
      <c r="B156" s="2230" t="s">
        <v>8010</v>
      </c>
      <c r="C156" s="2226" t="s">
        <v>427</v>
      </c>
      <c r="D156" s="2227">
        <v>1</v>
      </c>
      <c r="E156" s="2229">
        <f>+'APU CAPTACION'!$B$570</f>
        <v>480643.93470879999</v>
      </c>
      <c r="F156" s="2671">
        <f t="shared" si="4"/>
        <v>480644</v>
      </c>
    </row>
    <row r="157" spans="1:6" ht="16.8">
      <c r="A157" s="2138" t="s">
        <v>5950</v>
      </c>
      <c r="B157" s="2228" t="s">
        <v>8011</v>
      </c>
      <c r="C157" s="2226" t="s">
        <v>427</v>
      </c>
      <c r="D157" s="2227">
        <v>2</v>
      </c>
      <c r="E157" s="2229">
        <f>+'APU CAPTACION'!$B$585</f>
        <v>559044.17248722003</v>
      </c>
      <c r="F157" s="2671">
        <f t="shared" si="4"/>
        <v>1118088</v>
      </c>
    </row>
    <row r="158" spans="1:6" ht="16.8">
      <c r="A158" s="2138" t="s">
        <v>5951</v>
      </c>
      <c r="B158" s="2230" t="s">
        <v>8012</v>
      </c>
      <c r="C158" s="2226" t="s">
        <v>427</v>
      </c>
      <c r="D158" s="2227">
        <v>4</v>
      </c>
      <c r="E158" s="2229">
        <f>+'APU CAPTACION'!$B$599</f>
        <v>70983.029553407992</v>
      </c>
      <c r="F158" s="2671">
        <f t="shared" si="4"/>
        <v>283932</v>
      </c>
    </row>
    <row r="159" spans="1:6" ht="45" customHeight="1">
      <c r="A159" s="2138" t="s">
        <v>5952</v>
      </c>
      <c r="B159" s="2228" t="s">
        <v>8013</v>
      </c>
      <c r="C159" s="2226" t="s">
        <v>427</v>
      </c>
      <c r="D159" s="2227">
        <v>1</v>
      </c>
      <c r="E159" s="2229">
        <f>+'APU CAPTACION'!$B$616</f>
        <v>446806.95106648398</v>
      </c>
      <c r="F159" s="2671">
        <f t="shared" si="4"/>
        <v>446807</v>
      </c>
    </row>
    <row r="160" spans="1:6" ht="16.8">
      <c r="A160" s="2138" t="s">
        <v>5953</v>
      </c>
      <c r="B160" s="2228" t="s">
        <v>8014</v>
      </c>
      <c r="C160" s="2226" t="s">
        <v>427</v>
      </c>
      <c r="D160" s="2227">
        <v>1</v>
      </c>
      <c r="E160" s="2229">
        <f>+'APU CAPTACION'!B632</f>
        <v>302126.50508972805</v>
      </c>
      <c r="F160" s="2671">
        <f t="shared" si="4"/>
        <v>302127</v>
      </c>
    </row>
    <row r="161" spans="1:7" ht="16.8">
      <c r="A161" s="2138" t="s">
        <v>5954</v>
      </c>
      <c r="B161" s="2230" t="s">
        <v>8015</v>
      </c>
      <c r="C161" s="2226" t="s">
        <v>427</v>
      </c>
      <c r="D161" s="2227">
        <v>6</v>
      </c>
      <c r="E161" s="2229">
        <f>+'APU CAPTACION'!$B$646</f>
        <v>43255.283634108004</v>
      </c>
      <c r="F161" s="2671">
        <f t="shared" si="4"/>
        <v>259532</v>
      </c>
    </row>
    <row r="162" spans="1:7" ht="16.8">
      <c r="A162" s="2138" t="s">
        <v>5955</v>
      </c>
      <c r="B162" s="2228" t="s">
        <v>8016</v>
      </c>
      <c r="C162" s="2226" t="s">
        <v>427</v>
      </c>
      <c r="D162" s="2227">
        <v>1</v>
      </c>
      <c r="E162" s="2229">
        <f>+'APU CAPTACION'!B662</f>
        <v>213886.55094541603</v>
      </c>
      <c r="F162" s="2671">
        <f t="shared" si="4"/>
        <v>213887</v>
      </c>
    </row>
    <row r="163" spans="1:7" ht="16.8">
      <c r="A163" s="2138" t="s">
        <v>5956</v>
      </c>
      <c r="B163" s="2228" t="s">
        <v>8017</v>
      </c>
      <c r="C163" s="2226" t="s">
        <v>427</v>
      </c>
      <c r="D163" s="2227">
        <v>1</v>
      </c>
      <c r="E163" s="2229">
        <f>+'APU CAPTACION'!B678</f>
        <v>108745.578757788</v>
      </c>
      <c r="F163" s="2671">
        <f t="shared" si="4"/>
        <v>108746</v>
      </c>
    </row>
    <row r="164" spans="1:7" ht="49.5" customHeight="1">
      <c r="A164" s="2138" t="s">
        <v>5957</v>
      </c>
      <c r="B164" s="2228" t="s">
        <v>8018</v>
      </c>
      <c r="C164" s="2226" t="s">
        <v>427</v>
      </c>
      <c r="D164" s="2227">
        <v>1</v>
      </c>
      <c r="E164" s="2229">
        <f>+'APU CAPTACION'!$B$695</f>
        <v>228789.87061896003</v>
      </c>
      <c r="F164" s="2671">
        <f t="shared" si="4"/>
        <v>228790</v>
      </c>
    </row>
    <row r="165" spans="1:7" ht="16.8">
      <c r="A165" s="3534" t="s">
        <v>4298</v>
      </c>
      <c r="B165" s="3535"/>
      <c r="C165" s="3535"/>
      <c r="D165" s="3535"/>
      <c r="E165" s="3535"/>
      <c r="F165" s="2219">
        <f>SUM(F125:F164)</f>
        <v>36778852</v>
      </c>
      <c r="G165" s="2391">
        <f>+CONSOLIDADO!F58</f>
        <v>36778852</v>
      </c>
    </row>
    <row r="166" spans="1:7" ht="16.8">
      <c r="A166" s="3536" t="s">
        <v>3619</v>
      </c>
      <c r="B166" s="3537"/>
      <c r="C166" s="3537"/>
      <c r="D166" s="3538"/>
      <c r="E166" s="2215">
        <f>+AIU</f>
        <v>0.29572249606750989</v>
      </c>
      <c r="F166" s="1833">
        <f>ROUND(F165*E166,0)</f>
        <v>10876334</v>
      </c>
    </row>
    <row r="167" spans="1:7" ht="16.8">
      <c r="A167" s="3536" t="str">
        <f>+A61</f>
        <v>INTERVENTORIA OBRA CIVIL</v>
      </c>
      <c r="B167" s="3537"/>
      <c r="C167" s="3537"/>
      <c r="D167" s="3538"/>
      <c r="E167" s="2387">
        <f>+'PRESUPUESTO-INTERV'!J50</f>
        <v>0.16163254000625432</v>
      </c>
      <c r="F167" s="1833">
        <f>ROUND(E167*(F165+F166),0)</f>
        <v>7702629</v>
      </c>
    </row>
    <row r="168" spans="1:7" ht="17.25" customHeight="1">
      <c r="A168" s="3528" t="s">
        <v>8544</v>
      </c>
      <c r="B168" s="3529"/>
      <c r="C168" s="3529"/>
      <c r="D168" s="3530"/>
      <c r="E168" s="2216">
        <v>0.02</v>
      </c>
      <c r="F168" s="1833">
        <f>ROUND(E168*(F165+F166),0)</f>
        <v>953104</v>
      </c>
    </row>
    <row r="169" spans="1:7" ht="16.8">
      <c r="A169" s="3531" t="s">
        <v>4299</v>
      </c>
      <c r="B169" s="3532"/>
      <c r="C169" s="3532"/>
      <c r="D169" s="3532"/>
      <c r="E169" s="3532"/>
      <c r="F169" s="2219">
        <f>+SUM(F165:F168)</f>
        <v>56310919</v>
      </c>
    </row>
    <row r="171" spans="1:7" ht="16.8">
      <c r="A171" s="1786" t="s">
        <v>1446</v>
      </c>
      <c r="B171" s="3500" t="s">
        <v>1128</v>
      </c>
      <c r="C171" s="3500"/>
      <c r="D171" s="3500"/>
      <c r="E171" s="1500"/>
      <c r="F171" s="2246">
        <f>+SUM(F172:F211)</f>
        <v>244941123</v>
      </c>
    </row>
    <row r="172" spans="1:7" ht="16.8">
      <c r="A172" s="1788" t="s">
        <v>1096</v>
      </c>
      <c r="B172" s="2228" t="s">
        <v>4388</v>
      </c>
      <c r="C172" s="2226" t="s">
        <v>427</v>
      </c>
      <c r="D172" s="2227">
        <v>1</v>
      </c>
      <c r="E172" s="2231">
        <f>+'APU CAPTACION'!$B$22</f>
        <v>3034480</v>
      </c>
      <c r="F172" s="2232">
        <f>ROUND(+E172*D172,0)</f>
        <v>3034480</v>
      </c>
    </row>
    <row r="173" spans="1:7" ht="16.8">
      <c r="A173" s="1788" t="s">
        <v>1097</v>
      </c>
      <c r="B173" s="2228" t="s">
        <v>7982</v>
      </c>
      <c r="C173" s="2226" t="s">
        <v>427</v>
      </c>
      <c r="D173" s="2227">
        <v>1</v>
      </c>
      <c r="E173" s="2231">
        <f>+'APU CAPTACION'!$B$40</f>
        <v>9134820</v>
      </c>
      <c r="F173" s="2232">
        <f t="shared" ref="F173:F211" si="5">ROUND(+E173*D173,0)</f>
        <v>9134820</v>
      </c>
    </row>
    <row r="174" spans="1:7" ht="16.8">
      <c r="A174" s="1788" t="s">
        <v>1098</v>
      </c>
      <c r="B174" s="2228" t="s">
        <v>4372</v>
      </c>
      <c r="C174" s="2226" t="s">
        <v>427</v>
      </c>
      <c r="D174" s="2227">
        <v>3</v>
      </c>
      <c r="E174" s="2231">
        <f>+'APU CAPTACION'!$B$57</f>
        <v>4245750</v>
      </c>
      <c r="F174" s="2232">
        <f t="shared" si="5"/>
        <v>12737250</v>
      </c>
    </row>
    <row r="175" spans="1:7" ht="16.8">
      <c r="A175" s="2138" t="s">
        <v>1099</v>
      </c>
      <c r="B175" s="2228" t="s">
        <v>6441</v>
      </c>
      <c r="C175" s="2226" t="s">
        <v>427</v>
      </c>
      <c r="D175" s="2227">
        <v>1</v>
      </c>
      <c r="E175" s="2231">
        <f>+'APU CAPTACION'!$B$74</f>
        <v>4211270</v>
      </c>
      <c r="F175" s="2232">
        <f t="shared" si="5"/>
        <v>4211270</v>
      </c>
    </row>
    <row r="176" spans="1:7" ht="16.8">
      <c r="A176" s="2138" t="s">
        <v>1100</v>
      </c>
      <c r="B176" s="2228" t="s">
        <v>8019</v>
      </c>
      <c r="C176" s="2226" t="s">
        <v>427</v>
      </c>
      <c r="D176" s="2227">
        <v>2</v>
      </c>
      <c r="E176" s="2231">
        <f>+'APU CAPTACION'!$B$91</f>
        <v>7116325.4000000013</v>
      </c>
      <c r="F176" s="2232">
        <f t="shared" si="5"/>
        <v>14232651</v>
      </c>
    </row>
    <row r="177" spans="1:6" ht="33.6">
      <c r="A177" s="2138" t="s">
        <v>1105</v>
      </c>
      <c r="B177" s="2228" t="s">
        <v>4376</v>
      </c>
      <c r="C177" s="2226" t="s">
        <v>427</v>
      </c>
      <c r="D177" s="2227">
        <v>3</v>
      </c>
      <c r="E177" s="2231">
        <f>+'APU CAPTACION'!$B$109</f>
        <v>3404150</v>
      </c>
      <c r="F177" s="2232">
        <f t="shared" si="5"/>
        <v>10212450</v>
      </c>
    </row>
    <row r="178" spans="1:6" ht="16.8">
      <c r="A178" s="2138" t="s">
        <v>5958</v>
      </c>
      <c r="B178" s="2228" t="s">
        <v>6447</v>
      </c>
      <c r="C178" s="2226" t="s">
        <v>427</v>
      </c>
      <c r="D178" s="2227">
        <v>3</v>
      </c>
      <c r="E178" s="2231">
        <f>+'APU CAPTACION'!$B$127</f>
        <v>2296260</v>
      </c>
      <c r="F178" s="2232">
        <f t="shared" si="5"/>
        <v>6888780</v>
      </c>
    </row>
    <row r="179" spans="1:6" ht="16.8">
      <c r="A179" s="2138" t="s">
        <v>5959</v>
      </c>
      <c r="B179" s="2228" t="s">
        <v>4405</v>
      </c>
      <c r="C179" s="2226" t="s">
        <v>427</v>
      </c>
      <c r="D179" s="2227">
        <v>6</v>
      </c>
      <c r="E179" s="2231">
        <f>+'APU CAPTACION'!$B$143</f>
        <v>1631019</v>
      </c>
      <c r="F179" s="2232">
        <f t="shared" si="5"/>
        <v>9786114</v>
      </c>
    </row>
    <row r="180" spans="1:6" ht="16.8">
      <c r="A180" s="2138" t="s">
        <v>5960</v>
      </c>
      <c r="B180" s="2228" t="s">
        <v>4379</v>
      </c>
      <c r="C180" s="2226" t="s">
        <v>427</v>
      </c>
      <c r="D180" s="2227">
        <v>3</v>
      </c>
      <c r="E180" s="2231">
        <f>+'APU CAPTACION'!$B$160</f>
        <v>1836800</v>
      </c>
      <c r="F180" s="2232">
        <f t="shared" si="5"/>
        <v>5510400</v>
      </c>
    </row>
    <row r="181" spans="1:6" ht="16.8">
      <c r="A181" s="2138" t="s">
        <v>5961</v>
      </c>
      <c r="B181" s="2228" t="s">
        <v>4403</v>
      </c>
      <c r="C181" s="2226" t="s">
        <v>427</v>
      </c>
      <c r="D181" s="2227">
        <v>3</v>
      </c>
      <c r="E181" s="2231">
        <f>+'APU CAPTACION'!$B$176</f>
        <v>865125</v>
      </c>
      <c r="F181" s="2232">
        <f t="shared" si="5"/>
        <v>2595375</v>
      </c>
    </row>
    <row r="182" spans="1:6" ht="16.8">
      <c r="A182" s="2138" t="s">
        <v>5962</v>
      </c>
      <c r="B182" s="2228" t="s">
        <v>6450</v>
      </c>
      <c r="C182" s="2226" t="s">
        <v>427</v>
      </c>
      <c r="D182" s="2227">
        <v>3</v>
      </c>
      <c r="E182" s="2231">
        <f>+'APU CAPTACION'!$B$194</f>
        <v>1039128</v>
      </c>
      <c r="F182" s="2232">
        <f t="shared" si="5"/>
        <v>3117384</v>
      </c>
    </row>
    <row r="183" spans="1:6" ht="33.6">
      <c r="A183" s="2138" t="s">
        <v>5963</v>
      </c>
      <c r="B183" s="2228" t="s">
        <v>6452</v>
      </c>
      <c r="C183" s="2226" t="s">
        <v>427</v>
      </c>
      <c r="D183" s="2227">
        <v>3</v>
      </c>
      <c r="E183" s="2232">
        <f>+'APU CAPTACION'!$B$211</f>
        <v>514990</v>
      </c>
      <c r="F183" s="2231">
        <f t="shared" ref="F183:F184" si="6">ROUND((+E183*D183),0)</f>
        <v>1544970</v>
      </c>
    </row>
    <row r="184" spans="1:6" ht="33.6">
      <c r="A184" s="2138" t="s">
        <v>5964</v>
      </c>
      <c r="B184" s="2228" t="s">
        <v>5102</v>
      </c>
      <c r="C184" s="2226" t="s">
        <v>427</v>
      </c>
      <c r="D184" s="2227">
        <v>3</v>
      </c>
      <c r="E184" s="2232">
        <f>+'APU CAPTACION'!$B$228</f>
        <v>593680</v>
      </c>
      <c r="F184" s="2231">
        <f t="shared" si="6"/>
        <v>1781040</v>
      </c>
    </row>
    <row r="185" spans="1:6" ht="16.8">
      <c r="A185" s="2138" t="s">
        <v>5965</v>
      </c>
      <c r="B185" s="2228" t="s">
        <v>4400</v>
      </c>
      <c r="C185" s="2226" t="s">
        <v>427</v>
      </c>
      <c r="D185" s="2227">
        <v>1</v>
      </c>
      <c r="E185" s="2231">
        <f>+'APU CAPTACION'!$B$260</f>
        <v>1300750</v>
      </c>
      <c r="F185" s="2232">
        <f t="shared" si="5"/>
        <v>1300750</v>
      </c>
    </row>
    <row r="186" spans="1:6" ht="16.8">
      <c r="A186" s="2138" t="s">
        <v>5966</v>
      </c>
      <c r="B186" s="2228" t="s">
        <v>6456</v>
      </c>
      <c r="C186" s="2226" t="s">
        <v>427</v>
      </c>
      <c r="D186" s="2227">
        <v>1</v>
      </c>
      <c r="E186" s="2231">
        <f>+'APU CAPTACION'!$B$278</f>
        <v>1513979</v>
      </c>
      <c r="F186" s="2232">
        <f t="shared" si="5"/>
        <v>1513979</v>
      </c>
    </row>
    <row r="187" spans="1:6" ht="16.8">
      <c r="A187" s="2138" t="s">
        <v>5967</v>
      </c>
      <c r="B187" s="2228" t="s">
        <v>4396</v>
      </c>
      <c r="C187" s="2226" t="s">
        <v>427</v>
      </c>
      <c r="D187" s="2227">
        <v>1</v>
      </c>
      <c r="E187" s="2231">
        <f>+'APU CAPTACION'!$B$295</f>
        <v>1820097</v>
      </c>
      <c r="F187" s="2232">
        <f t="shared" si="5"/>
        <v>1820097</v>
      </c>
    </row>
    <row r="188" spans="1:6" ht="16.8">
      <c r="A188" s="2138" t="s">
        <v>5968</v>
      </c>
      <c r="B188" s="2228" t="s">
        <v>4382</v>
      </c>
      <c r="C188" s="2226" t="s">
        <v>427</v>
      </c>
      <c r="D188" s="2227">
        <v>3</v>
      </c>
      <c r="E188" s="2231">
        <f>+'APU CAPTACION'!$B$313</f>
        <v>1718355</v>
      </c>
      <c r="F188" s="2232">
        <f t="shared" si="5"/>
        <v>5155065</v>
      </c>
    </row>
    <row r="189" spans="1:6" ht="33.6">
      <c r="A189" s="2138" t="s">
        <v>5969</v>
      </c>
      <c r="B189" s="2228" t="s">
        <v>4384</v>
      </c>
      <c r="C189" s="2226" t="s">
        <v>427</v>
      </c>
      <c r="D189" s="2227">
        <v>3</v>
      </c>
      <c r="E189" s="2231">
        <f>+'APU CAPTACION'!B331</f>
        <v>4884515</v>
      </c>
      <c r="F189" s="2232">
        <f t="shared" si="5"/>
        <v>14653545</v>
      </c>
    </row>
    <row r="190" spans="1:6" ht="16.8">
      <c r="A190" s="2138" t="s">
        <v>5970</v>
      </c>
      <c r="B190" s="2228" t="s">
        <v>4392</v>
      </c>
      <c r="C190" s="2226" t="s">
        <v>427</v>
      </c>
      <c r="D190" s="2227">
        <v>3</v>
      </c>
      <c r="E190" s="2231">
        <f>+'APU CAPTACION'!$B$349</f>
        <v>13195190</v>
      </c>
      <c r="F190" s="2232">
        <f t="shared" si="5"/>
        <v>39585570</v>
      </c>
    </row>
    <row r="191" spans="1:6" ht="16.8">
      <c r="A191" s="2138" t="s">
        <v>5971</v>
      </c>
      <c r="B191" s="2228" t="s">
        <v>8020</v>
      </c>
      <c r="C191" s="2226" t="s">
        <v>427</v>
      </c>
      <c r="D191" s="2227">
        <v>3</v>
      </c>
      <c r="E191" s="2231">
        <f>+'APU CAPTACION'!B366</f>
        <v>2172800</v>
      </c>
      <c r="F191" s="2232">
        <f t="shared" si="5"/>
        <v>6518400</v>
      </c>
    </row>
    <row r="192" spans="1:6" ht="16.8">
      <c r="A192" s="2138" t="s">
        <v>5972</v>
      </c>
      <c r="B192" s="2228" t="s">
        <v>6459</v>
      </c>
      <c r="C192" s="2226" t="s">
        <v>427</v>
      </c>
      <c r="D192" s="2227">
        <v>3</v>
      </c>
      <c r="E192" s="2231">
        <f>+'APU CAPTACION'!B383</f>
        <v>3792490</v>
      </c>
      <c r="F192" s="2232">
        <f t="shared" si="5"/>
        <v>11377470</v>
      </c>
    </row>
    <row r="193" spans="1:6" ht="16.8">
      <c r="A193" s="2138" t="s">
        <v>5973</v>
      </c>
      <c r="B193" s="2228" t="s">
        <v>4387</v>
      </c>
      <c r="C193" s="2226" t="s">
        <v>427</v>
      </c>
      <c r="D193" s="2227">
        <v>3</v>
      </c>
      <c r="E193" s="2231">
        <f>+'APU CAPTACION'!B400</f>
        <v>5043794</v>
      </c>
      <c r="F193" s="2232">
        <f t="shared" si="5"/>
        <v>15131382</v>
      </c>
    </row>
    <row r="194" spans="1:6" ht="16.8">
      <c r="A194" s="2138" t="s">
        <v>5974</v>
      </c>
      <c r="B194" s="2228" t="s">
        <v>7946</v>
      </c>
      <c r="C194" s="2226" t="s">
        <v>427</v>
      </c>
      <c r="D194" s="2227">
        <v>1</v>
      </c>
      <c r="E194" s="2231">
        <f>+'APU CAPTACION'!B416</f>
        <v>1428200</v>
      </c>
      <c r="F194" s="2232">
        <f t="shared" si="5"/>
        <v>1428200</v>
      </c>
    </row>
    <row r="195" spans="1:6" ht="16.8">
      <c r="A195" s="2138" t="s">
        <v>5975</v>
      </c>
      <c r="B195" s="2228" t="s">
        <v>8021</v>
      </c>
      <c r="C195" s="2226" t="s">
        <v>427</v>
      </c>
      <c r="D195" s="2227">
        <v>1</v>
      </c>
      <c r="E195" s="2231">
        <f>+'APU CAPTACION'!B434</f>
        <v>2671480</v>
      </c>
      <c r="F195" s="2232">
        <f>ROUND(+E195*D195,0)</f>
        <v>2671480</v>
      </c>
    </row>
    <row r="196" spans="1:6" ht="33.6">
      <c r="A196" s="2138" t="s">
        <v>5976</v>
      </c>
      <c r="B196" s="2228" t="s">
        <v>6461</v>
      </c>
      <c r="C196" s="2226" t="s">
        <v>427</v>
      </c>
      <c r="D196" s="2227">
        <v>1</v>
      </c>
      <c r="E196" s="2231">
        <f>+'APU CAPTACION'!$B$453</f>
        <v>3844900</v>
      </c>
      <c r="F196" s="2232">
        <f t="shared" si="5"/>
        <v>3844900</v>
      </c>
    </row>
    <row r="197" spans="1:6" ht="16.8">
      <c r="A197" s="2138" t="s">
        <v>5977</v>
      </c>
      <c r="B197" s="2228" t="s">
        <v>4503</v>
      </c>
      <c r="C197" s="2226" t="s">
        <v>427</v>
      </c>
      <c r="D197" s="2227">
        <v>1</v>
      </c>
      <c r="E197" s="2231">
        <f>+'APU CAPTACION'!B471</f>
        <v>2982150</v>
      </c>
      <c r="F197" s="2232">
        <f t="shared" si="5"/>
        <v>2982150</v>
      </c>
    </row>
    <row r="198" spans="1:6" ht="16.8">
      <c r="A198" s="2138" t="s">
        <v>5978</v>
      </c>
      <c r="B198" s="2228" t="s">
        <v>6463</v>
      </c>
      <c r="C198" s="2226" t="s">
        <v>427</v>
      </c>
      <c r="D198" s="2227">
        <v>1</v>
      </c>
      <c r="E198" s="2231">
        <f>+'APU CAPTACION'!B488</f>
        <v>5284750</v>
      </c>
      <c r="F198" s="2232">
        <f t="shared" si="5"/>
        <v>5284750</v>
      </c>
    </row>
    <row r="199" spans="1:6" ht="16.8">
      <c r="A199" s="2138" t="s">
        <v>5979</v>
      </c>
      <c r="B199" s="2228" t="s">
        <v>6465</v>
      </c>
      <c r="C199" s="2226" t="s">
        <v>427</v>
      </c>
      <c r="D199" s="2227">
        <v>3</v>
      </c>
      <c r="E199" s="2231">
        <f>+'APU CAPTACION'!$B$508</f>
        <v>1525948.02</v>
      </c>
      <c r="F199" s="2232">
        <f t="shared" si="5"/>
        <v>4577844</v>
      </c>
    </row>
    <row r="200" spans="1:6" ht="33.6">
      <c r="A200" s="2138" t="s">
        <v>5980</v>
      </c>
      <c r="B200" s="2228" t="s">
        <v>6467</v>
      </c>
      <c r="C200" s="2226" t="s">
        <v>427</v>
      </c>
      <c r="D200" s="2227">
        <v>2</v>
      </c>
      <c r="E200" s="2231">
        <f>+'APU CAPTACION'!$B$527</f>
        <v>6465976</v>
      </c>
      <c r="F200" s="2232">
        <f t="shared" si="5"/>
        <v>12931952</v>
      </c>
    </row>
    <row r="201" spans="1:6" ht="16.8">
      <c r="A201" s="2138" t="s">
        <v>5981</v>
      </c>
      <c r="B201" s="2228" t="s">
        <v>4505</v>
      </c>
      <c r="C201" s="2226" t="s">
        <v>427</v>
      </c>
      <c r="D201" s="2227">
        <v>1</v>
      </c>
      <c r="E201" s="2231">
        <f>+'APU CAPTACION'!$B$544</f>
        <v>4124500</v>
      </c>
      <c r="F201" s="2232">
        <f t="shared" si="5"/>
        <v>4124500</v>
      </c>
    </row>
    <row r="202" spans="1:6" ht="16.8">
      <c r="A202" s="2138" t="s">
        <v>5982</v>
      </c>
      <c r="B202" s="2228" t="s">
        <v>6469</v>
      </c>
      <c r="C202" s="2226" t="s">
        <v>427</v>
      </c>
      <c r="D202" s="2227">
        <v>1</v>
      </c>
      <c r="E202" s="2231">
        <f>+'APU CAPTACION'!$B$561</f>
        <v>2330150</v>
      </c>
      <c r="F202" s="2232">
        <f t="shared" si="5"/>
        <v>2330150</v>
      </c>
    </row>
    <row r="203" spans="1:6" ht="16.8">
      <c r="A203" s="2138" t="s">
        <v>5983</v>
      </c>
      <c r="B203" s="2233" t="s">
        <v>6471</v>
      </c>
      <c r="C203" s="2226" t="s">
        <v>427</v>
      </c>
      <c r="D203" s="2227">
        <v>1</v>
      </c>
      <c r="E203" s="2231">
        <f>+'APU CAPTACION'!$B$577</f>
        <v>3219388</v>
      </c>
      <c r="F203" s="2232">
        <f t="shared" si="5"/>
        <v>3219388</v>
      </c>
    </row>
    <row r="204" spans="1:6" ht="16.8">
      <c r="A204" s="2138" t="s">
        <v>5984</v>
      </c>
      <c r="B204" s="2228" t="s">
        <v>8022</v>
      </c>
      <c r="C204" s="2226" t="s">
        <v>427</v>
      </c>
      <c r="D204" s="2227">
        <v>2</v>
      </c>
      <c r="E204" s="2231">
        <f>+'APU CAPTACION'!$B$592</f>
        <v>3730800</v>
      </c>
      <c r="F204" s="2232">
        <f t="shared" si="5"/>
        <v>7461600</v>
      </c>
    </row>
    <row r="205" spans="1:6" ht="16.8">
      <c r="A205" s="2138" t="s">
        <v>5985</v>
      </c>
      <c r="B205" s="2233" t="s">
        <v>8023</v>
      </c>
      <c r="C205" s="2226" t="s">
        <v>427</v>
      </c>
      <c r="D205" s="2227">
        <v>4</v>
      </c>
      <c r="E205" s="2231">
        <f>+'APU CAPTACION'!$B$606</f>
        <v>473125</v>
      </c>
      <c r="F205" s="2232">
        <f t="shared" si="5"/>
        <v>1892500</v>
      </c>
    </row>
    <row r="206" spans="1:6" ht="33.6">
      <c r="A206" s="2138" t="s">
        <v>5986</v>
      </c>
      <c r="B206" s="2228" t="s">
        <v>4512</v>
      </c>
      <c r="C206" s="2226" t="s">
        <v>427</v>
      </c>
      <c r="D206" s="2227">
        <v>1</v>
      </c>
      <c r="E206" s="2231">
        <f>+'APU CAPTACION'!$B$623</f>
        <v>2981250</v>
      </c>
      <c r="F206" s="2232">
        <f t="shared" si="5"/>
        <v>2981250</v>
      </c>
    </row>
    <row r="207" spans="1:6" ht="16.8">
      <c r="A207" s="2138" t="s">
        <v>5987</v>
      </c>
      <c r="B207" s="2228" t="s">
        <v>4513</v>
      </c>
      <c r="C207" s="2226" t="s">
        <v>427</v>
      </c>
      <c r="D207" s="2227">
        <v>1</v>
      </c>
      <c r="E207" s="2231">
        <f>+'APU CAPTACION'!B639</f>
        <v>2014037</v>
      </c>
      <c r="F207" s="2232">
        <f t="shared" si="5"/>
        <v>2014037</v>
      </c>
    </row>
    <row r="208" spans="1:6" ht="16.8">
      <c r="A208" s="2138" t="s">
        <v>5988</v>
      </c>
      <c r="B208" s="2233" t="s">
        <v>6477</v>
      </c>
      <c r="C208" s="2226" t="s">
        <v>427</v>
      </c>
      <c r="D208" s="2227">
        <v>6</v>
      </c>
      <c r="E208" s="2231">
        <f>+'APU CAPTACION'!$B$653</f>
        <v>281525</v>
      </c>
      <c r="F208" s="2232">
        <f t="shared" si="5"/>
        <v>1689150</v>
      </c>
    </row>
    <row r="209" spans="1:8" ht="16.8">
      <c r="A209" s="2138" t="s">
        <v>5989</v>
      </c>
      <c r="B209" s="2228" t="s">
        <v>4514</v>
      </c>
      <c r="C209" s="2226" t="s">
        <v>427</v>
      </c>
      <c r="D209" s="2227">
        <v>1</v>
      </c>
      <c r="E209" s="2231">
        <f>+'APU CAPTACION'!B670</f>
        <v>1427620</v>
      </c>
      <c r="F209" s="2232">
        <f t="shared" si="5"/>
        <v>1427620</v>
      </c>
    </row>
    <row r="210" spans="1:8" ht="16.8">
      <c r="A210" s="2138" t="s">
        <v>5990</v>
      </c>
      <c r="B210" s="2228" t="s">
        <v>6480</v>
      </c>
      <c r="C210" s="2226" t="s">
        <v>427</v>
      </c>
      <c r="D210" s="2227">
        <v>1</v>
      </c>
      <c r="E210" s="2231">
        <f>+'APU CAPTACION'!B685</f>
        <v>724860</v>
      </c>
      <c r="F210" s="2232">
        <f>ROUND(+E210*D210,0)</f>
        <v>724860</v>
      </c>
    </row>
    <row r="211" spans="1:8" ht="33.6">
      <c r="A211" s="2138" t="s">
        <v>5991</v>
      </c>
      <c r="B211" s="2228" t="s">
        <v>8024</v>
      </c>
      <c r="C211" s="2226" t="s">
        <v>427</v>
      </c>
      <c r="D211" s="2227">
        <v>1</v>
      </c>
      <c r="E211" s="2231">
        <f>+'APU CAPTACION'!$B$702</f>
        <v>1511550</v>
      </c>
      <c r="F211" s="2232">
        <f t="shared" si="5"/>
        <v>1511550</v>
      </c>
    </row>
    <row r="212" spans="1:8" ht="16.8">
      <c r="A212" s="3533" t="s">
        <v>4296</v>
      </c>
      <c r="B212" s="3533"/>
      <c r="C212" s="3533"/>
      <c r="D212" s="3533"/>
      <c r="E212" s="3533"/>
      <c r="F212" s="2392">
        <f>SUM(F172:F211)</f>
        <v>244941123</v>
      </c>
    </row>
    <row r="213" spans="1:8" ht="16.8">
      <c r="A213" s="3505" t="str">
        <f>+A117</f>
        <v>ADMINISTRACIÓN SUMINISTRO</v>
      </c>
      <c r="B213" s="3505"/>
      <c r="C213" s="3505"/>
      <c r="D213" s="3505"/>
      <c r="E213" s="2207">
        <f>+AIU!H47</f>
        <v>0.18358899999999997</v>
      </c>
      <c r="F213" s="2392">
        <f>ROUND(+E213*F212,0)</f>
        <v>44968496</v>
      </c>
      <c r="H213" s="1828"/>
    </row>
    <row r="214" spans="1:8" ht="16.8">
      <c r="A214" s="3506" t="str">
        <f>+A118</f>
        <v>INTERVENTORIA SUMINISTRO</v>
      </c>
      <c r="B214" s="3506"/>
      <c r="C214" s="3506"/>
      <c r="D214" s="3506"/>
      <c r="E214" s="1570">
        <v>0.01</v>
      </c>
      <c r="F214" s="2393">
        <f>ROUND(E214*(F212+F213),0)</f>
        <v>2899096</v>
      </c>
    </row>
    <row r="215" spans="1:8" ht="17.25" customHeight="1">
      <c r="A215" s="3525" t="s">
        <v>8544</v>
      </c>
      <c r="B215" s="3526"/>
      <c r="C215" s="3526"/>
      <c r="D215" s="3527"/>
      <c r="E215" s="1571">
        <v>0.02</v>
      </c>
      <c r="F215" s="2672">
        <f>ROUND(E215*(F212+F213),0)</f>
        <v>5798192</v>
      </c>
    </row>
    <row r="216" spans="1:8" ht="16.8">
      <c r="A216" s="3504" t="s">
        <v>4297</v>
      </c>
      <c r="B216" s="3504"/>
      <c r="C216" s="3504"/>
      <c r="D216" s="3504"/>
      <c r="E216" s="1500"/>
      <c r="F216" s="2393">
        <f>+SUM(F212:F215)</f>
        <v>298606907</v>
      </c>
    </row>
    <row r="217" spans="1:8" ht="30" customHeight="1">
      <c r="A217" s="3501" t="s">
        <v>5617</v>
      </c>
      <c r="B217" s="3502"/>
      <c r="C217" s="3502"/>
      <c r="D217" s="3502"/>
      <c r="E217" s="3503"/>
      <c r="F217" s="1256">
        <f>+F216+F169+F120+F63</f>
        <v>1224952783</v>
      </c>
    </row>
    <row r="218" spans="1:8">
      <c r="F218" s="1518">
        <v>1217730425</v>
      </c>
    </row>
  </sheetData>
  <autoFilter ref="A5:F217"/>
  <mergeCells count="48">
    <mergeCell ref="A119:D119"/>
    <mergeCell ref="A168:D168"/>
    <mergeCell ref="A215:D215"/>
    <mergeCell ref="A62:D62"/>
    <mergeCell ref="B8:F8"/>
    <mergeCell ref="A169:E169"/>
    <mergeCell ref="B171:D171"/>
    <mergeCell ref="A212:E212"/>
    <mergeCell ref="A165:E165"/>
    <mergeCell ref="A166:D166"/>
    <mergeCell ref="A167:D167"/>
    <mergeCell ref="A59:E59"/>
    <mergeCell ref="A60:D60"/>
    <mergeCell ref="A61:D61"/>
    <mergeCell ref="A63:E63"/>
    <mergeCell ref="A116:E116"/>
    <mergeCell ref="A117:D117"/>
    <mergeCell ref="A118:D118"/>
    <mergeCell ref="B122:F122"/>
    <mergeCell ref="B114:D114"/>
    <mergeCell ref="A6:F6"/>
    <mergeCell ref="B112:D112"/>
    <mergeCell ref="B82:D82"/>
    <mergeCell ref="B84:D84"/>
    <mergeCell ref="B86:D86"/>
    <mergeCell ref="B89:D89"/>
    <mergeCell ref="B91:D91"/>
    <mergeCell ref="B64:F64"/>
    <mergeCell ref="B93:D93"/>
    <mergeCell ref="B98:D98"/>
    <mergeCell ref="B106:D106"/>
    <mergeCell ref="B110:D110"/>
    <mergeCell ref="A2:A4"/>
    <mergeCell ref="H2:I4"/>
    <mergeCell ref="B4:C4"/>
    <mergeCell ref="B2:E2"/>
    <mergeCell ref="D4:E4"/>
    <mergeCell ref="B3:E3"/>
    <mergeCell ref="A217:E217"/>
    <mergeCell ref="A120:D120"/>
    <mergeCell ref="A216:D216"/>
    <mergeCell ref="A213:D213"/>
    <mergeCell ref="A214:D214"/>
    <mergeCell ref="B65:D65"/>
    <mergeCell ref="B68:D68"/>
    <mergeCell ref="B74:D74"/>
    <mergeCell ref="B77:D77"/>
    <mergeCell ref="B80:D80"/>
  </mergeCells>
  <printOptions horizontalCentered="1" verticalCentered="1"/>
  <pageMargins left="0.70866141732283472" right="0.70866141732283472" top="0.74803149606299213" bottom="0.74803149606299213" header="0.31496062992125984" footer="0.31496062992125984"/>
  <pageSetup paperSize="9" scale="52" orientation="portrait" r:id="rId1"/>
  <rowBreaks count="6" manualBreakCount="6">
    <brk id="37" max="5" man="1"/>
    <brk id="67" max="5" man="1"/>
    <brk id="105" max="5" man="1"/>
    <brk id="159" max="5" man="1"/>
    <brk id="202" max="5" man="1"/>
    <brk id="238" max="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2:N1083"/>
  <sheetViews>
    <sheetView view="pageBreakPreview" zoomScale="85" zoomScaleNormal="100" zoomScaleSheetLayoutView="85" zoomScalePageLayoutView="10" workbookViewId="0">
      <selection activeCell="E10" sqref="E10"/>
    </sheetView>
  </sheetViews>
  <sheetFormatPr baseColWidth="10" defaultColWidth="10.6640625" defaultRowHeight="13.2"/>
  <cols>
    <col min="2" max="2" width="41" customWidth="1"/>
    <col min="5" max="5" width="14.109375" customWidth="1"/>
    <col min="7" max="7" width="13.6640625" bestFit="1" customWidth="1"/>
    <col min="8" max="8" width="12.6640625" bestFit="1" customWidth="1"/>
  </cols>
  <sheetData>
    <row r="2" spans="1:9" s="492" customFormat="1" ht="16.8">
      <c r="A2" s="582" t="s">
        <v>34</v>
      </c>
      <c r="B2" s="3547" t="s">
        <v>5327</v>
      </c>
      <c r="C2" s="3548"/>
      <c r="D2" s="3548"/>
      <c r="E2" s="3548"/>
      <c r="F2" s="3548"/>
      <c r="G2" s="3548"/>
      <c r="H2" s="3548"/>
      <c r="I2" s="3549"/>
    </row>
    <row r="3" spans="1:9" s="492" customFormat="1" ht="16.8">
      <c r="A3" s="1449"/>
      <c r="B3" s="179"/>
      <c r="C3" s="583" t="s">
        <v>140</v>
      </c>
      <c r="D3" s="1449" t="s">
        <v>343</v>
      </c>
      <c r="E3" s="585" t="s">
        <v>344</v>
      </c>
      <c r="F3" s="65" t="s">
        <v>482</v>
      </c>
      <c r="G3" s="65" t="s">
        <v>483</v>
      </c>
      <c r="H3" s="65" t="s">
        <v>232</v>
      </c>
      <c r="I3" s="65" t="s">
        <v>171</v>
      </c>
    </row>
    <row r="4" spans="1:9" s="492" customFormat="1" ht="16.8">
      <c r="A4" s="1449" t="s">
        <v>5397</v>
      </c>
      <c r="B4" s="592" t="s">
        <v>5328</v>
      </c>
      <c r="C4" s="583">
        <f>1/2</f>
        <v>0.5</v>
      </c>
      <c r="D4" s="1449" t="s">
        <v>346</v>
      </c>
      <c r="E4" s="585">
        <f>+LINIERO1</f>
        <v>90000</v>
      </c>
      <c r="F4" s="65"/>
      <c r="G4" s="65" t="s">
        <v>441</v>
      </c>
      <c r="H4" s="65">
        <f>+E4*C4</f>
        <v>45000</v>
      </c>
      <c r="I4" s="65"/>
    </row>
    <row r="5" spans="1:9" s="492" customFormat="1" ht="16.8">
      <c r="A5" s="1449" t="s">
        <v>5398</v>
      </c>
      <c r="B5" s="592" t="s">
        <v>5395</v>
      </c>
      <c r="C5" s="583">
        <f>1/2</f>
        <v>0.5</v>
      </c>
      <c r="D5" s="1449" t="s">
        <v>717</v>
      </c>
      <c r="E5" s="585">
        <f>+LINIERO2</f>
        <v>63000</v>
      </c>
      <c r="F5" s="65"/>
      <c r="G5" s="65"/>
      <c r="H5" s="65">
        <f>+E5*C5</f>
        <v>31500</v>
      </c>
      <c r="I5" s="65"/>
    </row>
    <row r="6" spans="1:9" s="19" customFormat="1" ht="15" customHeight="1">
      <c r="A6" s="436" t="s">
        <v>348</v>
      </c>
      <c r="B6" s="3" t="s">
        <v>5400</v>
      </c>
      <c r="C6" s="583">
        <f>1/2</f>
        <v>0.5</v>
      </c>
      <c r="D6" s="160" t="s">
        <v>346</v>
      </c>
      <c r="E6" s="350">
        <f>+AYUDR</f>
        <v>50299.76584</v>
      </c>
      <c r="F6" s="350"/>
      <c r="G6" s="350"/>
      <c r="H6" s="350">
        <f>+E6*C6</f>
        <v>25149.88292</v>
      </c>
      <c r="I6" s="350"/>
    </row>
    <row r="7" spans="1:9" s="492" customFormat="1" ht="16.8">
      <c r="A7" s="530" t="s">
        <v>5401</v>
      </c>
      <c r="B7" s="531" t="s">
        <v>5297</v>
      </c>
      <c r="C7" s="583">
        <v>1</v>
      </c>
      <c r="D7" s="160" t="s">
        <v>5402</v>
      </c>
      <c r="E7" s="585">
        <f>+GRUA</f>
        <v>150000</v>
      </c>
      <c r="F7" s="585">
        <f>+C7*E7</f>
        <v>150000</v>
      </c>
      <c r="G7" s="65"/>
      <c r="H7" s="585"/>
      <c r="I7" s="585"/>
    </row>
    <row r="8" spans="1:9" s="492" customFormat="1" ht="16.8">
      <c r="A8" s="540" t="s">
        <v>5403</v>
      </c>
      <c r="B8" s="538" t="s">
        <v>5329</v>
      </c>
      <c r="C8" s="583">
        <v>0.29999999999999982</v>
      </c>
      <c r="D8" s="160" t="s">
        <v>5402</v>
      </c>
      <c r="E8" s="585">
        <f>+ESCAL</f>
        <v>50000</v>
      </c>
      <c r="F8" s="65">
        <f>+E8*C8</f>
        <v>14999.999999999991</v>
      </c>
      <c r="G8" s="704"/>
      <c r="H8" s="585"/>
      <c r="I8" s="585"/>
    </row>
    <row r="9" spans="1:9" s="492" customFormat="1" ht="16.8">
      <c r="A9" s="586" t="s">
        <v>5406</v>
      </c>
      <c r="B9" s="548" t="s">
        <v>5330</v>
      </c>
      <c r="C9" s="583">
        <v>1</v>
      </c>
      <c r="D9" s="160" t="s">
        <v>5402</v>
      </c>
      <c r="E9" s="585">
        <f>+CINT</f>
        <v>10000</v>
      </c>
      <c r="F9" s="65">
        <f>+E9*C9</f>
        <v>10000</v>
      </c>
      <c r="G9" s="704"/>
      <c r="H9" s="585"/>
      <c r="I9" s="585"/>
    </row>
    <row r="10" spans="1:9" s="492" customFormat="1" ht="16.8">
      <c r="A10" s="1449" t="s">
        <v>2344</v>
      </c>
      <c r="B10" s="179" t="s">
        <v>189</v>
      </c>
      <c r="C10" s="583">
        <v>1</v>
      </c>
      <c r="D10" s="160" t="s">
        <v>583</v>
      </c>
      <c r="E10" s="585">
        <f>+H11*0.05</f>
        <v>5082.4941460000009</v>
      </c>
      <c r="F10" s="65"/>
      <c r="G10" s="65"/>
      <c r="H10" s="65"/>
      <c r="I10" s="65">
        <f>+E10*C10</f>
        <v>5082.4941460000009</v>
      </c>
    </row>
    <row r="11" spans="1:9" s="492" customFormat="1" ht="16.8">
      <c r="A11" s="587" t="s">
        <v>190</v>
      </c>
      <c r="B11" s="588">
        <f>SUM(F11:I11)</f>
        <v>281732.37706600002</v>
      </c>
      <c r="C11" s="583"/>
      <c r="D11" s="169"/>
      <c r="E11" s="585"/>
      <c r="F11" s="65">
        <f>SUM(F4:F10)</f>
        <v>175000</v>
      </c>
      <c r="G11" s="65">
        <f>SUM(G4:G10)</f>
        <v>0</v>
      </c>
      <c r="H11" s="65">
        <f>SUM(H4:H10)</f>
        <v>101649.88292</v>
      </c>
      <c r="I11" s="65">
        <f>SUM(I10:I10)</f>
        <v>5082.4941460000009</v>
      </c>
    </row>
    <row r="12" spans="1:9" s="492" customFormat="1" ht="16.8">
      <c r="A12" s="587" t="s">
        <v>191</v>
      </c>
      <c r="B12" s="39">
        <f>SUM(B11:B11)</f>
        <v>281732.37706600002</v>
      </c>
      <c r="C12" s="591" t="s">
        <v>363</v>
      </c>
      <c r="D12" s="31"/>
      <c r="E12" s="170"/>
      <c r="F12" s="170"/>
      <c r="G12" s="170"/>
      <c r="H12" s="170"/>
      <c r="I12" s="170"/>
    </row>
    <row r="13" spans="1:9" s="61" customFormat="1" ht="16.8">
      <c r="A13" s="471"/>
      <c r="B13" s="602"/>
      <c r="C13" s="603"/>
      <c r="D13" s="13"/>
      <c r="E13" s="170"/>
      <c r="F13" s="170"/>
      <c r="G13" s="170"/>
      <c r="H13" s="170"/>
      <c r="I13" s="170"/>
    </row>
    <row r="14" spans="1:9" s="492" customFormat="1" ht="16.8">
      <c r="A14" s="582">
        <v>1.1000000000000001</v>
      </c>
      <c r="B14" s="3547" t="s">
        <v>5323</v>
      </c>
      <c r="C14" s="3548"/>
      <c r="D14" s="3548"/>
      <c r="E14" s="3548"/>
      <c r="F14" s="3548"/>
      <c r="G14" s="3548"/>
      <c r="H14" s="3548"/>
      <c r="I14" s="3549"/>
    </row>
    <row r="15" spans="1:9" s="492" customFormat="1" ht="16.8">
      <c r="A15" s="1449"/>
      <c r="B15" s="179"/>
      <c r="C15" s="589" t="s">
        <v>140</v>
      </c>
      <c r="D15" s="2" t="s">
        <v>343</v>
      </c>
      <c r="E15" s="585" t="s">
        <v>344</v>
      </c>
      <c r="F15" s="585" t="s">
        <v>482</v>
      </c>
      <c r="G15" s="585" t="s">
        <v>483</v>
      </c>
      <c r="H15" s="585" t="s">
        <v>232</v>
      </c>
      <c r="I15" s="585" t="s">
        <v>171</v>
      </c>
    </row>
    <row r="16" spans="1:9" s="492" customFormat="1" ht="16.8">
      <c r="A16" s="530"/>
      <c r="B16" s="534" t="s">
        <v>5324</v>
      </c>
      <c r="C16" s="583">
        <v>1</v>
      </c>
      <c r="D16" s="160" t="s">
        <v>363</v>
      </c>
      <c r="E16" s="585">
        <v>1400000</v>
      </c>
      <c r="F16" s="65"/>
      <c r="G16" s="65">
        <f>+E16*C16</f>
        <v>1400000</v>
      </c>
      <c r="H16" s="585"/>
      <c r="I16" s="585"/>
    </row>
    <row r="17" spans="1:9" s="492" customFormat="1" ht="16.8">
      <c r="A17" s="1449"/>
      <c r="B17" s="534" t="s">
        <v>5325</v>
      </c>
      <c r="C17" s="583">
        <v>0.8</v>
      </c>
      <c r="D17" s="160" t="s">
        <v>1292</v>
      </c>
      <c r="E17" s="585">
        <v>430000</v>
      </c>
      <c r="F17" s="65"/>
      <c r="G17" s="65">
        <f>+E17*C17</f>
        <v>344000</v>
      </c>
      <c r="H17" s="585"/>
      <c r="I17" s="585"/>
    </row>
    <row r="18" spans="1:9" s="492" customFormat="1" ht="16.8">
      <c r="A18" s="1449"/>
      <c r="B18" s="180" t="s">
        <v>5326</v>
      </c>
      <c r="C18" s="583">
        <v>1</v>
      </c>
      <c r="D18" s="1449" t="s">
        <v>583</v>
      </c>
      <c r="E18" s="585">
        <v>250000</v>
      </c>
      <c r="F18" s="65"/>
      <c r="G18" s="65"/>
      <c r="H18" s="65"/>
      <c r="I18" s="65">
        <f>+E18*C18</f>
        <v>250000</v>
      </c>
    </row>
    <row r="19" spans="1:9" s="492" customFormat="1" ht="16.8">
      <c r="A19" s="587" t="s">
        <v>190</v>
      </c>
      <c r="B19" s="588">
        <f>SUM(F19:I19)</f>
        <v>1994000</v>
      </c>
      <c r="C19" s="583"/>
      <c r="D19" s="169"/>
      <c r="E19" s="585"/>
      <c r="F19" s="65">
        <f>SUM(F16:F18)</f>
        <v>0</v>
      </c>
      <c r="G19" s="65">
        <f>SUM(G16:G18)</f>
        <v>1744000</v>
      </c>
      <c r="H19" s="65">
        <f>SUM(H16:H18)</f>
        <v>0</v>
      </c>
      <c r="I19" s="65">
        <f>SUM(I16:I18)</f>
        <v>250000</v>
      </c>
    </row>
    <row r="20" spans="1:9" s="492" customFormat="1" ht="16.8">
      <c r="A20" s="587" t="s">
        <v>191</v>
      </c>
      <c r="B20" s="39">
        <f>SUM(B19:B19)</f>
        <v>1994000</v>
      </c>
      <c r="C20" s="591" t="s">
        <v>363</v>
      </c>
      <c r="D20" s="31"/>
      <c r="E20" s="170"/>
      <c r="F20" s="170"/>
      <c r="G20" s="170"/>
      <c r="H20" s="170"/>
      <c r="I20" s="170"/>
    </row>
    <row r="21" spans="1:9" s="492" customFormat="1" ht="14.4">
      <c r="A21" s="1425"/>
      <c r="B21" s="1425"/>
      <c r="C21" s="1425"/>
      <c r="D21" s="1425"/>
      <c r="E21" s="1425"/>
      <c r="F21" s="1425"/>
      <c r="G21" s="1425"/>
      <c r="H21" s="1425"/>
      <c r="I21" s="1425"/>
    </row>
    <row r="22" spans="1:9" s="492" customFormat="1" ht="16.8">
      <c r="A22" s="582" t="s">
        <v>1443</v>
      </c>
      <c r="B22" s="3547" t="s">
        <v>5331</v>
      </c>
      <c r="C22" s="3548"/>
      <c r="D22" s="3548"/>
      <c r="E22" s="3548"/>
      <c r="F22" s="3548"/>
      <c r="G22" s="3548"/>
      <c r="H22" s="3548"/>
      <c r="I22" s="3549"/>
    </row>
    <row r="23" spans="1:9" s="492" customFormat="1" ht="16.8">
      <c r="A23" s="1449"/>
      <c r="B23" s="179"/>
      <c r="C23" s="583" t="s">
        <v>140</v>
      </c>
      <c r="D23" s="1449" t="s">
        <v>343</v>
      </c>
      <c r="E23" s="585" t="s">
        <v>344</v>
      </c>
      <c r="F23" s="65" t="s">
        <v>482</v>
      </c>
      <c r="G23" s="65" t="s">
        <v>483</v>
      </c>
      <c r="H23" s="65" t="s">
        <v>232</v>
      </c>
      <c r="I23" s="65" t="s">
        <v>171</v>
      </c>
    </row>
    <row r="24" spans="1:9" s="492" customFormat="1" ht="16.8">
      <c r="A24" s="1449" t="s">
        <v>5407</v>
      </c>
      <c r="B24" s="592" t="s">
        <v>5328</v>
      </c>
      <c r="C24" s="583">
        <f>1/0.7</f>
        <v>1.4285714285714286</v>
      </c>
      <c r="D24" s="1449" t="s">
        <v>717</v>
      </c>
      <c r="E24" s="585">
        <f>+LINIERO1</f>
        <v>90000</v>
      </c>
      <c r="F24" s="65"/>
      <c r="G24" s="65"/>
      <c r="H24" s="65">
        <f>+E24*C24</f>
        <v>128571.42857142858</v>
      </c>
      <c r="I24" s="65"/>
    </row>
    <row r="25" spans="1:9" s="492" customFormat="1" ht="16.8">
      <c r="A25" s="1449" t="s">
        <v>5398</v>
      </c>
      <c r="B25" s="592" t="s">
        <v>5395</v>
      </c>
      <c r="C25" s="583">
        <f>1/0.7</f>
        <v>1.4285714285714286</v>
      </c>
      <c r="D25" s="1449" t="s">
        <v>717</v>
      </c>
      <c r="E25" s="585">
        <f>+LINIERO2</f>
        <v>63000</v>
      </c>
      <c r="F25" s="65"/>
      <c r="G25" s="65"/>
      <c r="H25" s="65">
        <f>+E25*C25</f>
        <v>90000</v>
      </c>
      <c r="I25" s="65"/>
    </row>
    <row r="26" spans="1:9" s="19" customFormat="1" ht="15" customHeight="1">
      <c r="A26" s="436" t="s">
        <v>348</v>
      </c>
      <c r="B26" s="3" t="s">
        <v>5400</v>
      </c>
      <c r="C26" s="583">
        <f>1/0.7</f>
        <v>1.4285714285714286</v>
      </c>
      <c r="D26" s="160" t="s">
        <v>346</v>
      </c>
      <c r="E26" s="350">
        <f>+AYUDR</f>
        <v>50299.76584</v>
      </c>
      <c r="F26" s="350"/>
      <c r="G26" s="350"/>
      <c r="H26" s="350">
        <f>+E26*C26</f>
        <v>71856.808342857141</v>
      </c>
      <c r="I26" s="350"/>
    </row>
    <row r="27" spans="1:9" s="492" customFormat="1" ht="16.8">
      <c r="A27" s="546" t="s">
        <v>5403</v>
      </c>
      <c r="B27" s="534" t="s">
        <v>5329</v>
      </c>
      <c r="C27" s="583">
        <v>0.29999999999999982</v>
      </c>
      <c r="D27" s="160" t="s">
        <v>5402</v>
      </c>
      <c r="E27" s="585">
        <f>+ESCAL</f>
        <v>50000</v>
      </c>
      <c r="F27" s="65">
        <f>+C27*E27</f>
        <v>14999.999999999991</v>
      </c>
      <c r="G27" s="65"/>
      <c r="H27" s="585"/>
      <c r="I27" s="585"/>
    </row>
    <row r="28" spans="1:9" s="492" customFormat="1" ht="16.8">
      <c r="A28" s="540" t="s">
        <v>5406</v>
      </c>
      <c r="B28" s="534" t="s">
        <v>5330</v>
      </c>
      <c r="C28" s="583">
        <v>1.5000000000000002</v>
      </c>
      <c r="D28" s="160" t="s">
        <v>5402</v>
      </c>
      <c r="E28" s="585">
        <f>+CINT</f>
        <v>10000</v>
      </c>
      <c r="F28" s="65">
        <f>+C28*E28</f>
        <v>15000.000000000002</v>
      </c>
      <c r="G28" s="65"/>
      <c r="H28" s="585"/>
      <c r="I28" s="585"/>
    </row>
    <row r="29" spans="1:9" s="492" customFormat="1" ht="16.8">
      <c r="A29" s="1449" t="s">
        <v>2344</v>
      </c>
      <c r="B29" s="179" t="s">
        <v>189</v>
      </c>
      <c r="C29" s="583">
        <v>1</v>
      </c>
      <c r="D29" s="160" t="s">
        <v>583</v>
      </c>
      <c r="E29" s="585">
        <f>+H30*0.05</f>
        <v>14521.411845714285</v>
      </c>
      <c r="F29" s="65"/>
      <c r="G29" s="65"/>
      <c r="H29" s="65"/>
      <c r="I29" s="65">
        <f>+E29*C29</f>
        <v>14521.411845714285</v>
      </c>
    </row>
    <row r="30" spans="1:9" s="492" customFormat="1" ht="16.8">
      <c r="A30" s="587" t="s">
        <v>190</v>
      </c>
      <c r="B30" s="588">
        <f>SUM(F30:I30)</f>
        <v>334949.64875999995</v>
      </c>
      <c r="C30" s="583"/>
      <c r="D30" s="169"/>
      <c r="E30" s="585"/>
      <c r="F30" s="65">
        <f>SUM(F26:F29)</f>
        <v>29999.999999999993</v>
      </c>
      <c r="G30" s="65">
        <f>SUM(G26:G29)</f>
        <v>0</v>
      </c>
      <c r="H30" s="65">
        <f>SUM(H24:H29)</f>
        <v>290428.23691428569</v>
      </c>
      <c r="I30" s="65">
        <f>SUM(I29:I29)</f>
        <v>14521.411845714285</v>
      </c>
    </row>
    <row r="31" spans="1:9" s="492" customFormat="1" ht="16.8">
      <c r="A31" s="587" t="s">
        <v>191</v>
      </c>
      <c r="B31" s="39">
        <f>SUM(B30:B30)</f>
        <v>334949.64875999995</v>
      </c>
      <c r="C31" s="591" t="s">
        <v>363</v>
      </c>
      <c r="D31" s="31"/>
      <c r="E31" s="170"/>
      <c r="F31" s="170"/>
      <c r="G31" s="170"/>
      <c r="H31" s="170"/>
      <c r="I31" s="170"/>
    </row>
    <row r="32" spans="1:9" s="492" customFormat="1" ht="14.4">
      <c r="A32" s="1425"/>
      <c r="B32" s="1425"/>
      <c r="C32" s="1425"/>
      <c r="D32" s="1425"/>
      <c r="E32" s="1425"/>
      <c r="F32" s="1425"/>
      <c r="G32" s="1425"/>
      <c r="H32" s="1425"/>
      <c r="I32" s="1425"/>
    </row>
    <row r="33" spans="1:9" s="492" customFormat="1" ht="16.8">
      <c r="A33" s="582">
        <v>1.2</v>
      </c>
      <c r="B33" s="3547" t="s">
        <v>5332</v>
      </c>
      <c r="C33" s="3548"/>
      <c r="D33" s="3548"/>
      <c r="E33" s="3548"/>
      <c r="F33" s="3548"/>
      <c r="G33" s="3548"/>
      <c r="H33" s="3548"/>
      <c r="I33" s="3549"/>
    </row>
    <row r="34" spans="1:9" s="492" customFormat="1" ht="16.8">
      <c r="A34" s="1449"/>
      <c r="B34" s="179"/>
      <c r="C34" s="583" t="s">
        <v>140</v>
      </c>
      <c r="D34" s="1449" t="s">
        <v>343</v>
      </c>
      <c r="E34" s="585" t="s">
        <v>344</v>
      </c>
      <c r="F34" s="65" t="s">
        <v>482</v>
      </c>
      <c r="G34" s="65" t="s">
        <v>483</v>
      </c>
      <c r="H34" s="65" t="s">
        <v>232</v>
      </c>
      <c r="I34" s="65" t="s">
        <v>171</v>
      </c>
    </row>
    <row r="35" spans="1:9" s="492" customFormat="1" ht="16.5" customHeight="1">
      <c r="A35" s="530"/>
      <c r="B35" s="534" t="s">
        <v>5333</v>
      </c>
      <c r="C35" s="583">
        <v>2</v>
      </c>
      <c r="D35" s="160" t="s">
        <v>363</v>
      </c>
      <c r="E35" s="585">
        <v>220000</v>
      </c>
      <c r="F35" s="65"/>
      <c r="G35" s="65">
        <f t="shared" ref="G35:G45" si="0">+E35*C35</f>
        <v>440000</v>
      </c>
      <c r="H35" s="585"/>
      <c r="I35" s="585"/>
    </row>
    <row r="36" spans="1:9" s="492" customFormat="1" ht="16.8">
      <c r="A36" s="593"/>
      <c r="B36" s="534" t="s">
        <v>5334</v>
      </c>
      <c r="C36" s="583">
        <v>3</v>
      </c>
      <c r="D36" s="160" t="s">
        <v>363</v>
      </c>
      <c r="E36" s="585">
        <v>57000</v>
      </c>
      <c r="F36" s="65"/>
      <c r="G36" s="65">
        <f t="shared" si="0"/>
        <v>171000</v>
      </c>
      <c r="H36" s="585"/>
      <c r="I36" s="585"/>
    </row>
    <row r="37" spans="1:9" s="492" customFormat="1" ht="16.8">
      <c r="A37" s="530"/>
      <c r="B37" s="534" t="s">
        <v>5335</v>
      </c>
      <c r="C37" s="583">
        <v>3</v>
      </c>
      <c r="D37" s="160" t="s">
        <v>363</v>
      </c>
      <c r="E37" s="585">
        <v>14000</v>
      </c>
      <c r="F37" s="65"/>
      <c r="G37" s="65">
        <f t="shared" si="0"/>
        <v>42000</v>
      </c>
      <c r="H37" s="585"/>
      <c r="I37" s="585"/>
    </row>
    <row r="38" spans="1:9" s="492" customFormat="1" ht="16.8">
      <c r="A38" s="546"/>
      <c r="B38" s="534" t="s">
        <v>5336</v>
      </c>
      <c r="C38" s="583">
        <v>3</v>
      </c>
      <c r="D38" s="160" t="s">
        <v>363</v>
      </c>
      <c r="E38" s="585">
        <v>23000</v>
      </c>
      <c r="F38" s="65"/>
      <c r="G38" s="65">
        <f t="shared" si="0"/>
        <v>69000</v>
      </c>
      <c r="H38" s="585"/>
      <c r="I38" s="585"/>
    </row>
    <row r="39" spans="1:9" s="492" customFormat="1" ht="26.4">
      <c r="A39" s="546"/>
      <c r="B39" s="534" t="s">
        <v>5337</v>
      </c>
      <c r="C39" s="583">
        <v>2</v>
      </c>
      <c r="D39" s="160" t="s">
        <v>363</v>
      </c>
      <c r="E39" s="585">
        <v>7200</v>
      </c>
      <c r="F39" s="65"/>
      <c r="G39" s="65">
        <f t="shared" si="0"/>
        <v>14400</v>
      </c>
      <c r="H39" s="585"/>
      <c r="I39" s="585"/>
    </row>
    <row r="40" spans="1:9" s="492" customFormat="1" ht="16.8">
      <c r="A40" s="546"/>
      <c r="B40" s="534" t="s">
        <v>5338</v>
      </c>
      <c r="C40" s="583">
        <v>4</v>
      </c>
      <c r="D40" s="160" t="s">
        <v>363</v>
      </c>
      <c r="E40" s="585">
        <v>8500</v>
      </c>
      <c r="F40" s="65"/>
      <c r="G40" s="65">
        <f t="shared" si="0"/>
        <v>34000</v>
      </c>
      <c r="H40" s="585"/>
      <c r="I40" s="585"/>
    </row>
    <row r="41" spans="1:9" s="492" customFormat="1" ht="16.8">
      <c r="A41" s="546"/>
      <c r="B41" s="534" t="s">
        <v>5339</v>
      </c>
      <c r="C41" s="583">
        <v>12</v>
      </c>
      <c r="D41" s="160" t="s">
        <v>363</v>
      </c>
      <c r="E41" s="585">
        <v>400</v>
      </c>
      <c r="F41" s="65"/>
      <c r="G41" s="65">
        <f t="shared" si="0"/>
        <v>4800</v>
      </c>
      <c r="H41" s="585"/>
      <c r="I41" s="585"/>
    </row>
    <row r="42" spans="1:9" s="492" customFormat="1" ht="16.8">
      <c r="A42" s="546"/>
      <c r="B42" s="534" t="s">
        <v>5340</v>
      </c>
      <c r="C42" s="583">
        <v>3</v>
      </c>
      <c r="D42" s="160" t="s">
        <v>363</v>
      </c>
      <c r="E42" s="585">
        <v>25000</v>
      </c>
      <c r="F42" s="65"/>
      <c r="G42" s="65">
        <f t="shared" si="0"/>
        <v>75000</v>
      </c>
      <c r="H42" s="585"/>
      <c r="I42" s="585"/>
    </row>
    <row r="43" spans="1:9" s="492" customFormat="1" ht="16.8">
      <c r="A43" s="546"/>
      <c r="B43" s="534" t="s">
        <v>5341</v>
      </c>
      <c r="C43" s="583">
        <v>1</v>
      </c>
      <c r="D43" s="160" t="s">
        <v>363</v>
      </c>
      <c r="E43" s="585">
        <v>224000</v>
      </c>
      <c r="F43" s="65"/>
      <c r="G43" s="65">
        <f t="shared" si="0"/>
        <v>224000</v>
      </c>
      <c r="H43" s="585"/>
      <c r="I43" s="585"/>
    </row>
    <row r="44" spans="1:9" s="492" customFormat="1" ht="26.4">
      <c r="A44" s="546"/>
      <c r="B44" s="534" t="s">
        <v>5342</v>
      </c>
      <c r="C44" s="583">
        <v>1</v>
      </c>
      <c r="D44" s="160" t="s">
        <v>363</v>
      </c>
      <c r="E44" s="585">
        <v>90000</v>
      </c>
      <c r="F44" s="65"/>
      <c r="G44" s="65">
        <f t="shared" si="0"/>
        <v>90000</v>
      </c>
      <c r="H44" s="585"/>
      <c r="I44" s="585"/>
    </row>
    <row r="45" spans="1:9" s="492" customFormat="1" ht="16.8">
      <c r="A45" s="546"/>
      <c r="B45" s="534" t="s">
        <v>5343</v>
      </c>
      <c r="C45" s="583">
        <v>3</v>
      </c>
      <c r="D45" s="160" t="s">
        <v>363</v>
      </c>
      <c r="E45" s="585">
        <v>25000</v>
      </c>
      <c r="F45" s="65"/>
      <c r="G45" s="65">
        <f t="shared" si="0"/>
        <v>75000</v>
      </c>
      <c r="H45" s="585"/>
      <c r="I45" s="585"/>
    </row>
    <row r="46" spans="1:9" s="492" customFormat="1" ht="16.8">
      <c r="A46" s="1449"/>
      <c r="B46" s="534" t="s">
        <v>5344</v>
      </c>
      <c r="C46" s="583">
        <v>1</v>
      </c>
      <c r="D46" s="1449" t="s">
        <v>583</v>
      </c>
      <c r="E46" s="585">
        <v>150000</v>
      </c>
      <c r="F46" s="65"/>
      <c r="G46" s="65"/>
      <c r="H46" s="65"/>
      <c r="I46" s="65">
        <f>+E46*C46</f>
        <v>150000</v>
      </c>
    </row>
    <row r="47" spans="1:9" s="492" customFormat="1" ht="16.8">
      <c r="A47" s="587" t="s">
        <v>190</v>
      </c>
      <c r="B47" s="588">
        <f>SUM(F47:I47)</f>
        <v>1389200</v>
      </c>
      <c r="C47" s="583"/>
      <c r="D47" s="169"/>
      <c r="E47" s="585"/>
      <c r="F47" s="65">
        <f>SUM(F35:F46)</f>
        <v>0</v>
      </c>
      <c r="G47" s="65">
        <f>SUM(G35:G46)</f>
        <v>1239200</v>
      </c>
      <c r="H47" s="65">
        <f>SUM(H46:H46)</f>
        <v>0</v>
      </c>
      <c r="I47" s="65">
        <f>SUM(I46:I46)</f>
        <v>150000</v>
      </c>
    </row>
    <row r="48" spans="1:9" s="492" customFormat="1" ht="16.8">
      <c r="A48" s="587" t="s">
        <v>191</v>
      </c>
      <c r="B48" s="39">
        <f>SUM(B47:B47)</f>
        <v>1389200</v>
      </c>
      <c r="C48" s="591" t="s">
        <v>363</v>
      </c>
      <c r="D48" s="31"/>
      <c r="E48" s="170"/>
      <c r="F48" s="170"/>
      <c r="G48" s="170"/>
      <c r="H48" s="170"/>
      <c r="I48" s="170"/>
    </row>
    <row r="49" spans="1:9" s="492" customFormat="1" ht="14.4">
      <c r="A49" s="1425"/>
      <c r="B49" s="1425"/>
      <c r="C49" s="1425"/>
      <c r="D49" s="1425"/>
      <c r="E49" s="1425"/>
      <c r="F49" s="1425"/>
      <c r="G49" s="1425"/>
      <c r="H49" s="1425"/>
      <c r="I49" s="1425"/>
    </row>
    <row r="50" spans="1:9" s="492" customFormat="1" ht="16.8">
      <c r="A50" s="594" t="s">
        <v>1444</v>
      </c>
      <c r="B50" s="3547" t="s">
        <v>5345</v>
      </c>
      <c r="C50" s="3548"/>
      <c r="D50" s="3548"/>
      <c r="E50" s="3548"/>
      <c r="F50" s="3548"/>
      <c r="G50" s="3548"/>
      <c r="H50" s="3548"/>
      <c r="I50" s="3549"/>
    </row>
    <row r="51" spans="1:9" s="492" customFormat="1" ht="16.8">
      <c r="A51" s="1449"/>
      <c r="B51" s="179"/>
      <c r="C51" s="583" t="s">
        <v>140</v>
      </c>
      <c r="D51" s="1449" t="s">
        <v>343</v>
      </c>
      <c r="E51" s="585" t="s">
        <v>344</v>
      </c>
      <c r="F51" s="65" t="s">
        <v>482</v>
      </c>
      <c r="G51" s="65" t="s">
        <v>483</v>
      </c>
      <c r="H51" s="65" t="s">
        <v>232</v>
      </c>
      <c r="I51" s="65" t="s">
        <v>171</v>
      </c>
    </row>
    <row r="52" spans="1:9" s="492" customFormat="1" ht="16.8">
      <c r="A52" s="1449" t="s">
        <v>5397</v>
      </c>
      <c r="B52" s="592" t="s">
        <v>5328</v>
      </c>
      <c r="C52" s="583">
        <f>1/40</f>
        <v>2.5000000000000001E-2</v>
      </c>
      <c r="D52" s="1449" t="s">
        <v>717</v>
      </c>
      <c r="E52" s="585">
        <f>+LINIERO1</f>
        <v>90000</v>
      </c>
      <c r="F52" s="65"/>
      <c r="G52" s="65"/>
      <c r="H52" s="65">
        <f>+C52*E52</f>
        <v>2250</v>
      </c>
      <c r="I52" s="65"/>
    </row>
    <row r="53" spans="1:9" s="492" customFormat="1" ht="16.8">
      <c r="A53" s="1449" t="s">
        <v>5398</v>
      </c>
      <c r="B53" s="592" t="s">
        <v>5395</v>
      </c>
      <c r="C53" s="583">
        <f>1/40</f>
        <v>2.5000000000000001E-2</v>
      </c>
      <c r="D53" s="1449" t="s">
        <v>717</v>
      </c>
      <c r="E53" s="585">
        <f>+LINIERO2</f>
        <v>63000</v>
      </c>
      <c r="F53" s="65"/>
      <c r="G53" s="65"/>
      <c r="H53" s="65">
        <f>+C53*E53</f>
        <v>1575</v>
      </c>
      <c r="I53" s="65"/>
    </row>
    <row r="54" spans="1:9" s="19" customFormat="1" ht="15" customHeight="1">
      <c r="A54" s="436" t="s">
        <v>348</v>
      </c>
      <c r="B54" s="3" t="s">
        <v>1109</v>
      </c>
      <c r="C54" s="583">
        <f>1/40</f>
        <v>2.5000000000000001E-2</v>
      </c>
      <c r="D54" s="160" t="s">
        <v>346</v>
      </c>
      <c r="E54" s="350">
        <f>+AYUDR</f>
        <v>50299.76584</v>
      </c>
      <c r="F54" s="350"/>
      <c r="G54" s="350"/>
      <c r="H54" s="350">
        <f>+E54*C54</f>
        <v>1257.494146</v>
      </c>
      <c r="I54" s="350"/>
    </row>
    <row r="55" spans="1:9" s="492" customFormat="1" ht="16.8">
      <c r="A55" s="530" t="s">
        <v>5403</v>
      </c>
      <c r="B55" s="531" t="s">
        <v>5329</v>
      </c>
      <c r="C55" s="589">
        <v>2.0000000000000573E-3</v>
      </c>
      <c r="D55" s="160" t="s">
        <v>5402</v>
      </c>
      <c r="E55" s="585">
        <f>+ESCAL</f>
        <v>50000</v>
      </c>
      <c r="F55" s="585">
        <f>+C55*E55</f>
        <v>100.00000000000287</v>
      </c>
      <c r="G55" s="704"/>
      <c r="H55" s="585"/>
      <c r="I55" s="585"/>
    </row>
    <row r="56" spans="1:9" s="492" customFormat="1" ht="16.8">
      <c r="A56" s="2" t="s">
        <v>5406</v>
      </c>
      <c r="B56" s="18" t="s">
        <v>5330</v>
      </c>
      <c r="C56" s="589">
        <v>9.9999999999999985E-3</v>
      </c>
      <c r="D56" s="160" t="s">
        <v>5402</v>
      </c>
      <c r="E56" s="585">
        <f>+CINT</f>
        <v>10000</v>
      </c>
      <c r="F56" s="585">
        <f>+C56*E56</f>
        <v>99.999999999999986</v>
      </c>
      <c r="G56" s="704"/>
      <c r="H56" s="585"/>
      <c r="I56" s="585"/>
    </row>
    <row r="57" spans="1:9" s="492" customFormat="1" ht="16.8">
      <c r="A57" s="1449" t="s">
        <v>172</v>
      </c>
      <c r="B57" s="179" t="s">
        <v>189</v>
      </c>
      <c r="C57" s="583">
        <v>1</v>
      </c>
      <c r="D57" s="160" t="s">
        <v>583</v>
      </c>
      <c r="E57" s="585">
        <f>+H58*0.05</f>
        <v>254.12470730000001</v>
      </c>
      <c r="F57" s="65"/>
      <c r="G57" s="65"/>
      <c r="H57" s="65"/>
      <c r="I57" s="65">
        <f>+C57*E57</f>
        <v>254.12470730000001</v>
      </c>
    </row>
    <row r="58" spans="1:9" s="492" customFormat="1" ht="16.8">
      <c r="A58" s="587" t="s">
        <v>190</v>
      </c>
      <c r="B58" s="588">
        <f>SUM(F58:I58)</f>
        <v>5536.6188533000031</v>
      </c>
      <c r="C58" s="583"/>
      <c r="D58" s="169"/>
      <c r="E58" s="585"/>
      <c r="F58" s="65">
        <f>SUM(F52:F57)</f>
        <v>200.00000000000284</v>
      </c>
      <c r="G58" s="65" t="s">
        <v>441</v>
      </c>
      <c r="H58" s="65">
        <f>SUM(H52:H57)</f>
        <v>5082.494146</v>
      </c>
      <c r="I58" s="65">
        <f>SUM(I52:I57)</f>
        <v>254.12470730000001</v>
      </c>
    </row>
    <row r="59" spans="1:9" s="492" customFormat="1" ht="16.8">
      <c r="A59" s="587" t="s">
        <v>191</v>
      </c>
      <c r="B59" s="39">
        <f>SUM(B58:B58)</f>
        <v>5536.6188533000031</v>
      </c>
      <c r="C59" s="591" t="s">
        <v>363</v>
      </c>
      <c r="D59" s="13"/>
      <c r="E59" s="170"/>
      <c r="F59" s="170"/>
      <c r="G59" s="170"/>
      <c r="H59" s="170"/>
      <c r="I59" s="170"/>
    </row>
    <row r="60" spans="1:9" s="492" customFormat="1" ht="14.4">
      <c r="A60" s="1425"/>
      <c r="B60" s="1425"/>
      <c r="C60" s="1425"/>
      <c r="D60" s="1425"/>
      <c r="E60" s="1425"/>
      <c r="F60" s="1425"/>
      <c r="G60" s="1425"/>
      <c r="H60" s="1425"/>
      <c r="I60" s="1425"/>
    </row>
    <row r="61" spans="1:9" s="492" customFormat="1" ht="16.8">
      <c r="A61" s="594">
        <v>1.3</v>
      </c>
      <c r="B61" s="3547" t="s">
        <v>5346</v>
      </c>
      <c r="C61" s="3548"/>
      <c r="D61" s="3548"/>
      <c r="E61" s="3548"/>
      <c r="F61" s="3548"/>
      <c r="G61" s="3548"/>
      <c r="H61" s="3548"/>
      <c r="I61" s="3549"/>
    </row>
    <row r="62" spans="1:9" s="492" customFormat="1" ht="16.8">
      <c r="A62" s="1449" t="s">
        <v>1520</v>
      </c>
      <c r="B62" s="179"/>
      <c r="C62" s="583" t="s">
        <v>140</v>
      </c>
      <c r="D62" s="1449" t="s">
        <v>343</v>
      </c>
      <c r="E62" s="585" t="s">
        <v>344</v>
      </c>
      <c r="F62" s="65" t="s">
        <v>482</v>
      </c>
      <c r="G62" s="65" t="s">
        <v>483</v>
      </c>
      <c r="H62" s="65" t="s">
        <v>232</v>
      </c>
      <c r="I62" s="65" t="s">
        <v>171</v>
      </c>
    </row>
    <row r="63" spans="1:9" s="492" customFormat="1" ht="16.8">
      <c r="A63" s="530" t="s">
        <v>2239</v>
      </c>
      <c r="B63" s="531" t="s">
        <v>5347</v>
      </c>
      <c r="C63" s="583">
        <v>1</v>
      </c>
      <c r="D63" s="160" t="s">
        <v>94</v>
      </c>
      <c r="E63" s="585">
        <v>3000</v>
      </c>
      <c r="F63" s="65"/>
      <c r="G63" s="65">
        <f>+E63*C63</f>
        <v>3000</v>
      </c>
      <c r="H63" s="65"/>
      <c r="I63" s="65"/>
    </row>
    <row r="64" spans="1:9" s="492" customFormat="1" ht="16.8">
      <c r="A64" s="1449" t="s">
        <v>584</v>
      </c>
      <c r="B64" s="180" t="s">
        <v>5348</v>
      </c>
      <c r="C64" s="595">
        <v>1</v>
      </c>
      <c r="D64" s="1449" t="s">
        <v>583</v>
      </c>
      <c r="E64" s="585">
        <v>100</v>
      </c>
      <c r="F64" s="65"/>
      <c r="G64" s="65"/>
      <c r="H64" s="65"/>
      <c r="I64" s="65">
        <f>+C64*E64</f>
        <v>100</v>
      </c>
    </row>
    <row r="65" spans="1:9" s="492" customFormat="1" ht="16.8">
      <c r="A65" s="587" t="s">
        <v>190</v>
      </c>
      <c r="B65" s="588">
        <f>SUM(F65:I65)</f>
        <v>3100</v>
      </c>
      <c r="C65" s="583"/>
      <c r="D65" s="169"/>
      <c r="E65" s="585"/>
      <c r="F65" s="65">
        <f>SUM(F63:F64)</f>
        <v>0</v>
      </c>
      <c r="G65" s="65">
        <f>SUM(G63:G64)</f>
        <v>3000</v>
      </c>
      <c r="H65" s="65">
        <f>SUM(H63:H64)</f>
        <v>0</v>
      </c>
      <c r="I65" s="65">
        <f>SUM(I63:I64)</f>
        <v>100</v>
      </c>
    </row>
    <row r="66" spans="1:9" s="492" customFormat="1" ht="16.8">
      <c r="A66" s="587" t="s">
        <v>191</v>
      </c>
      <c r="B66" s="39">
        <f>SUM(B65:B65)</f>
        <v>3100</v>
      </c>
      <c r="C66" s="591" t="s">
        <v>363</v>
      </c>
      <c r="D66" s="13"/>
      <c r="E66" s="170"/>
      <c r="F66" s="170"/>
      <c r="G66" s="170"/>
      <c r="H66" s="170"/>
      <c r="I66" s="170"/>
    </row>
    <row r="67" spans="1:9" s="492" customFormat="1" ht="14.4">
      <c r="A67" s="1425"/>
      <c r="B67" s="1425"/>
      <c r="C67" s="1425"/>
      <c r="D67" s="1425"/>
      <c r="E67" s="1425"/>
      <c r="F67" s="1425"/>
      <c r="G67" s="1425"/>
      <c r="H67" s="1425"/>
      <c r="I67" s="1425"/>
    </row>
    <row r="68" spans="1:9" s="492" customFormat="1" ht="16.8">
      <c r="A68" s="594" t="s">
        <v>1445</v>
      </c>
      <c r="B68" s="3547" t="s">
        <v>5349</v>
      </c>
      <c r="C68" s="3548"/>
      <c r="D68" s="3548"/>
      <c r="E68" s="3548"/>
      <c r="F68" s="3548"/>
      <c r="G68" s="3548"/>
      <c r="H68" s="3548"/>
      <c r="I68" s="3549"/>
    </row>
    <row r="69" spans="1:9" s="492" customFormat="1" ht="16.8">
      <c r="A69" s="1449"/>
      <c r="B69" s="179"/>
      <c r="C69" s="583" t="s">
        <v>140</v>
      </c>
      <c r="D69" s="1449" t="s">
        <v>343</v>
      </c>
      <c r="E69" s="585" t="s">
        <v>344</v>
      </c>
      <c r="F69" s="65" t="s">
        <v>482</v>
      </c>
      <c r="G69" s="65" t="s">
        <v>483</v>
      </c>
      <c r="H69" s="65" t="s">
        <v>232</v>
      </c>
      <c r="I69" s="65" t="s">
        <v>171</v>
      </c>
    </row>
    <row r="70" spans="1:9" s="492" customFormat="1" ht="16.8">
      <c r="A70" s="1449" t="s">
        <v>5397</v>
      </c>
      <c r="B70" s="592" t="s">
        <v>5328</v>
      </c>
      <c r="C70" s="583">
        <f>1/0.8</f>
        <v>1.25</v>
      </c>
      <c r="D70" s="1449" t="s">
        <v>346</v>
      </c>
      <c r="E70" s="585">
        <f>+LINIERO1</f>
        <v>90000</v>
      </c>
      <c r="F70" s="65"/>
      <c r="G70" s="65"/>
      <c r="H70" s="65">
        <f>+C70*E70</f>
        <v>112500</v>
      </c>
      <c r="I70" s="65"/>
    </row>
    <row r="71" spans="1:9" s="492" customFormat="1" ht="16.8">
      <c r="A71" s="1449" t="s">
        <v>5398</v>
      </c>
      <c r="B71" s="592" t="s">
        <v>5395</v>
      </c>
      <c r="C71" s="583">
        <f>1/0.8</f>
        <v>1.25</v>
      </c>
      <c r="D71" s="1449" t="s">
        <v>346</v>
      </c>
      <c r="E71" s="585">
        <f>+LINIERO2</f>
        <v>63000</v>
      </c>
      <c r="F71" s="65"/>
      <c r="G71" s="65"/>
      <c r="H71" s="65">
        <f>+C71*E71</f>
        <v>78750</v>
      </c>
      <c r="I71" s="65"/>
    </row>
    <row r="72" spans="1:9" s="19" customFormat="1" ht="15" customHeight="1">
      <c r="A72" s="436" t="s">
        <v>348</v>
      </c>
      <c r="B72" s="3" t="s">
        <v>1109</v>
      </c>
      <c r="C72" s="583">
        <f>1/0.8</f>
        <v>1.25</v>
      </c>
      <c r="D72" s="160" t="s">
        <v>346</v>
      </c>
      <c r="E72" s="350">
        <f>+AYUDR</f>
        <v>50299.76584</v>
      </c>
      <c r="F72" s="350"/>
      <c r="G72" s="350"/>
      <c r="H72" s="350">
        <f>+E72*C72</f>
        <v>62874.707300000002</v>
      </c>
      <c r="I72" s="350"/>
    </row>
    <row r="73" spans="1:9" s="492" customFormat="1" ht="16.8">
      <c r="A73" s="547" t="s">
        <v>5403</v>
      </c>
      <c r="B73" s="531" t="s">
        <v>5329</v>
      </c>
      <c r="C73" s="589">
        <v>0.2</v>
      </c>
      <c r="D73" s="160" t="s">
        <v>5402</v>
      </c>
      <c r="E73" s="585">
        <f>+ESCAL</f>
        <v>50000</v>
      </c>
      <c r="F73" s="585">
        <f>+C73*E73</f>
        <v>10000</v>
      </c>
      <c r="G73" s="585"/>
      <c r="H73" s="585"/>
      <c r="I73" s="585"/>
    </row>
    <row r="74" spans="1:9" s="492" customFormat="1" ht="16.8">
      <c r="A74" s="530" t="s">
        <v>5403</v>
      </c>
      <c r="B74" s="18" t="s">
        <v>5330</v>
      </c>
      <c r="C74" s="589">
        <v>1.5000000000000002</v>
      </c>
      <c r="D74" s="160" t="s">
        <v>5402</v>
      </c>
      <c r="E74" s="585">
        <f>+CINT</f>
        <v>10000</v>
      </c>
      <c r="F74" s="585">
        <f>+C74*E74</f>
        <v>15000.000000000002</v>
      </c>
      <c r="G74" s="585"/>
      <c r="H74" s="585"/>
      <c r="I74" s="585"/>
    </row>
    <row r="75" spans="1:9" s="492" customFormat="1" ht="16.8">
      <c r="A75" s="1449" t="s">
        <v>172</v>
      </c>
      <c r="B75" s="179" t="s">
        <v>189</v>
      </c>
      <c r="C75" s="583">
        <v>1</v>
      </c>
      <c r="D75" s="160" t="s">
        <v>583</v>
      </c>
      <c r="E75" s="585">
        <f>H76*0.05</f>
        <v>12706.235365</v>
      </c>
      <c r="F75" s="65"/>
      <c r="G75" s="65"/>
      <c r="H75" s="65"/>
      <c r="I75" s="65">
        <f>+C75*E75</f>
        <v>12706.235365</v>
      </c>
    </row>
    <row r="76" spans="1:9" s="492" customFormat="1" ht="16.8">
      <c r="A76" s="587" t="s">
        <v>190</v>
      </c>
      <c r="B76" s="588">
        <f>SUM(F76:I76)</f>
        <v>291830.94266499998</v>
      </c>
      <c r="C76" s="583"/>
      <c r="D76" s="169"/>
      <c r="E76" s="585"/>
      <c r="F76" s="65">
        <f>SUM(F70:F75)</f>
        <v>25000</v>
      </c>
      <c r="G76" s="65">
        <f>SUM(G70:G75)</f>
        <v>0</v>
      </c>
      <c r="H76" s="65">
        <f>SUM(H70:H75)</f>
        <v>254124.70730000001</v>
      </c>
      <c r="I76" s="65">
        <f>SUM(I75:I75)</f>
        <v>12706.235365</v>
      </c>
    </row>
    <row r="77" spans="1:9" s="492" customFormat="1" ht="16.8">
      <c r="A77" s="587" t="s">
        <v>191</v>
      </c>
      <c r="B77" s="39">
        <f>SUM(B76:B76)</f>
        <v>291830.94266499998</v>
      </c>
      <c r="C77" s="591" t="s">
        <v>363</v>
      </c>
      <c r="D77" s="13"/>
      <c r="E77" s="170"/>
      <c r="F77" s="170"/>
      <c r="G77" s="170"/>
      <c r="H77" s="170"/>
      <c r="I77" s="170"/>
    </row>
    <row r="78" spans="1:9" s="492" customFormat="1" ht="14.4">
      <c r="A78" s="1425"/>
      <c r="B78" s="1425"/>
      <c r="C78" s="1425"/>
      <c r="D78" s="1425"/>
      <c r="E78" s="1425"/>
      <c r="F78" s="1425"/>
      <c r="G78" s="1425"/>
      <c r="H78" s="1425"/>
      <c r="I78" s="1425"/>
    </row>
    <row r="79" spans="1:9" s="492" customFormat="1" ht="16.8">
      <c r="A79" s="594">
        <v>1.4</v>
      </c>
      <c r="B79" s="3547" t="s">
        <v>5350</v>
      </c>
      <c r="C79" s="3548"/>
      <c r="D79" s="3548"/>
      <c r="E79" s="3548"/>
      <c r="F79" s="3548"/>
      <c r="G79" s="3548"/>
      <c r="H79" s="3548"/>
      <c r="I79" s="3549"/>
    </row>
    <row r="80" spans="1:9" s="492" customFormat="1" ht="16.8">
      <c r="A80" s="1449"/>
      <c r="B80" s="179"/>
      <c r="C80" s="583" t="s">
        <v>140</v>
      </c>
      <c r="D80" s="1449" t="s">
        <v>343</v>
      </c>
      <c r="E80" s="585" t="s">
        <v>344</v>
      </c>
      <c r="F80" s="65" t="s">
        <v>482</v>
      </c>
      <c r="G80" s="65" t="s">
        <v>483</v>
      </c>
      <c r="H80" s="65" t="s">
        <v>232</v>
      </c>
      <c r="I80" s="65" t="s">
        <v>171</v>
      </c>
    </row>
    <row r="81" spans="1:9" s="492" customFormat="1" ht="16.8">
      <c r="A81" s="530"/>
      <c r="B81" s="531" t="s">
        <v>5351</v>
      </c>
      <c r="C81" s="583">
        <v>1</v>
      </c>
      <c r="D81" s="6" t="s">
        <v>363</v>
      </c>
      <c r="E81" s="585">
        <v>19000</v>
      </c>
      <c r="F81" s="65"/>
      <c r="G81" s="65">
        <f t="shared" ref="G81:G91" si="1">+E81*C81</f>
        <v>19000</v>
      </c>
      <c r="H81" s="65"/>
      <c r="I81" s="65"/>
    </row>
    <row r="82" spans="1:9" s="492" customFormat="1" ht="16.8">
      <c r="A82" s="530"/>
      <c r="B82" s="531" t="s">
        <v>5352</v>
      </c>
      <c r="C82" s="583">
        <v>2</v>
      </c>
      <c r="D82" s="6" t="s">
        <v>363</v>
      </c>
      <c r="E82" s="585">
        <v>3500</v>
      </c>
      <c r="F82" s="65"/>
      <c r="G82" s="65">
        <f t="shared" si="1"/>
        <v>7000</v>
      </c>
      <c r="H82" s="65"/>
      <c r="I82" s="65"/>
    </row>
    <row r="83" spans="1:9" s="492" customFormat="1" ht="16.8">
      <c r="A83" s="530"/>
      <c r="B83" s="531" t="s">
        <v>5353</v>
      </c>
      <c r="C83" s="583">
        <v>1</v>
      </c>
      <c r="D83" s="6" t="s">
        <v>363</v>
      </c>
      <c r="E83" s="585">
        <v>4200</v>
      </c>
      <c r="F83" s="65"/>
      <c r="G83" s="65">
        <f t="shared" si="1"/>
        <v>4200</v>
      </c>
      <c r="H83" s="65"/>
      <c r="I83" s="65"/>
    </row>
    <row r="84" spans="1:9" s="492" customFormat="1" ht="16.8">
      <c r="A84" s="530"/>
      <c r="B84" s="531" t="s">
        <v>5354</v>
      </c>
      <c r="C84" s="583">
        <v>1</v>
      </c>
      <c r="D84" s="6" t="s">
        <v>363</v>
      </c>
      <c r="E84" s="585">
        <v>25000</v>
      </c>
      <c r="F84" s="65"/>
      <c r="G84" s="65">
        <f t="shared" si="1"/>
        <v>25000</v>
      </c>
      <c r="H84" s="65"/>
      <c r="I84" s="65"/>
    </row>
    <row r="85" spans="1:9" s="492" customFormat="1" ht="16.8">
      <c r="A85" s="530"/>
      <c r="B85" s="531" t="s">
        <v>5355</v>
      </c>
      <c r="C85" s="583">
        <v>1</v>
      </c>
      <c r="D85" s="6" t="s">
        <v>363</v>
      </c>
      <c r="E85" s="585">
        <v>8500</v>
      </c>
      <c r="F85" s="65"/>
      <c r="G85" s="65">
        <f t="shared" si="1"/>
        <v>8500</v>
      </c>
      <c r="H85" s="65"/>
      <c r="I85" s="65"/>
    </row>
    <row r="86" spans="1:9" s="492" customFormat="1" ht="16.8">
      <c r="A86" s="530"/>
      <c r="B86" s="531" t="s">
        <v>5356</v>
      </c>
      <c r="C86" s="589">
        <v>4</v>
      </c>
      <c r="D86" s="6" t="s">
        <v>363</v>
      </c>
      <c r="E86" s="585">
        <v>13000</v>
      </c>
      <c r="F86" s="585"/>
      <c r="G86" s="65">
        <f t="shared" si="1"/>
        <v>52000</v>
      </c>
      <c r="H86" s="585"/>
      <c r="I86" s="585"/>
    </row>
    <row r="87" spans="1:9" s="492" customFormat="1" ht="16.8">
      <c r="A87" s="2"/>
      <c r="B87" s="18" t="s">
        <v>5357</v>
      </c>
      <c r="C87" s="589">
        <v>1</v>
      </c>
      <c r="D87" s="6" t="s">
        <v>363</v>
      </c>
      <c r="E87" s="585">
        <v>21000</v>
      </c>
      <c r="F87" s="585"/>
      <c r="G87" s="65">
        <f t="shared" si="1"/>
        <v>21000</v>
      </c>
      <c r="H87" s="585"/>
      <c r="I87" s="585"/>
    </row>
    <row r="88" spans="1:9" s="492" customFormat="1" ht="16.8">
      <c r="A88" s="2"/>
      <c r="B88" s="18" t="s">
        <v>5358</v>
      </c>
      <c r="C88" s="589">
        <v>1</v>
      </c>
      <c r="D88" s="6" t="s">
        <v>363</v>
      </c>
      <c r="E88" s="585">
        <v>16000</v>
      </c>
      <c r="F88" s="585"/>
      <c r="G88" s="65">
        <f t="shared" si="1"/>
        <v>16000</v>
      </c>
      <c r="H88" s="585"/>
      <c r="I88" s="585"/>
    </row>
    <row r="89" spans="1:9" s="492" customFormat="1" ht="16.8">
      <c r="A89" s="547"/>
      <c r="B89" s="18" t="s">
        <v>5337</v>
      </c>
      <c r="C89" s="589">
        <v>1</v>
      </c>
      <c r="D89" s="6" t="s">
        <v>363</v>
      </c>
      <c r="E89" s="585">
        <v>7200</v>
      </c>
      <c r="F89" s="585"/>
      <c r="G89" s="65">
        <f t="shared" si="1"/>
        <v>7200</v>
      </c>
      <c r="H89" s="585"/>
      <c r="I89" s="585"/>
    </row>
    <row r="90" spans="1:9" s="492" customFormat="1" ht="16.8">
      <c r="A90" s="547"/>
      <c r="B90" s="18" t="s">
        <v>5359</v>
      </c>
      <c r="C90" s="589">
        <v>1</v>
      </c>
      <c r="D90" s="6" t="s">
        <v>363</v>
      </c>
      <c r="E90" s="585">
        <v>65000</v>
      </c>
      <c r="F90" s="585"/>
      <c r="G90" s="65">
        <f t="shared" si="1"/>
        <v>65000</v>
      </c>
      <c r="H90" s="585"/>
      <c r="I90" s="585"/>
    </row>
    <row r="91" spans="1:9" s="492" customFormat="1" ht="16.8">
      <c r="A91" s="547"/>
      <c r="B91" s="18" t="s">
        <v>5360</v>
      </c>
      <c r="C91" s="589">
        <v>15</v>
      </c>
      <c r="D91" s="6" t="s">
        <v>45</v>
      </c>
      <c r="E91" s="585">
        <v>4750</v>
      </c>
      <c r="F91" s="585"/>
      <c r="G91" s="65">
        <f t="shared" si="1"/>
        <v>71250</v>
      </c>
      <c r="H91" s="585"/>
      <c r="I91" s="585"/>
    </row>
    <row r="92" spans="1:9" s="492" customFormat="1" ht="16.8">
      <c r="A92" s="1449" t="s">
        <v>584</v>
      </c>
      <c r="B92" s="180" t="s">
        <v>5361</v>
      </c>
      <c r="C92" s="595">
        <v>1</v>
      </c>
      <c r="D92" s="1449" t="s">
        <v>583</v>
      </c>
      <c r="E92" s="585">
        <v>20000</v>
      </c>
      <c r="F92" s="65"/>
      <c r="G92" s="65"/>
      <c r="H92" s="65"/>
      <c r="I92" s="65">
        <f>+C92*E92</f>
        <v>20000</v>
      </c>
    </row>
    <row r="93" spans="1:9" s="492" customFormat="1" ht="16.8">
      <c r="A93" s="587" t="s">
        <v>190</v>
      </c>
      <c r="B93" s="588">
        <f>SUM(G93:I93)</f>
        <v>316150</v>
      </c>
      <c r="C93" s="583"/>
      <c r="D93" s="169"/>
      <c r="E93" s="585"/>
      <c r="F93" s="65">
        <f>SUM(F81:F92)</f>
        <v>0</v>
      </c>
      <c r="G93" s="65">
        <f>SUM(G81:G92)</f>
        <v>296150</v>
      </c>
      <c r="H93" s="65">
        <f>SUM(H81:H92)</f>
        <v>0</v>
      </c>
      <c r="I93" s="65">
        <f>SUM(I81:I92)</f>
        <v>20000</v>
      </c>
    </row>
    <row r="94" spans="1:9" s="492" customFormat="1" ht="16.8">
      <c r="A94" s="587" t="s">
        <v>191</v>
      </c>
      <c r="B94" s="39">
        <f>SUM(B93:B93)</f>
        <v>316150</v>
      </c>
      <c r="C94" s="591" t="s">
        <v>363</v>
      </c>
      <c r="D94" s="13"/>
      <c r="E94" s="170"/>
      <c r="F94" s="170"/>
      <c r="G94" s="170"/>
      <c r="H94" s="170"/>
      <c r="I94" s="170"/>
    </row>
    <row r="95" spans="1:9" s="492" customFormat="1" ht="14.4">
      <c r="A95" s="1425"/>
      <c r="B95" s="1425"/>
      <c r="C95" s="1425"/>
      <c r="D95" s="1425"/>
      <c r="E95" s="1425"/>
      <c r="F95" s="1425"/>
      <c r="G95" s="1425"/>
      <c r="H95" s="1425"/>
      <c r="I95" s="1425"/>
    </row>
    <row r="96" spans="1:9" s="492" customFormat="1" ht="16.8">
      <c r="A96" s="594" t="s">
        <v>814</v>
      </c>
      <c r="B96" s="3547" t="s">
        <v>5362</v>
      </c>
      <c r="C96" s="3548"/>
      <c r="D96" s="3548"/>
      <c r="E96" s="3548"/>
      <c r="F96" s="3548"/>
      <c r="G96" s="3548"/>
      <c r="H96" s="3548"/>
      <c r="I96" s="3549"/>
    </row>
    <row r="97" spans="1:9" s="492" customFormat="1" ht="16.8">
      <c r="A97" s="1449"/>
      <c r="B97" s="179"/>
      <c r="C97" s="583" t="s">
        <v>140</v>
      </c>
      <c r="D97" s="1449" t="s">
        <v>343</v>
      </c>
      <c r="E97" s="585" t="s">
        <v>344</v>
      </c>
      <c r="F97" s="65" t="s">
        <v>482</v>
      </c>
      <c r="G97" s="65" t="s">
        <v>483</v>
      </c>
      <c r="H97" s="65" t="s">
        <v>232</v>
      </c>
      <c r="I97" s="65" t="s">
        <v>171</v>
      </c>
    </row>
    <row r="98" spans="1:9" s="492" customFormat="1" ht="16.8">
      <c r="A98" s="1449" t="s">
        <v>5407</v>
      </c>
      <c r="B98" s="592" t="s">
        <v>5328</v>
      </c>
      <c r="C98" s="583">
        <f>1/0.3</f>
        <v>3.3333333333333335</v>
      </c>
      <c r="D98" s="1449" t="s">
        <v>346</v>
      </c>
      <c r="E98" s="585">
        <f>+LINIERO1</f>
        <v>90000</v>
      </c>
      <c r="F98" s="65"/>
      <c r="G98" s="65"/>
      <c r="H98" s="65">
        <f>+C98*E98</f>
        <v>300000</v>
      </c>
      <c r="I98" s="65"/>
    </row>
    <row r="99" spans="1:9" s="492" customFormat="1" ht="16.8">
      <c r="A99" s="1449" t="s">
        <v>5398</v>
      </c>
      <c r="B99" s="592" t="s">
        <v>5395</v>
      </c>
      <c r="C99" s="583">
        <f>1/0.3</f>
        <v>3.3333333333333335</v>
      </c>
      <c r="D99" s="1449" t="s">
        <v>346</v>
      </c>
      <c r="E99" s="585">
        <f>+LINIERO2</f>
        <v>63000</v>
      </c>
      <c r="F99" s="65"/>
      <c r="G99" s="65"/>
      <c r="H99" s="65">
        <f>+C99*E99</f>
        <v>210000</v>
      </c>
      <c r="I99" s="65"/>
    </row>
    <row r="100" spans="1:9" s="19" customFormat="1" ht="15" customHeight="1">
      <c r="A100" s="436" t="s">
        <v>348</v>
      </c>
      <c r="B100" s="3" t="s">
        <v>1109</v>
      </c>
      <c r="C100" s="583">
        <f>1/0.3</f>
        <v>3.3333333333333335</v>
      </c>
      <c r="D100" s="160" t="s">
        <v>346</v>
      </c>
      <c r="E100" s="350">
        <f>+AYUDR</f>
        <v>50299.76584</v>
      </c>
      <c r="F100" s="350"/>
      <c r="G100" s="350"/>
      <c r="H100" s="350">
        <f>+E100*C100</f>
        <v>167665.88613333335</v>
      </c>
      <c r="I100" s="350"/>
    </row>
    <row r="101" spans="1:9" s="492" customFormat="1" ht="16.8">
      <c r="A101" s="2" t="s">
        <v>5401</v>
      </c>
      <c r="B101" s="18" t="s">
        <v>5363</v>
      </c>
      <c r="C101" s="589">
        <v>1.5333333333333334</v>
      </c>
      <c r="D101" s="6" t="s">
        <v>5402</v>
      </c>
      <c r="E101" s="585">
        <f>+GRUA</f>
        <v>150000</v>
      </c>
      <c r="F101" s="585">
        <f>+C101*E101</f>
        <v>230000.00000000003</v>
      </c>
      <c r="G101" s="585"/>
      <c r="H101" s="585"/>
      <c r="I101" s="585"/>
    </row>
    <row r="102" spans="1:9" s="492" customFormat="1" ht="16.8">
      <c r="A102" s="2" t="s">
        <v>5406</v>
      </c>
      <c r="B102" s="18" t="s">
        <v>5330</v>
      </c>
      <c r="C102" s="589">
        <v>1.5</v>
      </c>
      <c r="D102" s="6" t="s">
        <v>5402</v>
      </c>
      <c r="E102" s="585">
        <f>+CINT</f>
        <v>10000</v>
      </c>
      <c r="F102" s="585">
        <f>+C102*E102</f>
        <v>15000</v>
      </c>
      <c r="G102" s="585"/>
      <c r="H102" s="585"/>
      <c r="I102" s="585"/>
    </row>
    <row r="103" spans="1:9" s="492" customFormat="1" ht="16.8">
      <c r="A103" s="1449"/>
      <c r="B103" s="179" t="s">
        <v>189</v>
      </c>
      <c r="C103" s="583">
        <v>1</v>
      </c>
      <c r="D103" s="1449" t="s">
        <v>583</v>
      </c>
      <c r="E103" s="585">
        <f>H104*0.05</f>
        <v>33883.29430666667</v>
      </c>
      <c r="F103" s="65"/>
      <c r="G103" s="65"/>
      <c r="H103" s="65"/>
      <c r="I103" s="65">
        <f>+C103*E103</f>
        <v>33883.29430666667</v>
      </c>
    </row>
    <row r="104" spans="1:9" s="492" customFormat="1" ht="16.8">
      <c r="A104" s="587" t="s">
        <v>190</v>
      </c>
      <c r="B104" s="588">
        <f>SUM(F104:I104)</f>
        <v>956549.18044000003</v>
      </c>
      <c r="C104" s="583"/>
      <c r="D104" s="169"/>
      <c r="E104" s="585"/>
      <c r="F104" s="65">
        <f>SUM(F98:F103)</f>
        <v>245000.00000000003</v>
      </c>
      <c r="G104" s="65">
        <f>SUM(G98:G103)</f>
        <v>0</v>
      </c>
      <c r="H104" s="65">
        <f>SUM(H98:H103)</f>
        <v>677665.88613333332</v>
      </c>
      <c r="I104" s="65">
        <f>SUM(I98:I103)</f>
        <v>33883.29430666667</v>
      </c>
    </row>
    <row r="105" spans="1:9" s="492" customFormat="1" ht="16.8">
      <c r="A105" s="587" t="s">
        <v>191</v>
      </c>
      <c r="B105" s="39">
        <f>SUM(B104:B104)</f>
        <v>956549.18044000003</v>
      </c>
      <c r="C105" s="591" t="s">
        <v>363</v>
      </c>
      <c r="D105" s="13"/>
      <c r="E105" s="170"/>
      <c r="F105" s="170"/>
      <c r="G105" s="170"/>
      <c r="H105" s="170"/>
      <c r="I105" s="170"/>
    </row>
    <row r="106" spans="1:9" s="492" customFormat="1" ht="16.8">
      <c r="A106" s="596"/>
      <c r="B106" s="597"/>
      <c r="C106" s="598"/>
      <c r="D106" s="596"/>
      <c r="E106" s="599"/>
      <c r="F106" s="599"/>
      <c r="G106" s="599"/>
      <c r="H106" s="599"/>
      <c r="I106" s="599"/>
    </row>
    <row r="107" spans="1:9" s="492" customFormat="1" ht="16.8">
      <c r="A107" s="594">
        <v>1.5</v>
      </c>
      <c r="B107" s="3547" t="s">
        <v>5364</v>
      </c>
      <c r="C107" s="3548"/>
      <c r="D107" s="3548"/>
      <c r="E107" s="3548"/>
      <c r="F107" s="3548"/>
      <c r="G107" s="3548"/>
      <c r="H107" s="3548"/>
      <c r="I107" s="3549"/>
    </row>
    <row r="108" spans="1:9" s="492" customFormat="1" ht="16.8">
      <c r="A108" s="1449" t="s">
        <v>1520</v>
      </c>
      <c r="B108" s="179"/>
      <c r="C108" s="583" t="s">
        <v>140</v>
      </c>
      <c r="D108" s="1449" t="s">
        <v>343</v>
      </c>
      <c r="E108" s="585" t="s">
        <v>344</v>
      </c>
      <c r="F108" s="65" t="s">
        <v>482</v>
      </c>
      <c r="G108" s="65" t="s">
        <v>483</v>
      </c>
      <c r="H108" s="65" t="s">
        <v>232</v>
      </c>
      <c r="I108" s="65" t="s">
        <v>171</v>
      </c>
    </row>
    <row r="109" spans="1:9" s="492" customFormat="1" ht="16.8">
      <c r="A109" s="1449"/>
      <c r="B109" s="179" t="s">
        <v>5365</v>
      </c>
      <c r="C109" s="583">
        <v>1</v>
      </c>
      <c r="D109" s="1449" t="s">
        <v>363</v>
      </c>
      <c r="E109" s="585">
        <v>190000</v>
      </c>
      <c r="F109" s="65"/>
      <c r="G109" s="65">
        <f t="shared" ref="G109:G121" si="2">+C109*E109</f>
        <v>190000</v>
      </c>
      <c r="H109" s="65"/>
      <c r="I109" s="65"/>
    </row>
    <row r="110" spans="1:9" s="492" customFormat="1" ht="16.8">
      <c r="A110" s="1449"/>
      <c r="B110" s="1440" t="s">
        <v>5366</v>
      </c>
      <c r="C110" s="583">
        <v>2</v>
      </c>
      <c r="D110" s="1449" t="s">
        <v>363</v>
      </c>
      <c r="E110" s="585">
        <v>6500</v>
      </c>
      <c r="F110" s="65"/>
      <c r="G110" s="65">
        <f t="shared" si="2"/>
        <v>13000</v>
      </c>
      <c r="H110" s="65"/>
      <c r="I110" s="65"/>
    </row>
    <row r="111" spans="1:9" s="492" customFormat="1" ht="16.8">
      <c r="A111" s="1449"/>
      <c r="B111" s="179" t="s">
        <v>5367</v>
      </c>
      <c r="C111" s="583">
        <v>4</v>
      </c>
      <c r="D111" s="1449" t="s">
        <v>363</v>
      </c>
      <c r="E111" s="585">
        <v>300</v>
      </c>
      <c r="F111" s="65"/>
      <c r="G111" s="65">
        <f t="shared" si="2"/>
        <v>1200</v>
      </c>
      <c r="H111" s="65"/>
      <c r="I111" s="65"/>
    </row>
    <row r="112" spans="1:9" s="492" customFormat="1" ht="16.8">
      <c r="A112" s="1449"/>
      <c r="B112" s="179" t="s">
        <v>5368</v>
      </c>
      <c r="C112" s="583">
        <v>4</v>
      </c>
      <c r="D112" s="1449" t="s">
        <v>363</v>
      </c>
      <c r="E112" s="585">
        <v>300</v>
      </c>
      <c r="F112" s="65"/>
      <c r="G112" s="65">
        <f t="shared" si="2"/>
        <v>1200</v>
      </c>
      <c r="H112" s="65"/>
      <c r="I112" s="65"/>
    </row>
    <row r="113" spans="1:9" s="492" customFormat="1" ht="16.8">
      <c r="A113" s="1449"/>
      <c r="B113" s="179" t="s">
        <v>5369</v>
      </c>
      <c r="C113" s="583">
        <v>1</v>
      </c>
      <c r="D113" s="1449" t="s">
        <v>363</v>
      </c>
      <c r="E113" s="585">
        <v>190000</v>
      </c>
      <c r="F113" s="65"/>
      <c r="G113" s="65">
        <f t="shared" si="2"/>
        <v>190000</v>
      </c>
      <c r="H113" s="65"/>
      <c r="I113" s="65"/>
    </row>
    <row r="114" spans="1:9" s="492" customFormat="1" ht="16.8">
      <c r="A114" s="1449"/>
      <c r="B114" s="179" t="s">
        <v>5370</v>
      </c>
      <c r="C114" s="583">
        <v>20</v>
      </c>
      <c r="D114" s="1449" t="s">
        <v>45</v>
      </c>
      <c r="E114" s="585">
        <v>15000</v>
      </c>
      <c r="F114" s="65"/>
      <c r="G114" s="65">
        <f t="shared" si="2"/>
        <v>300000</v>
      </c>
      <c r="H114" s="65"/>
      <c r="I114" s="65"/>
    </row>
    <row r="115" spans="1:9" s="492" customFormat="1" ht="16.8">
      <c r="A115" s="1449"/>
      <c r="B115" s="179" t="s">
        <v>5371</v>
      </c>
      <c r="C115" s="583">
        <v>3</v>
      </c>
      <c r="D115" s="1449" t="s">
        <v>363</v>
      </c>
      <c r="E115" s="585">
        <v>220000</v>
      </c>
      <c r="F115" s="65"/>
      <c r="G115" s="65">
        <f t="shared" si="2"/>
        <v>660000</v>
      </c>
      <c r="H115" s="65"/>
      <c r="I115" s="65"/>
    </row>
    <row r="116" spans="1:9" s="492" customFormat="1" ht="16.8">
      <c r="A116" s="1449"/>
      <c r="B116" s="179" t="s">
        <v>5372</v>
      </c>
      <c r="C116" s="583">
        <v>3</v>
      </c>
      <c r="D116" s="1449" t="s">
        <v>363</v>
      </c>
      <c r="E116" s="585">
        <v>4000</v>
      </c>
      <c r="F116" s="65"/>
      <c r="G116" s="65">
        <f t="shared" si="2"/>
        <v>12000</v>
      </c>
      <c r="H116" s="65"/>
      <c r="I116" s="65"/>
    </row>
    <row r="117" spans="1:9" s="492" customFormat="1" ht="16.8">
      <c r="A117" s="1449"/>
      <c r="B117" s="179" t="s">
        <v>5373</v>
      </c>
      <c r="C117" s="583">
        <v>3</v>
      </c>
      <c r="D117" s="1449" t="s">
        <v>363</v>
      </c>
      <c r="E117" s="585">
        <v>220000</v>
      </c>
      <c r="F117" s="65"/>
      <c r="G117" s="65">
        <f t="shared" si="2"/>
        <v>660000</v>
      </c>
      <c r="H117" s="65"/>
      <c r="I117" s="65"/>
    </row>
    <row r="118" spans="1:9" s="492" customFormat="1" ht="16.8">
      <c r="A118" s="1449"/>
      <c r="B118" s="179" t="s">
        <v>5374</v>
      </c>
      <c r="C118" s="583">
        <v>1</v>
      </c>
      <c r="D118" s="1449" t="s">
        <v>363</v>
      </c>
      <c r="E118" s="585">
        <v>230000</v>
      </c>
      <c r="F118" s="65"/>
      <c r="G118" s="65">
        <f t="shared" si="2"/>
        <v>230000</v>
      </c>
      <c r="H118" s="65"/>
      <c r="I118" s="65"/>
    </row>
    <row r="119" spans="1:9" s="492" customFormat="1" ht="16.8">
      <c r="A119" s="1449" t="s">
        <v>3632</v>
      </c>
      <c r="B119" s="179" t="s">
        <v>5343</v>
      </c>
      <c r="C119" s="583">
        <v>3</v>
      </c>
      <c r="D119" s="1449" t="s">
        <v>363</v>
      </c>
      <c r="E119" s="585">
        <v>25000</v>
      </c>
      <c r="F119" s="65"/>
      <c r="G119" s="65">
        <f t="shared" si="2"/>
        <v>75000</v>
      </c>
      <c r="H119" s="65"/>
      <c r="I119" s="65"/>
    </row>
    <row r="120" spans="1:9" s="492" customFormat="1" ht="16.8">
      <c r="A120" s="2" t="s">
        <v>3633</v>
      </c>
      <c r="B120" s="18" t="s">
        <v>5375</v>
      </c>
      <c r="C120" s="589">
        <v>3</v>
      </c>
      <c r="D120" s="1449" t="s">
        <v>363</v>
      </c>
      <c r="E120" s="585">
        <v>28000</v>
      </c>
      <c r="F120" s="585"/>
      <c r="G120" s="65">
        <f t="shared" si="2"/>
        <v>84000</v>
      </c>
      <c r="H120" s="585"/>
      <c r="I120" s="585"/>
    </row>
    <row r="121" spans="1:9" s="492" customFormat="1" ht="16.8">
      <c r="A121" s="2"/>
      <c r="B121" s="18" t="s">
        <v>5376</v>
      </c>
      <c r="C121" s="589">
        <v>1</v>
      </c>
      <c r="D121" s="1449" t="s">
        <v>363</v>
      </c>
      <c r="E121" s="585">
        <v>10650000</v>
      </c>
      <c r="F121" s="585"/>
      <c r="G121" s="65">
        <f t="shared" si="2"/>
        <v>10650000</v>
      </c>
      <c r="H121" s="585"/>
      <c r="I121" s="585"/>
    </row>
    <row r="122" spans="1:9" s="492" customFormat="1" ht="16.8">
      <c r="A122" s="1449" t="s">
        <v>584</v>
      </c>
      <c r="B122" s="180" t="s">
        <v>5377</v>
      </c>
      <c r="C122" s="589">
        <v>1</v>
      </c>
      <c r="D122" s="1449" t="s">
        <v>583</v>
      </c>
      <c r="E122" s="585">
        <v>150000</v>
      </c>
      <c r="F122" s="65"/>
      <c r="G122" s="65"/>
      <c r="H122" s="65"/>
      <c r="I122" s="65">
        <f>+C122*E122</f>
        <v>150000</v>
      </c>
    </row>
    <row r="123" spans="1:9" s="492" customFormat="1" ht="16.8">
      <c r="A123" s="587" t="s">
        <v>190</v>
      </c>
      <c r="B123" s="588">
        <f>SUM(F123:I123)</f>
        <v>13216400</v>
      </c>
      <c r="C123" s="583"/>
      <c r="D123" s="169"/>
      <c r="E123" s="585"/>
      <c r="F123" s="65">
        <f>SUM(F109:F122)</f>
        <v>0</v>
      </c>
      <c r="G123" s="65">
        <f>SUM(G109:G122)</f>
        <v>13066400</v>
      </c>
      <c r="H123" s="65">
        <f>SUM(H109:H122)</f>
        <v>0</v>
      </c>
      <c r="I123" s="65">
        <f>SUM(I109:I122)</f>
        <v>150000</v>
      </c>
    </row>
    <row r="124" spans="1:9" s="492" customFormat="1" ht="16.8">
      <c r="A124" s="587" t="s">
        <v>191</v>
      </c>
      <c r="B124" s="39">
        <f>SUM(B123:B123)</f>
        <v>13216400</v>
      </c>
      <c r="C124" s="591" t="s">
        <v>363</v>
      </c>
      <c r="D124" s="13"/>
      <c r="E124" s="170"/>
      <c r="F124" s="170"/>
      <c r="G124" s="170"/>
      <c r="H124" s="170"/>
      <c r="I124" s="170"/>
    </row>
    <row r="125" spans="1:9" s="492" customFormat="1" ht="14.4">
      <c r="A125" s="1425"/>
      <c r="B125" s="1425"/>
      <c r="C125" s="1425"/>
      <c r="D125" s="1425"/>
      <c r="E125" s="1425"/>
      <c r="F125" s="1425"/>
      <c r="G125" s="1425"/>
      <c r="H125" s="1425"/>
      <c r="I125" s="1425"/>
    </row>
    <row r="126" spans="1:9" s="492" customFormat="1" ht="16.8">
      <c r="A126" s="594">
        <v>1.6</v>
      </c>
      <c r="B126" s="3547" t="s">
        <v>5378</v>
      </c>
      <c r="C126" s="3548"/>
      <c r="D126" s="3548"/>
      <c r="E126" s="3548"/>
      <c r="F126" s="3548"/>
      <c r="G126" s="3548"/>
      <c r="H126" s="3548"/>
      <c r="I126" s="3549"/>
    </row>
    <row r="127" spans="1:9" s="492" customFormat="1" ht="16.8">
      <c r="A127" s="1449"/>
      <c r="B127" s="179"/>
      <c r="C127" s="583" t="s">
        <v>140</v>
      </c>
      <c r="D127" s="1449" t="s">
        <v>343</v>
      </c>
      <c r="E127" s="585" t="s">
        <v>344</v>
      </c>
      <c r="F127" s="65" t="s">
        <v>482</v>
      </c>
      <c r="G127" s="65" t="s">
        <v>483</v>
      </c>
      <c r="H127" s="65" t="s">
        <v>232</v>
      </c>
      <c r="I127" s="65" t="s">
        <v>171</v>
      </c>
    </row>
    <row r="128" spans="1:9" s="492" customFormat="1" ht="16.8">
      <c r="A128" s="530"/>
      <c r="B128" s="531" t="s">
        <v>5379</v>
      </c>
      <c r="C128" s="589">
        <v>3</v>
      </c>
      <c r="D128" s="6" t="s">
        <v>363</v>
      </c>
      <c r="E128" s="585">
        <f>+GRUA</f>
        <v>150000</v>
      </c>
      <c r="F128" s="585">
        <f>+E128*C128</f>
        <v>450000</v>
      </c>
      <c r="G128" s="585"/>
      <c r="H128" s="65"/>
      <c r="I128" s="65"/>
    </row>
    <row r="129" spans="1:9" s="492" customFormat="1" ht="16.8">
      <c r="A129" s="530" t="s">
        <v>5403</v>
      </c>
      <c r="B129" s="531" t="s">
        <v>5329</v>
      </c>
      <c r="C129" s="589">
        <v>0.30000000000000004</v>
      </c>
      <c r="D129" s="6" t="s">
        <v>5402</v>
      </c>
      <c r="E129" s="585">
        <f>+ESCAL</f>
        <v>50000</v>
      </c>
      <c r="F129" s="585">
        <f>+E129*C129</f>
        <v>15000.000000000002</v>
      </c>
      <c r="G129" s="585"/>
      <c r="H129" s="65"/>
      <c r="I129" s="65"/>
    </row>
    <row r="130" spans="1:9" s="492" customFormat="1" ht="16.8">
      <c r="A130" s="530" t="s">
        <v>5406</v>
      </c>
      <c r="B130" s="18" t="s">
        <v>5330</v>
      </c>
      <c r="C130" s="589">
        <v>1.5000000000000002</v>
      </c>
      <c r="D130" s="6" t="s">
        <v>5402</v>
      </c>
      <c r="E130" s="585">
        <f>+CINT</f>
        <v>10000</v>
      </c>
      <c r="F130" s="585">
        <f>+E130*C130</f>
        <v>15000.000000000002</v>
      </c>
      <c r="G130" s="585"/>
      <c r="H130" s="65"/>
      <c r="I130" s="65"/>
    </row>
    <row r="131" spans="1:9" s="492" customFormat="1" ht="16.8">
      <c r="A131" s="546" t="s">
        <v>5408</v>
      </c>
      <c r="B131" s="592" t="s">
        <v>5380</v>
      </c>
      <c r="C131" s="589">
        <f>1/0.1</f>
        <v>10</v>
      </c>
      <c r="D131" s="6" t="s">
        <v>346</v>
      </c>
      <c r="E131" s="585">
        <f>+LINEAV1</f>
        <v>153000</v>
      </c>
      <c r="F131" s="585"/>
      <c r="G131" s="585"/>
      <c r="H131" s="65">
        <f>+C131*E131</f>
        <v>1530000</v>
      </c>
      <c r="I131" s="65"/>
    </row>
    <row r="132" spans="1:9" s="492" customFormat="1" ht="16.8">
      <c r="A132" s="546" t="s">
        <v>5409</v>
      </c>
      <c r="B132" s="592" t="s">
        <v>5381</v>
      </c>
      <c r="C132" s="589">
        <f>1/0.1</f>
        <v>10</v>
      </c>
      <c r="D132" s="6" t="s">
        <v>346</v>
      </c>
      <c r="E132" s="585">
        <f>+LINEAV2</f>
        <v>63000</v>
      </c>
      <c r="F132" s="585"/>
      <c r="G132" s="585"/>
      <c r="H132" s="65">
        <f>+C132*E132</f>
        <v>630000</v>
      </c>
      <c r="I132" s="65"/>
    </row>
    <row r="133" spans="1:9" s="492" customFormat="1" ht="16.8">
      <c r="A133" s="546" t="s">
        <v>5410</v>
      </c>
      <c r="B133" s="18" t="s">
        <v>5382</v>
      </c>
      <c r="C133" s="589">
        <f>1/0.1</f>
        <v>10</v>
      </c>
      <c r="D133" s="6" t="s">
        <v>346</v>
      </c>
      <c r="E133" s="585">
        <f>+LINEAV</f>
        <v>90000</v>
      </c>
      <c r="F133" s="585"/>
      <c r="G133" s="585"/>
      <c r="H133" s="65">
        <f>+C133*E133</f>
        <v>900000</v>
      </c>
      <c r="I133" s="65"/>
    </row>
    <row r="134" spans="1:9" s="492" customFormat="1" ht="16.8">
      <c r="A134" s="530"/>
      <c r="B134" s="696" t="s">
        <v>5383</v>
      </c>
      <c r="C134" s="589">
        <v>1</v>
      </c>
      <c r="D134" s="6" t="s">
        <v>363</v>
      </c>
      <c r="E134" s="585">
        <v>350000</v>
      </c>
      <c r="F134" s="585"/>
      <c r="G134" s="585"/>
      <c r="H134" s="65"/>
      <c r="I134" s="65">
        <f>+E134*C134</f>
        <v>350000</v>
      </c>
    </row>
    <row r="135" spans="1:9" s="492" customFormat="1" ht="16.8">
      <c r="A135" s="546"/>
      <c r="B135" s="179" t="s">
        <v>189</v>
      </c>
      <c r="C135" s="589">
        <v>1</v>
      </c>
      <c r="D135" s="6" t="s">
        <v>363</v>
      </c>
      <c r="E135" s="585">
        <f>H136*0.05</f>
        <v>153000</v>
      </c>
      <c r="F135" s="585"/>
      <c r="H135" s="65"/>
      <c r="I135" s="585">
        <f>+C135*E135</f>
        <v>153000</v>
      </c>
    </row>
    <row r="136" spans="1:9" s="492" customFormat="1" ht="16.8">
      <c r="A136" s="587" t="s">
        <v>190</v>
      </c>
      <c r="B136" s="588">
        <f>SUM(F136:I136)</f>
        <v>4043000</v>
      </c>
      <c r="C136" s="583"/>
      <c r="D136" s="169"/>
      <c r="E136" s="65">
        <f>SUM(E128:E135)</f>
        <v>1019000</v>
      </c>
      <c r="F136" s="65">
        <f>SUM(F128:F135)</f>
        <v>480000</v>
      </c>
      <c r="G136" s="65">
        <f>SUM(G128:G135)</f>
        <v>0</v>
      </c>
      <c r="H136" s="65">
        <f>SUM(H128:H135)</f>
        <v>3060000</v>
      </c>
      <c r="I136" s="65">
        <f>SUM(I128:I135)</f>
        <v>503000</v>
      </c>
    </row>
    <row r="137" spans="1:9" s="492" customFormat="1" ht="16.8">
      <c r="A137" s="587" t="s">
        <v>191</v>
      </c>
      <c r="B137" s="39">
        <f>SUM(B136:B136)</f>
        <v>4043000</v>
      </c>
      <c r="C137" s="591" t="s">
        <v>363</v>
      </c>
      <c r="D137" s="13"/>
      <c r="E137" s="170"/>
      <c r="F137" s="170"/>
      <c r="G137" s="170"/>
      <c r="H137" s="170"/>
      <c r="I137" s="170"/>
    </row>
    <row r="138" spans="1:9" s="492" customFormat="1" ht="14.4">
      <c r="A138" s="1425"/>
      <c r="B138" s="1425"/>
      <c r="C138" s="1425"/>
      <c r="D138" s="1425"/>
      <c r="E138" s="1425"/>
      <c r="F138" s="1425"/>
      <c r="G138" s="1425"/>
      <c r="H138" s="1425"/>
      <c r="I138" s="1425"/>
    </row>
    <row r="139" spans="1:9" s="492" customFormat="1" ht="16.8">
      <c r="A139" s="594" t="s">
        <v>441</v>
      </c>
      <c r="B139" s="3547" t="s">
        <v>5384</v>
      </c>
      <c r="C139" s="3548"/>
      <c r="D139" s="3548"/>
      <c r="E139" s="3548"/>
      <c r="F139" s="3548"/>
      <c r="G139" s="3548"/>
      <c r="H139" s="3548"/>
      <c r="I139" s="3549"/>
    </row>
    <row r="140" spans="1:9" s="492" customFormat="1" ht="16.8">
      <c r="A140" s="1449"/>
      <c r="B140" s="179"/>
      <c r="C140" s="589" t="s">
        <v>140</v>
      </c>
      <c r="D140" s="2" t="s">
        <v>343</v>
      </c>
      <c r="E140" s="585" t="s">
        <v>344</v>
      </c>
      <c r="F140" s="585" t="s">
        <v>482</v>
      </c>
      <c r="G140" s="585" t="s">
        <v>483</v>
      </c>
      <c r="H140" s="585" t="s">
        <v>232</v>
      </c>
      <c r="I140" s="585" t="s">
        <v>171</v>
      </c>
    </row>
    <row r="141" spans="1:9" s="492" customFormat="1" ht="16.8">
      <c r="A141" s="1449"/>
      <c r="B141" s="18" t="s">
        <v>965</v>
      </c>
      <c r="C141" s="589">
        <f>1/0.5</f>
        <v>2</v>
      </c>
      <c r="D141" s="2" t="s">
        <v>346</v>
      </c>
      <c r="E141" s="585">
        <f>+OFICI</f>
        <v>80479.625344</v>
      </c>
      <c r="F141" s="585"/>
      <c r="G141" s="585"/>
      <c r="H141" s="65">
        <f>+C141*E141</f>
        <v>160959.250688</v>
      </c>
      <c r="I141" s="585"/>
    </row>
    <row r="142" spans="1:9" s="492" customFormat="1" ht="16.8">
      <c r="A142" s="436" t="s">
        <v>348</v>
      </c>
      <c r="B142" s="3" t="s">
        <v>1109</v>
      </c>
      <c r="C142" s="589">
        <f>1/0.5</f>
        <v>2</v>
      </c>
      <c r="D142" s="2" t="s">
        <v>346</v>
      </c>
      <c r="E142" s="585">
        <f>+AYUDR</f>
        <v>50299.76584</v>
      </c>
      <c r="F142" s="65"/>
      <c r="G142" s="65"/>
      <c r="H142" s="65">
        <f>+C142*E142</f>
        <v>100599.53168</v>
      </c>
      <c r="I142" s="65"/>
    </row>
    <row r="143" spans="1:9" s="492" customFormat="1" ht="16.8">
      <c r="A143" s="2"/>
      <c r="B143" s="18" t="s">
        <v>189</v>
      </c>
      <c r="C143" s="589">
        <v>1</v>
      </c>
      <c r="D143" s="6" t="s">
        <v>583</v>
      </c>
      <c r="E143" s="585">
        <f>0.05*H144</f>
        <v>13077.939118400001</v>
      </c>
      <c r="F143" s="585"/>
      <c r="G143" s="585" t="s">
        <v>441</v>
      </c>
      <c r="H143" s="585"/>
      <c r="I143" s="585">
        <f>+E143*C143</f>
        <v>13077.939118400001</v>
      </c>
    </row>
    <row r="144" spans="1:9" s="492" customFormat="1" ht="16.8">
      <c r="A144" s="587" t="s">
        <v>190</v>
      </c>
      <c r="B144" s="588">
        <f>SUM(F144:I144)</f>
        <v>274636.7214864</v>
      </c>
      <c r="C144" s="589"/>
      <c r="D144" s="601"/>
      <c r="E144" s="585">
        <f>SUM(E142:E143)</f>
        <v>63377.704958400005</v>
      </c>
      <c r="F144" s="585">
        <f>SUM(F141:F143)</f>
        <v>0</v>
      </c>
      <c r="G144" s="585">
        <f>SUM(G141:G143)</f>
        <v>0</v>
      </c>
      <c r="H144" s="585">
        <f>SUM(H141:H143)</f>
        <v>261558.78236800001</v>
      </c>
      <c r="I144" s="585">
        <f>SUM(I141:I143)</f>
        <v>13077.939118400001</v>
      </c>
    </row>
    <row r="145" spans="1:9" s="492" customFormat="1" ht="16.8">
      <c r="A145" s="587" t="s">
        <v>191</v>
      </c>
      <c r="B145" s="39">
        <f>SUM(B144:B144)</f>
        <v>274636.7214864</v>
      </c>
      <c r="C145" s="589" t="s">
        <v>363</v>
      </c>
      <c r="D145" s="13"/>
      <c r="E145" s="170"/>
      <c r="F145" s="170"/>
      <c r="G145" s="170"/>
      <c r="H145" s="170"/>
      <c r="I145" s="170"/>
    </row>
    <row r="146" spans="1:9" s="492" customFormat="1" ht="14.4">
      <c r="A146" s="1425"/>
      <c r="B146" s="1425"/>
      <c r="C146" s="1425"/>
      <c r="D146" s="1425"/>
      <c r="E146" s="1425"/>
      <c r="F146" s="1425"/>
      <c r="G146" s="1425"/>
      <c r="H146" s="1425"/>
      <c r="I146" s="1425"/>
    </row>
    <row r="147" spans="1:9" s="492" customFormat="1" ht="16.8">
      <c r="A147" s="594">
        <v>2.1</v>
      </c>
      <c r="B147" s="3547" t="s">
        <v>5385</v>
      </c>
      <c r="C147" s="3548"/>
      <c r="D147" s="3548"/>
      <c r="E147" s="3548"/>
      <c r="F147" s="3548"/>
      <c r="G147" s="3548"/>
      <c r="H147" s="3548"/>
      <c r="I147" s="3549"/>
    </row>
    <row r="148" spans="1:9" s="492" customFormat="1" ht="16.8">
      <c r="A148" s="1449"/>
      <c r="B148" s="179"/>
      <c r="C148" s="589" t="s">
        <v>140</v>
      </c>
      <c r="D148" s="2" t="s">
        <v>343</v>
      </c>
      <c r="E148" s="585" t="s">
        <v>344</v>
      </c>
      <c r="F148" s="585" t="s">
        <v>482</v>
      </c>
      <c r="G148" s="585" t="s">
        <v>483</v>
      </c>
      <c r="H148" s="585" t="s">
        <v>232</v>
      </c>
      <c r="I148" s="585" t="s">
        <v>171</v>
      </c>
    </row>
    <row r="149" spans="1:9" s="492" customFormat="1" ht="16.8">
      <c r="A149" s="1438"/>
      <c r="B149" s="179" t="s">
        <v>5386</v>
      </c>
      <c r="C149" s="589">
        <v>2.8</v>
      </c>
      <c r="D149" s="2" t="s">
        <v>426</v>
      </c>
      <c r="E149" s="585">
        <v>2600</v>
      </c>
      <c r="F149" s="585"/>
      <c r="G149" s="585">
        <f t="shared" ref="G149:G156" si="3">+C149*E149</f>
        <v>7279.9999999999991</v>
      </c>
      <c r="H149" s="585"/>
      <c r="I149" s="585"/>
    </row>
    <row r="150" spans="1:9" s="492" customFormat="1" ht="16.8">
      <c r="A150" s="1438"/>
      <c r="B150" s="179" t="s">
        <v>5387</v>
      </c>
      <c r="C150" s="589">
        <v>2.5000000000000001E-2</v>
      </c>
      <c r="D150" s="2" t="s">
        <v>426</v>
      </c>
      <c r="E150" s="585">
        <v>2700</v>
      </c>
      <c r="F150" s="585"/>
      <c r="G150" s="585">
        <f t="shared" si="3"/>
        <v>67.5</v>
      </c>
      <c r="H150" s="585"/>
      <c r="I150" s="585"/>
    </row>
    <row r="151" spans="1:9" s="492" customFormat="1" ht="16.8">
      <c r="A151" s="1438"/>
      <c r="B151" s="179" t="s">
        <v>5388</v>
      </c>
      <c r="C151" s="589">
        <v>0.24</v>
      </c>
      <c r="D151" s="2" t="s">
        <v>1292</v>
      </c>
      <c r="E151" s="585">
        <v>150000</v>
      </c>
      <c r="F151" s="585"/>
      <c r="G151" s="585">
        <f t="shared" si="3"/>
        <v>36000</v>
      </c>
      <c r="H151" s="585"/>
      <c r="I151" s="585"/>
    </row>
    <row r="152" spans="1:9" s="492" customFormat="1" ht="16.8">
      <c r="A152" s="530"/>
      <c r="B152" s="534" t="s">
        <v>5389</v>
      </c>
      <c r="C152" s="589">
        <v>0.2</v>
      </c>
      <c r="D152" s="6" t="s">
        <v>1292</v>
      </c>
      <c r="E152" s="585">
        <v>150000</v>
      </c>
      <c r="F152" s="585"/>
      <c r="G152" s="585">
        <f t="shared" si="3"/>
        <v>30000</v>
      </c>
      <c r="H152" s="585"/>
      <c r="I152" s="585"/>
    </row>
    <row r="153" spans="1:9" s="492" customFormat="1" ht="16.8">
      <c r="A153" s="539"/>
      <c r="B153" s="536" t="s">
        <v>5390</v>
      </c>
      <c r="C153" s="583">
        <v>80</v>
      </c>
      <c r="D153" s="6" t="s">
        <v>426</v>
      </c>
      <c r="E153" s="585">
        <v>600</v>
      </c>
      <c r="F153" s="65"/>
      <c r="G153" s="585">
        <f t="shared" si="3"/>
        <v>48000</v>
      </c>
      <c r="H153" s="180"/>
      <c r="I153" s="65"/>
    </row>
    <row r="154" spans="1:9" s="492" customFormat="1" ht="16.8">
      <c r="A154" s="539"/>
      <c r="B154" s="536" t="s">
        <v>5391</v>
      </c>
      <c r="C154" s="583">
        <v>48</v>
      </c>
      <c r="D154" s="6" t="s">
        <v>363</v>
      </c>
      <c r="E154" s="585">
        <v>1000</v>
      </c>
      <c r="F154" s="65"/>
      <c r="G154" s="585">
        <f t="shared" si="3"/>
        <v>48000</v>
      </c>
      <c r="H154" s="180"/>
      <c r="I154" s="65"/>
    </row>
    <row r="155" spans="1:9" s="492" customFormat="1" ht="16.8">
      <c r="A155" s="539"/>
      <c r="B155" s="536" t="s">
        <v>5392</v>
      </c>
      <c r="C155" s="583">
        <v>6</v>
      </c>
      <c r="D155" s="6" t="s">
        <v>45</v>
      </c>
      <c r="E155" s="585">
        <v>7000</v>
      </c>
      <c r="F155" s="65"/>
      <c r="G155" s="585">
        <f t="shared" si="3"/>
        <v>42000</v>
      </c>
      <c r="H155" s="180"/>
      <c r="I155" s="65"/>
    </row>
    <row r="156" spans="1:9" s="492" customFormat="1" ht="16.8">
      <c r="A156" s="539"/>
      <c r="B156" s="536" t="s">
        <v>5393</v>
      </c>
      <c r="C156" s="583">
        <v>0.08</v>
      </c>
      <c r="D156" s="6" t="s">
        <v>1292</v>
      </c>
      <c r="E156" s="585">
        <v>230000</v>
      </c>
      <c r="F156" s="65"/>
      <c r="G156" s="585">
        <f t="shared" si="3"/>
        <v>18400</v>
      </c>
      <c r="H156" s="180"/>
      <c r="I156" s="65"/>
    </row>
    <row r="157" spans="1:9" s="492" customFormat="1" ht="16.8">
      <c r="A157" s="2"/>
      <c r="B157" s="180" t="s">
        <v>5394</v>
      </c>
      <c r="C157" s="600">
        <v>1</v>
      </c>
      <c r="D157" s="2" t="s">
        <v>583</v>
      </c>
      <c r="E157" s="585">
        <v>25000</v>
      </c>
      <c r="F157" s="585"/>
      <c r="G157" s="585" t="s">
        <v>441</v>
      </c>
      <c r="H157" s="585"/>
      <c r="I157" s="585">
        <f>+E157*C157</f>
        <v>25000</v>
      </c>
    </row>
    <row r="158" spans="1:9" s="492" customFormat="1" ht="16.8">
      <c r="A158" s="587" t="s">
        <v>190</v>
      </c>
      <c r="B158" s="588">
        <f>SUM(F158:I158)</f>
        <v>254747.5</v>
      </c>
      <c r="C158" s="589"/>
      <c r="D158" s="601"/>
      <c r="E158" s="585">
        <f>SUM(E149:E157)</f>
        <v>568900</v>
      </c>
      <c r="F158" s="585">
        <f>SUM(F149:F157)</f>
        <v>0</v>
      </c>
      <c r="G158" s="585">
        <f>SUM(G149:G157)</f>
        <v>229747.5</v>
      </c>
      <c r="H158" s="585">
        <f>SUM(H149:H157)</f>
        <v>0</v>
      </c>
      <c r="I158" s="585">
        <f>SUM(I149:I157)</f>
        <v>25000</v>
      </c>
    </row>
    <row r="159" spans="1:9" s="492" customFormat="1" ht="16.8">
      <c r="A159" s="587" t="s">
        <v>191</v>
      </c>
      <c r="B159" s="39">
        <f>SUM(B158:B158)</f>
        <v>254747.5</v>
      </c>
      <c r="C159" s="589" t="s">
        <v>363</v>
      </c>
      <c r="D159" s="13"/>
      <c r="E159" s="170"/>
      <c r="F159" s="170"/>
      <c r="G159" s="170"/>
      <c r="H159" s="170"/>
      <c r="I159" s="170"/>
    </row>
    <row r="160" spans="1:9" s="492" customFormat="1" ht="14.4">
      <c r="A160" s="1425"/>
      <c r="B160" s="1425"/>
      <c r="C160" s="1425"/>
      <c r="D160" s="1425"/>
      <c r="E160" s="1425"/>
      <c r="F160" s="1425"/>
      <c r="G160" s="1425"/>
      <c r="H160" s="1425"/>
      <c r="I160" s="1425"/>
    </row>
    <row r="161" spans="1:9" s="492" customFormat="1" ht="14.4">
      <c r="A161" s="1342" t="s">
        <v>36</v>
      </c>
      <c r="B161" s="3552" t="s">
        <v>5229</v>
      </c>
      <c r="C161" s="3553"/>
      <c r="D161" s="3553"/>
      <c r="E161" s="3553"/>
      <c r="F161" s="3553"/>
      <c r="G161" s="3553"/>
      <c r="H161" s="3553"/>
      <c r="I161" s="3554"/>
    </row>
    <row r="162" spans="1:9" s="492" customFormat="1" ht="16.8">
      <c r="A162" s="809"/>
      <c r="B162" s="807"/>
      <c r="C162" s="808" t="s">
        <v>140</v>
      </c>
      <c r="D162" s="11" t="s">
        <v>343</v>
      </c>
      <c r="E162" s="33" t="s">
        <v>344</v>
      </c>
      <c r="F162" s="33" t="s">
        <v>482</v>
      </c>
      <c r="G162" s="33" t="s">
        <v>483</v>
      </c>
      <c r="H162" s="585" t="s">
        <v>232</v>
      </c>
      <c r="I162" s="33" t="s">
        <v>171</v>
      </c>
    </row>
    <row r="163" spans="1:9" s="492" customFormat="1" ht="14.4">
      <c r="A163" s="809" t="s">
        <v>172</v>
      </c>
      <c r="B163" s="807" t="s">
        <v>189</v>
      </c>
      <c r="C163" s="814">
        <v>1</v>
      </c>
      <c r="D163" s="9" t="s">
        <v>583</v>
      </c>
      <c r="E163" s="810">
        <f>+H168*0.05</f>
        <v>25711.182679000005</v>
      </c>
      <c r="F163" s="810"/>
      <c r="G163" s="810"/>
      <c r="H163" s="810"/>
      <c r="I163" s="810">
        <f>+E163*C163</f>
        <v>25711.182679000005</v>
      </c>
    </row>
    <row r="164" spans="1:9" s="492" customFormat="1" ht="14.4">
      <c r="A164" s="809"/>
      <c r="B164" s="807" t="s">
        <v>5318</v>
      </c>
      <c r="C164" s="814">
        <f>1/0.4</f>
        <v>2.5</v>
      </c>
      <c r="D164" s="9" t="s">
        <v>346</v>
      </c>
      <c r="E164" s="810">
        <f>90000</f>
        <v>90000</v>
      </c>
      <c r="F164" s="810"/>
      <c r="G164" s="810"/>
      <c r="H164" s="810">
        <f>+E164*C164</f>
        <v>225000</v>
      </c>
      <c r="I164" s="810"/>
    </row>
    <row r="165" spans="1:9" s="492" customFormat="1" ht="14.4">
      <c r="A165" s="809" t="s">
        <v>347</v>
      </c>
      <c r="B165" s="807" t="s">
        <v>266</v>
      </c>
      <c r="C165" s="814">
        <f>1/0.4</f>
        <v>2.5</v>
      </c>
      <c r="D165" s="9" t="s">
        <v>717</v>
      </c>
      <c r="E165" s="810">
        <f>+AYUDA</f>
        <v>65389.695592000004</v>
      </c>
      <c r="F165" s="810"/>
      <c r="G165" s="810"/>
      <c r="H165" s="810">
        <f>+E165*C165</f>
        <v>163474.23898000002</v>
      </c>
      <c r="I165" s="810"/>
    </row>
    <row r="166" spans="1:9" s="492" customFormat="1" ht="14.4">
      <c r="A166" s="809" t="s">
        <v>348</v>
      </c>
      <c r="B166" s="807" t="str">
        <f>IF(PRESTA&gt;0,"AYUD. RASO (INCLUYE "&amp;""&amp;PRESTA*100&amp;"% PRESTACIONES)",0)</f>
        <v>AYUD. RASO (INCLUYE 82,22% PRESTACIONES)</v>
      </c>
      <c r="C166" s="814">
        <f>1/0.4</f>
        <v>2.5</v>
      </c>
      <c r="D166" s="9" t="s">
        <v>346</v>
      </c>
      <c r="E166" s="810">
        <f>+AYUDR</f>
        <v>50299.76584</v>
      </c>
      <c r="F166" s="810"/>
      <c r="G166" s="810"/>
      <c r="H166" s="810">
        <f>+E166*C166</f>
        <v>125749.4146</v>
      </c>
      <c r="I166" s="810"/>
    </row>
    <row r="167" spans="1:9" s="492" customFormat="1" ht="14.4">
      <c r="A167" s="809"/>
      <c r="B167" s="811" t="s">
        <v>5317</v>
      </c>
      <c r="C167" s="814">
        <v>1</v>
      </c>
      <c r="D167" s="9" t="s">
        <v>583</v>
      </c>
      <c r="E167" s="810">
        <v>80000</v>
      </c>
      <c r="F167" s="810">
        <f>+E167*C167</f>
        <v>80000</v>
      </c>
      <c r="G167" s="810"/>
      <c r="H167" s="810"/>
      <c r="I167" s="810"/>
    </row>
    <row r="168" spans="1:9" s="492" customFormat="1" ht="14.4">
      <c r="A168" s="1424" t="s">
        <v>190</v>
      </c>
      <c r="B168" s="813">
        <f>SUM(F168:I168)</f>
        <v>619934.836259</v>
      </c>
      <c r="C168" s="814"/>
      <c r="D168" s="9"/>
      <c r="E168" s="810"/>
      <c r="F168" s="810">
        <f>+SUM(F163:F167)</f>
        <v>80000</v>
      </c>
      <c r="G168" s="810">
        <f>+SUM(G163:G166)</f>
        <v>0</v>
      </c>
      <c r="H168" s="810">
        <f>+SUM(H163:H166)</f>
        <v>514223.65358000004</v>
      </c>
      <c r="I168" s="810">
        <f>+SUM(I163:I166)</f>
        <v>25711.182679000005</v>
      </c>
    </row>
    <row r="169" spans="1:9" s="492" customFormat="1" ht="14.4">
      <c r="A169" s="1424" t="s">
        <v>191</v>
      </c>
      <c r="B169" s="813">
        <f>+B168</f>
        <v>619934.836259</v>
      </c>
      <c r="C169" s="815" t="s">
        <v>133</v>
      </c>
      <c r="D169" s="816"/>
      <c r="E169" s="817"/>
      <c r="F169" s="817"/>
      <c r="G169" s="817"/>
      <c r="H169" s="817"/>
      <c r="I169" s="817"/>
    </row>
    <row r="170" spans="1:9" s="492" customFormat="1" ht="14.4">
      <c r="A170" s="1425"/>
      <c r="B170" s="1425"/>
      <c r="C170" s="1425"/>
      <c r="D170" s="1425"/>
      <c r="E170" s="1425"/>
      <c r="F170" s="1425"/>
      <c r="G170" s="1425"/>
      <c r="H170" s="1425"/>
      <c r="I170" s="1425"/>
    </row>
    <row r="171" spans="1:9" s="492" customFormat="1" ht="14.4">
      <c r="A171" s="1342" t="s">
        <v>36</v>
      </c>
      <c r="B171" s="3552" t="s">
        <v>5319</v>
      </c>
      <c r="C171" s="3553"/>
      <c r="D171" s="3553"/>
      <c r="E171" s="3553"/>
      <c r="F171" s="3553"/>
      <c r="G171" s="3553"/>
      <c r="H171" s="3553"/>
      <c r="I171" s="3554"/>
    </row>
    <row r="172" spans="1:9" s="492" customFormat="1" ht="16.8">
      <c r="A172" s="809"/>
      <c r="B172" s="807"/>
      <c r="C172" s="808" t="s">
        <v>140</v>
      </c>
      <c r="D172" s="11" t="s">
        <v>343</v>
      </c>
      <c r="E172" s="33" t="s">
        <v>344</v>
      </c>
      <c r="F172" s="33" t="s">
        <v>482</v>
      </c>
      <c r="G172" s="33" t="s">
        <v>483</v>
      </c>
      <c r="H172" s="585" t="s">
        <v>232</v>
      </c>
      <c r="I172" s="33" t="s">
        <v>171</v>
      </c>
    </row>
    <row r="173" spans="1:9" s="492" customFormat="1" ht="14.4">
      <c r="A173" s="809"/>
      <c r="B173" s="1418" t="s">
        <v>5320</v>
      </c>
      <c r="C173" s="814">
        <v>6</v>
      </c>
      <c r="D173" s="11" t="s">
        <v>363</v>
      </c>
      <c r="E173" s="1437">
        <v>190000</v>
      </c>
      <c r="F173" s="33"/>
      <c r="G173" s="33">
        <f>+E173*C173</f>
        <v>1140000</v>
      </c>
      <c r="H173" s="33"/>
      <c r="I173" s="33"/>
    </row>
    <row r="174" spans="1:9" s="492" customFormat="1" ht="14.4">
      <c r="A174" s="809"/>
      <c r="B174" s="1418" t="s">
        <v>5321</v>
      </c>
      <c r="C174" s="814">
        <v>60</v>
      </c>
      <c r="D174" s="11" t="s">
        <v>363</v>
      </c>
      <c r="E174" s="1437">
        <v>38000</v>
      </c>
      <c r="F174" s="33"/>
      <c r="G174" s="33">
        <f>+E174*C174</f>
        <v>2280000</v>
      </c>
      <c r="H174" s="33"/>
      <c r="I174" s="33"/>
    </row>
    <row r="175" spans="1:9" s="492" customFormat="1" ht="14.4">
      <c r="A175" s="809"/>
      <c r="B175" s="1418" t="s">
        <v>5313</v>
      </c>
      <c r="C175" s="814">
        <v>15</v>
      </c>
      <c r="D175" s="11" t="s">
        <v>363</v>
      </c>
      <c r="E175" s="1437">
        <v>30000</v>
      </c>
      <c r="F175" s="33"/>
      <c r="G175" s="33">
        <f>+E175*C175</f>
        <v>450000</v>
      </c>
      <c r="H175" s="33"/>
      <c r="I175" s="33"/>
    </row>
    <row r="176" spans="1:9" s="492" customFormat="1" ht="14.4">
      <c r="A176" s="809"/>
      <c r="B176" s="1418" t="s">
        <v>5447</v>
      </c>
      <c r="C176" s="814">
        <v>2</v>
      </c>
      <c r="D176" s="9" t="s">
        <v>772</v>
      </c>
      <c r="E176" s="1437">
        <v>100000</v>
      </c>
      <c r="F176" s="810"/>
      <c r="G176" s="810">
        <f>+E176*C176</f>
        <v>200000</v>
      </c>
      <c r="H176" s="810"/>
      <c r="I176" s="810"/>
    </row>
    <row r="177" spans="1:9" s="492" customFormat="1" ht="14.4">
      <c r="A177" s="809"/>
      <c r="B177" s="1433" t="s">
        <v>5322</v>
      </c>
      <c r="C177" s="814">
        <v>1</v>
      </c>
      <c r="D177" s="9" t="s">
        <v>772</v>
      </c>
      <c r="E177" s="810">
        <v>50000</v>
      </c>
      <c r="F177" s="810"/>
      <c r="G177" s="1425"/>
      <c r="H177" s="810"/>
      <c r="I177" s="1425">
        <f>+E177*C177</f>
        <v>50000</v>
      </c>
    </row>
    <row r="178" spans="1:9" s="492" customFormat="1" ht="14.4">
      <c r="A178" s="1424" t="s">
        <v>190</v>
      </c>
      <c r="B178" s="813">
        <f>SUM(F178:I178)</f>
        <v>4120000</v>
      </c>
      <c r="C178" s="814"/>
      <c r="D178" s="9"/>
      <c r="E178" s="810"/>
      <c r="F178" s="810">
        <f>+SUM(F173:F177)</f>
        <v>0</v>
      </c>
      <c r="G178" s="810">
        <f>+SUM(G173:G177)</f>
        <v>4070000</v>
      </c>
      <c r="H178" s="810">
        <f>+SUM(H173:H177)</f>
        <v>0</v>
      </c>
      <c r="I178" s="810">
        <f>+SUM(I173:I177)</f>
        <v>50000</v>
      </c>
    </row>
    <row r="179" spans="1:9" s="492" customFormat="1" ht="14.4">
      <c r="A179" s="1424" t="s">
        <v>191</v>
      </c>
      <c r="B179" s="813">
        <f>+B178</f>
        <v>4120000</v>
      </c>
      <c r="C179" s="815" t="s">
        <v>133</v>
      </c>
      <c r="D179" s="816"/>
      <c r="E179" s="817"/>
      <c r="F179" s="817"/>
      <c r="G179" s="817"/>
      <c r="H179" s="817"/>
      <c r="I179" s="817"/>
    </row>
    <row r="180" spans="1:9" s="492" customFormat="1" ht="14.4">
      <c r="A180" s="1425"/>
      <c r="B180" s="1425"/>
      <c r="C180" s="1425"/>
      <c r="D180" s="1425"/>
      <c r="E180" s="1425"/>
      <c r="F180" s="1425"/>
      <c r="G180" s="1425"/>
      <c r="H180" s="1425"/>
      <c r="I180" s="1425"/>
    </row>
    <row r="181" spans="1:9" s="492" customFormat="1" ht="14.4">
      <c r="A181" s="1342" t="s">
        <v>1451</v>
      </c>
      <c r="B181" s="3552" t="s">
        <v>5230</v>
      </c>
      <c r="C181" s="3553"/>
      <c r="D181" s="3553"/>
      <c r="E181" s="3553"/>
      <c r="F181" s="3553"/>
      <c r="G181" s="3553"/>
      <c r="H181" s="3553"/>
      <c r="I181" s="3554"/>
    </row>
    <row r="182" spans="1:9" s="492" customFormat="1" ht="16.8">
      <c r="A182" s="809"/>
      <c r="B182" s="807"/>
      <c r="C182" s="808" t="s">
        <v>140</v>
      </c>
      <c r="D182" s="11" t="s">
        <v>343</v>
      </c>
      <c r="E182" s="33" t="s">
        <v>344</v>
      </c>
      <c r="F182" s="33" t="s">
        <v>482</v>
      </c>
      <c r="G182" s="33" t="s">
        <v>483</v>
      </c>
      <c r="H182" s="585" t="s">
        <v>232</v>
      </c>
      <c r="I182" s="33" t="s">
        <v>171</v>
      </c>
    </row>
    <row r="183" spans="1:9" s="492" customFormat="1" ht="14.4">
      <c r="A183" s="809" t="s">
        <v>172</v>
      </c>
      <c r="B183" s="807" t="s">
        <v>189</v>
      </c>
      <c r="C183" s="814">
        <v>1</v>
      </c>
      <c r="D183" s="9" t="s">
        <v>583</v>
      </c>
      <c r="E183" s="810">
        <f>+H188*0.05</f>
        <v>22336.182679000005</v>
      </c>
      <c r="F183" s="810"/>
      <c r="G183" s="810"/>
      <c r="H183" s="810"/>
      <c r="I183" s="810">
        <f>+E183*C183</f>
        <v>22336.182679000005</v>
      </c>
    </row>
    <row r="184" spans="1:9" s="492" customFormat="1" ht="14.4">
      <c r="A184" s="809"/>
      <c r="B184" s="807" t="s">
        <v>5318</v>
      </c>
      <c r="C184" s="814">
        <f>1/0.4</f>
        <v>2.5</v>
      </c>
      <c r="D184" s="9" t="s">
        <v>346</v>
      </c>
      <c r="E184" s="810">
        <v>63000</v>
      </c>
      <c r="F184" s="810"/>
      <c r="G184" s="810"/>
      <c r="H184" s="810">
        <f>+E184*C184</f>
        <v>157500</v>
      </c>
      <c r="I184" s="810"/>
    </row>
    <row r="185" spans="1:9" s="492" customFormat="1" ht="14.4">
      <c r="A185" s="809" t="s">
        <v>347</v>
      </c>
      <c r="B185" s="807" t="s">
        <v>266</v>
      </c>
      <c r="C185" s="814">
        <f>1/0.4</f>
        <v>2.5</v>
      </c>
      <c r="D185" s="9" t="s">
        <v>717</v>
      </c>
      <c r="E185" s="810">
        <f>+AYUDA</f>
        <v>65389.695592000004</v>
      </c>
      <c r="F185" s="810"/>
      <c r="G185" s="810"/>
      <c r="H185" s="810">
        <f>+E185*C185</f>
        <v>163474.23898000002</v>
      </c>
      <c r="I185" s="810"/>
    </row>
    <row r="186" spans="1:9" s="492" customFormat="1" ht="14.4">
      <c r="A186" s="809" t="s">
        <v>348</v>
      </c>
      <c r="B186" s="807" t="str">
        <f>IF(PRESTA&gt;0,"AYUD. RASO (INCLUYE "&amp;""&amp;PRESTA*100&amp;"% PRESTACIONES)",0)</f>
        <v>AYUD. RASO (INCLUYE 82,22% PRESTACIONES)</v>
      </c>
      <c r="C186" s="814">
        <f>1/0.4</f>
        <v>2.5</v>
      </c>
      <c r="D186" s="9" t="s">
        <v>346</v>
      </c>
      <c r="E186" s="810">
        <f>+AYUDR</f>
        <v>50299.76584</v>
      </c>
      <c r="F186" s="810"/>
      <c r="G186" s="810"/>
      <c r="H186" s="810">
        <f>+E186*C186</f>
        <v>125749.4146</v>
      </c>
      <c r="I186" s="810"/>
    </row>
    <row r="187" spans="1:9" s="492" customFormat="1" ht="14.4">
      <c r="A187" s="809"/>
      <c r="B187" s="811" t="s">
        <v>5317</v>
      </c>
      <c r="C187" s="814">
        <v>1</v>
      </c>
      <c r="D187" s="9" t="s">
        <v>583</v>
      </c>
      <c r="E187" s="810">
        <v>80000</v>
      </c>
      <c r="F187" s="810">
        <f>+E187*C187</f>
        <v>80000</v>
      </c>
      <c r="G187" s="810"/>
      <c r="H187" s="810"/>
      <c r="I187" s="810"/>
    </row>
    <row r="188" spans="1:9" s="492" customFormat="1" ht="14.4">
      <c r="A188" s="1424" t="s">
        <v>190</v>
      </c>
      <c r="B188" s="813">
        <f>SUM(F188:I188)</f>
        <v>549059.836259</v>
      </c>
      <c r="C188" s="814"/>
      <c r="D188" s="9"/>
      <c r="E188" s="810"/>
      <c r="F188" s="810">
        <f>+SUM(F183:F187)</f>
        <v>80000</v>
      </c>
      <c r="G188" s="810">
        <f>+SUM(G183:G186)</f>
        <v>0</v>
      </c>
      <c r="H188" s="810">
        <f>+SUM(H183:H186)</f>
        <v>446723.65358000004</v>
      </c>
      <c r="I188" s="810">
        <f>+SUM(I183:I186)</f>
        <v>22336.182679000005</v>
      </c>
    </row>
    <row r="189" spans="1:9" s="492" customFormat="1" ht="14.4">
      <c r="A189" s="1424" t="s">
        <v>191</v>
      </c>
      <c r="B189" s="813">
        <f>+B188</f>
        <v>549059.836259</v>
      </c>
      <c r="C189" s="815" t="s">
        <v>133</v>
      </c>
      <c r="D189" s="816"/>
      <c r="E189" s="817"/>
      <c r="F189" s="817"/>
      <c r="G189" s="817"/>
      <c r="H189" s="817"/>
      <c r="I189" s="817"/>
    </row>
    <row r="190" spans="1:9" s="492" customFormat="1" ht="14.4">
      <c r="A190" s="1425"/>
      <c r="B190" s="1425"/>
      <c r="C190" s="1425"/>
      <c r="D190" s="1425"/>
      <c r="E190" s="1425"/>
      <c r="F190" s="1425"/>
      <c r="G190" s="1425"/>
      <c r="H190" s="1425"/>
      <c r="I190" s="1425"/>
    </row>
    <row r="191" spans="1:9" s="492" customFormat="1" ht="14.4">
      <c r="A191" s="1342" t="s">
        <v>1451</v>
      </c>
      <c r="B191" s="3552" t="s">
        <v>5252</v>
      </c>
      <c r="C191" s="3553"/>
      <c r="D191" s="3553"/>
      <c r="E191" s="3553"/>
      <c r="F191" s="3553"/>
      <c r="G191" s="3553"/>
      <c r="H191" s="3553"/>
      <c r="I191" s="3554"/>
    </row>
    <row r="192" spans="1:9" s="492" customFormat="1" ht="16.8">
      <c r="A192" s="809"/>
      <c r="B192" s="807"/>
      <c r="C192" s="808" t="s">
        <v>140</v>
      </c>
      <c r="D192" s="11" t="s">
        <v>343</v>
      </c>
      <c r="E192" s="33" t="s">
        <v>344</v>
      </c>
      <c r="F192" s="33" t="s">
        <v>482</v>
      </c>
      <c r="G192" s="33" t="s">
        <v>483</v>
      </c>
      <c r="H192" s="585" t="s">
        <v>232</v>
      </c>
      <c r="I192" s="33" t="s">
        <v>171</v>
      </c>
    </row>
    <row r="193" spans="1:9" s="492" customFormat="1" ht="14.4">
      <c r="A193" s="809"/>
      <c r="B193" s="1433" t="s">
        <v>5311</v>
      </c>
      <c r="C193" s="814">
        <v>1</v>
      </c>
      <c r="D193" s="11" t="s">
        <v>363</v>
      </c>
      <c r="E193" s="1437">
        <v>230000</v>
      </c>
      <c r="F193" s="33"/>
      <c r="G193" s="33">
        <f>+E193*C193</f>
        <v>230000</v>
      </c>
      <c r="H193" s="33"/>
      <c r="I193" s="33"/>
    </row>
    <row r="194" spans="1:9" s="492" customFormat="1" ht="14.4">
      <c r="A194" s="809"/>
      <c r="B194" s="1433" t="s">
        <v>5312</v>
      </c>
      <c r="C194" s="814">
        <v>15</v>
      </c>
      <c r="D194" s="11" t="s">
        <v>363</v>
      </c>
      <c r="E194" s="1437">
        <v>14000</v>
      </c>
      <c r="F194" s="33"/>
      <c r="G194" s="33">
        <f>+E194*C194</f>
        <v>210000</v>
      </c>
      <c r="H194" s="33"/>
      <c r="I194" s="33"/>
    </row>
    <row r="195" spans="1:9" s="492" customFormat="1" ht="14.4">
      <c r="A195" s="809"/>
      <c r="B195" s="1433" t="s">
        <v>5313</v>
      </c>
      <c r="C195" s="814">
        <v>2</v>
      </c>
      <c r="D195" s="11" t="s">
        <v>363</v>
      </c>
      <c r="E195" s="1437">
        <v>30000</v>
      </c>
      <c r="F195" s="33"/>
      <c r="G195" s="33">
        <f>+E195*C195</f>
        <v>60000</v>
      </c>
      <c r="H195" s="33"/>
      <c r="I195" s="33"/>
    </row>
    <row r="196" spans="1:9" s="492" customFormat="1" ht="14.4">
      <c r="A196" s="809"/>
      <c r="B196" s="1433" t="s">
        <v>5314</v>
      </c>
      <c r="C196" s="814">
        <v>1</v>
      </c>
      <c r="D196" s="11" t="s">
        <v>363</v>
      </c>
      <c r="E196" s="1437">
        <v>130000</v>
      </c>
      <c r="F196" s="810"/>
      <c r="G196" s="810">
        <f>+E196*C196</f>
        <v>130000</v>
      </c>
      <c r="H196" s="810"/>
      <c r="I196" s="810"/>
    </row>
    <row r="197" spans="1:9" s="492" customFormat="1" ht="14.4">
      <c r="A197" s="809"/>
      <c r="B197" s="1433" t="s">
        <v>5315</v>
      </c>
      <c r="C197" s="814">
        <v>1</v>
      </c>
      <c r="D197" s="9" t="s">
        <v>772</v>
      </c>
      <c r="E197" s="1437">
        <v>50000</v>
      </c>
      <c r="F197" s="810"/>
      <c r="G197" s="810">
        <f>+E197*C197</f>
        <v>50000</v>
      </c>
      <c r="H197" s="810"/>
      <c r="I197" s="810"/>
    </row>
    <row r="198" spans="1:9" s="492" customFormat="1" ht="14.4">
      <c r="A198" s="809"/>
      <c r="B198" s="1433" t="s">
        <v>5316</v>
      </c>
      <c r="C198" s="814">
        <v>1</v>
      </c>
      <c r="D198" s="9" t="s">
        <v>772</v>
      </c>
      <c r="E198" s="810">
        <v>50000</v>
      </c>
      <c r="F198" s="810"/>
      <c r="G198" s="1425"/>
      <c r="H198" s="810"/>
      <c r="I198" s="1425">
        <f>+E198*C198</f>
        <v>50000</v>
      </c>
    </row>
    <row r="199" spans="1:9" s="492" customFormat="1" ht="14.4">
      <c r="A199" s="1424" t="s">
        <v>190</v>
      </c>
      <c r="B199" s="813">
        <f>SUM(F199:I199)</f>
        <v>730000</v>
      </c>
      <c r="C199" s="814"/>
      <c r="D199" s="9"/>
      <c r="E199" s="810"/>
      <c r="F199" s="810">
        <f>+SUM(F193:F198)</f>
        <v>0</v>
      </c>
      <c r="G199" s="810">
        <f>+SUM(G193:G198)</f>
        <v>680000</v>
      </c>
      <c r="H199" s="810">
        <f>+SUM(H193:H198)</f>
        <v>0</v>
      </c>
      <c r="I199" s="810">
        <f>+SUM(I193:I198)</f>
        <v>50000</v>
      </c>
    </row>
    <row r="200" spans="1:9" s="492" customFormat="1" ht="14.4">
      <c r="A200" s="1424" t="s">
        <v>191</v>
      </c>
      <c r="B200" s="813">
        <f>+B199</f>
        <v>730000</v>
      </c>
      <c r="C200" s="815" t="s">
        <v>133</v>
      </c>
      <c r="D200" s="816"/>
      <c r="E200" s="817"/>
      <c r="F200" s="817"/>
      <c r="G200" s="817"/>
      <c r="H200" s="817"/>
      <c r="I200" s="817"/>
    </row>
    <row r="201" spans="1:9" s="492" customFormat="1" ht="14.4">
      <c r="A201" s="1425"/>
      <c r="B201" s="1425"/>
      <c r="C201" s="1425"/>
      <c r="D201" s="1425"/>
      <c r="E201" s="1425"/>
      <c r="F201" s="1425"/>
      <c r="G201" s="1425"/>
      <c r="H201" s="1425"/>
      <c r="I201" s="1425"/>
    </row>
    <row r="202" spans="1:9" s="492" customFormat="1" ht="14.4">
      <c r="A202" s="1342" t="s">
        <v>5197</v>
      </c>
      <c r="B202" s="3552" t="s">
        <v>5309</v>
      </c>
      <c r="C202" s="3553"/>
      <c r="D202" s="3553"/>
      <c r="E202" s="3553"/>
      <c r="F202" s="3553"/>
      <c r="G202" s="3553"/>
      <c r="H202" s="3553"/>
      <c r="I202" s="3554"/>
    </row>
    <row r="203" spans="1:9" s="492" customFormat="1" ht="16.8">
      <c r="A203" s="809"/>
      <c r="B203" s="807"/>
      <c r="C203" s="808" t="s">
        <v>140</v>
      </c>
      <c r="D203" s="11" t="s">
        <v>343</v>
      </c>
      <c r="E203" s="33" t="s">
        <v>344</v>
      </c>
      <c r="F203" s="33" t="s">
        <v>482</v>
      </c>
      <c r="G203" s="33" t="s">
        <v>483</v>
      </c>
      <c r="H203" s="585" t="s">
        <v>232</v>
      </c>
      <c r="I203" s="33" t="s">
        <v>171</v>
      </c>
    </row>
    <row r="204" spans="1:9" s="492" customFormat="1" ht="14.4">
      <c r="A204" s="809" t="s">
        <v>172</v>
      </c>
      <c r="B204" s="807" t="s">
        <v>189</v>
      </c>
      <c r="C204" s="814">
        <v>1</v>
      </c>
      <c r="D204" s="9" t="s">
        <v>583</v>
      </c>
      <c r="E204" s="810">
        <f>+H207*0.05</f>
        <v>1002.1411845714285</v>
      </c>
      <c r="F204" s="810"/>
      <c r="G204" s="810"/>
      <c r="H204" s="810"/>
      <c r="I204" s="810">
        <f>+E204*C204</f>
        <v>1002.1411845714285</v>
      </c>
    </row>
    <row r="205" spans="1:9" s="492" customFormat="1" ht="14.4">
      <c r="A205" s="809" t="s">
        <v>348</v>
      </c>
      <c r="B205" s="807" t="str">
        <f>IF(PRESTA&gt;0,"AYUD. RASO (INCLUYE "&amp;""&amp;PRESTA*100&amp;"% PRESTACIONES)",0)</f>
        <v>AYUD. RASO (INCLUYE 82,22% PRESTACIONES)</v>
      </c>
      <c r="C205" s="814">
        <f>1/7</f>
        <v>0.14285714285714285</v>
      </c>
      <c r="D205" s="9" t="s">
        <v>346</v>
      </c>
      <c r="E205" s="810">
        <f>+AYUDR</f>
        <v>50299.76584</v>
      </c>
      <c r="F205" s="810"/>
      <c r="G205" s="810"/>
      <c r="H205" s="810">
        <f>+E205*C205</f>
        <v>7185.6808342857139</v>
      </c>
      <c r="I205" s="810"/>
    </row>
    <row r="206" spans="1:9" s="492" customFormat="1" ht="14.4">
      <c r="A206" s="809"/>
      <c r="B206" s="811" t="s">
        <v>5104</v>
      </c>
      <c r="C206" s="814">
        <f>1/7</f>
        <v>0.14285714285714285</v>
      </c>
      <c r="D206" s="9" t="s">
        <v>717</v>
      </c>
      <c r="E206" s="810">
        <v>90000</v>
      </c>
      <c r="F206" s="810"/>
      <c r="G206" s="810"/>
      <c r="H206" s="810">
        <f>+E206*C206</f>
        <v>12857.142857142857</v>
      </c>
      <c r="I206" s="810"/>
    </row>
    <row r="207" spans="1:9" s="492" customFormat="1" ht="14.4">
      <c r="A207" s="1424" t="s">
        <v>190</v>
      </c>
      <c r="B207" s="813">
        <f>SUM(F207:I207)</f>
        <v>21044.964875999998</v>
      </c>
      <c r="C207" s="814"/>
      <c r="D207" s="9"/>
      <c r="E207" s="810"/>
      <c r="F207" s="810">
        <f>+SUM(F204:F206)</f>
        <v>0</v>
      </c>
      <c r="G207" s="810">
        <f>+SUM(G204:G206)</f>
        <v>0</v>
      </c>
      <c r="H207" s="810">
        <f>+SUM(H204:H206)</f>
        <v>20042.82369142857</v>
      </c>
      <c r="I207" s="810">
        <f>+SUM(I204:I206)</f>
        <v>1002.1411845714285</v>
      </c>
    </row>
    <row r="208" spans="1:9" s="492" customFormat="1" ht="14.4">
      <c r="A208" s="1424" t="s">
        <v>191</v>
      </c>
      <c r="B208" s="813">
        <f>+B207</f>
        <v>21044.964875999998</v>
      </c>
      <c r="C208" s="815" t="s">
        <v>45</v>
      </c>
      <c r="D208" s="816"/>
      <c r="E208" s="817"/>
      <c r="F208" s="817"/>
      <c r="G208" s="817"/>
      <c r="H208" s="817"/>
      <c r="I208" s="817"/>
    </row>
    <row r="209" spans="1:9" s="492" customFormat="1" ht="14.4">
      <c r="A209" s="1425"/>
      <c r="B209" s="1425"/>
      <c r="C209" s="1425"/>
      <c r="D209" s="1425"/>
      <c r="E209" s="1425"/>
      <c r="F209" s="1425"/>
      <c r="G209" s="1425"/>
      <c r="H209" s="1425"/>
      <c r="I209" s="1425"/>
    </row>
    <row r="210" spans="1:9" s="492" customFormat="1" ht="14.4">
      <c r="A210" s="1342" t="s">
        <v>5197</v>
      </c>
      <c r="B210" s="3552" t="s">
        <v>5310</v>
      </c>
      <c r="C210" s="3553"/>
      <c r="D210" s="3553"/>
      <c r="E210" s="3553"/>
      <c r="F210" s="3553"/>
      <c r="G210" s="3553"/>
      <c r="H210" s="3553"/>
      <c r="I210" s="3554"/>
    </row>
    <row r="211" spans="1:9" s="492" customFormat="1" ht="16.8">
      <c r="A211" s="809"/>
      <c r="B211" s="807"/>
      <c r="C211" s="808" t="s">
        <v>140</v>
      </c>
      <c r="D211" s="11" t="s">
        <v>343</v>
      </c>
      <c r="E211" s="33" t="s">
        <v>344</v>
      </c>
      <c r="F211" s="33" t="s">
        <v>482</v>
      </c>
      <c r="G211" s="33" t="s">
        <v>483</v>
      </c>
      <c r="H211" s="585" t="s">
        <v>232</v>
      </c>
      <c r="I211" s="33" t="s">
        <v>171</v>
      </c>
    </row>
    <row r="212" spans="1:9" s="492" customFormat="1" ht="14.4">
      <c r="A212" s="809"/>
      <c r="B212" s="1433" t="s">
        <v>5298</v>
      </c>
      <c r="C212" s="808">
        <v>4</v>
      </c>
      <c r="D212" s="11" t="s">
        <v>45</v>
      </c>
      <c r="E212" s="33">
        <v>39000</v>
      </c>
      <c r="F212" s="33"/>
      <c r="G212" s="33">
        <f>+E212*C212</f>
        <v>156000</v>
      </c>
      <c r="H212" s="33"/>
      <c r="I212" s="33"/>
    </row>
    <row r="213" spans="1:9" s="492" customFormat="1" ht="14.4">
      <c r="A213" s="809"/>
      <c r="B213" s="1433" t="s">
        <v>5299</v>
      </c>
      <c r="C213" s="814">
        <v>1</v>
      </c>
      <c r="D213" s="9" t="s">
        <v>133</v>
      </c>
      <c r="E213" s="810">
        <v>12000</v>
      </c>
      <c r="F213" s="810"/>
      <c r="G213" s="810">
        <f>+E213*C213</f>
        <v>12000</v>
      </c>
      <c r="H213" s="810"/>
      <c r="I213" s="810"/>
    </row>
    <row r="214" spans="1:9" s="492" customFormat="1" ht="14.4">
      <c r="A214" s="809"/>
      <c r="B214" s="1433" t="s">
        <v>5117</v>
      </c>
      <c r="C214" s="814">
        <v>1</v>
      </c>
      <c r="D214" s="9" t="s">
        <v>772</v>
      </c>
      <c r="E214" s="810">
        <v>1000</v>
      </c>
      <c r="F214" s="810"/>
      <c r="G214" s="1425"/>
      <c r="H214" s="810"/>
      <c r="I214" s="810">
        <f>+E214*C214</f>
        <v>1000</v>
      </c>
    </row>
    <row r="215" spans="1:9" s="492" customFormat="1" ht="14.4">
      <c r="A215" s="1424" t="s">
        <v>190</v>
      </c>
      <c r="B215" s="813">
        <f>SUM(F215:I215)</f>
        <v>169000</v>
      </c>
      <c r="C215" s="814"/>
      <c r="D215" s="9"/>
      <c r="E215" s="810"/>
      <c r="F215" s="810">
        <f>+SUM(F213:F213)</f>
        <v>0</v>
      </c>
      <c r="G215" s="810">
        <f>+SUM(G212:G214)</f>
        <v>168000</v>
      </c>
      <c r="H215" s="810">
        <f>+SUM(H213:H213)</f>
        <v>0</v>
      </c>
      <c r="I215" s="810">
        <f>+SUM(I213:I214)</f>
        <v>1000</v>
      </c>
    </row>
    <row r="216" spans="1:9" s="492" customFormat="1" ht="14.4">
      <c r="A216" s="1424" t="s">
        <v>191</v>
      </c>
      <c r="B216" s="813">
        <f>+B215</f>
        <v>169000</v>
      </c>
      <c r="C216" s="815" t="s">
        <v>45</v>
      </c>
      <c r="D216" s="816"/>
      <c r="E216" s="817"/>
      <c r="F216" s="817"/>
      <c r="G216" s="817"/>
      <c r="H216" s="817"/>
      <c r="I216" s="817"/>
    </row>
    <row r="217" spans="1:9" s="492" customFormat="1" ht="14.4">
      <c r="A217" s="1425"/>
      <c r="B217" s="1425"/>
      <c r="C217" s="1425"/>
      <c r="D217" s="1425"/>
      <c r="E217" s="1425"/>
      <c r="F217" s="1425"/>
      <c r="G217" s="1425"/>
      <c r="H217" s="1425"/>
      <c r="I217" s="1425"/>
    </row>
    <row r="218" spans="1:9" s="492" customFormat="1" ht="14.4">
      <c r="A218" s="1342" t="s">
        <v>5199</v>
      </c>
      <c r="B218" s="3552" t="s">
        <v>5302</v>
      </c>
      <c r="C218" s="3553"/>
      <c r="D218" s="3553"/>
      <c r="E218" s="3553"/>
      <c r="F218" s="3553"/>
      <c r="G218" s="3553"/>
      <c r="H218" s="3553"/>
      <c r="I218" s="3554"/>
    </row>
    <row r="219" spans="1:9" s="492" customFormat="1" ht="16.8">
      <c r="A219" s="809"/>
      <c r="B219" s="807"/>
      <c r="C219" s="808" t="s">
        <v>140</v>
      </c>
      <c r="D219" s="11" t="s">
        <v>343</v>
      </c>
      <c r="E219" s="33" t="s">
        <v>344</v>
      </c>
      <c r="F219" s="33" t="s">
        <v>482</v>
      </c>
      <c r="G219" s="33" t="s">
        <v>483</v>
      </c>
      <c r="H219" s="585" t="s">
        <v>232</v>
      </c>
      <c r="I219" s="33" t="s">
        <v>171</v>
      </c>
    </row>
    <row r="220" spans="1:9" s="492" customFormat="1" ht="14.4">
      <c r="A220" s="809" t="s">
        <v>172</v>
      </c>
      <c r="B220" s="807" t="s">
        <v>189</v>
      </c>
      <c r="C220" s="814">
        <v>1</v>
      </c>
      <c r="D220" s="9" t="s">
        <v>583</v>
      </c>
      <c r="E220" s="810">
        <f>+H223*0.05</f>
        <v>116916.47153333333</v>
      </c>
      <c r="F220" s="810"/>
      <c r="G220" s="810"/>
      <c r="H220" s="810"/>
      <c r="I220" s="810">
        <f>+E220*C220</f>
        <v>116916.47153333333</v>
      </c>
    </row>
    <row r="221" spans="1:9" s="492" customFormat="1" ht="14.4">
      <c r="A221" s="809" t="s">
        <v>348</v>
      </c>
      <c r="B221" s="807" t="str">
        <f>IF(PRESTA&gt;0,"AYUD. RASO (INCLUYE "&amp;""&amp;PRESTA*100&amp;"% PRESTACIONES)",0)</f>
        <v>AYUD. RASO (INCLUYE 82,22% PRESTACIONES)</v>
      </c>
      <c r="C221" s="814">
        <f>1/0.06</f>
        <v>16.666666666666668</v>
      </c>
      <c r="D221" s="9" t="s">
        <v>346</v>
      </c>
      <c r="E221" s="810">
        <f>+AYUDR</f>
        <v>50299.76584</v>
      </c>
      <c r="F221" s="810"/>
      <c r="G221" s="810"/>
      <c r="H221" s="810">
        <f>+E221*C221</f>
        <v>838329.43066666671</v>
      </c>
      <c r="I221" s="810"/>
    </row>
    <row r="222" spans="1:9" s="492" customFormat="1" ht="14.4">
      <c r="A222" s="809"/>
      <c r="B222" s="811" t="s">
        <v>5104</v>
      </c>
      <c r="C222" s="814">
        <f>1/0.06</f>
        <v>16.666666666666668</v>
      </c>
      <c r="D222" s="9" t="s">
        <v>717</v>
      </c>
      <c r="E222" s="810">
        <v>90000</v>
      </c>
      <c r="F222" s="810"/>
      <c r="G222" s="810"/>
      <c r="H222" s="810">
        <f>+E222*C222</f>
        <v>1500000</v>
      </c>
      <c r="I222" s="810"/>
    </row>
    <row r="223" spans="1:9" s="492" customFormat="1" ht="14.4">
      <c r="A223" s="1424" t="s">
        <v>190</v>
      </c>
      <c r="B223" s="813">
        <f>SUM(F223:I223)</f>
        <v>2455245.9021999999</v>
      </c>
      <c r="C223" s="814"/>
      <c r="D223" s="9"/>
      <c r="E223" s="810"/>
      <c r="F223" s="810">
        <f>+SUM(F220:F222)</f>
        <v>0</v>
      </c>
      <c r="G223" s="810">
        <f>+SUM(G220:G222)</f>
        <v>0</v>
      </c>
      <c r="H223" s="810">
        <f>+SUM(H220:H222)</f>
        <v>2338329.4306666665</v>
      </c>
      <c r="I223" s="810">
        <f>+SUM(I220:I222)</f>
        <v>116916.47153333333</v>
      </c>
    </row>
    <row r="224" spans="1:9" s="492" customFormat="1" ht="14.4">
      <c r="A224" s="1424" t="s">
        <v>191</v>
      </c>
      <c r="B224" s="813">
        <f>+B223</f>
        <v>2455245.9021999999</v>
      </c>
      <c r="C224" s="815" t="s">
        <v>133</v>
      </c>
      <c r="D224" s="816"/>
      <c r="E224" s="817"/>
      <c r="F224" s="817"/>
      <c r="G224" s="817"/>
      <c r="H224" s="817"/>
      <c r="I224" s="817"/>
    </row>
    <row r="225" spans="1:9" s="492" customFormat="1" ht="14.4">
      <c r="A225" s="1425"/>
      <c r="B225" s="1425"/>
      <c r="C225" s="1425"/>
      <c r="D225" s="1425"/>
      <c r="E225" s="1425"/>
      <c r="F225" s="1425"/>
      <c r="G225" s="1425"/>
      <c r="H225" s="1425"/>
      <c r="I225" s="1425"/>
    </row>
    <row r="226" spans="1:9" s="492" customFormat="1" ht="14.4">
      <c r="A226" s="1342" t="s">
        <v>5199</v>
      </c>
      <c r="B226" s="3552" t="s">
        <v>5303</v>
      </c>
      <c r="C226" s="3553"/>
      <c r="D226" s="3553"/>
      <c r="E226" s="3553"/>
      <c r="F226" s="3553"/>
      <c r="G226" s="3553"/>
      <c r="H226" s="3553"/>
      <c r="I226" s="3554"/>
    </row>
    <row r="227" spans="1:9" s="492" customFormat="1" ht="16.8">
      <c r="A227" s="809"/>
      <c r="B227" s="807"/>
      <c r="C227" s="808" t="s">
        <v>140</v>
      </c>
      <c r="D227" s="11" t="s">
        <v>343</v>
      </c>
      <c r="E227" s="33" t="s">
        <v>344</v>
      </c>
      <c r="F227" s="33" t="s">
        <v>482</v>
      </c>
      <c r="G227" s="33" t="s">
        <v>483</v>
      </c>
      <c r="H227" s="585" t="s">
        <v>232</v>
      </c>
      <c r="I227" s="33" t="s">
        <v>171</v>
      </c>
    </row>
    <row r="228" spans="1:9" s="492" customFormat="1" ht="51.75" customHeight="1">
      <c r="A228" s="809"/>
      <c r="B228" s="1432" t="s">
        <v>5304</v>
      </c>
      <c r="C228" s="808">
        <v>1</v>
      </c>
      <c r="D228" s="1434" t="s">
        <v>133</v>
      </c>
      <c r="E228" s="1435">
        <v>1400000</v>
      </c>
      <c r="F228" s="1435"/>
      <c r="G228" s="1435">
        <f t="shared" ref="G228:G234" si="4">+E228*C228</f>
        <v>1400000</v>
      </c>
      <c r="H228" s="33"/>
      <c r="I228" s="33"/>
    </row>
    <row r="229" spans="1:9" s="492" customFormat="1" ht="64.5" customHeight="1">
      <c r="A229" s="809"/>
      <c r="B229" s="1432" t="s">
        <v>5305</v>
      </c>
      <c r="C229" s="814">
        <v>1</v>
      </c>
      <c r="D229" s="876" t="s">
        <v>133</v>
      </c>
      <c r="E229" s="1436">
        <v>7400000</v>
      </c>
      <c r="F229" s="1436"/>
      <c r="G229" s="1435">
        <f t="shared" si="4"/>
        <v>7400000</v>
      </c>
      <c r="H229" s="810"/>
      <c r="I229" s="810"/>
    </row>
    <row r="230" spans="1:9" s="492" customFormat="1" ht="15" customHeight="1">
      <c r="A230" s="809"/>
      <c r="B230" s="1433" t="s">
        <v>5272</v>
      </c>
      <c r="C230" s="814">
        <v>1</v>
      </c>
      <c r="D230" s="9" t="s">
        <v>133</v>
      </c>
      <c r="E230" s="810">
        <v>2300000</v>
      </c>
      <c r="F230" s="810"/>
      <c r="G230" s="1435">
        <f t="shared" si="4"/>
        <v>2300000</v>
      </c>
      <c r="H230" s="810"/>
      <c r="I230" s="810"/>
    </row>
    <row r="231" spans="1:9" s="492" customFormat="1" ht="15" customHeight="1">
      <c r="A231" s="809"/>
      <c r="B231" s="1433" t="s">
        <v>5306</v>
      </c>
      <c r="C231" s="814">
        <v>1</v>
      </c>
      <c r="D231" s="9" t="s">
        <v>133</v>
      </c>
      <c r="E231" s="810">
        <v>230000</v>
      </c>
      <c r="F231" s="810"/>
      <c r="G231" s="1435">
        <f t="shared" si="4"/>
        <v>230000</v>
      </c>
      <c r="H231" s="810"/>
      <c r="I231" s="810"/>
    </row>
    <row r="232" spans="1:9" s="492" customFormat="1" ht="15" customHeight="1">
      <c r="A232" s="809"/>
      <c r="B232" s="1433" t="s">
        <v>5307</v>
      </c>
      <c r="C232" s="814">
        <v>1</v>
      </c>
      <c r="D232" s="9" t="s">
        <v>133</v>
      </c>
      <c r="E232" s="810">
        <v>230000</v>
      </c>
      <c r="F232" s="810"/>
      <c r="G232" s="1435">
        <f t="shared" si="4"/>
        <v>230000</v>
      </c>
      <c r="H232" s="810"/>
      <c r="I232" s="810"/>
    </row>
    <row r="233" spans="1:9" s="492" customFormat="1" ht="15" customHeight="1">
      <c r="A233" s="809"/>
      <c r="B233" s="1433" t="s">
        <v>5308</v>
      </c>
      <c r="C233" s="814">
        <v>1</v>
      </c>
      <c r="D233" s="9" t="s">
        <v>133</v>
      </c>
      <c r="E233" s="810">
        <v>5800000</v>
      </c>
      <c r="F233" s="810"/>
      <c r="G233" s="1435">
        <f t="shared" si="4"/>
        <v>5800000</v>
      </c>
      <c r="H233" s="810"/>
      <c r="I233" s="810"/>
    </row>
    <row r="234" spans="1:9" s="492" customFormat="1" ht="14.4">
      <c r="A234" s="809"/>
      <c r="B234" s="807" t="s">
        <v>5117</v>
      </c>
      <c r="C234" s="814">
        <v>1</v>
      </c>
      <c r="D234" s="9" t="s">
        <v>772</v>
      </c>
      <c r="E234" s="810">
        <v>1000</v>
      </c>
      <c r="F234" s="810"/>
      <c r="G234" s="1435">
        <f t="shared" si="4"/>
        <v>1000</v>
      </c>
      <c r="H234" s="810"/>
      <c r="I234" s="810">
        <f>+E234*C234</f>
        <v>1000</v>
      </c>
    </row>
    <row r="235" spans="1:9" s="492" customFormat="1" ht="14.4">
      <c r="A235" s="1424" t="s">
        <v>190</v>
      </c>
      <c r="B235" s="813">
        <f>SUM(F235:I235)</f>
        <v>17362000</v>
      </c>
      <c r="C235" s="814"/>
      <c r="D235" s="9"/>
      <c r="E235" s="810"/>
      <c r="F235" s="810">
        <f>+SUM(F229:F229)</f>
        <v>0</v>
      </c>
      <c r="G235" s="810">
        <f>+SUM(G228:G234)</f>
        <v>17361000</v>
      </c>
      <c r="H235" s="810">
        <f>+SUM(H229:H229)</f>
        <v>0</v>
      </c>
      <c r="I235" s="810">
        <f>+SUM(I229:I234)</f>
        <v>1000</v>
      </c>
    </row>
    <row r="236" spans="1:9" s="492" customFormat="1" ht="14.4">
      <c r="A236" s="1424" t="s">
        <v>191</v>
      </c>
      <c r="B236" s="813">
        <f>+B235</f>
        <v>17362000</v>
      </c>
      <c r="C236" s="815" t="s">
        <v>133</v>
      </c>
      <c r="D236" s="816"/>
      <c r="E236" s="817"/>
      <c r="F236" s="817"/>
      <c r="G236" s="817"/>
      <c r="H236" s="817"/>
      <c r="I236" s="817"/>
    </row>
    <row r="237" spans="1:9" s="492" customFormat="1" ht="14.4">
      <c r="A237" s="1425"/>
      <c r="B237" s="1425"/>
      <c r="C237" s="1425"/>
      <c r="D237" s="1425"/>
      <c r="E237" s="1425"/>
      <c r="F237" s="1425"/>
      <c r="G237" s="1425"/>
      <c r="H237" s="1425"/>
      <c r="I237" s="1425"/>
    </row>
    <row r="238" spans="1:9" s="492" customFormat="1" ht="14.4">
      <c r="A238" s="1342" t="s">
        <v>5201</v>
      </c>
      <c r="B238" s="3552" t="s">
        <v>5300</v>
      </c>
      <c r="C238" s="3553"/>
      <c r="D238" s="3553"/>
      <c r="E238" s="3553"/>
      <c r="F238" s="3553"/>
      <c r="G238" s="3553"/>
      <c r="H238" s="3553"/>
      <c r="I238" s="3554"/>
    </row>
    <row r="239" spans="1:9" s="492" customFormat="1" ht="16.8">
      <c r="A239" s="809"/>
      <c r="B239" s="807"/>
      <c r="C239" s="808" t="s">
        <v>140</v>
      </c>
      <c r="D239" s="11" t="s">
        <v>343</v>
      </c>
      <c r="E239" s="33" t="s">
        <v>344</v>
      </c>
      <c r="F239" s="33" t="s">
        <v>482</v>
      </c>
      <c r="G239" s="33" t="s">
        <v>483</v>
      </c>
      <c r="H239" s="585" t="s">
        <v>232</v>
      </c>
      <c r="I239" s="33" t="s">
        <v>171</v>
      </c>
    </row>
    <row r="240" spans="1:9" s="492" customFormat="1" ht="14.4">
      <c r="A240" s="809" t="s">
        <v>172</v>
      </c>
      <c r="B240" s="807" t="s">
        <v>189</v>
      </c>
      <c r="C240" s="814">
        <v>1</v>
      </c>
      <c r="D240" s="9" t="s">
        <v>583</v>
      </c>
      <c r="E240" s="810">
        <f>+H243*0.05</f>
        <v>1002.1411845714285</v>
      </c>
      <c r="F240" s="810"/>
      <c r="G240" s="810"/>
      <c r="H240" s="810"/>
      <c r="I240" s="810">
        <f>+E240*C240</f>
        <v>1002.1411845714285</v>
      </c>
    </row>
    <row r="241" spans="1:9" s="492" customFormat="1" ht="14.4">
      <c r="A241" s="809" t="s">
        <v>348</v>
      </c>
      <c r="B241" s="807" t="str">
        <f>IF(PRESTA&gt;0,"AYUD. RASO (INCLUYE "&amp;""&amp;PRESTA*100&amp;"% PRESTACIONES)",0)</f>
        <v>AYUD. RASO (INCLUYE 82,22% PRESTACIONES)</v>
      </c>
      <c r="C241" s="814">
        <f>1/7</f>
        <v>0.14285714285714285</v>
      </c>
      <c r="D241" s="9" t="s">
        <v>346</v>
      </c>
      <c r="E241" s="810">
        <f>+AYUDR</f>
        <v>50299.76584</v>
      </c>
      <c r="F241" s="810"/>
      <c r="G241" s="810"/>
      <c r="H241" s="810">
        <f>+E241*C241</f>
        <v>7185.6808342857139</v>
      </c>
      <c r="I241" s="810"/>
    </row>
    <row r="242" spans="1:9" s="492" customFormat="1" ht="14.4">
      <c r="A242" s="809"/>
      <c r="B242" s="811" t="s">
        <v>5104</v>
      </c>
      <c r="C242" s="814">
        <f>1/7</f>
        <v>0.14285714285714285</v>
      </c>
      <c r="D242" s="9" t="s">
        <v>717</v>
      </c>
      <c r="E242" s="810">
        <v>90000</v>
      </c>
      <c r="F242" s="810"/>
      <c r="G242" s="810"/>
      <c r="H242" s="810">
        <f>+E242*C242</f>
        <v>12857.142857142857</v>
      </c>
      <c r="I242" s="810"/>
    </row>
    <row r="243" spans="1:9" s="492" customFormat="1" ht="14.4">
      <c r="A243" s="1424" t="s">
        <v>190</v>
      </c>
      <c r="B243" s="813">
        <f>SUM(F243:I243)</f>
        <v>21044.964875999998</v>
      </c>
      <c r="C243" s="814"/>
      <c r="D243" s="9"/>
      <c r="E243" s="810"/>
      <c r="F243" s="810">
        <f>+SUM(F240:F242)</f>
        <v>0</v>
      </c>
      <c r="G243" s="810">
        <f>+SUM(G240:G242)</f>
        <v>0</v>
      </c>
      <c r="H243" s="810">
        <f>+SUM(H240:H242)</f>
        <v>20042.82369142857</v>
      </c>
      <c r="I243" s="810">
        <f>+SUM(I240:I242)</f>
        <v>1002.1411845714285</v>
      </c>
    </row>
    <row r="244" spans="1:9" s="492" customFormat="1" ht="14.4">
      <c r="A244" s="1424" t="s">
        <v>191</v>
      </c>
      <c r="B244" s="813">
        <f>+B243</f>
        <v>21044.964875999998</v>
      </c>
      <c r="C244" s="815" t="s">
        <v>45</v>
      </c>
      <c r="D244" s="816"/>
      <c r="E244" s="817"/>
      <c r="F244" s="817"/>
      <c r="G244" s="817"/>
      <c r="H244" s="817"/>
      <c r="I244" s="817"/>
    </row>
    <row r="245" spans="1:9" s="492" customFormat="1" ht="14.4">
      <c r="A245" s="1425"/>
      <c r="B245" s="1425"/>
      <c r="C245" s="1425"/>
      <c r="D245" s="1425"/>
      <c r="E245" s="1425"/>
      <c r="F245" s="1425"/>
      <c r="G245" s="1425"/>
      <c r="H245" s="1425"/>
      <c r="I245" s="1425"/>
    </row>
    <row r="246" spans="1:9" s="492" customFormat="1" ht="14.4">
      <c r="A246" s="1342" t="s">
        <v>5201</v>
      </c>
      <c r="B246" s="3552" t="s">
        <v>5301</v>
      </c>
      <c r="C246" s="3553"/>
      <c r="D246" s="3553"/>
      <c r="E246" s="3553"/>
      <c r="F246" s="3553"/>
      <c r="G246" s="3553"/>
      <c r="H246" s="3553"/>
      <c r="I246" s="3554"/>
    </row>
    <row r="247" spans="1:9" s="492" customFormat="1" ht="16.8">
      <c r="A247" s="809"/>
      <c r="B247" s="807"/>
      <c r="C247" s="808" t="s">
        <v>140</v>
      </c>
      <c r="D247" s="11" t="s">
        <v>343</v>
      </c>
      <c r="E247" s="33" t="s">
        <v>344</v>
      </c>
      <c r="F247" s="33" t="s">
        <v>482</v>
      </c>
      <c r="G247" s="33" t="s">
        <v>483</v>
      </c>
      <c r="H247" s="585" t="s">
        <v>232</v>
      </c>
      <c r="I247" s="33" t="s">
        <v>171</v>
      </c>
    </row>
    <row r="248" spans="1:9" s="492" customFormat="1" ht="14.4">
      <c r="A248" s="809"/>
      <c r="B248" s="1421" t="s">
        <v>5298</v>
      </c>
      <c r="C248" s="808">
        <v>4</v>
      </c>
      <c r="D248" s="11" t="s">
        <v>45</v>
      </c>
      <c r="E248" s="33">
        <v>39000</v>
      </c>
      <c r="F248" s="33"/>
      <c r="G248" s="33">
        <f>+E248*C248</f>
        <v>156000</v>
      </c>
      <c r="H248" s="33"/>
      <c r="I248" s="33"/>
    </row>
    <row r="249" spans="1:9" s="492" customFormat="1" ht="14.4">
      <c r="A249" s="809"/>
      <c r="B249" s="1421" t="s">
        <v>5299</v>
      </c>
      <c r="C249" s="814">
        <v>1</v>
      </c>
      <c r="D249" s="9" t="s">
        <v>133</v>
      </c>
      <c r="E249" s="810">
        <v>12000</v>
      </c>
      <c r="F249" s="810"/>
      <c r="G249" s="810">
        <f>+E249*C249</f>
        <v>12000</v>
      </c>
      <c r="H249" s="810"/>
      <c r="I249" s="810"/>
    </row>
    <row r="250" spans="1:9" s="492" customFormat="1" ht="14.4">
      <c r="A250" s="809"/>
      <c r="B250" s="807" t="s">
        <v>5117</v>
      </c>
      <c r="C250" s="814">
        <v>1</v>
      </c>
      <c r="D250" s="9" t="s">
        <v>772</v>
      </c>
      <c r="E250" s="810">
        <v>1000</v>
      </c>
      <c r="F250" s="810"/>
      <c r="G250" s="1425"/>
      <c r="H250" s="810"/>
      <c r="I250" s="810">
        <f>+E250*C250</f>
        <v>1000</v>
      </c>
    </row>
    <row r="251" spans="1:9" s="492" customFormat="1" ht="14.4">
      <c r="A251" s="1424" t="s">
        <v>190</v>
      </c>
      <c r="B251" s="813">
        <f>SUM(F251:I251)</f>
        <v>169000</v>
      </c>
      <c r="C251" s="814"/>
      <c r="D251" s="9"/>
      <c r="E251" s="810"/>
      <c r="F251" s="810">
        <f>+SUM(F249:F249)</f>
        <v>0</v>
      </c>
      <c r="G251" s="810">
        <f>+SUM(G248:G250)</f>
        <v>168000</v>
      </c>
      <c r="H251" s="810">
        <f>+SUM(H249:H249)</f>
        <v>0</v>
      </c>
      <c r="I251" s="810">
        <f>+SUM(I249:I250)</f>
        <v>1000</v>
      </c>
    </row>
    <row r="252" spans="1:9" s="492" customFormat="1" ht="14.4">
      <c r="A252" s="1424" t="s">
        <v>191</v>
      </c>
      <c r="B252" s="813">
        <f>+B251</f>
        <v>169000</v>
      </c>
      <c r="C252" s="815" t="s">
        <v>45</v>
      </c>
      <c r="D252" s="816"/>
      <c r="E252" s="817"/>
      <c r="F252" s="817"/>
      <c r="G252" s="817"/>
      <c r="H252" s="817"/>
      <c r="I252" s="817"/>
    </row>
    <row r="253" spans="1:9" s="492" customFormat="1" ht="14.4">
      <c r="A253" s="1425"/>
      <c r="B253" s="1425"/>
      <c r="C253" s="1425"/>
      <c r="D253" s="1425"/>
      <c r="E253" s="1425"/>
      <c r="F253" s="1425"/>
      <c r="G253" s="1425"/>
      <c r="H253" s="1425"/>
      <c r="I253" s="1425"/>
    </row>
    <row r="254" spans="1:9" s="492" customFormat="1" ht="14.4">
      <c r="A254" s="1342" t="s">
        <v>5203</v>
      </c>
      <c r="B254" s="3552" t="s">
        <v>5234</v>
      </c>
      <c r="C254" s="3553"/>
      <c r="D254" s="3553"/>
      <c r="E254" s="3553"/>
      <c r="F254" s="3553"/>
      <c r="G254" s="3553"/>
      <c r="H254" s="3553"/>
      <c r="I254" s="3554"/>
    </row>
    <row r="255" spans="1:9" s="492" customFormat="1" ht="16.8">
      <c r="A255" s="809"/>
      <c r="B255" s="807"/>
      <c r="C255" s="808" t="s">
        <v>140</v>
      </c>
      <c r="D255" s="11" t="s">
        <v>343</v>
      </c>
      <c r="E255" s="33" t="s">
        <v>344</v>
      </c>
      <c r="F255" s="33" t="s">
        <v>482</v>
      </c>
      <c r="G255" s="33" t="s">
        <v>483</v>
      </c>
      <c r="H255" s="585" t="s">
        <v>232</v>
      </c>
      <c r="I255" s="33" t="s">
        <v>171</v>
      </c>
    </row>
    <row r="256" spans="1:9" s="492" customFormat="1" ht="14.4">
      <c r="A256" s="809" t="s">
        <v>172</v>
      </c>
      <c r="B256" s="807" t="s">
        <v>189</v>
      </c>
      <c r="C256" s="814">
        <v>1</v>
      </c>
      <c r="D256" s="9" t="s">
        <v>583</v>
      </c>
      <c r="E256" s="810">
        <f>+H259*0.05</f>
        <v>1002.1411845714285</v>
      </c>
      <c r="F256" s="810"/>
      <c r="G256" s="810"/>
      <c r="H256" s="810"/>
      <c r="I256" s="810">
        <f>+E256*C256</f>
        <v>1002.1411845714285</v>
      </c>
    </row>
    <row r="257" spans="1:9" s="492" customFormat="1" ht="14.4">
      <c r="A257" s="809" t="s">
        <v>348</v>
      </c>
      <c r="B257" s="807" t="str">
        <f>IF(PRESTA&gt;0,"AYUD. RASO (INCLUYE "&amp;""&amp;PRESTA*100&amp;"% PRESTACIONES)",0)</f>
        <v>AYUD. RASO (INCLUYE 82,22% PRESTACIONES)</v>
      </c>
      <c r="C257" s="814">
        <f>1/7</f>
        <v>0.14285714285714285</v>
      </c>
      <c r="D257" s="9" t="s">
        <v>346</v>
      </c>
      <c r="E257" s="810">
        <f>+AYUDR</f>
        <v>50299.76584</v>
      </c>
      <c r="F257" s="810"/>
      <c r="G257" s="810"/>
      <c r="H257" s="810">
        <f>+E257*C257</f>
        <v>7185.6808342857139</v>
      </c>
      <c r="I257" s="810"/>
    </row>
    <row r="258" spans="1:9" s="492" customFormat="1" ht="14.4">
      <c r="A258" s="809"/>
      <c r="B258" s="811" t="s">
        <v>5104</v>
      </c>
      <c r="C258" s="814">
        <f>1/7</f>
        <v>0.14285714285714285</v>
      </c>
      <c r="D258" s="9" t="s">
        <v>717</v>
      </c>
      <c r="E258" s="810">
        <v>90000</v>
      </c>
      <c r="F258" s="810"/>
      <c r="G258" s="810"/>
      <c r="H258" s="810">
        <f>+E258*C258</f>
        <v>12857.142857142857</v>
      </c>
      <c r="I258" s="810"/>
    </row>
    <row r="259" spans="1:9" s="492" customFormat="1" ht="14.4">
      <c r="A259" s="1424" t="s">
        <v>190</v>
      </c>
      <c r="B259" s="813">
        <f>SUM(F259:I259)</f>
        <v>21044.964875999998</v>
      </c>
      <c r="C259" s="814"/>
      <c r="D259" s="9"/>
      <c r="E259" s="810"/>
      <c r="F259" s="810">
        <f>+SUM(F256:F258)</f>
        <v>0</v>
      </c>
      <c r="G259" s="810">
        <f>+SUM(G256:G258)</f>
        <v>0</v>
      </c>
      <c r="H259" s="810">
        <f>+SUM(H256:H258)</f>
        <v>20042.82369142857</v>
      </c>
      <c r="I259" s="810">
        <f>+SUM(I256:I258)</f>
        <v>1002.1411845714285</v>
      </c>
    </row>
    <row r="260" spans="1:9" s="492" customFormat="1" ht="14.4">
      <c r="A260" s="1424" t="s">
        <v>191</v>
      </c>
      <c r="B260" s="813">
        <f>+B259</f>
        <v>21044.964875999998</v>
      </c>
      <c r="C260" s="815" t="s">
        <v>45</v>
      </c>
      <c r="D260" s="816"/>
      <c r="E260" s="817"/>
      <c r="F260" s="817"/>
      <c r="G260" s="817"/>
      <c r="H260" s="817"/>
      <c r="I260" s="817"/>
    </row>
    <row r="261" spans="1:9" s="492" customFormat="1" ht="14.4">
      <c r="A261" s="1425"/>
      <c r="B261" s="1425"/>
      <c r="C261" s="1425"/>
      <c r="D261" s="1425"/>
      <c r="E261" s="1425"/>
      <c r="F261" s="1425"/>
      <c r="G261" s="1425"/>
      <c r="H261" s="1425"/>
      <c r="I261" s="1425"/>
    </row>
    <row r="262" spans="1:9" s="492" customFormat="1" ht="14.4">
      <c r="A262" s="1342" t="s">
        <v>5203</v>
      </c>
      <c r="B262" s="3552" t="s">
        <v>5220</v>
      </c>
      <c r="C262" s="3553"/>
      <c r="D262" s="3553"/>
      <c r="E262" s="3553"/>
      <c r="F262" s="3553"/>
      <c r="G262" s="3553"/>
      <c r="H262" s="3553"/>
      <c r="I262" s="3554"/>
    </row>
    <row r="263" spans="1:9" s="492" customFormat="1" ht="16.8">
      <c r="A263" s="809"/>
      <c r="B263" s="807"/>
      <c r="C263" s="808" t="s">
        <v>140</v>
      </c>
      <c r="D263" s="11" t="s">
        <v>343</v>
      </c>
      <c r="E263" s="33" t="s">
        <v>344</v>
      </c>
      <c r="F263" s="33" t="s">
        <v>482</v>
      </c>
      <c r="G263" s="33" t="s">
        <v>483</v>
      </c>
      <c r="H263" s="585" t="s">
        <v>232</v>
      </c>
      <c r="I263" s="33" t="s">
        <v>171</v>
      </c>
    </row>
    <row r="264" spans="1:9" s="492" customFormat="1" ht="14.4">
      <c r="A264" s="809"/>
      <c r="B264" s="1421" t="s">
        <v>5298</v>
      </c>
      <c r="C264" s="808">
        <v>4</v>
      </c>
      <c r="D264" s="11" t="s">
        <v>45</v>
      </c>
      <c r="E264" s="33">
        <v>39000</v>
      </c>
      <c r="F264" s="33"/>
      <c r="G264" s="33">
        <f>+E264*C264</f>
        <v>156000</v>
      </c>
      <c r="H264" s="33"/>
      <c r="I264" s="33"/>
    </row>
    <row r="265" spans="1:9" s="492" customFormat="1" ht="14.4">
      <c r="A265" s="809"/>
      <c r="B265" s="1421" t="s">
        <v>5299</v>
      </c>
      <c r="C265" s="814">
        <v>1</v>
      </c>
      <c r="D265" s="9" t="s">
        <v>133</v>
      </c>
      <c r="E265" s="810">
        <v>12000</v>
      </c>
      <c r="F265" s="810"/>
      <c r="G265" s="810">
        <f>+E265*C265</f>
        <v>12000</v>
      </c>
      <c r="H265" s="810"/>
      <c r="I265" s="810"/>
    </row>
    <row r="266" spans="1:9" s="492" customFormat="1" ht="14.4">
      <c r="A266" s="809"/>
      <c r="B266" s="807" t="s">
        <v>5117</v>
      </c>
      <c r="C266" s="814">
        <v>1</v>
      </c>
      <c r="D266" s="9" t="s">
        <v>772</v>
      </c>
      <c r="E266" s="810">
        <v>1000</v>
      </c>
      <c r="F266" s="810"/>
      <c r="G266" s="1425"/>
      <c r="H266" s="810"/>
      <c r="I266" s="810">
        <f>+E266*C266</f>
        <v>1000</v>
      </c>
    </row>
    <row r="267" spans="1:9" s="492" customFormat="1" ht="14.4">
      <c r="A267" s="1424" t="s">
        <v>190</v>
      </c>
      <c r="B267" s="813">
        <f>SUM(F267:I267)</f>
        <v>169000</v>
      </c>
      <c r="C267" s="814"/>
      <c r="D267" s="9"/>
      <c r="E267" s="810"/>
      <c r="F267" s="810">
        <f>+SUM(F265:F265)</f>
        <v>0</v>
      </c>
      <c r="G267" s="810">
        <f>+SUM(G264:G266)</f>
        <v>168000</v>
      </c>
      <c r="H267" s="810">
        <f>+SUM(H265:H265)</f>
        <v>0</v>
      </c>
      <c r="I267" s="810">
        <f>+SUM(I265:I266)</f>
        <v>1000</v>
      </c>
    </row>
    <row r="268" spans="1:9" s="492" customFormat="1" ht="14.4">
      <c r="A268" s="1424" t="s">
        <v>191</v>
      </c>
      <c r="B268" s="813">
        <f>+B267</f>
        <v>169000</v>
      </c>
      <c r="C268" s="815" t="s">
        <v>45</v>
      </c>
      <c r="D268" s="816"/>
      <c r="E268" s="817"/>
      <c r="F268" s="817"/>
      <c r="G268" s="817"/>
      <c r="H268" s="817"/>
      <c r="I268" s="817"/>
    </row>
    <row r="269" spans="1:9" s="492" customFormat="1" ht="14.4">
      <c r="A269" s="1425"/>
      <c r="B269" s="1425"/>
      <c r="C269" s="1425"/>
      <c r="D269" s="1425"/>
      <c r="E269" s="1425"/>
      <c r="F269" s="1425"/>
      <c r="G269" s="1425"/>
      <c r="H269" s="1425"/>
      <c r="I269" s="1425"/>
    </row>
    <row r="270" spans="1:9" s="492" customFormat="1" ht="14.4">
      <c r="A270" s="1342" t="s">
        <v>5205</v>
      </c>
      <c r="B270" s="3552" t="s">
        <v>5292</v>
      </c>
      <c r="C270" s="3553"/>
      <c r="D270" s="3553"/>
      <c r="E270" s="3553"/>
      <c r="F270" s="3553"/>
      <c r="G270" s="3553"/>
      <c r="H270" s="3553"/>
      <c r="I270" s="3554"/>
    </row>
    <row r="271" spans="1:9" s="492" customFormat="1" ht="16.8">
      <c r="A271" s="809"/>
      <c r="B271" s="807"/>
      <c r="C271" s="808" t="s">
        <v>140</v>
      </c>
      <c r="D271" s="11" t="s">
        <v>343</v>
      </c>
      <c r="E271" s="33" t="s">
        <v>344</v>
      </c>
      <c r="F271" s="33" t="s">
        <v>482</v>
      </c>
      <c r="G271" s="33" t="s">
        <v>483</v>
      </c>
      <c r="H271" s="585" t="s">
        <v>232</v>
      </c>
      <c r="I271" s="33" t="s">
        <v>171</v>
      </c>
    </row>
    <row r="272" spans="1:9" s="492" customFormat="1" ht="14.4">
      <c r="A272" s="809" t="s">
        <v>172</v>
      </c>
      <c r="B272" s="807" t="s">
        <v>189</v>
      </c>
      <c r="C272" s="814">
        <v>1</v>
      </c>
      <c r="D272" s="9" t="s">
        <v>583</v>
      </c>
      <c r="E272" s="810">
        <f>+H276*0.05</f>
        <v>100214.11845714285</v>
      </c>
      <c r="F272" s="810"/>
      <c r="G272" s="810"/>
      <c r="H272" s="810"/>
      <c r="I272" s="810">
        <f>+E272*C272</f>
        <v>100214.11845714285</v>
      </c>
    </row>
    <row r="273" spans="1:14" s="492" customFormat="1" ht="14.4">
      <c r="A273" s="809"/>
      <c r="B273" s="807" t="s">
        <v>5297</v>
      </c>
      <c r="C273" s="814">
        <v>2.333333333333333</v>
      </c>
      <c r="D273" s="9" t="s">
        <v>583</v>
      </c>
      <c r="E273" s="810">
        <f>GRUA</f>
        <v>150000</v>
      </c>
      <c r="F273" s="810">
        <f>+E273*C273</f>
        <v>349999.99999999994</v>
      </c>
      <c r="G273" s="810"/>
      <c r="H273" s="810"/>
      <c r="I273" s="810"/>
    </row>
    <row r="274" spans="1:14" s="492" customFormat="1" ht="14.4">
      <c r="A274" s="809" t="s">
        <v>348</v>
      </c>
      <c r="B274" s="807" t="str">
        <f>IF(PRESTA&gt;0,"AYUD. RASO (INCLUYE "&amp;""&amp;PRESTA*100&amp;"% PRESTACIONES)",0)</f>
        <v>AYUD. RASO (INCLUYE 82,22% PRESTACIONES)</v>
      </c>
      <c r="C274" s="814">
        <f>1/0.07</f>
        <v>14.285714285714285</v>
      </c>
      <c r="D274" s="9" t="s">
        <v>346</v>
      </c>
      <c r="E274" s="810">
        <f>+AYUDR</f>
        <v>50299.76584</v>
      </c>
      <c r="F274" s="810"/>
      <c r="G274" s="810"/>
      <c r="H274" s="810">
        <f>+E274*C274</f>
        <v>718568.08342857135</v>
      </c>
      <c r="I274" s="810"/>
    </row>
    <row r="275" spans="1:14" s="492" customFormat="1" ht="14.4">
      <c r="A275" s="809"/>
      <c r="B275" s="811" t="s">
        <v>5296</v>
      </c>
      <c r="C275" s="814">
        <f>1/0.07</f>
        <v>14.285714285714285</v>
      </c>
      <c r="D275" s="9" t="s">
        <v>717</v>
      </c>
      <c r="E275" s="810">
        <v>90000</v>
      </c>
      <c r="F275" s="810"/>
      <c r="G275" s="810"/>
      <c r="H275" s="810">
        <f>+E275*C275</f>
        <v>1285714.2857142857</v>
      </c>
      <c r="I275" s="810"/>
    </row>
    <row r="276" spans="1:14" s="492" customFormat="1" ht="14.4">
      <c r="A276" s="1424" t="s">
        <v>190</v>
      </c>
      <c r="B276" s="813">
        <f>SUM(F276:I276)</f>
        <v>2454496.4875999996</v>
      </c>
      <c r="C276" s="814"/>
      <c r="D276" s="9"/>
      <c r="E276" s="810"/>
      <c r="F276" s="810">
        <f>+SUM(F272:F275)</f>
        <v>349999.99999999994</v>
      </c>
      <c r="G276" s="810">
        <f>+SUM(G272:G275)</f>
        <v>0</v>
      </c>
      <c r="H276" s="810">
        <f>+SUM(H272:H275)</f>
        <v>2004282.3691428569</v>
      </c>
      <c r="I276" s="810">
        <f>+SUM(I272:I275)</f>
        <v>100214.11845714285</v>
      </c>
    </row>
    <row r="277" spans="1:14" s="492" customFormat="1" ht="14.4">
      <c r="A277" s="1424" t="s">
        <v>191</v>
      </c>
      <c r="B277" s="813">
        <f>+B276</f>
        <v>2454496.4875999996</v>
      </c>
      <c r="C277" s="815" t="s">
        <v>133</v>
      </c>
      <c r="D277" s="816"/>
      <c r="E277" s="817"/>
      <c r="F277" s="817"/>
      <c r="G277" s="817"/>
      <c r="H277" s="817"/>
      <c r="I277" s="817"/>
      <c r="K277" s="1495"/>
      <c r="L277" s="1495"/>
      <c r="M277" s="1495"/>
      <c r="N277" s="1495"/>
    </row>
    <row r="278" spans="1:14" s="492" customFormat="1" ht="14.4">
      <c r="A278" s="1425"/>
      <c r="B278" s="1425"/>
      <c r="C278" s="1425"/>
      <c r="D278" s="1425"/>
      <c r="E278" s="1425"/>
      <c r="F278" s="1425"/>
      <c r="G278" s="1425"/>
      <c r="H278" s="1425"/>
      <c r="I278" s="1425"/>
      <c r="K278" s="1495"/>
      <c r="L278" s="1495"/>
      <c r="M278" s="1495"/>
      <c r="N278" s="1495"/>
    </row>
    <row r="279" spans="1:14" s="492" customFormat="1" ht="14.4">
      <c r="A279" s="1342" t="s">
        <v>5205</v>
      </c>
      <c r="B279" s="3552" t="s">
        <v>5293</v>
      </c>
      <c r="C279" s="3553"/>
      <c r="D279" s="3553"/>
      <c r="E279" s="3553"/>
      <c r="F279" s="3553"/>
      <c r="G279" s="3553"/>
      <c r="H279" s="3553"/>
      <c r="I279" s="3554"/>
      <c r="K279" s="1495"/>
      <c r="L279" s="1495"/>
      <c r="M279" s="1495"/>
      <c r="N279" s="1495"/>
    </row>
    <row r="280" spans="1:14" s="492" customFormat="1" ht="16.8">
      <c r="A280" s="809"/>
      <c r="B280" s="807"/>
      <c r="C280" s="808" t="s">
        <v>140</v>
      </c>
      <c r="D280" s="11" t="s">
        <v>343</v>
      </c>
      <c r="E280" s="33" t="s">
        <v>344</v>
      </c>
      <c r="F280" s="33" t="s">
        <v>482</v>
      </c>
      <c r="G280" s="33" t="s">
        <v>483</v>
      </c>
      <c r="H280" s="585" t="s">
        <v>232</v>
      </c>
      <c r="I280" s="33" t="s">
        <v>171</v>
      </c>
      <c r="K280" s="1495"/>
      <c r="L280" s="2890"/>
      <c r="M280" s="1495"/>
      <c r="N280" s="1495"/>
    </row>
    <row r="281" spans="1:14" s="492" customFormat="1" ht="63.75" customHeight="1">
      <c r="A281" s="809"/>
      <c r="B281" s="1431" t="s">
        <v>5294</v>
      </c>
      <c r="C281" s="814">
        <v>1</v>
      </c>
      <c r="D281" s="9" t="s">
        <v>133</v>
      </c>
      <c r="E281" s="810">
        <v>101143972</v>
      </c>
      <c r="F281" s="810"/>
      <c r="G281" s="810">
        <f>+E281*C281</f>
        <v>101143972</v>
      </c>
      <c r="H281" s="810"/>
      <c r="I281" s="810"/>
      <c r="K281" s="1495"/>
      <c r="L281" s="2891"/>
      <c r="M281" s="1495"/>
      <c r="N281" s="1495"/>
    </row>
    <row r="282" spans="1:14" s="492" customFormat="1" ht="14.4">
      <c r="A282" s="809"/>
      <c r="B282" s="807" t="s">
        <v>5295</v>
      </c>
      <c r="C282" s="814">
        <v>1</v>
      </c>
      <c r="D282" s="9" t="s">
        <v>772</v>
      </c>
      <c r="E282" s="810">
        <v>650000</v>
      </c>
      <c r="F282" s="810"/>
      <c r="G282" s="1425"/>
      <c r="H282" s="810"/>
      <c r="I282" s="810">
        <f>+E282*C282</f>
        <v>650000</v>
      </c>
      <c r="K282" s="1495"/>
      <c r="L282" s="2892"/>
      <c r="M282" s="1495"/>
      <c r="N282" s="1495"/>
    </row>
    <row r="283" spans="1:14" s="492" customFormat="1" ht="14.4">
      <c r="A283" s="1424" t="s">
        <v>190</v>
      </c>
      <c r="B283" s="813">
        <f>SUM(F283:I283)</f>
        <v>101793972</v>
      </c>
      <c r="C283" s="814"/>
      <c r="D283" s="9"/>
      <c r="E283" s="810"/>
      <c r="F283" s="810">
        <f>+SUM(F281:F281)</f>
        <v>0</v>
      </c>
      <c r="G283" s="810">
        <f>+SUM(G281:G282)</f>
        <v>101143972</v>
      </c>
      <c r="H283" s="810">
        <f>+SUM(H281:H281)</f>
        <v>0</v>
      </c>
      <c r="I283" s="810">
        <f>+SUM(I281:I282)</f>
        <v>650000</v>
      </c>
      <c r="K283" s="1495"/>
      <c r="L283" s="1495"/>
      <c r="M283" s="1495"/>
      <c r="N283" s="1495"/>
    </row>
    <row r="284" spans="1:14" s="492" customFormat="1" ht="14.4">
      <c r="A284" s="1424" t="s">
        <v>191</v>
      </c>
      <c r="B284" s="813">
        <f>+B283</f>
        <v>101793972</v>
      </c>
      <c r="C284" s="815" t="s">
        <v>133</v>
      </c>
      <c r="D284" s="816"/>
      <c r="E284" s="817"/>
      <c r="F284" s="817"/>
      <c r="G284" s="817"/>
      <c r="H284" s="817"/>
      <c r="I284" s="817"/>
      <c r="K284" s="1495"/>
      <c r="L284" s="1495"/>
      <c r="M284" s="1495"/>
      <c r="N284" s="1495"/>
    </row>
    <row r="285" spans="1:14" s="492" customFormat="1" ht="14.4">
      <c r="A285" s="1425"/>
      <c r="B285" s="1425"/>
      <c r="C285" s="1425"/>
      <c r="D285" s="1425"/>
      <c r="E285" s="1425"/>
      <c r="F285" s="1425"/>
      <c r="G285" s="1425"/>
      <c r="H285" s="1425"/>
      <c r="I285" s="1425"/>
      <c r="K285" s="1495"/>
      <c r="L285" s="1495"/>
      <c r="M285" s="1495"/>
      <c r="N285" s="1495"/>
    </row>
    <row r="286" spans="1:14" s="492" customFormat="1" ht="103.5" customHeight="1">
      <c r="A286" s="1342" t="s">
        <v>5207</v>
      </c>
      <c r="B286" s="3552" t="s">
        <v>5266</v>
      </c>
      <c r="C286" s="3553"/>
      <c r="D286" s="3553"/>
      <c r="E286" s="3553"/>
      <c r="F286" s="3553"/>
      <c r="G286" s="3553"/>
      <c r="H286" s="3553"/>
      <c r="I286" s="3554"/>
    </row>
    <row r="287" spans="1:14" s="492" customFormat="1" ht="16.8">
      <c r="A287" s="809"/>
      <c r="B287" s="807"/>
      <c r="C287" s="808" t="s">
        <v>140</v>
      </c>
      <c r="D287" s="11" t="s">
        <v>343</v>
      </c>
      <c r="E287" s="33" t="s">
        <v>344</v>
      </c>
      <c r="F287" s="33" t="s">
        <v>482</v>
      </c>
      <c r="G287" s="33" t="s">
        <v>483</v>
      </c>
      <c r="H287" s="585" t="s">
        <v>232</v>
      </c>
      <c r="I287" s="33" t="s">
        <v>171</v>
      </c>
    </row>
    <row r="288" spans="1:14" s="492" customFormat="1" ht="14.4">
      <c r="A288" s="809" t="s">
        <v>172</v>
      </c>
      <c r="B288" s="807" t="s">
        <v>189</v>
      </c>
      <c r="C288" s="814">
        <v>1</v>
      </c>
      <c r="D288" s="9" t="s">
        <v>583</v>
      </c>
      <c r="E288" s="810">
        <f>+H291*0.05</f>
        <v>121557.76744666668</v>
      </c>
      <c r="F288" s="810"/>
      <c r="G288" s="810"/>
      <c r="H288" s="810"/>
      <c r="I288" s="810">
        <f>+E288*C288</f>
        <v>121557.76744666668</v>
      </c>
    </row>
    <row r="289" spans="1:9" s="402" customFormat="1" ht="15" customHeight="1">
      <c r="A289" s="1525" t="s">
        <v>345</v>
      </c>
      <c r="B289" s="807" t="str">
        <f>IF(PRESTA&gt;0,"OFICIAL (INCLUYE "&amp;""&amp;PRESTA*100&amp;"% PRESTACIONES)",0)</f>
        <v>OFICIAL (INCLUYE 82,22% PRESTACIONES)</v>
      </c>
      <c r="C289" s="1409">
        <f>1/0.06</f>
        <v>16.666666666666668</v>
      </c>
      <c r="D289" s="501" t="s">
        <v>346</v>
      </c>
      <c r="E289" s="810">
        <f>+OFICI</f>
        <v>80479.625344</v>
      </c>
      <c r="F289" s="1412"/>
      <c r="G289" s="1258"/>
      <c r="H289" s="810">
        <f>+E289*C289</f>
        <v>1341327.0890666668</v>
      </c>
      <c r="I289" s="1412"/>
    </row>
    <row r="290" spans="1:9" s="492" customFormat="1" ht="14.4">
      <c r="A290" s="809" t="s">
        <v>347</v>
      </c>
      <c r="B290" s="811" t="s">
        <v>5180</v>
      </c>
      <c r="C290" s="814">
        <f>1/0.06</f>
        <v>16.666666666666668</v>
      </c>
      <c r="D290" s="9" t="s">
        <v>717</v>
      </c>
      <c r="E290" s="810">
        <f>+AYUDA</f>
        <v>65389.695592000004</v>
      </c>
      <c r="F290" s="810"/>
      <c r="G290" s="810"/>
      <c r="H290" s="810">
        <f>+E290*C290</f>
        <v>1089828.2598666667</v>
      </c>
      <c r="I290" s="810"/>
    </row>
    <row r="291" spans="1:9" s="492" customFormat="1" ht="14.4">
      <c r="A291" s="1424" t="s">
        <v>190</v>
      </c>
      <c r="B291" s="813">
        <f>SUM(F291:I291)</f>
        <v>2552713.11638</v>
      </c>
      <c r="C291" s="814"/>
      <c r="D291" s="9"/>
      <c r="E291" s="810"/>
      <c r="F291" s="810">
        <f>+SUM(F288:F290)</f>
        <v>0</v>
      </c>
      <c r="G291" s="810">
        <f>+SUM(G288:G290)</f>
        <v>0</v>
      </c>
      <c r="H291" s="810">
        <f>+SUM(H288:H290)</f>
        <v>2431155.3489333335</v>
      </c>
      <c r="I291" s="810">
        <f>+SUM(I288:I290)</f>
        <v>121557.76744666668</v>
      </c>
    </row>
    <row r="292" spans="1:9" s="492" customFormat="1" ht="14.4">
      <c r="A292" s="1424" t="s">
        <v>191</v>
      </c>
      <c r="B292" s="813">
        <f>+B291</f>
        <v>2552713.11638</v>
      </c>
      <c r="C292" s="815" t="s">
        <v>133</v>
      </c>
      <c r="D292" s="816"/>
      <c r="E292" s="817"/>
      <c r="F292" s="817"/>
      <c r="G292" s="817"/>
      <c r="H292" s="817"/>
      <c r="I292" s="817"/>
    </row>
    <row r="293" spans="1:9" s="492" customFormat="1" ht="14.4">
      <c r="A293" s="1425"/>
      <c r="B293" s="1425"/>
      <c r="C293" s="1425"/>
      <c r="D293" s="1425"/>
      <c r="E293" s="1425"/>
      <c r="F293" s="1425"/>
      <c r="G293" s="1425"/>
      <c r="H293" s="1425"/>
      <c r="I293" s="1425"/>
    </row>
    <row r="294" spans="1:9" s="492" customFormat="1" ht="100.5" customHeight="1">
      <c r="A294" s="1342" t="s">
        <v>5207</v>
      </c>
      <c r="B294" s="3552" t="s">
        <v>5265</v>
      </c>
      <c r="C294" s="3553"/>
      <c r="D294" s="3553"/>
      <c r="E294" s="3553"/>
      <c r="F294" s="3553"/>
      <c r="G294" s="3553"/>
      <c r="H294" s="3553"/>
      <c r="I294" s="3554"/>
    </row>
    <row r="295" spans="1:9" s="492" customFormat="1" ht="16.8">
      <c r="A295" s="809"/>
      <c r="B295" s="1429"/>
      <c r="C295" s="808" t="s">
        <v>140</v>
      </c>
      <c r="D295" s="11" t="s">
        <v>343</v>
      </c>
      <c r="E295" s="33" t="s">
        <v>344</v>
      </c>
      <c r="F295" s="33" t="s">
        <v>482</v>
      </c>
      <c r="G295" s="33" t="s">
        <v>483</v>
      </c>
      <c r="H295" s="585" t="s">
        <v>232</v>
      </c>
      <c r="I295" s="33" t="s">
        <v>171</v>
      </c>
    </row>
    <row r="296" spans="1:9" s="492" customFormat="1" ht="55.2">
      <c r="A296" s="809"/>
      <c r="B296" s="1430" t="s">
        <v>5291</v>
      </c>
      <c r="C296" s="1427">
        <v>4</v>
      </c>
      <c r="D296" s="1428" t="s">
        <v>343</v>
      </c>
      <c r="E296" s="33">
        <v>1450000</v>
      </c>
      <c r="F296" s="33"/>
      <c r="G296" s="33">
        <f t="shared" ref="G296:G321" si="5">+E296*C296</f>
        <v>5800000</v>
      </c>
      <c r="H296" s="33"/>
      <c r="I296" s="33"/>
    </row>
    <row r="297" spans="1:9" s="492" customFormat="1" ht="14.4">
      <c r="A297" s="809"/>
      <c r="B297" s="1431" t="s">
        <v>5267</v>
      </c>
      <c r="C297" s="1427">
        <v>1</v>
      </c>
      <c r="D297" s="1428" t="s">
        <v>5192</v>
      </c>
      <c r="E297" s="33">
        <v>350000</v>
      </c>
      <c r="F297" s="33"/>
      <c r="G297" s="33">
        <f t="shared" si="5"/>
        <v>350000</v>
      </c>
      <c r="H297" s="33"/>
      <c r="I297" s="33"/>
    </row>
    <row r="298" spans="1:9" s="492" customFormat="1" ht="27.6">
      <c r="A298" s="809"/>
      <c r="B298" s="1431" t="s">
        <v>5268</v>
      </c>
      <c r="C298" s="1427">
        <v>1</v>
      </c>
      <c r="D298" s="1428" t="s">
        <v>343</v>
      </c>
      <c r="E298" s="33">
        <v>1940000</v>
      </c>
      <c r="F298" s="33"/>
      <c r="G298" s="33">
        <f t="shared" si="5"/>
        <v>1940000</v>
      </c>
      <c r="H298" s="33"/>
      <c r="I298" s="33"/>
    </row>
    <row r="299" spans="1:9" s="492" customFormat="1" ht="14.4">
      <c r="A299" s="809"/>
      <c r="B299" s="1431" t="s">
        <v>5269</v>
      </c>
      <c r="C299" s="1427"/>
      <c r="D299" s="1428"/>
      <c r="E299" s="33"/>
      <c r="F299" s="33"/>
      <c r="G299" s="33">
        <f t="shared" si="5"/>
        <v>0</v>
      </c>
      <c r="H299" s="33"/>
      <c r="I299" s="33"/>
    </row>
    <row r="300" spans="1:9" s="492" customFormat="1" ht="14.4">
      <c r="A300" s="809"/>
      <c r="B300" s="1431" t="s">
        <v>5270</v>
      </c>
      <c r="C300" s="1427">
        <v>1</v>
      </c>
      <c r="D300" s="1428" t="s">
        <v>343</v>
      </c>
      <c r="E300" s="33">
        <v>3320000</v>
      </c>
      <c r="F300" s="33"/>
      <c r="G300" s="33">
        <f t="shared" si="5"/>
        <v>3320000</v>
      </c>
      <c r="H300" s="33"/>
      <c r="I300" s="33"/>
    </row>
    <row r="301" spans="1:9" s="492" customFormat="1" ht="14.4">
      <c r="A301" s="809"/>
      <c r="B301" s="1431" t="s">
        <v>5271</v>
      </c>
      <c r="C301" s="1427">
        <v>1</v>
      </c>
      <c r="D301" s="1428" t="s">
        <v>343</v>
      </c>
      <c r="E301" s="33">
        <v>650000</v>
      </c>
      <c r="F301" s="33"/>
      <c r="G301" s="33">
        <f t="shared" si="5"/>
        <v>650000</v>
      </c>
      <c r="H301" s="33"/>
      <c r="I301" s="33"/>
    </row>
    <row r="302" spans="1:9" s="492" customFormat="1" ht="14.4">
      <c r="A302" s="809"/>
      <c r="B302" s="1431" t="s">
        <v>5272</v>
      </c>
      <c r="C302" s="1427">
        <v>1</v>
      </c>
      <c r="D302" s="1428" t="s">
        <v>343</v>
      </c>
      <c r="E302" s="33">
        <v>2300000</v>
      </c>
      <c r="F302" s="33"/>
      <c r="G302" s="33">
        <f t="shared" si="5"/>
        <v>2300000</v>
      </c>
      <c r="H302" s="33"/>
      <c r="I302" s="33"/>
    </row>
    <row r="303" spans="1:9" s="492" customFormat="1" ht="27.6">
      <c r="A303" s="809"/>
      <c r="B303" s="1431" t="s">
        <v>5273</v>
      </c>
      <c r="C303" s="1427">
        <v>2</v>
      </c>
      <c r="D303" s="1428" t="s">
        <v>343</v>
      </c>
      <c r="E303" s="33">
        <v>1940000</v>
      </c>
      <c r="F303" s="33"/>
      <c r="G303" s="33">
        <f t="shared" si="5"/>
        <v>3880000</v>
      </c>
      <c r="H303" s="33"/>
      <c r="I303" s="33"/>
    </row>
    <row r="304" spans="1:9" s="492" customFormat="1" ht="14.4">
      <c r="A304" s="809"/>
      <c r="B304" s="1431" t="s">
        <v>5269</v>
      </c>
      <c r="C304" s="1427"/>
      <c r="D304" s="1428"/>
      <c r="E304" s="33"/>
      <c r="F304" s="33"/>
      <c r="G304" s="33">
        <f t="shared" si="5"/>
        <v>0</v>
      </c>
      <c r="H304" s="33"/>
      <c r="I304" s="33"/>
    </row>
    <row r="305" spans="1:11" s="492" customFormat="1" ht="14.4">
      <c r="A305" s="809"/>
      <c r="B305" s="1431" t="s">
        <v>5274</v>
      </c>
      <c r="C305" s="1427">
        <v>2</v>
      </c>
      <c r="D305" s="1428" t="s">
        <v>343</v>
      </c>
      <c r="E305" s="33">
        <v>190000</v>
      </c>
      <c r="F305" s="33"/>
      <c r="G305" s="33">
        <f t="shared" si="5"/>
        <v>380000</v>
      </c>
      <c r="H305" s="33"/>
      <c r="I305" s="33"/>
    </row>
    <row r="306" spans="1:11" s="492" customFormat="1" ht="14.4">
      <c r="A306" s="809"/>
      <c r="B306" s="1431" t="s">
        <v>5275</v>
      </c>
      <c r="C306" s="1427">
        <v>2</v>
      </c>
      <c r="D306" s="1428" t="s">
        <v>343</v>
      </c>
      <c r="E306" s="33">
        <v>190000</v>
      </c>
      <c r="F306" s="33"/>
      <c r="G306" s="33">
        <f t="shared" si="5"/>
        <v>380000</v>
      </c>
      <c r="H306" s="33"/>
      <c r="I306" s="33"/>
    </row>
    <row r="307" spans="1:11" s="492" customFormat="1" ht="27.6">
      <c r="A307" s="809"/>
      <c r="B307" s="1431" t="s">
        <v>5276</v>
      </c>
      <c r="C307" s="1427">
        <v>2</v>
      </c>
      <c r="D307" s="1428" t="s">
        <v>343</v>
      </c>
      <c r="E307" s="33">
        <v>35000000</v>
      </c>
      <c r="F307" s="33"/>
      <c r="G307" s="33">
        <f t="shared" si="5"/>
        <v>70000000</v>
      </c>
      <c r="H307" s="33"/>
      <c r="I307" s="33"/>
    </row>
    <row r="308" spans="1:11" s="492" customFormat="1" ht="14.4">
      <c r="A308" s="809"/>
      <c r="B308" s="1431" t="s">
        <v>5277</v>
      </c>
      <c r="C308" s="1427">
        <v>2</v>
      </c>
      <c r="D308" s="1428" t="s">
        <v>343</v>
      </c>
      <c r="E308" s="33">
        <v>5800000</v>
      </c>
      <c r="F308" s="33"/>
      <c r="G308" s="33">
        <f t="shared" si="5"/>
        <v>11600000</v>
      </c>
      <c r="H308" s="33"/>
      <c r="I308" s="33"/>
    </row>
    <row r="309" spans="1:11" s="492" customFormat="1" ht="14.4">
      <c r="A309" s="809"/>
      <c r="B309" s="1431" t="s">
        <v>5278</v>
      </c>
      <c r="C309" s="1427">
        <v>2</v>
      </c>
      <c r="D309" s="1428" t="s">
        <v>343</v>
      </c>
      <c r="E309" s="33">
        <v>4700000</v>
      </c>
      <c r="F309" s="33"/>
      <c r="G309" s="33">
        <f t="shared" si="5"/>
        <v>9400000</v>
      </c>
      <c r="H309" s="33"/>
      <c r="I309" s="33"/>
    </row>
    <row r="310" spans="1:11" s="492" customFormat="1" ht="27.6">
      <c r="A310" s="809"/>
      <c r="B310" s="1431" t="s">
        <v>5279</v>
      </c>
      <c r="C310" s="1427">
        <v>3</v>
      </c>
      <c r="D310" s="1428" t="s">
        <v>343</v>
      </c>
      <c r="E310" s="33">
        <v>65000</v>
      </c>
      <c r="F310" s="33"/>
      <c r="G310" s="33">
        <f t="shared" si="5"/>
        <v>195000</v>
      </c>
      <c r="H310" s="33"/>
      <c r="I310" s="33"/>
    </row>
    <row r="311" spans="1:11" s="492" customFormat="1" ht="14.4">
      <c r="A311" s="809"/>
      <c r="B311" s="1431" t="s">
        <v>5280</v>
      </c>
      <c r="C311" s="1427">
        <v>3</v>
      </c>
      <c r="D311" s="1428" t="s">
        <v>343</v>
      </c>
      <c r="E311" s="33">
        <v>175000</v>
      </c>
      <c r="F311" s="33"/>
      <c r="G311" s="33">
        <f t="shared" si="5"/>
        <v>525000</v>
      </c>
      <c r="H311" s="33"/>
      <c r="I311" s="33"/>
    </row>
    <row r="312" spans="1:11" s="492" customFormat="1" ht="14.4">
      <c r="A312" s="809"/>
      <c r="B312" s="1431" t="s">
        <v>5281</v>
      </c>
      <c r="C312" s="1427">
        <v>6</v>
      </c>
      <c r="D312" s="1428" t="s">
        <v>343</v>
      </c>
      <c r="E312" s="33">
        <v>65000</v>
      </c>
      <c r="F312" s="33"/>
      <c r="G312" s="33">
        <f t="shared" si="5"/>
        <v>390000</v>
      </c>
      <c r="H312" s="33"/>
      <c r="I312" s="33"/>
    </row>
    <row r="313" spans="1:11" s="492" customFormat="1" ht="27.6">
      <c r="A313" s="809"/>
      <c r="B313" s="1431" t="s">
        <v>5282</v>
      </c>
      <c r="C313" s="1427">
        <v>2</v>
      </c>
      <c r="D313" s="1428" t="s">
        <v>343</v>
      </c>
      <c r="E313" s="33">
        <v>290000</v>
      </c>
      <c r="F313" s="33"/>
      <c r="G313" s="33">
        <f t="shared" si="5"/>
        <v>580000</v>
      </c>
      <c r="H313" s="33"/>
      <c r="I313" s="33"/>
    </row>
    <row r="314" spans="1:11" s="492" customFormat="1" ht="14.4">
      <c r="A314" s="809"/>
      <c r="B314" s="1431" t="s">
        <v>5283</v>
      </c>
      <c r="C314" s="1427">
        <v>6</v>
      </c>
      <c r="D314" s="1428" t="s">
        <v>343</v>
      </c>
      <c r="E314" s="33">
        <v>92000</v>
      </c>
      <c r="F314" s="33"/>
      <c r="G314" s="33">
        <f t="shared" si="5"/>
        <v>552000</v>
      </c>
      <c r="H314" s="33"/>
      <c r="I314" s="33"/>
    </row>
    <row r="315" spans="1:11" s="492" customFormat="1" ht="14.4">
      <c r="A315" s="809"/>
      <c r="B315" s="1431" t="s">
        <v>5284</v>
      </c>
      <c r="C315" s="1427">
        <v>6</v>
      </c>
      <c r="D315" s="1428" t="s">
        <v>343</v>
      </c>
      <c r="E315" s="33">
        <v>22000</v>
      </c>
      <c r="F315" s="33"/>
      <c r="G315" s="33">
        <f t="shared" si="5"/>
        <v>132000</v>
      </c>
      <c r="H315" s="33"/>
      <c r="I315" s="33"/>
    </row>
    <row r="316" spans="1:11" s="492" customFormat="1" ht="14.4">
      <c r="A316" s="809"/>
      <c r="B316" s="1431" t="s">
        <v>5285</v>
      </c>
      <c r="C316" s="1427">
        <v>6</v>
      </c>
      <c r="D316" s="1428" t="s">
        <v>343</v>
      </c>
      <c r="E316" s="33">
        <v>22000</v>
      </c>
      <c r="F316" s="33"/>
      <c r="G316" s="33">
        <f t="shared" si="5"/>
        <v>132000</v>
      </c>
      <c r="H316" s="33"/>
      <c r="I316" s="33"/>
    </row>
    <row r="317" spans="1:11" s="492" customFormat="1" ht="14.4">
      <c r="A317" s="809"/>
      <c r="B317" s="1431" t="s">
        <v>5286</v>
      </c>
      <c r="C317" s="1427">
        <v>2</v>
      </c>
      <c r="D317" s="1428" t="s">
        <v>343</v>
      </c>
      <c r="E317" s="33">
        <v>95000</v>
      </c>
      <c r="F317" s="33"/>
      <c r="G317" s="33">
        <f t="shared" si="5"/>
        <v>190000</v>
      </c>
      <c r="H317" s="33"/>
      <c r="I317" s="33"/>
    </row>
    <row r="318" spans="1:11" s="492" customFormat="1" ht="14.4">
      <c r="A318" s="809"/>
      <c r="B318" s="1431" t="s">
        <v>5287</v>
      </c>
      <c r="C318" s="1427">
        <v>8</v>
      </c>
      <c r="D318" s="1428" t="s">
        <v>343</v>
      </c>
      <c r="E318" s="33">
        <v>190000</v>
      </c>
      <c r="F318" s="33"/>
      <c r="G318" s="33">
        <f t="shared" si="5"/>
        <v>1520000</v>
      </c>
      <c r="H318" s="33"/>
      <c r="I318" s="33"/>
      <c r="K318" s="492">
        <f>96416807*1.19</f>
        <v>114736000.33</v>
      </c>
    </row>
    <row r="319" spans="1:11" s="492" customFormat="1" ht="14.4">
      <c r="A319" s="809"/>
      <c r="B319" s="1431" t="s">
        <v>5288</v>
      </c>
      <c r="C319" s="1427">
        <v>6</v>
      </c>
      <c r="D319" s="1428" t="s">
        <v>343</v>
      </c>
      <c r="E319" s="33">
        <v>25000</v>
      </c>
      <c r="F319" s="33"/>
      <c r="G319" s="33">
        <f t="shared" si="5"/>
        <v>150000</v>
      </c>
      <c r="H319" s="33"/>
      <c r="I319" s="33"/>
    </row>
    <row r="320" spans="1:11" s="492" customFormat="1" ht="14.4">
      <c r="A320" s="809"/>
      <c r="B320" s="1431" t="s">
        <v>5289</v>
      </c>
      <c r="C320" s="1427">
        <v>6</v>
      </c>
      <c r="D320" s="1428" t="s">
        <v>343</v>
      </c>
      <c r="E320" s="810">
        <v>25000</v>
      </c>
      <c r="F320" s="810"/>
      <c r="G320" s="33">
        <f t="shared" si="5"/>
        <v>150000</v>
      </c>
      <c r="H320" s="810"/>
      <c r="I320" s="810"/>
    </row>
    <row r="321" spans="1:9" s="492" customFormat="1" ht="14.4">
      <c r="A321" s="809"/>
      <c r="B321" s="807" t="s">
        <v>5290</v>
      </c>
      <c r="C321" s="814">
        <v>1</v>
      </c>
      <c r="D321" s="9" t="s">
        <v>772</v>
      </c>
      <c r="E321" s="810">
        <v>220000</v>
      </c>
      <c r="F321" s="810"/>
      <c r="G321" s="1425">
        <f t="shared" si="5"/>
        <v>220000</v>
      </c>
      <c r="H321" s="810"/>
      <c r="I321" s="810"/>
    </row>
    <row r="322" spans="1:9" s="492" customFormat="1" ht="14.4">
      <c r="A322" s="1424" t="s">
        <v>190</v>
      </c>
      <c r="B322" s="813">
        <f>SUM(F322:I322)</f>
        <v>114736000</v>
      </c>
      <c r="C322" s="814"/>
      <c r="D322" s="9"/>
      <c r="E322" s="810"/>
      <c r="F322" s="810">
        <f>+SUM(F296:F321)</f>
        <v>0</v>
      </c>
      <c r="G322" s="810">
        <f>+SUM(G296:G321)</f>
        <v>114736000</v>
      </c>
      <c r="H322" s="810">
        <f>+SUM(H296:H321)</f>
        <v>0</v>
      </c>
      <c r="I322" s="810">
        <f>+SUM(I296:I321)</f>
        <v>0</v>
      </c>
    </row>
    <row r="323" spans="1:9" s="492" customFormat="1" ht="14.4">
      <c r="A323" s="1424" t="s">
        <v>191</v>
      </c>
      <c r="B323" s="813">
        <f>+B322</f>
        <v>114736000</v>
      </c>
      <c r="C323" s="815" t="s">
        <v>150</v>
      </c>
      <c r="D323" s="816"/>
      <c r="E323" s="817"/>
      <c r="F323" s="817"/>
      <c r="G323" s="817"/>
      <c r="H323" s="817"/>
      <c r="I323" s="817"/>
    </row>
    <row r="324" spans="1:9" s="492" customFormat="1" ht="14.4">
      <c r="A324" s="1425"/>
      <c r="B324" s="1425"/>
      <c r="C324" s="1425"/>
      <c r="D324" s="1425"/>
      <c r="E324" s="1425"/>
      <c r="F324" s="1425"/>
      <c r="G324" s="1425"/>
      <c r="H324" s="1425"/>
      <c r="I324" s="1425"/>
    </row>
    <row r="325" spans="1:9" s="492" customFormat="1" ht="14.4">
      <c r="A325" s="1342">
        <v>10.1</v>
      </c>
      <c r="B325" s="3555" t="s">
        <v>5103</v>
      </c>
      <c r="C325" s="3556"/>
      <c r="D325" s="3556"/>
      <c r="E325" s="3556"/>
      <c r="F325" s="3556"/>
      <c r="G325" s="3556"/>
      <c r="H325" s="3556"/>
      <c r="I325" s="3557"/>
    </row>
    <row r="326" spans="1:9" s="492" customFormat="1" ht="16.8">
      <c r="A326" s="809"/>
      <c r="B326" s="807"/>
      <c r="C326" s="808" t="s">
        <v>140</v>
      </c>
      <c r="D326" s="11" t="s">
        <v>343</v>
      </c>
      <c r="E326" s="33" t="s">
        <v>344</v>
      </c>
      <c r="F326" s="33" t="s">
        <v>482</v>
      </c>
      <c r="G326" s="33" t="s">
        <v>483</v>
      </c>
      <c r="H326" s="585" t="s">
        <v>232</v>
      </c>
      <c r="I326" s="33" t="s">
        <v>171</v>
      </c>
    </row>
    <row r="327" spans="1:9" s="492" customFormat="1" ht="14.4">
      <c r="A327" s="809" t="s">
        <v>172</v>
      </c>
      <c r="B327" s="807" t="s">
        <v>189</v>
      </c>
      <c r="C327" s="814">
        <v>1</v>
      </c>
      <c r="D327" s="9" t="s">
        <v>583</v>
      </c>
      <c r="E327" s="810">
        <f>+H330*0.05</f>
        <v>1169.1647153333333</v>
      </c>
      <c r="F327" s="810"/>
      <c r="G327" s="810"/>
      <c r="H327" s="810"/>
      <c r="I327" s="810">
        <f>+E327*C327</f>
        <v>1169.1647153333333</v>
      </c>
    </row>
    <row r="328" spans="1:9" s="492" customFormat="1" ht="14.4">
      <c r="A328" s="809" t="s">
        <v>348</v>
      </c>
      <c r="B328" s="807" t="str">
        <f>IF(PRESTA&gt;0,"AYUD. RASO (INCLUYE "&amp;""&amp;PRESTA*100&amp;"% PRESTACIONES)",0)</f>
        <v>AYUD. RASO (INCLUYE 82,22% PRESTACIONES)</v>
      </c>
      <c r="C328" s="814">
        <v>0.16666666666666666</v>
      </c>
      <c r="D328" s="9" t="s">
        <v>346</v>
      </c>
      <c r="E328" s="810">
        <f>+AYUDR</f>
        <v>50299.76584</v>
      </c>
      <c r="F328" s="810"/>
      <c r="G328" s="810"/>
      <c r="H328" s="810">
        <f>+E328*C328</f>
        <v>8383.2943066666667</v>
      </c>
      <c r="I328" s="810"/>
    </row>
    <row r="329" spans="1:9" s="492" customFormat="1" ht="14.4">
      <c r="A329" s="809"/>
      <c r="B329" s="811" t="s">
        <v>5104</v>
      </c>
      <c r="C329" s="814">
        <v>0.16666666666666666</v>
      </c>
      <c r="D329" s="9" t="s">
        <v>717</v>
      </c>
      <c r="E329" s="810">
        <v>90000</v>
      </c>
      <c r="F329" s="810"/>
      <c r="G329" s="810"/>
      <c r="H329" s="810">
        <f>+E329*C329</f>
        <v>15000</v>
      </c>
      <c r="I329" s="810"/>
    </row>
    <row r="330" spans="1:9" s="492" customFormat="1" ht="14.4">
      <c r="A330" s="1424" t="s">
        <v>190</v>
      </c>
      <c r="B330" s="813">
        <f>SUM(F330:I330)</f>
        <v>24552.459021999999</v>
      </c>
      <c r="C330" s="814"/>
      <c r="D330" s="9"/>
      <c r="E330" s="810"/>
      <c r="F330" s="810">
        <f>+SUM(F327:F329)</f>
        <v>0</v>
      </c>
      <c r="G330" s="810">
        <f>+SUM(G327:G329)</f>
        <v>0</v>
      </c>
      <c r="H330" s="810">
        <f>+SUM(H327:H329)</f>
        <v>23383.294306666667</v>
      </c>
      <c r="I330" s="810">
        <f>+SUM(I327:I329)</f>
        <v>1169.1647153333333</v>
      </c>
    </row>
    <row r="331" spans="1:9" s="492" customFormat="1" ht="14.4">
      <c r="A331" s="1424" t="s">
        <v>191</v>
      </c>
      <c r="B331" s="813">
        <f>+B330</f>
        <v>24552.459021999999</v>
      </c>
      <c r="C331" s="815" t="s">
        <v>45</v>
      </c>
      <c r="D331" s="816"/>
      <c r="E331" s="817"/>
      <c r="F331" s="817"/>
      <c r="G331" s="817"/>
      <c r="H331" s="817"/>
      <c r="I331" s="817"/>
    </row>
    <row r="332" spans="1:9" s="492" customFormat="1" ht="14.4">
      <c r="A332" s="1425"/>
      <c r="B332" s="1425"/>
      <c r="C332" s="1425"/>
      <c r="D332" s="1425"/>
      <c r="E332" s="1425"/>
      <c r="F332" s="1425"/>
      <c r="G332" s="1425"/>
      <c r="H332" s="1425"/>
      <c r="I332" s="1425"/>
    </row>
    <row r="333" spans="1:9" s="492" customFormat="1" ht="14.4">
      <c r="A333" s="1342">
        <v>10.1</v>
      </c>
      <c r="B333" s="3555" t="s">
        <v>5105</v>
      </c>
      <c r="C333" s="3556"/>
      <c r="D333" s="3556"/>
      <c r="E333" s="3556"/>
      <c r="F333" s="3556"/>
      <c r="G333" s="3556"/>
      <c r="H333" s="3556"/>
      <c r="I333" s="3557"/>
    </row>
    <row r="334" spans="1:9" s="492" customFormat="1" ht="16.8">
      <c r="A334" s="809"/>
      <c r="B334" s="807"/>
      <c r="C334" s="808" t="s">
        <v>140</v>
      </c>
      <c r="D334" s="11" t="s">
        <v>343</v>
      </c>
      <c r="E334" s="33" t="s">
        <v>344</v>
      </c>
      <c r="F334" s="33" t="s">
        <v>482</v>
      </c>
      <c r="G334" s="33" t="s">
        <v>483</v>
      </c>
      <c r="H334" s="585" t="s">
        <v>232</v>
      </c>
      <c r="I334" s="33" t="s">
        <v>171</v>
      </c>
    </row>
    <row r="335" spans="1:9" s="492" customFormat="1" ht="14.4">
      <c r="A335" s="809"/>
      <c r="B335" s="807" t="s">
        <v>5106</v>
      </c>
      <c r="C335" s="814">
        <v>4</v>
      </c>
      <c r="D335" s="9" t="s">
        <v>45</v>
      </c>
      <c r="E335" s="810">
        <v>4500</v>
      </c>
      <c r="F335" s="810"/>
      <c r="G335" s="810">
        <f>+E335*C335</f>
        <v>18000</v>
      </c>
      <c r="H335" s="810"/>
      <c r="I335" s="810"/>
    </row>
    <row r="336" spans="1:9" s="492" customFormat="1" ht="14.4">
      <c r="A336" s="809"/>
      <c r="B336" s="807" t="s">
        <v>5107</v>
      </c>
      <c r="C336" s="814">
        <v>1</v>
      </c>
      <c r="D336" s="9" t="s">
        <v>45</v>
      </c>
      <c r="E336" s="810">
        <v>4000</v>
      </c>
      <c r="F336" s="810"/>
      <c r="G336" s="810">
        <f>+E336*C336</f>
        <v>4000</v>
      </c>
      <c r="H336" s="810"/>
      <c r="I336" s="810"/>
    </row>
    <row r="337" spans="1:9" s="492" customFormat="1" ht="14.4">
      <c r="A337" s="809"/>
      <c r="B337" s="807" t="s">
        <v>5117</v>
      </c>
      <c r="C337" s="814">
        <v>1</v>
      </c>
      <c r="D337" s="9" t="s">
        <v>772</v>
      </c>
      <c r="E337" s="810">
        <v>50</v>
      </c>
      <c r="F337" s="810"/>
      <c r="G337" s="1425"/>
      <c r="H337" s="810"/>
      <c r="I337" s="810">
        <f>+E337*C337</f>
        <v>50</v>
      </c>
    </row>
    <row r="338" spans="1:9" s="492" customFormat="1" ht="14.4">
      <c r="A338" s="1424" t="s">
        <v>190</v>
      </c>
      <c r="B338" s="813">
        <f>SUM(F338:I338)</f>
        <v>22050</v>
      </c>
      <c r="C338" s="814"/>
      <c r="D338" s="9"/>
      <c r="E338" s="810"/>
      <c r="F338" s="810">
        <f>+SUM(F335:F337)</f>
        <v>0</v>
      </c>
      <c r="G338" s="810">
        <f>+SUM(G335:G337)</f>
        <v>22000</v>
      </c>
      <c r="H338" s="810">
        <f>+SUM(H335:H337)</f>
        <v>0</v>
      </c>
      <c r="I338" s="810">
        <f>+SUM(I335:I337)</f>
        <v>50</v>
      </c>
    </row>
    <row r="339" spans="1:9" s="492" customFormat="1" ht="14.4">
      <c r="A339" s="1424" t="s">
        <v>191</v>
      </c>
      <c r="B339" s="813">
        <f>+B338</f>
        <v>22050</v>
      </c>
      <c r="C339" s="815" t="s">
        <v>45</v>
      </c>
      <c r="D339" s="816"/>
      <c r="E339" s="817"/>
      <c r="F339" s="817"/>
      <c r="G339" s="817"/>
      <c r="H339" s="817"/>
      <c r="I339" s="817"/>
    </row>
    <row r="340" spans="1:9" s="492" customFormat="1" ht="14.4">
      <c r="A340" s="1425"/>
      <c r="B340" s="1425"/>
      <c r="C340" s="1425"/>
      <c r="D340" s="1425"/>
      <c r="E340" s="1425"/>
      <c r="F340" s="1425"/>
      <c r="G340" s="1425"/>
      <c r="H340" s="1425"/>
      <c r="I340" s="1425"/>
    </row>
    <row r="341" spans="1:9" s="492" customFormat="1" ht="14.4">
      <c r="A341" s="1342">
        <v>10.199999999999999</v>
      </c>
      <c r="B341" s="3555" t="s">
        <v>5596</v>
      </c>
      <c r="C341" s="3556"/>
      <c r="D341" s="3556"/>
      <c r="E341" s="3556"/>
      <c r="F341" s="3556"/>
      <c r="G341" s="3556"/>
      <c r="H341" s="3556"/>
      <c r="I341" s="3557"/>
    </row>
    <row r="342" spans="1:9" s="492" customFormat="1" ht="16.8">
      <c r="A342" s="809"/>
      <c r="B342" s="807"/>
      <c r="C342" s="808" t="s">
        <v>140</v>
      </c>
      <c r="D342" s="11" t="s">
        <v>343</v>
      </c>
      <c r="E342" s="33" t="s">
        <v>344</v>
      </c>
      <c r="F342" s="33" t="s">
        <v>482</v>
      </c>
      <c r="G342" s="33" t="s">
        <v>483</v>
      </c>
      <c r="H342" s="585" t="s">
        <v>232</v>
      </c>
      <c r="I342" s="33" t="s">
        <v>171</v>
      </c>
    </row>
    <row r="343" spans="1:9" s="492" customFormat="1" ht="14.4">
      <c r="A343" s="809" t="s">
        <v>172</v>
      </c>
      <c r="B343" s="807" t="s">
        <v>189</v>
      </c>
      <c r="C343" s="814">
        <v>1</v>
      </c>
      <c r="D343" s="9" t="s">
        <v>583</v>
      </c>
      <c r="E343" s="810">
        <f>+H346*0.05</f>
        <v>1169.1647153333333</v>
      </c>
      <c r="F343" s="810"/>
      <c r="G343" s="810"/>
      <c r="H343" s="810"/>
      <c r="I343" s="810">
        <f>+E343*C343</f>
        <v>1169.1647153333333</v>
      </c>
    </row>
    <row r="344" spans="1:9" s="492" customFormat="1" ht="14.4">
      <c r="A344" s="809" t="s">
        <v>348</v>
      </c>
      <c r="B344" s="807" t="str">
        <f>IF(PRESTA&gt;0,"AYUD. RASO (INCLUYE "&amp;""&amp;PRESTA*100&amp;"% PRESTACIONES)",0)</f>
        <v>AYUD. RASO (INCLUYE 82,22% PRESTACIONES)</v>
      </c>
      <c r="C344" s="814">
        <v>0.16666666666666666</v>
      </c>
      <c r="D344" s="9" t="s">
        <v>346</v>
      </c>
      <c r="E344" s="810">
        <f>+AYUDR</f>
        <v>50299.76584</v>
      </c>
      <c r="F344" s="810"/>
      <c r="G344" s="810"/>
      <c r="H344" s="810">
        <f>+E344*C344</f>
        <v>8383.2943066666667</v>
      </c>
      <c r="I344" s="810"/>
    </row>
    <row r="345" spans="1:9" s="492" customFormat="1" ht="14.4">
      <c r="A345" s="809"/>
      <c r="B345" s="811" t="s">
        <v>5104</v>
      </c>
      <c r="C345" s="814">
        <v>0.16666666666666666</v>
      </c>
      <c r="D345" s="9" t="s">
        <v>717</v>
      </c>
      <c r="E345" s="810">
        <v>90000</v>
      </c>
      <c r="F345" s="810"/>
      <c r="G345" s="810"/>
      <c r="H345" s="810">
        <f>+E345*C345</f>
        <v>15000</v>
      </c>
      <c r="I345" s="810"/>
    </row>
    <row r="346" spans="1:9" s="492" customFormat="1" ht="14.4">
      <c r="A346" s="1424" t="s">
        <v>190</v>
      </c>
      <c r="B346" s="813">
        <f>SUM(F346:I346)</f>
        <v>24552.459021999999</v>
      </c>
      <c r="C346" s="814"/>
      <c r="D346" s="9"/>
      <c r="E346" s="810"/>
      <c r="F346" s="810">
        <f>+SUM(F343:F345)</f>
        <v>0</v>
      </c>
      <c r="G346" s="810">
        <f>+SUM(G343:G345)</f>
        <v>0</v>
      </c>
      <c r="H346" s="810">
        <f>+SUM(H343:H345)</f>
        <v>23383.294306666667</v>
      </c>
      <c r="I346" s="810">
        <f>+SUM(I343:I345)</f>
        <v>1169.1647153333333</v>
      </c>
    </row>
    <row r="347" spans="1:9" s="492" customFormat="1" ht="14.4">
      <c r="A347" s="1424" t="s">
        <v>191</v>
      </c>
      <c r="B347" s="813">
        <f>+B346</f>
        <v>24552.459021999999</v>
      </c>
      <c r="C347" s="815" t="s">
        <v>45</v>
      </c>
      <c r="D347" s="816"/>
      <c r="E347" s="817"/>
      <c r="F347" s="817"/>
      <c r="G347" s="817"/>
      <c r="H347" s="817"/>
      <c r="I347" s="817"/>
    </row>
    <row r="348" spans="1:9" s="492" customFormat="1" ht="14.4">
      <c r="A348" s="1425"/>
      <c r="B348" s="1425"/>
      <c r="C348" s="1425"/>
      <c r="D348" s="1425"/>
      <c r="E348" s="1425"/>
      <c r="F348" s="1425"/>
      <c r="G348" s="1425"/>
      <c r="H348" s="1425"/>
      <c r="I348" s="1425"/>
    </row>
    <row r="349" spans="1:9" s="492" customFormat="1" ht="13.5" customHeight="1">
      <c r="A349" s="1342">
        <v>10.199999999999999</v>
      </c>
      <c r="B349" s="3555" t="s">
        <v>5256</v>
      </c>
      <c r="C349" s="3556"/>
      <c r="D349" s="3556"/>
      <c r="E349" s="3556"/>
      <c r="F349" s="3556"/>
      <c r="G349" s="3556"/>
      <c r="H349" s="3556"/>
      <c r="I349" s="3557"/>
    </row>
    <row r="350" spans="1:9" s="492" customFormat="1" ht="16.8">
      <c r="A350" s="809"/>
      <c r="B350" s="807"/>
      <c r="C350" s="808" t="s">
        <v>140</v>
      </c>
      <c r="D350" s="11" t="s">
        <v>343</v>
      </c>
      <c r="E350" s="33" t="s">
        <v>344</v>
      </c>
      <c r="F350" s="33" t="s">
        <v>482</v>
      </c>
      <c r="G350" s="33" t="s">
        <v>483</v>
      </c>
      <c r="H350" s="585" t="s">
        <v>232</v>
      </c>
      <c r="I350" s="33" t="s">
        <v>171</v>
      </c>
    </row>
    <row r="351" spans="1:9" s="492" customFormat="1" ht="14.4">
      <c r="A351" s="809"/>
      <c r="B351" s="807" t="s">
        <v>5106</v>
      </c>
      <c r="C351" s="814">
        <v>4</v>
      </c>
      <c r="D351" s="9" t="s">
        <v>45</v>
      </c>
      <c r="E351" s="810">
        <v>4500</v>
      </c>
      <c r="F351" s="810"/>
      <c r="G351" s="810">
        <f>+E351*C351</f>
        <v>18000</v>
      </c>
      <c r="H351" s="810"/>
      <c r="I351" s="810"/>
    </row>
    <row r="352" spans="1:9" s="492" customFormat="1" ht="14.4">
      <c r="A352" s="809"/>
      <c r="B352" s="807" t="s">
        <v>5107</v>
      </c>
      <c r="C352" s="814">
        <v>1</v>
      </c>
      <c r="D352" s="9" t="s">
        <v>45</v>
      </c>
      <c r="E352" s="810">
        <v>4000</v>
      </c>
      <c r="F352" s="810"/>
      <c r="G352" s="810">
        <f>+E352*C352</f>
        <v>4000</v>
      </c>
      <c r="H352" s="810"/>
      <c r="I352" s="810"/>
    </row>
    <row r="353" spans="1:9" s="492" customFormat="1" ht="14.4">
      <c r="A353" s="809"/>
      <c r="B353" s="807" t="s">
        <v>5117</v>
      </c>
      <c r="C353" s="814">
        <v>1</v>
      </c>
      <c r="D353" s="9" t="s">
        <v>772</v>
      </c>
      <c r="E353" s="810">
        <v>50</v>
      </c>
      <c r="F353" s="810"/>
      <c r="G353" s="1425"/>
      <c r="H353" s="810"/>
      <c r="I353" s="810">
        <f>+E353*C353</f>
        <v>50</v>
      </c>
    </row>
    <row r="354" spans="1:9" s="492" customFormat="1" ht="14.4">
      <c r="A354" s="1424" t="s">
        <v>190</v>
      </c>
      <c r="B354" s="813">
        <f>SUM(F354:I354)</f>
        <v>22050</v>
      </c>
      <c r="C354" s="814"/>
      <c r="D354" s="9"/>
      <c r="E354" s="810"/>
      <c r="F354" s="810">
        <f>+SUM(F351:F353)</f>
        <v>0</v>
      </c>
      <c r="G354" s="810">
        <f>+SUM(G351:G353)</f>
        <v>22000</v>
      </c>
      <c r="H354" s="810">
        <f>+SUM(H351:H353)</f>
        <v>0</v>
      </c>
      <c r="I354" s="810">
        <f>+SUM(I351:I353)</f>
        <v>50</v>
      </c>
    </row>
    <row r="355" spans="1:9" s="492" customFormat="1" ht="14.4">
      <c r="A355" s="1424" t="s">
        <v>191</v>
      </c>
      <c r="B355" s="813">
        <f>+B354</f>
        <v>22050</v>
      </c>
      <c r="C355" s="815" t="s">
        <v>45</v>
      </c>
      <c r="D355" s="816"/>
      <c r="E355" s="817"/>
      <c r="F355" s="817"/>
      <c r="G355" s="817"/>
      <c r="H355" s="817"/>
      <c r="I355" s="817"/>
    </row>
    <row r="356" spans="1:9" s="492" customFormat="1" ht="14.4">
      <c r="A356" s="1425"/>
      <c r="B356" s="1425"/>
      <c r="C356" s="1425"/>
      <c r="D356" s="1425"/>
      <c r="E356" s="1425"/>
      <c r="F356" s="1425"/>
      <c r="G356" s="1425"/>
      <c r="H356" s="1425"/>
      <c r="I356" s="1425"/>
    </row>
    <row r="357" spans="1:9" s="492" customFormat="1" ht="27.75" customHeight="1">
      <c r="A357" s="1342">
        <v>10.3</v>
      </c>
      <c r="B357" s="3552" t="s">
        <v>5108</v>
      </c>
      <c r="C357" s="3553"/>
      <c r="D357" s="3553"/>
      <c r="E357" s="3553"/>
      <c r="F357" s="3553"/>
      <c r="G357" s="3553"/>
      <c r="H357" s="3553"/>
      <c r="I357" s="3554"/>
    </row>
    <row r="358" spans="1:9" s="492" customFormat="1" ht="16.8">
      <c r="A358" s="809"/>
      <c r="B358" s="807"/>
      <c r="C358" s="808" t="s">
        <v>140</v>
      </c>
      <c r="D358" s="11" t="s">
        <v>343</v>
      </c>
      <c r="E358" s="33" t="s">
        <v>344</v>
      </c>
      <c r="F358" s="33" t="s">
        <v>482</v>
      </c>
      <c r="G358" s="33" t="s">
        <v>483</v>
      </c>
      <c r="H358" s="585" t="s">
        <v>232</v>
      </c>
      <c r="I358" s="33" t="s">
        <v>171</v>
      </c>
    </row>
    <row r="359" spans="1:9" s="492" customFormat="1" ht="14.4">
      <c r="A359" s="809" t="s">
        <v>172</v>
      </c>
      <c r="B359" s="807" t="s">
        <v>189</v>
      </c>
      <c r="C359" s="814">
        <v>1</v>
      </c>
      <c r="D359" s="9" t="s">
        <v>583</v>
      </c>
      <c r="E359" s="810">
        <f>+H362*0.05</f>
        <v>876.87353650000011</v>
      </c>
      <c r="F359" s="810"/>
      <c r="G359" s="810"/>
      <c r="H359" s="810"/>
      <c r="I359" s="810">
        <f>+E359*C359</f>
        <v>876.87353650000011</v>
      </c>
    </row>
    <row r="360" spans="1:9" s="492" customFormat="1" ht="14.4">
      <c r="A360" s="809" t="s">
        <v>348</v>
      </c>
      <c r="B360" s="807" t="str">
        <f>IF(PRESTA&gt;0,"AYUD. RASO (INCLUYE "&amp;""&amp;PRESTA*100&amp;"% PRESTACIONES)",0)</f>
        <v>AYUD. RASO (INCLUYE 82,22% PRESTACIONES)</v>
      </c>
      <c r="C360" s="814">
        <v>0.125</v>
      </c>
      <c r="D360" s="9" t="s">
        <v>346</v>
      </c>
      <c r="E360" s="810">
        <f>+AYUDR</f>
        <v>50299.76584</v>
      </c>
      <c r="F360" s="810"/>
      <c r="G360" s="810"/>
      <c r="H360" s="810">
        <f>+E360*C360</f>
        <v>6287.47073</v>
      </c>
      <c r="I360" s="810"/>
    </row>
    <row r="361" spans="1:9" s="492" customFormat="1" ht="14.4">
      <c r="A361" s="809"/>
      <c r="B361" s="811" t="s">
        <v>5104</v>
      </c>
      <c r="C361" s="814">
        <v>0.125</v>
      </c>
      <c r="D361" s="9" t="s">
        <v>717</v>
      </c>
      <c r="E361" s="810">
        <v>90000</v>
      </c>
      <c r="F361" s="810"/>
      <c r="G361" s="810"/>
      <c r="H361" s="810">
        <f>+E361*C361</f>
        <v>11250</v>
      </c>
      <c r="I361" s="810"/>
    </row>
    <row r="362" spans="1:9" s="492" customFormat="1" ht="14.4">
      <c r="A362" s="1424" t="s">
        <v>190</v>
      </c>
      <c r="B362" s="813">
        <f>SUM(F362:I362)</f>
        <v>18414.3442665</v>
      </c>
      <c r="C362" s="814"/>
      <c r="D362" s="9"/>
      <c r="E362" s="810"/>
      <c r="F362" s="810">
        <f>+SUM(F359:F361)</f>
        <v>0</v>
      </c>
      <c r="G362" s="810">
        <f>+SUM(G359:G361)</f>
        <v>0</v>
      </c>
      <c r="H362" s="810">
        <f>+SUM(H359:H361)</f>
        <v>17537.470730000001</v>
      </c>
      <c r="I362" s="810">
        <f>+SUM(I359:I361)</f>
        <v>876.87353650000011</v>
      </c>
    </row>
    <row r="363" spans="1:9" s="492" customFormat="1" ht="14.4">
      <c r="A363" s="1424" t="s">
        <v>191</v>
      </c>
      <c r="B363" s="813">
        <f>+B362</f>
        <v>18414.3442665</v>
      </c>
      <c r="C363" s="815" t="s">
        <v>45</v>
      </c>
      <c r="D363" s="816"/>
      <c r="E363" s="817"/>
      <c r="F363" s="817"/>
      <c r="G363" s="817"/>
      <c r="H363" s="817"/>
      <c r="I363" s="817"/>
    </row>
    <row r="364" spans="1:9" s="492" customFormat="1" ht="14.4">
      <c r="A364" s="1425"/>
      <c r="B364" s="1425"/>
      <c r="C364" s="1425"/>
      <c r="D364" s="1425"/>
      <c r="E364" s="1425"/>
      <c r="F364" s="1425"/>
      <c r="G364" s="1425"/>
      <c r="H364" s="1425"/>
      <c r="I364" s="1425"/>
    </row>
    <row r="365" spans="1:9" s="492" customFormat="1" ht="30" customHeight="1">
      <c r="A365" s="1342">
        <v>10.3</v>
      </c>
      <c r="B365" s="3552" t="s">
        <v>5109</v>
      </c>
      <c r="C365" s="3553"/>
      <c r="D365" s="3553"/>
      <c r="E365" s="3553"/>
      <c r="F365" s="3553"/>
      <c r="G365" s="3553"/>
      <c r="H365" s="3553"/>
      <c r="I365" s="3554"/>
    </row>
    <row r="366" spans="1:9" s="492" customFormat="1" ht="16.8">
      <c r="A366" s="809"/>
      <c r="B366" s="807"/>
      <c r="C366" s="808" t="s">
        <v>140</v>
      </c>
      <c r="D366" s="11" t="s">
        <v>343</v>
      </c>
      <c r="E366" s="33" t="s">
        <v>344</v>
      </c>
      <c r="F366" s="33" t="s">
        <v>482</v>
      </c>
      <c r="G366" s="33" t="s">
        <v>483</v>
      </c>
      <c r="H366" s="585" t="s">
        <v>232</v>
      </c>
      <c r="I366" s="33" t="s">
        <v>171</v>
      </c>
    </row>
    <row r="367" spans="1:9" s="492" customFormat="1" ht="14.4">
      <c r="A367" s="809"/>
      <c r="B367" s="807" t="s">
        <v>5111</v>
      </c>
      <c r="C367" s="814">
        <v>4</v>
      </c>
      <c r="D367" s="9" t="s">
        <v>45</v>
      </c>
      <c r="E367" s="810">
        <v>15000</v>
      </c>
      <c r="F367" s="810"/>
      <c r="G367" s="810">
        <f>+E367*C367</f>
        <v>60000</v>
      </c>
      <c r="H367" s="810"/>
      <c r="I367" s="810"/>
    </row>
    <row r="368" spans="1:9" s="492" customFormat="1" ht="14.4">
      <c r="A368" s="809"/>
      <c r="B368" s="1421" t="s">
        <v>5110</v>
      </c>
      <c r="C368" s="814">
        <v>1</v>
      </c>
      <c r="D368" s="9" t="s">
        <v>45</v>
      </c>
      <c r="E368" s="810">
        <v>8500</v>
      </c>
      <c r="F368" s="810"/>
      <c r="G368" s="810">
        <f>+E368*C368</f>
        <v>8500</v>
      </c>
      <c r="H368" s="810"/>
      <c r="I368" s="810"/>
    </row>
    <row r="369" spans="1:9" s="492" customFormat="1" ht="14.4">
      <c r="A369" s="809"/>
      <c r="B369" s="807" t="s">
        <v>5117</v>
      </c>
      <c r="C369" s="814">
        <v>1</v>
      </c>
      <c r="D369" s="9" t="s">
        <v>772</v>
      </c>
      <c r="E369" s="810">
        <v>50</v>
      </c>
      <c r="F369" s="810"/>
      <c r="G369" s="1425"/>
      <c r="H369" s="810"/>
      <c r="I369" s="810">
        <f>+E369*C369</f>
        <v>50</v>
      </c>
    </row>
    <row r="370" spans="1:9" s="492" customFormat="1" ht="14.4">
      <c r="A370" s="1424" t="s">
        <v>190</v>
      </c>
      <c r="B370" s="813">
        <f>SUM(F370:I370)</f>
        <v>68550</v>
      </c>
      <c r="C370" s="814"/>
      <c r="D370" s="9"/>
      <c r="E370" s="810"/>
      <c r="F370" s="810">
        <f>+SUM(F367:F369)</f>
        <v>0</v>
      </c>
      <c r="G370" s="810">
        <f>+SUM(G367:G369)</f>
        <v>68500</v>
      </c>
      <c r="H370" s="810">
        <f>+SUM(H367:H369)</f>
        <v>0</v>
      </c>
      <c r="I370" s="810">
        <f>+SUM(I367:I369)</f>
        <v>50</v>
      </c>
    </row>
    <row r="371" spans="1:9" s="492" customFormat="1" ht="14.4">
      <c r="A371" s="1424" t="s">
        <v>191</v>
      </c>
      <c r="B371" s="813">
        <f>+B370</f>
        <v>68550</v>
      </c>
      <c r="C371" s="815" t="s">
        <v>45</v>
      </c>
      <c r="D371" s="816"/>
      <c r="E371" s="817"/>
      <c r="F371" s="817"/>
      <c r="G371" s="817"/>
      <c r="H371" s="817"/>
      <c r="I371" s="817"/>
    </row>
    <row r="372" spans="1:9" s="492" customFormat="1" ht="14.4">
      <c r="A372" s="1425"/>
      <c r="B372" s="1425"/>
      <c r="C372" s="1425"/>
      <c r="D372" s="1425"/>
      <c r="E372" s="1425"/>
      <c r="F372" s="1425"/>
      <c r="G372" s="1425"/>
      <c r="H372" s="1425"/>
      <c r="I372" s="1425"/>
    </row>
    <row r="373" spans="1:9" s="492" customFormat="1" ht="45" customHeight="1">
      <c r="A373" s="1342">
        <v>10.4</v>
      </c>
      <c r="B373" s="3552" t="s">
        <v>5112</v>
      </c>
      <c r="C373" s="3553"/>
      <c r="D373" s="3553"/>
      <c r="E373" s="3553"/>
      <c r="F373" s="3553"/>
      <c r="G373" s="3553"/>
      <c r="H373" s="3553"/>
      <c r="I373" s="3554"/>
    </row>
    <row r="374" spans="1:9" s="492" customFormat="1" ht="16.8">
      <c r="A374" s="809"/>
      <c r="B374" s="807"/>
      <c r="C374" s="808" t="s">
        <v>140</v>
      </c>
      <c r="D374" s="11" t="s">
        <v>343</v>
      </c>
      <c r="E374" s="33" t="s">
        <v>344</v>
      </c>
      <c r="F374" s="33" t="s">
        <v>482</v>
      </c>
      <c r="G374" s="33" t="s">
        <v>483</v>
      </c>
      <c r="H374" s="585" t="s">
        <v>232</v>
      </c>
      <c r="I374" s="33" t="s">
        <v>171</v>
      </c>
    </row>
    <row r="375" spans="1:9" s="492" customFormat="1" ht="14.4">
      <c r="A375" s="809" t="s">
        <v>172</v>
      </c>
      <c r="B375" s="807" t="s">
        <v>189</v>
      </c>
      <c r="C375" s="814">
        <v>1</v>
      </c>
      <c r="D375" s="9" t="s">
        <v>583</v>
      </c>
      <c r="E375" s="810">
        <f>+H378*0.05</f>
        <v>1169.1647153333333</v>
      </c>
      <c r="F375" s="810"/>
      <c r="G375" s="810"/>
      <c r="H375" s="810"/>
      <c r="I375" s="810">
        <f>+E375*C375</f>
        <v>1169.1647153333333</v>
      </c>
    </row>
    <row r="376" spans="1:9" s="492" customFormat="1" ht="14.4">
      <c r="A376" s="809" t="s">
        <v>348</v>
      </c>
      <c r="B376" s="807" t="str">
        <f>IF(PRESTA&gt;0,"AYUD. RASO (INCLUYE "&amp;""&amp;PRESTA*100&amp;"% PRESTACIONES)",0)</f>
        <v>AYUD. RASO (INCLUYE 82,22% PRESTACIONES)</v>
      </c>
      <c r="C376" s="814">
        <f>1/6</f>
        <v>0.16666666666666666</v>
      </c>
      <c r="D376" s="9" t="s">
        <v>346</v>
      </c>
      <c r="E376" s="810">
        <f>+AYUDR</f>
        <v>50299.76584</v>
      </c>
      <c r="F376" s="810"/>
      <c r="G376" s="810"/>
      <c r="H376" s="810">
        <f>+E376*C376</f>
        <v>8383.2943066666667</v>
      </c>
      <c r="I376" s="810"/>
    </row>
    <row r="377" spans="1:9" s="492" customFormat="1" ht="14.4">
      <c r="A377" s="809"/>
      <c r="B377" s="811" t="s">
        <v>5104</v>
      </c>
      <c r="C377" s="814">
        <f>1/6</f>
        <v>0.16666666666666666</v>
      </c>
      <c r="D377" s="9" t="s">
        <v>717</v>
      </c>
      <c r="E377" s="810">
        <v>90000</v>
      </c>
      <c r="F377" s="810"/>
      <c r="G377" s="810"/>
      <c r="H377" s="810">
        <f>+E377*C377</f>
        <v>15000</v>
      </c>
      <c r="I377" s="810"/>
    </row>
    <row r="378" spans="1:9" s="492" customFormat="1" ht="14.4">
      <c r="A378" s="1424" t="s">
        <v>190</v>
      </c>
      <c r="B378" s="813">
        <f>SUM(F378:I378)</f>
        <v>24552.459021999999</v>
      </c>
      <c r="C378" s="814"/>
      <c r="D378" s="9"/>
      <c r="E378" s="810"/>
      <c r="F378" s="810">
        <f>+SUM(F375:F377)</f>
        <v>0</v>
      </c>
      <c r="G378" s="810">
        <f>+SUM(G375:G377)</f>
        <v>0</v>
      </c>
      <c r="H378" s="810">
        <f>+SUM(H375:H377)</f>
        <v>23383.294306666667</v>
      </c>
      <c r="I378" s="810">
        <f>+SUM(I375:I377)</f>
        <v>1169.1647153333333</v>
      </c>
    </row>
    <row r="379" spans="1:9" s="492" customFormat="1" ht="14.4">
      <c r="A379" s="1424" t="s">
        <v>191</v>
      </c>
      <c r="B379" s="813">
        <f>+B378</f>
        <v>24552.459021999999</v>
      </c>
      <c r="C379" s="815" t="s">
        <v>45</v>
      </c>
      <c r="D379" s="816"/>
      <c r="E379" s="817"/>
      <c r="F379" s="817"/>
      <c r="G379" s="817"/>
      <c r="H379" s="817"/>
      <c r="I379" s="817"/>
    </row>
    <row r="380" spans="1:9" s="492" customFormat="1" ht="14.4">
      <c r="A380" s="1425"/>
      <c r="B380" s="1425"/>
      <c r="C380" s="1425"/>
      <c r="D380" s="1425"/>
      <c r="E380" s="1425"/>
      <c r="F380" s="1425"/>
      <c r="G380" s="1425"/>
      <c r="H380" s="1425"/>
      <c r="I380" s="1425"/>
    </row>
    <row r="381" spans="1:9" s="492" customFormat="1" ht="48.75" customHeight="1">
      <c r="A381" s="1342">
        <v>10.4</v>
      </c>
      <c r="B381" s="3552" t="s">
        <v>5113</v>
      </c>
      <c r="C381" s="3553"/>
      <c r="D381" s="3553"/>
      <c r="E381" s="3553"/>
      <c r="F381" s="3553"/>
      <c r="G381" s="3553"/>
      <c r="H381" s="3553"/>
      <c r="I381" s="3554"/>
    </row>
    <row r="382" spans="1:9" s="492" customFormat="1" ht="16.8">
      <c r="A382" s="809"/>
      <c r="B382" s="807"/>
      <c r="C382" s="808" t="s">
        <v>140</v>
      </c>
      <c r="D382" s="11" t="s">
        <v>343</v>
      </c>
      <c r="E382" s="33" t="s">
        <v>344</v>
      </c>
      <c r="F382" s="33" t="s">
        <v>482</v>
      </c>
      <c r="G382" s="33" t="s">
        <v>483</v>
      </c>
      <c r="H382" s="585" t="s">
        <v>232</v>
      </c>
      <c r="I382" s="33" t="s">
        <v>171</v>
      </c>
    </row>
    <row r="383" spans="1:9" s="492" customFormat="1" ht="14.4">
      <c r="A383" s="809"/>
      <c r="B383" s="1421" t="s">
        <v>5114</v>
      </c>
      <c r="C383" s="814">
        <v>1</v>
      </c>
      <c r="D383" s="9" t="s">
        <v>45</v>
      </c>
      <c r="E383" s="810">
        <v>28000</v>
      </c>
      <c r="F383" s="810"/>
      <c r="G383" s="810">
        <f>+E383*C383</f>
        <v>28000</v>
      </c>
      <c r="H383" s="810"/>
      <c r="I383" s="810"/>
    </row>
    <row r="384" spans="1:9" s="492" customFormat="1" ht="14.4">
      <c r="A384" s="809"/>
      <c r="B384" s="1421" t="s">
        <v>5115</v>
      </c>
      <c r="C384" s="814">
        <v>1</v>
      </c>
      <c r="D384" s="9" t="s">
        <v>45</v>
      </c>
      <c r="E384" s="810">
        <v>12000</v>
      </c>
      <c r="F384" s="810"/>
      <c r="G384" s="810">
        <f>+E384*C384</f>
        <v>12000</v>
      </c>
      <c r="H384" s="810"/>
      <c r="I384" s="810"/>
    </row>
    <row r="385" spans="1:9" s="492" customFormat="1" ht="14.4">
      <c r="A385" s="809"/>
      <c r="B385" s="1422" t="s">
        <v>5116</v>
      </c>
      <c r="C385" s="814">
        <v>1</v>
      </c>
      <c r="D385" s="9" t="s">
        <v>45</v>
      </c>
      <c r="E385" s="810">
        <v>5000</v>
      </c>
      <c r="F385" s="810"/>
      <c r="G385" s="810">
        <f>+E385*C385</f>
        <v>5000</v>
      </c>
      <c r="H385" s="810"/>
      <c r="I385" s="810"/>
    </row>
    <row r="386" spans="1:9" s="492" customFormat="1" ht="14.4">
      <c r="A386" s="809"/>
      <c r="B386" s="807" t="s">
        <v>5117</v>
      </c>
      <c r="C386" s="814">
        <v>1</v>
      </c>
      <c r="D386" s="9" t="s">
        <v>772</v>
      </c>
      <c r="E386" s="810">
        <v>50</v>
      </c>
      <c r="F386" s="810"/>
      <c r="G386" s="1425"/>
      <c r="H386" s="810"/>
      <c r="I386" s="810">
        <f>+E386*C386</f>
        <v>50</v>
      </c>
    </row>
    <row r="387" spans="1:9" s="492" customFormat="1" ht="14.4">
      <c r="A387" s="1424" t="s">
        <v>190</v>
      </c>
      <c r="B387" s="813">
        <f>SUM(F387:I387)</f>
        <v>45050</v>
      </c>
      <c r="C387" s="814"/>
      <c r="D387" s="9"/>
      <c r="E387" s="810"/>
      <c r="F387" s="810">
        <f>+SUM(F383:F385)</f>
        <v>0</v>
      </c>
      <c r="G387" s="810">
        <f>+SUM(G383:G386)</f>
        <v>45000</v>
      </c>
      <c r="H387" s="810">
        <f>+SUM(H383:H385)</f>
        <v>0</v>
      </c>
      <c r="I387" s="810">
        <f>+SUM(I383:I386)</f>
        <v>50</v>
      </c>
    </row>
    <row r="388" spans="1:9" s="492" customFormat="1" ht="14.4">
      <c r="A388" s="1424" t="s">
        <v>191</v>
      </c>
      <c r="B388" s="813">
        <f>+B387</f>
        <v>45050</v>
      </c>
      <c r="C388" s="815" t="s">
        <v>45</v>
      </c>
      <c r="D388" s="816"/>
      <c r="E388" s="817"/>
      <c r="F388" s="817"/>
      <c r="G388" s="817"/>
      <c r="H388" s="817"/>
      <c r="I388" s="817"/>
    </row>
    <row r="389" spans="1:9" s="492" customFormat="1" ht="14.4">
      <c r="A389" s="1425"/>
      <c r="B389" s="1425"/>
      <c r="C389" s="1425"/>
      <c r="D389" s="1425"/>
      <c r="E389" s="1425"/>
      <c r="F389" s="1425"/>
      <c r="G389" s="1425"/>
      <c r="H389" s="1425"/>
      <c r="I389" s="1425"/>
    </row>
    <row r="390" spans="1:9" s="492" customFormat="1" ht="47.25" customHeight="1">
      <c r="A390" s="1342">
        <v>10.5</v>
      </c>
      <c r="B390" s="3552" t="s">
        <v>5118</v>
      </c>
      <c r="C390" s="3553"/>
      <c r="D390" s="3553"/>
      <c r="E390" s="3553"/>
      <c r="F390" s="3553"/>
      <c r="G390" s="3553"/>
      <c r="H390" s="3553"/>
      <c r="I390" s="3554"/>
    </row>
    <row r="391" spans="1:9" s="492" customFormat="1" ht="16.8">
      <c r="A391" s="809"/>
      <c r="B391" s="807"/>
      <c r="C391" s="808" t="s">
        <v>140</v>
      </c>
      <c r="D391" s="11" t="s">
        <v>343</v>
      </c>
      <c r="E391" s="33" t="s">
        <v>344</v>
      </c>
      <c r="F391" s="33" t="s">
        <v>482</v>
      </c>
      <c r="G391" s="33" t="s">
        <v>483</v>
      </c>
      <c r="H391" s="585" t="s">
        <v>232</v>
      </c>
      <c r="I391" s="33" t="s">
        <v>171</v>
      </c>
    </row>
    <row r="392" spans="1:9" s="492" customFormat="1" ht="14.4">
      <c r="A392" s="809" t="s">
        <v>172</v>
      </c>
      <c r="B392" s="807" t="s">
        <v>189</v>
      </c>
      <c r="C392" s="814">
        <v>1</v>
      </c>
      <c r="D392" s="9" t="s">
        <v>583</v>
      </c>
      <c r="E392" s="810">
        <f>+H395*0.05</f>
        <v>1169.1647153333333</v>
      </c>
      <c r="F392" s="810"/>
      <c r="G392" s="810"/>
      <c r="H392" s="810"/>
      <c r="I392" s="810">
        <f>+E392*C392</f>
        <v>1169.1647153333333</v>
      </c>
    </row>
    <row r="393" spans="1:9" s="492" customFormat="1" ht="14.4">
      <c r="A393" s="809" t="s">
        <v>348</v>
      </c>
      <c r="B393" s="807" t="str">
        <f>IF(PRESTA&gt;0,"AYUD. RASO (INCLUYE "&amp;""&amp;PRESTA*100&amp;"% PRESTACIONES)",0)</f>
        <v>AYUD. RASO (INCLUYE 82,22% PRESTACIONES)</v>
      </c>
      <c r="C393" s="814">
        <f>1/6</f>
        <v>0.16666666666666666</v>
      </c>
      <c r="D393" s="9" t="s">
        <v>346</v>
      </c>
      <c r="E393" s="810">
        <f>+AYUDR</f>
        <v>50299.76584</v>
      </c>
      <c r="F393" s="810"/>
      <c r="G393" s="810"/>
      <c r="H393" s="810">
        <f>+E393*C393</f>
        <v>8383.2943066666667</v>
      </c>
      <c r="I393" s="810"/>
    </row>
    <row r="394" spans="1:9" s="492" customFormat="1" ht="14.4">
      <c r="A394" s="809"/>
      <c r="B394" s="811" t="s">
        <v>5104</v>
      </c>
      <c r="C394" s="814">
        <f>1/6</f>
        <v>0.16666666666666666</v>
      </c>
      <c r="D394" s="9" t="s">
        <v>717</v>
      </c>
      <c r="E394" s="810">
        <v>90000</v>
      </c>
      <c r="F394" s="810"/>
      <c r="G394" s="810"/>
      <c r="H394" s="810">
        <f>+E394*C394</f>
        <v>15000</v>
      </c>
      <c r="I394" s="810"/>
    </row>
    <row r="395" spans="1:9" s="492" customFormat="1" ht="14.4">
      <c r="A395" s="1424" t="s">
        <v>190</v>
      </c>
      <c r="B395" s="813">
        <f>SUM(F395:I395)</f>
        <v>24552.459021999999</v>
      </c>
      <c r="C395" s="814"/>
      <c r="D395" s="9"/>
      <c r="E395" s="810"/>
      <c r="F395" s="810">
        <f>+SUM(F392:F394)</f>
        <v>0</v>
      </c>
      <c r="G395" s="810">
        <f>+SUM(G392:G394)</f>
        <v>0</v>
      </c>
      <c r="H395" s="810">
        <f>+SUM(H392:H394)</f>
        <v>23383.294306666667</v>
      </c>
      <c r="I395" s="810">
        <f>+SUM(I392:I394)</f>
        <v>1169.1647153333333</v>
      </c>
    </row>
    <row r="396" spans="1:9" s="492" customFormat="1" ht="14.4">
      <c r="A396" s="1424" t="s">
        <v>191</v>
      </c>
      <c r="B396" s="813">
        <f>+B395</f>
        <v>24552.459021999999</v>
      </c>
      <c r="C396" s="815" t="s">
        <v>45</v>
      </c>
      <c r="D396" s="816"/>
      <c r="E396" s="817"/>
      <c r="F396" s="817"/>
      <c r="G396" s="817"/>
      <c r="H396" s="817"/>
      <c r="I396" s="817"/>
    </row>
    <row r="397" spans="1:9" s="492" customFormat="1" ht="14.4">
      <c r="A397" s="1425"/>
      <c r="B397" s="1425"/>
      <c r="C397" s="1425"/>
      <c r="D397" s="1425"/>
      <c r="E397" s="1425"/>
      <c r="F397" s="1425"/>
      <c r="G397" s="1425"/>
      <c r="H397" s="1425"/>
      <c r="I397" s="1425"/>
    </row>
    <row r="398" spans="1:9" s="492" customFormat="1" ht="48.75" customHeight="1">
      <c r="A398" s="1342">
        <v>10.5</v>
      </c>
      <c r="B398" s="3552" t="s">
        <v>5119</v>
      </c>
      <c r="C398" s="3553"/>
      <c r="D398" s="3553"/>
      <c r="E398" s="3553"/>
      <c r="F398" s="3553"/>
      <c r="G398" s="3553"/>
      <c r="H398" s="3553"/>
      <c r="I398" s="3554"/>
    </row>
    <row r="399" spans="1:9" s="492" customFormat="1" ht="16.8">
      <c r="A399" s="809"/>
      <c r="B399" s="807"/>
      <c r="C399" s="808" t="s">
        <v>140</v>
      </c>
      <c r="D399" s="11" t="s">
        <v>343</v>
      </c>
      <c r="E399" s="33" t="s">
        <v>344</v>
      </c>
      <c r="F399" s="33" t="s">
        <v>482</v>
      </c>
      <c r="G399" s="33" t="s">
        <v>483</v>
      </c>
      <c r="H399" s="585" t="s">
        <v>232</v>
      </c>
      <c r="I399" s="33" t="s">
        <v>171</v>
      </c>
    </row>
    <row r="400" spans="1:9" s="492" customFormat="1" ht="14.4">
      <c r="A400" s="809"/>
      <c r="B400" s="1421" t="s">
        <v>5120</v>
      </c>
      <c r="C400" s="814">
        <v>1</v>
      </c>
      <c r="D400" s="9" t="s">
        <v>45</v>
      </c>
      <c r="E400" s="810">
        <v>22000</v>
      </c>
      <c r="F400" s="810"/>
      <c r="G400" s="810">
        <f>+E400*C400</f>
        <v>22000</v>
      </c>
      <c r="H400" s="810"/>
      <c r="I400" s="810"/>
    </row>
    <row r="401" spans="1:9" s="492" customFormat="1" ht="14.4">
      <c r="A401" s="809"/>
      <c r="B401" s="1421" t="s">
        <v>5115</v>
      </c>
      <c r="C401" s="814">
        <v>1</v>
      </c>
      <c r="D401" s="9" t="s">
        <v>45</v>
      </c>
      <c r="E401" s="810">
        <v>12000</v>
      </c>
      <c r="F401" s="810"/>
      <c r="G401" s="810">
        <f>+E401*C401</f>
        <v>12000</v>
      </c>
      <c r="H401" s="810"/>
      <c r="I401" s="810"/>
    </row>
    <row r="402" spans="1:9" s="492" customFormat="1" ht="14.4">
      <c r="A402" s="809"/>
      <c r="B402" s="1422" t="s">
        <v>5116</v>
      </c>
      <c r="C402" s="814">
        <v>1</v>
      </c>
      <c r="D402" s="9" t="s">
        <v>45</v>
      </c>
      <c r="E402" s="810">
        <v>5000</v>
      </c>
      <c r="F402" s="810"/>
      <c r="G402" s="810">
        <f>+E402*C402</f>
        <v>5000</v>
      </c>
      <c r="H402" s="810"/>
      <c r="I402" s="810"/>
    </row>
    <row r="403" spans="1:9" s="492" customFormat="1" ht="14.4">
      <c r="A403" s="809"/>
      <c r="B403" s="807" t="s">
        <v>5117</v>
      </c>
      <c r="C403" s="814">
        <v>1</v>
      </c>
      <c r="D403" s="9" t="s">
        <v>772</v>
      </c>
      <c r="E403" s="810">
        <v>50</v>
      </c>
      <c r="F403" s="810"/>
      <c r="G403" s="1425"/>
      <c r="H403" s="810"/>
      <c r="I403" s="810">
        <f>+E403*C403</f>
        <v>50</v>
      </c>
    </row>
    <row r="404" spans="1:9" s="492" customFormat="1" ht="14.4">
      <c r="A404" s="1424" t="s">
        <v>190</v>
      </c>
      <c r="B404" s="813">
        <f>SUM(F404:I404)</f>
        <v>39050</v>
      </c>
      <c r="C404" s="814"/>
      <c r="D404" s="9"/>
      <c r="E404" s="810"/>
      <c r="F404" s="810">
        <f>+SUM(F400:F402)</f>
        <v>0</v>
      </c>
      <c r="G404" s="810">
        <f>+SUM(G400:G403)</f>
        <v>39000</v>
      </c>
      <c r="H404" s="810">
        <f>+SUM(H400:H402)</f>
        <v>0</v>
      </c>
      <c r="I404" s="810">
        <f>+SUM(I400:I403)</f>
        <v>50</v>
      </c>
    </row>
    <row r="405" spans="1:9" s="492" customFormat="1" ht="14.4">
      <c r="A405" s="1424" t="s">
        <v>191</v>
      </c>
      <c r="B405" s="813">
        <f>+B404</f>
        <v>39050</v>
      </c>
      <c r="C405" s="815" t="s">
        <v>45</v>
      </c>
      <c r="D405" s="816"/>
      <c r="E405" s="817"/>
      <c r="F405" s="817"/>
      <c r="G405" s="817"/>
      <c r="H405" s="817"/>
      <c r="I405" s="817"/>
    </row>
    <row r="406" spans="1:9" s="492" customFormat="1" ht="14.4">
      <c r="A406" s="1425"/>
      <c r="B406" s="1425"/>
      <c r="C406" s="1425"/>
      <c r="D406" s="1425"/>
      <c r="E406" s="1425"/>
      <c r="F406" s="1425"/>
      <c r="G406" s="1425"/>
      <c r="H406" s="1425"/>
      <c r="I406" s="1425"/>
    </row>
    <row r="407" spans="1:9" s="492" customFormat="1" ht="14.4">
      <c r="A407" s="1342" t="s">
        <v>5121</v>
      </c>
      <c r="B407" s="3552" t="s">
        <v>5122</v>
      </c>
      <c r="C407" s="3553"/>
      <c r="D407" s="3553"/>
      <c r="E407" s="3553"/>
      <c r="F407" s="3553"/>
      <c r="G407" s="3553"/>
      <c r="H407" s="3553"/>
      <c r="I407" s="3554"/>
    </row>
    <row r="408" spans="1:9" s="492" customFormat="1" ht="16.8">
      <c r="A408" s="809"/>
      <c r="B408" s="807"/>
      <c r="C408" s="808" t="s">
        <v>140</v>
      </c>
      <c r="D408" s="11" t="s">
        <v>343</v>
      </c>
      <c r="E408" s="33" t="s">
        <v>344</v>
      </c>
      <c r="F408" s="33" t="s">
        <v>482</v>
      </c>
      <c r="G408" s="33" t="s">
        <v>483</v>
      </c>
      <c r="H408" s="585" t="s">
        <v>232</v>
      </c>
      <c r="I408" s="33" t="s">
        <v>171</v>
      </c>
    </row>
    <row r="409" spans="1:9" s="492" customFormat="1" ht="14.4">
      <c r="A409" s="809" t="s">
        <v>172</v>
      </c>
      <c r="B409" s="807" t="s">
        <v>189</v>
      </c>
      <c r="C409" s="814">
        <v>1</v>
      </c>
      <c r="D409" s="9" t="s">
        <v>583</v>
      </c>
      <c r="E409" s="810">
        <f>+H412*0.05</f>
        <v>8768.7353650000005</v>
      </c>
      <c r="F409" s="810"/>
      <c r="G409" s="810"/>
      <c r="H409" s="810"/>
      <c r="I409" s="810">
        <f>+E409*C409</f>
        <v>8768.7353650000005</v>
      </c>
    </row>
    <row r="410" spans="1:9" s="492" customFormat="1" ht="14.4">
      <c r="A410" s="809" t="s">
        <v>348</v>
      </c>
      <c r="B410" s="807" t="str">
        <f>IF(PRESTA&gt;0,"AYUD. RASO (INCLUYE "&amp;""&amp;PRESTA*100&amp;"% PRESTACIONES)",0)</f>
        <v>AYUD. RASO (INCLUYE 82,22% PRESTACIONES)</v>
      </c>
      <c r="C410" s="814">
        <f>1/0.8</f>
        <v>1.25</v>
      </c>
      <c r="D410" s="9" t="s">
        <v>346</v>
      </c>
      <c r="E410" s="810">
        <f>+AYUDR</f>
        <v>50299.76584</v>
      </c>
      <c r="F410" s="810"/>
      <c r="G410" s="810"/>
      <c r="H410" s="810">
        <f>+E410*C410</f>
        <v>62874.707300000002</v>
      </c>
      <c r="I410" s="810"/>
    </row>
    <row r="411" spans="1:9" s="492" customFormat="1" ht="14.4">
      <c r="A411" s="809"/>
      <c r="B411" s="811" t="s">
        <v>5104</v>
      </c>
      <c r="C411" s="814">
        <f>1/0.8</f>
        <v>1.25</v>
      </c>
      <c r="D411" s="9" t="s">
        <v>717</v>
      </c>
      <c r="E411" s="810">
        <v>90000</v>
      </c>
      <c r="F411" s="810"/>
      <c r="G411" s="810"/>
      <c r="H411" s="810">
        <f>+E411*C411</f>
        <v>112500</v>
      </c>
      <c r="I411" s="810"/>
    </row>
    <row r="412" spans="1:9" s="492" customFormat="1" ht="14.4">
      <c r="A412" s="1424" t="s">
        <v>190</v>
      </c>
      <c r="B412" s="813">
        <f>SUM(F412:I412)</f>
        <v>184143.44266500001</v>
      </c>
      <c r="C412" s="814"/>
      <c r="D412" s="9"/>
      <c r="E412" s="810"/>
      <c r="F412" s="810">
        <f>+SUM(F409:F411)</f>
        <v>0</v>
      </c>
      <c r="G412" s="810">
        <f>+SUM(G409:G411)</f>
        <v>0</v>
      </c>
      <c r="H412" s="810">
        <f>+SUM(H409:H411)</f>
        <v>175374.70730000001</v>
      </c>
      <c r="I412" s="810">
        <f>+SUM(I409:I411)</f>
        <v>8768.7353650000005</v>
      </c>
    </row>
    <row r="413" spans="1:9" s="492" customFormat="1" ht="14.4">
      <c r="A413" s="1424" t="s">
        <v>191</v>
      </c>
      <c r="B413" s="813">
        <f>+B412</f>
        <v>184143.44266500001</v>
      </c>
      <c r="C413" s="815" t="s">
        <v>150</v>
      </c>
      <c r="D413" s="816"/>
      <c r="E413" s="817"/>
      <c r="F413" s="817"/>
      <c r="G413" s="817"/>
      <c r="H413" s="817"/>
      <c r="I413" s="817"/>
    </row>
    <row r="414" spans="1:9" s="492" customFormat="1" ht="14.4">
      <c r="A414" s="1425"/>
      <c r="B414" s="1425"/>
      <c r="C414" s="1425"/>
      <c r="D414" s="1425"/>
      <c r="E414" s="1425"/>
      <c r="F414" s="1425"/>
      <c r="G414" s="1425"/>
      <c r="H414" s="1425"/>
      <c r="I414" s="1425"/>
    </row>
    <row r="415" spans="1:9" s="492" customFormat="1" ht="15.75" customHeight="1">
      <c r="A415" s="1342" t="s">
        <v>5121</v>
      </c>
      <c r="B415" s="3552" t="s">
        <v>5123</v>
      </c>
      <c r="C415" s="3553"/>
      <c r="D415" s="3553"/>
      <c r="E415" s="3553"/>
      <c r="F415" s="3553"/>
      <c r="G415" s="3553"/>
      <c r="H415" s="3553"/>
      <c r="I415" s="3554"/>
    </row>
    <row r="416" spans="1:9" s="492" customFormat="1" ht="16.8">
      <c r="A416" s="809"/>
      <c r="B416" s="807"/>
      <c r="C416" s="808" t="s">
        <v>140</v>
      </c>
      <c r="D416" s="11" t="s">
        <v>343</v>
      </c>
      <c r="E416" s="33" t="s">
        <v>344</v>
      </c>
      <c r="F416" s="33" t="s">
        <v>482</v>
      </c>
      <c r="G416" s="33" t="s">
        <v>483</v>
      </c>
      <c r="H416" s="585" t="s">
        <v>232</v>
      </c>
      <c r="I416" s="33" t="s">
        <v>171</v>
      </c>
    </row>
    <row r="417" spans="1:9" s="492" customFormat="1" ht="14.4">
      <c r="A417" s="809"/>
      <c r="B417" s="1421" t="s">
        <v>5124</v>
      </c>
      <c r="C417" s="814">
        <v>1</v>
      </c>
      <c r="D417" s="9" t="s">
        <v>427</v>
      </c>
      <c r="E417" s="810">
        <v>182000</v>
      </c>
      <c r="F417" s="810"/>
      <c r="G417" s="810">
        <f>+E417*C417</f>
        <v>182000</v>
      </c>
      <c r="H417" s="810"/>
      <c r="I417" s="810"/>
    </row>
    <row r="418" spans="1:9" s="492" customFormat="1" ht="14.4">
      <c r="A418" s="809"/>
      <c r="B418" s="1421" t="s">
        <v>5125</v>
      </c>
      <c r="C418" s="814">
        <v>4</v>
      </c>
      <c r="D418" s="9" t="s">
        <v>427</v>
      </c>
      <c r="E418" s="810">
        <v>15000</v>
      </c>
      <c r="F418" s="810"/>
      <c r="G418" s="810">
        <f>+E418*C418</f>
        <v>60000</v>
      </c>
      <c r="H418" s="810"/>
      <c r="I418" s="810"/>
    </row>
    <row r="419" spans="1:9" s="492" customFormat="1" ht="14.4">
      <c r="A419" s="809"/>
      <c r="B419" s="1422" t="s">
        <v>5126</v>
      </c>
      <c r="C419" s="814">
        <v>1</v>
      </c>
      <c r="D419" s="9" t="s">
        <v>427</v>
      </c>
      <c r="E419" s="810">
        <v>42000</v>
      </c>
      <c r="F419" s="810"/>
      <c r="G419" s="810">
        <f>+E419*C419</f>
        <v>42000</v>
      </c>
      <c r="H419" s="810"/>
      <c r="I419" s="810"/>
    </row>
    <row r="420" spans="1:9" s="492" customFormat="1" ht="14.4">
      <c r="A420" s="809"/>
      <c r="B420" s="807" t="s">
        <v>5127</v>
      </c>
      <c r="C420" s="814">
        <v>1</v>
      </c>
      <c r="D420" s="9" t="s">
        <v>772</v>
      </c>
      <c r="E420" s="810">
        <v>50</v>
      </c>
      <c r="F420" s="810"/>
      <c r="G420" s="1425"/>
      <c r="H420" s="810"/>
      <c r="I420" s="810">
        <f>+E420*C420</f>
        <v>50</v>
      </c>
    </row>
    <row r="421" spans="1:9" s="492" customFormat="1" ht="14.4">
      <c r="A421" s="1424" t="s">
        <v>190</v>
      </c>
      <c r="B421" s="813">
        <f>SUM(F421:I421)</f>
        <v>284050</v>
      </c>
      <c r="C421" s="814"/>
      <c r="D421" s="9"/>
      <c r="E421" s="810"/>
      <c r="F421" s="810">
        <f>+SUM(F417:F419)</f>
        <v>0</v>
      </c>
      <c r="G421" s="810">
        <f>+SUM(G417:G420)</f>
        <v>284000</v>
      </c>
      <c r="H421" s="810">
        <f>+SUM(H417:H419)</f>
        <v>0</v>
      </c>
      <c r="I421" s="810">
        <f>+SUM(I417:I420)</f>
        <v>50</v>
      </c>
    </row>
    <row r="422" spans="1:9" s="492" customFormat="1" ht="14.4">
      <c r="A422" s="1424" t="s">
        <v>191</v>
      </c>
      <c r="B422" s="813">
        <f>+B421</f>
        <v>284050</v>
      </c>
      <c r="C422" s="815" t="s">
        <v>150</v>
      </c>
      <c r="D422" s="816"/>
      <c r="E422" s="817"/>
      <c r="F422" s="817"/>
      <c r="G422" s="817"/>
      <c r="H422" s="817"/>
      <c r="I422" s="817"/>
    </row>
    <row r="423" spans="1:9" s="492" customFormat="1" ht="14.4">
      <c r="A423" s="1425"/>
      <c r="B423" s="1425"/>
      <c r="C423" s="1425"/>
      <c r="D423" s="1425"/>
      <c r="E423" s="1425"/>
      <c r="F423" s="1425"/>
      <c r="G423" s="1425"/>
      <c r="H423" s="1425"/>
      <c r="I423" s="1425"/>
    </row>
    <row r="424" spans="1:9" s="492" customFormat="1" ht="14.4">
      <c r="A424" s="1342" t="s">
        <v>5130</v>
      </c>
      <c r="B424" s="3552" t="s">
        <v>5128</v>
      </c>
      <c r="C424" s="3553"/>
      <c r="D424" s="3553"/>
      <c r="E424" s="3553"/>
      <c r="F424" s="3553"/>
      <c r="G424" s="3553"/>
      <c r="H424" s="3553"/>
      <c r="I424" s="3554"/>
    </row>
    <row r="425" spans="1:9" s="492" customFormat="1" ht="16.8">
      <c r="A425" s="809"/>
      <c r="B425" s="807"/>
      <c r="C425" s="808" t="s">
        <v>140</v>
      </c>
      <c r="D425" s="11" t="s">
        <v>343</v>
      </c>
      <c r="E425" s="33" t="s">
        <v>344</v>
      </c>
      <c r="F425" s="33" t="s">
        <v>482</v>
      </c>
      <c r="G425" s="33" t="s">
        <v>483</v>
      </c>
      <c r="H425" s="585" t="s">
        <v>232</v>
      </c>
      <c r="I425" s="33" t="s">
        <v>171</v>
      </c>
    </row>
    <row r="426" spans="1:9" s="492" customFormat="1" ht="14.4">
      <c r="A426" s="809" t="s">
        <v>172</v>
      </c>
      <c r="B426" s="807" t="s">
        <v>189</v>
      </c>
      <c r="C426" s="814">
        <v>1</v>
      </c>
      <c r="D426" s="9" t="s">
        <v>583</v>
      </c>
      <c r="E426" s="810">
        <f>+H429*0.05</f>
        <v>10021.411845714287</v>
      </c>
      <c r="F426" s="810"/>
      <c r="G426" s="810"/>
      <c r="H426" s="810"/>
      <c r="I426" s="810">
        <f>+E426*C426</f>
        <v>10021.411845714287</v>
      </c>
    </row>
    <row r="427" spans="1:9" s="492" customFormat="1" ht="14.4">
      <c r="A427" s="809" t="s">
        <v>348</v>
      </c>
      <c r="B427" s="807" t="str">
        <f>IF(PRESTA&gt;0,"AYUD. RASO (INCLUYE "&amp;""&amp;PRESTA*100&amp;"% PRESTACIONES)",0)</f>
        <v>AYUD. RASO (INCLUYE 82,22% PRESTACIONES)</v>
      </c>
      <c r="C427" s="814">
        <f>1/0.7</f>
        <v>1.4285714285714286</v>
      </c>
      <c r="D427" s="9" t="s">
        <v>346</v>
      </c>
      <c r="E427" s="810">
        <f>+AYUDR</f>
        <v>50299.76584</v>
      </c>
      <c r="F427" s="810"/>
      <c r="G427" s="810"/>
      <c r="H427" s="810">
        <f>+E427*C427</f>
        <v>71856.808342857141</v>
      </c>
      <c r="I427" s="810"/>
    </row>
    <row r="428" spans="1:9" s="492" customFormat="1" ht="14.4">
      <c r="A428" s="809"/>
      <c r="B428" s="811" t="s">
        <v>5104</v>
      </c>
      <c r="C428" s="814">
        <f>1/0.7</f>
        <v>1.4285714285714286</v>
      </c>
      <c r="D428" s="9" t="s">
        <v>717</v>
      </c>
      <c r="E428" s="810">
        <v>90000</v>
      </c>
      <c r="F428" s="810"/>
      <c r="G428" s="810"/>
      <c r="H428" s="810">
        <f>+E428*C428</f>
        <v>128571.42857142858</v>
      </c>
      <c r="I428" s="810"/>
    </row>
    <row r="429" spans="1:9" s="492" customFormat="1" ht="14.4">
      <c r="A429" s="1424" t="s">
        <v>190</v>
      </c>
      <c r="B429" s="813">
        <f>SUM(F429:I429)</f>
        <v>210449.64876000001</v>
      </c>
      <c r="C429" s="814"/>
      <c r="D429" s="9"/>
      <c r="E429" s="810"/>
      <c r="F429" s="810">
        <f>+SUM(F426:F428)</f>
        <v>0</v>
      </c>
      <c r="G429" s="810">
        <f>+SUM(G426:G428)</f>
        <v>0</v>
      </c>
      <c r="H429" s="810">
        <f>+SUM(H426:H428)</f>
        <v>200428.23691428572</v>
      </c>
      <c r="I429" s="810">
        <f>+SUM(I426:I428)</f>
        <v>10021.411845714287</v>
      </c>
    </row>
    <row r="430" spans="1:9" s="492" customFormat="1" ht="14.4">
      <c r="A430" s="1424" t="s">
        <v>191</v>
      </c>
      <c r="B430" s="813">
        <f>+B429</f>
        <v>210449.64876000001</v>
      </c>
      <c r="C430" s="815" t="s">
        <v>150</v>
      </c>
      <c r="D430" s="816"/>
      <c r="E430" s="817"/>
      <c r="F430" s="817"/>
      <c r="G430" s="817"/>
      <c r="H430" s="817"/>
      <c r="I430" s="817"/>
    </row>
    <row r="431" spans="1:9" s="492" customFormat="1" ht="14.4">
      <c r="A431" s="1425"/>
      <c r="B431" s="1425"/>
      <c r="C431" s="1425"/>
      <c r="D431" s="1425"/>
      <c r="E431" s="1425"/>
      <c r="F431" s="1425"/>
      <c r="G431" s="1425"/>
      <c r="H431" s="1425"/>
      <c r="I431" s="1425"/>
    </row>
    <row r="432" spans="1:9" s="492" customFormat="1" ht="14.4">
      <c r="A432" s="1342" t="s">
        <v>5130</v>
      </c>
      <c r="B432" s="3552" t="s">
        <v>5129</v>
      </c>
      <c r="C432" s="3553"/>
      <c r="D432" s="3553"/>
      <c r="E432" s="3553"/>
      <c r="F432" s="3553"/>
      <c r="G432" s="3553"/>
      <c r="H432" s="3553"/>
      <c r="I432" s="3554"/>
    </row>
    <row r="433" spans="1:9" s="492" customFormat="1" ht="16.8">
      <c r="A433" s="809"/>
      <c r="B433" s="807"/>
      <c r="C433" s="808" t="s">
        <v>140</v>
      </c>
      <c r="D433" s="11" t="s">
        <v>343</v>
      </c>
      <c r="E433" s="33" t="s">
        <v>344</v>
      </c>
      <c r="F433" s="33" t="s">
        <v>482</v>
      </c>
      <c r="G433" s="33" t="s">
        <v>483</v>
      </c>
      <c r="H433" s="585" t="s">
        <v>232</v>
      </c>
      <c r="I433" s="33" t="s">
        <v>171</v>
      </c>
    </row>
    <row r="434" spans="1:9" s="492" customFormat="1" ht="14.4">
      <c r="A434" s="809"/>
      <c r="B434" s="1421" t="s">
        <v>5131</v>
      </c>
      <c r="C434" s="814">
        <v>1</v>
      </c>
      <c r="D434" s="9" t="s">
        <v>427</v>
      </c>
      <c r="E434" s="810">
        <v>85000</v>
      </c>
      <c r="F434" s="810"/>
      <c r="G434" s="810">
        <f>+E434*C434</f>
        <v>85000</v>
      </c>
      <c r="H434" s="810"/>
      <c r="I434" s="810"/>
    </row>
    <row r="435" spans="1:9" s="492" customFormat="1" ht="14.4">
      <c r="A435" s="809"/>
      <c r="B435" s="1421" t="s">
        <v>5125</v>
      </c>
      <c r="C435" s="814">
        <v>2</v>
      </c>
      <c r="D435" s="9" t="s">
        <v>427</v>
      </c>
      <c r="E435" s="810">
        <v>15000</v>
      </c>
      <c r="F435" s="810"/>
      <c r="G435" s="810">
        <f>+E435*C435</f>
        <v>30000</v>
      </c>
      <c r="H435" s="810"/>
      <c r="I435" s="810"/>
    </row>
    <row r="436" spans="1:9" s="492" customFormat="1" ht="14.4">
      <c r="A436" s="809"/>
      <c r="B436" s="1422" t="s">
        <v>5126</v>
      </c>
      <c r="C436" s="814">
        <v>1</v>
      </c>
      <c r="D436" s="9" t="s">
        <v>427</v>
      </c>
      <c r="E436" s="810">
        <v>42000</v>
      </c>
      <c r="F436" s="810"/>
      <c r="G436" s="810">
        <f>+E436*C436</f>
        <v>42000</v>
      </c>
      <c r="H436" s="810"/>
      <c r="I436" s="810"/>
    </row>
    <row r="437" spans="1:9" s="492" customFormat="1" ht="14.4">
      <c r="A437" s="809"/>
      <c r="B437" s="807" t="s">
        <v>5127</v>
      </c>
      <c r="C437" s="814">
        <v>1</v>
      </c>
      <c r="D437" s="9" t="s">
        <v>772</v>
      </c>
      <c r="E437" s="810">
        <v>50</v>
      </c>
      <c r="F437" s="810"/>
      <c r="G437" s="1425"/>
      <c r="H437" s="810"/>
      <c r="I437" s="810">
        <f>+E437*C437</f>
        <v>50</v>
      </c>
    </row>
    <row r="438" spans="1:9" s="492" customFormat="1" ht="14.4">
      <c r="A438" s="1424" t="s">
        <v>190</v>
      </c>
      <c r="B438" s="813">
        <f>SUM(F438:I438)</f>
        <v>157050</v>
      </c>
      <c r="C438" s="814"/>
      <c r="D438" s="9"/>
      <c r="E438" s="810"/>
      <c r="F438" s="810">
        <f>+SUM(F434:F436)</f>
        <v>0</v>
      </c>
      <c r="G438" s="810">
        <f>+SUM(G434:G437)</f>
        <v>157000</v>
      </c>
      <c r="H438" s="810">
        <f>+SUM(H434:H436)</f>
        <v>0</v>
      </c>
      <c r="I438" s="810">
        <f>+SUM(I434:I437)</f>
        <v>50</v>
      </c>
    </row>
    <row r="439" spans="1:9" s="492" customFormat="1" ht="14.4">
      <c r="A439" s="1424" t="s">
        <v>191</v>
      </c>
      <c r="B439" s="813">
        <f>+B438</f>
        <v>157050</v>
      </c>
      <c r="C439" s="815" t="s">
        <v>150</v>
      </c>
      <c r="D439" s="816"/>
      <c r="E439" s="817"/>
      <c r="F439" s="817"/>
      <c r="G439" s="817"/>
      <c r="H439" s="817"/>
      <c r="I439" s="817"/>
    </row>
    <row r="440" spans="1:9" s="492" customFormat="1" ht="14.4">
      <c r="A440" s="1425"/>
      <c r="B440" s="1425"/>
      <c r="C440" s="1425"/>
      <c r="D440" s="1425"/>
      <c r="E440" s="1425"/>
      <c r="F440" s="1425"/>
      <c r="G440" s="1425"/>
      <c r="H440" s="1425"/>
      <c r="I440" s="1425"/>
    </row>
    <row r="441" spans="1:9" s="492" customFormat="1" ht="14.4">
      <c r="A441" s="1342" t="s">
        <v>5132</v>
      </c>
      <c r="B441" s="3552" t="s">
        <v>5133</v>
      </c>
      <c r="C441" s="3553"/>
      <c r="D441" s="3553"/>
      <c r="E441" s="3553"/>
      <c r="F441" s="3553"/>
      <c r="G441" s="3553"/>
      <c r="H441" s="3553"/>
      <c r="I441" s="3554"/>
    </row>
    <row r="442" spans="1:9" s="492" customFormat="1" ht="16.8">
      <c r="A442" s="809"/>
      <c r="B442" s="807"/>
      <c r="C442" s="808" t="s">
        <v>140</v>
      </c>
      <c r="D442" s="11" t="s">
        <v>343</v>
      </c>
      <c r="E442" s="33" t="s">
        <v>344</v>
      </c>
      <c r="F442" s="33" t="s">
        <v>482</v>
      </c>
      <c r="G442" s="33" t="s">
        <v>483</v>
      </c>
      <c r="H442" s="585" t="s">
        <v>232</v>
      </c>
      <c r="I442" s="33" t="s">
        <v>171</v>
      </c>
    </row>
    <row r="443" spans="1:9" s="492" customFormat="1" ht="14.4">
      <c r="A443" s="809" t="s">
        <v>172</v>
      </c>
      <c r="B443" s="807" t="s">
        <v>189</v>
      </c>
      <c r="C443" s="814">
        <v>1</v>
      </c>
      <c r="D443" s="9" t="s">
        <v>583</v>
      </c>
      <c r="E443" s="810">
        <f>+H446*0.05</f>
        <v>1402.9976584000001</v>
      </c>
      <c r="F443" s="810"/>
      <c r="G443" s="810"/>
      <c r="H443" s="810"/>
      <c r="I443" s="810">
        <f>+E443*C443</f>
        <v>1402.9976584000001</v>
      </c>
    </row>
    <row r="444" spans="1:9" s="492" customFormat="1" ht="14.4">
      <c r="A444" s="809" t="s">
        <v>348</v>
      </c>
      <c r="B444" s="807" t="str">
        <f>IF(PRESTA&gt;0,"AYUD. RASO (INCLUYE "&amp;""&amp;PRESTA*100&amp;"% PRESTACIONES)",0)</f>
        <v>AYUD. RASO (INCLUYE 82,22% PRESTACIONES)</v>
      </c>
      <c r="C444" s="814">
        <f>1/5</f>
        <v>0.2</v>
      </c>
      <c r="D444" s="9" t="s">
        <v>346</v>
      </c>
      <c r="E444" s="810">
        <f>+AYUDR</f>
        <v>50299.76584</v>
      </c>
      <c r="F444" s="810"/>
      <c r="G444" s="810"/>
      <c r="H444" s="810">
        <f>+E444*C444</f>
        <v>10059.953168</v>
      </c>
      <c r="I444" s="810"/>
    </row>
    <row r="445" spans="1:9" s="492" customFormat="1" ht="14.4">
      <c r="A445" s="809"/>
      <c r="B445" s="811" t="s">
        <v>5104</v>
      </c>
      <c r="C445" s="814">
        <f>1/5</f>
        <v>0.2</v>
      </c>
      <c r="D445" s="9" t="s">
        <v>717</v>
      </c>
      <c r="E445" s="810">
        <v>90000</v>
      </c>
      <c r="F445" s="810"/>
      <c r="G445" s="810"/>
      <c r="H445" s="810">
        <f>+E445*C445</f>
        <v>18000</v>
      </c>
      <c r="I445" s="810"/>
    </row>
    <row r="446" spans="1:9" s="492" customFormat="1" ht="14.4">
      <c r="A446" s="1424" t="s">
        <v>190</v>
      </c>
      <c r="B446" s="813">
        <f>SUM(F446:I446)</f>
        <v>29462.9508264</v>
      </c>
      <c r="C446" s="814"/>
      <c r="D446" s="9"/>
      <c r="E446" s="810"/>
      <c r="F446" s="810">
        <f>+SUM(F443:F445)</f>
        <v>0</v>
      </c>
      <c r="G446" s="810">
        <f>+SUM(G443:G445)</f>
        <v>0</v>
      </c>
      <c r="H446" s="810">
        <f>+SUM(H443:H445)</f>
        <v>28059.953168</v>
      </c>
      <c r="I446" s="810">
        <f>+SUM(I443:I445)</f>
        <v>1402.9976584000001</v>
      </c>
    </row>
    <row r="447" spans="1:9" s="492" customFormat="1" ht="14.4">
      <c r="A447" s="1424" t="s">
        <v>191</v>
      </c>
      <c r="B447" s="813">
        <f>+B446</f>
        <v>29462.9508264</v>
      </c>
      <c r="C447" s="815" t="s">
        <v>133</v>
      </c>
      <c r="D447" s="816"/>
      <c r="E447" s="817"/>
      <c r="F447" s="817"/>
      <c r="G447" s="817"/>
      <c r="H447" s="817"/>
      <c r="I447" s="817"/>
    </row>
    <row r="448" spans="1:9" s="492" customFormat="1" ht="14.4">
      <c r="A448" s="1425"/>
      <c r="B448" s="1425"/>
      <c r="C448" s="1425"/>
      <c r="D448" s="1425"/>
      <c r="E448" s="1425"/>
      <c r="F448" s="1425"/>
      <c r="G448" s="1425"/>
      <c r="H448" s="1425"/>
      <c r="I448" s="1425"/>
    </row>
    <row r="449" spans="1:9" s="492" customFormat="1" ht="15.75" customHeight="1">
      <c r="A449" s="1342" t="s">
        <v>5132</v>
      </c>
      <c r="B449" s="3552" t="s">
        <v>5134</v>
      </c>
      <c r="C449" s="3553"/>
      <c r="D449" s="3553"/>
      <c r="E449" s="3553"/>
      <c r="F449" s="3553"/>
      <c r="G449" s="3553"/>
      <c r="H449" s="3553"/>
      <c r="I449" s="3554"/>
    </row>
    <row r="450" spans="1:9" s="492" customFormat="1" ht="16.8">
      <c r="A450" s="809"/>
      <c r="B450" s="807"/>
      <c r="C450" s="808" t="s">
        <v>140</v>
      </c>
      <c r="D450" s="11" t="s">
        <v>343</v>
      </c>
      <c r="E450" s="33" t="s">
        <v>344</v>
      </c>
      <c r="F450" s="33" t="s">
        <v>482</v>
      </c>
      <c r="G450" s="33" t="s">
        <v>483</v>
      </c>
      <c r="H450" s="585" t="s">
        <v>232</v>
      </c>
      <c r="I450" s="33" t="s">
        <v>171</v>
      </c>
    </row>
    <row r="451" spans="1:9" s="492" customFormat="1" ht="14.4">
      <c r="A451" s="809"/>
      <c r="B451" s="1426" t="s">
        <v>5135</v>
      </c>
      <c r="C451" s="814">
        <v>5</v>
      </c>
      <c r="D451" s="9" t="s">
        <v>45</v>
      </c>
      <c r="E451" s="810">
        <v>3000</v>
      </c>
      <c r="F451" s="810"/>
      <c r="G451" s="810">
        <f t="shared" ref="G451:G456" si="6">+E451*C451</f>
        <v>15000</v>
      </c>
      <c r="H451" s="810"/>
      <c r="I451" s="810"/>
    </row>
    <row r="452" spans="1:9" s="492" customFormat="1" ht="14.4">
      <c r="A452" s="809"/>
      <c r="B452" s="1423" t="s">
        <v>5136</v>
      </c>
      <c r="C452" s="814">
        <v>15</v>
      </c>
      <c r="D452" s="9" t="s">
        <v>45</v>
      </c>
      <c r="E452" s="810">
        <v>1500</v>
      </c>
      <c r="F452" s="810"/>
      <c r="G452" s="810">
        <f t="shared" si="6"/>
        <v>22500</v>
      </c>
      <c r="H452" s="810"/>
      <c r="I452" s="810"/>
    </row>
    <row r="453" spans="1:9" s="492" customFormat="1" ht="14.4">
      <c r="A453" s="809"/>
      <c r="B453" s="1426" t="s">
        <v>5137</v>
      </c>
      <c r="C453" s="814">
        <v>1</v>
      </c>
      <c r="D453" s="9" t="s">
        <v>427</v>
      </c>
      <c r="E453" s="810">
        <v>2500</v>
      </c>
      <c r="F453" s="810"/>
      <c r="G453" s="810">
        <f t="shared" si="6"/>
        <v>2500</v>
      </c>
      <c r="H453" s="810"/>
      <c r="I453" s="810"/>
    </row>
    <row r="454" spans="1:9" s="492" customFormat="1" ht="14.4">
      <c r="A454" s="809"/>
      <c r="B454" s="1423" t="s">
        <v>5138</v>
      </c>
      <c r="C454" s="814">
        <v>2</v>
      </c>
      <c r="D454" s="9" t="s">
        <v>427</v>
      </c>
      <c r="E454" s="810">
        <v>1000</v>
      </c>
      <c r="F454" s="810"/>
      <c r="G454" s="810">
        <f t="shared" si="6"/>
        <v>2000</v>
      </c>
      <c r="H454" s="810"/>
      <c r="I454" s="810"/>
    </row>
    <row r="455" spans="1:9" s="492" customFormat="1" ht="14.4">
      <c r="A455" s="809"/>
      <c r="B455" s="1423" t="s">
        <v>5139</v>
      </c>
      <c r="C455" s="814">
        <v>2</v>
      </c>
      <c r="D455" s="9" t="s">
        <v>427</v>
      </c>
      <c r="E455" s="810">
        <v>1000</v>
      </c>
      <c r="F455" s="810"/>
      <c r="G455" s="810">
        <f t="shared" si="6"/>
        <v>2000</v>
      </c>
      <c r="H455" s="810"/>
      <c r="I455" s="810"/>
    </row>
    <row r="456" spans="1:9" s="492" customFormat="1" ht="14.4">
      <c r="A456" s="809"/>
      <c r="B456" s="1423" t="s">
        <v>5140</v>
      </c>
      <c r="C456" s="814">
        <v>1</v>
      </c>
      <c r="D456" s="9" t="s">
        <v>772</v>
      </c>
      <c r="E456" s="810">
        <v>2000</v>
      </c>
      <c r="F456" s="810"/>
      <c r="G456" s="810">
        <f t="shared" si="6"/>
        <v>2000</v>
      </c>
      <c r="H456" s="810"/>
      <c r="I456" s="810"/>
    </row>
    <row r="457" spans="1:9" s="492" customFormat="1" ht="14.4">
      <c r="A457" s="809"/>
      <c r="B457" s="807" t="s">
        <v>5141</v>
      </c>
      <c r="C457" s="814">
        <v>1</v>
      </c>
      <c r="D457" s="9" t="s">
        <v>772</v>
      </c>
      <c r="E457" s="810">
        <v>200</v>
      </c>
      <c r="F457" s="810"/>
      <c r="G457" s="1425"/>
      <c r="H457" s="810"/>
      <c r="I457" s="810">
        <f>+E457*C457</f>
        <v>200</v>
      </c>
    </row>
    <row r="458" spans="1:9" s="492" customFormat="1" ht="14.4">
      <c r="A458" s="1424" t="s">
        <v>190</v>
      </c>
      <c r="B458" s="813">
        <f>SUM(F458:I458)</f>
        <v>46200</v>
      </c>
      <c r="C458" s="814"/>
      <c r="D458" s="9"/>
      <c r="E458" s="810"/>
      <c r="F458" s="810">
        <f>+SUM(F451:F453)</f>
        <v>0</v>
      </c>
      <c r="G458" s="810">
        <f>+SUM(G451:G457)</f>
        <v>46000</v>
      </c>
      <c r="H458" s="810">
        <f>+SUM(H451:H453)</f>
        <v>0</v>
      </c>
      <c r="I458" s="810">
        <f>+SUM(I451:I457)</f>
        <v>200</v>
      </c>
    </row>
    <row r="459" spans="1:9" s="492" customFormat="1" ht="14.4">
      <c r="A459" s="1424" t="s">
        <v>191</v>
      </c>
      <c r="B459" s="813">
        <f>+B458</f>
        <v>46200</v>
      </c>
      <c r="C459" s="815" t="s">
        <v>133</v>
      </c>
      <c r="D459" s="816"/>
      <c r="E459" s="817"/>
      <c r="F459" s="817"/>
      <c r="G459" s="817"/>
      <c r="H459" s="817"/>
      <c r="I459" s="817"/>
    </row>
    <row r="460" spans="1:9" s="492" customFormat="1" ht="14.4">
      <c r="A460" s="1425"/>
      <c r="B460" s="1425"/>
      <c r="C460" s="1425"/>
      <c r="D460" s="1425"/>
      <c r="E460" s="1425"/>
      <c r="F460" s="1425"/>
      <c r="G460" s="1425"/>
      <c r="H460" s="1425"/>
      <c r="I460" s="1425"/>
    </row>
    <row r="461" spans="1:9" s="492" customFormat="1" ht="14.4">
      <c r="A461" s="1342" t="s">
        <v>5142</v>
      </c>
      <c r="B461" s="3552" t="s">
        <v>5143</v>
      </c>
      <c r="C461" s="3553"/>
      <c r="D461" s="3553"/>
      <c r="E461" s="3553"/>
      <c r="F461" s="3553"/>
      <c r="G461" s="3553"/>
      <c r="H461" s="3553"/>
      <c r="I461" s="3554"/>
    </row>
    <row r="462" spans="1:9" s="492" customFormat="1" ht="15.75" customHeight="1">
      <c r="A462" s="809"/>
      <c r="B462" s="807"/>
      <c r="C462" s="808" t="s">
        <v>140</v>
      </c>
      <c r="D462" s="11" t="s">
        <v>343</v>
      </c>
      <c r="E462" s="33" t="s">
        <v>344</v>
      </c>
      <c r="F462" s="33" t="s">
        <v>482</v>
      </c>
      <c r="G462" s="33" t="s">
        <v>483</v>
      </c>
      <c r="H462" s="585" t="s">
        <v>232</v>
      </c>
      <c r="I462" s="33" t="s">
        <v>171</v>
      </c>
    </row>
    <row r="463" spans="1:9" s="492" customFormat="1" ht="14.4">
      <c r="A463" s="809" t="s">
        <v>172</v>
      </c>
      <c r="B463" s="807" t="s">
        <v>189</v>
      </c>
      <c r="C463" s="814">
        <v>1</v>
      </c>
      <c r="D463" s="9" t="s">
        <v>583</v>
      </c>
      <c r="E463" s="810">
        <f>+H466*0.05</f>
        <v>1402.9976584000001</v>
      </c>
      <c r="F463" s="810"/>
      <c r="G463" s="810"/>
      <c r="H463" s="810"/>
      <c r="I463" s="810">
        <f>+E463*C463</f>
        <v>1402.9976584000001</v>
      </c>
    </row>
    <row r="464" spans="1:9" s="492" customFormat="1" ht="14.4">
      <c r="A464" s="809" t="s">
        <v>348</v>
      </c>
      <c r="B464" s="807" t="str">
        <f>IF(PRESTA&gt;0,"AYUD. RASO (INCLUYE "&amp;""&amp;PRESTA*100&amp;"% PRESTACIONES)",0)</f>
        <v>AYUD. RASO (INCLUYE 82,22% PRESTACIONES)</v>
      </c>
      <c r="C464" s="814">
        <f>1/5</f>
        <v>0.2</v>
      </c>
      <c r="D464" s="9" t="s">
        <v>346</v>
      </c>
      <c r="E464" s="810">
        <f>+AYUDR</f>
        <v>50299.76584</v>
      </c>
      <c r="F464" s="810"/>
      <c r="G464" s="810"/>
      <c r="H464" s="810">
        <f>+E464*C464</f>
        <v>10059.953168</v>
      </c>
      <c r="I464" s="810"/>
    </row>
    <row r="465" spans="1:9" s="492" customFormat="1" ht="14.4">
      <c r="A465" s="809"/>
      <c r="B465" s="811" t="s">
        <v>5104</v>
      </c>
      <c r="C465" s="814">
        <f>1/5</f>
        <v>0.2</v>
      </c>
      <c r="D465" s="9" t="s">
        <v>717</v>
      </c>
      <c r="E465" s="810">
        <v>90000</v>
      </c>
      <c r="F465" s="810"/>
      <c r="G465" s="810"/>
      <c r="H465" s="810">
        <f>+E465*C465</f>
        <v>18000</v>
      </c>
      <c r="I465" s="810"/>
    </row>
    <row r="466" spans="1:9" s="492" customFormat="1" ht="14.4">
      <c r="A466" s="1424" t="s">
        <v>190</v>
      </c>
      <c r="B466" s="813">
        <f>SUM(F466:I466)</f>
        <v>29462.9508264</v>
      </c>
      <c r="C466" s="814"/>
      <c r="D466" s="9"/>
      <c r="E466" s="810"/>
      <c r="F466" s="810">
        <f>+SUM(F463:F465)</f>
        <v>0</v>
      </c>
      <c r="G466" s="810">
        <f>+SUM(G463:G465)</f>
        <v>0</v>
      </c>
      <c r="H466" s="810">
        <f>+SUM(H463:H465)</f>
        <v>28059.953168</v>
      </c>
      <c r="I466" s="810">
        <f>+SUM(I463:I465)</f>
        <v>1402.9976584000001</v>
      </c>
    </row>
    <row r="467" spans="1:9" s="492" customFormat="1" ht="14.4">
      <c r="A467" s="1424" t="s">
        <v>191</v>
      </c>
      <c r="B467" s="813">
        <f>+B466</f>
        <v>29462.9508264</v>
      </c>
      <c r="C467" s="815" t="s">
        <v>133</v>
      </c>
      <c r="D467" s="816"/>
      <c r="E467" s="817"/>
      <c r="F467" s="817"/>
      <c r="G467" s="817"/>
      <c r="H467" s="817"/>
      <c r="I467" s="817"/>
    </row>
    <row r="468" spans="1:9" s="492" customFormat="1" ht="14.4">
      <c r="A468" s="1425"/>
      <c r="B468" s="1425"/>
      <c r="C468" s="1425"/>
      <c r="D468" s="1425"/>
      <c r="E468" s="1425"/>
      <c r="F468" s="1425"/>
      <c r="G468" s="1425"/>
      <c r="H468" s="1425"/>
      <c r="I468" s="1425"/>
    </row>
    <row r="469" spans="1:9" s="492" customFormat="1" ht="15.75" customHeight="1">
      <c r="A469" s="1342" t="s">
        <v>5142</v>
      </c>
      <c r="B469" s="3552" t="s">
        <v>5144</v>
      </c>
      <c r="C469" s="3553"/>
      <c r="D469" s="3553"/>
      <c r="E469" s="3553"/>
      <c r="F469" s="3553"/>
      <c r="G469" s="3553"/>
      <c r="H469" s="3553"/>
      <c r="I469" s="3554"/>
    </row>
    <row r="470" spans="1:9" s="492" customFormat="1" ht="16.8">
      <c r="A470" s="809"/>
      <c r="B470" s="807"/>
      <c r="C470" s="808" t="s">
        <v>140</v>
      </c>
      <c r="D470" s="11" t="s">
        <v>343</v>
      </c>
      <c r="E470" s="33" t="s">
        <v>344</v>
      </c>
      <c r="F470" s="33" t="s">
        <v>482</v>
      </c>
      <c r="G470" s="33" t="s">
        <v>483</v>
      </c>
      <c r="H470" s="585" t="s">
        <v>232</v>
      </c>
      <c r="I470" s="33" t="s">
        <v>171</v>
      </c>
    </row>
    <row r="471" spans="1:9" s="492" customFormat="1" ht="14.4">
      <c r="A471" s="809"/>
      <c r="B471" s="1426" t="s">
        <v>5145</v>
      </c>
      <c r="C471" s="814">
        <v>5</v>
      </c>
      <c r="D471" s="9" t="s">
        <v>45</v>
      </c>
      <c r="E471" s="810">
        <v>1500</v>
      </c>
      <c r="F471" s="810"/>
      <c r="G471" s="810">
        <f t="shared" ref="G471:G477" si="7">+E471*C471</f>
        <v>7500</v>
      </c>
      <c r="H471" s="810"/>
      <c r="I471" s="810"/>
    </row>
    <row r="472" spans="1:9" s="492" customFormat="1" ht="14.4">
      <c r="A472" s="809"/>
      <c r="B472" s="1423" t="s">
        <v>5136</v>
      </c>
      <c r="C472" s="814">
        <v>15</v>
      </c>
      <c r="D472" s="9" t="s">
        <v>45</v>
      </c>
      <c r="E472" s="810">
        <v>1500</v>
      </c>
      <c r="F472" s="810"/>
      <c r="G472" s="810">
        <f t="shared" si="7"/>
        <v>22500</v>
      </c>
      <c r="H472" s="810"/>
      <c r="I472" s="810"/>
    </row>
    <row r="473" spans="1:9" s="492" customFormat="1" ht="14.4">
      <c r="A473" s="809"/>
      <c r="B473" s="1426" t="s">
        <v>5146</v>
      </c>
      <c r="C473" s="814">
        <v>1</v>
      </c>
      <c r="D473" s="9" t="s">
        <v>427</v>
      </c>
      <c r="E473" s="810">
        <v>1200</v>
      </c>
      <c r="F473" s="810"/>
      <c r="G473" s="810">
        <f t="shared" si="7"/>
        <v>1200</v>
      </c>
      <c r="H473" s="810"/>
      <c r="I473" s="810"/>
    </row>
    <row r="474" spans="1:9" s="492" customFormat="1" ht="14.4">
      <c r="A474" s="809"/>
      <c r="B474" s="1423" t="s">
        <v>5147</v>
      </c>
      <c r="C474" s="814">
        <v>2</v>
      </c>
      <c r="D474" s="9" t="s">
        <v>427</v>
      </c>
      <c r="E474" s="810">
        <v>500</v>
      </c>
      <c r="F474" s="810"/>
      <c r="G474" s="810">
        <f t="shared" si="7"/>
        <v>1000</v>
      </c>
      <c r="H474" s="810"/>
      <c r="I474" s="810"/>
    </row>
    <row r="475" spans="1:9" s="492" customFormat="1" ht="14.4">
      <c r="A475" s="809"/>
      <c r="B475" s="1423" t="s">
        <v>5148</v>
      </c>
      <c r="C475" s="814">
        <v>2</v>
      </c>
      <c r="D475" s="9" t="s">
        <v>427</v>
      </c>
      <c r="E475" s="810">
        <v>500</v>
      </c>
      <c r="F475" s="810"/>
      <c r="G475" s="810">
        <f t="shared" si="7"/>
        <v>1000</v>
      </c>
      <c r="H475" s="810"/>
      <c r="I475" s="810"/>
    </row>
    <row r="476" spans="1:9" s="492" customFormat="1" ht="14.4">
      <c r="A476" s="809"/>
      <c r="B476" s="1423" t="s">
        <v>5149</v>
      </c>
      <c r="C476" s="814">
        <v>1</v>
      </c>
      <c r="D476" s="9" t="s">
        <v>427</v>
      </c>
      <c r="E476" s="810">
        <v>4000</v>
      </c>
      <c r="F476" s="810"/>
      <c r="G476" s="810">
        <f t="shared" si="7"/>
        <v>4000</v>
      </c>
      <c r="H476" s="810"/>
      <c r="I476" s="810"/>
    </row>
    <row r="477" spans="1:9" s="492" customFormat="1" ht="14.4">
      <c r="A477" s="809"/>
      <c r="B477" s="1423" t="s">
        <v>5140</v>
      </c>
      <c r="C477" s="814">
        <v>1</v>
      </c>
      <c r="D477" s="9" t="s">
        <v>772</v>
      </c>
      <c r="E477" s="810">
        <v>2000</v>
      </c>
      <c r="F477" s="810"/>
      <c r="G477" s="1419">
        <f t="shared" si="7"/>
        <v>2000</v>
      </c>
      <c r="H477" s="810"/>
      <c r="I477" s="810"/>
    </row>
    <row r="478" spans="1:9" s="492" customFormat="1" ht="14.4">
      <c r="A478" s="809"/>
      <c r="B478" s="807" t="s">
        <v>5141</v>
      </c>
      <c r="C478" s="814">
        <v>1</v>
      </c>
      <c r="D478" s="9" t="s">
        <v>772</v>
      </c>
      <c r="E478" s="810">
        <v>50</v>
      </c>
      <c r="F478" s="810"/>
      <c r="G478" s="1425"/>
      <c r="H478" s="810"/>
      <c r="I478" s="810">
        <v>200</v>
      </c>
    </row>
    <row r="479" spans="1:9" s="492" customFormat="1" ht="14.4">
      <c r="A479" s="1424" t="s">
        <v>190</v>
      </c>
      <c r="B479" s="813">
        <f>SUM(F479:I479)</f>
        <v>39400</v>
      </c>
      <c r="C479" s="814"/>
      <c r="D479" s="9"/>
      <c r="E479" s="810"/>
      <c r="F479" s="810">
        <f>+SUM(F471:F473)</f>
        <v>0</v>
      </c>
      <c r="G479" s="810">
        <f>+SUM(G471:G478)</f>
        <v>39200</v>
      </c>
      <c r="H479" s="810">
        <f>+SUM(H471:H473)</f>
        <v>0</v>
      </c>
      <c r="I479" s="810">
        <f>+SUM(I471:I478)</f>
        <v>200</v>
      </c>
    </row>
    <row r="480" spans="1:9" s="492" customFormat="1" ht="14.4">
      <c r="A480" s="1424" t="s">
        <v>191</v>
      </c>
      <c r="B480" s="813">
        <f>+B479</f>
        <v>39400</v>
      </c>
      <c r="C480" s="815" t="s">
        <v>133</v>
      </c>
      <c r="D480" s="816"/>
      <c r="E480" s="817"/>
      <c r="F480" s="817"/>
      <c r="G480" s="817"/>
      <c r="H480" s="817"/>
      <c r="I480" s="817"/>
    </row>
    <row r="481" spans="1:9" s="492" customFormat="1" ht="14.4">
      <c r="A481" s="1425"/>
      <c r="B481" s="1425"/>
      <c r="C481" s="1425"/>
      <c r="D481" s="1425"/>
      <c r="E481" s="1425"/>
      <c r="F481" s="1425"/>
      <c r="G481" s="1425"/>
      <c r="H481" s="1425"/>
      <c r="I481" s="1425"/>
    </row>
    <row r="482" spans="1:9" s="492" customFormat="1" ht="14.4">
      <c r="A482" s="1342" t="s">
        <v>5150</v>
      </c>
      <c r="B482" s="3552" t="s">
        <v>5151</v>
      </c>
      <c r="C482" s="3553"/>
      <c r="D482" s="3553"/>
      <c r="E482" s="3553"/>
      <c r="F482" s="3553"/>
      <c r="G482" s="3553"/>
      <c r="H482" s="3553"/>
      <c r="I482" s="3554"/>
    </row>
    <row r="483" spans="1:9" s="492" customFormat="1" ht="16.8">
      <c r="A483" s="809"/>
      <c r="B483" s="807"/>
      <c r="C483" s="808" t="s">
        <v>140</v>
      </c>
      <c r="D483" s="11" t="s">
        <v>343</v>
      </c>
      <c r="E483" s="33" t="s">
        <v>344</v>
      </c>
      <c r="F483" s="33" t="s">
        <v>482</v>
      </c>
      <c r="G483" s="33" t="s">
        <v>483</v>
      </c>
      <c r="H483" s="585" t="s">
        <v>232</v>
      </c>
      <c r="I483" s="33" t="s">
        <v>171</v>
      </c>
    </row>
    <row r="484" spans="1:9" s="492" customFormat="1" ht="14.4">
      <c r="A484" s="809" t="s">
        <v>172</v>
      </c>
      <c r="B484" s="807" t="s">
        <v>189</v>
      </c>
      <c r="C484" s="814">
        <v>1</v>
      </c>
      <c r="D484" s="9" t="s">
        <v>583</v>
      </c>
      <c r="E484" s="810">
        <f>+H487*0.05</f>
        <v>1753.7470730000002</v>
      </c>
      <c r="F484" s="810"/>
      <c r="G484" s="810"/>
      <c r="H484" s="810"/>
      <c r="I484" s="810">
        <f>+E484*C484</f>
        <v>1753.7470730000002</v>
      </c>
    </row>
    <row r="485" spans="1:9" s="492" customFormat="1" ht="14.4">
      <c r="A485" s="809" t="s">
        <v>348</v>
      </c>
      <c r="B485" s="807" t="str">
        <f>IF(PRESTA&gt;0,"AYUD. RASO (INCLUYE "&amp;""&amp;PRESTA*100&amp;"% PRESTACIONES)",0)</f>
        <v>AYUD. RASO (INCLUYE 82,22% PRESTACIONES)</v>
      </c>
      <c r="C485" s="814">
        <f>1/4</f>
        <v>0.25</v>
      </c>
      <c r="D485" s="9" t="s">
        <v>346</v>
      </c>
      <c r="E485" s="810">
        <f>+AYUDR</f>
        <v>50299.76584</v>
      </c>
      <c r="F485" s="810"/>
      <c r="G485" s="810"/>
      <c r="H485" s="810">
        <f>+E485*C485</f>
        <v>12574.94146</v>
      </c>
      <c r="I485" s="810"/>
    </row>
    <row r="486" spans="1:9" s="492" customFormat="1" ht="14.4">
      <c r="A486" s="809"/>
      <c r="B486" s="811" t="s">
        <v>5104</v>
      </c>
      <c r="C486" s="814">
        <f>1/4</f>
        <v>0.25</v>
      </c>
      <c r="D486" s="9" t="s">
        <v>717</v>
      </c>
      <c r="E486" s="810">
        <v>90000</v>
      </c>
      <c r="F486" s="810"/>
      <c r="G486" s="810"/>
      <c r="H486" s="810">
        <f>+E486*C486</f>
        <v>22500</v>
      </c>
      <c r="I486" s="810"/>
    </row>
    <row r="487" spans="1:9" s="492" customFormat="1" ht="14.4">
      <c r="A487" s="1424" t="s">
        <v>190</v>
      </c>
      <c r="B487" s="813">
        <f>SUM(F487:I487)</f>
        <v>36828.688533</v>
      </c>
      <c r="C487" s="814"/>
      <c r="D487" s="9"/>
      <c r="E487" s="810"/>
      <c r="F487" s="810">
        <f>+SUM(F484:F486)</f>
        <v>0</v>
      </c>
      <c r="G487" s="810">
        <f>+SUM(G484:G486)</f>
        <v>0</v>
      </c>
      <c r="H487" s="810">
        <f>+SUM(H484:H486)</f>
        <v>35074.941460000002</v>
      </c>
      <c r="I487" s="810">
        <f>+SUM(I484:I486)</f>
        <v>1753.7470730000002</v>
      </c>
    </row>
    <row r="488" spans="1:9" s="492" customFormat="1" ht="14.4">
      <c r="A488" s="1424" t="s">
        <v>191</v>
      </c>
      <c r="B488" s="813">
        <f>+B487</f>
        <v>36828.688533</v>
      </c>
      <c r="C488" s="815" t="s">
        <v>133</v>
      </c>
      <c r="D488" s="816"/>
      <c r="E488" s="817"/>
      <c r="F488" s="817"/>
      <c r="G488" s="817"/>
      <c r="H488" s="817"/>
      <c r="I488" s="817"/>
    </row>
    <row r="489" spans="1:9" s="492" customFormat="1" ht="14.4">
      <c r="A489" s="1425"/>
      <c r="B489" s="1425"/>
      <c r="C489" s="1425"/>
      <c r="D489" s="1425"/>
      <c r="E489" s="1425"/>
      <c r="F489" s="1425"/>
      <c r="G489" s="1425"/>
      <c r="H489" s="1425"/>
      <c r="I489" s="1425"/>
    </row>
    <row r="490" spans="1:9" s="492" customFormat="1" ht="14.4">
      <c r="A490" s="1342" t="s">
        <v>5150</v>
      </c>
      <c r="B490" s="3552" t="s">
        <v>5152</v>
      </c>
      <c r="C490" s="3553"/>
      <c r="D490" s="3553"/>
      <c r="E490" s="3553"/>
      <c r="F490" s="3553"/>
      <c r="G490" s="3553"/>
      <c r="H490" s="3553"/>
      <c r="I490" s="3554"/>
    </row>
    <row r="491" spans="1:9" s="492" customFormat="1" ht="16.8">
      <c r="A491" s="809"/>
      <c r="B491" s="807"/>
      <c r="C491" s="808" t="s">
        <v>140</v>
      </c>
      <c r="D491" s="11" t="s">
        <v>343</v>
      </c>
      <c r="E491" s="33" t="s">
        <v>344</v>
      </c>
      <c r="F491" s="33" t="s">
        <v>482</v>
      </c>
      <c r="G491" s="33" t="s">
        <v>483</v>
      </c>
      <c r="H491" s="585" t="s">
        <v>232</v>
      </c>
      <c r="I491" s="33" t="s">
        <v>171</v>
      </c>
    </row>
    <row r="492" spans="1:9" s="492" customFormat="1" ht="14.4">
      <c r="A492" s="809"/>
      <c r="B492" s="1426" t="s">
        <v>5153</v>
      </c>
      <c r="C492" s="814">
        <v>5</v>
      </c>
      <c r="D492" s="9" t="s">
        <v>45</v>
      </c>
      <c r="E492" s="810">
        <v>2500</v>
      </c>
      <c r="F492" s="810"/>
      <c r="G492" s="810">
        <f t="shared" ref="G492:G497" si="8">+E492*C492</f>
        <v>12500</v>
      </c>
      <c r="H492" s="810"/>
      <c r="I492" s="810"/>
    </row>
    <row r="493" spans="1:9" s="492" customFormat="1" ht="14.4">
      <c r="A493" s="809"/>
      <c r="B493" s="1423" t="s">
        <v>5154</v>
      </c>
      <c r="C493" s="814">
        <v>12</v>
      </c>
      <c r="D493" s="9" t="s">
        <v>45</v>
      </c>
      <c r="E493" s="810">
        <v>2100</v>
      </c>
      <c r="F493" s="810"/>
      <c r="G493" s="810">
        <f t="shared" si="8"/>
        <v>25200</v>
      </c>
      <c r="H493" s="810"/>
      <c r="I493" s="810"/>
    </row>
    <row r="494" spans="1:9" s="492" customFormat="1" ht="14.4">
      <c r="A494" s="809"/>
      <c r="B494" s="1426" t="s">
        <v>5155</v>
      </c>
      <c r="C494" s="814">
        <v>1</v>
      </c>
      <c r="D494" s="9" t="s">
        <v>427</v>
      </c>
      <c r="E494" s="810">
        <v>1500</v>
      </c>
      <c r="F494" s="810"/>
      <c r="G494" s="810">
        <f t="shared" si="8"/>
        <v>1500</v>
      </c>
      <c r="H494" s="810"/>
      <c r="I494" s="810"/>
    </row>
    <row r="495" spans="1:9" s="492" customFormat="1" ht="14.4">
      <c r="A495" s="809"/>
      <c r="B495" s="1423" t="s">
        <v>5156</v>
      </c>
      <c r="C495" s="814">
        <v>2</v>
      </c>
      <c r="D495" s="9" t="s">
        <v>427</v>
      </c>
      <c r="E495" s="810">
        <v>600</v>
      </c>
      <c r="F495" s="810"/>
      <c r="G495" s="810">
        <f t="shared" si="8"/>
        <v>1200</v>
      </c>
      <c r="H495" s="810"/>
      <c r="I495" s="810"/>
    </row>
    <row r="496" spans="1:9" s="492" customFormat="1" ht="14.4">
      <c r="A496" s="809"/>
      <c r="B496" s="1423" t="s">
        <v>5157</v>
      </c>
      <c r="C496" s="814">
        <v>1</v>
      </c>
      <c r="D496" s="9" t="s">
        <v>427</v>
      </c>
      <c r="E496" s="810">
        <v>9500</v>
      </c>
      <c r="F496" s="810"/>
      <c r="G496" s="810">
        <f t="shared" si="8"/>
        <v>9500</v>
      </c>
      <c r="H496" s="810"/>
      <c r="I496" s="810"/>
    </row>
    <row r="497" spans="1:9" s="492" customFormat="1" ht="14.4">
      <c r="A497" s="809"/>
      <c r="B497" s="1423" t="s">
        <v>5140</v>
      </c>
      <c r="C497" s="814">
        <v>1</v>
      </c>
      <c r="D497" s="9" t="s">
        <v>772</v>
      </c>
      <c r="E497" s="810">
        <v>2000</v>
      </c>
      <c r="F497" s="810"/>
      <c r="G497" s="810">
        <f t="shared" si="8"/>
        <v>2000</v>
      </c>
      <c r="H497" s="810"/>
      <c r="I497" s="810"/>
    </row>
    <row r="498" spans="1:9" s="492" customFormat="1" ht="14.4">
      <c r="A498" s="809"/>
      <c r="B498" s="807" t="s">
        <v>5141</v>
      </c>
      <c r="C498" s="814">
        <v>1</v>
      </c>
      <c r="D498" s="9" t="s">
        <v>772</v>
      </c>
      <c r="E498" s="810">
        <v>200</v>
      </c>
      <c r="F498" s="810"/>
      <c r="G498" s="1425"/>
      <c r="H498" s="810"/>
      <c r="I498" s="810">
        <f>+E498*C498</f>
        <v>200</v>
      </c>
    </row>
    <row r="499" spans="1:9" s="492" customFormat="1" ht="14.4">
      <c r="A499" s="1424" t="s">
        <v>190</v>
      </c>
      <c r="B499" s="813">
        <f>SUM(F499:I499)</f>
        <v>52100</v>
      </c>
      <c r="C499" s="814"/>
      <c r="D499" s="9"/>
      <c r="E499" s="810"/>
      <c r="F499" s="810">
        <f>+SUM(F492:F494)</f>
        <v>0</v>
      </c>
      <c r="G499" s="810">
        <f>+SUM(G492:G498)</f>
        <v>51900</v>
      </c>
      <c r="H499" s="810">
        <f>+SUM(H492:H494)</f>
        <v>0</v>
      </c>
      <c r="I499" s="810">
        <f>+SUM(I492:I498)</f>
        <v>200</v>
      </c>
    </row>
    <row r="500" spans="1:9" s="492" customFormat="1" ht="14.4">
      <c r="A500" s="1424" t="s">
        <v>191</v>
      </c>
      <c r="B500" s="813">
        <f>+B499</f>
        <v>52100</v>
      </c>
      <c r="C500" s="815" t="s">
        <v>133</v>
      </c>
      <c r="D500" s="816"/>
      <c r="E500" s="817"/>
      <c r="F500" s="817"/>
      <c r="G500" s="817"/>
      <c r="H500" s="817"/>
      <c r="I500" s="817"/>
    </row>
    <row r="501" spans="1:9" s="492" customFormat="1" ht="14.4">
      <c r="A501" s="1425"/>
      <c r="B501" s="1425"/>
      <c r="C501" s="1425"/>
      <c r="D501" s="1425"/>
      <c r="E501" s="1425"/>
      <c r="F501" s="1425"/>
      <c r="G501" s="1425"/>
      <c r="H501" s="1425"/>
      <c r="I501" s="1425"/>
    </row>
    <row r="502" spans="1:9" s="492" customFormat="1" ht="14.4">
      <c r="A502" s="1342" t="s">
        <v>5158</v>
      </c>
      <c r="B502" s="3552" t="s">
        <v>5160</v>
      </c>
      <c r="C502" s="3553"/>
      <c r="D502" s="3553"/>
      <c r="E502" s="3553"/>
      <c r="F502" s="3553"/>
      <c r="G502" s="3553"/>
      <c r="H502" s="3553"/>
      <c r="I502" s="3554"/>
    </row>
    <row r="503" spans="1:9" s="492" customFormat="1" ht="16.8">
      <c r="A503" s="809"/>
      <c r="B503" s="807"/>
      <c r="C503" s="808" t="s">
        <v>140</v>
      </c>
      <c r="D503" s="11" t="s">
        <v>343</v>
      </c>
      <c r="E503" s="33" t="s">
        <v>344</v>
      </c>
      <c r="F503" s="33" t="s">
        <v>482</v>
      </c>
      <c r="G503" s="33" t="s">
        <v>483</v>
      </c>
      <c r="H503" s="585" t="s">
        <v>232</v>
      </c>
      <c r="I503" s="33" t="s">
        <v>171</v>
      </c>
    </row>
    <row r="504" spans="1:9" s="492" customFormat="1" ht="14.4">
      <c r="A504" s="809" t="s">
        <v>172</v>
      </c>
      <c r="B504" s="807" t="s">
        <v>189</v>
      </c>
      <c r="C504" s="814">
        <v>1</v>
      </c>
      <c r="D504" s="9" t="s">
        <v>583</v>
      </c>
      <c r="E504" s="810">
        <f>+H507*0.05</f>
        <v>1169.1647153333333</v>
      </c>
      <c r="F504" s="810"/>
      <c r="G504" s="810"/>
      <c r="H504" s="810"/>
      <c r="I504" s="810">
        <f>+E504*C504</f>
        <v>1169.1647153333333</v>
      </c>
    </row>
    <row r="505" spans="1:9" s="492" customFormat="1" ht="14.4">
      <c r="A505" s="809" t="s">
        <v>348</v>
      </c>
      <c r="B505" s="807" t="str">
        <f>IF(PRESTA&gt;0,"AYUD. RASO (INCLUYE "&amp;""&amp;PRESTA*100&amp;"% PRESTACIONES)",0)</f>
        <v>AYUD. RASO (INCLUYE 82,22% PRESTACIONES)</v>
      </c>
      <c r="C505" s="814">
        <f>1/6</f>
        <v>0.16666666666666666</v>
      </c>
      <c r="D505" s="9" t="s">
        <v>346</v>
      </c>
      <c r="E505" s="810">
        <f>+AYUDR</f>
        <v>50299.76584</v>
      </c>
      <c r="F505" s="810"/>
      <c r="G505" s="810"/>
      <c r="H505" s="810">
        <f>+E505*C505</f>
        <v>8383.2943066666667</v>
      </c>
      <c r="I505" s="810"/>
    </row>
    <row r="506" spans="1:9" s="492" customFormat="1" ht="14.4">
      <c r="A506" s="809"/>
      <c r="B506" s="811" t="s">
        <v>5104</v>
      </c>
      <c r="C506" s="814">
        <f>1/6</f>
        <v>0.16666666666666666</v>
      </c>
      <c r="D506" s="9" t="s">
        <v>717</v>
      </c>
      <c r="E506" s="810">
        <v>90000</v>
      </c>
      <c r="F506" s="810"/>
      <c r="G506" s="810"/>
      <c r="H506" s="810">
        <f>+E506*C506</f>
        <v>15000</v>
      </c>
      <c r="I506" s="810"/>
    </row>
    <row r="507" spans="1:9" s="492" customFormat="1" ht="14.4">
      <c r="A507" s="1424" t="s">
        <v>190</v>
      </c>
      <c r="B507" s="813">
        <f>SUM(F507:I507)</f>
        <v>24552.459021999999</v>
      </c>
      <c r="C507" s="814"/>
      <c r="D507" s="9"/>
      <c r="E507" s="810"/>
      <c r="F507" s="810">
        <f>+SUM(F504:F506)</f>
        <v>0</v>
      </c>
      <c r="G507" s="810">
        <f>+SUM(G504:G506)</f>
        <v>0</v>
      </c>
      <c r="H507" s="810">
        <f>+SUM(H504:H506)</f>
        <v>23383.294306666667</v>
      </c>
      <c r="I507" s="810">
        <f>+SUM(I504:I506)</f>
        <v>1169.1647153333333</v>
      </c>
    </row>
    <row r="508" spans="1:9" s="492" customFormat="1" ht="14.4">
      <c r="A508" s="1424" t="s">
        <v>191</v>
      </c>
      <c r="B508" s="813">
        <f>+B507</f>
        <v>24552.459021999999</v>
      </c>
      <c r="C508" s="815" t="s">
        <v>133</v>
      </c>
      <c r="D508" s="816"/>
      <c r="E508" s="817"/>
      <c r="F508" s="817"/>
      <c r="G508" s="817"/>
      <c r="H508" s="817"/>
      <c r="I508" s="817"/>
    </row>
    <row r="509" spans="1:9" s="492" customFormat="1" ht="14.4">
      <c r="A509" s="1425"/>
      <c r="B509" s="1425"/>
      <c r="C509" s="1425"/>
      <c r="D509" s="1425"/>
      <c r="E509" s="1425"/>
      <c r="F509" s="1425"/>
      <c r="G509" s="1425"/>
      <c r="H509" s="1425"/>
      <c r="I509" s="1425"/>
    </row>
    <row r="510" spans="1:9" s="492" customFormat="1" ht="14.4">
      <c r="A510" s="1342" t="s">
        <v>5158</v>
      </c>
      <c r="B510" s="3552" t="s">
        <v>5159</v>
      </c>
      <c r="C510" s="3553"/>
      <c r="D510" s="3553"/>
      <c r="E510" s="3553"/>
      <c r="F510" s="3553"/>
      <c r="G510" s="3553"/>
      <c r="H510" s="3553"/>
      <c r="I510" s="3554"/>
    </row>
    <row r="511" spans="1:9" s="492" customFormat="1" ht="16.8">
      <c r="A511" s="809"/>
      <c r="B511" s="807"/>
      <c r="C511" s="808" t="s">
        <v>140</v>
      </c>
      <c r="D511" s="11" t="s">
        <v>343</v>
      </c>
      <c r="E511" s="33" t="s">
        <v>344</v>
      </c>
      <c r="F511" s="33" t="s">
        <v>482</v>
      </c>
      <c r="G511" s="33" t="s">
        <v>483</v>
      </c>
      <c r="H511" s="585" t="s">
        <v>232</v>
      </c>
      <c r="I511" s="33" t="s">
        <v>171</v>
      </c>
    </row>
    <row r="512" spans="1:9" s="492" customFormat="1" ht="14.4">
      <c r="A512" s="809"/>
      <c r="B512" s="1426" t="s">
        <v>5161</v>
      </c>
      <c r="C512" s="814">
        <v>1</v>
      </c>
      <c r="D512" s="9" t="s">
        <v>133</v>
      </c>
      <c r="E512" s="810">
        <v>215000</v>
      </c>
      <c r="F512" s="810"/>
      <c r="G512" s="810">
        <f>+E512*C512</f>
        <v>215000</v>
      </c>
      <c r="H512" s="810"/>
      <c r="I512" s="810"/>
    </row>
    <row r="513" spans="1:9" s="492" customFormat="1" ht="14.4">
      <c r="A513" s="809"/>
      <c r="B513" s="807" t="s">
        <v>5162</v>
      </c>
      <c r="C513" s="814">
        <v>1</v>
      </c>
      <c r="D513" s="9" t="s">
        <v>772</v>
      </c>
      <c r="E513" s="810">
        <v>200</v>
      </c>
      <c r="F513" s="810"/>
      <c r="G513" s="1425"/>
      <c r="H513" s="810"/>
      <c r="I513" s="810">
        <f>+E513*C513</f>
        <v>200</v>
      </c>
    </row>
    <row r="514" spans="1:9" s="492" customFormat="1" ht="14.4">
      <c r="A514" s="1424" t="s">
        <v>190</v>
      </c>
      <c r="B514" s="813">
        <f>SUM(F514:I514)</f>
        <v>215200</v>
      </c>
      <c r="C514" s="814"/>
      <c r="D514" s="9"/>
      <c r="E514" s="810"/>
      <c r="F514" s="810">
        <f>+SUM(F512:F512)</f>
        <v>0</v>
      </c>
      <c r="G514" s="810">
        <f>+SUM(G512:G513)</f>
        <v>215000</v>
      </c>
      <c r="H514" s="810">
        <f>+SUM(H512:H512)</f>
        <v>0</v>
      </c>
      <c r="I514" s="810">
        <f>+SUM(I512:I513)</f>
        <v>200</v>
      </c>
    </row>
    <row r="515" spans="1:9" s="492" customFormat="1" ht="14.4">
      <c r="A515" s="1424" t="s">
        <v>191</v>
      </c>
      <c r="B515" s="813">
        <f>+B514</f>
        <v>215200</v>
      </c>
      <c r="C515" s="815" t="s">
        <v>133</v>
      </c>
      <c r="D515" s="816"/>
      <c r="E515" s="817"/>
      <c r="F515" s="817"/>
      <c r="G515" s="817"/>
      <c r="H515" s="817"/>
      <c r="I515" s="817"/>
    </row>
    <row r="516" spans="1:9" s="492" customFormat="1" ht="14.4">
      <c r="A516" s="1425"/>
      <c r="B516" s="1425"/>
      <c r="C516" s="1425"/>
      <c r="D516" s="1425"/>
      <c r="E516" s="1425"/>
      <c r="F516" s="1425"/>
      <c r="G516" s="1425"/>
      <c r="H516" s="1425"/>
      <c r="I516" s="1425"/>
    </row>
    <row r="517" spans="1:9" s="492" customFormat="1" ht="14.4">
      <c r="A517" s="1342" t="s">
        <v>5163</v>
      </c>
      <c r="B517" s="3552" t="s">
        <v>5164</v>
      </c>
      <c r="C517" s="3553"/>
      <c r="D517" s="3553"/>
      <c r="E517" s="3553"/>
      <c r="F517" s="3553"/>
      <c r="G517" s="3553"/>
      <c r="H517" s="3553"/>
      <c r="I517" s="3554"/>
    </row>
    <row r="518" spans="1:9" s="492" customFormat="1" ht="16.8">
      <c r="A518" s="809"/>
      <c r="B518" s="807"/>
      <c r="C518" s="808" t="s">
        <v>140</v>
      </c>
      <c r="D518" s="11" t="s">
        <v>343</v>
      </c>
      <c r="E518" s="33" t="s">
        <v>344</v>
      </c>
      <c r="F518" s="33" t="s">
        <v>482</v>
      </c>
      <c r="G518" s="33" t="s">
        <v>483</v>
      </c>
      <c r="H518" s="585" t="s">
        <v>232</v>
      </c>
      <c r="I518" s="33" t="s">
        <v>171</v>
      </c>
    </row>
    <row r="519" spans="1:9" s="492" customFormat="1" ht="14.4">
      <c r="A519" s="809" t="s">
        <v>172</v>
      </c>
      <c r="B519" s="807" t="s">
        <v>189</v>
      </c>
      <c r="C519" s="814">
        <v>1</v>
      </c>
      <c r="D519" s="9" t="s">
        <v>583</v>
      </c>
      <c r="E519" s="810">
        <f>+H522*0.05</f>
        <v>1169.1647153333333</v>
      </c>
      <c r="F519" s="810"/>
      <c r="G519" s="810"/>
      <c r="H519" s="810"/>
      <c r="I519" s="810">
        <f>+E519*C519</f>
        <v>1169.1647153333333</v>
      </c>
    </row>
    <row r="520" spans="1:9" s="492" customFormat="1" ht="14.4">
      <c r="A520" s="809" t="s">
        <v>348</v>
      </c>
      <c r="B520" s="807" t="str">
        <f>IF(PRESTA&gt;0,"AYUD. RASO (INCLUYE "&amp;""&amp;PRESTA*100&amp;"% PRESTACIONES)",0)</f>
        <v>AYUD. RASO (INCLUYE 82,22% PRESTACIONES)</v>
      </c>
      <c r="C520" s="814">
        <f>1/6</f>
        <v>0.16666666666666666</v>
      </c>
      <c r="D520" s="9" t="s">
        <v>346</v>
      </c>
      <c r="E520" s="810">
        <f>+AYUDR</f>
        <v>50299.76584</v>
      </c>
      <c r="F520" s="810"/>
      <c r="G520" s="810"/>
      <c r="H520" s="810">
        <f>+E520*C520</f>
        <v>8383.2943066666667</v>
      </c>
      <c r="I520" s="810"/>
    </row>
    <row r="521" spans="1:9" s="492" customFormat="1" ht="14.4">
      <c r="A521" s="809"/>
      <c r="B521" s="811" t="s">
        <v>5104</v>
      </c>
      <c r="C521" s="814">
        <f>1/6</f>
        <v>0.16666666666666666</v>
      </c>
      <c r="D521" s="9" t="s">
        <v>717</v>
      </c>
      <c r="E521" s="810">
        <v>90000</v>
      </c>
      <c r="F521" s="810"/>
      <c r="G521" s="810"/>
      <c r="H521" s="810">
        <f>+E521*C521</f>
        <v>15000</v>
      </c>
      <c r="I521" s="810"/>
    </row>
    <row r="522" spans="1:9" s="492" customFormat="1" ht="14.4">
      <c r="A522" s="1424" t="s">
        <v>190</v>
      </c>
      <c r="B522" s="813">
        <f>SUM(F522:I522)</f>
        <v>24552.459021999999</v>
      </c>
      <c r="C522" s="814"/>
      <c r="D522" s="9"/>
      <c r="E522" s="810"/>
      <c r="F522" s="810">
        <f>+SUM(F519:F521)</f>
        <v>0</v>
      </c>
      <c r="G522" s="810">
        <f>+SUM(G519:G521)</f>
        <v>0</v>
      </c>
      <c r="H522" s="810">
        <f>+SUM(H519:H521)</f>
        <v>23383.294306666667</v>
      </c>
      <c r="I522" s="810">
        <f>+SUM(I519:I521)</f>
        <v>1169.1647153333333</v>
      </c>
    </row>
    <row r="523" spans="1:9" s="492" customFormat="1" ht="14.4">
      <c r="A523" s="1424" t="s">
        <v>191</v>
      </c>
      <c r="B523" s="813">
        <f>+B522</f>
        <v>24552.459021999999</v>
      </c>
      <c r="C523" s="815" t="s">
        <v>133</v>
      </c>
      <c r="D523" s="816"/>
      <c r="E523" s="817"/>
      <c r="F523" s="817"/>
      <c r="G523" s="817"/>
      <c r="H523" s="817"/>
      <c r="I523" s="817"/>
    </row>
    <row r="524" spans="1:9" s="492" customFormat="1" ht="14.4">
      <c r="A524" s="1425"/>
      <c r="B524" s="1425"/>
      <c r="C524" s="1425"/>
      <c r="D524" s="1425"/>
      <c r="E524" s="1425"/>
      <c r="F524" s="1425"/>
      <c r="G524" s="1425"/>
      <c r="H524" s="1425"/>
      <c r="I524" s="1425"/>
    </row>
    <row r="525" spans="1:9" s="492" customFormat="1" ht="14.4">
      <c r="A525" s="1342" t="s">
        <v>5163</v>
      </c>
      <c r="B525" s="3552" t="s">
        <v>5165</v>
      </c>
      <c r="C525" s="3553"/>
      <c r="D525" s="3553"/>
      <c r="E525" s="3553"/>
      <c r="F525" s="3553"/>
      <c r="G525" s="3553"/>
      <c r="H525" s="3553"/>
      <c r="I525" s="3554"/>
    </row>
    <row r="526" spans="1:9" s="492" customFormat="1" ht="16.8">
      <c r="A526" s="809"/>
      <c r="B526" s="807"/>
      <c r="C526" s="808" t="s">
        <v>140</v>
      </c>
      <c r="D526" s="11" t="s">
        <v>343</v>
      </c>
      <c r="E526" s="33" t="s">
        <v>344</v>
      </c>
      <c r="F526" s="33" t="s">
        <v>482</v>
      </c>
      <c r="G526" s="33" t="s">
        <v>483</v>
      </c>
      <c r="H526" s="585" t="s">
        <v>232</v>
      </c>
      <c r="I526" s="33" t="s">
        <v>171</v>
      </c>
    </row>
    <row r="527" spans="1:9" s="492" customFormat="1" ht="14.4">
      <c r="A527" s="809"/>
      <c r="B527" s="1426" t="s">
        <v>5166</v>
      </c>
      <c r="C527" s="814">
        <v>1</v>
      </c>
      <c r="D527" s="9" t="s">
        <v>133</v>
      </c>
      <c r="E527" s="810">
        <v>70000</v>
      </c>
      <c r="F527" s="810"/>
      <c r="G527" s="810">
        <f>+E527*C527</f>
        <v>70000</v>
      </c>
      <c r="H527" s="810"/>
      <c r="I527" s="810"/>
    </row>
    <row r="528" spans="1:9" s="492" customFormat="1" ht="14.4">
      <c r="A528" s="809"/>
      <c r="B528" s="807" t="s">
        <v>5162</v>
      </c>
      <c r="C528" s="814">
        <v>1</v>
      </c>
      <c r="D528" s="9" t="s">
        <v>772</v>
      </c>
      <c r="E528" s="810">
        <v>200</v>
      </c>
      <c r="F528" s="810"/>
      <c r="G528" s="1425"/>
      <c r="H528" s="810"/>
      <c r="I528" s="810">
        <f>+E528*C528</f>
        <v>200</v>
      </c>
    </row>
    <row r="529" spans="1:9" s="492" customFormat="1" ht="14.4">
      <c r="A529" s="1424" t="s">
        <v>190</v>
      </c>
      <c r="B529" s="813">
        <f>SUM(F529:I529)</f>
        <v>70200</v>
      </c>
      <c r="C529" s="814"/>
      <c r="D529" s="9"/>
      <c r="E529" s="810"/>
      <c r="F529" s="810">
        <f>+SUM(F527:F527)</f>
        <v>0</v>
      </c>
      <c r="G529" s="810">
        <f>+SUM(G527:G528)</f>
        <v>70000</v>
      </c>
      <c r="H529" s="810">
        <f>+SUM(H527:H527)</f>
        <v>0</v>
      </c>
      <c r="I529" s="810">
        <f>+SUM(I527:I528)</f>
        <v>200</v>
      </c>
    </row>
    <row r="530" spans="1:9" s="492" customFormat="1" ht="14.4">
      <c r="A530" s="1424" t="s">
        <v>191</v>
      </c>
      <c r="B530" s="813">
        <f>+B529</f>
        <v>70200</v>
      </c>
      <c r="C530" s="815" t="s">
        <v>133</v>
      </c>
      <c r="D530" s="816"/>
      <c r="E530" s="817"/>
      <c r="F530" s="817"/>
      <c r="G530" s="817"/>
      <c r="H530" s="817"/>
      <c r="I530" s="817"/>
    </row>
    <row r="531" spans="1:9" s="492" customFormat="1" ht="14.4">
      <c r="A531" s="1425"/>
      <c r="B531" s="1425"/>
      <c r="C531" s="1425"/>
      <c r="D531" s="1425"/>
      <c r="E531" s="1425"/>
      <c r="F531" s="1425"/>
      <c r="G531" s="1425"/>
      <c r="H531" s="1425"/>
      <c r="I531" s="1425"/>
    </row>
    <row r="532" spans="1:9" s="492" customFormat="1" ht="14.4">
      <c r="A532" s="1342" t="s">
        <v>5073</v>
      </c>
      <c r="B532" s="3552" t="s">
        <v>5167</v>
      </c>
      <c r="C532" s="3553"/>
      <c r="D532" s="3553"/>
      <c r="E532" s="3553"/>
      <c r="F532" s="3553"/>
      <c r="G532" s="3553"/>
      <c r="H532" s="3553"/>
      <c r="I532" s="3554"/>
    </row>
    <row r="533" spans="1:9" s="492" customFormat="1" ht="16.8">
      <c r="A533" s="809"/>
      <c r="B533" s="807"/>
      <c r="C533" s="808" t="s">
        <v>140</v>
      </c>
      <c r="D533" s="11" t="s">
        <v>343</v>
      </c>
      <c r="E533" s="33" t="s">
        <v>344</v>
      </c>
      <c r="F533" s="33" t="s">
        <v>482</v>
      </c>
      <c r="G533" s="33" t="s">
        <v>483</v>
      </c>
      <c r="H533" s="585" t="s">
        <v>232</v>
      </c>
      <c r="I533" s="33" t="s">
        <v>171</v>
      </c>
    </row>
    <row r="534" spans="1:9" s="492" customFormat="1" ht="14.4">
      <c r="A534" s="809" t="s">
        <v>172</v>
      </c>
      <c r="B534" s="807" t="s">
        <v>189</v>
      </c>
      <c r="C534" s="814">
        <v>1</v>
      </c>
      <c r="D534" s="9" t="s">
        <v>583</v>
      </c>
      <c r="E534" s="810">
        <f>+H537*0.05</f>
        <v>701.49882920000005</v>
      </c>
      <c r="F534" s="810"/>
      <c r="G534" s="810"/>
      <c r="H534" s="810"/>
      <c r="I534" s="810">
        <f>+E534*C534</f>
        <v>701.49882920000005</v>
      </c>
    </row>
    <row r="535" spans="1:9" s="492" customFormat="1" ht="14.4">
      <c r="A535" s="809" t="s">
        <v>348</v>
      </c>
      <c r="B535" s="807" t="str">
        <f>IF(PRESTA&gt;0,"AYUD. RASO (INCLUYE "&amp;""&amp;PRESTA*100&amp;"% PRESTACIONES)",0)</f>
        <v>AYUD. RASO (INCLUYE 82,22% PRESTACIONES)</v>
      </c>
      <c r="C535" s="814">
        <f>1/10</f>
        <v>0.1</v>
      </c>
      <c r="D535" s="9" t="s">
        <v>346</v>
      </c>
      <c r="E535" s="810">
        <f>+AYUDR</f>
        <v>50299.76584</v>
      </c>
      <c r="F535" s="810"/>
      <c r="G535" s="810"/>
      <c r="H535" s="810">
        <f>+E535*C535</f>
        <v>5029.976584</v>
      </c>
      <c r="I535" s="810"/>
    </row>
    <row r="536" spans="1:9" s="492" customFormat="1" ht="14.4">
      <c r="A536" s="809"/>
      <c r="B536" s="811" t="s">
        <v>5104</v>
      </c>
      <c r="C536" s="814">
        <f>1/10</f>
        <v>0.1</v>
      </c>
      <c r="D536" s="9" t="s">
        <v>717</v>
      </c>
      <c r="E536" s="810">
        <v>90000</v>
      </c>
      <c r="F536" s="810"/>
      <c r="G536" s="810"/>
      <c r="H536" s="810">
        <f>+E536*C536</f>
        <v>9000</v>
      </c>
      <c r="I536" s="810"/>
    </row>
    <row r="537" spans="1:9" s="492" customFormat="1" ht="14.4">
      <c r="A537" s="1424" t="s">
        <v>190</v>
      </c>
      <c r="B537" s="813">
        <f>SUM(F537:I537)</f>
        <v>14731.4754132</v>
      </c>
      <c r="C537" s="814"/>
      <c r="D537" s="9"/>
      <c r="E537" s="810"/>
      <c r="F537" s="810">
        <f>+SUM(F534:F536)</f>
        <v>0</v>
      </c>
      <c r="G537" s="810">
        <f>+SUM(G534:G536)</f>
        <v>0</v>
      </c>
      <c r="H537" s="810">
        <f>+SUM(H534:H536)</f>
        <v>14029.976584</v>
      </c>
      <c r="I537" s="810">
        <f>+SUM(I534:I536)</f>
        <v>701.49882920000005</v>
      </c>
    </row>
    <row r="538" spans="1:9" s="492" customFormat="1" ht="14.4">
      <c r="A538" s="1424" t="s">
        <v>191</v>
      </c>
      <c r="B538" s="813">
        <f>+B537</f>
        <v>14731.4754132</v>
      </c>
      <c r="C538" s="815" t="s">
        <v>133</v>
      </c>
      <c r="D538" s="816"/>
      <c r="E538" s="817"/>
      <c r="F538" s="817"/>
      <c r="G538" s="817"/>
      <c r="H538" s="817"/>
      <c r="I538" s="817"/>
    </row>
    <row r="539" spans="1:9" s="492" customFormat="1" ht="14.4">
      <c r="A539" s="1425"/>
      <c r="B539" s="1425"/>
      <c r="C539" s="1425"/>
      <c r="D539" s="1425"/>
      <c r="E539" s="1425"/>
      <c r="F539" s="1425"/>
      <c r="G539" s="1425"/>
      <c r="H539" s="1425"/>
      <c r="I539" s="1425"/>
    </row>
    <row r="540" spans="1:9" s="492" customFormat="1" ht="15.75" customHeight="1">
      <c r="A540" s="1342" t="s">
        <v>5073</v>
      </c>
      <c r="B540" s="3552" t="s">
        <v>5168</v>
      </c>
      <c r="C540" s="3553"/>
      <c r="D540" s="3553"/>
      <c r="E540" s="3553"/>
      <c r="F540" s="3553"/>
      <c r="G540" s="3553"/>
      <c r="H540" s="3553"/>
      <c r="I540" s="3554"/>
    </row>
    <row r="541" spans="1:9" s="492" customFormat="1" ht="16.8">
      <c r="A541" s="809"/>
      <c r="B541" s="807"/>
      <c r="C541" s="808" t="s">
        <v>140</v>
      </c>
      <c r="D541" s="11" t="s">
        <v>343</v>
      </c>
      <c r="E541" s="33" t="s">
        <v>344</v>
      </c>
      <c r="F541" s="33" t="s">
        <v>482</v>
      </c>
      <c r="G541" s="33" t="s">
        <v>483</v>
      </c>
      <c r="H541" s="585" t="s">
        <v>232</v>
      </c>
      <c r="I541" s="33" t="s">
        <v>171</v>
      </c>
    </row>
    <row r="542" spans="1:9" s="492" customFormat="1" ht="14.4">
      <c r="A542" s="809"/>
      <c r="B542" s="1426" t="s">
        <v>5169</v>
      </c>
      <c r="C542" s="814">
        <v>3</v>
      </c>
      <c r="D542" s="9" t="s">
        <v>133</v>
      </c>
      <c r="E542" s="810">
        <v>3000</v>
      </c>
      <c r="F542" s="810"/>
      <c r="G542" s="810">
        <f>+E542*C542</f>
        <v>9000</v>
      </c>
      <c r="H542" s="810"/>
      <c r="I542" s="810"/>
    </row>
    <row r="543" spans="1:9" s="492" customFormat="1" ht="14.4">
      <c r="A543" s="809"/>
      <c r="B543" s="1423" t="s">
        <v>5170</v>
      </c>
      <c r="C543" s="814">
        <v>1</v>
      </c>
      <c r="D543" s="9" t="s">
        <v>133</v>
      </c>
      <c r="E543" s="810">
        <v>3000</v>
      </c>
      <c r="F543" s="810"/>
      <c r="G543" s="810">
        <f>+E543*C543</f>
        <v>3000</v>
      </c>
      <c r="H543" s="810"/>
      <c r="I543" s="810"/>
    </row>
    <row r="544" spans="1:9" s="492" customFormat="1" ht="14.4">
      <c r="A544" s="809"/>
      <c r="B544" s="807" t="s">
        <v>5141</v>
      </c>
      <c r="C544" s="814">
        <v>1</v>
      </c>
      <c r="D544" s="9" t="s">
        <v>772</v>
      </c>
      <c r="E544" s="810">
        <v>200</v>
      </c>
      <c r="F544" s="810"/>
      <c r="G544" s="1425"/>
      <c r="H544" s="810"/>
      <c r="I544" s="810">
        <f>+E544*C544</f>
        <v>200</v>
      </c>
    </row>
    <row r="545" spans="1:9" s="492" customFormat="1" ht="14.4">
      <c r="A545" s="1424" t="s">
        <v>190</v>
      </c>
      <c r="B545" s="813">
        <f>SUM(F545:I545)</f>
        <v>12200</v>
      </c>
      <c r="C545" s="814"/>
      <c r="D545" s="9"/>
      <c r="E545" s="810"/>
      <c r="F545" s="810">
        <f>+SUM(F542:F543)</f>
        <v>0</v>
      </c>
      <c r="G545" s="810">
        <f>+SUM(G542:G544)</f>
        <v>12000</v>
      </c>
      <c r="H545" s="810">
        <f>+SUM(H542:H543)</f>
        <v>0</v>
      </c>
      <c r="I545" s="810">
        <f>+SUM(I542:I544)</f>
        <v>200</v>
      </c>
    </row>
    <row r="546" spans="1:9" s="492" customFormat="1" ht="14.4">
      <c r="A546" s="1424" t="s">
        <v>191</v>
      </c>
      <c r="B546" s="813">
        <f>+B545</f>
        <v>12200</v>
      </c>
      <c r="C546" s="815" t="s">
        <v>133</v>
      </c>
      <c r="D546" s="816"/>
      <c r="E546" s="817"/>
      <c r="F546" s="817"/>
      <c r="G546" s="817"/>
      <c r="H546" s="817"/>
      <c r="I546" s="817"/>
    </row>
    <row r="547" spans="1:9" s="492" customFormat="1" ht="14.4">
      <c r="A547" s="1425"/>
      <c r="B547" s="1425"/>
      <c r="C547" s="1425"/>
      <c r="D547" s="1425"/>
      <c r="E547" s="1425"/>
      <c r="F547" s="1425"/>
      <c r="G547" s="1425"/>
      <c r="H547" s="1425"/>
      <c r="I547" s="1425"/>
    </row>
    <row r="548" spans="1:9" s="492" customFormat="1" ht="14.4">
      <c r="A548" s="1342" t="s">
        <v>5074</v>
      </c>
      <c r="B548" s="3552" t="s">
        <v>5171</v>
      </c>
      <c r="C548" s="3553"/>
      <c r="D548" s="3553"/>
      <c r="E548" s="3553"/>
      <c r="F548" s="3553"/>
      <c r="G548" s="3553"/>
      <c r="H548" s="3553"/>
      <c r="I548" s="3554"/>
    </row>
    <row r="549" spans="1:9" s="492" customFormat="1" ht="16.8">
      <c r="A549" s="809"/>
      <c r="B549" s="807"/>
      <c r="C549" s="808" t="s">
        <v>140</v>
      </c>
      <c r="D549" s="11" t="s">
        <v>343</v>
      </c>
      <c r="E549" s="33" t="s">
        <v>344</v>
      </c>
      <c r="F549" s="33" t="s">
        <v>482</v>
      </c>
      <c r="G549" s="33" t="s">
        <v>483</v>
      </c>
      <c r="H549" s="585" t="s">
        <v>232</v>
      </c>
      <c r="I549" s="33" t="s">
        <v>171</v>
      </c>
    </row>
    <row r="550" spans="1:9" s="492" customFormat="1" ht="14.4">
      <c r="A550" s="809" t="s">
        <v>172</v>
      </c>
      <c r="B550" s="807" t="s">
        <v>189</v>
      </c>
      <c r="C550" s="814">
        <v>1</v>
      </c>
      <c r="D550" s="9" t="s">
        <v>583</v>
      </c>
      <c r="E550" s="810">
        <f>+H553*0.05</f>
        <v>7014.9882920000009</v>
      </c>
      <c r="F550" s="810"/>
      <c r="G550" s="810"/>
      <c r="H550" s="810"/>
      <c r="I550" s="810">
        <f>+E550*C550</f>
        <v>7014.9882920000009</v>
      </c>
    </row>
    <row r="551" spans="1:9" s="492" customFormat="1" ht="14.4">
      <c r="A551" s="809" t="s">
        <v>348</v>
      </c>
      <c r="B551" s="807" t="str">
        <f>IF(PRESTA&gt;0,"AYUD. RASO (INCLUYE "&amp;""&amp;PRESTA*100&amp;"% PRESTACIONES)",0)</f>
        <v>AYUD. RASO (INCLUYE 82,22% PRESTACIONES)</v>
      </c>
      <c r="C551" s="814">
        <f>1</f>
        <v>1</v>
      </c>
      <c r="D551" s="9" t="s">
        <v>346</v>
      </c>
      <c r="E551" s="810">
        <f>+AYUDR</f>
        <v>50299.76584</v>
      </c>
      <c r="F551" s="810"/>
      <c r="G551" s="810"/>
      <c r="H551" s="810">
        <f>+E551*C551</f>
        <v>50299.76584</v>
      </c>
      <c r="I551" s="810"/>
    </row>
    <row r="552" spans="1:9" s="492" customFormat="1" ht="14.4">
      <c r="A552" s="809"/>
      <c r="B552" s="811" t="s">
        <v>5104</v>
      </c>
      <c r="C552" s="814">
        <f>1</f>
        <v>1</v>
      </c>
      <c r="D552" s="9" t="s">
        <v>717</v>
      </c>
      <c r="E552" s="810">
        <v>90000</v>
      </c>
      <c r="F552" s="810"/>
      <c r="G552" s="810"/>
      <c r="H552" s="810">
        <f>+E552*C552</f>
        <v>90000</v>
      </c>
      <c r="I552" s="810"/>
    </row>
    <row r="553" spans="1:9" s="492" customFormat="1" ht="14.4">
      <c r="A553" s="1424" t="s">
        <v>190</v>
      </c>
      <c r="B553" s="813">
        <f>SUM(F553:I553)</f>
        <v>147314.754132</v>
      </c>
      <c r="C553" s="814"/>
      <c r="D553" s="9"/>
      <c r="E553" s="810"/>
      <c r="F553" s="810">
        <f>+SUM(F550:F552)</f>
        <v>0</v>
      </c>
      <c r="G553" s="810">
        <f>+SUM(G550:G552)</f>
        <v>0</v>
      </c>
      <c r="H553" s="810">
        <f>+SUM(H550:H552)</f>
        <v>140299.76584000001</v>
      </c>
      <c r="I553" s="810">
        <f>+SUM(I550:I552)</f>
        <v>7014.9882920000009</v>
      </c>
    </row>
    <row r="554" spans="1:9" s="492" customFormat="1" ht="14.4">
      <c r="A554" s="1424" t="s">
        <v>191</v>
      </c>
      <c r="B554" s="813">
        <f>+B553</f>
        <v>147314.754132</v>
      </c>
      <c r="C554" s="815" t="s">
        <v>133</v>
      </c>
      <c r="D554" s="816"/>
      <c r="E554" s="817"/>
      <c r="F554" s="817"/>
      <c r="G554" s="817"/>
      <c r="H554" s="817"/>
      <c r="I554" s="817"/>
    </row>
    <row r="555" spans="1:9" s="492" customFormat="1" ht="14.4">
      <c r="A555" s="1425"/>
      <c r="B555" s="1425"/>
      <c r="C555" s="1425"/>
      <c r="D555" s="1425"/>
      <c r="E555" s="1425"/>
      <c r="F555" s="1425"/>
      <c r="G555" s="1425"/>
      <c r="H555" s="1425"/>
      <c r="I555" s="1425"/>
    </row>
    <row r="556" spans="1:9" s="492" customFormat="1" ht="15.75" customHeight="1">
      <c r="A556" s="1342" t="s">
        <v>5074</v>
      </c>
      <c r="B556" s="3552" t="s">
        <v>5172</v>
      </c>
      <c r="C556" s="3553"/>
      <c r="D556" s="3553"/>
      <c r="E556" s="3553"/>
      <c r="F556" s="3553"/>
      <c r="G556" s="3553"/>
      <c r="H556" s="3553"/>
      <c r="I556" s="3554"/>
    </row>
    <row r="557" spans="1:9" s="492" customFormat="1" ht="16.8">
      <c r="A557" s="809"/>
      <c r="B557" s="807"/>
      <c r="C557" s="808" t="s">
        <v>140</v>
      </c>
      <c r="D557" s="11" t="s">
        <v>343</v>
      </c>
      <c r="E557" s="33" t="s">
        <v>344</v>
      </c>
      <c r="F557" s="33" t="s">
        <v>482</v>
      </c>
      <c r="G557" s="33" t="s">
        <v>483</v>
      </c>
      <c r="H557" s="585" t="s">
        <v>232</v>
      </c>
      <c r="I557" s="33" t="s">
        <v>171</v>
      </c>
    </row>
    <row r="558" spans="1:9" s="492" customFormat="1" ht="14.4">
      <c r="A558" s="809"/>
      <c r="B558" s="1426" t="s">
        <v>5173</v>
      </c>
      <c r="C558" s="814">
        <v>1</v>
      </c>
      <c r="D558" s="9" t="s">
        <v>133</v>
      </c>
      <c r="E558" s="810">
        <v>650000</v>
      </c>
      <c r="F558" s="810"/>
      <c r="G558" s="810">
        <f>+E558*C558</f>
        <v>650000</v>
      </c>
      <c r="H558" s="810"/>
      <c r="I558" s="810"/>
    </row>
    <row r="559" spans="1:9" s="492" customFormat="1" ht="14.4">
      <c r="A559" s="809"/>
      <c r="B559" s="1423" t="s">
        <v>5174</v>
      </c>
      <c r="C559" s="814">
        <v>1</v>
      </c>
      <c r="D559" s="9" t="s">
        <v>133</v>
      </c>
      <c r="E559" s="810">
        <v>35000</v>
      </c>
      <c r="F559" s="810"/>
      <c r="G559" s="810">
        <f>+E559*C559</f>
        <v>35000</v>
      </c>
      <c r="H559" s="810"/>
      <c r="I559" s="810"/>
    </row>
    <row r="560" spans="1:9" s="492" customFormat="1" ht="14.4">
      <c r="A560" s="809"/>
      <c r="B560" s="1426" t="s">
        <v>5175</v>
      </c>
      <c r="C560" s="814">
        <v>1</v>
      </c>
      <c r="D560" s="9" t="s">
        <v>133</v>
      </c>
      <c r="E560" s="810">
        <v>240000</v>
      </c>
      <c r="F560" s="810"/>
      <c r="G560" s="810">
        <f>+E560*C560</f>
        <v>240000</v>
      </c>
      <c r="H560" s="810"/>
      <c r="I560" s="810"/>
    </row>
    <row r="561" spans="1:9" s="492" customFormat="1" ht="14.4">
      <c r="A561" s="809"/>
      <c r="B561" s="807" t="s">
        <v>5162</v>
      </c>
      <c r="C561" s="814">
        <v>1</v>
      </c>
      <c r="D561" s="9" t="s">
        <v>772</v>
      </c>
      <c r="E561" s="810">
        <v>200</v>
      </c>
      <c r="F561" s="810"/>
      <c r="G561" s="1425"/>
      <c r="H561" s="810"/>
      <c r="I561" s="810">
        <f>+E561*C561</f>
        <v>200</v>
      </c>
    </row>
    <row r="562" spans="1:9" s="492" customFormat="1" ht="14.4">
      <c r="A562" s="1424" t="s">
        <v>190</v>
      </c>
      <c r="B562" s="813">
        <f>SUM(F562:I562)</f>
        <v>925200</v>
      </c>
      <c r="C562" s="814"/>
      <c r="D562" s="9"/>
      <c r="E562" s="810"/>
      <c r="F562" s="810">
        <f>+SUM(F558:F559)</f>
        <v>0</v>
      </c>
      <c r="G562" s="810">
        <f>+SUM(G558:G561)</f>
        <v>925000</v>
      </c>
      <c r="H562" s="810">
        <f>+SUM(H558:H559)</f>
        <v>0</v>
      </c>
      <c r="I562" s="810">
        <f>+SUM(I558:I561)</f>
        <v>200</v>
      </c>
    </row>
    <row r="563" spans="1:9" s="492" customFormat="1" ht="14.4">
      <c r="A563" s="1424" t="s">
        <v>191</v>
      </c>
      <c r="B563" s="813">
        <f>+B562</f>
        <v>925200</v>
      </c>
      <c r="C563" s="815" t="s">
        <v>133</v>
      </c>
      <c r="D563" s="816"/>
      <c r="E563" s="817"/>
      <c r="F563" s="817"/>
      <c r="G563" s="817"/>
      <c r="H563" s="817"/>
      <c r="I563" s="817"/>
    </row>
    <row r="564" spans="1:9" s="492" customFormat="1" ht="14.4">
      <c r="A564" s="1425"/>
      <c r="B564" s="1425"/>
      <c r="C564" s="1425"/>
      <c r="D564" s="1425"/>
      <c r="E564" s="1425"/>
      <c r="F564" s="1425"/>
      <c r="G564" s="1425"/>
      <c r="H564" s="1425"/>
      <c r="I564" s="1425"/>
    </row>
    <row r="565" spans="1:9" s="492" customFormat="1" ht="14.4">
      <c r="A565" s="1342" t="s">
        <v>5176</v>
      </c>
      <c r="B565" s="3552" t="s">
        <v>5177</v>
      </c>
      <c r="C565" s="3553"/>
      <c r="D565" s="3553"/>
      <c r="E565" s="3553"/>
      <c r="F565" s="3553"/>
      <c r="G565" s="3553"/>
      <c r="H565" s="3553"/>
      <c r="I565" s="3554"/>
    </row>
    <row r="566" spans="1:9" s="492" customFormat="1" ht="16.8">
      <c r="A566" s="809"/>
      <c r="B566" s="807"/>
      <c r="C566" s="808" t="s">
        <v>140</v>
      </c>
      <c r="D566" s="11" t="s">
        <v>343</v>
      </c>
      <c r="E566" s="33" t="s">
        <v>344</v>
      </c>
      <c r="F566" s="33" t="s">
        <v>482</v>
      </c>
      <c r="G566" s="33" t="s">
        <v>483</v>
      </c>
      <c r="H566" s="585" t="s">
        <v>232</v>
      </c>
      <c r="I566" s="33" t="s">
        <v>171</v>
      </c>
    </row>
    <row r="567" spans="1:9" s="492" customFormat="1" ht="14.4">
      <c r="A567" s="809" t="s">
        <v>172</v>
      </c>
      <c r="B567" s="807" t="s">
        <v>189</v>
      </c>
      <c r="C567" s="814">
        <v>1</v>
      </c>
      <c r="D567" s="9" t="s">
        <v>583</v>
      </c>
      <c r="E567" s="810">
        <f>+H570*0.05</f>
        <v>6538.9695592000007</v>
      </c>
      <c r="F567" s="810"/>
      <c r="G567" s="810"/>
      <c r="H567" s="810"/>
      <c r="I567" s="810">
        <f>+E567*C567</f>
        <v>6538.9695592000007</v>
      </c>
    </row>
    <row r="568" spans="1:9" s="492" customFormat="1" ht="14.4">
      <c r="A568" s="809" t="s">
        <v>348</v>
      </c>
      <c r="B568" s="807" t="str">
        <f>IF(PRESTA&gt;0,"AYUD. RASO (INCLUYE "&amp;""&amp;PRESTA*100&amp;"% PRESTACIONES)",0)</f>
        <v>AYUD. RASO (INCLUYE 82,22% PRESTACIONES)</v>
      </c>
      <c r="C568" s="814">
        <f>1</f>
        <v>1</v>
      </c>
      <c r="D568" s="9" t="s">
        <v>346</v>
      </c>
      <c r="E568" s="810">
        <f>+AYUDR</f>
        <v>50299.76584</v>
      </c>
      <c r="F568" s="810"/>
      <c r="G568" s="810"/>
      <c r="H568" s="810">
        <f>+E568*C568</f>
        <v>50299.76584</v>
      </c>
      <c r="I568" s="810"/>
    </row>
    <row r="569" spans="1:9" s="492" customFormat="1" ht="14.4">
      <c r="A569" s="809" t="s">
        <v>347</v>
      </c>
      <c r="B569" s="811" t="s">
        <v>965</v>
      </c>
      <c r="C569" s="814">
        <f>1</f>
        <v>1</v>
      </c>
      <c r="D569" s="9" t="s">
        <v>717</v>
      </c>
      <c r="E569" s="810">
        <f>+OFICI</f>
        <v>80479.625344</v>
      </c>
      <c r="F569" s="810"/>
      <c r="G569" s="810"/>
      <c r="H569" s="810">
        <f>+E569*C569</f>
        <v>80479.625344</v>
      </c>
      <c r="I569" s="810"/>
    </row>
    <row r="570" spans="1:9" s="492" customFormat="1" ht="14.4">
      <c r="A570" s="1424" t="s">
        <v>190</v>
      </c>
      <c r="B570" s="813">
        <f>SUM(F570:I570)</f>
        <v>137318.3607432</v>
      </c>
      <c r="C570" s="814"/>
      <c r="D570" s="9"/>
      <c r="E570" s="810"/>
      <c r="F570" s="810">
        <f>+SUM(F567:F569)</f>
        <v>0</v>
      </c>
      <c r="G570" s="810">
        <f>+SUM(G567:G569)</f>
        <v>0</v>
      </c>
      <c r="H570" s="810">
        <f>+SUM(H567:H569)</f>
        <v>130779.39118400001</v>
      </c>
      <c r="I570" s="810">
        <f>+SUM(I567:I569)</f>
        <v>6538.9695592000007</v>
      </c>
    </row>
    <row r="571" spans="1:9" s="492" customFormat="1" ht="14.4">
      <c r="A571" s="1424" t="s">
        <v>191</v>
      </c>
      <c r="B571" s="813">
        <f>+B570</f>
        <v>137318.3607432</v>
      </c>
      <c r="C571" s="815" t="s">
        <v>133</v>
      </c>
      <c r="D571" s="816"/>
      <c r="E571" s="817"/>
      <c r="F571" s="817"/>
      <c r="G571" s="817"/>
      <c r="H571" s="817"/>
      <c r="I571" s="817"/>
    </row>
    <row r="572" spans="1:9" s="492" customFormat="1" ht="14.4">
      <c r="A572" s="1425"/>
      <c r="B572" s="1425"/>
      <c r="C572" s="1425"/>
      <c r="D572" s="1425"/>
      <c r="E572" s="1425"/>
      <c r="F572" s="1425"/>
      <c r="G572" s="1425"/>
      <c r="H572" s="1425"/>
      <c r="I572" s="1425"/>
    </row>
    <row r="573" spans="1:9" s="492" customFormat="1" ht="15.75" customHeight="1">
      <c r="A573" s="1342" t="s">
        <v>5176</v>
      </c>
      <c r="B573" s="3552" t="s">
        <v>5178</v>
      </c>
      <c r="C573" s="3553"/>
      <c r="D573" s="3553"/>
      <c r="E573" s="3553"/>
      <c r="F573" s="3553"/>
      <c r="G573" s="3553"/>
      <c r="H573" s="3553"/>
      <c r="I573" s="3554"/>
    </row>
    <row r="574" spans="1:9" s="492" customFormat="1" ht="16.8">
      <c r="A574" s="809"/>
      <c r="B574" s="807"/>
      <c r="C574" s="808" t="s">
        <v>140</v>
      </c>
      <c r="D574" s="11" t="s">
        <v>343</v>
      </c>
      <c r="E574" s="33" t="s">
        <v>344</v>
      </c>
      <c r="F574" s="33" t="s">
        <v>482</v>
      </c>
      <c r="G574" s="33" t="s">
        <v>483</v>
      </c>
      <c r="H574" s="585" t="s">
        <v>232</v>
      </c>
      <c r="I574" s="33" t="s">
        <v>171</v>
      </c>
    </row>
    <row r="575" spans="1:9" s="492" customFormat="1" ht="14.4">
      <c r="A575" s="809"/>
      <c r="B575" s="1426" t="s">
        <v>5179</v>
      </c>
      <c r="C575" s="814">
        <v>1</v>
      </c>
      <c r="D575" s="9" t="s">
        <v>133</v>
      </c>
      <c r="E575" s="810">
        <v>130000</v>
      </c>
      <c r="F575" s="810"/>
      <c r="G575" s="810">
        <f>+E575*C575</f>
        <v>130000</v>
      </c>
      <c r="H575" s="810"/>
      <c r="I575" s="810"/>
    </row>
    <row r="576" spans="1:9" s="492" customFormat="1" ht="14.4">
      <c r="A576" s="809"/>
      <c r="B576" s="807" t="s">
        <v>5181</v>
      </c>
      <c r="C576" s="814">
        <v>1</v>
      </c>
      <c r="D576" s="9" t="s">
        <v>772</v>
      </c>
      <c r="E576" s="810">
        <v>15000</v>
      </c>
      <c r="F576" s="810"/>
      <c r="G576" s="1425"/>
      <c r="H576" s="810"/>
      <c r="I576" s="810">
        <f>+E576*C576</f>
        <v>15000</v>
      </c>
    </row>
    <row r="577" spans="1:9" s="492" customFormat="1" ht="14.4">
      <c r="A577" s="1424" t="s">
        <v>190</v>
      </c>
      <c r="B577" s="813">
        <f>SUM(F577:I577)</f>
        <v>145000</v>
      </c>
      <c r="C577" s="814"/>
      <c r="D577" s="9"/>
      <c r="E577" s="810"/>
      <c r="F577" s="810">
        <f>+SUM(F575:F575)</f>
        <v>0</v>
      </c>
      <c r="G577" s="810">
        <f>+SUM(G575:G576)</f>
        <v>130000</v>
      </c>
      <c r="H577" s="810">
        <f>+SUM(H575:H575)</f>
        <v>0</v>
      </c>
      <c r="I577" s="810">
        <f>+SUM(I575:I576)</f>
        <v>15000</v>
      </c>
    </row>
    <row r="578" spans="1:9" s="492" customFormat="1" ht="14.4">
      <c r="A578" s="1424" t="s">
        <v>191</v>
      </c>
      <c r="B578" s="813">
        <f>+B577</f>
        <v>145000</v>
      </c>
      <c r="C578" s="815" t="s">
        <v>772</v>
      </c>
      <c r="D578" s="816"/>
      <c r="E578" s="817"/>
      <c r="F578" s="817"/>
      <c r="G578" s="817"/>
      <c r="H578" s="817"/>
      <c r="I578" s="817"/>
    </row>
    <row r="579" spans="1:9" s="492" customFormat="1" ht="14.4">
      <c r="A579" s="1425"/>
      <c r="B579" s="1425"/>
      <c r="C579" s="1425"/>
      <c r="D579" s="1425"/>
      <c r="E579" s="1425"/>
      <c r="F579" s="1425"/>
      <c r="G579" s="1425"/>
      <c r="H579" s="1425"/>
      <c r="I579" s="1425"/>
    </row>
    <row r="580" spans="1:9" s="492" customFormat="1" ht="81.75" customHeight="1">
      <c r="A580" s="582">
        <v>13.1</v>
      </c>
      <c r="B580" s="3547" t="s">
        <v>5609</v>
      </c>
      <c r="C580" s="3548"/>
      <c r="D580" s="3548"/>
      <c r="E580" s="3548"/>
      <c r="F580" s="3548"/>
      <c r="G580" s="3548"/>
      <c r="H580" s="3548"/>
      <c r="I580" s="3549"/>
    </row>
    <row r="581" spans="1:9" s="492" customFormat="1" ht="16.8">
      <c r="A581" s="1496"/>
      <c r="B581" s="179"/>
      <c r="C581" s="583" t="s">
        <v>140</v>
      </c>
      <c r="D581" s="1496" t="s">
        <v>343</v>
      </c>
      <c r="E581" s="585" t="s">
        <v>344</v>
      </c>
      <c r="F581" s="65" t="s">
        <v>482</v>
      </c>
      <c r="G581" s="65" t="s">
        <v>483</v>
      </c>
      <c r="H581" s="65" t="s">
        <v>232</v>
      </c>
      <c r="I581" s="65" t="s">
        <v>171</v>
      </c>
    </row>
    <row r="582" spans="1:9" s="492" customFormat="1" ht="16.8">
      <c r="A582" s="2"/>
      <c r="B582" s="100" t="s">
        <v>5610</v>
      </c>
      <c r="C582" s="589">
        <f>1/0.2</f>
        <v>5</v>
      </c>
      <c r="D582" s="2" t="s">
        <v>346</v>
      </c>
      <c r="E582" s="585">
        <f>90000*3</f>
        <v>270000</v>
      </c>
      <c r="F582" s="585"/>
      <c r="G582" s="585"/>
      <c r="H582" s="585">
        <f>+C582*E582</f>
        <v>1350000</v>
      </c>
      <c r="I582" s="585"/>
    </row>
    <row r="583" spans="1:9" s="492" customFormat="1" ht="16.8">
      <c r="A583" s="2" t="s">
        <v>347</v>
      </c>
      <c r="B583" s="100" t="s">
        <v>5486</v>
      </c>
      <c r="C583" s="589">
        <f>1/0.2</f>
        <v>5</v>
      </c>
      <c r="D583" s="2" t="s">
        <v>346</v>
      </c>
      <c r="E583" s="585">
        <f>+AYUDR</f>
        <v>50299.76584</v>
      </c>
      <c r="F583" s="585"/>
      <c r="G583" s="585"/>
      <c r="H583" s="585">
        <f>+C583*E583</f>
        <v>251498.82920000001</v>
      </c>
      <c r="I583" s="585"/>
    </row>
    <row r="584" spans="1:9" s="492" customFormat="1" ht="16.8">
      <c r="A584" s="2" t="s">
        <v>172</v>
      </c>
      <c r="B584" s="18" t="s">
        <v>189</v>
      </c>
      <c r="C584" s="589">
        <v>1</v>
      </c>
      <c r="D584" s="6" t="s">
        <v>583</v>
      </c>
      <c r="E584" s="585">
        <f>+H585*0.05</f>
        <v>80074.941460000002</v>
      </c>
      <c r="F584" s="585"/>
      <c r="G584" s="585"/>
      <c r="H584" s="585"/>
      <c r="I584" s="585">
        <v>2700.0761287500009</v>
      </c>
    </row>
    <row r="585" spans="1:9" s="492" customFormat="1" ht="16.8">
      <c r="A585" s="587" t="s">
        <v>190</v>
      </c>
      <c r="B585" s="588">
        <f>SUM(G585:I585)</f>
        <v>1604198.9053287501</v>
      </c>
      <c r="C585" s="583"/>
      <c r="D585" s="169"/>
      <c r="E585" s="585"/>
      <c r="F585" s="65">
        <v>0</v>
      </c>
      <c r="G585" s="65" t="s">
        <v>441</v>
      </c>
      <c r="H585" s="65">
        <f>SUM(H582:H584)</f>
        <v>1601498.8292</v>
      </c>
      <c r="I585" s="65">
        <f>SUM(I582:I584)</f>
        <v>2700.0761287500009</v>
      </c>
    </row>
    <row r="586" spans="1:9" s="492" customFormat="1" ht="16.8">
      <c r="A586" s="587" t="s">
        <v>191</v>
      </c>
      <c r="B586" s="39">
        <f>SUM(B585:B585)</f>
        <v>1604198.9053287501</v>
      </c>
      <c r="C586" s="591" t="s">
        <v>363</v>
      </c>
      <c r="D586" s="13"/>
      <c r="E586" s="170"/>
      <c r="F586" s="170"/>
      <c r="G586" s="170"/>
      <c r="H586" s="170"/>
      <c r="I586" s="170"/>
    </row>
    <row r="587" spans="1:9" s="492" customFormat="1"/>
    <row r="588" spans="1:9" s="492" customFormat="1" ht="78" customHeight="1">
      <c r="A588" s="582">
        <v>13.1</v>
      </c>
      <c r="B588" s="3558" t="s">
        <v>5615</v>
      </c>
      <c r="C588" s="3558"/>
      <c r="D588" s="3558"/>
      <c r="E588" s="3558"/>
      <c r="F588" s="3558"/>
      <c r="G588" s="3558"/>
      <c r="H588" s="3558"/>
      <c r="I588" s="3558"/>
    </row>
    <row r="589" spans="1:9" s="492" customFormat="1" ht="16.8">
      <c r="A589" s="1496"/>
      <c r="B589" s="179"/>
      <c r="C589" s="589" t="s">
        <v>140</v>
      </c>
      <c r="D589" s="2" t="s">
        <v>343</v>
      </c>
      <c r="E589" s="585" t="s">
        <v>344</v>
      </c>
      <c r="F589" s="585" t="s">
        <v>482</v>
      </c>
      <c r="G589" s="585" t="s">
        <v>483</v>
      </c>
      <c r="H589" s="585" t="s">
        <v>232</v>
      </c>
      <c r="I589" s="585" t="s">
        <v>171</v>
      </c>
    </row>
    <row r="590" spans="1:9" s="492" customFormat="1" ht="16.8">
      <c r="A590" s="1438"/>
      <c r="B590" s="179" t="s">
        <v>5611</v>
      </c>
      <c r="C590" s="589">
        <v>2</v>
      </c>
      <c r="D590" s="2" t="s">
        <v>363</v>
      </c>
      <c r="E590" s="585">
        <v>1250000</v>
      </c>
      <c r="F590" s="585"/>
      <c r="G590" s="585">
        <f>+E590*C590</f>
        <v>2500000</v>
      </c>
      <c r="H590" s="585"/>
      <c r="I590" s="585"/>
    </row>
    <row r="591" spans="1:9" s="492" customFormat="1" ht="60" customHeight="1">
      <c r="A591" s="1438"/>
      <c r="B591" s="1480" t="s">
        <v>5614</v>
      </c>
      <c r="C591" s="1470">
        <v>2</v>
      </c>
      <c r="D591" s="471" t="s">
        <v>363</v>
      </c>
      <c r="E591" s="368">
        <v>8450000</v>
      </c>
      <c r="F591" s="585"/>
      <c r="G591" s="368">
        <f>+E591*C591</f>
        <v>16900000</v>
      </c>
      <c r="H591" s="585"/>
      <c r="I591" s="585"/>
    </row>
    <row r="592" spans="1:9" s="492" customFormat="1" ht="16.8">
      <c r="A592" s="1438"/>
      <c r="B592" s="179" t="s">
        <v>5612</v>
      </c>
      <c r="C592" s="589">
        <v>2</v>
      </c>
      <c r="D592" s="2" t="s">
        <v>363</v>
      </c>
      <c r="E592" s="585">
        <v>2100000</v>
      </c>
      <c r="F592" s="585"/>
      <c r="G592" s="585">
        <f>+E592*C592</f>
        <v>4200000</v>
      </c>
      <c r="H592" s="585"/>
      <c r="I592" s="585"/>
    </row>
    <row r="593" spans="1:9" s="492" customFormat="1" ht="16.8">
      <c r="A593" s="1438"/>
      <c r="B593" s="179" t="s">
        <v>5613</v>
      </c>
      <c r="C593" s="589">
        <v>2</v>
      </c>
      <c r="D593" s="2" t="s">
        <v>363</v>
      </c>
      <c r="E593" s="585">
        <v>350000</v>
      </c>
      <c r="F593" s="585"/>
      <c r="G593" s="585">
        <f>+E593*C593</f>
        <v>700000</v>
      </c>
      <c r="H593" s="585"/>
      <c r="I593" s="585"/>
    </row>
    <row r="594" spans="1:9" s="492" customFormat="1" ht="16.8">
      <c r="A594" s="2"/>
      <c r="B594" s="180" t="s">
        <v>5394</v>
      </c>
      <c r="C594" s="600">
        <v>1</v>
      </c>
      <c r="D594" s="2" t="s">
        <v>583</v>
      </c>
      <c r="E594" s="585">
        <v>120000</v>
      </c>
      <c r="F594" s="585"/>
      <c r="G594" s="585" t="s">
        <v>441</v>
      </c>
      <c r="H594" s="585"/>
      <c r="I594" s="585">
        <f>+E594*C594</f>
        <v>120000</v>
      </c>
    </row>
    <row r="595" spans="1:9" s="492" customFormat="1" ht="16.8">
      <c r="A595" s="587" t="s">
        <v>190</v>
      </c>
      <c r="B595" s="588">
        <f>SUM(F595:I595)</f>
        <v>24420000</v>
      </c>
      <c r="C595" s="589"/>
      <c r="D595" s="601"/>
      <c r="E595" s="585"/>
      <c r="F595" s="585">
        <f>SUM(F590:F594)</f>
        <v>0</v>
      </c>
      <c r="G595" s="585">
        <f>SUM(G590:G594)</f>
        <v>24300000</v>
      </c>
      <c r="H595" s="585">
        <f>SUM(H590:H594)</f>
        <v>0</v>
      </c>
      <c r="I595" s="585">
        <f>SUM(I590:I594)</f>
        <v>120000</v>
      </c>
    </row>
    <row r="596" spans="1:9" s="492" customFormat="1" ht="16.8">
      <c r="A596" s="587" t="s">
        <v>191</v>
      </c>
      <c r="B596" s="39">
        <f>SUM(B595:B595)</f>
        <v>24420000</v>
      </c>
      <c r="C596" s="589" t="s">
        <v>363</v>
      </c>
      <c r="D596" s="13"/>
      <c r="E596" s="170"/>
      <c r="F596" s="170"/>
      <c r="G596" s="170"/>
      <c r="H596" s="170"/>
      <c r="I596" s="170"/>
    </row>
    <row r="597" spans="1:9" s="61" customFormat="1" ht="16.8">
      <c r="A597" s="471"/>
      <c r="B597" s="602"/>
      <c r="C597" s="603"/>
      <c r="D597" s="13"/>
      <c r="E597" s="170"/>
      <c r="F597" s="170"/>
      <c r="G597" s="170"/>
      <c r="H597" s="170"/>
      <c r="I597" s="170"/>
    </row>
    <row r="598" spans="1:9" ht="57" customHeight="1">
      <c r="A598" s="594" t="s">
        <v>441</v>
      </c>
      <c r="B598" s="3547" t="s">
        <v>6242</v>
      </c>
      <c r="C598" s="3548"/>
      <c r="D598" s="3548"/>
      <c r="E598" s="3548"/>
      <c r="F598" s="3548"/>
      <c r="G598" s="3548"/>
      <c r="H598" s="3548"/>
      <c r="I598" s="3549"/>
    </row>
    <row r="599" spans="1:9" ht="16.8">
      <c r="A599" s="1574" t="s">
        <v>1520</v>
      </c>
      <c r="B599" s="179" t="s">
        <v>1521</v>
      </c>
      <c r="C599" s="589" t="s">
        <v>140</v>
      </c>
      <c r="D599" s="2" t="s">
        <v>343</v>
      </c>
      <c r="E599" s="585" t="s">
        <v>344</v>
      </c>
      <c r="F599" s="585" t="s">
        <v>482</v>
      </c>
      <c r="G599" s="585" t="s">
        <v>483</v>
      </c>
      <c r="H599" s="585" t="s">
        <v>232</v>
      </c>
      <c r="I599" s="585" t="s">
        <v>171</v>
      </c>
    </row>
    <row r="600" spans="1:9" ht="33.6">
      <c r="A600" s="1574" t="s">
        <v>3627</v>
      </c>
      <c r="B600" s="536" t="s">
        <v>1818</v>
      </c>
      <c r="C600" s="583">
        <v>4</v>
      </c>
      <c r="D600" s="1574" t="s">
        <v>346</v>
      </c>
      <c r="E600" s="585">
        <v>150000</v>
      </c>
      <c r="F600" s="65"/>
      <c r="G600" s="65"/>
      <c r="H600" s="65">
        <f>+C600*E600</f>
        <v>600000</v>
      </c>
      <c r="I600" s="65"/>
    </row>
    <row r="601" spans="1:9" ht="16.8">
      <c r="A601" s="2" t="s">
        <v>172</v>
      </c>
      <c r="B601" s="18" t="s">
        <v>189</v>
      </c>
      <c r="C601" s="589">
        <v>1</v>
      </c>
      <c r="D601" s="6" t="s">
        <v>583</v>
      </c>
      <c r="E601" s="585">
        <f>+H600*0.05</f>
        <v>30000</v>
      </c>
      <c r="F601" s="585"/>
      <c r="G601" s="585" t="s">
        <v>441</v>
      </c>
      <c r="H601" s="585"/>
      <c r="I601" s="585">
        <f>+E601*C601</f>
        <v>30000</v>
      </c>
    </row>
    <row r="602" spans="1:9" ht="16.8">
      <c r="A602" s="587" t="s">
        <v>190</v>
      </c>
      <c r="B602" s="588">
        <f>SUM(G602:I602)</f>
        <v>630000</v>
      </c>
      <c r="C602" s="589"/>
      <c r="D602" s="601"/>
      <c r="E602" s="585"/>
      <c r="F602" s="585">
        <v>0</v>
      </c>
      <c r="G602" s="585">
        <f>SUM(G600:G601)</f>
        <v>0</v>
      </c>
      <c r="H602" s="585">
        <f>SUM(H600:H601)</f>
        <v>600000</v>
      </c>
      <c r="I602" s="585">
        <f>SUM(I601:I601)</f>
        <v>30000</v>
      </c>
    </row>
    <row r="603" spans="1:9" ht="16.8">
      <c r="A603" s="587" t="s">
        <v>191</v>
      </c>
      <c r="B603" s="39">
        <f>SUM(B602:B602)</f>
        <v>630000</v>
      </c>
      <c r="C603" s="589" t="s">
        <v>363</v>
      </c>
      <c r="D603" s="13"/>
      <c r="E603" s="170"/>
      <c r="F603" s="170"/>
      <c r="G603" s="170"/>
      <c r="H603" s="170"/>
      <c r="I603" s="170"/>
    </row>
    <row r="604" spans="1:9" ht="16.8">
      <c r="A604" s="471"/>
      <c r="B604" s="602"/>
      <c r="C604" s="603"/>
      <c r="D604" s="13"/>
      <c r="E604" s="170"/>
      <c r="F604" s="170"/>
      <c r="G604" s="170"/>
      <c r="H604" s="170"/>
      <c r="I604" s="170"/>
    </row>
    <row r="605" spans="1:9" ht="59.25" customHeight="1">
      <c r="A605" s="594" t="s">
        <v>441</v>
      </c>
      <c r="B605" s="3547" t="s">
        <v>6243</v>
      </c>
      <c r="C605" s="3548"/>
      <c r="D605" s="3548"/>
      <c r="E605" s="3548"/>
      <c r="F605" s="3548"/>
      <c r="G605" s="3548"/>
      <c r="H605" s="3548"/>
      <c r="I605" s="3549"/>
    </row>
    <row r="606" spans="1:9" ht="16.8">
      <c r="A606" s="1574" t="s">
        <v>1520</v>
      </c>
      <c r="B606" s="179" t="s">
        <v>1521</v>
      </c>
      <c r="C606" s="589" t="s">
        <v>140</v>
      </c>
      <c r="D606" s="2" t="s">
        <v>343</v>
      </c>
      <c r="E606" s="585" t="s">
        <v>344</v>
      </c>
      <c r="F606" s="585" t="s">
        <v>482</v>
      </c>
      <c r="G606" s="585" t="s">
        <v>483</v>
      </c>
      <c r="H606" s="585" t="s">
        <v>232</v>
      </c>
      <c r="I606" s="585" t="s">
        <v>171</v>
      </c>
    </row>
    <row r="607" spans="1:9" ht="118.8">
      <c r="A607" s="530" t="s">
        <v>1953</v>
      </c>
      <c r="B607" s="534" t="s">
        <v>6244</v>
      </c>
      <c r="C607" s="589">
        <v>1</v>
      </c>
      <c r="D607" s="6" t="s">
        <v>363</v>
      </c>
      <c r="E607" s="585">
        <f>29505200*1.19</f>
        <v>35111188</v>
      </c>
      <c r="F607" s="585"/>
      <c r="G607" s="585">
        <f>+C607*E607</f>
        <v>35111188</v>
      </c>
      <c r="H607" s="536"/>
      <c r="I607" s="536"/>
    </row>
    <row r="608" spans="1:9" ht="16.8">
      <c r="A608" s="535" t="s">
        <v>3671</v>
      </c>
      <c r="B608" s="536" t="s">
        <v>1844</v>
      </c>
      <c r="C608" s="589">
        <v>8</v>
      </c>
      <c r="D608" s="6" t="s">
        <v>363</v>
      </c>
      <c r="E608" s="585">
        <f>VLOOKUP(B608,MATERIALES!B:C,2,0)</f>
        <v>85000</v>
      </c>
      <c r="F608" s="585"/>
      <c r="G608" s="585">
        <f>+C608*E608</f>
        <v>680000</v>
      </c>
      <c r="H608" s="536"/>
      <c r="I608" s="536"/>
    </row>
    <row r="609" spans="1:9" ht="16.8">
      <c r="A609" s="2" t="s">
        <v>584</v>
      </c>
      <c r="B609" s="180" t="s">
        <v>2236</v>
      </c>
      <c r="C609" s="589">
        <v>1</v>
      </c>
      <c r="D609" s="2" t="s">
        <v>583</v>
      </c>
      <c r="E609" s="585">
        <f>VLOOKUP(B609,MATERIALES!B:C,2,0)</f>
        <v>750000</v>
      </c>
      <c r="F609" s="585"/>
      <c r="G609" s="585" t="s">
        <v>441</v>
      </c>
      <c r="H609" s="585"/>
      <c r="I609" s="585">
        <f>+E609*C609</f>
        <v>750000</v>
      </c>
    </row>
    <row r="610" spans="1:9" ht="16.8">
      <c r="A610" s="587" t="s">
        <v>190</v>
      </c>
      <c r="B610" s="588">
        <f>SUM(G610:I610)</f>
        <v>36541188</v>
      </c>
      <c r="C610" s="589"/>
      <c r="D610" s="601"/>
      <c r="E610" s="585"/>
      <c r="F610" s="585">
        <v>0</v>
      </c>
      <c r="G610" s="585">
        <f>SUM(G607:G609)</f>
        <v>35791188</v>
      </c>
      <c r="H610" s="585">
        <f>SUM(H609:H609)</f>
        <v>0</v>
      </c>
      <c r="I610" s="585">
        <f>SUM(I609:I609)</f>
        <v>750000</v>
      </c>
    </row>
    <row r="611" spans="1:9" ht="16.8">
      <c r="A611" s="587" t="s">
        <v>191</v>
      </c>
      <c r="B611" s="39">
        <f>SUM(B610:B610)</f>
        <v>36541188</v>
      </c>
      <c r="C611" s="589" t="s">
        <v>363</v>
      </c>
      <c r="D611" s="13"/>
      <c r="E611" s="170"/>
      <c r="F611" s="170"/>
      <c r="G611" s="170"/>
      <c r="H611" s="170"/>
      <c r="I611" s="170"/>
    </row>
    <row r="612" spans="1:9" s="492" customFormat="1"/>
    <row r="613" spans="1:9" ht="57" customHeight="1">
      <c r="A613" s="594" t="s">
        <v>441</v>
      </c>
      <c r="B613" s="3547" t="s">
        <v>6232</v>
      </c>
      <c r="C613" s="3548"/>
      <c r="D613" s="3548"/>
      <c r="E613" s="3548"/>
      <c r="F613" s="3548"/>
      <c r="G613" s="3548"/>
      <c r="H613" s="3548"/>
      <c r="I613" s="3549"/>
    </row>
    <row r="614" spans="1:9" ht="16.8">
      <c r="A614" s="1836" t="s">
        <v>1520</v>
      </c>
      <c r="B614" s="179" t="s">
        <v>1521</v>
      </c>
      <c r="C614" s="589" t="s">
        <v>140</v>
      </c>
      <c r="D614" s="2" t="s">
        <v>343</v>
      </c>
      <c r="E614" s="585" t="s">
        <v>344</v>
      </c>
      <c r="F614" s="585" t="s">
        <v>482</v>
      </c>
      <c r="G614" s="585" t="s">
        <v>483</v>
      </c>
      <c r="H614" s="585" t="s">
        <v>232</v>
      </c>
      <c r="I614" s="585" t="s">
        <v>171</v>
      </c>
    </row>
    <row r="615" spans="1:9" ht="33.6">
      <c r="A615" s="1836" t="s">
        <v>3627</v>
      </c>
      <c r="B615" s="536" t="s">
        <v>1818</v>
      </c>
      <c r="C615" s="583">
        <v>4</v>
      </c>
      <c r="D615" s="1836" t="s">
        <v>346</v>
      </c>
      <c r="E615" s="585">
        <v>150000</v>
      </c>
      <c r="F615" s="65"/>
      <c r="G615" s="65"/>
      <c r="H615" s="65">
        <f>+C615*E615</f>
        <v>600000</v>
      </c>
      <c r="I615" s="65"/>
    </row>
    <row r="616" spans="1:9" ht="16.8">
      <c r="A616" s="2" t="s">
        <v>172</v>
      </c>
      <c r="B616" s="18" t="s">
        <v>189</v>
      </c>
      <c r="C616" s="589">
        <v>1</v>
      </c>
      <c r="D616" s="6" t="s">
        <v>583</v>
      </c>
      <c r="E616" s="585">
        <f>+H615*0.05</f>
        <v>30000</v>
      </c>
      <c r="F616" s="585"/>
      <c r="G616" s="585" t="s">
        <v>441</v>
      </c>
      <c r="H616" s="585"/>
      <c r="I616" s="585">
        <f>+E616*C616</f>
        <v>30000</v>
      </c>
    </row>
    <row r="617" spans="1:9" ht="16.8">
      <c r="A617" s="587" t="s">
        <v>190</v>
      </c>
      <c r="B617" s="588">
        <f>SUM(G617:I617)</f>
        <v>630000</v>
      </c>
      <c r="C617" s="589"/>
      <c r="D617" s="601"/>
      <c r="E617" s="585"/>
      <c r="F617" s="585">
        <v>0</v>
      </c>
      <c r="G617" s="585">
        <f>SUM(G615:G616)</f>
        <v>0</v>
      </c>
      <c r="H617" s="585">
        <f>SUM(H615:H616)</f>
        <v>600000</v>
      </c>
      <c r="I617" s="585">
        <f>SUM(I616:I616)</f>
        <v>30000</v>
      </c>
    </row>
    <row r="618" spans="1:9" ht="16.8">
      <c r="A618" s="587" t="s">
        <v>191</v>
      </c>
      <c r="B618" s="39">
        <f>SUM(B617:B617)</f>
        <v>630000</v>
      </c>
      <c r="C618" s="589" t="s">
        <v>363</v>
      </c>
      <c r="D618" s="13"/>
      <c r="E618" s="170"/>
      <c r="F618" s="170"/>
      <c r="G618" s="170"/>
      <c r="H618" s="170"/>
      <c r="I618" s="170"/>
    </row>
    <row r="619" spans="1:9" ht="16.8">
      <c r="A619" s="471"/>
      <c r="B619" s="602"/>
      <c r="C619" s="603"/>
      <c r="D619" s="13"/>
      <c r="E619" s="170"/>
      <c r="F619" s="170"/>
      <c r="G619" s="170"/>
      <c r="H619" s="170"/>
      <c r="I619" s="170"/>
    </row>
    <row r="620" spans="1:9" ht="59.25" customHeight="1">
      <c r="A620" s="594" t="s">
        <v>441</v>
      </c>
      <c r="B620" s="3547" t="s">
        <v>6230</v>
      </c>
      <c r="C620" s="3548"/>
      <c r="D620" s="3548"/>
      <c r="E620" s="3548"/>
      <c r="F620" s="3548"/>
      <c r="G620" s="3548"/>
      <c r="H620" s="3548"/>
      <c r="I620" s="3549"/>
    </row>
    <row r="621" spans="1:9" ht="16.8">
      <c r="A621" s="1836" t="s">
        <v>1520</v>
      </c>
      <c r="B621" s="179" t="s">
        <v>1521</v>
      </c>
      <c r="C621" s="589" t="s">
        <v>140</v>
      </c>
      <c r="D621" s="2" t="s">
        <v>343</v>
      </c>
      <c r="E621" s="585" t="s">
        <v>344</v>
      </c>
      <c r="F621" s="585" t="s">
        <v>482</v>
      </c>
      <c r="G621" s="585" t="s">
        <v>483</v>
      </c>
      <c r="H621" s="585" t="s">
        <v>232</v>
      </c>
      <c r="I621" s="585" t="s">
        <v>171</v>
      </c>
    </row>
    <row r="622" spans="1:9" ht="132">
      <c r="A622" s="530" t="s">
        <v>1953</v>
      </c>
      <c r="B622" s="534" t="s">
        <v>6234</v>
      </c>
      <c r="C622" s="589">
        <v>1</v>
      </c>
      <c r="D622" s="6" t="s">
        <v>363</v>
      </c>
      <c r="E622" s="585">
        <f>39404200*1.19</f>
        <v>46890998</v>
      </c>
      <c r="F622" s="585"/>
      <c r="G622" s="585">
        <f>+C622*E622</f>
        <v>46890998</v>
      </c>
      <c r="H622" s="536"/>
      <c r="I622" s="536"/>
    </row>
    <row r="623" spans="1:9" ht="16.8">
      <c r="A623" s="535" t="s">
        <v>3671</v>
      </c>
      <c r="B623" s="536" t="s">
        <v>1844</v>
      </c>
      <c r="C623" s="589">
        <v>8</v>
      </c>
      <c r="D623" s="6" t="s">
        <v>363</v>
      </c>
      <c r="E623" s="585">
        <f>VLOOKUP(B623,MATERIALES!B:C,2,0)</f>
        <v>85000</v>
      </c>
      <c r="F623" s="585"/>
      <c r="G623" s="585">
        <f>+C623*E623</f>
        <v>680000</v>
      </c>
      <c r="H623" s="536"/>
      <c r="I623" s="536"/>
    </row>
    <row r="624" spans="1:9" ht="16.8">
      <c r="A624" s="2" t="s">
        <v>584</v>
      </c>
      <c r="B624" s="180" t="s">
        <v>2236</v>
      </c>
      <c r="C624" s="589">
        <v>1</v>
      </c>
      <c r="D624" s="2" t="s">
        <v>583</v>
      </c>
      <c r="E624" s="585">
        <f>VLOOKUP(B624,MATERIALES!B:C,2,0)</f>
        <v>750000</v>
      </c>
      <c r="F624" s="585"/>
      <c r="G624" s="585" t="s">
        <v>441</v>
      </c>
      <c r="H624" s="585"/>
      <c r="I624" s="585">
        <f>+E624*C624</f>
        <v>750000</v>
      </c>
    </row>
    <row r="625" spans="1:9" ht="16.8">
      <c r="A625" s="587" t="s">
        <v>190</v>
      </c>
      <c r="B625" s="588">
        <f>SUM(G625:I625)</f>
        <v>48320998</v>
      </c>
      <c r="C625" s="589"/>
      <c r="D625" s="601"/>
      <c r="E625" s="585"/>
      <c r="F625" s="585">
        <v>0</v>
      </c>
      <c r="G625" s="585">
        <f>SUM(G622:G624)</f>
        <v>47570998</v>
      </c>
      <c r="H625" s="585">
        <f>SUM(H624:H624)</f>
        <v>0</v>
      </c>
      <c r="I625" s="585">
        <f>SUM(I624:I624)</f>
        <v>750000</v>
      </c>
    </row>
    <row r="626" spans="1:9" ht="16.8">
      <c r="A626" s="587" t="s">
        <v>191</v>
      </c>
      <c r="B626" s="39">
        <f>SUM(B625:B625)</f>
        <v>48320998</v>
      </c>
      <c r="C626" s="589" t="s">
        <v>363</v>
      </c>
      <c r="D626" s="13"/>
      <c r="E626" s="170"/>
      <c r="F626" s="170"/>
      <c r="G626" s="170"/>
      <c r="H626" s="170"/>
      <c r="I626" s="170"/>
    </row>
    <row r="627" spans="1:9" s="10" customFormat="1" ht="16.8">
      <c r="A627" s="471"/>
      <c r="B627" s="602"/>
      <c r="C627" s="603"/>
      <c r="D627" s="13"/>
      <c r="E627" s="170"/>
      <c r="F627" s="170"/>
      <c r="G627" s="170"/>
      <c r="H627" s="170"/>
      <c r="I627" s="170"/>
    </row>
    <row r="628" spans="1:9" ht="57" customHeight="1">
      <c r="A628" s="594" t="s">
        <v>441</v>
      </c>
      <c r="B628" s="3547" t="s">
        <v>6246</v>
      </c>
      <c r="C628" s="3548"/>
      <c r="D628" s="3548"/>
      <c r="E628" s="3548"/>
      <c r="F628" s="3548"/>
      <c r="G628" s="3548"/>
      <c r="H628" s="3548"/>
      <c r="I628" s="3549"/>
    </row>
    <row r="629" spans="1:9" ht="16.8">
      <c r="A629" s="1849" t="s">
        <v>1520</v>
      </c>
      <c r="B629" s="179" t="s">
        <v>1521</v>
      </c>
      <c r="C629" s="589" t="s">
        <v>140</v>
      </c>
      <c r="D629" s="2" t="s">
        <v>343</v>
      </c>
      <c r="E629" s="585" t="s">
        <v>344</v>
      </c>
      <c r="F629" s="585" t="s">
        <v>482</v>
      </c>
      <c r="G629" s="585" t="s">
        <v>483</v>
      </c>
      <c r="H629" s="585" t="s">
        <v>232</v>
      </c>
      <c r="I629" s="585" t="s">
        <v>171</v>
      </c>
    </row>
    <row r="630" spans="1:9" ht="33.6">
      <c r="A630" s="1849" t="s">
        <v>3627</v>
      </c>
      <c r="B630" s="536" t="s">
        <v>1818</v>
      </c>
      <c r="C630" s="583">
        <v>4</v>
      </c>
      <c r="D630" s="1849" t="s">
        <v>346</v>
      </c>
      <c r="E630" s="585">
        <v>150000</v>
      </c>
      <c r="F630" s="65"/>
      <c r="G630" s="65"/>
      <c r="H630" s="65">
        <f>+C630*E630</f>
        <v>600000</v>
      </c>
      <c r="I630" s="65"/>
    </row>
    <row r="631" spans="1:9" ht="16.8">
      <c r="A631" s="2" t="s">
        <v>172</v>
      </c>
      <c r="B631" s="18" t="s">
        <v>189</v>
      </c>
      <c r="C631" s="589">
        <v>1</v>
      </c>
      <c r="D631" s="6" t="s">
        <v>583</v>
      </c>
      <c r="E631" s="585">
        <f>+H630*0.05</f>
        <v>30000</v>
      </c>
      <c r="F631" s="585"/>
      <c r="G631" s="585" t="s">
        <v>441</v>
      </c>
      <c r="H631" s="585"/>
      <c r="I631" s="585">
        <f>+E631*C631</f>
        <v>30000</v>
      </c>
    </row>
    <row r="632" spans="1:9" ht="16.8">
      <c r="A632" s="587" t="s">
        <v>190</v>
      </c>
      <c r="B632" s="588">
        <f>SUM(G632:I632)</f>
        <v>630000</v>
      </c>
      <c r="C632" s="589"/>
      <c r="D632" s="601"/>
      <c r="E632" s="585"/>
      <c r="F632" s="585">
        <v>0</v>
      </c>
      <c r="G632" s="585">
        <f>SUM(G630:G631)</f>
        <v>0</v>
      </c>
      <c r="H632" s="585">
        <f>SUM(H630:H631)</f>
        <v>600000</v>
      </c>
      <c r="I632" s="585">
        <f>SUM(I631:I631)</f>
        <v>30000</v>
      </c>
    </row>
    <row r="633" spans="1:9" ht="16.8">
      <c r="A633" s="587" t="s">
        <v>191</v>
      </c>
      <c r="B633" s="39">
        <f>SUM(B632:B632)</f>
        <v>630000</v>
      </c>
      <c r="C633" s="589" t="s">
        <v>363</v>
      </c>
      <c r="D633" s="13"/>
      <c r="E633" s="170"/>
      <c r="F633" s="170"/>
      <c r="G633" s="170"/>
      <c r="H633" s="170"/>
      <c r="I633" s="170"/>
    </row>
    <row r="634" spans="1:9" ht="16.8">
      <c r="A634" s="471"/>
      <c r="B634" s="602"/>
      <c r="C634" s="603"/>
      <c r="D634" s="13"/>
      <c r="E634" s="170"/>
      <c r="F634" s="170"/>
      <c r="G634" s="170"/>
      <c r="H634" s="170"/>
      <c r="I634" s="170"/>
    </row>
    <row r="635" spans="1:9" ht="59.25" customHeight="1">
      <c r="A635" s="594" t="s">
        <v>441</v>
      </c>
      <c r="B635" s="3547" t="s">
        <v>6245</v>
      </c>
      <c r="C635" s="3548"/>
      <c r="D635" s="3548"/>
      <c r="E635" s="3548"/>
      <c r="F635" s="3548"/>
      <c r="G635" s="3548"/>
      <c r="H635" s="3548"/>
      <c r="I635" s="3549"/>
    </row>
    <row r="636" spans="1:9" ht="16.8">
      <c r="A636" s="1849" t="s">
        <v>1520</v>
      </c>
      <c r="B636" s="179" t="s">
        <v>1521</v>
      </c>
      <c r="C636" s="589" t="s">
        <v>140</v>
      </c>
      <c r="D636" s="2" t="s">
        <v>343</v>
      </c>
      <c r="E636" s="585" t="s">
        <v>344</v>
      </c>
      <c r="F636" s="585" t="s">
        <v>482</v>
      </c>
      <c r="G636" s="585" t="s">
        <v>483</v>
      </c>
      <c r="H636" s="585" t="s">
        <v>232</v>
      </c>
      <c r="I636" s="585" t="s">
        <v>171</v>
      </c>
    </row>
    <row r="637" spans="1:9" ht="132">
      <c r="A637" s="530" t="s">
        <v>1953</v>
      </c>
      <c r="B637" s="534" t="s">
        <v>6247</v>
      </c>
      <c r="C637" s="589">
        <v>1</v>
      </c>
      <c r="D637" s="6" t="s">
        <v>363</v>
      </c>
      <c r="E637" s="585">
        <f>34563200*1.19</f>
        <v>41130208</v>
      </c>
      <c r="F637" s="585"/>
      <c r="G637" s="585">
        <f>+C637*E637</f>
        <v>41130208</v>
      </c>
      <c r="H637" s="536"/>
      <c r="I637" s="536"/>
    </row>
    <row r="638" spans="1:9" ht="16.8">
      <c r="A638" s="535" t="s">
        <v>3671</v>
      </c>
      <c r="B638" s="536" t="s">
        <v>1844</v>
      </c>
      <c r="C638" s="589">
        <v>8</v>
      </c>
      <c r="D638" s="6" t="s">
        <v>363</v>
      </c>
      <c r="E638" s="585">
        <f>VLOOKUP(B638,MATERIALES!B:C,2,0)</f>
        <v>85000</v>
      </c>
      <c r="F638" s="585"/>
      <c r="G638" s="585">
        <f>+C638*E638</f>
        <v>680000</v>
      </c>
      <c r="H638" s="536"/>
      <c r="I638" s="536"/>
    </row>
    <row r="639" spans="1:9" ht="16.8">
      <c r="A639" s="2" t="s">
        <v>584</v>
      </c>
      <c r="B639" s="180" t="s">
        <v>2236</v>
      </c>
      <c r="C639" s="589">
        <v>1</v>
      </c>
      <c r="D639" s="2" t="s">
        <v>583</v>
      </c>
      <c r="E639" s="585">
        <f>VLOOKUP(B639,MATERIALES!B:C,2,0)</f>
        <v>750000</v>
      </c>
      <c r="F639" s="585"/>
      <c r="G639" s="585" t="s">
        <v>441</v>
      </c>
      <c r="H639" s="585"/>
      <c r="I639" s="585">
        <f>+E639*C639</f>
        <v>750000</v>
      </c>
    </row>
    <row r="640" spans="1:9" ht="16.8">
      <c r="A640" s="587" t="s">
        <v>190</v>
      </c>
      <c r="B640" s="588">
        <f>SUM(G640:I640)</f>
        <v>42560208</v>
      </c>
      <c r="C640" s="589"/>
      <c r="D640" s="601"/>
      <c r="E640" s="585"/>
      <c r="F640" s="585">
        <v>0</v>
      </c>
      <c r="G640" s="585">
        <f>SUM(G637:G639)</f>
        <v>41810208</v>
      </c>
      <c r="H640" s="585">
        <f>SUM(H639:H639)</f>
        <v>0</v>
      </c>
      <c r="I640" s="585">
        <f>SUM(I639:I639)</f>
        <v>750000</v>
      </c>
    </row>
    <row r="641" spans="1:9" ht="16.8">
      <c r="A641" s="587" t="s">
        <v>191</v>
      </c>
      <c r="B641" s="39">
        <f>SUM(B640:B640)</f>
        <v>42560208</v>
      </c>
      <c r="C641" s="589" t="s">
        <v>363</v>
      </c>
      <c r="D641" s="13"/>
      <c r="E641" s="170"/>
      <c r="F641" s="170"/>
      <c r="G641" s="170"/>
      <c r="H641" s="170"/>
      <c r="I641" s="170"/>
    </row>
    <row r="642" spans="1:9" s="10" customFormat="1" ht="16.8">
      <c r="A642" s="471"/>
      <c r="B642" s="602"/>
      <c r="C642" s="603"/>
      <c r="D642" s="13"/>
      <c r="E642" s="170"/>
      <c r="F642" s="170"/>
      <c r="G642" s="170"/>
      <c r="H642" s="170"/>
      <c r="I642" s="170"/>
    </row>
    <row r="643" spans="1:9" s="492" customFormat="1" ht="71.25" customHeight="1">
      <c r="A643" s="1342"/>
      <c r="B643" s="3559" t="s">
        <v>5714</v>
      </c>
      <c r="C643" s="3560"/>
      <c r="D643" s="3560"/>
      <c r="E643" s="3560"/>
      <c r="F643" s="3560"/>
      <c r="G643" s="3560"/>
      <c r="H643" s="3560"/>
      <c r="I643" s="3561"/>
    </row>
    <row r="644" spans="1:9" s="492" customFormat="1" ht="16.8">
      <c r="A644" s="809"/>
      <c r="B644" s="807"/>
      <c r="C644" s="808" t="s">
        <v>140</v>
      </c>
      <c r="D644" s="11" t="s">
        <v>343</v>
      </c>
      <c r="E644" s="33" t="s">
        <v>344</v>
      </c>
      <c r="F644" s="33" t="s">
        <v>482</v>
      </c>
      <c r="G644" s="33" t="s">
        <v>483</v>
      </c>
      <c r="H644" s="585" t="s">
        <v>232</v>
      </c>
      <c r="I644" s="33" t="s">
        <v>171</v>
      </c>
    </row>
    <row r="645" spans="1:9" s="492" customFormat="1" ht="14.4">
      <c r="A645" s="809" t="s">
        <v>172</v>
      </c>
      <c r="B645" s="807" t="s">
        <v>189</v>
      </c>
      <c r="C645" s="814">
        <v>1</v>
      </c>
      <c r="D645" s="9" t="s">
        <v>583</v>
      </c>
      <c r="E645" s="810">
        <f>+H648*0.05</f>
        <v>48623.10697866667</v>
      </c>
      <c r="F645" s="810"/>
      <c r="G645" s="810"/>
      <c r="H645" s="810"/>
      <c r="I645" s="810">
        <f>+E645*C645</f>
        <v>48623.10697866667</v>
      </c>
    </row>
    <row r="646" spans="1:9" s="402" customFormat="1" ht="15" customHeight="1">
      <c r="A646" s="1525" t="s">
        <v>345</v>
      </c>
      <c r="B646" s="807" t="str">
        <f>IF(PRESTA&gt;0,"OFICIAL (INCLUYE "&amp;""&amp;PRESTA*100&amp;"% PRESTACIONES)",0)</f>
        <v>OFICIAL (INCLUYE 82,22% PRESTACIONES)</v>
      </c>
      <c r="C646" s="1702">
        <f>1/0.15</f>
        <v>6.666666666666667</v>
      </c>
      <c r="D646" s="501" t="s">
        <v>346</v>
      </c>
      <c r="E646" s="810">
        <f>+OFICI</f>
        <v>80479.625344</v>
      </c>
      <c r="F646" s="1412"/>
      <c r="G646" s="1258"/>
      <c r="H646" s="810">
        <f>+E646*C646</f>
        <v>536530.83562666667</v>
      </c>
      <c r="I646" s="1412"/>
    </row>
    <row r="647" spans="1:9" s="492" customFormat="1" ht="14.4">
      <c r="A647" s="809" t="s">
        <v>347</v>
      </c>
      <c r="B647" s="811" t="s">
        <v>5180</v>
      </c>
      <c r="C647" s="814">
        <f>1/0.15</f>
        <v>6.666666666666667</v>
      </c>
      <c r="D647" s="9" t="s">
        <v>717</v>
      </c>
      <c r="E647" s="810">
        <f>+AYUDA</f>
        <v>65389.695592000004</v>
      </c>
      <c r="F647" s="810"/>
      <c r="G647" s="810"/>
      <c r="H647" s="810">
        <f>+E647*C647</f>
        <v>435931.30394666671</v>
      </c>
      <c r="I647" s="810"/>
    </row>
    <row r="648" spans="1:9" s="492" customFormat="1" ht="14.4">
      <c r="A648" s="1424" t="s">
        <v>190</v>
      </c>
      <c r="B648" s="813">
        <f>SUM(F648:I648)</f>
        <v>1021085.2465519999</v>
      </c>
      <c r="C648" s="814"/>
      <c r="D648" s="9"/>
      <c r="E648" s="810"/>
      <c r="F648" s="810">
        <f>+SUM(F645:F647)</f>
        <v>0</v>
      </c>
      <c r="G648" s="810">
        <f>+SUM(G645:G647)</f>
        <v>0</v>
      </c>
      <c r="H648" s="810">
        <f>+SUM(H645:H647)</f>
        <v>972462.13957333332</v>
      </c>
      <c r="I648" s="810">
        <f>+SUM(I645:I647)</f>
        <v>48623.10697866667</v>
      </c>
    </row>
    <row r="649" spans="1:9" s="492" customFormat="1" ht="14.4">
      <c r="A649" s="1424" t="s">
        <v>191</v>
      </c>
      <c r="B649" s="813">
        <f>+B648</f>
        <v>1021085.2465519999</v>
      </c>
      <c r="C649" s="815" t="s">
        <v>133</v>
      </c>
      <c r="D649" s="816"/>
      <c r="E649" s="817"/>
      <c r="F649" s="817"/>
      <c r="G649" s="817"/>
      <c r="H649" s="817"/>
      <c r="I649" s="817"/>
    </row>
    <row r="650" spans="1:9" s="492" customFormat="1" ht="14.4">
      <c r="A650" s="1425"/>
      <c r="B650" s="1425"/>
      <c r="C650" s="1425"/>
      <c r="D650" s="1425"/>
      <c r="E650" s="1425"/>
      <c r="F650" s="1425"/>
      <c r="G650" s="1425"/>
      <c r="H650" s="1425"/>
      <c r="I650" s="1425"/>
    </row>
    <row r="651" spans="1:9" s="492" customFormat="1" ht="83.25" customHeight="1">
      <c r="A651" s="1342"/>
      <c r="B651" s="3559" t="s">
        <v>5716</v>
      </c>
      <c r="C651" s="3560"/>
      <c r="D651" s="3560"/>
      <c r="E651" s="3560"/>
      <c r="F651" s="3560"/>
      <c r="G651" s="3560"/>
      <c r="H651" s="3560"/>
      <c r="I651" s="3561"/>
    </row>
    <row r="652" spans="1:9" s="492" customFormat="1" ht="16.8">
      <c r="A652" s="809"/>
      <c r="B652" s="1429"/>
      <c r="C652" s="808" t="s">
        <v>140</v>
      </c>
      <c r="D652" s="11" t="s">
        <v>343</v>
      </c>
      <c r="E652" s="33" t="s">
        <v>344</v>
      </c>
      <c r="F652" s="33" t="s">
        <v>482</v>
      </c>
      <c r="G652" s="33" t="s">
        <v>483</v>
      </c>
      <c r="H652" s="585" t="s">
        <v>232</v>
      </c>
      <c r="I652" s="33" t="s">
        <v>171</v>
      </c>
    </row>
    <row r="653" spans="1:9" s="492" customFormat="1" ht="55.2">
      <c r="A653" s="809"/>
      <c r="B653" s="2754" t="s">
        <v>5291</v>
      </c>
      <c r="C653" s="1427">
        <v>1</v>
      </c>
      <c r="D653" s="1428" t="s">
        <v>343</v>
      </c>
      <c r="E653" s="33">
        <v>1450000</v>
      </c>
      <c r="F653" s="33"/>
      <c r="G653" s="33">
        <f t="shared" ref="G653:G667" si="9">+E653*C653</f>
        <v>1450000</v>
      </c>
      <c r="H653" s="33"/>
      <c r="I653" s="33"/>
    </row>
    <row r="654" spans="1:9" s="492" customFormat="1" ht="14.4">
      <c r="A654" s="809"/>
      <c r="B654" s="1431" t="s">
        <v>5717</v>
      </c>
      <c r="C654" s="1427">
        <v>2</v>
      </c>
      <c r="D654" s="1428" t="s">
        <v>343</v>
      </c>
      <c r="E654" s="33">
        <v>190000</v>
      </c>
      <c r="F654" s="33"/>
      <c r="G654" s="33">
        <f t="shared" si="9"/>
        <v>380000</v>
      </c>
      <c r="H654" s="33"/>
      <c r="I654" s="33"/>
    </row>
    <row r="655" spans="1:9" s="492" customFormat="1" ht="14.4">
      <c r="A655" s="809"/>
      <c r="B655" s="1431" t="s">
        <v>5718</v>
      </c>
      <c r="C655" s="1427">
        <v>2</v>
      </c>
      <c r="D655" s="1428" t="s">
        <v>343</v>
      </c>
      <c r="E655" s="33">
        <v>190000</v>
      </c>
      <c r="F655" s="33"/>
      <c r="G655" s="33">
        <f t="shared" si="9"/>
        <v>380000</v>
      </c>
      <c r="H655" s="33"/>
      <c r="I655" s="33"/>
    </row>
    <row r="656" spans="1:9" s="492" customFormat="1" ht="14.4">
      <c r="A656" s="809"/>
      <c r="B656" s="1431" t="s">
        <v>5277</v>
      </c>
      <c r="C656" s="1427">
        <v>2</v>
      </c>
      <c r="D656" s="1428" t="s">
        <v>343</v>
      </c>
      <c r="E656" s="33">
        <v>5800000</v>
      </c>
      <c r="F656" s="33"/>
      <c r="G656" s="33">
        <f t="shared" si="9"/>
        <v>11600000</v>
      </c>
      <c r="H656" s="33"/>
      <c r="I656" s="33"/>
    </row>
    <row r="657" spans="1:9" s="492" customFormat="1" ht="14.4">
      <c r="A657" s="809"/>
      <c r="B657" s="1431" t="s">
        <v>5278</v>
      </c>
      <c r="C657" s="1427">
        <v>2</v>
      </c>
      <c r="D657" s="1428" t="s">
        <v>343</v>
      </c>
      <c r="E657" s="33">
        <v>4700000</v>
      </c>
      <c r="F657" s="33"/>
      <c r="G657" s="33">
        <f t="shared" si="9"/>
        <v>9400000</v>
      </c>
      <c r="H657" s="33"/>
      <c r="I657" s="33"/>
    </row>
    <row r="658" spans="1:9" s="492" customFormat="1" ht="27.6">
      <c r="A658" s="809"/>
      <c r="B658" s="1431" t="s">
        <v>5279</v>
      </c>
      <c r="C658" s="1427">
        <v>1</v>
      </c>
      <c r="D658" s="1428" t="s">
        <v>343</v>
      </c>
      <c r="E658" s="33">
        <v>65000</v>
      </c>
      <c r="F658" s="33"/>
      <c r="G658" s="33">
        <f t="shared" si="9"/>
        <v>65000</v>
      </c>
      <c r="H658" s="33"/>
      <c r="I658" s="33"/>
    </row>
    <row r="659" spans="1:9" s="492" customFormat="1" ht="27.6">
      <c r="A659" s="809"/>
      <c r="B659" s="1431" t="s">
        <v>5282</v>
      </c>
      <c r="C659" s="1427">
        <v>1</v>
      </c>
      <c r="D659" s="1428" t="s">
        <v>343</v>
      </c>
      <c r="E659" s="33">
        <v>290000</v>
      </c>
      <c r="F659" s="33"/>
      <c r="G659" s="33">
        <f t="shared" si="9"/>
        <v>290000</v>
      </c>
      <c r="H659" s="33"/>
      <c r="I659" s="33"/>
    </row>
    <row r="660" spans="1:9" s="492" customFormat="1" ht="14.4">
      <c r="A660" s="809"/>
      <c r="B660" s="1431" t="s">
        <v>5283</v>
      </c>
      <c r="C660" s="1427">
        <v>4</v>
      </c>
      <c r="D660" s="1428" t="s">
        <v>343</v>
      </c>
      <c r="E660" s="33">
        <v>92000</v>
      </c>
      <c r="F660" s="33"/>
      <c r="G660" s="33">
        <f t="shared" si="9"/>
        <v>368000</v>
      </c>
      <c r="H660" s="33"/>
      <c r="I660" s="33"/>
    </row>
    <row r="661" spans="1:9" s="492" customFormat="1" ht="14.4">
      <c r="A661" s="809"/>
      <c r="B661" s="1431" t="s">
        <v>5284</v>
      </c>
      <c r="C661" s="1427">
        <v>4</v>
      </c>
      <c r="D661" s="1428" t="s">
        <v>343</v>
      </c>
      <c r="E661" s="33">
        <v>22000</v>
      </c>
      <c r="F661" s="33"/>
      <c r="G661" s="33">
        <f t="shared" si="9"/>
        <v>88000</v>
      </c>
      <c r="H661" s="33"/>
      <c r="I661" s="33"/>
    </row>
    <row r="662" spans="1:9" s="492" customFormat="1" ht="14.4">
      <c r="A662" s="809"/>
      <c r="B662" s="1431" t="s">
        <v>5285</v>
      </c>
      <c r="C662" s="1427">
        <v>4</v>
      </c>
      <c r="D662" s="1428" t="s">
        <v>343</v>
      </c>
      <c r="E662" s="33">
        <v>22000</v>
      </c>
      <c r="F662" s="33"/>
      <c r="G662" s="33">
        <f t="shared" si="9"/>
        <v>88000</v>
      </c>
      <c r="H662" s="33"/>
      <c r="I662" s="33"/>
    </row>
    <row r="663" spans="1:9" s="492" customFormat="1" ht="14.4">
      <c r="A663" s="809"/>
      <c r="B663" s="1431" t="s">
        <v>5286</v>
      </c>
      <c r="C663" s="1427">
        <v>1</v>
      </c>
      <c r="D663" s="1428" t="s">
        <v>343</v>
      </c>
      <c r="E663" s="33">
        <v>95000</v>
      </c>
      <c r="F663" s="33"/>
      <c r="G663" s="33">
        <f t="shared" si="9"/>
        <v>95000</v>
      </c>
      <c r="H663" s="33"/>
      <c r="I663" s="33"/>
    </row>
    <row r="664" spans="1:9" s="492" customFormat="1" ht="14.4">
      <c r="A664" s="809"/>
      <c r="B664" s="1431" t="s">
        <v>5287</v>
      </c>
      <c r="C664" s="1427">
        <v>2</v>
      </c>
      <c r="D664" s="1428" t="s">
        <v>343</v>
      </c>
      <c r="E664" s="33">
        <v>190000</v>
      </c>
      <c r="F664" s="33"/>
      <c r="G664" s="33">
        <f t="shared" si="9"/>
        <v>380000</v>
      </c>
      <c r="H664" s="33"/>
      <c r="I664" s="33"/>
    </row>
    <row r="665" spans="1:9" s="492" customFormat="1" ht="14.4">
      <c r="A665" s="809"/>
      <c r="B665" s="1431" t="s">
        <v>5288</v>
      </c>
      <c r="C665" s="1427">
        <v>4</v>
      </c>
      <c r="D665" s="1428" t="s">
        <v>343</v>
      </c>
      <c r="E665" s="33">
        <v>25000</v>
      </c>
      <c r="F665" s="33"/>
      <c r="G665" s="33">
        <f t="shared" si="9"/>
        <v>100000</v>
      </c>
      <c r="H665" s="33"/>
      <c r="I665" s="33"/>
    </row>
    <row r="666" spans="1:9" s="492" customFormat="1" ht="14.4">
      <c r="A666" s="809"/>
      <c r="B666" s="1431" t="s">
        <v>5289</v>
      </c>
      <c r="C666" s="1427">
        <v>4</v>
      </c>
      <c r="D666" s="1428" t="s">
        <v>343</v>
      </c>
      <c r="E666" s="810">
        <v>25000</v>
      </c>
      <c r="F666" s="810"/>
      <c r="G666" s="33">
        <f t="shared" si="9"/>
        <v>100000</v>
      </c>
      <c r="H666" s="810"/>
      <c r="I666" s="810"/>
    </row>
    <row r="667" spans="1:9" s="492" customFormat="1" ht="14.4">
      <c r="A667" s="809"/>
      <c r="B667" s="807" t="s">
        <v>5290</v>
      </c>
      <c r="C667" s="814">
        <v>1</v>
      </c>
      <c r="D667" s="9" t="s">
        <v>772</v>
      </c>
      <c r="E667" s="810">
        <v>220000</v>
      </c>
      <c r="F667" s="810"/>
      <c r="G667" s="1425">
        <f t="shared" si="9"/>
        <v>220000</v>
      </c>
      <c r="H667" s="810"/>
      <c r="I667" s="810"/>
    </row>
    <row r="668" spans="1:9" s="492" customFormat="1" ht="14.4">
      <c r="A668" s="1424" t="s">
        <v>190</v>
      </c>
      <c r="B668" s="813">
        <f>SUM(F668:I668)</f>
        <v>25004000</v>
      </c>
      <c r="C668" s="814"/>
      <c r="D668" s="9"/>
      <c r="E668" s="810"/>
      <c r="F668" s="810">
        <f>+SUM(F653:F667)</f>
        <v>0</v>
      </c>
      <c r="G668" s="810">
        <f>+SUM(G653:G667)</f>
        <v>25004000</v>
      </c>
      <c r="H668" s="810">
        <f>+SUM(H653:H667)</f>
        <v>0</v>
      </c>
      <c r="I668" s="810">
        <f>+SUM(I653:I667)</f>
        <v>0</v>
      </c>
    </row>
    <row r="669" spans="1:9" s="492" customFormat="1" ht="14.4">
      <c r="A669" s="1424" t="s">
        <v>191</v>
      </c>
      <c r="B669" s="813">
        <f>+B668</f>
        <v>25004000</v>
      </c>
      <c r="C669" s="815" t="s">
        <v>150</v>
      </c>
      <c r="D669" s="816"/>
      <c r="E669" s="817"/>
      <c r="F669" s="817"/>
      <c r="G669" s="817"/>
      <c r="H669" s="817"/>
      <c r="I669" s="817"/>
    </row>
    <row r="670" spans="1:9" s="61" customFormat="1" ht="14.4">
      <c r="A670" s="1698"/>
      <c r="B670" s="1699"/>
      <c r="C670" s="1700"/>
      <c r="D670" s="884"/>
      <c r="E670" s="1701"/>
      <c r="F670" s="1701"/>
      <c r="G670" s="1701"/>
      <c r="H670" s="1701"/>
      <c r="I670" s="1701"/>
    </row>
    <row r="671" spans="1:9" s="492" customFormat="1" ht="47.25" customHeight="1">
      <c r="A671" s="1342"/>
      <c r="B671" s="3552" t="s">
        <v>5112</v>
      </c>
      <c r="C671" s="3553"/>
      <c r="D671" s="3553"/>
      <c r="E671" s="3553"/>
      <c r="F671" s="3553"/>
      <c r="G671" s="3553"/>
      <c r="H671" s="3553"/>
      <c r="I671" s="3554"/>
    </row>
    <row r="672" spans="1:9" s="492" customFormat="1" ht="16.8">
      <c r="A672" s="809"/>
      <c r="B672" s="807"/>
      <c r="C672" s="808" t="s">
        <v>140</v>
      </c>
      <c r="D672" s="11" t="s">
        <v>343</v>
      </c>
      <c r="E672" s="33" t="s">
        <v>344</v>
      </c>
      <c r="F672" s="33" t="s">
        <v>482</v>
      </c>
      <c r="G672" s="33" t="s">
        <v>483</v>
      </c>
      <c r="H672" s="585" t="s">
        <v>232</v>
      </c>
      <c r="I672" s="33" t="s">
        <v>171</v>
      </c>
    </row>
    <row r="673" spans="1:9" s="492" customFormat="1" ht="14.4">
      <c r="A673" s="809" t="s">
        <v>172</v>
      </c>
      <c r="B673" s="807" t="s">
        <v>189</v>
      </c>
      <c r="C673" s="814">
        <v>1</v>
      </c>
      <c r="D673" s="9" t="s">
        <v>583</v>
      </c>
      <c r="E673" s="810">
        <f>+H676*0.05</f>
        <v>1169.1647153333333</v>
      </c>
      <c r="F673" s="810"/>
      <c r="G673" s="810"/>
      <c r="H673" s="810"/>
      <c r="I673" s="810">
        <f>+E673*C673</f>
        <v>1169.1647153333333</v>
      </c>
    </row>
    <row r="674" spans="1:9" s="492" customFormat="1" ht="14.4">
      <c r="A674" s="809" t="s">
        <v>348</v>
      </c>
      <c r="B674" s="807" t="str">
        <f>IF(PRESTA&gt;0,"AYUD. RASO (INCLUYE "&amp;""&amp;PRESTA*100&amp;"% PRESTACIONES)",0)</f>
        <v>AYUD. RASO (INCLUYE 82,22% PRESTACIONES)</v>
      </c>
      <c r="C674" s="814">
        <f>1/6</f>
        <v>0.16666666666666666</v>
      </c>
      <c r="D674" s="9" t="s">
        <v>346</v>
      </c>
      <c r="E674" s="810">
        <f>+AYUDR</f>
        <v>50299.76584</v>
      </c>
      <c r="F674" s="810"/>
      <c r="G674" s="810"/>
      <c r="H674" s="810">
        <f>+E674*C674</f>
        <v>8383.2943066666667</v>
      </c>
      <c r="I674" s="810"/>
    </row>
    <row r="675" spans="1:9" s="492" customFormat="1" ht="14.4">
      <c r="A675" s="809"/>
      <c r="B675" s="811" t="s">
        <v>5104</v>
      </c>
      <c r="C675" s="814">
        <f>1/6</f>
        <v>0.16666666666666666</v>
      </c>
      <c r="D675" s="9" t="s">
        <v>717</v>
      </c>
      <c r="E675" s="810">
        <v>90000</v>
      </c>
      <c r="F675" s="810"/>
      <c r="G675" s="810"/>
      <c r="H675" s="810">
        <f>+E675*C675</f>
        <v>15000</v>
      </c>
      <c r="I675" s="810"/>
    </row>
    <row r="676" spans="1:9" s="492" customFormat="1" ht="14.4">
      <c r="A676" s="1424" t="s">
        <v>190</v>
      </c>
      <c r="B676" s="813">
        <f>SUM(F676:I676)</f>
        <v>24552.459021999999</v>
      </c>
      <c r="C676" s="814"/>
      <c r="D676" s="9"/>
      <c r="E676" s="810"/>
      <c r="F676" s="810">
        <f>+SUM(F673:F675)</f>
        <v>0</v>
      </c>
      <c r="G676" s="810">
        <f>+SUM(G673:G675)</f>
        <v>0</v>
      </c>
      <c r="H676" s="810">
        <f>+SUM(H673:H675)</f>
        <v>23383.294306666667</v>
      </c>
      <c r="I676" s="810">
        <f>+SUM(I673:I675)</f>
        <v>1169.1647153333333</v>
      </c>
    </row>
    <row r="677" spans="1:9" s="492" customFormat="1" ht="14.4">
      <c r="A677" s="1424" t="s">
        <v>191</v>
      </c>
      <c r="B677" s="813">
        <f>+B676</f>
        <v>24552.459021999999</v>
      </c>
      <c r="C677" s="815" t="s">
        <v>45</v>
      </c>
      <c r="D677" s="816"/>
      <c r="E677" s="817"/>
      <c r="F677" s="817"/>
      <c r="G677" s="817"/>
      <c r="H677" s="817"/>
      <c r="I677" s="817"/>
    </row>
    <row r="678" spans="1:9" s="492" customFormat="1" ht="14.4">
      <c r="A678" s="1425"/>
      <c r="B678" s="1425"/>
      <c r="C678" s="1425"/>
      <c r="D678" s="1425"/>
      <c r="E678" s="1425"/>
      <c r="F678" s="1425"/>
      <c r="G678" s="1425"/>
      <c r="H678" s="1425"/>
      <c r="I678" s="1425"/>
    </row>
    <row r="679" spans="1:9" s="492" customFormat="1" ht="48.75" customHeight="1">
      <c r="A679" s="1342"/>
      <c r="B679" s="3552" t="s">
        <v>5720</v>
      </c>
      <c r="C679" s="3553"/>
      <c r="D679" s="3553"/>
      <c r="E679" s="3553"/>
      <c r="F679" s="3553"/>
      <c r="G679" s="3553"/>
      <c r="H679" s="3553"/>
      <c r="I679" s="3554"/>
    </row>
    <row r="680" spans="1:9" s="492" customFormat="1" ht="16.8">
      <c r="A680" s="809"/>
      <c r="B680" s="807"/>
      <c r="C680" s="808" t="s">
        <v>140</v>
      </c>
      <c r="D680" s="11" t="s">
        <v>343</v>
      </c>
      <c r="E680" s="33" t="s">
        <v>344</v>
      </c>
      <c r="F680" s="33" t="s">
        <v>482</v>
      </c>
      <c r="G680" s="33" t="s">
        <v>483</v>
      </c>
      <c r="H680" s="585" t="s">
        <v>232</v>
      </c>
      <c r="I680" s="33" t="s">
        <v>171</v>
      </c>
    </row>
    <row r="681" spans="1:9" s="492" customFormat="1" ht="14.4">
      <c r="A681" s="809"/>
      <c r="B681" s="1421" t="s">
        <v>5114</v>
      </c>
      <c r="C681" s="814">
        <v>1</v>
      </c>
      <c r="D681" s="9" t="s">
        <v>45</v>
      </c>
      <c r="E681" s="810">
        <v>28000</v>
      </c>
      <c r="F681" s="810"/>
      <c r="G681" s="810">
        <f>+E681*C681</f>
        <v>28000</v>
      </c>
      <c r="H681" s="810"/>
      <c r="I681" s="810"/>
    </row>
    <row r="682" spans="1:9" s="492" customFormat="1" ht="14.4">
      <c r="A682" s="809"/>
      <c r="B682" s="1421" t="s">
        <v>5115</v>
      </c>
      <c r="C682" s="814">
        <v>1</v>
      </c>
      <c r="D682" s="9" t="s">
        <v>45</v>
      </c>
      <c r="E682" s="810">
        <v>12000</v>
      </c>
      <c r="F682" s="810"/>
      <c r="G682" s="810">
        <f>+E682*C682</f>
        <v>12000</v>
      </c>
      <c r="H682" s="810"/>
      <c r="I682" s="810"/>
    </row>
    <row r="683" spans="1:9" s="492" customFormat="1" ht="14.4">
      <c r="A683" s="809"/>
      <c r="B683" s="1422" t="s">
        <v>5116</v>
      </c>
      <c r="C683" s="814">
        <v>1</v>
      </c>
      <c r="D683" s="9" t="s">
        <v>45</v>
      </c>
      <c r="E683" s="810">
        <v>5000</v>
      </c>
      <c r="F683" s="810"/>
      <c r="G683" s="810">
        <f>+E683*C683</f>
        <v>5000</v>
      </c>
      <c r="H683" s="810"/>
      <c r="I683" s="810"/>
    </row>
    <row r="684" spans="1:9" s="492" customFormat="1" ht="14.4">
      <c r="A684" s="809"/>
      <c r="B684" s="807" t="s">
        <v>5117</v>
      </c>
      <c r="C684" s="814">
        <v>1</v>
      </c>
      <c r="D684" s="9" t="s">
        <v>772</v>
      </c>
      <c r="E684" s="810">
        <v>50</v>
      </c>
      <c r="F684" s="810"/>
      <c r="G684" s="1425"/>
      <c r="H684" s="810"/>
      <c r="I684" s="810">
        <f>+E684*C684</f>
        <v>50</v>
      </c>
    </row>
    <row r="685" spans="1:9" s="492" customFormat="1" ht="14.4">
      <c r="A685" s="1424" t="s">
        <v>190</v>
      </c>
      <c r="B685" s="813">
        <f>SUM(F685:I685)</f>
        <v>45050</v>
      </c>
      <c r="C685" s="814"/>
      <c r="D685" s="9"/>
      <c r="E685" s="810"/>
      <c r="F685" s="810">
        <f>+SUM(F681:F683)</f>
        <v>0</v>
      </c>
      <c r="G685" s="810">
        <f>+SUM(G681:G684)</f>
        <v>45000</v>
      </c>
      <c r="H685" s="810">
        <f>+SUM(H681:H683)</f>
        <v>0</v>
      </c>
      <c r="I685" s="810">
        <f>+SUM(I681:I684)</f>
        <v>50</v>
      </c>
    </row>
    <row r="686" spans="1:9" s="492" customFormat="1" ht="14.4">
      <c r="A686" s="1424" t="s">
        <v>191</v>
      </c>
      <c r="B686" s="813">
        <f>+B685</f>
        <v>45050</v>
      </c>
      <c r="C686" s="815" t="s">
        <v>45</v>
      </c>
      <c r="D686" s="816"/>
      <c r="E686" s="817"/>
      <c r="F686" s="817"/>
      <c r="G686" s="817"/>
      <c r="H686" s="817"/>
      <c r="I686" s="817"/>
    </row>
    <row r="687" spans="1:9" s="61" customFormat="1" ht="14.4">
      <c r="A687" s="1698"/>
      <c r="B687" s="1699"/>
      <c r="C687" s="1700"/>
      <c r="D687" s="884"/>
      <c r="E687" s="1701"/>
      <c r="F687" s="1701"/>
      <c r="G687" s="1701"/>
      <c r="H687" s="1701"/>
      <c r="I687" s="1701"/>
    </row>
    <row r="688" spans="1:9" s="492" customFormat="1" ht="47.25" customHeight="1">
      <c r="A688" s="1342"/>
      <c r="B688" s="3552" t="s">
        <v>5721</v>
      </c>
      <c r="C688" s="3553"/>
      <c r="D688" s="3553"/>
      <c r="E688" s="3553"/>
      <c r="F688" s="3553"/>
      <c r="G688" s="3553"/>
      <c r="H688" s="3553"/>
      <c r="I688" s="3554"/>
    </row>
    <row r="689" spans="1:9" s="492" customFormat="1" ht="16.8">
      <c r="A689" s="809"/>
      <c r="B689" s="807"/>
      <c r="C689" s="808" t="s">
        <v>140</v>
      </c>
      <c r="D689" s="11" t="s">
        <v>343</v>
      </c>
      <c r="E689" s="33" t="s">
        <v>344</v>
      </c>
      <c r="F689" s="33" t="s">
        <v>482</v>
      </c>
      <c r="G689" s="33" t="s">
        <v>483</v>
      </c>
      <c r="H689" s="585" t="s">
        <v>232</v>
      </c>
      <c r="I689" s="33" t="s">
        <v>171</v>
      </c>
    </row>
    <row r="690" spans="1:9" s="492" customFormat="1" ht="14.4">
      <c r="A690" s="809" t="s">
        <v>172</v>
      </c>
      <c r="B690" s="807" t="s">
        <v>189</v>
      </c>
      <c r="C690" s="814">
        <v>1</v>
      </c>
      <c r="D690" s="9" t="s">
        <v>583</v>
      </c>
      <c r="E690" s="810">
        <f>+H693*0.05</f>
        <v>1169.1647153333333</v>
      </c>
      <c r="F690" s="810"/>
      <c r="G690" s="810"/>
      <c r="H690" s="810"/>
      <c r="I690" s="810">
        <f>+E690*C690</f>
        <v>1169.1647153333333</v>
      </c>
    </row>
    <row r="691" spans="1:9" s="492" customFormat="1" ht="14.4">
      <c r="A691" s="809" t="s">
        <v>348</v>
      </c>
      <c r="B691" s="807" t="str">
        <f>IF(PRESTA&gt;0,"AYUD. RASO (INCLUYE "&amp;""&amp;PRESTA*100&amp;"% PRESTACIONES)",0)</f>
        <v>AYUD. RASO (INCLUYE 82,22% PRESTACIONES)</v>
      </c>
      <c r="C691" s="814">
        <f>1/6</f>
        <v>0.16666666666666666</v>
      </c>
      <c r="D691" s="9" t="s">
        <v>346</v>
      </c>
      <c r="E691" s="810">
        <f>+AYUDR</f>
        <v>50299.76584</v>
      </c>
      <c r="F691" s="810"/>
      <c r="G691" s="810"/>
      <c r="H691" s="810">
        <f>+E691*C691</f>
        <v>8383.2943066666667</v>
      </c>
      <c r="I691" s="810"/>
    </row>
    <row r="692" spans="1:9" s="492" customFormat="1" ht="14.4">
      <c r="A692" s="809"/>
      <c r="B692" s="811" t="s">
        <v>5104</v>
      </c>
      <c r="C692" s="814">
        <f>1/6</f>
        <v>0.16666666666666666</v>
      </c>
      <c r="D692" s="9" t="s">
        <v>717</v>
      </c>
      <c r="E692" s="810">
        <v>90000</v>
      </c>
      <c r="F692" s="810"/>
      <c r="G692" s="810"/>
      <c r="H692" s="810">
        <f>+E692*C692</f>
        <v>15000</v>
      </c>
      <c r="I692" s="810"/>
    </row>
    <row r="693" spans="1:9" s="492" customFormat="1" ht="14.4">
      <c r="A693" s="1424" t="s">
        <v>190</v>
      </c>
      <c r="B693" s="813">
        <f>SUM(F693:I693)</f>
        <v>24552.459021999999</v>
      </c>
      <c r="C693" s="814"/>
      <c r="D693" s="9"/>
      <c r="E693" s="810"/>
      <c r="F693" s="810">
        <f>+SUM(F690:F692)</f>
        <v>0</v>
      </c>
      <c r="G693" s="810">
        <f>+SUM(G690:G692)</f>
        <v>0</v>
      </c>
      <c r="H693" s="810">
        <f>+SUM(H690:H692)</f>
        <v>23383.294306666667</v>
      </c>
      <c r="I693" s="810">
        <f>+SUM(I690:I692)</f>
        <v>1169.1647153333333</v>
      </c>
    </row>
    <row r="694" spans="1:9" s="492" customFormat="1" ht="14.4">
      <c r="A694" s="1424" t="s">
        <v>191</v>
      </c>
      <c r="B694" s="813">
        <f>+B693</f>
        <v>24552.459021999999</v>
      </c>
      <c r="C694" s="815" t="s">
        <v>45</v>
      </c>
      <c r="D694" s="816"/>
      <c r="E694" s="817"/>
      <c r="F694" s="817"/>
      <c r="G694" s="817"/>
      <c r="H694" s="817"/>
      <c r="I694" s="817"/>
    </row>
    <row r="695" spans="1:9" s="492" customFormat="1" ht="14.4">
      <c r="A695" s="1425"/>
      <c r="B695" s="1425"/>
      <c r="C695" s="1425"/>
      <c r="D695" s="1425"/>
      <c r="E695" s="1425"/>
      <c r="F695" s="1425"/>
      <c r="G695" s="1425"/>
      <c r="H695" s="1425"/>
      <c r="I695" s="1425"/>
    </row>
    <row r="696" spans="1:9" s="492" customFormat="1" ht="48.75" customHeight="1">
      <c r="A696" s="1342"/>
      <c r="B696" s="3552" t="s">
        <v>5119</v>
      </c>
      <c r="C696" s="3553"/>
      <c r="D696" s="3553"/>
      <c r="E696" s="3553"/>
      <c r="F696" s="3553"/>
      <c r="G696" s="3553"/>
      <c r="H696" s="3553"/>
      <c r="I696" s="3554"/>
    </row>
    <row r="697" spans="1:9" s="492" customFormat="1" ht="16.8">
      <c r="A697" s="809"/>
      <c r="B697" s="807"/>
      <c r="C697" s="808" t="s">
        <v>140</v>
      </c>
      <c r="D697" s="11" t="s">
        <v>343</v>
      </c>
      <c r="E697" s="33" t="s">
        <v>344</v>
      </c>
      <c r="F697" s="33" t="s">
        <v>482</v>
      </c>
      <c r="G697" s="33" t="s">
        <v>483</v>
      </c>
      <c r="H697" s="585" t="s">
        <v>232</v>
      </c>
      <c r="I697" s="33" t="s">
        <v>171</v>
      </c>
    </row>
    <row r="698" spans="1:9" s="492" customFormat="1" ht="14.4">
      <c r="A698" s="809"/>
      <c r="B698" s="1421" t="s">
        <v>5120</v>
      </c>
      <c r="C698" s="814">
        <v>1</v>
      </c>
      <c r="D698" s="9" t="s">
        <v>45</v>
      </c>
      <c r="E698" s="810">
        <v>22000</v>
      </c>
      <c r="F698" s="810"/>
      <c r="G698" s="810">
        <f>+E698*C698</f>
        <v>22000</v>
      </c>
      <c r="H698" s="810"/>
      <c r="I698" s="810"/>
    </row>
    <row r="699" spans="1:9" s="492" customFormat="1" ht="14.4">
      <c r="A699" s="809"/>
      <c r="B699" s="1421" t="s">
        <v>5115</v>
      </c>
      <c r="C699" s="814">
        <v>1</v>
      </c>
      <c r="D699" s="9" t="s">
        <v>45</v>
      </c>
      <c r="E699" s="810">
        <v>12000</v>
      </c>
      <c r="F699" s="810"/>
      <c r="G699" s="810">
        <f>+E699*C699</f>
        <v>12000</v>
      </c>
      <c r="H699" s="810"/>
      <c r="I699" s="810"/>
    </row>
    <row r="700" spans="1:9" s="492" customFormat="1" ht="14.4">
      <c r="A700" s="809"/>
      <c r="B700" s="1422" t="s">
        <v>5116</v>
      </c>
      <c r="C700" s="814">
        <v>1</v>
      </c>
      <c r="D700" s="9" t="s">
        <v>45</v>
      </c>
      <c r="E700" s="810">
        <v>5000</v>
      </c>
      <c r="F700" s="810"/>
      <c r="G700" s="810">
        <f>+E700*C700</f>
        <v>5000</v>
      </c>
      <c r="H700" s="810"/>
      <c r="I700" s="810"/>
    </row>
    <row r="701" spans="1:9" s="492" customFormat="1" ht="14.4">
      <c r="A701" s="809"/>
      <c r="B701" s="807" t="s">
        <v>5117</v>
      </c>
      <c r="C701" s="814">
        <v>1</v>
      </c>
      <c r="D701" s="9" t="s">
        <v>772</v>
      </c>
      <c r="E701" s="810">
        <v>50</v>
      </c>
      <c r="F701" s="810"/>
      <c r="G701" s="1425"/>
      <c r="H701" s="810"/>
      <c r="I701" s="810">
        <f>+E701*C701</f>
        <v>50</v>
      </c>
    </row>
    <row r="702" spans="1:9" s="492" customFormat="1" ht="14.4">
      <c r="A702" s="1424" t="s">
        <v>190</v>
      </c>
      <c r="B702" s="813">
        <f>SUM(F702:I702)</f>
        <v>39050</v>
      </c>
      <c r="C702" s="814"/>
      <c r="D702" s="9"/>
      <c r="E702" s="810"/>
      <c r="F702" s="810">
        <f>+SUM(F698:F700)</f>
        <v>0</v>
      </c>
      <c r="G702" s="810">
        <f>+SUM(G698:G701)</f>
        <v>39000</v>
      </c>
      <c r="H702" s="810">
        <f>+SUM(H698:H700)</f>
        <v>0</v>
      </c>
      <c r="I702" s="810">
        <f>+SUM(I698:I701)</f>
        <v>50</v>
      </c>
    </row>
    <row r="703" spans="1:9" s="492" customFormat="1" ht="14.4">
      <c r="A703" s="1424" t="s">
        <v>191</v>
      </c>
      <c r="B703" s="813">
        <f>+B702</f>
        <v>39050</v>
      </c>
      <c r="C703" s="815" t="s">
        <v>45</v>
      </c>
      <c r="D703" s="816"/>
      <c r="E703" s="817"/>
      <c r="F703" s="817"/>
      <c r="G703" s="817"/>
      <c r="H703" s="817"/>
      <c r="I703" s="817"/>
    </row>
    <row r="704" spans="1:9" s="61" customFormat="1" ht="14.4">
      <c r="A704" s="1698"/>
      <c r="B704" s="1699"/>
      <c r="C704" s="1700"/>
      <c r="D704" s="884"/>
      <c r="E704" s="1701"/>
      <c r="F704" s="1701"/>
      <c r="G704" s="1701"/>
      <c r="H704" s="1701"/>
      <c r="I704" s="1701"/>
    </row>
    <row r="705" spans="1:9" s="492" customFormat="1" ht="14.4">
      <c r="A705" s="1342" t="s">
        <v>5215</v>
      </c>
      <c r="B705" s="3552" t="s">
        <v>5189</v>
      </c>
      <c r="C705" s="3553"/>
      <c r="D705" s="3553"/>
      <c r="E705" s="3553"/>
      <c r="F705" s="3553"/>
      <c r="G705" s="3553"/>
      <c r="H705" s="3553"/>
      <c r="I705" s="3554"/>
    </row>
    <row r="706" spans="1:9" s="492" customFormat="1" ht="16.8">
      <c r="A706" s="809"/>
      <c r="B706" s="807"/>
      <c r="C706" s="808" t="s">
        <v>140</v>
      </c>
      <c r="D706" s="11" t="s">
        <v>343</v>
      </c>
      <c r="E706" s="33" t="s">
        <v>344</v>
      </c>
      <c r="F706" s="33" t="s">
        <v>482</v>
      </c>
      <c r="G706" s="33" t="s">
        <v>483</v>
      </c>
      <c r="H706" s="585" t="s">
        <v>232</v>
      </c>
      <c r="I706" s="33" t="s">
        <v>171</v>
      </c>
    </row>
    <row r="707" spans="1:9" s="492" customFormat="1" ht="14.4">
      <c r="A707" s="809"/>
      <c r="B707" s="1426" t="s">
        <v>5183</v>
      </c>
      <c r="C707" s="808"/>
      <c r="D707" s="11"/>
      <c r="E707" s="33"/>
      <c r="F707" s="33"/>
      <c r="G707" s="33"/>
      <c r="H707" s="33"/>
      <c r="I707" s="33"/>
    </row>
    <row r="708" spans="1:9" s="492" customFormat="1" ht="14.4">
      <c r="A708" s="809"/>
      <c r="B708" s="1423" t="s">
        <v>5184</v>
      </c>
      <c r="C708" s="808">
        <v>1</v>
      </c>
      <c r="D708" s="11" t="s">
        <v>772</v>
      </c>
      <c r="E708" s="33">
        <v>130000</v>
      </c>
      <c r="F708" s="33"/>
      <c r="G708" s="1425"/>
      <c r="H708" s="33"/>
      <c r="I708" s="33">
        <f>+E708*C708</f>
        <v>130000</v>
      </c>
    </row>
    <row r="709" spans="1:9" s="492" customFormat="1" ht="14.4">
      <c r="A709" s="809"/>
      <c r="B709" s="1423" t="s">
        <v>5185</v>
      </c>
      <c r="C709" s="808">
        <v>1</v>
      </c>
      <c r="D709" s="11" t="s">
        <v>772</v>
      </c>
      <c r="E709" s="33">
        <v>320000</v>
      </c>
      <c r="F709" s="33"/>
      <c r="G709" s="33"/>
      <c r="H709" s="33"/>
      <c r="I709" s="33">
        <f>+E709*C709</f>
        <v>320000</v>
      </c>
    </row>
    <row r="710" spans="1:9" s="492" customFormat="1" ht="14.4">
      <c r="A710" s="809"/>
      <c r="B710" s="1423" t="s">
        <v>5186</v>
      </c>
      <c r="C710" s="814">
        <v>1</v>
      </c>
      <c r="D710" s="9" t="s">
        <v>772</v>
      </c>
      <c r="E710" s="810">
        <v>360000</v>
      </c>
      <c r="F710" s="810"/>
      <c r="G710" s="810"/>
      <c r="H710" s="810"/>
      <c r="I710" s="33">
        <f>+E710*C710</f>
        <v>360000</v>
      </c>
    </row>
    <row r="711" spans="1:9" s="492" customFormat="1" ht="14.4">
      <c r="A711" s="809"/>
      <c r="B711" s="1423" t="s">
        <v>5187</v>
      </c>
      <c r="C711" s="814">
        <f>1/0.08</f>
        <v>12.5</v>
      </c>
      <c r="D711" s="9" t="s">
        <v>717</v>
      </c>
      <c r="E711" s="810">
        <v>160000</v>
      </c>
      <c r="F711" s="810"/>
      <c r="G711" s="810"/>
      <c r="H711" s="33">
        <f>+E711*C711</f>
        <v>2000000</v>
      </c>
      <c r="I711" s="810"/>
    </row>
    <row r="712" spans="1:9" s="492" customFormat="1" ht="14.4">
      <c r="A712" s="809"/>
      <c r="B712" s="1423" t="s">
        <v>5188</v>
      </c>
      <c r="C712" s="814">
        <f>1/0.04</f>
        <v>25</v>
      </c>
      <c r="D712" s="9" t="s">
        <v>717</v>
      </c>
      <c r="E712" s="810">
        <v>160000</v>
      </c>
      <c r="F712" s="810"/>
      <c r="G712" s="810"/>
      <c r="H712" s="33">
        <f>+E712*C712</f>
        <v>4000000</v>
      </c>
      <c r="I712" s="810"/>
    </row>
    <row r="713" spans="1:9" s="492" customFormat="1" ht="14.4">
      <c r="A713" s="1424" t="s">
        <v>190</v>
      </c>
      <c r="B713" s="813">
        <f>SUM(F713:I713)</f>
        <v>6810000</v>
      </c>
      <c r="C713" s="814"/>
      <c r="D713" s="9"/>
      <c r="E713" s="810"/>
      <c r="F713" s="810">
        <f>+SUM(F710:F712)</f>
        <v>0</v>
      </c>
      <c r="G713" s="810">
        <f>+SUM(G710:G712)</f>
        <v>0</v>
      </c>
      <c r="H713" s="810">
        <f>+SUM(H710:H712)</f>
        <v>6000000</v>
      </c>
      <c r="I713" s="810">
        <f>+SUM(I708:I712)</f>
        <v>810000</v>
      </c>
    </row>
    <row r="714" spans="1:9" s="492" customFormat="1" ht="14.4">
      <c r="A714" s="1424" t="s">
        <v>191</v>
      </c>
      <c r="B714" s="813">
        <f>+B713</f>
        <v>6810000</v>
      </c>
      <c r="C714" s="815" t="s">
        <v>772</v>
      </c>
      <c r="D714" s="816"/>
      <c r="E714" s="817"/>
      <c r="F714" s="817"/>
      <c r="G714" s="817"/>
      <c r="H714" s="817"/>
      <c r="I714" s="817"/>
    </row>
    <row r="729" spans="1:9" s="10" customFormat="1" ht="16.8">
      <c r="A729" s="73"/>
      <c r="B729" s="679"/>
      <c r="C729" s="765"/>
      <c r="D729" s="13"/>
      <c r="E729" s="673"/>
      <c r="F729" s="673"/>
      <c r="G729" s="673"/>
      <c r="H729" s="673"/>
      <c r="I729" s="673"/>
    </row>
    <row r="730" spans="1:9">
      <c r="A730" s="1825"/>
      <c r="B730" s="1825"/>
      <c r="C730" s="1825"/>
      <c r="D730" s="1825"/>
      <c r="E730" s="1825"/>
      <c r="F730" s="1825"/>
      <c r="G730" s="1825"/>
      <c r="H730" s="1825"/>
      <c r="I730" s="1825"/>
    </row>
    <row r="731" spans="1:9">
      <c r="A731" s="1825"/>
      <c r="B731" s="1825"/>
      <c r="C731" s="1825"/>
      <c r="D731" s="1825"/>
      <c r="E731" s="1825"/>
      <c r="F731" s="1825"/>
      <c r="G731" s="1825"/>
      <c r="H731" s="1825"/>
      <c r="I731" s="1825"/>
    </row>
    <row r="732" spans="1:9">
      <c r="A732" s="1825"/>
      <c r="B732" s="1825"/>
      <c r="C732" s="1825"/>
      <c r="D732" s="1825"/>
      <c r="E732" s="1825"/>
      <c r="F732" s="1825"/>
      <c r="G732" s="1825"/>
      <c r="H732" s="1825"/>
      <c r="I732" s="1825"/>
    </row>
    <row r="733" spans="1:9">
      <c r="A733" s="1825"/>
      <c r="B733" s="1825"/>
      <c r="C733" s="1825"/>
      <c r="D733" s="1825"/>
      <c r="E733" s="1825"/>
      <c r="F733" s="1825"/>
      <c r="G733" s="1825"/>
      <c r="H733" s="1825"/>
      <c r="I733" s="1825"/>
    </row>
    <row r="734" spans="1:9">
      <c r="A734" s="1825"/>
      <c r="B734" s="1825"/>
      <c r="C734" s="1825"/>
      <c r="D734" s="1825"/>
      <c r="E734" s="1825"/>
      <c r="F734" s="1825"/>
      <c r="G734" s="1825"/>
      <c r="H734" s="1825"/>
      <c r="I734" s="1825"/>
    </row>
    <row r="735" spans="1:9">
      <c r="A735" s="1825"/>
      <c r="B735" s="1825"/>
      <c r="C735" s="1825"/>
      <c r="D735" s="1825"/>
      <c r="E735" s="1825"/>
      <c r="F735" s="1825"/>
      <c r="G735" s="1825"/>
      <c r="H735" s="1825"/>
      <c r="I735" s="1825"/>
    </row>
    <row r="736" spans="1:9">
      <c r="A736" s="1825"/>
      <c r="B736" s="1825"/>
      <c r="C736" s="1825"/>
      <c r="D736" s="1825"/>
      <c r="E736" s="1825"/>
      <c r="F736" s="1825"/>
      <c r="G736" s="1825"/>
      <c r="H736" s="1825"/>
      <c r="I736" s="1825"/>
    </row>
    <row r="737" spans="1:9">
      <c r="A737" s="1825"/>
      <c r="B737" s="1825"/>
      <c r="C737" s="1825"/>
      <c r="D737" s="1825"/>
      <c r="E737" s="1825"/>
      <c r="F737" s="1825"/>
      <c r="G737" s="1825"/>
      <c r="H737" s="1825"/>
      <c r="I737" s="1825"/>
    </row>
    <row r="738" spans="1:9">
      <c r="A738" s="1825"/>
      <c r="B738" s="1825"/>
      <c r="C738" s="1825"/>
      <c r="D738" s="1825"/>
      <c r="E738" s="1825"/>
      <c r="F738" s="1825"/>
      <c r="G738" s="1825"/>
      <c r="H738" s="1825"/>
      <c r="I738" s="1825"/>
    </row>
    <row r="739" spans="1:9">
      <c r="A739" s="1825"/>
      <c r="B739" s="1825"/>
      <c r="C739" s="1825"/>
      <c r="D739" s="1825"/>
      <c r="E739" s="1825"/>
      <c r="F739" s="1825"/>
      <c r="G739" s="1825"/>
      <c r="H739" s="1825"/>
      <c r="I739" s="1825"/>
    </row>
    <row r="740" spans="1:9">
      <c r="A740" s="1825"/>
      <c r="B740" s="1825"/>
      <c r="C740" s="1825"/>
      <c r="D740" s="1825"/>
      <c r="E740" s="1825"/>
      <c r="F740" s="1825"/>
      <c r="G740" s="1825"/>
      <c r="H740" s="1825"/>
      <c r="I740" s="1825"/>
    </row>
    <row r="741" spans="1:9">
      <c r="A741" s="1825"/>
      <c r="B741" s="1825"/>
      <c r="C741" s="1825"/>
      <c r="D741" s="1825"/>
      <c r="E741" s="1825"/>
      <c r="F741" s="1825"/>
      <c r="G741" s="1825"/>
      <c r="H741" s="1825"/>
      <c r="I741" s="1825"/>
    </row>
    <row r="742" spans="1:9">
      <c r="A742" s="1825"/>
      <c r="B742" s="1825"/>
      <c r="C742" s="1825"/>
      <c r="D742" s="1825"/>
      <c r="E742" s="1825"/>
      <c r="F742" s="1825"/>
      <c r="G742" s="1825"/>
      <c r="H742" s="1825"/>
      <c r="I742" s="1825"/>
    </row>
    <row r="743" spans="1:9">
      <c r="A743" s="1825"/>
      <c r="B743" s="1825"/>
      <c r="C743" s="1825"/>
      <c r="D743" s="1825"/>
      <c r="E743" s="1825"/>
      <c r="F743" s="1825"/>
      <c r="G743" s="1825"/>
      <c r="H743" s="1825"/>
      <c r="I743" s="1825"/>
    </row>
    <row r="744" spans="1:9" s="10" customFormat="1" ht="16.8">
      <c r="A744" s="73"/>
      <c r="B744" s="679"/>
      <c r="C744" s="765"/>
      <c r="D744" s="13"/>
      <c r="E744" s="673"/>
      <c r="F744" s="673"/>
      <c r="G744" s="673"/>
      <c r="H744" s="673"/>
      <c r="I744" s="673"/>
    </row>
    <row r="745" spans="1:9" ht="16.8" hidden="1">
      <c r="A745" s="2755"/>
      <c r="B745" s="3550"/>
      <c r="C745" s="3550"/>
      <c r="D745" s="3550"/>
      <c r="E745" s="3550"/>
      <c r="F745" s="3550"/>
      <c r="G745" s="3550"/>
      <c r="H745" s="3550"/>
      <c r="I745" s="3550"/>
    </row>
    <row r="746" spans="1:9" ht="16.8" hidden="1">
      <c r="A746" s="869"/>
      <c r="B746" s="2756"/>
      <c r="C746" s="31"/>
      <c r="D746" s="31"/>
      <c r="E746" s="2696"/>
      <c r="F746" s="2696"/>
      <c r="G746" s="2696"/>
      <c r="H746" s="2696"/>
      <c r="I746" s="2696"/>
    </row>
    <row r="747" spans="1:9" ht="16.8" hidden="1">
      <c r="A747" s="869"/>
      <c r="B747" s="679"/>
      <c r="C747" s="2757"/>
      <c r="D747" s="2758"/>
      <c r="E747" s="2696"/>
      <c r="F747" s="2696"/>
      <c r="G747" s="2696"/>
      <c r="H747" s="2696"/>
      <c r="I747" s="2696"/>
    </row>
    <row r="748" spans="1:9" ht="16.8" hidden="1">
      <c r="A748" s="869"/>
      <c r="B748" s="679"/>
      <c r="C748" s="2757"/>
      <c r="D748" s="2758"/>
      <c r="E748" s="673"/>
      <c r="F748" s="2696"/>
      <c r="G748" s="2696"/>
      <c r="H748" s="2696"/>
      <c r="I748" s="2696"/>
    </row>
    <row r="749" spans="1:9" ht="16.8" hidden="1">
      <c r="A749" s="2759"/>
      <c r="B749" s="2760"/>
      <c r="C749" s="2758"/>
      <c r="D749" s="2758"/>
      <c r="E749" s="2696"/>
      <c r="F749" s="2696"/>
      <c r="G749" s="2696"/>
      <c r="H749" s="2696"/>
      <c r="I749" s="2696"/>
    </row>
    <row r="750" spans="1:9" ht="16.8" hidden="1">
      <c r="A750" s="2759"/>
      <c r="B750" s="2761"/>
      <c r="C750" s="2762"/>
      <c r="D750" s="13"/>
      <c r="E750" s="673"/>
      <c r="F750" s="673"/>
      <c r="G750" s="673"/>
      <c r="H750" s="673"/>
      <c r="I750" s="673"/>
    </row>
    <row r="751" spans="1:9" ht="14.4" hidden="1">
      <c r="A751" s="821"/>
      <c r="B751" s="885"/>
      <c r="C751" s="886"/>
      <c r="D751" s="887"/>
      <c r="E751" s="888"/>
      <c r="F751" s="888"/>
      <c r="G751" s="888"/>
      <c r="H751" s="888"/>
      <c r="I751" s="888"/>
    </row>
    <row r="752" spans="1:9" ht="16.8" hidden="1">
      <c r="A752" s="2763"/>
      <c r="B752" s="3551"/>
      <c r="C752" s="3551"/>
      <c r="D752" s="3551"/>
      <c r="E752" s="3551"/>
      <c r="F752" s="3551"/>
      <c r="G752" s="3551"/>
      <c r="H752" s="3551"/>
      <c r="I752" s="3551"/>
    </row>
    <row r="753" spans="1:9" ht="16.8" hidden="1">
      <c r="A753" s="869"/>
      <c r="B753" s="2756"/>
      <c r="C753" s="31"/>
      <c r="D753" s="31"/>
      <c r="E753" s="2696"/>
      <c r="F753" s="2696"/>
      <c r="G753" s="2696"/>
      <c r="H753" s="2696"/>
      <c r="I753" s="2696"/>
    </row>
    <row r="754" spans="1:9" ht="16.8" hidden="1">
      <c r="A754" s="721"/>
      <c r="B754" s="679"/>
      <c r="C754" s="2764"/>
      <c r="D754" s="14"/>
      <c r="E754" s="673"/>
      <c r="F754" s="673"/>
      <c r="G754" s="673"/>
      <c r="H754" s="673"/>
      <c r="I754" s="673"/>
    </row>
    <row r="755" spans="1:9" ht="16.8" hidden="1">
      <c r="A755" s="869"/>
      <c r="B755" s="679"/>
      <c r="C755" s="2764"/>
      <c r="D755" s="14"/>
      <c r="E755" s="673"/>
      <c r="F755" s="2696"/>
      <c r="G755" s="2696"/>
      <c r="H755" s="2696"/>
      <c r="I755" s="2696"/>
    </row>
    <row r="756" spans="1:9" ht="16.8" hidden="1">
      <c r="A756" s="2759"/>
      <c r="B756" s="2760"/>
      <c r="C756" s="2758"/>
      <c r="D756" s="2758"/>
      <c r="E756" s="2696"/>
      <c r="F756" s="2696"/>
      <c r="G756" s="2696"/>
      <c r="H756" s="2696"/>
      <c r="I756" s="2696"/>
    </row>
    <row r="757" spans="1:9" ht="16.8" hidden="1">
      <c r="A757" s="2759"/>
      <c r="B757" s="2761"/>
      <c r="C757" s="2762"/>
      <c r="D757" s="13"/>
      <c r="E757" s="673"/>
      <c r="F757" s="673"/>
      <c r="G757" s="673"/>
      <c r="H757" s="673"/>
      <c r="I757" s="673"/>
    </row>
    <row r="758" spans="1:9" s="10" customFormat="1" ht="16.8" hidden="1">
      <c r="A758" s="73"/>
      <c r="B758" s="679"/>
      <c r="C758" s="765"/>
      <c r="D758" s="13"/>
      <c r="E758" s="673"/>
      <c r="F758" s="673"/>
      <c r="G758" s="673"/>
      <c r="H758" s="673"/>
      <c r="I758" s="673"/>
    </row>
    <row r="759" spans="1:9" s="10" customFormat="1" ht="16.8" hidden="1">
      <c r="A759" s="73"/>
      <c r="B759" s="679"/>
      <c r="C759" s="765"/>
      <c r="D759" s="13"/>
      <c r="E759" s="673"/>
      <c r="F759" s="673"/>
      <c r="G759" s="673"/>
      <c r="H759" s="673"/>
      <c r="I759" s="673"/>
    </row>
    <row r="760" spans="1:9" ht="16.8" hidden="1">
      <c r="A760" s="2765"/>
      <c r="B760" s="3545"/>
      <c r="C760" s="3545"/>
      <c r="D760" s="3545"/>
      <c r="E760" s="3545"/>
      <c r="F760" s="3545"/>
      <c r="G760" s="3545"/>
      <c r="H760" s="3545"/>
      <c r="I760" s="3545"/>
    </row>
    <row r="761" spans="1:9" ht="16.8" hidden="1">
      <c r="A761" s="31"/>
      <c r="B761" s="2766"/>
      <c r="C761" s="31"/>
      <c r="D761" s="31"/>
      <c r="E761" s="2696"/>
      <c r="F761" s="2696"/>
      <c r="G761" s="2696"/>
      <c r="H761" s="2696"/>
      <c r="I761" s="2696"/>
    </row>
    <row r="762" spans="1:9" ht="16.8" hidden="1">
      <c r="A762" s="13"/>
      <c r="B762" s="679"/>
      <c r="C762" s="2757"/>
      <c r="D762" s="2758"/>
      <c r="E762" s="673"/>
      <c r="F762" s="673"/>
      <c r="G762" s="673"/>
      <c r="H762" s="673"/>
      <c r="I762" s="2696"/>
    </row>
    <row r="763" spans="1:9" ht="16.8" hidden="1">
      <c r="A763" s="13"/>
      <c r="B763" s="679"/>
      <c r="C763" s="2757"/>
      <c r="D763" s="2758"/>
      <c r="E763" s="673"/>
      <c r="F763" s="673"/>
      <c r="G763" s="673"/>
      <c r="H763" s="673"/>
      <c r="I763" s="2696"/>
    </row>
    <row r="764" spans="1:9" ht="16.8" hidden="1">
      <c r="A764" s="2767"/>
      <c r="B764" s="2760"/>
      <c r="C764" s="2768"/>
      <c r="D764" s="2758"/>
      <c r="E764" s="673"/>
      <c r="F764" s="673"/>
      <c r="G764" s="673"/>
      <c r="H764" s="673"/>
      <c r="I764" s="2696"/>
    </row>
    <row r="765" spans="1:9" ht="16.8" hidden="1">
      <c r="A765" s="2767"/>
      <c r="B765" s="2761"/>
      <c r="C765" s="2762"/>
      <c r="D765" s="13"/>
      <c r="E765" s="673"/>
      <c r="F765" s="673"/>
      <c r="G765" s="673"/>
      <c r="H765" s="673"/>
      <c r="I765" s="673"/>
    </row>
    <row r="766" spans="1:9" s="157" customFormat="1" ht="15" hidden="1" customHeight="1">
      <c r="A766" s="2769"/>
      <c r="B766" s="2770"/>
      <c r="C766" s="2771"/>
      <c r="D766" s="2772"/>
      <c r="E766" s="2773"/>
      <c r="F766" s="2773"/>
      <c r="G766" s="2773"/>
      <c r="H766" s="2773"/>
      <c r="I766" s="2773"/>
    </row>
    <row r="767" spans="1:9" ht="16.8" hidden="1">
      <c r="A767" s="2774"/>
      <c r="B767" s="3546"/>
      <c r="C767" s="3546"/>
      <c r="D767" s="3546"/>
      <c r="E767" s="3546"/>
      <c r="F767" s="3546"/>
      <c r="G767" s="3546"/>
      <c r="H767" s="3546"/>
      <c r="I767" s="3546"/>
    </row>
    <row r="768" spans="1:9" ht="16.8" hidden="1">
      <c r="A768" s="31"/>
      <c r="B768" s="2766"/>
      <c r="C768" s="31"/>
      <c r="D768" s="31"/>
      <c r="E768" s="2696"/>
      <c r="F768" s="2696"/>
      <c r="G768" s="2696"/>
      <c r="H768" s="2696"/>
      <c r="I768" s="2696"/>
    </row>
    <row r="769" spans="1:9" ht="16.8" hidden="1">
      <c r="A769" s="13"/>
      <c r="B769" s="2741"/>
      <c r="C769" s="2757"/>
      <c r="D769" s="2758"/>
      <c r="E769" s="2696"/>
      <c r="F769" s="2696"/>
      <c r="G769" s="2696"/>
      <c r="H769" s="2696"/>
      <c r="I769" s="2696"/>
    </row>
    <row r="770" spans="1:9" ht="16.8" hidden="1">
      <c r="A770" s="13"/>
      <c r="B770" s="679"/>
      <c r="C770" s="2757"/>
      <c r="D770" s="2758"/>
      <c r="E770" s="2696"/>
      <c r="F770" s="2696"/>
      <c r="G770" s="2696"/>
      <c r="H770" s="2696"/>
      <c r="I770" s="2696"/>
    </row>
    <row r="771" spans="1:9" ht="16.8" hidden="1">
      <c r="A771" s="2767"/>
      <c r="B771" s="2760"/>
      <c r="C771" s="2768"/>
      <c r="D771" s="2758"/>
      <c r="E771" s="673"/>
      <c r="F771" s="673"/>
      <c r="G771" s="673"/>
      <c r="H771" s="673"/>
      <c r="I771" s="2696"/>
    </row>
    <row r="772" spans="1:9" ht="16.8" hidden="1">
      <c r="A772" s="2767"/>
      <c r="B772" s="2761"/>
      <c r="C772" s="2762"/>
      <c r="D772" s="13"/>
      <c r="E772" s="673"/>
      <c r="F772" s="673"/>
      <c r="G772" s="673"/>
      <c r="H772" s="673"/>
      <c r="I772" s="673"/>
    </row>
    <row r="773" spans="1:9" s="10" customFormat="1" ht="16.8" hidden="1">
      <c r="A773" s="73"/>
      <c r="B773" s="679"/>
      <c r="C773" s="765"/>
      <c r="D773" s="13"/>
      <c r="E773" s="673"/>
      <c r="F773" s="673"/>
      <c r="G773" s="673"/>
      <c r="H773" s="673"/>
      <c r="I773" s="673"/>
    </row>
    <row r="774" spans="1:9" ht="16.8" hidden="1">
      <c r="A774" s="2765"/>
      <c r="B774" s="3545"/>
      <c r="C774" s="3545"/>
      <c r="D774" s="3545"/>
      <c r="E774" s="3545"/>
      <c r="F774" s="3545"/>
      <c r="G774" s="3545"/>
      <c r="H774" s="3545"/>
      <c r="I774" s="3545"/>
    </row>
    <row r="775" spans="1:9" ht="16.8" hidden="1">
      <c r="A775" s="31"/>
      <c r="B775" s="2766"/>
      <c r="C775" s="31"/>
      <c r="D775" s="31"/>
      <c r="E775" s="2696"/>
      <c r="F775" s="2696"/>
      <c r="G775" s="2696"/>
      <c r="H775" s="2696"/>
      <c r="I775" s="2696"/>
    </row>
    <row r="776" spans="1:9" ht="16.8" hidden="1">
      <c r="A776" s="13"/>
      <c r="B776" s="679"/>
      <c r="C776" s="2757"/>
      <c r="D776" s="2758"/>
      <c r="E776" s="673"/>
      <c r="F776" s="673"/>
      <c r="G776" s="673"/>
      <c r="H776" s="673"/>
      <c r="I776" s="2696"/>
    </row>
    <row r="777" spans="1:9" ht="16.8" hidden="1">
      <c r="A777" s="13"/>
      <c r="B777" s="679"/>
      <c r="C777" s="2757"/>
      <c r="D777" s="2758"/>
      <c r="E777" s="673"/>
      <c r="F777" s="673"/>
      <c r="G777" s="673"/>
      <c r="H777" s="673"/>
      <c r="I777" s="2696"/>
    </row>
    <row r="778" spans="1:9" ht="16.8" hidden="1">
      <c r="A778" s="2767"/>
      <c r="B778" s="2760"/>
      <c r="C778" s="2768"/>
      <c r="D778" s="2758"/>
      <c r="E778" s="673"/>
      <c r="F778" s="673"/>
      <c r="G778" s="673"/>
      <c r="H778" s="673"/>
      <c r="I778" s="2696"/>
    </row>
    <row r="779" spans="1:9" ht="16.8" hidden="1">
      <c r="A779" s="2767"/>
      <c r="B779" s="2761"/>
      <c r="C779" s="2762"/>
      <c r="D779" s="13"/>
      <c r="E779" s="673"/>
      <c r="F779" s="673"/>
      <c r="G779" s="673"/>
      <c r="H779" s="673"/>
      <c r="I779" s="673"/>
    </row>
    <row r="780" spans="1:9" s="157" customFormat="1" ht="15" hidden="1" customHeight="1">
      <c r="A780" s="2769"/>
      <c r="B780" s="2770"/>
      <c r="C780" s="2771"/>
      <c r="D780" s="2772"/>
      <c r="E780" s="2773"/>
      <c r="F780" s="2773"/>
      <c r="G780" s="2773"/>
      <c r="H780" s="2773"/>
      <c r="I780" s="2773"/>
    </row>
    <row r="781" spans="1:9" ht="16.8" hidden="1">
      <c r="A781" s="2774"/>
      <c r="B781" s="3546"/>
      <c r="C781" s="3546"/>
      <c r="D781" s="3546"/>
      <c r="E781" s="3546"/>
      <c r="F781" s="3546"/>
      <c r="G781" s="3546"/>
      <c r="H781" s="3546"/>
      <c r="I781" s="3546"/>
    </row>
    <row r="782" spans="1:9" ht="16.8" hidden="1">
      <c r="A782" s="31"/>
      <c r="B782" s="2766"/>
      <c r="C782" s="31"/>
      <c r="D782" s="31"/>
      <c r="E782" s="2696"/>
      <c r="F782" s="2696"/>
      <c r="G782" s="2696"/>
      <c r="H782" s="2696"/>
      <c r="I782" s="2696"/>
    </row>
    <row r="783" spans="1:9" ht="16.8" hidden="1">
      <c r="A783" s="13"/>
      <c r="B783" s="2741"/>
      <c r="C783" s="2757"/>
      <c r="D783" s="2758"/>
      <c r="E783" s="2696"/>
      <c r="F783" s="2696"/>
      <c r="G783" s="2696"/>
      <c r="H783" s="2696"/>
      <c r="I783" s="2696"/>
    </row>
    <row r="784" spans="1:9" ht="16.8" hidden="1">
      <c r="A784" s="13"/>
      <c r="B784" s="679"/>
      <c r="C784" s="2757"/>
      <c r="D784" s="2758"/>
      <c r="E784" s="2696"/>
      <c r="F784" s="2696"/>
      <c r="G784" s="2696"/>
      <c r="H784" s="2696"/>
      <c r="I784" s="2696"/>
    </row>
    <row r="785" spans="1:9" ht="16.8" hidden="1">
      <c r="A785" s="2767"/>
      <c r="B785" s="2760"/>
      <c r="C785" s="2768"/>
      <c r="D785" s="2758"/>
      <c r="E785" s="673"/>
      <c r="F785" s="673"/>
      <c r="G785" s="673"/>
      <c r="H785" s="673"/>
      <c r="I785" s="2696"/>
    </row>
    <row r="786" spans="1:9" ht="15.75" hidden="1" customHeight="1">
      <c r="A786" s="2767"/>
      <c r="B786" s="2761"/>
      <c r="C786" s="2762"/>
      <c r="D786" s="13"/>
      <c r="E786" s="673"/>
      <c r="F786" s="673"/>
      <c r="G786" s="673"/>
      <c r="H786" s="673"/>
      <c r="I786" s="673"/>
    </row>
    <row r="787" spans="1:9" s="10" customFormat="1" ht="16.8" hidden="1">
      <c r="A787" s="73"/>
      <c r="B787" s="679"/>
      <c r="C787" s="765"/>
      <c r="D787" s="13"/>
      <c r="E787" s="673"/>
      <c r="F787" s="673"/>
      <c r="G787" s="673"/>
      <c r="H787" s="673"/>
      <c r="I787" s="673"/>
    </row>
    <row r="788" spans="1:9" s="10" customFormat="1" ht="15" hidden="1" customHeight="1">
      <c r="A788" s="73"/>
      <c r="B788" s="679"/>
      <c r="C788" s="765"/>
      <c r="D788" s="13"/>
      <c r="E788" s="673"/>
      <c r="F788" s="673"/>
      <c r="G788" s="673"/>
      <c r="H788" s="673"/>
      <c r="I788" s="673"/>
    </row>
    <row r="789" spans="1:9" ht="16.8" hidden="1">
      <c r="A789" s="2755"/>
      <c r="B789" s="3550"/>
      <c r="C789" s="3550"/>
      <c r="D789" s="3550"/>
      <c r="E789" s="3550"/>
      <c r="F789" s="3550"/>
      <c r="G789" s="3550"/>
      <c r="H789" s="3550"/>
      <c r="I789" s="3550"/>
    </row>
    <row r="790" spans="1:9" ht="16.8" hidden="1">
      <c r="A790" s="869"/>
      <c r="B790" s="2756"/>
      <c r="C790" s="31"/>
      <c r="D790" s="31"/>
      <c r="E790" s="2696"/>
      <c r="F790" s="2696"/>
      <c r="G790" s="2696"/>
      <c r="H790" s="2696"/>
      <c r="I790" s="2696"/>
    </row>
    <row r="791" spans="1:9" ht="16.8" hidden="1">
      <c r="A791" s="2775"/>
      <c r="B791" s="2776"/>
      <c r="C791" s="2777"/>
      <c r="D791" s="2778"/>
      <c r="E791" s="845"/>
      <c r="F791" s="2696"/>
      <c r="G791" s="673"/>
      <c r="H791" s="673"/>
      <c r="I791" s="673"/>
    </row>
    <row r="792" spans="1:9" ht="16.8" hidden="1">
      <c r="A792" s="869"/>
      <c r="B792" s="679"/>
      <c r="C792" s="2757"/>
      <c r="D792" s="2758"/>
      <c r="E792" s="2696"/>
      <c r="F792" s="2696"/>
      <c r="G792" s="2696"/>
      <c r="H792" s="2696"/>
      <c r="I792" s="2696"/>
    </row>
    <row r="793" spans="1:9" ht="18" hidden="1">
      <c r="A793" s="869"/>
      <c r="B793" s="679"/>
      <c r="C793" s="2757"/>
      <c r="D793" s="2758"/>
      <c r="E793" s="2779"/>
      <c r="F793" s="2696"/>
      <c r="G793" s="2696"/>
      <c r="H793" s="2696"/>
      <c r="I793" s="2696"/>
    </row>
    <row r="794" spans="1:9" ht="16.8" hidden="1">
      <c r="A794" s="2759"/>
      <c r="B794" s="2760"/>
      <c r="C794" s="2758"/>
      <c r="D794" s="2758"/>
      <c r="E794" s="2696"/>
      <c r="F794" s="2696"/>
      <c r="G794" s="2696"/>
      <c r="H794" s="2696"/>
      <c r="I794" s="2696"/>
    </row>
    <row r="795" spans="1:9" ht="16.8" hidden="1">
      <c r="A795" s="2759"/>
      <c r="B795" s="2761"/>
      <c r="C795" s="2762"/>
      <c r="D795" s="13"/>
      <c r="E795" s="673"/>
      <c r="F795" s="673"/>
      <c r="G795" s="673"/>
      <c r="H795" s="673"/>
      <c r="I795" s="673"/>
    </row>
    <row r="796" spans="1:9" ht="14.4" hidden="1">
      <c r="A796" s="821"/>
      <c r="B796" s="885"/>
      <c r="C796" s="886"/>
      <c r="D796" s="887"/>
      <c r="E796" s="888"/>
      <c r="F796" s="888"/>
      <c r="G796" s="888"/>
      <c r="H796" s="888"/>
      <c r="I796" s="888"/>
    </row>
    <row r="797" spans="1:9" ht="16.8" hidden="1">
      <c r="A797" s="2763"/>
      <c r="B797" s="3551"/>
      <c r="C797" s="3551"/>
      <c r="D797" s="3551"/>
      <c r="E797" s="3551"/>
      <c r="F797" s="3551"/>
      <c r="G797" s="3551"/>
      <c r="H797" s="3551"/>
      <c r="I797" s="3551"/>
    </row>
    <row r="798" spans="1:9" ht="16.8" hidden="1">
      <c r="A798" s="869"/>
      <c r="B798" s="2756"/>
      <c r="C798" s="31"/>
      <c r="D798" s="31"/>
      <c r="E798" s="2696"/>
      <c r="F798" s="2696"/>
      <c r="G798" s="2696"/>
      <c r="H798" s="2696"/>
      <c r="I798" s="2696"/>
    </row>
    <row r="799" spans="1:9" ht="16.8" hidden="1">
      <c r="A799" s="721"/>
      <c r="B799" s="679"/>
      <c r="C799" s="2764"/>
      <c r="D799" s="14"/>
      <c r="E799" s="673"/>
      <c r="F799" s="673"/>
      <c r="G799" s="673"/>
      <c r="H799" s="673"/>
      <c r="I799" s="673"/>
    </row>
    <row r="800" spans="1:9" ht="16.8" hidden="1">
      <c r="A800" s="869"/>
      <c r="B800" s="679"/>
      <c r="C800" s="2764"/>
      <c r="D800" s="14"/>
      <c r="E800" s="673"/>
      <c r="F800" s="2696"/>
      <c r="G800" s="2696"/>
      <c r="H800" s="2696"/>
      <c r="I800" s="2696"/>
    </row>
    <row r="801" spans="1:9" ht="16.8" hidden="1">
      <c r="A801" s="2759"/>
      <c r="B801" s="2760"/>
      <c r="C801" s="2758"/>
      <c r="D801" s="2758"/>
      <c r="E801" s="2696"/>
      <c r="F801" s="2696"/>
      <c r="G801" s="2696"/>
      <c r="H801" s="2696"/>
      <c r="I801" s="2696"/>
    </row>
    <row r="802" spans="1:9" ht="16.8" hidden="1">
      <c r="A802" s="2759"/>
      <c r="B802" s="2761"/>
      <c r="C802" s="2762"/>
      <c r="D802" s="13"/>
      <c r="E802" s="673"/>
      <c r="F802" s="673"/>
      <c r="G802" s="673"/>
      <c r="H802" s="673"/>
      <c r="I802" s="673"/>
    </row>
    <row r="803" spans="1:9" ht="16.8" hidden="1">
      <c r="A803" s="2759"/>
      <c r="B803" s="2761"/>
      <c r="C803" s="2762"/>
      <c r="D803" s="13"/>
      <c r="E803" s="673"/>
      <c r="F803" s="673"/>
      <c r="G803" s="673"/>
      <c r="H803" s="673"/>
      <c r="I803" s="673"/>
    </row>
    <row r="804" spans="1:9" s="10" customFormat="1" ht="16.8" hidden="1">
      <c r="A804" s="283"/>
      <c r="B804" s="679"/>
      <c r="C804" s="765"/>
      <c r="D804" s="13"/>
      <c r="E804" s="673"/>
      <c r="F804" s="673"/>
      <c r="G804" s="673"/>
      <c r="H804" s="673"/>
      <c r="I804" s="673"/>
    </row>
    <row r="805" spans="1:9" hidden="1">
      <c r="A805" s="1825"/>
      <c r="B805" s="1825"/>
      <c r="C805" s="1825"/>
      <c r="D805" s="1825"/>
      <c r="E805" s="1825"/>
      <c r="F805" s="1825"/>
      <c r="G805" s="1825"/>
      <c r="H805" s="1825"/>
      <c r="I805" s="1825"/>
    </row>
    <row r="806" spans="1:9" ht="16.8" hidden="1">
      <c r="A806" s="2755"/>
      <c r="B806" s="3545"/>
      <c r="C806" s="3545"/>
      <c r="D806" s="3545"/>
      <c r="E806" s="3545"/>
      <c r="F806" s="3545"/>
      <c r="G806" s="3545"/>
      <c r="H806" s="3545"/>
      <c r="I806" s="3545"/>
    </row>
    <row r="807" spans="1:9" ht="16.8" hidden="1">
      <c r="A807" s="2780"/>
      <c r="B807" s="2781"/>
      <c r="C807" s="31"/>
      <c r="D807" s="31"/>
      <c r="E807" s="590"/>
      <c r="F807" s="590"/>
      <c r="G807" s="590"/>
      <c r="H807" s="590"/>
      <c r="I807" s="590"/>
    </row>
    <row r="808" spans="1:9" ht="16.8" hidden="1">
      <c r="A808" s="283"/>
      <c r="B808" s="679"/>
      <c r="C808" s="2757"/>
      <c r="D808" s="2758"/>
      <c r="E808" s="170"/>
      <c r="F808" s="170"/>
      <c r="G808" s="170"/>
      <c r="H808" s="170"/>
      <c r="I808" s="170"/>
    </row>
    <row r="809" spans="1:9" ht="16.8" hidden="1">
      <c r="A809" s="2775"/>
      <c r="B809" s="2776"/>
      <c r="C809" s="2777"/>
      <c r="D809" s="2778"/>
      <c r="E809" s="845"/>
      <c r="F809" s="2696"/>
      <c r="G809" s="170"/>
      <c r="H809" s="170"/>
      <c r="I809" s="170"/>
    </row>
    <row r="810" spans="1:9" ht="16.8" hidden="1">
      <c r="A810" s="283"/>
      <c r="B810" s="679"/>
      <c r="C810" s="2757"/>
      <c r="D810" s="2758"/>
      <c r="E810" s="170"/>
      <c r="F810" s="170"/>
      <c r="G810" s="170"/>
      <c r="H810" s="170"/>
      <c r="I810" s="170"/>
    </row>
    <row r="811" spans="1:9" ht="16.8" hidden="1">
      <c r="A811" s="283"/>
      <c r="B811" s="679"/>
      <c r="C811" s="2757"/>
      <c r="D811" s="2758"/>
      <c r="E811" s="170"/>
      <c r="F811" s="170"/>
      <c r="G811" s="170"/>
      <c r="H811" s="170"/>
      <c r="I811" s="170"/>
    </row>
    <row r="812" spans="1:9" ht="16.8" hidden="1">
      <c r="A812" s="2759"/>
      <c r="B812" s="2760"/>
      <c r="C812" s="2758"/>
      <c r="D812" s="2758"/>
      <c r="E812" s="170"/>
      <c r="F812" s="170"/>
      <c r="G812" s="170"/>
      <c r="H812" s="170"/>
      <c r="I812" s="170"/>
    </row>
    <row r="813" spans="1:9" ht="16.8" hidden="1">
      <c r="A813" s="2759"/>
      <c r="B813" s="2761"/>
      <c r="C813" s="2782"/>
      <c r="D813" s="13"/>
      <c r="E813" s="170"/>
      <c r="F813" s="170"/>
      <c r="G813" s="170"/>
      <c r="H813" s="170"/>
      <c r="I813" s="170"/>
    </row>
    <row r="814" spans="1:9" ht="16.8" hidden="1">
      <c r="A814" s="721"/>
      <c r="B814" s="2741"/>
      <c r="C814" s="887"/>
      <c r="D814" s="887"/>
      <c r="E814" s="1298"/>
      <c r="F814" s="1298"/>
      <c r="G814" s="1298"/>
      <c r="H814" s="1298"/>
      <c r="I814" s="1298"/>
    </row>
    <row r="815" spans="1:9" ht="16.8" hidden="1">
      <c r="A815" s="2763"/>
      <c r="B815" s="3546"/>
      <c r="C815" s="3546"/>
      <c r="D815" s="3546"/>
      <c r="E815" s="3546"/>
      <c r="F815" s="3546"/>
      <c r="G815" s="3546"/>
      <c r="H815" s="3546"/>
      <c r="I815" s="3546"/>
    </row>
    <row r="816" spans="1:9" ht="16.8" hidden="1">
      <c r="A816" s="2780"/>
      <c r="B816" s="2781"/>
      <c r="C816" s="31"/>
      <c r="D816" s="31"/>
      <c r="E816" s="590"/>
      <c r="F816" s="590"/>
      <c r="G816" s="590"/>
      <c r="H816" s="590"/>
      <c r="I816" s="590"/>
    </row>
    <row r="817" spans="1:11" ht="16.8" hidden="1">
      <c r="A817" s="283"/>
      <c r="B817" s="679"/>
      <c r="C817" s="2757"/>
      <c r="D817" s="2758"/>
      <c r="E817" s="170"/>
      <c r="F817" s="170"/>
      <c r="G817" s="170"/>
      <c r="H817" s="170"/>
      <c r="I817" s="170"/>
      <c r="K817">
        <f>+VCELA10</f>
        <v>4550000</v>
      </c>
    </row>
    <row r="818" spans="1:11" ht="16.8" hidden="1">
      <c r="A818" s="283"/>
      <c r="B818" s="679"/>
      <c r="C818" s="2757"/>
      <c r="D818" s="2758"/>
      <c r="E818" s="170"/>
      <c r="F818" s="170"/>
      <c r="G818" s="170"/>
      <c r="H818" s="170"/>
      <c r="I818" s="170"/>
    </row>
    <row r="819" spans="1:11" ht="16.8" hidden="1">
      <c r="A819" s="2759"/>
      <c r="B819" s="2760"/>
      <c r="C819" s="2758"/>
      <c r="D819" s="2758"/>
      <c r="E819" s="170"/>
      <c r="F819" s="170"/>
      <c r="G819" s="170"/>
      <c r="H819" s="170"/>
      <c r="I819" s="170"/>
    </row>
    <row r="820" spans="1:11" ht="16.8" hidden="1">
      <c r="A820" s="2759"/>
      <c r="B820" s="2761"/>
      <c r="C820" s="2782"/>
      <c r="D820" s="13"/>
      <c r="E820" s="170"/>
      <c r="F820" s="170"/>
      <c r="G820" s="170"/>
      <c r="H820" s="170"/>
      <c r="I820" s="170"/>
    </row>
    <row r="821" spans="1:11" s="10" customFormat="1" ht="16.8" hidden="1">
      <c r="A821" s="283"/>
      <c r="B821" s="679"/>
      <c r="C821" s="13"/>
      <c r="D821" s="13"/>
      <c r="E821" s="170"/>
      <c r="F821" s="170"/>
      <c r="G821" s="170"/>
      <c r="H821" s="170"/>
      <c r="I821" s="170"/>
    </row>
    <row r="822" spans="1:11" ht="16.8" hidden="1">
      <c r="A822" s="2755"/>
      <c r="B822" s="3544"/>
      <c r="C822" s="3544"/>
      <c r="D822" s="3544"/>
      <c r="E822" s="3544"/>
      <c r="F822" s="3544"/>
      <c r="G822" s="3544"/>
      <c r="H822" s="3544"/>
      <c r="I822" s="3544"/>
    </row>
    <row r="823" spans="1:11" ht="16.8" hidden="1">
      <c r="A823" s="2780"/>
      <c r="B823" s="2783"/>
      <c r="C823" s="31"/>
      <c r="D823" s="31"/>
      <c r="E823" s="31"/>
      <c r="F823" s="31"/>
      <c r="G823" s="31"/>
      <c r="H823" s="31"/>
      <c r="I823" s="31"/>
    </row>
    <row r="824" spans="1:11" ht="16.8" hidden="1">
      <c r="A824" s="283"/>
      <c r="B824" s="80"/>
      <c r="C824" s="2757"/>
      <c r="D824" s="2758"/>
      <c r="E824" s="2784"/>
      <c r="F824" s="2784"/>
      <c r="G824" s="2784"/>
      <c r="H824" s="2784"/>
      <c r="I824" s="2784"/>
    </row>
    <row r="825" spans="1:11" ht="16.8" hidden="1">
      <c r="A825" s="283"/>
      <c r="B825" s="80"/>
      <c r="C825" s="2757"/>
      <c r="D825" s="2758"/>
      <c r="E825" s="2784"/>
      <c r="F825" s="2784"/>
      <c r="G825" s="2784"/>
      <c r="H825" s="2784"/>
      <c r="I825" s="2784"/>
    </row>
    <row r="826" spans="1:11" ht="16.8" hidden="1">
      <c r="A826" s="2759"/>
      <c r="B826" s="2760"/>
      <c r="C826" s="2758"/>
      <c r="D826" s="2758"/>
      <c r="E826" s="2784"/>
      <c r="F826" s="2784"/>
      <c r="G826" s="2784"/>
      <c r="H826" s="2784"/>
      <c r="I826" s="2784"/>
    </row>
    <row r="827" spans="1:11" ht="16.8" hidden="1">
      <c r="A827" s="2759"/>
      <c r="B827" s="2761"/>
      <c r="C827" s="2782"/>
      <c r="D827" s="13"/>
      <c r="E827" s="13"/>
      <c r="F827" s="13"/>
      <c r="G827" s="13"/>
      <c r="H827" s="13"/>
      <c r="I827" s="13"/>
    </row>
    <row r="828" spans="1:11" ht="16.8" hidden="1">
      <c r="A828" s="721"/>
      <c r="B828" s="2741"/>
      <c r="C828" s="887"/>
      <c r="D828" s="887"/>
      <c r="E828" s="1298"/>
      <c r="F828" s="1298"/>
      <c r="G828" s="1298"/>
      <c r="H828" s="1298"/>
      <c r="I828" s="1298"/>
    </row>
    <row r="829" spans="1:11" ht="16.8" hidden="1">
      <c r="A829" s="2763"/>
      <c r="B829" s="3543"/>
      <c r="C829" s="3543"/>
      <c r="D829" s="3543"/>
      <c r="E829" s="3543"/>
      <c r="F829" s="3543"/>
      <c r="G829" s="3543"/>
      <c r="H829" s="3543"/>
      <c r="I829" s="3543"/>
    </row>
    <row r="830" spans="1:11" ht="16.8" hidden="1">
      <c r="A830" s="2780"/>
      <c r="B830" s="2783"/>
      <c r="C830" s="31"/>
      <c r="D830" s="31"/>
      <c r="E830" s="31"/>
      <c r="F830" s="31"/>
      <c r="G830" s="31"/>
      <c r="H830" s="31"/>
      <c r="I830" s="31"/>
    </row>
    <row r="831" spans="1:11" ht="16.8" hidden="1">
      <c r="A831" s="283"/>
      <c r="B831" s="80"/>
      <c r="C831" s="2757"/>
      <c r="D831" s="2758"/>
      <c r="E831" s="2784"/>
      <c r="F831" s="2784"/>
      <c r="G831" s="2784"/>
      <c r="H831" s="2784"/>
      <c r="I831" s="2784"/>
    </row>
    <row r="832" spans="1:11" ht="16.8" hidden="1">
      <c r="A832" s="283"/>
      <c r="B832" s="80"/>
      <c r="C832" s="2757"/>
      <c r="D832" s="2758"/>
      <c r="E832" s="2784"/>
      <c r="F832" s="2784"/>
      <c r="G832" s="2784"/>
      <c r="H832" s="2784"/>
      <c r="I832" s="2784"/>
    </row>
    <row r="833" spans="1:9" ht="16.8" hidden="1">
      <c r="A833" s="2759"/>
      <c r="B833" s="2760"/>
      <c r="C833" s="2758"/>
      <c r="D833" s="2758"/>
      <c r="E833" s="2784"/>
      <c r="F833" s="2784"/>
      <c r="G833" s="2784"/>
      <c r="H833" s="2784"/>
      <c r="I833" s="2784"/>
    </row>
    <row r="834" spans="1:9" ht="16.8" hidden="1">
      <c r="A834" s="2759"/>
      <c r="B834" s="2761"/>
      <c r="C834" s="2782"/>
      <c r="D834" s="13"/>
      <c r="E834" s="13"/>
      <c r="F834" s="13"/>
      <c r="G834" s="13"/>
      <c r="H834" s="13"/>
      <c r="I834" s="13"/>
    </row>
    <row r="835" spans="1:9" s="10" customFormat="1" ht="16.8" hidden="1">
      <c r="A835" s="283"/>
      <c r="B835" s="679"/>
      <c r="C835" s="13"/>
      <c r="D835" s="13"/>
      <c r="E835" s="170"/>
      <c r="F835" s="170"/>
      <c r="G835" s="170"/>
      <c r="H835" s="170"/>
      <c r="I835" s="170"/>
    </row>
    <row r="836" spans="1:9" ht="16.8" hidden="1">
      <c r="A836" s="2765"/>
      <c r="B836" s="3545"/>
      <c r="C836" s="3545"/>
      <c r="D836" s="3545"/>
      <c r="E836" s="3545"/>
      <c r="F836" s="3545"/>
      <c r="G836" s="3545"/>
      <c r="H836" s="3545"/>
      <c r="I836" s="3545"/>
    </row>
    <row r="837" spans="1:9" ht="16.8" hidden="1">
      <c r="A837" s="31"/>
      <c r="B837" s="2766"/>
      <c r="C837" s="31"/>
      <c r="D837" s="31"/>
      <c r="E837" s="2696"/>
      <c r="F837" s="2696"/>
      <c r="G837" s="2696"/>
      <c r="H837" s="2696"/>
      <c r="I837" s="2696"/>
    </row>
    <row r="838" spans="1:9" ht="16.8" hidden="1">
      <c r="A838" s="283"/>
      <c r="B838" s="679"/>
      <c r="C838" s="2757"/>
      <c r="D838" s="2758"/>
      <c r="E838" s="2696"/>
      <c r="F838" s="2696"/>
      <c r="G838" s="2696"/>
      <c r="H838" s="2696"/>
      <c r="I838" s="2696"/>
    </row>
    <row r="839" spans="1:9" ht="16.8" hidden="1">
      <c r="A839" s="13"/>
      <c r="B839" s="679"/>
      <c r="C839" s="2757"/>
      <c r="D839" s="2758"/>
      <c r="E839" s="673"/>
      <c r="F839" s="673"/>
      <c r="G839" s="673"/>
      <c r="H839" s="673"/>
      <c r="I839" s="2696"/>
    </row>
    <row r="840" spans="1:9" ht="18" hidden="1">
      <c r="A840" s="13"/>
      <c r="B840" s="679"/>
      <c r="C840" s="2757"/>
      <c r="D840" s="2758"/>
      <c r="E840" s="2779"/>
      <c r="F840" s="673"/>
      <c r="G840" s="673"/>
      <c r="H840" s="673"/>
      <c r="I840" s="2696"/>
    </row>
    <row r="841" spans="1:9" ht="16.8" hidden="1">
      <c r="A841" s="2767"/>
      <c r="B841" s="2760"/>
      <c r="C841" s="2768"/>
      <c r="D841" s="2758"/>
      <c r="E841" s="673"/>
      <c r="F841" s="673"/>
      <c r="G841" s="673"/>
      <c r="H841" s="673"/>
      <c r="I841" s="2696"/>
    </row>
    <row r="842" spans="1:9" ht="16.8" hidden="1">
      <c r="A842" s="2767"/>
      <c r="B842" s="2761"/>
      <c r="C842" s="2762"/>
      <c r="D842" s="13"/>
      <c r="E842" s="673"/>
      <c r="F842" s="673"/>
      <c r="G842" s="673"/>
      <c r="H842" s="673"/>
      <c r="I842" s="673"/>
    </row>
    <row r="843" spans="1:9" s="1260" customFormat="1" ht="15" hidden="1" customHeight="1">
      <c r="A843" s="2785"/>
      <c r="B843" s="2786"/>
      <c r="C843" s="2787"/>
      <c r="D843" s="2788"/>
      <c r="E843" s="2789"/>
      <c r="F843" s="2789"/>
      <c r="G843" s="2789"/>
      <c r="H843" s="2789"/>
      <c r="I843" s="2789"/>
    </row>
    <row r="844" spans="1:9" ht="16.8" hidden="1">
      <c r="A844" s="2774"/>
      <c r="B844" s="3546"/>
      <c r="C844" s="3546"/>
      <c r="D844" s="3546"/>
      <c r="E844" s="3546"/>
      <c r="F844" s="3546"/>
      <c r="G844" s="3546"/>
      <c r="H844" s="3546"/>
      <c r="I844" s="3546"/>
    </row>
    <row r="845" spans="1:9" ht="16.8" hidden="1">
      <c r="A845" s="31"/>
      <c r="B845" s="2766"/>
      <c r="C845" s="31"/>
      <c r="D845" s="31"/>
      <c r="E845" s="2696"/>
      <c r="F845" s="2696"/>
      <c r="G845" s="2696"/>
      <c r="H845" s="2696"/>
      <c r="I845" s="2696"/>
    </row>
    <row r="846" spans="1:9" ht="16.8" hidden="1">
      <c r="A846" s="13"/>
      <c r="B846" s="679"/>
      <c r="C846" s="2757"/>
      <c r="D846" s="2758"/>
      <c r="E846" s="2696"/>
      <c r="F846" s="2696"/>
      <c r="G846" s="2696"/>
      <c r="H846" s="2696"/>
      <c r="I846" s="2696"/>
    </row>
    <row r="847" spans="1:9" ht="16.8" hidden="1">
      <c r="A847" s="13"/>
      <c r="B847" s="679"/>
      <c r="C847" s="2757"/>
      <c r="D847" s="2758"/>
      <c r="E847" s="2696"/>
      <c r="F847" s="2696"/>
      <c r="G847" s="2696"/>
      <c r="H847" s="2696"/>
      <c r="I847" s="2696"/>
    </row>
    <row r="848" spans="1:9" ht="16.8" hidden="1">
      <c r="A848" s="2767"/>
      <c r="B848" s="2760"/>
      <c r="C848" s="2768"/>
      <c r="D848" s="2758"/>
      <c r="E848" s="673"/>
      <c r="F848" s="673"/>
      <c r="G848" s="673"/>
      <c r="H848" s="673"/>
      <c r="I848" s="2696"/>
    </row>
    <row r="849" spans="1:9" ht="16.8" hidden="1">
      <c r="A849" s="2767"/>
      <c r="B849" s="2761"/>
      <c r="C849" s="2762"/>
      <c r="D849" s="13"/>
      <c r="E849" s="673"/>
      <c r="F849" s="673"/>
      <c r="G849" s="673"/>
      <c r="H849" s="673"/>
      <c r="I849" s="673"/>
    </row>
    <row r="850" spans="1:9" s="10" customFormat="1" ht="16.8" hidden="1">
      <c r="A850" s="283"/>
      <c r="B850" s="679"/>
      <c r="C850" s="13"/>
      <c r="D850" s="13"/>
      <c r="E850" s="170"/>
      <c r="F850" s="170"/>
      <c r="G850" s="170"/>
      <c r="H850" s="170"/>
      <c r="I850" s="170"/>
    </row>
    <row r="851" spans="1:9" ht="16.8" hidden="1">
      <c r="A851" s="2765"/>
      <c r="B851" s="3545"/>
      <c r="C851" s="3545"/>
      <c r="D851" s="3545"/>
      <c r="E851" s="3545"/>
      <c r="F851" s="3545"/>
      <c r="G851" s="3545"/>
      <c r="H851" s="3545"/>
      <c r="I851" s="3545"/>
    </row>
    <row r="852" spans="1:9" ht="16.8" hidden="1">
      <c r="A852" s="31"/>
      <c r="B852" s="2766"/>
      <c r="C852" s="31"/>
      <c r="D852" s="31"/>
      <c r="E852" s="2696"/>
      <c r="F852" s="2696"/>
      <c r="G852" s="2696"/>
      <c r="H852" s="2696"/>
      <c r="I852" s="2696"/>
    </row>
    <row r="853" spans="1:9" ht="16.8" hidden="1">
      <c r="A853" s="283"/>
      <c r="B853" s="679"/>
      <c r="C853" s="2757"/>
      <c r="D853" s="2758"/>
      <c r="E853" s="2696"/>
      <c r="F853" s="2696"/>
      <c r="G853" s="2696"/>
      <c r="H853" s="2696"/>
      <c r="I853" s="2696"/>
    </row>
    <row r="854" spans="1:9" ht="16.8" hidden="1">
      <c r="A854" s="13"/>
      <c r="B854" s="679"/>
      <c r="C854" s="2757"/>
      <c r="D854" s="2758"/>
      <c r="E854" s="673"/>
      <c r="F854" s="673"/>
      <c r="G854" s="673"/>
      <c r="H854" s="673"/>
      <c r="I854" s="2696"/>
    </row>
    <row r="855" spans="1:9" ht="18" hidden="1">
      <c r="A855" s="13"/>
      <c r="B855" s="679"/>
      <c r="C855" s="2757"/>
      <c r="D855" s="2758"/>
      <c r="E855" s="2779"/>
      <c r="F855" s="673"/>
      <c r="G855" s="673"/>
      <c r="H855" s="673"/>
      <c r="I855" s="2696"/>
    </row>
    <row r="856" spans="1:9" ht="16.8" hidden="1">
      <c r="A856" s="2767"/>
      <c r="B856" s="2760"/>
      <c r="C856" s="2768"/>
      <c r="D856" s="2758"/>
      <c r="E856" s="673"/>
      <c r="F856" s="673"/>
      <c r="G856" s="673"/>
      <c r="H856" s="673"/>
      <c r="I856" s="2696"/>
    </row>
    <row r="857" spans="1:9" ht="16.8" hidden="1">
      <c r="A857" s="2767"/>
      <c r="B857" s="2761"/>
      <c r="C857" s="2762"/>
      <c r="D857" s="13"/>
      <c r="E857" s="673"/>
      <c r="F857" s="673"/>
      <c r="G857" s="673"/>
      <c r="H857" s="673"/>
      <c r="I857" s="673"/>
    </row>
    <row r="858" spans="1:9" s="1260" customFormat="1" ht="15" hidden="1" customHeight="1">
      <c r="A858" s="2785"/>
      <c r="B858" s="2786"/>
      <c r="C858" s="2787"/>
      <c r="D858" s="2788"/>
      <c r="E858" s="2789"/>
      <c r="F858" s="2789"/>
      <c r="G858" s="2789"/>
      <c r="H858" s="2789"/>
      <c r="I858" s="2789"/>
    </row>
    <row r="859" spans="1:9" ht="16.8" hidden="1">
      <c r="A859" s="2774"/>
      <c r="B859" s="3546"/>
      <c r="C859" s="3546"/>
      <c r="D859" s="3546"/>
      <c r="E859" s="3546"/>
      <c r="F859" s="3546"/>
      <c r="G859" s="3546"/>
      <c r="H859" s="3546"/>
      <c r="I859" s="3546"/>
    </row>
    <row r="860" spans="1:9" ht="16.8" hidden="1">
      <c r="A860" s="31"/>
      <c r="B860" s="2766"/>
      <c r="C860" s="31"/>
      <c r="D860" s="31"/>
      <c r="E860" s="2696"/>
      <c r="F860" s="2696"/>
      <c r="G860" s="2696"/>
      <c r="H860" s="2696"/>
      <c r="I860" s="2696"/>
    </row>
    <row r="861" spans="1:9" ht="16.8" hidden="1">
      <c r="A861" s="13"/>
      <c r="B861" s="679"/>
      <c r="C861" s="2757"/>
      <c r="D861" s="2758"/>
      <c r="E861" s="2696"/>
      <c r="F861" s="2696"/>
      <c r="G861" s="2696"/>
      <c r="H861" s="2696"/>
      <c r="I861" s="2696"/>
    </row>
    <row r="862" spans="1:9" ht="16.8" hidden="1">
      <c r="A862" s="13"/>
      <c r="B862" s="679"/>
      <c r="C862" s="2757"/>
      <c r="D862" s="2758"/>
      <c r="E862" s="2696"/>
      <c r="F862" s="2696"/>
      <c r="G862" s="2696"/>
      <c r="H862" s="2696"/>
      <c r="I862" s="2696"/>
    </row>
    <row r="863" spans="1:9" ht="16.8" hidden="1">
      <c r="A863" s="2767"/>
      <c r="B863" s="2760"/>
      <c r="C863" s="2768"/>
      <c r="D863" s="2758"/>
      <c r="E863" s="673"/>
      <c r="F863" s="673"/>
      <c r="G863" s="673"/>
      <c r="H863" s="673"/>
      <c r="I863" s="2696"/>
    </row>
    <row r="864" spans="1:9" ht="16.8" hidden="1">
      <c r="A864" s="2767"/>
      <c r="B864" s="2761"/>
      <c r="C864" s="2762"/>
      <c r="D864" s="13"/>
      <c r="E864" s="673"/>
      <c r="F864" s="673"/>
      <c r="G864" s="673"/>
      <c r="H864" s="673"/>
      <c r="I864" s="673"/>
    </row>
    <row r="865" spans="1:9" s="10" customFormat="1" ht="16.8" hidden="1">
      <c r="A865" s="73"/>
      <c r="B865" s="679"/>
      <c r="C865" s="765"/>
      <c r="D865" s="13"/>
      <c r="E865" s="673"/>
      <c r="F865" s="673"/>
      <c r="G865" s="673"/>
      <c r="H865" s="673"/>
      <c r="I865" s="673"/>
    </row>
    <row r="866" spans="1:9" ht="16.8" hidden="1">
      <c r="A866" s="2765"/>
      <c r="B866" s="3545"/>
      <c r="C866" s="3545"/>
      <c r="D866" s="3545"/>
      <c r="E866" s="3545"/>
      <c r="F866" s="3545"/>
      <c r="G866" s="3545"/>
      <c r="H866" s="3545"/>
      <c r="I866" s="3545"/>
    </row>
    <row r="867" spans="1:9" ht="16.8" hidden="1">
      <c r="A867" s="31"/>
      <c r="B867" s="2766"/>
      <c r="C867" s="31"/>
      <c r="D867" s="31"/>
      <c r="E867" s="2696"/>
      <c r="F867" s="2696"/>
      <c r="G867" s="2696"/>
      <c r="H867" s="2696"/>
      <c r="I867" s="2696"/>
    </row>
    <row r="868" spans="1:9" ht="16.8" hidden="1">
      <c r="A868" s="283"/>
      <c r="B868" s="679"/>
      <c r="C868" s="2757"/>
      <c r="D868" s="2758"/>
      <c r="E868" s="2696"/>
      <c r="F868" s="2696"/>
      <c r="G868" s="2696"/>
      <c r="H868" s="2696"/>
      <c r="I868" s="2696"/>
    </row>
    <row r="869" spans="1:9" ht="16.8" hidden="1">
      <c r="A869" s="13"/>
      <c r="B869" s="679"/>
      <c r="C869" s="2757"/>
      <c r="D869" s="2758"/>
      <c r="E869" s="673"/>
      <c r="F869" s="673"/>
      <c r="G869" s="673"/>
      <c r="H869" s="673"/>
      <c r="I869" s="2696"/>
    </row>
    <row r="870" spans="1:9" ht="18" hidden="1">
      <c r="A870" s="13"/>
      <c r="B870" s="679"/>
      <c r="C870" s="2757"/>
      <c r="D870" s="2758"/>
      <c r="E870" s="2779"/>
      <c r="F870" s="673"/>
      <c r="G870" s="673"/>
      <c r="H870" s="673"/>
      <c r="I870" s="2696"/>
    </row>
    <row r="871" spans="1:9" ht="16.8" hidden="1">
      <c r="A871" s="2767"/>
      <c r="B871" s="2760"/>
      <c r="C871" s="2768"/>
      <c r="D871" s="2758"/>
      <c r="E871" s="673"/>
      <c r="F871" s="673"/>
      <c r="G871" s="673"/>
      <c r="H871" s="673"/>
      <c r="I871" s="2696"/>
    </row>
    <row r="872" spans="1:9" ht="16.8" hidden="1">
      <c r="A872" s="2767"/>
      <c r="B872" s="2761"/>
      <c r="C872" s="2762"/>
      <c r="D872" s="13"/>
      <c r="E872" s="673"/>
      <c r="F872" s="673"/>
      <c r="G872" s="673"/>
      <c r="H872" s="673"/>
      <c r="I872" s="673"/>
    </row>
    <row r="873" spans="1:9" s="1260" customFormat="1" ht="15" hidden="1" customHeight="1">
      <c r="A873" s="2785"/>
      <c r="B873" s="2786"/>
      <c r="C873" s="2787"/>
      <c r="D873" s="2788"/>
      <c r="E873" s="2789"/>
      <c r="F873" s="2789"/>
      <c r="G873" s="2789"/>
      <c r="H873" s="2789"/>
      <c r="I873" s="2789"/>
    </row>
    <row r="874" spans="1:9" ht="16.8" hidden="1">
      <c r="A874" s="2774"/>
      <c r="B874" s="3546"/>
      <c r="C874" s="3546"/>
      <c r="D874" s="3546"/>
      <c r="E874" s="3546"/>
      <c r="F874" s="3546"/>
      <c r="G874" s="3546"/>
      <c r="H874" s="3546"/>
      <c r="I874" s="3546"/>
    </row>
    <row r="875" spans="1:9" ht="16.8" hidden="1">
      <c r="A875" s="31"/>
      <c r="B875" s="2766"/>
      <c r="C875" s="31"/>
      <c r="D875" s="31"/>
      <c r="E875" s="2696"/>
      <c r="F875" s="2696"/>
      <c r="G875" s="2696"/>
      <c r="H875" s="2696"/>
      <c r="I875" s="2696"/>
    </row>
    <row r="876" spans="1:9" ht="16.8" hidden="1">
      <c r="A876" s="13"/>
      <c r="B876" s="679"/>
      <c r="C876" s="2757"/>
      <c r="D876" s="2758"/>
      <c r="E876" s="2696"/>
      <c r="F876" s="2696"/>
      <c r="G876" s="2696"/>
      <c r="H876" s="2696"/>
      <c r="I876" s="2696"/>
    </row>
    <row r="877" spans="1:9" ht="16.8" hidden="1">
      <c r="A877" s="13"/>
      <c r="B877" s="679"/>
      <c r="C877" s="2757"/>
      <c r="D877" s="2758"/>
      <c r="E877" s="2696"/>
      <c r="F877" s="2696"/>
      <c r="G877" s="2696"/>
      <c r="H877" s="2696"/>
      <c r="I877" s="2696"/>
    </row>
    <row r="878" spans="1:9" ht="16.8" hidden="1">
      <c r="A878" s="2767"/>
      <c r="B878" s="2760"/>
      <c r="C878" s="2768"/>
      <c r="D878" s="2758"/>
      <c r="E878" s="673"/>
      <c r="F878" s="673"/>
      <c r="G878" s="673"/>
      <c r="H878" s="673"/>
      <c r="I878" s="2696"/>
    </row>
    <row r="879" spans="1:9" ht="16.8" hidden="1">
      <c r="A879" s="2767"/>
      <c r="B879" s="2761"/>
      <c r="C879" s="2762"/>
      <c r="D879" s="13"/>
      <c r="E879" s="673"/>
      <c r="F879" s="673"/>
      <c r="G879" s="673"/>
      <c r="H879" s="673"/>
      <c r="I879" s="673"/>
    </row>
    <row r="880" spans="1:9" s="10" customFormat="1" ht="16.8" hidden="1">
      <c r="A880" s="73"/>
      <c r="B880" s="679"/>
      <c r="C880" s="765"/>
      <c r="D880" s="13"/>
      <c r="E880" s="673"/>
      <c r="F880" s="673"/>
      <c r="G880" s="673"/>
      <c r="H880" s="673"/>
      <c r="I880" s="673"/>
    </row>
    <row r="881" spans="1:9" ht="16.8" hidden="1">
      <c r="A881" s="2765"/>
      <c r="B881" s="3545"/>
      <c r="C881" s="3545"/>
      <c r="D881" s="3545"/>
      <c r="E881" s="3545"/>
      <c r="F881" s="3545"/>
      <c r="G881" s="3545"/>
      <c r="H881" s="3545"/>
      <c r="I881" s="3545"/>
    </row>
    <row r="882" spans="1:9" ht="16.8" hidden="1">
      <c r="A882" s="31"/>
      <c r="B882" s="2766"/>
      <c r="C882" s="31"/>
      <c r="D882" s="31"/>
      <c r="E882" s="2696"/>
      <c r="F882" s="2696"/>
      <c r="G882" s="2696"/>
      <c r="H882" s="2696"/>
      <c r="I882" s="2696"/>
    </row>
    <row r="883" spans="1:9" ht="16.8" hidden="1">
      <c r="A883" s="283"/>
      <c r="B883" s="679"/>
      <c r="C883" s="2757"/>
      <c r="D883" s="2758"/>
      <c r="E883" s="2696"/>
      <c r="F883" s="2696"/>
      <c r="G883" s="2696"/>
      <c r="H883" s="2696"/>
      <c r="I883" s="2696"/>
    </row>
    <row r="884" spans="1:9" ht="16.8" hidden="1">
      <c r="A884" s="13"/>
      <c r="B884" s="679"/>
      <c r="C884" s="2757"/>
      <c r="D884" s="2758"/>
      <c r="E884" s="673"/>
      <c r="F884" s="673"/>
      <c r="G884" s="673"/>
      <c r="H884" s="673"/>
      <c r="I884" s="2696"/>
    </row>
    <row r="885" spans="1:9" ht="18" hidden="1">
      <c r="A885" s="13"/>
      <c r="B885" s="679"/>
      <c r="C885" s="2757"/>
      <c r="D885" s="2758"/>
      <c r="E885" s="2779"/>
      <c r="F885" s="673"/>
      <c r="G885" s="673"/>
      <c r="H885" s="673"/>
      <c r="I885" s="2696"/>
    </row>
    <row r="886" spans="1:9" ht="16.8" hidden="1">
      <c r="A886" s="2767"/>
      <c r="B886" s="2760"/>
      <c r="C886" s="2768"/>
      <c r="D886" s="2758"/>
      <c r="E886" s="673"/>
      <c r="F886" s="673"/>
      <c r="G886" s="673"/>
      <c r="H886" s="673"/>
      <c r="I886" s="2696"/>
    </row>
    <row r="887" spans="1:9" ht="16.8" hidden="1">
      <c r="A887" s="2767"/>
      <c r="B887" s="2761"/>
      <c r="C887" s="2762"/>
      <c r="D887" s="13"/>
      <c r="E887" s="673"/>
      <c r="F887" s="673"/>
      <c r="G887" s="673"/>
      <c r="H887" s="673"/>
      <c r="I887" s="673"/>
    </row>
    <row r="888" spans="1:9" s="1260" customFormat="1" ht="15" hidden="1" customHeight="1">
      <c r="A888" s="2785"/>
      <c r="B888" s="2786"/>
      <c r="C888" s="2787"/>
      <c r="D888" s="2788"/>
      <c r="E888" s="2789"/>
      <c r="F888" s="2789"/>
      <c r="G888" s="2789"/>
      <c r="H888" s="2789"/>
      <c r="I888" s="2789"/>
    </row>
    <row r="889" spans="1:9" ht="16.8" hidden="1">
      <c r="A889" s="2774"/>
      <c r="B889" s="3546"/>
      <c r="C889" s="3546"/>
      <c r="D889" s="3546"/>
      <c r="E889" s="3546"/>
      <c r="F889" s="3546"/>
      <c r="G889" s="3546"/>
      <c r="H889" s="3546"/>
      <c r="I889" s="3546"/>
    </row>
    <row r="890" spans="1:9" ht="16.8" hidden="1">
      <c r="A890" s="31"/>
      <c r="B890" s="2766"/>
      <c r="C890" s="31"/>
      <c r="D890" s="31"/>
      <c r="E890" s="2696"/>
      <c r="F890" s="2696"/>
      <c r="G890" s="2696"/>
      <c r="H890" s="2696"/>
      <c r="I890" s="2696"/>
    </row>
    <row r="891" spans="1:9" ht="16.8" hidden="1">
      <c r="A891" s="13"/>
      <c r="B891" s="679"/>
      <c r="C891" s="2757"/>
      <c r="D891" s="2758"/>
      <c r="E891" s="2696"/>
      <c r="F891" s="2696"/>
      <c r="G891" s="2696"/>
      <c r="H891" s="2696"/>
      <c r="I891" s="2696"/>
    </row>
    <row r="892" spans="1:9" ht="16.8" hidden="1">
      <c r="A892" s="13"/>
      <c r="B892" s="679"/>
      <c r="C892" s="2757"/>
      <c r="D892" s="2758"/>
      <c r="E892" s="2696"/>
      <c r="F892" s="2696"/>
      <c r="G892" s="2696"/>
      <c r="H892" s="2696"/>
      <c r="I892" s="2696"/>
    </row>
    <row r="893" spans="1:9" ht="16.8" hidden="1">
      <c r="A893" s="2767"/>
      <c r="B893" s="2760"/>
      <c r="C893" s="2768"/>
      <c r="D893" s="2758"/>
      <c r="E893" s="673"/>
      <c r="F893" s="673"/>
      <c r="G893" s="673"/>
      <c r="H893" s="673"/>
      <c r="I893" s="2696"/>
    </row>
    <row r="894" spans="1:9" ht="16.8" hidden="1">
      <c r="A894" s="2767"/>
      <c r="B894" s="2761"/>
      <c r="C894" s="2762"/>
      <c r="D894" s="13"/>
      <c r="E894" s="673"/>
      <c r="F894" s="673"/>
      <c r="G894" s="673"/>
      <c r="H894" s="673"/>
      <c r="I894" s="673"/>
    </row>
    <row r="895" spans="1:9" s="10" customFormat="1" ht="16.8" hidden="1">
      <c r="A895" s="73"/>
      <c r="B895" s="679"/>
      <c r="C895" s="765"/>
      <c r="D895" s="13"/>
      <c r="E895" s="673"/>
      <c r="F895" s="673"/>
      <c r="G895" s="673"/>
      <c r="H895" s="673"/>
      <c r="I895" s="673"/>
    </row>
    <row r="896" spans="1:9" ht="16.8" hidden="1">
      <c r="A896" s="2765"/>
      <c r="B896" s="3545"/>
      <c r="C896" s="3545"/>
      <c r="D896" s="3545"/>
      <c r="E896" s="3545"/>
      <c r="F896" s="3545"/>
      <c r="G896" s="3545"/>
      <c r="H896" s="3545"/>
      <c r="I896" s="3545"/>
    </row>
    <row r="897" spans="1:9" ht="16.8" hidden="1">
      <c r="A897" s="31"/>
      <c r="B897" s="2766"/>
      <c r="C897" s="31"/>
      <c r="D897" s="31"/>
      <c r="E897" s="2696"/>
      <c r="F897" s="2696"/>
      <c r="G897" s="2696"/>
      <c r="H897" s="2696"/>
      <c r="I897" s="2696"/>
    </row>
    <row r="898" spans="1:9" ht="16.8" hidden="1">
      <c r="A898" s="283"/>
      <c r="B898" s="679"/>
      <c r="C898" s="2757"/>
      <c r="D898" s="2758"/>
      <c r="E898" s="2696"/>
      <c r="F898" s="2696"/>
      <c r="G898" s="2696"/>
      <c r="H898" s="2696"/>
      <c r="I898" s="2696"/>
    </row>
    <row r="899" spans="1:9" ht="16.8" hidden="1">
      <c r="A899" s="13"/>
      <c r="B899" s="679"/>
      <c r="C899" s="2757"/>
      <c r="D899" s="2758"/>
      <c r="E899" s="673"/>
      <c r="F899" s="673"/>
      <c r="G899" s="673"/>
      <c r="H899" s="673"/>
      <c r="I899" s="2696"/>
    </row>
    <row r="900" spans="1:9" ht="18" hidden="1">
      <c r="A900" s="13"/>
      <c r="B900" s="679"/>
      <c r="C900" s="2757"/>
      <c r="D900" s="2758"/>
      <c r="E900" s="2779"/>
      <c r="F900" s="673"/>
      <c r="G900" s="673"/>
      <c r="H900" s="673"/>
      <c r="I900" s="2696"/>
    </row>
    <row r="901" spans="1:9" ht="16.8" hidden="1">
      <c r="A901" s="2767"/>
      <c r="B901" s="2760"/>
      <c r="C901" s="2768"/>
      <c r="D901" s="2758"/>
      <c r="E901" s="673"/>
      <c r="F901" s="673"/>
      <c r="G901" s="673"/>
      <c r="H901" s="673"/>
      <c r="I901" s="2696"/>
    </row>
    <row r="902" spans="1:9" ht="16.8" hidden="1">
      <c r="A902" s="2767"/>
      <c r="B902" s="2761"/>
      <c r="C902" s="2762"/>
      <c r="D902" s="13"/>
      <c r="E902" s="673"/>
      <c r="F902" s="673"/>
      <c r="G902" s="673"/>
      <c r="H902" s="673"/>
      <c r="I902" s="673"/>
    </row>
    <row r="903" spans="1:9" s="1260" customFormat="1" ht="15" hidden="1" customHeight="1">
      <c r="A903" s="2785"/>
      <c r="B903" s="2786"/>
      <c r="C903" s="2787"/>
      <c r="D903" s="2788"/>
      <c r="E903" s="2789"/>
      <c r="F903" s="2789"/>
      <c r="G903" s="2789"/>
      <c r="H903" s="2789"/>
      <c r="I903" s="2789"/>
    </row>
    <row r="904" spans="1:9" ht="16.8" hidden="1">
      <c r="A904" s="2774"/>
      <c r="B904" s="3546"/>
      <c r="C904" s="3546"/>
      <c r="D904" s="3546"/>
      <c r="E904" s="3546"/>
      <c r="F904" s="3546"/>
      <c r="G904" s="3546"/>
      <c r="H904" s="3546"/>
      <c r="I904" s="3546"/>
    </row>
    <row r="905" spans="1:9" ht="16.8" hidden="1">
      <c r="A905" s="31"/>
      <c r="B905" s="2766"/>
      <c r="C905" s="31"/>
      <c r="D905" s="31"/>
      <c r="E905" s="2696"/>
      <c r="F905" s="2696"/>
      <c r="G905" s="2696"/>
      <c r="H905" s="2696"/>
      <c r="I905" s="2696"/>
    </row>
    <row r="906" spans="1:9" ht="16.8" hidden="1">
      <c r="A906" s="13"/>
      <c r="B906" s="679"/>
      <c r="C906" s="2757"/>
      <c r="D906" s="2758"/>
      <c r="E906" s="2696"/>
      <c r="F906" s="2696"/>
      <c r="G906" s="2696"/>
      <c r="H906" s="2696"/>
      <c r="I906" s="2696"/>
    </row>
    <row r="907" spans="1:9" ht="16.8" hidden="1">
      <c r="A907" s="13"/>
      <c r="B907" s="679"/>
      <c r="C907" s="2757"/>
      <c r="D907" s="2758"/>
      <c r="E907" s="2696"/>
      <c r="F907" s="2696"/>
      <c r="G907" s="2696"/>
      <c r="H907" s="2696"/>
      <c r="I907" s="2696"/>
    </row>
    <row r="908" spans="1:9" ht="16.8" hidden="1">
      <c r="A908" s="2767"/>
      <c r="B908" s="2760"/>
      <c r="C908" s="2768"/>
      <c r="D908" s="2758"/>
      <c r="E908" s="673"/>
      <c r="F908" s="673"/>
      <c r="G908" s="673"/>
      <c r="H908" s="673"/>
      <c r="I908" s="2696"/>
    </row>
    <row r="909" spans="1:9" ht="16.8" hidden="1">
      <c r="A909" s="2767"/>
      <c r="B909" s="2761"/>
      <c r="C909" s="2762"/>
      <c r="D909" s="13"/>
      <c r="E909" s="673"/>
      <c r="F909" s="673"/>
      <c r="G909" s="673"/>
      <c r="H909" s="673"/>
      <c r="I909" s="673"/>
    </row>
    <row r="910" spans="1:9" s="10" customFormat="1" ht="16.8" hidden="1">
      <c r="A910" s="73"/>
      <c r="B910" s="679"/>
      <c r="C910" s="765"/>
      <c r="D910" s="13"/>
      <c r="E910" s="673"/>
      <c r="F910" s="673"/>
      <c r="G910" s="673"/>
      <c r="H910" s="673"/>
      <c r="I910" s="673"/>
    </row>
    <row r="911" spans="1:9" ht="16.8" hidden="1">
      <c r="A911" s="2765"/>
      <c r="B911" s="3545"/>
      <c r="C911" s="3545"/>
      <c r="D911" s="3545"/>
      <c r="E911" s="3545"/>
      <c r="F911" s="3545"/>
      <c r="G911" s="3545"/>
      <c r="H911" s="3545"/>
      <c r="I911" s="3545"/>
    </row>
    <row r="912" spans="1:9" ht="16.8" hidden="1">
      <c r="A912" s="31"/>
      <c r="B912" s="2766"/>
      <c r="C912" s="31"/>
      <c r="D912" s="31"/>
      <c r="E912" s="2696"/>
      <c r="F912" s="2696"/>
      <c r="G912" s="2696"/>
      <c r="H912" s="2696"/>
      <c r="I912" s="2696"/>
    </row>
    <row r="913" spans="1:9" ht="16.8" hidden="1">
      <c r="A913" s="283"/>
      <c r="B913" s="679"/>
      <c r="C913" s="2757"/>
      <c r="D913" s="2758"/>
      <c r="E913" s="2696"/>
      <c r="F913" s="2696"/>
      <c r="G913" s="2696"/>
      <c r="H913" s="2696"/>
      <c r="I913" s="2696"/>
    </row>
    <row r="914" spans="1:9" ht="16.8" hidden="1">
      <c r="A914" s="13"/>
      <c r="B914" s="679"/>
      <c r="C914" s="2757"/>
      <c r="D914" s="2758"/>
      <c r="E914" s="673"/>
      <c r="F914" s="673"/>
      <c r="G914" s="673"/>
      <c r="H914" s="673"/>
      <c r="I914" s="2696"/>
    </row>
    <row r="915" spans="1:9" ht="18" hidden="1">
      <c r="A915" s="13"/>
      <c r="B915" s="679"/>
      <c r="C915" s="2757"/>
      <c r="D915" s="2758"/>
      <c r="E915" s="2779"/>
      <c r="F915" s="673"/>
      <c r="G915" s="673"/>
      <c r="H915" s="673"/>
      <c r="I915" s="2696"/>
    </row>
    <row r="916" spans="1:9" ht="16.8" hidden="1">
      <c r="A916" s="2767"/>
      <c r="B916" s="2760"/>
      <c r="C916" s="2768"/>
      <c r="D916" s="2758"/>
      <c r="E916" s="673"/>
      <c r="F916" s="673"/>
      <c r="G916" s="673"/>
      <c r="H916" s="673"/>
      <c r="I916" s="2696"/>
    </row>
    <row r="917" spans="1:9" ht="16.8" hidden="1">
      <c r="A917" s="2767"/>
      <c r="B917" s="2761"/>
      <c r="C917" s="2762"/>
      <c r="D917" s="13"/>
      <c r="E917" s="673"/>
      <c r="F917" s="673"/>
      <c r="G917" s="673"/>
      <c r="H917" s="673"/>
      <c r="I917" s="673"/>
    </row>
    <row r="918" spans="1:9" s="1260" customFormat="1" ht="15" hidden="1" customHeight="1">
      <c r="A918" s="2785"/>
      <c r="B918" s="2786"/>
      <c r="C918" s="2787"/>
      <c r="D918" s="2788"/>
      <c r="E918" s="2789"/>
      <c r="F918" s="2789"/>
      <c r="G918" s="2789"/>
      <c r="H918" s="2789"/>
      <c r="I918" s="2789"/>
    </row>
    <row r="919" spans="1:9" ht="16.8" hidden="1">
      <c r="A919" s="2774"/>
      <c r="B919" s="3546"/>
      <c r="C919" s="3546"/>
      <c r="D919" s="3546"/>
      <c r="E919" s="3546"/>
      <c r="F919" s="3546"/>
      <c r="G919" s="3546"/>
      <c r="H919" s="3546"/>
      <c r="I919" s="3546"/>
    </row>
    <row r="920" spans="1:9" ht="16.8" hidden="1">
      <c r="A920" s="31"/>
      <c r="B920" s="2766"/>
      <c r="C920" s="31"/>
      <c r="D920" s="31"/>
      <c r="E920" s="2696"/>
      <c r="F920" s="2696"/>
      <c r="G920" s="2696"/>
      <c r="H920" s="2696"/>
      <c r="I920" s="2696"/>
    </row>
    <row r="921" spans="1:9" ht="16.8" hidden="1">
      <c r="A921" s="13"/>
      <c r="B921" s="679"/>
      <c r="C921" s="2757"/>
      <c r="D921" s="2758"/>
      <c r="E921" s="2696"/>
      <c r="F921" s="2696"/>
      <c r="G921" s="2696"/>
      <c r="H921" s="2696"/>
      <c r="I921" s="2696"/>
    </row>
    <row r="922" spans="1:9" ht="16.8" hidden="1">
      <c r="A922" s="13"/>
      <c r="B922" s="679"/>
      <c r="C922" s="2757"/>
      <c r="D922" s="2758"/>
      <c r="E922" s="2696"/>
      <c r="F922" s="2696"/>
      <c r="G922" s="2696"/>
      <c r="H922" s="2696"/>
      <c r="I922" s="2696"/>
    </row>
    <row r="923" spans="1:9" ht="16.8" hidden="1">
      <c r="A923" s="2767"/>
      <c r="B923" s="2760"/>
      <c r="C923" s="2768"/>
      <c r="D923" s="2758"/>
      <c r="E923" s="673"/>
      <c r="F923" s="673"/>
      <c r="G923" s="673"/>
      <c r="H923" s="673"/>
      <c r="I923" s="2696"/>
    </row>
    <row r="924" spans="1:9" ht="16.8" hidden="1">
      <c r="A924" s="2767"/>
      <c r="B924" s="2761"/>
      <c r="C924" s="2762"/>
      <c r="D924" s="13"/>
      <c r="E924" s="673"/>
      <c r="F924" s="673"/>
      <c r="G924" s="673"/>
      <c r="H924" s="673"/>
      <c r="I924" s="673"/>
    </row>
    <row r="925" spans="1:9" s="10" customFormat="1" ht="16.8" hidden="1">
      <c r="A925" s="73"/>
      <c r="B925" s="679"/>
      <c r="C925" s="765"/>
      <c r="D925" s="13"/>
      <c r="E925" s="673"/>
      <c r="F925" s="673"/>
      <c r="G925" s="673"/>
      <c r="H925" s="673"/>
      <c r="I925" s="673"/>
    </row>
    <row r="926" spans="1:9" ht="16.8" hidden="1">
      <c r="A926" s="2765"/>
      <c r="B926" s="3545"/>
      <c r="C926" s="3545"/>
      <c r="D926" s="3545"/>
      <c r="E926" s="3545"/>
      <c r="F926" s="3545"/>
      <c r="G926" s="3545"/>
      <c r="H926" s="3545"/>
      <c r="I926" s="3545"/>
    </row>
    <row r="927" spans="1:9" ht="16.8" hidden="1">
      <c r="A927" s="31"/>
      <c r="B927" s="2766"/>
      <c r="C927" s="31"/>
      <c r="D927" s="31"/>
      <c r="E927" s="2696"/>
      <c r="F927" s="2696"/>
      <c r="G927" s="2696"/>
      <c r="H927" s="2696"/>
      <c r="I927" s="2696"/>
    </row>
    <row r="928" spans="1:9" ht="16.8" hidden="1">
      <c r="A928" s="283"/>
      <c r="B928" s="679"/>
      <c r="C928" s="2757"/>
      <c r="D928" s="2758"/>
      <c r="E928" s="2696"/>
      <c r="F928" s="2696"/>
      <c r="G928" s="2696"/>
      <c r="H928" s="2696"/>
      <c r="I928" s="2696"/>
    </row>
    <row r="929" spans="1:9" ht="16.8" hidden="1">
      <c r="A929" s="13"/>
      <c r="B929" s="679"/>
      <c r="C929" s="2757"/>
      <c r="D929" s="2758"/>
      <c r="E929" s="673"/>
      <c r="F929" s="673"/>
      <c r="G929" s="673"/>
      <c r="H929" s="673"/>
      <c r="I929" s="2696"/>
    </row>
    <row r="930" spans="1:9" ht="16.8" hidden="1">
      <c r="A930" s="13"/>
      <c r="B930" s="679"/>
      <c r="C930" s="2757"/>
      <c r="D930" s="2758"/>
      <c r="E930" s="673"/>
      <c r="F930" s="673"/>
      <c r="G930" s="673"/>
      <c r="H930" s="673"/>
      <c r="I930" s="2696"/>
    </row>
    <row r="931" spans="1:9" ht="18" hidden="1">
      <c r="A931" s="13"/>
      <c r="B931" s="679"/>
      <c r="C931" s="2757"/>
      <c r="D931" s="2758"/>
      <c r="E931" s="2779"/>
      <c r="F931" s="673"/>
      <c r="G931" s="673"/>
      <c r="H931" s="673"/>
      <c r="I931" s="2696"/>
    </row>
    <row r="932" spans="1:9" ht="16.8" hidden="1">
      <c r="A932" s="2767"/>
      <c r="B932" s="2760"/>
      <c r="C932" s="2768"/>
      <c r="D932" s="2758"/>
      <c r="E932" s="673"/>
      <c r="F932" s="673"/>
      <c r="G932" s="673"/>
      <c r="H932" s="673"/>
      <c r="I932" s="2696"/>
    </row>
    <row r="933" spans="1:9" ht="16.8" hidden="1">
      <c r="A933" s="2767"/>
      <c r="B933" s="2761"/>
      <c r="C933" s="2762"/>
      <c r="D933" s="13"/>
      <c r="E933" s="673"/>
      <c r="F933" s="673"/>
      <c r="G933" s="673"/>
      <c r="H933" s="673"/>
      <c r="I933" s="673"/>
    </row>
    <row r="934" spans="1:9" s="1260" customFormat="1" ht="15" hidden="1" customHeight="1">
      <c r="A934" s="2785"/>
      <c r="B934" s="2786"/>
      <c r="C934" s="2787"/>
      <c r="D934" s="2788"/>
      <c r="E934" s="2789"/>
      <c r="F934" s="2789"/>
      <c r="G934" s="2789"/>
      <c r="H934" s="2789"/>
      <c r="I934" s="2789"/>
    </row>
    <row r="935" spans="1:9" ht="16.8" hidden="1">
      <c r="A935" s="2774"/>
      <c r="B935" s="3546"/>
      <c r="C935" s="3546"/>
      <c r="D935" s="3546"/>
      <c r="E935" s="3546"/>
      <c r="F935" s="3546"/>
      <c r="G935" s="3546"/>
      <c r="H935" s="3546"/>
      <c r="I935" s="3546"/>
    </row>
    <row r="936" spans="1:9" ht="16.8" hidden="1">
      <c r="A936" s="31"/>
      <c r="B936" s="2766"/>
      <c r="C936" s="31"/>
      <c r="D936" s="31"/>
      <c r="E936" s="2696"/>
      <c r="F936" s="2696"/>
      <c r="G936" s="2696"/>
      <c r="H936" s="2696"/>
      <c r="I936" s="2696"/>
    </row>
    <row r="937" spans="1:9" ht="16.8" hidden="1">
      <c r="A937" s="13"/>
      <c r="B937" s="679"/>
      <c r="C937" s="2757"/>
      <c r="D937" s="2758"/>
      <c r="E937" s="2696"/>
      <c r="F937" s="2696"/>
      <c r="G937" s="2696"/>
      <c r="H937" s="2696"/>
      <c r="I937" s="2696"/>
    </row>
    <row r="938" spans="1:9" ht="16.8" hidden="1">
      <c r="A938" s="13"/>
      <c r="B938" s="679"/>
      <c r="C938" s="2757"/>
      <c r="D938" s="2758"/>
      <c r="E938" s="2696"/>
      <c r="F938" s="2696"/>
      <c r="G938" s="2696"/>
      <c r="H938" s="2696"/>
      <c r="I938" s="2696"/>
    </row>
    <row r="939" spans="1:9" ht="16.8" hidden="1">
      <c r="A939" s="2767"/>
      <c r="B939" s="2760"/>
      <c r="C939" s="2768"/>
      <c r="D939" s="2758"/>
      <c r="E939" s="673"/>
      <c r="F939" s="673"/>
      <c r="G939" s="673"/>
      <c r="H939" s="673"/>
      <c r="I939" s="2696"/>
    </row>
    <row r="940" spans="1:9" ht="16.8" hidden="1">
      <c r="A940" s="2767"/>
      <c r="B940" s="2761"/>
      <c r="C940" s="2762"/>
      <c r="D940" s="13"/>
      <c r="E940" s="673"/>
      <c r="F940" s="673"/>
      <c r="G940" s="673"/>
      <c r="H940" s="673"/>
      <c r="I940" s="673"/>
    </row>
    <row r="941" spans="1:9" s="10" customFormat="1" ht="16.8" hidden="1">
      <c r="A941" s="73"/>
      <c r="B941" s="679"/>
      <c r="C941" s="765"/>
      <c r="D941" s="13"/>
      <c r="E941" s="673"/>
      <c r="F941" s="673"/>
      <c r="G941" s="673"/>
      <c r="H941" s="673"/>
      <c r="I941" s="673"/>
    </row>
    <row r="942" spans="1:9" ht="16.8" hidden="1">
      <c r="A942" s="2765"/>
      <c r="B942" s="3545"/>
      <c r="C942" s="3545"/>
      <c r="D942" s="3545"/>
      <c r="E942" s="3545"/>
      <c r="F942" s="3545"/>
      <c r="G942" s="3545"/>
      <c r="H942" s="3545"/>
      <c r="I942" s="3545"/>
    </row>
    <row r="943" spans="1:9" ht="16.8" hidden="1">
      <c r="A943" s="31"/>
      <c r="B943" s="2766"/>
      <c r="C943" s="31"/>
      <c r="D943" s="31"/>
      <c r="E943" s="2696"/>
      <c r="F943" s="2696"/>
      <c r="G943" s="2696"/>
      <c r="H943" s="2696"/>
      <c r="I943" s="2696"/>
    </row>
    <row r="944" spans="1:9" ht="16.8" hidden="1">
      <c r="A944" s="283"/>
      <c r="B944" s="679"/>
      <c r="C944" s="2757"/>
      <c r="D944" s="2758"/>
      <c r="E944" s="2696"/>
      <c r="F944" s="2696"/>
      <c r="G944" s="2696"/>
      <c r="H944" s="2696"/>
      <c r="I944" s="2696"/>
    </row>
    <row r="945" spans="1:9" ht="16.8" hidden="1">
      <c r="A945" s="13"/>
      <c r="B945" s="679"/>
      <c r="C945" s="2757"/>
      <c r="D945" s="2758"/>
      <c r="E945" s="673"/>
      <c r="F945" s="673"/>
      <c r="G945" s="673"/>
      <c r="H945" s="673"/>
      <c r="I945" s="2696"/>
    </row>
    <row r="946" spans="1:9" ht="16.8" hidden="1">
      <c r="A946" s="13"/>
      <c r="B946" s="679"/>
      <c r="C946" s="2757"/>
      <c r="D946" s="2758"/>
      <c r="E946" s="673"/>
      <c r="F946" s="673"/>
      <c r="G946" s="673"/>
      <c r="H946" s="673"/>
      <c r="I946" s="2696"/>
    </row>
    <row r="947" spans="1:9" ht="18" hidden="1">
      <c r="A947" s="13"/>
      <c r="B947" s="679"/>
      <c r="C947" s="2757"/>
      <c r="D947" s="2758"/>
      <c r="E947" s="2779"/>
      <c r="F947" s="673"/>
      <c r="G947" s="673"/>
      <c r="H947" s="673"/>
      <c r="I947" s="2696"/>
    </row>
    <row r="948" spans="1:9" ht="16.8" hidden="1">
      <c r="A948" s="2767"/>
      <c r="B948" s="2760"/>
      <c r="C948" s="2768"/>
      <c r="D948" s="2758"/>
      <c r="E948" s="673"/>
      <c r="F948" s="673"/>
      <c r="G948" s="673"/>
      <c r="H948" s="673"/>
      <c r="I948" s="2696"/>
    </row>
    <row r="949" spans="1:9" ht="16.8" hidden="1">
      <c r="A949" s="2767"/>
      <c r="B949" s="2761"/>
      <c r="C949" s="2762"/>
      <c r="D949" s="13"/>
      <c r="E949" s="673"/>
      <c r="F949" s="673"/>
      <c r="G949" s="673"/>
      <c r="H949" s="673"/>
      <c r="I949" s="673"/>
    </row>
    <row r="950" spans="1:9" s="1260" customFormat="1" ht="15" hidden="1" customHeight="1">
      <c r="A950" s="2785"/>
      <c r="B950" s="2786"/>
      <c r="C950" s="2787"/>
      <c r="D950" s="2788"/>
      <c r="E950" s="2789"/>
      <c r="F950" s="2789"/>
      <c r="G950" s="2789"/>
      <c r="H950" s="2789"/>
      <c r="I950" s="2789"/>
    </row>
    <row r="951" spans="1:9" ht="16.8" hidden="1">
      <c r="A951" s="2774"/>
      <c r="B951" s="3546"/>
      <c r="C951" s="3546"/>
      <c r="D951" s="3546"/>
      <c r="E951" s="3546"/>
      <c r="F951" s="3546"/>
      <c r="G951" s="3546"/>
      <c r="H951" s="3546"/>
      <c r="I951" s="3546"/>
    </row>
    <row r="952" spans="1:9" ht="16.8" hidden="1">
      <c r="A952" s="31"/>
      <c r="B952" s="2766"/>
      <c r="C952" s="31"/>
      <c r="D952" s="31"/>
      <c r="E952" s="2696"/>
      <c r="F952" s="2696"/>
      <c r="G952" s="2696"/>
      <c r="H952" s="2696"/>
      <c r="I952" s="2696"/>
    </row>
    <row r="953" spans="1:9" ht="16.8" hidden="1">
      <c r="A953" s="13"/>
      <c r="B953" s="679"/>
      <c r="C953" s="2757"/>
      <c r="D953" s="2758"/>
      <c r="E953" s="2696"/>
      <c r="F953" s="2696"/>
      <c r="G953" s="2696"/>
      <c r="H953" s="2696"/>
      <c r="I953" s="2696"/>
    </row>
    <row r="954" spans="1:9" ht="16.8" hidden="1">
      <c r="A954" s="13"/>
      <c r="B954" s="679"/>
      <c r="C954" s="2757"/>
      <c r="D954" s="2758"/>
      <c r="E954" s="2696"/>
      <c r="F954" s="2696"/>
      <c r="G954" s="2696"/>
      <c r="H954" s="2696"/>
      <c r="I954" s="2696"/>
    </row>
    <row r="955" spans="1:9" ht="16.8" hidden="1">
      <c r="A955" s="2767"/>
      <c r="B955" s="2760"/>
      <c r="C955" s="2768"/>
      <c r="D955" s="2758"/>
      <c r="E955" s="673"/>
      <c r="F955" s="673"/>
      <c r="G955" s="673"/>
      <c r="H955" s="673"/>
      <c r="I955" s="2696"/>
    </row>
    <row r="956" spans="1:9" ht="16.8" hidden="1">
      <c r="A956" s="2767"/>
      <c r="B956" s="2761"/>
      <c r="C956" s="2762"/>
      <c r="D956" s="13"/>
      <c r="E956" s="673"/>
      <c r="F956" s="673"/>
      <c r="G956" s="673"/>
      <c r="H956" s="673"/>
      <c r="I956" s="673"/>
    </row>
    <row r="957" spans="1:9" s="10" customFormat="1" ht="16.8" hidden="1">
      <c r="A957" s="73"/>
      <c r="B957" s="679"/>
      <c r="C957" s="765"/>
      <c r="D957" s="13"/>
      <c r="E957" s="673"/>
      <c r="F957" s="673"/>
      <c r="G957" s="673"/>
      <c r="H957" s="673"/>
      <c r="I957" s="673"/>
    </row>
    <row r="958" spans="1:9" ht="16.8" hidden="1">
      <c r="A958" s="2765"/>
      <c r="B958" s="3545"/>
      <c r="C958" s="3545"/>
      <c r="D958" s="3545"/>
      <c r="E958" s="3545"/>
      <c r="F958" s="3545"/>
      <c r="G958" s="3545"/>
      <c r="H958" s="3545"/>
      <c r="I958" s="3545"/>
    </row>
    <row r="959" spans="1:9" ht="16.8" hidden="1">
      <c r="A959" s="31"/>
      <c r="B959" s="2766"/>
      <c r="C959" s="31"/>
      <c r="D959" s="31"/>
      <c r="E959" s="2696"/>
      <c r="F959" s="2696"/>
      <c r="G959" s="2696"/>
      <c r="H959" s="2696"/>
      <c r="I959" s="2696"/>
    </row>
    <row r="960" spans="1:9" ht="16.8" hidden="1">
      <c r="A960" s="283"/>
      <c r="B960" s="679"/>
      <c r="C960" s="2757"/>
      <c r="D960" s="2758"/>
      <c r="E960" s="2696"/>
      <c r="F960" s="2696"/>
      <c r="G960" s="2696"/>
      <c r="H960" s="2696"/>
      <c r="I960" s="2696"/>
    </row>
    <row r="961" spans="1:9" ht="16.8" hidden="1">
      <c r="A961" s="13"/>
      <c r="B961" s="679"/>
      <c r="C961" s="2757"/>
      <c r="D961" s="2758"/>
      <c r="E961" s="673"/>
      <c r="F961" s="673"/>
      <c r="G961" s="673"/>
      <c r="H961" s="673"/>
      <c r="I961" s="2696"/>
    </row>
    <row r="962" spans="1:9" ht="18" hidden="1">
      <c r="A962" s="13"/>
      <c r="B962" s="679"/>
      <c r="C962" s="2757"/>
      <c r="D962" s="2758"/>
      <c r="E962" s="2779"/>
      <c r="F962" s="673"/>
      <c r="G962" s="673"/>
      <c r="H962" s="673"/>
      <c r="I962" s="2696"/>
    </row>
    <row r="963" spans="1:9" ht="16.8" hidden="1">
      <c r="A963" s="2767"/>
      <c r="B963" s="2760"/>
      <c r="C963" s="2768"/>
      <c r="D963" s="2758"/>
      <c r="E963" s="673"/>
      <c r="F963" s="673"/>
      <c r="G963" s="673"/>
      <c r="H963" s="673"/>
      <c r="I963" s="2696"/>
    </row>
    <row r="964" spans="1:9" ht="16.8" hidden="1">
      <c r="A964" s="2767"/>
      <c r="B964" s="2761"/>
      <c r="C964" s="2762"/>
      <c r="D964" s="13"/>
      <c r="E964" s="673"/>
      <c r="F964" s="673"/>
      <c r="G964" s="673"/>
      <c r="H964" s="673"/>
      <c r="I964" s="673"/>
    </row>
    <row r="965" spans="1:9" s="1260" customFormat="1" ht="15" hidden="1" customHeight="1">
      <c r="A965" s="2785"/>
      <c r="B965" s="2786"/>
      <c r="C965" s="2787"/>
      <c r="D965" s="2788"/>
      <c r="E965" s="2789"/>
      <c r="F965" s="2789"/>
      <c r="G965" s="2789"/>
      <c r="H965" s="2789"/>
      <c r="I965" s="2789"/>
    </row>
    <row r="966" spans="1:9" ht="16.8" hidden="1">
      <c r="A966" s="2774"/>
      <c r="B966" s="3546"/>
      <c r="C966" s="3546"/>
      <c r="D966" s="3546"/>
      <c r="E966" s="3546"/>
      <c r="F966" s="3546"/>
      <c r="G966" s="3546"/>
      <c r="H966" s="3546"/>
      <c r="I966" s="3546"/>
    </row>
    <row r="967" spans="1:9" ht="16.8" hidden="1">
      <c r="A967" s="31"/>
      <c r="B967" s="2766"/>
      <c r="C967" s="31"/>
      <c r="D967" s="31"/>
      <c r="E967" s="2696"/>
      <c r="F967" s="2696"/>
      <c r="G967" s="2696"/>
      <c r="H967" s="2696"/>
      <c r="I967" s="2696"/>
    </row>
    <row r="968" spans="1:9" ht="16.8" hidden="1">
      <c r="A968" s="13"/>
      <c r="B968" s="679"/>
      <c r="C968" s="2757"/>
      <c r="D968" s="2758"/>
      <c r="E968" s="2696"/>
      <c r="F968" s="2696"/>
      <c r="G968" s="2696"/>
      <c r="H968" s="2696"/>
      <c r="I968" s="2696"/>
    </row>
    <row r="969" spans="1:9" ht="16.8" hidden="1">
      <c r="A969" s="13"/>
      <c r="B969" s="679"/>
      <c r="C969" s="2757"/>
      <c r="D969" s="2758"/>
      <c r="E969" s="2696"/>
      <c r="F969" s="2696"/>
      <c r="G969" s="2696"/>
      <c r="H969" s="2696"/>
      <c r="I969" s="2696"/>
    </row>
    <row r="970" spans="1:9" ht="16.8" hidden="1">
      <c r="A970" s="2767"/>
      <c r="B970" s="2760"/>
      <c r="C970" s="2768"/>
      <c r="D970" s="2758"/>
      <c r="E970" s="673"/>
      <c r="F970" s="673"/>
      <c r="G970" s="673"/>
      <c r="H970" s="673"/>
      <c r="I970" s="2696"/>
    </row>
    <row r="971" spans="1:9" ht="16.8" hidden="1">
      <c r="A971" s="2767"/>
      <c r="B971" s="2761"/>
      <c r="C971" s="2762"/>
      <c r="D971" s="13"/>
      <c r="E971" s="673"/>
      <c r="F971" s="673"/>
      <c r="G971" s="673"/>
      <c r="H971" s="673"/>
      <c r="I971" s="673"/>
    </row>
    <row r="972" spans="1:9" s="10" customFormat="1" ht="16.8" hidden="1">
      <c r="A972" s="73"/>
      <c r="B972" s="679"/>
      <c r="C972" s="765"/>
      <c r="D972" s="13"/>
      <c r="E972" s="673"/>
      <c r="F972" s="673"/>
      <c r="G972" s="673"/>
      <c r="H972" s="673"/>
      <c r="I972" s="673"/>
    </row>
    <row r="973" spans="1:9" ht="16.8" hidden="1">
      <c r="A973" s="2765"/>
      <c r="B973" s="3545"/>
      <c r="C973" s="3545"/>
      <c r="D973" s="3545"/>
      <c r="E973" s="3545"/>
      <c r="F973" s="3545"/>
      <c r="G973" s="3545"/>
      <c r="H973" s="3545"/>
      <c r="I973" s="3545"/>
    </row>
    <row r="974" spans="1:9" ht="16.8" hidden="1">
      <c r="A974" s="31"/>
      <c r="B974" s="2766"/>
      <c r="C974" s="31"/>
      <c r="D974" s="31"/>
      <c r="E974" s="2696"/>
      <c r="F974" s="2696"/>
      <c r="G974" s="2696"/>
      <c r="H974" s="2696"/>
      <c r="I974" s="2696"/>
    </row>
    <row r="975" spans="1:9" ht="16.8" hidden="1">
      <c r="A975" s="283"/>
      <c r="B975" s="679"/>
      <c r="C975" s="2757"/>
      <c r="D975" s="2758"/>
      <c r="E975" s="2696"/>
      <c r="F975" s="2696"/>
      <c r="G975" s="2696"/>
      <c r="H975" s="2696"/>
      <c r="I975" s="2696"/>
    </row>
    <row r="976" spans="1:9" ht="16.8" hidden="1">
      <c r="A976" s="13"/>
      <c r="B976" s="679"/>
      <c r="C976" s="2757"/>
      <c r="D976" s="2758"/>
      <c r="E976" s="673"/>
      <c r="F976" s="673"/>
      <c r="G976" s="673"/>
      <c r="H976" s="673"/>
      <c r="I976" s="2696"/>
    </row>
    <row r="977" spans="1:9" ht="18" hidden="1">
      <c r="A977" s="13"/>
      <c r="B977" s="679"/>
      <c r="C977" s="2757"/>
      <c r="D977" s="2758"/>
      <c r="E977" s="2779"/>
      <c r="F977" s="673"/>
      <c r="G977" s="673"/>
      <c r="H977" s="673"/>
      <c r="I977" s="2696"/>
    </row>
    <row r="978" spans="1:9" ht="16.8" hidden="1">
      <c r="A978" s="2767"/>
      <c r="B978" s="2760"/>
      <c r="C978" s="2768"/>
      <c r="D978" s="2758"/>
      <c r="E978" s="673"/>
      <c r="F978" s="673"/>
      <c r="G978" s="673"/>
      <c r="H978" s="673"/>
      <c r="I978" s="2696"/>
    </row>
    <row r="979" spans="1:9" ht="16.8" hidden="1">
      <c r="A979" s="2767"/>
      <c r="B979" s="2761"/>
      <c r="C979" s="2762"/>
      <c r="D979" s="13"/>
      <c r="E979" s="673"/>
      <c r="F979" s="673"/>
      <c r="G979" s="673"/>
      <c r="H979" s="673"/>
      <c r="I979" s="673"/>
    </row>
    <row r="980" spans="1:9" s="1260" customFormat="1" ht="15" hidden="1" customHeight="1">
      <c r="A980" s="2785"/>
      <c r="B980" s="2786"/>
      <c r="C980" s="2787"/>
      <c r="D980" s="2788"/>
      <c r="E980" s="2789"/>
      <c r="F980" s="2789"/>
      <c r="G980" s="2789"/>
      <c r="H980" s="2789"/>
      <c r="I980" s="2789"/>
    </row>
    <row r="981" spans="1:9" ht="16.8" hidden="1">
      <c r="A981" s="2774"/>
      <c r="B981" s="3546"/>
      <c r="C981" s="3546"/>
      <c r="D981" s="3546"/>
      <c r="E981" s="3546"/>
      <c r="F981" s="3546"/>
      <c r="G981" s="3546"/>
      <c r="H981" s="3546"/>
      <c r="I981" s="3546"/>
    </row>
    <row r="982" spans="1:9" ht="16.8" hidden="1">
      <c r="A982" s="31"/>
      <c r="B982" s="2766"/>
      <c r="C982" s="31"/>
      <c r="D982" s="31"/>
      <c r="E982" s="2696"/>
      <c r="F982" s="2696"/>
      <c r="G982" s="2696"/>
      <c r="H982" s="2696"/>
      <c r="I982" s="2696"/>
    </row>
    <row r="983" spans="1:9" ht="16.8" hidden="1">
      <c r="A983" s="13"/>
      <c r="B983" s="679"/>
      <c r="C983" s="2757"/>
      <c r="D983" s="2758"/>
      <c r="E983" s="2696"/>
      <c r="F983" s="2696"/>
      <c r="G983" s="2696"/>
      <c r="H983" s="2696"/>
      <c r="I983" s="2696"/>
    </row>
    <row r="984" spans="1:9" ht="16.8" hidden="1">
      <c r="A984" s="13"/>
      <c r="B984" s="679"/>
      <c r="C984" s="2757"/>
      <c r="D984" s="2758"/>
      <c r="E984" s="2696"/>
      <c r="F984" s="2696"/>
      <c r="G984" s="2696"/>
      <c r="H984" s="2696"/>
      <c r="I984" s="2696"/>
    </row>
    <row r="985" spans="1:9" ht="16.8" hidden="1">
      <c r="A985" s="2767"/>
      <c r="B985" s="2760"/>
      <c r="C985" s="2768"/>
      <c r="D985" s="2758"/>
      <c r="E985" s="673"/>
      <c r="F985" s="673"/>
      <c r="G985" s="673"/>
      <c r="H985" s="673"/>
      <c r="I985" s="2696"/>
    </row>
    <row r="986" spans="1:9" ht="16.8" hidden="1">
      <c r="A986" s="2767"/>
      <c r="B986" s="2761"/>
      <c r="C986" s="2762"/>
      <c r="D986" s="13"/>
      <c r="E986" s="673"/>
      <c r="F986" s="673"/>
      <c r="G986" s="673"/>
      <c r="H986" s="673"/>
      <c r="I986" s="673"/>
    </row>
    <row r="987" spans="1:9" s="10" customFormat="1" ht="16.8" hidden="1">
      <c r="A987" s="73"/>
      <c r="B987" s="679"/>
      <c r="C987" s="765"/>
      <c r="D987" s="13"/>
      <c r="E987" s="673"/>
      <c r="F987" s="673"/>
      <c r="G987" s="673"/>
      <c r="H987" s="673"/>
      <c r="I987" s="673"/>
    </row>
    <row r="988" spans="1:9" ht="16.8" hidden="1">
      <c r="A988" s="2765"/>
      <c r="B988" s="3545"/>
      <c r="C988" s="3545"/>
      <c r="D988" s="3545"/>
      <c r="E988" s="3545"/>
      <c r="F988" s="3545"/>
      <c r="G988" s="3545"/>
      <c r="H988" s="3545"/>
      <c r="I988" s="3545"/>
    </row>
    <row r="989" spans="1:9" ht="16.8" hidden="1">
      <c r="A989" s="31"/>
      <c r="B989" s="2766"/>
      <c r="C989" s="31"/>
      <c r="D989" s="31"/>
      <c r="E989" s="2696"/>
      <c r="F989" s="2696"/>
      <c r="G989" s="2696"/>
      <c r="H989" s="2696"/>
      <c r="I989" s="2696"/>
    </row>
    <row r="990" spans="1:9" ht="16.8" hidden="1">
      <c r="A990" s="283"/>
      <c r="B990" s="679"/>
      <c r="C990" s="2757"/>
      <c r="D990" s="2758"/>
      <c r="E990" s="2696"/>
      <c r="F990" s="2696"/>
      <c r="G990" s="2696"/>
      <c r="H990" s="2696"/>
      <c r="I990" s="2696"/>
    </row>
    <row r="991" spans="1:9" ht="16.8" hidden="1">
      <c r="A991" s="13"/>
      <c r="B991" s="679"/>
      <c r="C991" s="2757"/>
      <c r="D991" s="2758"/>
      <c r="E991" s="673"/>
      <c r="F991" s="673"/>
      <c r="G991" s="673"/>
      <c r="H991" s="673"/>
      <c r="I991" s="2696"/>
    </row>
    <row r="992" spans="1:9" ht="18" hidden="1">
      <c r="A992" s="13"/>
      <c r="B992" s="679"/>
      <c r="C992" s="2757"/>
      <c r="D992" s="2758"/>
      <c r="E992" s="2779"/>
      <c r="F992" s="673"/>
      <c r="G992" s="673"/>
      <c r="H992" s="673"/>
      <c r="I992" s="2696"/>
    </row>
    <row r="993" spans="1:9" ht="16.8" hidden="1">
      <c r="A993" s="2767"/>
      <c r="B993" s="2760"/>
      <c r="C993" s="2768"/>
      <c r="D993" s="2758"/>
      <c r="E993" s="673"/>
      <c r="F993" s="673"/>
      <c r="G993" s="673"/>
      <c r="H993" s="673"/>
      <c r="I993" s="2696"/>
    </row>
    <row r="994" spans="1:9" ht="16.8" hidden="1">
      <c r="A994" s="2767"/>
      <c r="B994" s="2761"/>
      <c r="C994" s="2762"/>
      <c r="D994" s="13"/>
      <c r="E994" s="673"/>
      <c r="F994" s="673"/>
      <c r="G994" s="673"/>
      <c r="H994" s="673"/>
      <c r="I994" s="673"/>
    </row>
    <row r="995" spans="1:9" s="1260" customFormat="1" ht="15" hidden="1" customHeight="1">
      <c r="A995" s="2785"/>
      <c r="B995" s="2786"/>
      <c r="C995" s="2787"/>
      <c r="D995" s="2788"/>
      <c r="E995" s="2789"/>
      <c r="F995" s="2789"/>
      <c r="G995" s="2789"/>
      <c r="H995" s="2789"/>
      <c r="I995" s="2789"/>
    </row>
    <row r="996" spans="1:9" ht="16.8" hidden="1">
      <c r="A996" s="2774"/>
      <c r="B996" s="3546"/>
      <c r="C996" s="3546"/>
      <c r="D996" s="3546"/>
      <c r="E996" s="3546"/>
      <c r="F996" s="3546"/>
      <c r="G996" s="3546"/>
      <c r="H996" s="3546"/>
      <c r="I996" s="3546"/>
    </row>
    <row r="997" spans="1:9" ht="16.8" hidden="1">
      <c r="A997" s="31"/>
      <c r="B997" s="2766"/>
      <c r="C997" s="31"/>
      <c r="D997" s="31"/>
      <c r="E997" s="2696"/>
      <c r="F997" s="2696"/>
      <c r="G997" s="2696"/>
      <c r="H997" s="2696"/>
      <c r="I997" s="2696"/>
    </row>
    <row r="998" spans="1:9" ht="16.8" hidden="1">
      <c r="A998" s="13"/>
      <c r="B998" s="679"/>
      <c r="C998" s="2757"/>
      <c r="D998" s="2758"/>
      <c r="E998" s="2696"/>
      <c r="F998" s="2696"/>
      <c r="G998" s="2696"/>
      <c r="H998" s="2696"/>
      <c r="I998" s="2696"/>
    </row>
    <row r="999" spans="1:9" ht="16.8" hidden="1">
      <c r="A999" s="13"/>
      <c r="B999" s="679"/>
      <c r="C999" s="2757"/>
      <c r="D999" s="2758"/>
      <c r="E999" s="2696"/>
      <c r="F999" s="2696"/>
      <c r="G999" s="2696"/>
      <c r="H999" s="2696"/>
      <c r="I999" s="2696"/>
    </row>
    <row r="1000" spans="1:9" ht="16.8" hidden="1">
      <c r="A1000" s="2767"/>
      <c r="B1000" s="2760"/>
      <c r="C1000" s="2768"/>
      <c r="D1000" s="2758"/>
      <c r="E1000" s="673"/>
      <c r="F1000" s="673"/>
      <c r="G1000" s="673"/>
      <c r="H1000" s="673"/>
      <c r="I1000" s="2696"/>
    </row>
    <row r="1001" spans="1:9" ht="16.8" hidden="1">
      <c r="A1001" s="2767"/>
      <c r="B1001" s="2761"/>
      <c r="C1001" s="2762"/>
      <c r="D1001" s="13"/>
      <c r="E1001" s="673"/>
      <c r="F1001" s="673"/>
      <c r="G1001" s="673"/>
      <c r="H1001" s="673"/>
      <c r="I1001" s="673"/>
    </row>
    <row r="1002" spans="1:9" s="61" customFormat="1" ht="16.8" hidden="1">
      <c r="A1002" s="73"/>
      <c r="B1002" s="679"/>
      <c r="C1002" s="765"/>
      <c r="D1002" s="13"/>
      <c r="E1002" s="673"/>
      <c r="F1002" s="673"/>
      <c r="G1002" s="673"/>
      <c r="H1002" s="673"/>
      <c r="I1002" s="673"/>
    </row>
    <row r="1003" spans="1:9" ht="16.8" hidden="1">
      <c r="A1003" s="2755"/>
      <c r="B1003" s="3544"/>
      <c r="C1003" s="3544"/>
      <c r="D1003" s="3544"/>
      <c r="E1003" s="3544"/>
      <c r="F1003" s="3544"/>
      <c r="G1003" s="3544"/>
      <c r="H1003" s="3544"/>
      <c r="I1003" s="3544"/>
    </row>
    <row r="1004" spans="1:9" ht="16.8" hidden="1">
      <c r="A1004" s="2780"/>
      <c r="B1004" s="2783"/>
      <c r="C1004" s="31"/>
      <c r="D1004" s="31"/>
      <c r="E1004" s="31"/>
      <c r="F1004" s="31"/>
      <c r="G1004" s="31"/>
      <c r="H1004" s="31"/>
      <c r="I1004" s="31"/>
    </row>
    <row r="1005" spans="1:9" ht="16.8" hidden="1">
      <c r="A1005" s="283"/>
      <c r="B1005" s="679"/>
      <c r="C1005" s="2757"/>
      <c r="D1005" s="2758"/>
      <c r="E1005" s="2696"/>
      <c r="F1005" s="2696"/>
      <c r="G1005" s="2696"/>
      <c r="H1005" s="2696"/>
      <c r="I1005" s="2696"/>
    </row>
    <row r="1006" spans="1:9" ht="16.8" hidden="1">
      <c r="A1006" s="283"/>
      <c r="B1006" s="80"/>
      <c r="C1006" s="2757"/>
      <c r="D1006" s="2758"/>
      <c r="E1006" s="2784"/>
      <c r="F1006" s="2784"/>
      <c r="G1006" s="2784"/>
      <c r="H1006" s="2784"/>
      <c r="I1006" s="2784"/>
    </row>
    <row r="1007" spans="1:9" ht="16.8" hidden="1">
      <c r="A1007" s="283"/>
      <c r="B1007" s="80"/>
      <c r="C1007" s="2757"/>
      <c r="D1007" s="2758"/>
      <c r="E1007" s="2784"/>
      <c r="F1007" s="2784"/>
      <c r="G1007" s="2784"/>
      <c r="H1007" s="2784"/>
      <c r="I1007" s="2784"/>
    </row>
    <row r="1008" spans="1:9" ht="16.8" hidden="1">
      <c r="A1008" s="283"/>
      <c r="B1008" s="80"/>
      <c r="C1008" s="2757"/>
      <c r="D1008" s="2758"/>
      <c r="E1008" s="2784"/>
      <c r="F1008" s="2784"/>
      <c r="G1008" s="2784"/>
      <c r="H1008" s="2784"/>
      <c r="I1008" s="2784"/>
    </row>
    <row r="1009" spans="1:9" ht="16.8" hidden="1">
      <c r="A1009" s="2759"/>
      <c r="B1009" s="2760"/>
      <c r="C1009" s="2758"/>
      <c r="D1009" s="2758"/>
      <c r="E1009" s="2784"/>
      <c r="F1009" s="2784"/>
      <c r="G1009" s="2784"/>
      <c r="H1009" s="2784"/>
      <c r="I1009" s="2784"/>
    </row>
    <row r="1010" spans="1:9" ht="16.8" hidden="1">
      <c r="A1010" s="2759"/>
      <c r="B1010" s="2761"/>
      <c r="C1010" s="2782"/>
      <c r="D1010" s="13"/>
      <c r="E1010" s="13"/>
      <c r="F1010" s="13"/>
      <c r="G1010" s="13"/>
      <c r="H1010" s="13"/>
      <c r="I1010" s="13"/>
    </row>
    <row r="1011" spans="1:9" ht="16.8" hidden="1">
      <c r="A1011" s="721"/>
      <c r="B1011" s="2741"/>
      <c r="C1011" s="887"/>
      <c r="D1011" s="887"/>
      <c r="E1011" s="1298"/>
      <c r="F1011" s="1298"/>
      <c r="G1011" s="1298"/>
      <c r="H1011" s="1298"/>
      <c r="I1011" s="1298"/>
    </row>
    <row r="1012" spans="1:9" ht="16.8" hidden="1">
      <c r="A1012" s="2763"/>
      <c r="B1012" s="3543"/>
      <c r="C1012" s="3543"/>
      <c r="D1012" s="3543"/>
      <c r="E1012" s="3543"/>
      <c r="F1012" s="3543"/>
      <c r="G1012" s="3543"/>
      <c r="H1012" s="3543"/>
      <c r="I1012" s="3543"/>
    </row>
    <row r="1013" spans="1:9" ht="16.8" hidden="1">
      <c r="A1013" s="2780"/>
      <c r="B1013" s="2783"/>
      <c r="C1013" s="31"/>
      <c r="D1013" s="31"/>
      <c r="E1013" s="31"/>
      <c r="F1013" s="31"/>
      <c r="G1013" s="31"/>
      <c r="H1013" s="31"/>
      <c r="I1013" s="31"/>
    </row>
    <row r="1014" spans="1:9" ht="16.8" hidden="1">
      <c r="A1014" s="283"/>
      <c r="B1014" s="80"/>
      <c r="C1014" s="2757"/>
      <c r="D1014" s="2758"/>
      <c r="E1014" s="2784"/>
      <c r="F1014" s="2784"/>
      <c r="G1014" s="2784"/>
      <c r="H1014" s="2784"/>
      <c r="I1014" s="2784"/>
    </row>
    <row r="1015" spans="1:9" ht="16.8" hidden="1">
      <c r="A1015" s="283"/>
      <c r="B1015" s="80"/>
      <c r="C1015" s="2764"/>
      <c r="D1015" s="2758"/>
      <c r="E1015" s="2784"/>
      <c r="F1015" s="2784"/>
      <c r="G1015" s="2784"/>
      <c r="H1015" s="2784"/>
      <c r="I1015" s="2784"/>
    </row>
    <row r="1016" spans="1:9" ht="16.8" hidden="1">
      <c r="A1016" s="2759"/>
      <c r="B1016" s="2760"/>
      <c r="C1016" s="2758"/>
      <c r="D1016" s="2758"/>
      <c r="E1016" s="2784"/>
      <c r="F1016" s="2784"/>
      <c r="G1016" s="2784"/>
      <c r="H1016" s="2784"/>
      <c r="I1016" s="2784"/>
    </row>
    <row r="1017" spans="1:9" ht="16.8" hidden="1">
      <c r="A1017" s="2759"/>
      <c r="B1017" s="2761"/>
      <c r="C1017" s="2782"/>
      <c r="D1017" s="13"/>
      <c r="E1017" s="13"/>
      <c r="F1017" s="13"/>
      <c r="G1017" s="13"/>
      <c r="H1017" s="13"/>
      <c r="I1017" s="13"/>
    </row>
    <row r="1018" spans="1:9" s="10" customFormat="1" ht="16.8" hidden="1">
      <c r="A1018" s="283"/>
      <c r="B1018" s="679"/>
      <c r="C1018" s="13"/>
      <c r="D1018" s="13"/>
      <c r="E1018" s="13"/>
      <c r="F1018" s="13"/>
      <c r="G1018" s="13"/>
      <c r="H1018" s="13"/>
      <c r="I1018" s="13"/>
    </row>
    <row r="1019" spans="1:9" ht="16.8" hidden="1">
      <c r="A1019" s="2755"/>
      <c r="B1019" s="3544"/>
      <c r="C1019" s="3544"/>
      <c r="D1019" s="3544"/>
      <c r="E1019" s="3544"/>
      <c r="F1019" s="3544"/>
      <c r="G1019" s="3544"/>
      <c r="H1019" s="3544"/>
      <c r="I1019" s="3544"/>
    </row>
    <row r="1020" spans="1:9" ht="16.8" hidden="1">
      <c r="A1020" s="2780"/>
      <c r="B1020" s="2783"/>
      <c r="C1020" s="31"/>
      <c r="D1020" s="31"/>
      <c r="E1020" s="31"/>
      <c r="F1020" s="31"/>
      <c r="G1020" s="31"/>
      <c r="H1020" s="31"/>
      <c r="I1020" s="31"/>
    </row>
    <row r="1021" spans="1:9" ht="16.8" hidden="1">
      <c r="A1021" s="2775"/>
      <c r="B1021" s="2776"/>
      <c r="C1021" s="2777"/>
      <c r="D1021" s="2778"/>
      <c r="E1021" s="845"/>
      <c r="F1021" s="2696"/>
      <c r="G1021" s="2784"/>
      <c r="H1021" s="2784"/>
      <c r="I1021" s="2784"/>
    </row>
    <row r="1022" spans="1:9" ht="16.8" hidden="1">
      <c r="A1022" s="283"/>
      <c r="B1022" s="80"/>
      <c r="C1022" s="2757"/>
      <c r="D1022" s="2758"/>
      <c r="E1022" s="2784"/>
      <c r="F1022" s="2784"/>
      <c r="G1022" s="2784"/>
      <c r="H1022" s="2784"/>
      <c r="I1022" s="2784"/>
    </row>
    <row r="1023" spans="1:9" ht="16.8" hidden="1">
      <c r="A1023" s="283"/>
      <c r="B1023" s="80"/>
      <c r="C1023" s="2757"/>
      <c r="D1023" s="2758"/>
      <c r="E1023" s="2784"/>
      <c r="F1023" s="2784"/>
      <c r="G1023" s="2784"/>
      <c r="H1023" s="2784"/>
      <c r="I1023" s="2784"/>
    </row>
    <row r="1024" spans="1:9" ht="16.8" hidden="1">
      <c r="A1024" s="2759"/>
      <c r="B1024" s="2760"/>
      <c r="C1024" s="2758"/>
      <c r="D1024" s="2758"/>
      <c r="E1024" s="2784"/>
      <c r="F1024" s="2784"/>
      <c r="G1024" s="2784"/>
      <c r="H1024" s="2784"/>
      <c r="I1024" s="2784"/>
    </row>
    <row r="1025" spans="1:9" ht="16.8" hidden="1">
      <c r="A1025" s="2759"/>
      <c r="B1025" s="2761"/>
      <c r="C1025" s="2782"/>
      <c r="D1025" s="13"/>
      <c r="E1025" s="13"/>
      <c r="F1025" s="13"/>
      <c r="G1025" s="13"/>
      <c r="H1025" s="13"/>
      <c r="I1025" s="13"/>
    </row>
    <row r="1026" spans="1:9" ht="16.8" hidden="1">
      <c r="A1026" s="721"/>
      <c r="B1026" s="2741"/>
      <c r="C1026" s="887"/>
      <c r="D1026" s="887"/>
      <c r="E1026" s="1298"/>
      <c r="F1026" s="1298"/>
      <c r="G1026" s="1298"/>
      <c r="H1026" s="1298"/>
      <c r="I1026" s="1298"/>
    </row>
    <row r="1027" spans="1:9" ht="16.8" hidden="1">
      <c r="A1027" s="2763"/>
      <c r="B1027" s="3543"/>
      <c r="C1027" s="3543"/>
      <c r="D1027" s="3543"/>
      <c r="E1027" s="3543"/>
      <c r="F1027" s="3543"/>
      <c r="G1027" s="3543"/>
      <c r="H1027" s="3543"/>
      <c r="I1027" s="3543"/>
    </row>
    <row r="1028" spans="1:9" ht="16.8" hidden="1">
      <c r="A1028" s="2780"/>
      <c r="B1028" s="2783"/>
      <c r="C1028" s="31"/>
      <c r="D1028" s="31"/>
      <c r="E1028" s="31"/>
      <c r="F1028" s="31"/>
      <c r="G1028" s="31"/>
      <c r="H1028" s="31"/>
      <c r="I1028" s="31"/>
    </row>
    <row r="1029" spans="1:9" ht="16.8" hidden="1">
      <c r="A1029" s="283"/>
      <c r="B1029" s="80"/>
      <c r="C1029" s="2757"/>
      <c r="D1029" s="2758"/>
      <c r="E1029" s="2784"/>
      <c r="F1029" s="2784"/>
      <c r="G1029" s="2784"/>
      <c r="H1029" s="2784"/>
      <c r="I1029" s="2784"/>
    </row>
    <row r="1030" spans="1:9" ht="16.8" hidden="1">
      <c r="A1030" s="283"/>
      <c r="B1030" s="80"/>
      <c r="C1030" s="2757"/>
      <c r="D1030" s="2758"/>
      <c r="E1030" s="2784"/>
      <c r="F1030" s="2784"/>
      <c r="G1030" s="2784"/>
      <c r="H1030" s="2784"/>
      <c r="I1030" s="2784"/>
    </row>
    <row r="1031" spans="1:9" ht="16.8" hidden="1">
      <c r="A1031" s="2759"/>
      <c r="B1031" s="2760"/>
      <c r="C1031" s="2758"/>
      <c r="D1031" s="2758"/>
      <c r="E1031" s="2784"/>
      <c r="F1031" s="2784"/>
      <c r="G1031" s="2784"/>
      <c r="H1031" s="2784"/>
      <c r="I1031" s="2784"/>
    </row>
    <row r="1032" spans="1:9" ht="16.8" hidden="1">
      <c r="A1032" s="2759"/>
      <c r="B1032" s="2761"/>
      <c r="C1032" s="2782"/>
      <c r="D1032" s="13"/>
      <c r="E1032" s="13"/>
      <c r="F1032" s="13"/>
      <c r="G1032" s="13"/>
      <c r="H1032" s="13"/>
      <c r="I1032" s="13"/>
    </row>
    <row r="1033" spans="1:9" s="10" customFormat="1" ht="16.8" hidden="1">
      <c r="A1033" s="283"/>
      <c r="B1033" s="679"/>
      <c r="C1033" s="13"/>
      <c r="D1033" s="13"/>
      <c r="E1033" s="13"/>
      <c r="F1033" s="13"/>
      <c r="G1033" s="13"/>
      <c r="H1033" s="13"/>
      <c r="I1033" s="13"/>
    </row>
    <row r="1034" spans="1:9" s="10" customFormat="1" ht="16.8" hidden="1">
      <c r="A1034" s="73"/>
      <c r="B1034" s="679"/>
      <c r="C1034" s="13"/>
      <c r="D1034" s="13"/>
      <c r="E1034" s="673"/>
      <c r="F1034" s="673"/>
      <c r="G1034" s="673"/>
      <c r="H1034" s="673"/>
      <c r="I1034" s="673"/>
    </row>
    <row r="1035" spans="1:9" ht="16.8" hidden="1">
      <c r="A1035" s="2755"/>
      <c r="B1035" s="3544"/>
      <c r="C1035" s="3544"/>
      <c r="D1035" s="3544"/>
      <c r="E1035" s="3544"/>
      <c r="F1035" s="3544"/>
      <c r="G1035" s="3544"/>
      <c r="H1035" s="3544"/>
      <c r="I1035" s="3544"/>
    </row>
    <row r="1036" spans="1:9" ht="16.8" hidden="1">
      <c r="A1036" s="2780"/>
      <c r="B1036" s="2783"/>
      <c r="C1036" s="31"/>
      <c r="D1036" s="31"/>
      <c r="E1036" s="31"/>
      <c r="F1036" s="31"/>
      <c r="G1036" s="31"/>
      <c r="H1036" s="31"/>
      <c r="I1036" s="31"/>
    </row>
    <row r="1037" spans="1:9" ht="16.8" hidden="1">
      <c r="A1037" s="283"/>
      <c r="B1037" s="80"/>
      <c r="C1037" s="2757"/>
      <c r="D1037" s="2758"/>
      <c r="E1037" s="2784"/>
      <c r="F1037" s="2784"/>
      <c r="G1037" s="2784"/>
      <c r="H1037" s="2784"/>
      <c r="I1037" s="2784"/>
    </row>
    <row r="1038" spans="1:9" ht="16.8" hidden="1">
      <c r="A1038" s="283"/>
      <c r="B1038" s="80"/>
      <c r="C1038" s="2757"/>
      <c r="D1038" s="2758"/>
      <c r="E1038" s="2784"/>
      <c r="F1038" s="2784"/>
      <c r="G1038" s="2784"/>
      <c r="H1038" s="2784"/>
      <c r="I1038" s="2784"/>
    </row>
    <row r="1039" spans="1:9" ht="16.8" hidden="1">
      <c r="A1039" s="2759"/>
      <c r="B1039" s="2760"/>
      <c r="C1039" s="2758"/>
      <c r="D1039" s="2758"/>
      <c r="E1039" s="2784"/>
      <c r="F1039" s="2784"/>
      <c r="G1039" s="2784"/>
      <c r="H1039" s="2784"/>
      <c r="I1039" s="2784"/>
    </row>
    <row r="1040" spans="1:9" ht="16.8" hidden="1">
      <c r="A1040" s="2759"/>
      <c r="B1040" s="2761"/>
      <c r="C1040" s="2782"/>
      <c r="D1040" s="13"/>
      <c r="E1040" s="13"/>
      <c r="F1040" s="13"/>
      <c r="G1040" s="13"/>
      <c r="H1040" s="13"/>
      <c r="I1040" s="13"/>
    </row>
    <row r="1041" spans="1:9" ht="16.8" hidden="1">
      <c r="A1041" s="721"/>
      <c r="B1041" s="2741"/>
      <c r="C1041" s="887"/>
      <c r="D1041" s="887"/>
      <c r="E1041" s="1298"/>
      <c r="F1041" s="1298"/>
      <c r="G1041" s="1298"/>
      <c r="H1041" s="1298"/>
      <c r="I1041" s="1298"/>
    </row>
    <row r="1042" spans="1:9" ht="16.8" hidden="1">
      <c r="A1042" s="2763"/>
      <c r="B1042" s="3543"/>
      <c r="C1042" s="3543"/>
      <c r="D1042" s="3543"/>
      <c r="E1042" s="3543"/>
      <c r="F1042" s="3543"/>
      <c r="G1042" s="3543"/>
      <c r="H1042" s="3543"/>
      <c r="I1042" s="3543"/>
    </row>
    <row r="1043" spans="1:9" ht="16.8" hidden="1">
      <c r="A1043" s="2780"/>
      <c r="B1043" s="2783"/>
      <c r="C1043" s="31"/>
      <c r="D1043" s="31"/>
      <c r="E1043" s="31"/>
      <c r="F1043" s="31"/>
      <c r="G1043" s="31"/>
      <c r="H1043" s="31"/>
      <c r="I1043" s="31"/>
    </row>
    <row r="1044" spans="1:9" ht="16.8" hidden="1">
      <c r="A1044" s="283"/>
      <c r="B1044" s="80"/>
      <c r="C1044" s="2757"/>
      <c r="D1044" s="2758"/>
      <c r="E1044" s="2784"/>
      <c r="F1044" s="2784"/>
      <c r="G1044" s="2784"/>
      <c r="H1044" s="2784"/>
      <c r="I1044" s="2784"/>
    </row>
    <row r="1045" spans="1:9" ht="16.8" hidden="1">
      <c r="A1045" s="283"/>
      <c r="B1045" s="80"/>
      <c r="C1045" s="2757"/>
      <c r="D1045" s="2758"/>
      <c r="E1045" s="2784"/>
      <c r="F1045" s="2784"/>
      <c r="G1045" s="2784"/>
      <c r="H1045" s="2784"/>
      <c r="I1045" s="2784"/>
    </row>
    <row r="1046" spans="1:9" ht="16.8" hidden="1">
      <c r="A1046" s="2759"/>
      <c r="B1046" s="2760"/>
      <c r="C1046" s="2758"/>
      <c r="D1046" s="2758"/>
      <c r="E1046" s="2784"/>
      <c r="F1046" s="2784"/>
      <c r="G1046" s="2784"/>
      <c r="H1046" s="2784"/>
      <c r="I1046" s="2784"/>
    </row>
    <row r="1047" spans="1:9" ht="16.8" hidden="1">
      <c r="A1047" s="2759"/>
      <c r="B1047" s="2761"/>
      <c r="C1047" s="2782"/>
      <c r="D1047" s="13"/>
      <c r="E1047" s="13"/>
      <c r="F1047" s="13"/>
      <c r="G1047" s="13"/>
      <c r="H1047" s="13"/>
      <c r="I1047" s="13"/>
    </row>
    <row r="1048" spans="1:9">
      <c r="A1048" s="1825"/>
      <c r="B1048" s="1825"/>
      <c r="C1048" s="1825"/>
      <c r="D1048" s="1825"/>
      <c r="E1048" s="1825"/>
      <c r="F1048" s="1825"/>
      <c r="G1048" s="1825"/>
      <c r="H1048" s="1825"/>
      <c r="I1048" s="1825"/>
    </row>
    <row r="1049" spans="1:9">
      <c r="A1049" s="1825"/>
      <c r="B1049" s="1825"/>
      <c r="C1049" s="1825"/>
      <c r="D1049" s="1825"/>
      <c r="E1049" s="1825"/>
      <c r="F1049" s="1825"/>
      <c r="G1049" s="1825"/>
      <c r="H1049" s="1825"/>
      <c r="I1049" s="1825"/>
    </row>
    <row r="1050" spans="1:9">
      <c r="A1050" s="1825"/>
      <c r="B1050" s="1825"/>
      <c r="C1050" s="1825"/>
      <c r="D1050" s="1825"/>
      <c r="E1050" s="1825"/>
      <c r="F1050" s="1825"/>
      <c r="G1050" s="1825"/>
      <c r="H1050" s="1825"/>
      <c r="I1050" s="1825"/>
    </row>
    <row r="1051" spans="1:9">
      <c r="A1051" s="1825"/>
      <c r="B1051" s="1825"/>
      <c r="C1051" s="1825"/>
      <c r="D1051" s="1825"/>
      <c r="E1051" s="1825"/>
      <c r="F1051" s="1825"/>
      <c r="G1051" s="1825"/>
      <c r="H1051" s="1825"/>
      <c r="I1051" s="1825"/>
    </row>
    <row r="1052" spans="1:9">
      <c r="A1052" s="1825"/>
      <c r="B1052" s="1825"/>
      <c r="C1052" s="1825"/>
      <c r="D1052" s="1825"/>
      <c r="E1052" s="1825"/>
      <c r="F1052" s="1825"/>
      <c r="G1052" s="1825"/>
      <c r="H1052" s="1825"/>
      <c r="I1052" s="1825"/>
    </row>
    <row r="1053" spans="1:9">
      <c r="A1053" s="1825"/>
      <c r="B1053" s="1825"/>
      <c r="C1053" s="1825"/>
      <c r="D1053" s="1825"/>
      <c r="E1053" s="1825"/>
      <c r="F1053" s="1825"/>
      <c r="G1053" s="1825"/>
      <c r="H1053" s="1825"/>
      <c r="I1053" s="1825"/>
    </row>
    <row r="1054" spans="1:9">
      <c r="A1054" s="1825"/>
      <c r="B1054" s="1825"/>
      <c r="C1054" s="1825"/>
      <c r="D1054" s="1825"/>
      <c r="E1054" s="1825"/>
      <c r="F1054" s="1825"/>
      <c r="G1054" s="1825"/>
      <c r="H1054" s="1825"/>
      <c r="I1054" s="1825"/>
    </row>
    <row r="1055" spans="1:9">
      <c r="A1055" s="1825"/>
      <c r="B1055" s="1825"/>
      <c r="C1055" s="1825"/>
      <c r="D1055" s="1825"/>
      <c r="E1055" s="1825"/>
      <c r="F1055" s="1825"/>
      <c r="G1055" s="1825"/>
      <c r="H1055" s="1825"/>
      <c r="I1055" s="1825"/>
    </row>
    <row r="1056" spans="1:9">
      <c r="A1056" s="1825"/>
      <c r="B1056" s="1825"/>
      <c r="C1056" s="1825"/>
      <c r="D1056" s="1825"/>
      <c r="E1056" s="1825"/>
      <c r="F1056" s="1825"/>
      <c r="G1056" s="1825"/>
      <c r="H1056" s="1825"/>
      <c r="I1056" s="1825"/>
    </row>
    <row r="1057" spans="1:9">
      <c r="A1057" s="1825"/>
      <c r="B1057" s="1825"/>
      <c r="C1057" s="1825"/>
      <c r="D1057" s="1825"/>
      <c r="E1057" s="1825"/>
      <c r="F1057" s="1825"/>
      <c r="G1057" s="1825"/>
      <c r="H1057" s="1825"/>
      <c r="I1057" s="1825"/>
    </row>
    <row r="1058" spans="1:9">
      <c r="A1058" s="1825"/>
      <c r="B1058" s="1825"/>
      <c r="C1058" s="1825"/>
      <c r="D1058" s="1825"/>
      <c r="E1058" s="1825"/>
      <c r="F1058" s="1825"/>
      <c r="G1058" s="1825"/>
      <c r="H1058" s="1825"/>
      <c r="I1058" s="1825"/>
    </row>
    <row r="1059" spans="1:9">
      <c r="A1059" s="1825"/>
      <c r="B1059" s="1825"/>
      <c r="C1059" s="1825"/>
      <c r="D1059" s="1825"/>
      <c r="E1059" s="1825"/>
      <c r="F1059" s="1825"/>
      <c r="G1059" s="1825"/>
      <c r="H1059" s="1825"/>
      <c r="I1059" s="1825"/>
    </row>
    <row r="1060" spans="1:9">
      <c r="A1060" s="1825"/>
      <c r="B1060" s="1825"/>
      <c r="C1060" s="1825"/>
      <c r="D1060" s="1825"/>
      <c r="E1060" s="1825"/>
      <c r="F1060" s="1825"/>
      <c r="G1060" s="1825"/>
      <c r="H1060" s="1825"/>
      <c r="I1060" s="1825"/>
    </row>
    <row r="1061" spans="1:9">
      <c r="A1061" s="1825"/>
      <c r="B1061" s="1825"/>
      <c r="C1061" s="1825"/>
      <c r="D1061" s="1825"/>
      <c r="E1061" s="1825"/>
      <c r="F1061" s="1825"/>
      <c r="G1061" s="1825"/>
      <c r="H1061" s="1825"/>
      <c r="I1061" s="1825"/>
    </row>
    <row r="1062" spans="1:9">
      <c r="A1062" s="1825"/>
      <c r="B1062" s="1825"/>
      <c r="C1062" s="1825"/>
      <c r="D1062" s="1825"/>
      <c r="E1062" s="1825"/>
      <c r="F1062" s="1825"/>
      <c r="G1062" s="1825"/>
      <c r="H1062" s="1825"/>
      <c r="I1062" s="1825"/>
    </row>
    <row r="1063" spans="1:9">
      <c r="A1063" s="1825"/>
      <c r="B1063" s="1825"/>
      <c r="C1063" s="1825"/>
      <c r="D1063" s="1825"/>
      <c r="E1063" s="1825"/>
      <c r="F1063" s="1825"/>
      <c r="G1063" s="1825"/>
      <c r="H1063" s="1825"/>
      <c r="I1063" s="1825"/>
    </row>
    <row r="1064" spans="1:9">
      <c r="A1064" s="1825"/>
      <c r="B1064" s="1825"/>
      <c r="C1064" s="1825"/>
      <c r="D1064" s="1825"/>
      <c r="E1064" s="1825"/>
      <c r="F1064" s="1825"/>
      <c r="G1064" s="1825"/>
      <c r="H1064" s="1825"/>
      <c r="I1064" s="1825"/>
    </row>
    <row r="1065" spans="1:9">
      <c r="A1065" s="1825"/>
      <c r="B1065" s="1825"/>
      <c r="C1065" s="1825"/>
      <c r="D1065" s="1825"/>
      <c r="E1065" s="1825"/>
      <c r="F1065" s="1825"/>
      <c r="G1065" s="1825"/>
      <c r="H1065" s="1825"/>
      <c r="I1065" s="1825"/>
    </row>
    <row r="1066" spans="1:9">
      <c r="A1066" s="1825"/>
      <c r="B1066" s="1825"/>
      <c r="C1066" s="1825"/>
      <c r="D1066" s="1825"/>
      <c r="E1066" s="1825"/>
      <c r="F1066" s="1825"/>
      <c r="G1066" s="1825"/>
      <c r="H1066" s="1825"/>
      <c r="I1066" s="1825"/>
    </row>
    <row r="1067" spans="1:9">
      <c r="A1067" s="1825"/>
      <c r="B1067" s="1825"/>
      <c r="C1067" s="1825"/>
      <c r="D1067" s="1825"/>
      <c r="E1067" s="1825"/>
      <c r="F1067" s="1825"/>
      <c r="G1067" s="1825"/>
      <c r="H1067" s="1825"/>
      <c r="I1067" s="1825"/>
    </row>
    <row r="1068" spans="1:9">
      <c r="A1068" s="1825"/>
      <c r="B1068" s="1825"/>
      <c r="C1068" s="1825"/>
      <c r="D1068" s="1825"/>
      <c r="E1068" s="1825"/>
      <c r="F1068" s="1825"/>
      <c r="G1068" s="1825"/>
      <c r="H1068" s="1825"/>
      <c r="I1068" s="1825"/>
    </row>
    <row r="1069" spans="1:9">
      <c r="A1069" s="1825"/>
      <c r="B1069" s="1825"/>
      <c r="C1069" s="1825"/>
      <c r="D1069" s="1825"/>
      <c r="E1069" s="1825"/>
      <c r="F1069" s="1825"/>
      <c r="G1069" s="1825"/>
      <c r="H1069" s="1825"/>
      <c r="I1069" s="1825"/>
    </row>
    <row r="1070" spans="1:9">
      <c r="A1070" s="1825"/>
      <c r="B1070" s="1825"/>
      <c r="C1070" s="1825"/>
      <c r="D1070" s="1825"/>
      <c r="E1070" s="1825"/>
      <c r="F1070" s="1825"/>
      <c r="G1070" s="1825"/>
      <c r="H1070" s="1825"/>
      <c r="I1070" s="1825"/>
    </row>
    <row r="1071" spans="1:9">
      <c r="A1071" s="1825"/>
      <c r="B1071" s="1825"/>
      <c r="C1071" s="1825"/>
      <c r="D1071" s="1825"/>
      <c r="E1071" s="1825"/>
      <c r="F1071" s="1825"/>
      <c r="G1071" s="1825"/>
      <c r="H1071" s="1825"/>
      <c r="I1071" s="1825"/>
    </row>
    <row r="1072" spans="1:9">
      <c r="A1072" s="1825"/>
      <c r="B1072" s="1825"/>
      <c r="C1072" s="1825"/>
      <c r="D1072" s="1825"/>
      <c r="E1072" s="1825"/>
      <c r="F1072" s="1825"/>
      <c r="G1072" s="1825"/>
      <c r="H1072" s="1825"/>
      <c r="I1072" s="1825"/>
    </row>
    <row r="1073" spans="1:9">
      <c r="A1073" s="1825"/>
      <c r="B1073" s="1825"/>
      <c r="C1073" s="1825"/>
      <c r="D1073" s="1825"/>
      <c r="E1073" s="1825"/>
      <c r="F1073" s="1825"/>
      <c r="G1073" s="1825"/>
      <c r="H1073" s="1825"/>
      <c r="I1073" s="1825"/>
    </row>
    <row r="1074" spans="1:9">
      <c r="A1074" s="1825"/>
      <c r="B1074" s="1825"/>
      <c r="C1074" s="1825"/>
      <c r="D1074" s="1825"/>
      <c r="E1074" s="1825"/>
      <c r="F1074" s="1825"/>
      <c r="G1074" s="1825"/>
      <c r="H1074" s="1825"/>
      <c r="I1074" s="1825"/>
    </row>
    <row r="1075" spans="1:9">
      <c r="A1075" s="1825"/>
      <c r="B1075" s="1825"/>
      <c r="C1075" s="1825"/>
      <c r="D1075" s="1825"/>
      <c r="E1075" s="1825"/>
      <c r="F1075" s="1825"/>
      <c r="G1075" s="1825"/>
      <c r="H1075" s="1825"/>
      <c r="I1075" s="1825"/>
    </row>
    <row r="1076" spans="1:9">
      <c r="A1076" s="1825"/>
      <c r="B1076" s="1825"/>
      <c r="C1076" s="1825"/>
      <c r="D1076" s="1825"/>
      <c r="E1076" s="1825"/>
      <c r="F1076" s="1825"/>
      <c r="G1076" s="1825"/>
      <c r="H1076" s="1825"/>
      <c r="I1076" s="1825"/>
    </row>
    <row r="1077" spans="1:9">
      <c r="A1077" s="1825"/>
      <c r="B1077" s="1825"/>
      <c r="C1077" s="1825"/>
      <c r="D1077" s="1825"/>
      <c r="E1077" s="1825"/>
      <c r="F1077" s="1825"/>
      <c r="G1077" s="1825"/>
      <c r="H1077" s="1825"/>
      <c r="I1077" s="1825"/>
    </row>
    <row r="1078" spans="1:9">
      <c r="A1078" s="1825"/>
      <c r="B1078" s="1825"/>
      <c r="C1078" s="1825"/>
      <c r="D1078" s="1825"/>
      <c r="E1078" s="1825"/>
      <c r="F1078" s="1825"/>
      <c r="G1078" s="1825"/>
      <c r="H1078" s="1825"/>
      <c r="I1078" s="1825"/>
    </row>
    <row r="1079" spans="1:9">
      <c r="A1079" s="1825"/>
      <c r="B1079" s="1825"/>
      <c r="C1079" s="1825"/>
      <c r="D1079" s="1825"/>
      <c r="E1079" s="1825"/>
      <c r="F1079" s="1825"/>
      <c r="G1079" s="1825"/>
      <c r="H1079" s="1825"/>
      <c r="I1079" s="1825"/>
    </row>
    <row r="1080" spans="1:9">
      <c r="A1080" s="1825"/>
      <c r="B1080" s="1825"/>
      <c r="C1080" s="1825"/>
      <c r="D1080" s="1825"/>
      <c r="E1080" s="1825"/>
      <c r="F1080" s="1825"/>
      <c r="G1080" s="1825"/>
      <c r="H1080" s="1825"/>
      <c r="I1080" s="1825"/>
    </row>
    <row r="1081" spans="1:9">
      <c r="A1081" s="1825"/>
      <c r="B1081" s="1825"/>
      <c r="C1081" s="1825"/>
      <c r="D1081" s="1825"/>
      <c r="E1081" s="1825"/>
      <c r="F1081" s="1825"/>
      <c r="G1081" s="1825"/>
      <c r="H1081" s="1825"/>
      <c r="I1081" s="1825"/>
    </row>
    <row r="1082" spans="1:9">
      <c r="A1082" s="1825"/>
      <c r="B1082" s="1825"/>
      <c r="C1082" s="1825"/>
      <c r="D1082" s="1825"/>
      <c r="E1082" s="1825"/>
      <c r="F1082" s="1825"/>
      <c r="G1082" s="1825"/>
      <c r="H1082" s="1825"/>
      <c r="I1082" s="1825"/>
    </row>
    <row r="1083" spans="1:9">
      <c r="A1083" s="1825"/>
      <c r="B1083" s="1825"/>
      <c r="C1083" s="1825"/>
      <c r="D1083" s="1825"/>
      <c r="E1083" s="1825"/>
      <c r="F1083" s="1825"/>
      <c r="G1083" s="1825"/>
      <c r="H1083" s="1825"/>
      <c r="I1083" s="1825"/>
    </row>
  </sheetData>
  <mergeCells count="114">
    <mergeCell ref="B705:I705"/>
    <mergeCell ref="B490:I490"/>
    <mergeCell ref="B502:I502"/>
    <mergeCell ref="B510:I510"/>
    <mergeCell ref="B517:I517"/>
    <mergeCell ref="B525:I525"/>
    <mergeCell ref="B532:I532"/>
    <mergeCell ref="B540:I540"/>
    <mergeCell ref="B548:I548"/>
    <mergeCell ref="B556:I556"/>
    <mergeCell ref="B565:I565"/>
    <mergeCell ref="B573:I573"/>
    <mergeCell ref="B580:I580"/>
    <mergeCell ref="B588:I588"/>
    <mergeCell ref="B643:I643"/>
    <mergeCell ref="B651:I651"/>
    <mergeCell ref="B671:I671"/>
    <mergeCell ref="B679:I679"/>
    <mergeCell ref="B688:I688"/>
    <mergeCell ref="B696:I696"/>
    <mergeCell ref="B613:I613"/>
    <mergeCell ref="B620:I620"/>
    <mergeCell ref="B628:I628"/>
    <mergeCell ref="B635:I635"/>
    <mergeCell ref="B482:I482"/>
    <mergeCell ref="B381:I381"/>
    <mergeCell ref="B390:I390"/>
    <mergeCell ref="B398:I398"/>
    <mergeCell ref="B407:I407"/>
    <mergeCell ref="B415:I415"/>
    <mergeCell ref="B424:I424"/>
    <mergeCell ref="B432:I432"/>
    <mergeCell ref="B441:I441"/>
    <mergeCell ref="B449:I449"/>
    <mergeCell ref="B461:I461"/>
    <mergeCell ref="B469:I469"/>
    <mergeCell ref="B218:I218"/>
    <mergeCell ref="B226:I226"/>
    <mergeCell ref="B238:I238"/>
    <mergeCell ref="B246:I246"/>
    <mergeCell ref="B373:I373"/>
    <mergeCell ref="B262:I262"/>
    <mergeCell ref="B270:I270"/>
    <mergeCell ref="B279:I279"/>
    <mergeCell ref="B286:I286"/>
    <mergeCell ref="B294:I294"/>
    <mergeCell ref="B325:I325"/>
    <mergeCell ref="B333:I333"/>
    <mergeCell ref="B341:I341"/>
    <mergeCell ref="B349:I349"/>
    <mergeCell ref="B357:I357"/>
    <mergeCell ref="B365:I365"/>
    <mergeCell ref="B789:I789"/>
    <mergeCell ref="B797:I797"/>
    <mergeCell ref="B806:I806"/>
    <mergeCell ref="B935:I935"/>
    <mergeCell ref="B139:I139"/>
    <mergeCell ref="B2:I2"/>
    <mergeCell ref="B14:I14"/>
    <mergeCell ref="B22:I22"/>
    <mergeCell ref="B33:I33"/>
    <mergeCell ref="B50:I50"/>
    <mergeCell ref="B61:I61"/>
    <mergeCell ref="B68:I68"/>
    <mergeCell ref="B79:I79"/>
    <mergeCell ref="B96:I96"/>
    <mergeCell ref="B107:I107"/>
    <mergeCell ref="B126:I126"/>
    <mergeCell ref="B254:I254"/>
    <mergeCell ref="B147:I147"/>
    <mergeCell ref="B161:I161"/>
    <mergeCell ref="B171:I171"/>
    <mergeCell ref="B181:I181"/>
    <mergeCell ref="B191:I191"/>
    <mergeCell ref="B202:I202"/>
    <mergeCell ref="B210:I210"/>
    <mergeCell ref="B951:I951"/>
    <mergeCell ref="B1035:I1035"/>
    <mergeCell ref="B881:I881"/>
    <mergeCell ref="B889:I889"/>
    <mergeCell ref="B896:I896"/>
    <mergeCell ref="B1027:I1027"/>
    <mergeCell ref="B1003:I1003"/>
    <mergeCell ref="B1012:I1012"/>
    <mergeCell ref="B904:I904"/>
    <mergeCell ref="B911:I911"/>
    <mergeCell ref="B919:I919"/>
    <mergeCell ref="B926:I926"/>
    <mergeCell ref="B958:I958"/>
    <mergeCell ref="B966:I966"/>
    <mergeCell ref="B1042:I1042"/>
    <mergeCell ref="B1019:I1019"/>
    <mergeCell ref="B973:I973"/>
    <mergeCell ref="B981:I981"/>
    <mergeCell ref="B988:I988"/>
    <mergeCell ref="B996:I996"/>
    <mergeCell ref="B598:I598"/>
    <mergeCell ref="B605:I605"/>
    <mergeCell ref="B942:I942"/>
    <mergeCell ref="B815:I815"/>
    <mergeCell ref="B822:I822"/>
    <mergeCell ref="B829:I829"/>
    <mergeCell ref="B836:I836"/>
    <mergeCell ref="B844:I844"/>
    <mergeCell ref="B851:I851"/>
    <mergeCell ref="B859:I859"/>
    <mergeCell ref="B866:I866"/>
    <mergeCell ref="B874:I874"/>
    <mergeCell ref="B745:I745"/>
    <mergeCell ref="B752:I752"/>
    <mergeCell ref="B767:I767"/>
    <mergeCell ref="B760:I760"/>
    <mergeCell ref="B774:I774"/>
    <mergeCell ref="B781:I781"/>
  </mergeCells>
  <dataValidations count="5">
    <dataValidation allowBlank="1" showInputMessage="1" showErrorMessage="1" prompt="Escriba el precio unitario del material  que se analiza" sqref="E193:E197 E173:E176"/>
    <dataValidation allowBlank="1" showInputMessage="1" showErrorMessage="1" prompt="Escriba la cantidad de material que se analiza" sqref="C296:C320 C193:C198 C17 C35:C44 C173:C177 C653:C666"/>
    <dataValidation allowBlank="1" showInputMessage="1" showErrorMessage="1" prompt="Escriba la unidad de medida en que se mide el material" sqref="D296:D320 D653:D666"/>
    <dataValidation allowBlank="1" showInputMessage="1" showErrorMessage="1" prompt="Escriba los trabajadores cuyo precio va a analizarce" sqref="B711:B712"/>
    <dataValidation allowBlank="1" showInputMessage="1" showErrorMessage="1" prompt="Escriba una breve descripción de los materiales que analiza" sqref="B368 B383:B385 B400:B402 B417:B419 B434:B436 B451:B456 B471:B477 B492:B497 B512 B527 B542:B543 B558:B560 B575 B707:B710 B296:B320 B281 L280:L282 B264:B265 B248:B249 B228:B233 B212:B213 B193:B198 B173:B177 B653:B666 B681:B683 B698:B700"/>
  </dataValidations>
  <pageMargins left="0.7" right="0.7" top="0.75" bottom="0.75" header="0.3" footer="0.3"/>
  <pageSetup scale="65"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IV1390"/>
  <sheetViews>
    <sheetView topLeftCell="A690" zoomScale="85" zoomScaleNormal="85" workbookViewId="0">
      <selection activeCell="E10" sqref="E10"/>
    </sheetView>
  </sheetViews>
  <sheetFormatPr baseColWidth="10" defaultColWidth="11.44140625" defaultRowHeight="13.8"/>
  <cols>
    <col min="1" max="1" width="11.6640625" style="181" bestFit="1" customWidth="1"/>
    <col min="2" max="2" width="56.88671875" style="181" customWidth="1"/>
    <col min="3" max="3" width="11.6640625" style="181" bestFit="1" customWidth="1"/>
    <col min="4" max="4" width="11.44140625" style="181"/>
    <col min="5" max="5" width="15" style="181" bestFit="1" customWidth="1"/>
    <col min="6" max="6" width="12.6640625" style="181" bestFit="1" customWidth="1"/>
    <col min="7" max="7" width="15" style="181" bestFit="1" customWidth="1"/>
    <col min="8" max="8" width="12.6640625" style="181" bestFit="1" customWidth="1"/>
    <col min="9" max="9" width="11.6640625" style="181" bestFit="1" customWidth="1"/>
    <col min="10" max="10" width="11.44140625" style="181"/>
    <col min="11" max="11" width="11.6640625" style="181" bestFit="1" customWidth="1"/>
    <col min="12" max="12" width="11.5546875" style="181" bestFit="1" customWidth="1"/>
    <col min="13" max="13" width="11.6640625" style="181" bestFit="1" customWidth="1"/>
    <col min="14" max="16384" width="11.44140625" style="181"/>
  </cols>
  <sheetData>
    <row r="1" spans="1:10" ht="37.5" customHeight="1">
      <c r="A1" s="3575"/>
      <c r="B1" s="3578" t="s">
        <v>6313</v>
      </c>
      <c r="C1" s="3579"/>
      <c r="D1" s="3579"/>
      <c r="E1" s="3579"/>
      <c r="F1" s="3579"/>
      <c r="G1" s="3579"/>
      <c r="H1" s="3580"/>
      <c r="I1" s="3581"/>
    </row>
    <row r="2" spans="1:10" ht="18">
      <c r="A2" s="3576"/>
      <c r="B2" s="3586" t="s">
        <v>8539</v>
      </c>
      <c r="C2" s="3309"/>
      <c r="D2" s="3309"/>
      <c r="E2" s="3309"/>
      <c r="F2" s="3309"/>
      <c r="G2" s="3309"/>
      <c r="H2" s="3582"/>
      <c r="I2" s="3583"/>
    </row>
    <row r="3" spans="1:10" ht="18.600000000000001" thickBot="1">
      <c r="A3" s="3577"/>
      <c r="B3" s="3587" t="s">
        <v>3859</v>
      </c>
      <c r="C3" s="3587"/>
      <c r="D3" s="3588" t="s">
        <v>8577</v>
      </c>
      <c r="E3" s="3589"/>
      <c r="F3" s="3589"/>
      <c r="G3" s="3590"/>
      <c r="H3" s="3584"/>
      <c r="I3" s="3585"/>
    </row>
    <row r="4" spans="1:10" ht="18">
      <c r="A4" s="873"/>
      <c r="B4" s="1278"/>
      <c r="C4" s="1279"/>
      <c r="D4" s="402"/>
      <c r="E4" s="2032"/>
      <c r="F4" s="2032"/>
      <c r="G4" s="2032"/>
      <c r="H4" s="2032"/>
      <c r="I4" s="2032"/>
    </row>
    <row r="5" spans="1:10" ht="18">
      <c r="A5" s="3591" t="s">
        <v>5524</v>
      </c>
      <c r="B5" s="3592"/>
      <c r="C5" s="3592"/>
      <c r="D5" s="3592"/>
      <c r="E5" s="3592"/>
      <c r="F5" s="3592"/>
      <c r="G5" s="3592"/>
      <c r="H5" s="3592"/>
      <c r="I5" s="3593"/>
    </row>
    <row r="6" spans="1:10" ht="18">
      <c r="A6" s="873"/>
      <c r="B6" s="1278"/>
      <c r="C6" s="2033"/>
      <c r="D6" s="402"/>
      <c r="E6" s="2034"/>
      <c r="F6" s="2032"/>
      <c r="G6" s="2032"/>
      <c r="H6" s="2032"/>
      <c r="I6" s="2032"/>
    </row>
    <row r="7" spans="1:10" ht="18">
      <c r="A7" s="2314" t="str">
        <f>+'CAPTACION RIO SINÚ'!A125</f>
        <v>2.1.1</v>
      </c>
      <c r="B7" s="3563" t="s">
        <v>4370</v>
      </c>
      <c r="C7" s="3564"/>
      <c r="D7" s="3564"/>
      <c r="E7" s="3564"/>
      <c r="F7" s="3564"/>
      <c r="G7" s="3564"/>
      <c r="H7" s="3564"/>
      <c r="I7" s="3565"/>
    </row>
    <row r="8" spans="1:10" ht="18">
      <c r="A8" s="1229"/>
      <c r="B8" s="1258"/>
      <c r="C8" s="1229" t="s">
        <v>140</v>
      </c>
      <c r="D8" s="1229" t="s">
        <v>343</v>
      </c>
      <c r="E8" s="2679" t="s">
        <v>344</v>
      </c>
      <c r="F8" s="2679" t="s">
        <v>482</v>
      </c>
      <c r="G8" s="2679" t="s">
        <v>483</v>
      </c>
      <c r="H8" s="2679" t="s">
        <v>170</v>
      </c>
      <c r="I8" s="2679" t="s">
        <v>171</v>
      </c>
    </row>
    <row r="9" spans="1:10" ht="18">
      <c r="A9" s="1229"/>
      <c r="B9" s="1258" t="s">
        <v>6439</v>
      </c>
      <c r="C9" s="1264">
        <v>1.5</v>
      </c>
      <c r="D9" s="401" t="s">
        <v>346</v>
      </c>
      <c r="E9" s="2679">
        <f>+OFICI</f>
        <v>80479.625344</v>
      </c>
      <c r="F9" s="2679"/>
      <c r="G9" s="2679"/>
      <c r="H9" s="1255">
        <f>+E9*C9</f>
        <v>120719.438016</v>
      </c>
      <c r="I9" s="2679"/>
    </row>
    <row r="10" spans="1:10" ht="18">
      <c r="A10" s="1580" t="s">
        <v>347</v>
      </c>
      <c r="B10" s="185" t="s">
        <v>266</v>
      </c>
      <c r="C10" s="1264">
        <v>1.5</v>
      </c>
      <c r="D10" s="401" t="s">
        <v>346</v>
      </c>
      <c r="E10" s="1255">
        <f>AYUDA*3</f>
        <v>196169.08677600001</v>
      </c>
      <c r="F10" s="1255"/>
      <c r="G10" s="1255"/>
      <c r="H10" s="1255">
        <f>+E10*C10</f>
        <v>294253.63016400003</v>
      </c>
      <c r="I10" s="2679"/>
    </row>
    <row r="11" spans="1:10" s="402" customFormat="1" ht="15" customHeight="1">
      <c r="A11" s="954"/>
      <c r="B11" s="185" t="s">
        <v>6426</v>
      </c>
      <c r="C11" s="183">
        <v>1.5</v>
      </c>
      <c r="D11" s="401" t="s">
        <v>346</v>
      </c>
      <c r="E11" s="2679">
        <f>+'BASE 2'!D736</f>
        <v>18500</v>
      </c>
      <c r="F11" s="2679">
        <f>+E11*C11</f>
        <v>27750</v>
      </c>
      <c r="G11" s="2679"/>
      <c r="H11" s="2679"/>
      <c r="I11" s="2679"/>
      <c r="J11" s="507"/>
    </row>
    <row r="12" spans="1:10" ht="18">
      <c r="A12" s="1580" t="s">
        <v>172</v>
      </c>
      <c r="B12" s="185" t="s">
        <v>189</v>
      </c>
      <c r="C12" s="1264">
        <v>1</v>
      </c>
      <c r="D12" s="401" t="s">
        <v>583</v>
      </c>
      <c r="E12" s="2679">
        <f>+H13*0.05</f>
        <v>20748.653409000006</v>
      </c>
      <c r="F12" s="1255"/>
      <c r="G12" s="1255"/>
      <c r="H12" s="1255"/>
      <c r="I12" s="2679">
        <f>+E12*C12</f>
        <v>20748.653409000006</v>
      </c>
    </row>
    <row r="13" spans="1:10" ht="18">
      <c r="A13" s="2036" t="s">
        <v>190</v>
      </c>
      <c r="B13" s="1266">
        <f>SUM(F13:I13)</f>
        <v>463471.72158900008</v>
      </c>
      <c r="C13" s="687"/>
      <c r="D13" s="1267"/>
      <c r="E13" s="1255"/>
      <c r="F13" s="1255">
        <f>SUM(F9:F12)</f>
        <v>27750</v>
      </c>
      <c r="G13" s="1255">
        <f>SUM(G10:G12)</f>
        <v>0</v>
      </c>
      <c r="H13" s="1255">
        <f>SUM(H9:H12)</f>
        <v>414973.06818000006</v>
      </c>
      <c r="I13" s="1255">
        <f>SUM(I9:I12)</f>
        <v>20748.653409000006</v>
      </c>
    </row>
    <row r="14" spans="1:10" ht="18">
      <c r="A14" s="2036" t="s">
        <v>191</v>
      </c>
      <c r="B14" s="1587">
        <f>+B13</f>
        <v>463471.72158900008</v>
      </c>
      <c r="C14" s="1269" t="s">
        <v>427</v>
      </c>
      <c r="E14" s="2037">
        <f>+B22*0.15</f>
        <v>455172</v>
      </c>
      <c r="F14" s="882"/>
      <c r="G14" s="882"/>
      <c r="H14" s="882"/>
      <c r="I14" s="882"/>
    </row>
    <row r="15" spans="1:10" s="1260" customFormat="1" ht="15" customHeight="1">
      <c r="A15" s="1277"/>
      <c r="B15" s="1278"/>
      <c r="C15" s="1279"/>
      <c r="D15" s="402"/>
      <c r="E15" s="1280"/>
      <c r="F15" s="1280"/>
      <c r="G15" s="1280"/>
      <c r="H15" s="1280"/>
      <c r="I15" s="1280"/>
    </row>
    <row r="16" spans="1:10" ht="18">
      <c r="A16" s="2314" t="str">
        <f>+'CAPTACION RIO SINÚ'!A172</f>
        <v>2.2.1</v>
      </c>
      <c r="B16" s="3563" t="s">
        <v>4388</v>
      </c>
      <c r="C16" s="3564"/>
      <c r="D16" s="3564"/>
      <c r="E16" s="3564"/>
      <c r="F16" s="3564"/>
      <c r="G16" s="3564"/>
      <c r="H16" s="3564"/>
      <c r="I16" s="3565"/>
    </row>
    <row r="17" spans="1:11" ht="18">
      <c r="A17" s="1229"/>
      <c r="B17" s="1258"/>
      <c r="C17" s="1229" t="s">
        <v>140</v>
      </c>
      <c r="D17" s="1229" t="s">
        <v>343</v>
      </c>
      <c r="E17" s="2679" t="s">
        <v>344</v>
      </c>
      <c r="F17" s="2679" t="s">
        <v>482</v>
      </c>
      <c r="G17" s="2679" t="s">
        <v>483</v>
      </c>
      <c r="H17" s="2679" t="s">
        <v>170</v>
      </c>
      <c r="I17" s="2679" t="s">
        <v>171</v>
      </c>
    </row>
    <row r="18" spans="1:11" ht="18">
      <c r="A18" s="1580" t="s">
        <v>4131</v>
      </c>
      <c r="B18" s="185" t="s">
        <v>4389</v>
      </c>
      <c r="C18" s="1264">
        <v>1</v>
      </c>
      <c r="D18" s="401" t="s">
        <v>363</v>
      </c>
      <c r="E18" s="2679">
        <f>+'BASE 2'!D598</f>
        <v>2727480</v>
      </c>
      <c r="F18" s="2679"/>
      <c r="G18" s="2679">
        <f>+E18*C18</f>
        <v>2727480</v>
      </c>
      <c r="H18" s="2679"/>
      <c r="I18" s="2679"/>
    </row>
    <row r="19" spans="1:11" ht="18">
      <c r="A19" s="1580"/>
      <c r="B19" s="185" t="str">
        <f>+'BASE 2'!B622</f>
        <v>Juego de Tornillería y Empaques de 16"</v>
      </c>
      <c r="C19" s="1264">
        <v>1</v>
      </c>
      <c r="D19" s="401" t="s">
        <v>363</v>
      </c>
      <c r="E19" s="2679">
        <f>+'BASE 2'!D622</f>
        <v>295000</v>
      </c>
      <c r="F19" s="2679"/>
      <c r="G19" s="2679">
        <f>+E19*C19</f>
        <v>295000</v>
      </c>
      <c r="H19" s="2679"/>
      <c r="I19" s="2679"/>
    </row>
    <row r="20" spans="1:11" ht="18">
      <c r="A20" s="1580" t="s">
        <v>584</v>
      </c>
      <c r="B20" s="185" t="s">
        <v>134</v>
      </c>
      <c r="C20" s="1264">
        <v>0.01</v>
      </c>
      <c r="D20" s="401" t="s">
        <v>583</v>
      </c>
      <c r="E20" s="2679">
        <f>+VIAJE</f>
        <v>1200000</v>
      </c>
      <c r="F20" s="2679"/>
      <c r="G20" s="2679"/>
      <c r="H20" s="2679"/>
      <c r="I20" s="2679">
        <f>+E20*C20</f>
        <v>12000</v>
      </c>
    </row>
    <row r="21" spans="1:11" ht="18">
      <c r="A21" s="2036" t="s">
        <v>190</v>
      </c>
      <c r="B21" s="1266">
        <f>SUM(F21:I21)</f>
        <v>3034480</v>
      </c>
      <c r="C21" s="687"/>
      <c r="D21" s="1267"/>
      <c r="E21" s="1255"/>
      <c r="F21" s="1255">
        <f>SUM(F18:F20)</f>
        <v>0</v>
      </c>
      <c r="G21" s="1255">
        <f>SUM(G18:G20)</f>
        <v>3022480</v>
      </c>
      <c r="H21" s="1255">
        <f>SUM(H18:H20)</f>
        <v>0</v>
      </c>
      <c r="I21" s="2679">
        <f>SUM(I18:I20)</f>
        <v>12000</v>
      </c>
    </row>
    <row r="22" spans="1:11" ht="18">
      <c r="A22" s="2036" t="s">
        <v>191</v>
      </c>
      <c r="B22" s="1587">
        <f>+B21</f>
        <v>3034480</v>
      </c>
      <c r="C22" s="1269" t="s">
        <v>427</v>
      </c>
      <c r="D22" s="863"/>
      <c r="E22" s="882"/>
      <c r="F22" s="882"/>
      <c r="G22" s="882"/>
      <c r="H22" s="882"/>
      <c r="I22" s="882"/>
    </row>
    <row r="23" spans="1:11" s="2039" customFormat="1" ht="18">
      <c r="A23" s="2678"/>
      <c r="B23" s="1715"/>
      <c r="C23" s="2038"/>
      <c r="D23" s="863"/>
      <c r="E23" s="882"/>
      <c r="F23" s="882"/>
      <c r="G23" s="882"/>
      <c r="H23" s="882"/>
      <c r="I23" s="882"/>
    </row>
    <row r="24" spans="1:11" ht="18">
      <c r="A24" s="2314" t="str">
        <f>+'CAPTACION RIO SINÚ'!A126</f>
        <v>2.1.2</v>
      </c>
      <c r="B24" s="3563" t="s">
        <v>4519</v>
      </c>
      <c r="C24" s="3564"/>
      <c r="D24" s="3564"/>
      <c r="E24" s="3564"/>
      <c r="F24" s="3564"/>
      <c r="G24" s="3564"/>
      <c r="H24" s="3564"/>
      <c r="I24" s="3565"/>
    </row>
    <row r="25" spans="1:11" ht="18">
      <c r="A25" s="1229"/>
      <c r="B25" s="1258"/>
      <c r="C25" s="1229" t="s">
        <v>140</v>
      </c>
      <c r="D25" s="1229" t="s">
        <v>343</v>
      </c>
      <c r="E25" s="2679" t="s">
        <v>344</v>
      </c>
      <c r="F25" s="2679" t="s">
        <v>482</v>
      </c>
      <c r="G25" s="2679" t="s">
        <v>483</v>
      </c>
      <c r="H25" s="2679" t="s">
        <v>170</v>
      </c>
      <c r="I25" s="2679" t="s">
        <v>171</v>
      </c>
    </row>
    <row r="26" spans="1:11" ht="18">
      <c r="A26" s="1229"/>
      <c r="B26" s="1258" t="s">
        <v>6439</v>
      </c>
      <c r="C26" s="1264">
        <v>0.34</v>
      </c>
      <c r="D26" s="401" t="s">
        <v>346</v>
      </c>
      <c r="E26" s="2679">
        <f>+OFICI</f>
        <v>80479.625344</v>
      </c>
      <c r="F26" s="2679"/>
      <c r="G26" s="2679"/>
      <c r="H26" s="1255">
        <f>+E26*C26</f>
        <v>27363.072616960002</v>
      </c>
      <c r="I26" s="2679"/>
    </row>
    <row r="27" spans="1:11" ht="18">
      <c r="A27" s="1580" t="s">
        <v>347</v>
      </c>
      <c r="B27" s="185" t="s">
        <v>266</v>
      </c>
      <c r="C27" s="1264">
        <v>0.34</v>
      </c>
      <c r="D27" s="401" t="s">
        <v>346</v>
      </c>
      <c r="E27" s="1255">
        <f>AYUDA*6</f>
        <v>392338.17355200002</v>
      </c>
      <c r="F27" s="1255"/>
      <c r="G27" s="1255"/>
      <c r="H27" s="1255">
        <f>+E27*C27</f>
        <v>133394.97900768003</v>
      </c>
      <c r="I27" s="2679"/>
    </row>
    <row r="28" spans="1:11" s="402" customFormat="1" ht="15" customHeight="1">
      <c r="A28" s="954"/>
      <c r="B28" s="185" t="s">
        <v>6426</v>
      </c>
      <c r="C28" s="183">
        <v>0.34</v>
      </c>
      <c r="D28" s="401" t="s">
        <v>346</v>
      </c>
      <c r="E28" s="2679">
        <f>+'BASE 2'!D736</f>
        <v>18500</v>
      </c>
      <c r="F28" s="2679">
        <f>+E28*C28</f>
        <v>6290</v>
      </c>
      <c r="G28" s="2679"/>
      <c r="H28" s="2679"/>
      <c r="I28" s="2679"/>
      <c r="J28" s="507"/>
    </row>
    <row r="29" spans="1:11" s="402" customFormat="1" ht="15" customHeight="1">
      <c r="A29" s="1261" t="s">
        <v>736</v>
      </c>
      <c r="B29" s="1259" t="s">
        <v>6410</v>
      </c>
      <c r="C29" s="182">
        <v>8</v>
      </c>
      <c r="D29" s="509" t="s">
        <v>735</v>
      </c>
      <c r="E29" s="497">
        <f>+RETRO</f>
        <v>150000</v>
      </c>
      <c r="F29" s="1585">
        <f>+E29*C29</f>
        <v>1200000</v>
      </c>
      <c r="G29" s="1585"/>
      <c r="H29" s="1585"/>
      <c r="I29" s="184"/>
      <c r="K29" s="402">
        <f>1/18</f>
        <v>5.5555555555555552E-2</v>
      </c>
    </row>
    <row r="30" spans="1:11" ht="18">
      <c r="A30" s="1580" t="s">
        <v>172</v>
      </c>
      <c r="B30" s="185" t="s">
        <v>189</v>
      </c>
      <c r="C30" s="1264">
        <v>1</v>
      </c>
      <c r="D30" s="401" t="s">
        <v>583</v>
      </c>
      <c r="E30" s="2679">
        <f>+H31*0.05</f>
        <v>8037.9025812320024</v>
      </c>
      <c r="F30" s="1255"/>
      <c r="G30" s="1255"/>
      <c r="H30" s="1255"/>
      <c r="I30" s="2679">
        <f>+E30*C30</f>
        <v>8037.9025812320024</v>
      </c>
    </row>
    <row r="31" spans="1:11" ht="18">
      <c r="A31" s="2036" t="s">
        <v>190</v>
      </c>
      <c r="B31" s="1266">
        <f>SUM(F31:I31)</f>
        <v>1375085.954205872</v>
      </c>
      <c r="C31" s="687"/>
      <c r="D31" s="1267"/>
      <c r="E31" s="1255"/>
      <c r="F31" s="1255">
        <f>SUM(F26:F30)</f>
        <v>1206290</v>
      </c>
      <c r="G31" s="1255">
        <f t="shared" ref="G31:I31" si="0">SUM(G26:G30)</f>
        <v>0</v>
      </c>
      <c r="H31" s="1255">
        <f t="shared" si="0"/>
        <v>160758.05162464004</v>
      </c>
      <c r="I31" s="1255">
        <f t="shared" si="0"/>
        <v>8037.9025812320024</v>
      </c>
    </row>
    <row r="32" spans="1:11" ht="18">
      <c r="A32" s="2036" t="s">
        <v>191</v>
      </c>
      <c r="B32" s="1587">
        <f>+B31</f>
        <v>1375085.954205872</v>
      </c>
      <c r="C32" s="1269" t="s">
        <v>427</v>
      </c>
      <c r="D32" s="863"/>
      <c r="E32" s="882">
        <f>+B40*0.15</f>
        <v>1370223</v>
      </c>
      <c r="F32" s="882"/>
      <c r="G32" s="882"/>
      <c r="H32" s="882"/>
      <c r="I32" s="882"/>
    </row>
    <row r="33" spans="1:10" s="1260" customFormat="1" ht="15" customHeight="1">
      <c r="A33" s="1277"/>
      <c r="B33" s="1278"/>
      <c r="C33" s="1279"/>
      <c r="D33" s="402"/>
      <c r="E33" s="1280"/>
      <c r="F33" s="1280"/>
      <c r="G33" s="1280"/>
      <c r="H33" s="1280"/>
      <c r="I33" s="1280"/>
    </row>
    <row r="34" spans="1:10" ht="18">
      <c r="A34" s="2314" t="str">
        <f>+'CAPTACION RIO SINÚ'!A173</f>
        <v>2.2.2</v>
      </c>
      <c r="B34" s="3563" t="s">
        <v>4517</v>
      </c>
      <c r="C34" s="3564"/>
      <c r="D34" s="3564"/>
      <c r="E34" s="3564"/>
      <c r="F34" s="3564"/>
      <c r="G34" s="3564"/>
      <c r="H34" s="3564"/>
      <c r="I34" s="3565"/>
    </row>
    <row r="35" spans="1:10" ht="18">
      <c r="A35" s="1229"/>
      <c r="B35" s="1258"/>
      <c r="C35" s="1229" t="s">
        <v>140</v>
      </c>
      <c r="D35" s="1229" t="s">
        <v>343</v>
      </c>
      <c r="E35" s="2679" t="s">
        <v>344</v>
      </c>
      <c r="F35" s="2679" t="s">
        <v>482</v>
      </c>
      <c r="G35" s="2679" t="s">
        <v>483</v>
      </c>
      <c r="H35" s="2679" t="s">
        <v>170</v>
      </c>
      <c r="I35" s="2679" t="s">
        <v>171</v>
      </c>
    </row>
    <row r="36" spans="1:10" ht="18">
      <c r="A36" s="1580" t="s">
        <v>4131</v>
      </c>
      <c r="B36" s="185" t="s">
        <v>4518</v>
      </c>
      <c r="C36" s="1264">
        <v>1</v>
      </c>
      <c r="D36" s="401" t="s">
        <v>363</v>
      </c>
      <c r="E36" s="2679">
        <f>+'BASE 2'!D601</f>
        <v>8779820</v>
      </c>
      <c r="F36" s="2679"/>
      <c r="G36" s="2679">
        <f>+E36*C36</f>
        <v>8779820</v>
      </c>
      <c r="H36" s="2679"/>
      <c r="I36" s="2679"/>
    </row>
    <row r="37" spans="1:10" ht="18">
      <c r="A37" s="1580"/>
      <c r="B37" s="185" t="str">
        <f>+'BASE 2'!B622</f>
        <v>Juego de Tornillería y Empaques de 16"</v>
      </c>
      <c r="C37" s="1264">
        <v>1</v>
      </c>
      <c r="D37" s="401" t="s">
        <v>363</v>
      </c>
      <c r="E37" s="2679">
        <f>+'BASE 2'!D622</f>
        <v>295000</v>
      </c>
      <c r="F37" s="2679"/>
      <c r="G37" s="2679">
        <f>+E37*C37</f>
        <v>295000</v>
      </c>
      <c r="H37" s="2679"/>
      <c r="I37" s="2679"/>
    </row>
    <row r="38" spans="1:10" ht="18">
      <c r="A38" s="1580" t="s">
        <v>584</v>
      </c>
      <c r="B38" s="185" t="s">
        <v>134</v>
      </c>
      <c r="C38" s="1264">
        <v>0.05</v>
      </c>
      <c r="D38" s="401" t="s">
        <v>583</v>
      </c>
      <c r="E38" s="2679">
        <f>+VIAJE</f>
        <v>1200000</v>
      </c>
      <c r="F38" s="2679"/>
      <c r="G38" s="2679"/>
      <c r="H38" s="2679"/>
      <c r="I38" s="2679">
        <f>+E38*C38</f>
        <v>60000</v>
      </c>
    </row>
    <row r="39" spans="1:10" ht="18">
      <c r="A39" s="2036" t="s">
        <v>190</v>
      </c>
      <c r="B39" s="1266">
        <f>SUM(F39:I39)</f>
        <v>9134820</v>
      </c>
      <c r="C39" s="687"/>
      <c r="D39" s="1267"/>
      <c r="E39" s="1255"/>
      <c r="F39" s="1255">
        <f>SUM(F36:F38)</f>
        <v>0</v>
      </c>
      <c r="G39" s="1255">
        <f>SUM(G36:G38)</f>
        <v>9074820</v>
      </c>
      <c r="H39" s="1255">
        <f>SUM(H36:H38)</f>
        <v>0</v>
      </c>
      <c r="I39" s="2679">
        <f>SUM(I36:I38)</f>
        <v>60000</v>
      </c>
    </row>
    <row r="40" spans="1:10" ht="18">
      <c r="A40" s="2036" t="s">
        <v>191</v>
      </c>
      <c r="B40" s="1587">
        <f>+B39</f>
        <v>9134820</v>
      </c>
      <c r="C40" s="1269" t="s">
        <v>427</v>
      </c>
      <c r="D40" s="863"/>
      <c r="E40" s="882"/>
      <c r="F40" s="882"/>
      <c r="G40" s="882"/>
      <c r="H40" s="882"/>
      <c r="I40" s="882"/>
    </row>
    <row r="41" spans="1:10" s="2039" customFormat="1" ht="18">
      <c r="A41" s="2678"/>
      <c r="B41" s="185"/>
      <c r="C41" s="1282"/>
      <c r="D41" s="863"/>
      <c r="E41" s="882"/>
      <c r="F41" s="882"/>
      <c r="G41" s="882"/>
      <c r="H41" s="882"/>
      <c r="I41" s="882"/>
    </row>
    <row r="42" spans="1:10" ht="18">
      <c r="A42" s="2314" t="str">
        <f>+'CAPTACION RIO SINÚ'!A127</f>
        <v>2.1.3</v>
      </c>
      <c r="B42" s="3573" t="s">
        <v>4371</v>
      </c>
      <c r="C42" s="3573"/>
      <c r="D42" s="3573"/>
      <c r="E42" s="3573"/>
      <c r="F42" s="3573"/>
      <c r="G42" s="3573"/>
      <c r="H42" s="3573"/>
      <c r="I42" s="3573"/>
    </row>
    <row r="43" spans="1:10" ht="18">
      <c r="A43" s="1900"/>
      <c r="B43" s="1262"/>
      <c r="C43" s="1229" t="s">
        <v>140</v>
      </c>
      <c r="D43" s="1229" t="s">
        <v>343</v>
      </c>
      <c r="E43" s="2679" t="s">
        <v>344</v>
      </c>
      <c r="F43" s="2679" t="s">
        <v>482</v>
      </c>
      <c r="G43" s="2679" t="s">
        <v>483</v>
      </c>
      <c r="H43" s="2679" t="s">
        <v>170</v>
      </c>
      <c r="I43" s="2679" t="s">
        <v>171</v>
      </c>
    </row>
    <row r="44" spans="1:10" ht="18">
      <c r="A44" s="1229"/>
      <c r="B44" s="1258" t="s">
        <v>6439</v>
      </c>
      <c r="C44" s="1264">
        <v>4.0999999999999996</v>
      </c>
      <c r="D44" s="401" t="s">
        <v>346</v>
      </c>
      <c r="E44" s="2679">
        <f>+OFICI</f>
        <v>80479.625344</v>
      </c>
      <c r="F44" s="2679"/>
      <c r="G44" s="2679"/>
      <c r="H44" s="1255">
        <f>+E44*C44</f>
        <v>329966.46391039999</v>
      </c>
      <c r="I44" s="2679"/>
    </row>
    <row r="45" spans="1:10" ht="18">
      <c r="A45" s="1900" t="s">
        <v>347</v>
      </c>
      <c r="B45" s="185" t="s">
        <v>266</v>
      </c>
      <c r="C45" s="1264">
        <v>4.0999999999999996</v>
      </c>
      <c r="D45" s="401" t="s">
        <v>346</v>
      </c>
      <c r="E45" s="2679">
        <f>+AYUDA*2</f>
        <v>130779.39118400001</v>
      </c>
      <c r="F45" s="2679"/>
      <c r="G45" s="2679"/>
      <c r="H45" s="2679">
        <f>+E45*C45</f>
        <v>536195.50385440001</v>
      </c>
      <c r="I45" s="2679"/>
    </row>
    <row r="46" spans="1:10" s="402" customFormat="1" ht="15" customHeight="1">
      <c r="A46" s="954"/>
      <c r="B46" s="185" t="s">
        <v>6426</v>
      </c>
      <c r="C46" s="183">
        <v>4.0999999999999996</v>
      </c>
      <c r="D46" s="401" t="s">
        <v>346</v>
      </c>
      <c r="E46" s="2679">
        <f>+'BASE 2'!D736</f>
        <v>18500</v>
      </c>
      <c r="F46" s="2679">
        <f>+E46*C46</f>
        <v>75850</v>
      </c>
      <c r="G46" s="2679"/>
      <c r="H46" s="2679"/>
      <c r="I46" s="2679"/>
      <c r="J46" s="507"/>
    </row>
    <row r="47" spans="1:10" ht="18">
      <c r="A47" s="1900" t="s">
        <v>172</v>
      </c>
      <c r="B47" s="185" t="s">
        <v>189</v>
      </c>
      <c r="C47" s="1264">
        <v>1</v>
      </c>
      <c r="D47" s="401" t="s">
        <v>583</v>
      </c>
      <c r="E47" s="2679">
        <f>+H48*0.05</f>
        <v>26809.775192720001</v>
      </c>
      <c r="F47" s="2679"/>
      <c r="G47" s="2679"/>
      <c r="H47" s="2679"/>
      <c r="I47" s="2679">
        <f>+E47*C47</f>
        <v>26809.775192720001</v>
      </c>
    </row>
    <row r="48" spans="1:10" ht="18">
      <c r="A48" s="2040" t="s">
        <v>190</v>
      </c>
      <c r="B48" s="1266">
        <f>SUM(F48:I48)</f>
        <v>638855.27904712001</v>
      </c>
      <c r="C48" s="401"/>
      <c r="D48" s="1267"/>
      <c r="E48" s="2679"/>
      <c r="F48" s="2679">
        <f>SUM(F45:F47)</f>
        <v>75850</v>
      </c>
      <c r="G48" s="2679">
        <f>SUM(G42:G47)</f>
        <v>0</v>
      </c>
      <c r="H48" s="2679">
        <f>SUM(H45:H47)</f>
        <v>536195.50385440001</v>
      </c>
      <c r="I48" s="2679">
        <f>SUM(I42:I47)</f>
        <v>26809.775192720001</v>
      </c>
    </row>
    <row r="49" spans="1:10" ht="18">
      <c r="A49" s="2040" t="s">
        <v>191</v>
      </c>
      <c r="B49" s="1587">
        <f>+B48</f>
        <v>638855.27904712001</v>
      </c>
      <c r="C49" s="1269" t="s">
        <v>363</v>
      </c>
      <c r="D49" s="863"/>
      <c r="E49" s="882">
        <f>+B57*0.15</f>
        <v>636862.5</v>
      </c>
      <c r="F49" s="882"/>
      <c r="G49" s="882"/>
      <c r="H49" s="882"/>
      <c r="I49" s="882"/>
    </row>
    <row r="50" spans="1:10" ht="18">
      <c r="A50" s="879"/>
      <c r="B50" s="880"/>
      <c r="C50" s="881"/>
      <c r="D50" s="863"/>
      <c r="E50" s="882"/>
      <c r="F50" s="882"/>
      <c r="G50" s="882"/>
      <c r="H50" s="882"/>
      <c r="I50" s="882"/>
    </row>
    <row r="51" spans="1:10" ht="18">
      <c r="A51" s="2314" t="str">
        <f>+'CAPTACION RIO SINÚ'!A174</f>
        <v>2.2.3</v>
      </c>
      <c r="B51" s="3573" t="s">
        <v>4372</v>
      </c>
      <c r="C51" s="3573"/>
      <c r="D51" s="3573"/>
      <c r="E51" s="3573"/>
      <c r="F51" s="3573"/>
      <c r="G51" s="3573"/>
      <c r="H51" s="3573"/>
      <c r="I51" s="3573"/>
    </row>
    <row r="52" spans="1:10" ht="18">
      <c r="A52" s="1900"/>
      <c r="B52" s="1262"/>
      <c r="C52" s="1229" t="s">
        <v>140</v>
      </c>
      <c r="D52" s="1229" t="s">
        <v>343</v>
      </c>
      <c r="E52" s="2679" t="s">
        <v>344</v>
      </c>
      <c r="F52" s="2679" t="s">
        <v>482</v>
      </c>
      <c r="G52" s="2679" t="s">
        <v>483</v>
      </c>
      <c r="H52" s="2679" t="s">
        <v>170</v>
      </c>
      <c r="I52" s="2679" t="s">
        <v>171</v>
      </c>
    </row>
    <row r="53" spans="1:10" ht="18">
      <c r="A53" s="2041" t="s">
        <v>791</v>
      </c>
      <c r="B53" s="185" t="s">
        <v>4357</v>
      </c>
      <c r="C53" s="1263">
        <v>1</v>
      </c>
      <c r="D53" s="1274" t="s">
        <v>363</v>
      </c>
      <c r="E53" s="1255">
        <f>+'BASE 2'!D639</f>
        <v>3647350</v>
      </c>
      <c r="F53" s="1255"/>
      <c r="G53" s="1255">
        <f>+E53*C53</f>
        <v>3647350</v>
      </c>
      <c r="H53" s="1255"/>
      <c r="I53" s="1255"/>
    </row>
    <row r="54" spans="1:10" ht="18">
      <c r="A54" s="1580"/>
      <c r="B54" s="185" t="str">
        <f>+'BASE 2'!B622</f>
        <v>Juego de Tornillería y Empaques de 16"</v>
      </c>
      <c r="C54" s="1264">
        <v>2</v>
      </c>
      <c r="D54" s="401" t="s">
        <v>363</v>
      </c>
      <c r="E54" s="2679">
        <f>+'BASE 2'!D622</f>
        <v>295000</v>
      </c>
      <c r="F54" s="2679"/>
      <c r="G54" s="2679">
        <f>+E54*C54</f>
        <v>590000</v>
      </c>
      <c r="H54" s="2679"/>
      <c r="I54" s="2679"/>
    </row>
    <row r="55" spans="1:10" ht="18">
      <c r="A55" s="1900" t="s">
        <v>584</v>
      </c>
      <c r="B55" s="185" t="s">
        <v>134</v>
      </c>
      <c r="C55" s="1263">
        <v>7.0000000000000001E-3</v>
      </c>
      <c r="D55" s="1274" t="s">
        <v>583</v>
      </c>
      <c r="E55" s="1255">
        <f>+VIAJE</f>
        <v>1200000</v>
      </c>
      <c r="F55" s="2679"/>
      <c r="G55" s="2679"/>
      <c r="H55" s="2679"/>
      <c r="I55" s="2679">
        <f>+E55*C55</f>
        <v>8400</v>
      </c>
    </row>
    <row r="56" spans="1:10" ht="18">
      <c r="A56" s="2040" t="s">
        <v>190</v>
      </c>
      <c r="B56" s="1266">
        <f>SUM(F56:I56)</f>
        <v>4245750</v>
      </c>
      <c r="C56" s="401"/>
      <c r="D56" s="1267"/>
      <c r="E56" s="2679"/>
      <c r="F56" s="2679">
        <f>SUM(F51:F55)</f>
        <v>0</v>
      </c>
      <c r="G56" s="2679">
        <f>SUM(G51:G55)</f>
        <v>4237350</v>
      </c>
      <c r="H56" s="2679">
        <f>SUM(H51:H55)</f>
        <v>0</v>
      </c>
      <c r="I56" s="2679">
        <f>SUM(I51:I55)</f>
        <v>8400</v>
      </c>
    </row>
    <row r="57" spans="1:10" ht="18">
      <c r="A57" s="2040" t="s">
        <v>191</v>
      </c>
      <c r="B57" s="1587">
        <f>+B56</f>
        <v>4245750</v>
      </c>
      <c r="C57" s="1269" t="s">
        <v>363</v>
      </c>
      <c r="D57" s="863"/>
      <c r="E57" s="882"/>
      <c r="F57" s="882"/>
      <c r="G57" s="882"/>
      <c r="H57" s="882"/>
      <c r="I57" s="882"/>
    </row>
    <row r="58" spans="1:10" s="2039" customFormat="1" ht="18">
      <c r="A58" s="2042"/>
      <c r="B58" s="185"/>
      <c r="C58" s="1282"/>
      <c r="D58" s="863"/>
      <c r="E58" s="882"/>
      <c r="F58" s="882"/>
      <c r="G58" s="882"/>
      <c r="H58" s="882"/>
      <c r="I58" s="882"/>
    </row>
    <row r="59" spans="1:10" ht="18">
      <c r="A59" s="2314" t="str">
        <f>+'CAPTACION RIO SINÚ'!A128</f>
        <v>2.1.4</v>
      </c>
      <c r="B59" s="3563" t="s">
        <v>4571</v>
      </c>
      <c r="C59" s="3564"/>
      <c r="D59" s="3564"/>
      <c r="E59" s="3564"/>
      <c r="F59" s="3564"/>
      <c r="G59" s="3564"/>
      <c r="H59" s="3564"/>
      <c r="I59" s="3565"/>
    </row>
    <row r="60" spans="1:10" ht="18">
      <c r="A60" s="1229"/>
      <c r="B60" s="1258"/>
      <c r="C60" s="1229" t="s">
        <v>140</v>
      </c>
      <c r="D60" s="1229" t="s">
        <v>343</v>
      </c>
      <c r="E60" s="2679" t="s">
        <v>344</v>
      </c>
      <c r="F60" s="2679" t="s">
        <v>482</v>
      </c>
      <c r="G60" s="2679" t="s">
        <v>483</v>
      </c>
      <c r="H60" s="2679" t="s">
        <v>170</v>
      </c>
      <c r="I60" s="2679" t="s">
        <v>171</v>
      </c>
    </row>
    <row r="61" spans="1:10" ht="18">
      <c r="A61" s="1229"/>
      <c r="B61" s="1258" t="s">
        <v>6439</v>
      </c>
      <c r="C61" s="1264">
        <v>2.0499999999999998</v>
      </c>
      <c r="D61" s="401" t="s">
        <v>346</v>
      </c>
      <c r="E61" s="2679">
        <f>+OFICI</f>
        <v>80479.625344</v>
      </c>
      <c r="F61" s="2679"/>
      <c r="G61" s="2679"/>
      <c r="H61" s="1255">
        <f>+E61*C61</f>
        <v>164983.2319552</v>
      </c>
      <c r="I61" s="2679"/>
    </row>
    <row r="62" spans="1:10" ht="18">
      <c r="A62" s="1580" t="s">
        <v>347</v>
      </c>
      <c r="B62" s="185" t="s">
        <v>266</v>
      </c>
      <c r="C62" s="1264">
        <v>2.0499999999999998</v>
      </c>
      <c r="D62" s="401" t="s">
        <v>346</v>
      </c>
      <c r="E62" s="1255">
        <f>AYUDA*3</f>
        <v>196169.08677600001</v>
      </c>
      <c r="F62" s="1255"/>
      <c r="G62" s="1255"/>
      <c r="H62" s="1255">
        <f>+E62*C62</f>
        <v>402146.62789080001</v>
      </c>
      <c r="I62" s="2679"/>
    </row>
    <row r="63" spans="1:10" s="402" customFormat="1" ht="15" customHeight="1">
      <c r="A63" s="954"/>
      <c r="B63" s="185" t="s">
        <v>6426</v>
      </c>
      <c r="C63" s="183">
        <v>2.0499999999999998</v>
      </c>
      <c r="D63" s="401" t="s">
        <v>346</v>
      </c>
      <c r="E63" s="2679">
        <f>+'BASE 2'!D736</f>
        <v>18500</v>
      </c>
      <c r="F63" s="2679">
        <f>+E63*C63</f>
        <v>37925</v>
      </c>
      <c r="G63" s="2679"/>
      <c r="H63" s="2679"/>
      <c r="I63" s="2679"/>
      <c r="J63" s="507"/>
    </row>
    <row r="64" spans="1:10" ht="18">
      <c r="A64" s="1580" t="s">
        <v>172</v>
      </c>
      <c r="B64" s="185" t="s">
        <v>189</v>
      </c>
      <c r="C64" s="1264">
        <v>1</v>
      </c>
      <c r="D64" s="401" t="s">
        <v>583</v>
      </c>
      <c r="E64" s="2679">
        <f>+H65*0.05</f>
        <v>28356.492992300002</v>
      </c>
      <c r="F64" s="1255"/>
      <c r="G64" s="1255"/>
      <c r="H64" s="1255"/>
      <c r="I64" s="2679">
        <f>+E64*C64</f>
        <v>28356.492992300002</v>
      </c>
    </row>
    <row r="65" spans="1:10" ht="18">
      <c r="A65" s="2036" t="s">
        <v>190</v>
      </c>
      <c r="B65" s="1266">
        <f>SUM(F65:I65)</f>
        <v>633411.35283829994</v>
      </c>
      <c r="C65" s="687"/>
      <c r="D65" s="1267"/>
      <c r="E65" s="1255"/>
      <c r="F65" s="1255">
        <f>SUM(F61:F64)</f>
        <v>37925</v>
      </c>
      <c r="G65" s="1255">
        <f t="shared" ref="G65:I65" si="1">SUM(G61:G64)</f>
        <v>0</v>
      </c>
      <c r="H65" s="1255">
        <f>SUM(H61:H64)</f>
        <v>567129.85984599998</v>
      </c>
      <c r="I65" s="1255">
        <f t="shared" si="1"/>
        <v>28356.492992300002</v>
      </c>
    </row>
    <row r="66" spans="1:10" ht="18">
      <c r="A66" s="2036" t="s">
        <v>191</v>
      </c>
      <c r="B66" s="1587">
        <f>+B65</f>
        <v>633411.35283829994</v>
      </c>
      <c r="C66" s="1269" t="s">
        <v>427</v>
      </c>
      <c r="D66" s="863"/>
      <c r="E66" s="882">
        <f>+B74*0.15</f>
        <v>631690.5</v>
      </c>
      <c r="F66" s="882"/>
      <c r="G66" s="882"/>
      <c r="H66" s="882"/>
      <c r="I66" s="882"/>
    </row>
    <row r="67" spans="1:10" s="1260" customFormat="1" ht="15" customHeight="1">
      <c r="A67" s="1277"/>
      <c r="B67" s="1278"/>
      <c r="C67" s="1279"/>
      <c r="D67" s="402"/>
      <c r="E67" s="1280"/>
      <c r="F67" s="1280"/>
      <c r="G67" s="1280"/>
      <c r="H67" s="1280"/>
      <c r="I67" s="1280"/>
    </row>
    <row r="68" spans="1:10" ht="18">
      <c r="A68" s="2314" t="str">
        <f>+'CAPTACION RIO SINÚ'!A175</f>
        <v>2.2.4</v>
      </c>
      <c r="B68" s="3563" t="s">
        <v>6441</v>
      </c>
      <c r="C68" s="3564"/>
      <c r="D68" s="3564"/>
      <c r="E68" s="3564"/>
      <c r="F68" s="3564"/>
      <c r="G68" s="3564"/>
      <c r="H68" s="3564"/>
      <c r="I68" s="3565"/>
    </row>
    <row r="69" spans="1:10" ht="18">
      <c r="A69" s="1229"/>
      <c r="B69" s="1258"/>
      <c r="C69" s="1229" t="s">
        <v>140</v>
      </c>
      <c r="D69" s="1229" t="s">
        <v>343</v>
      </c>
      <c r="E69" s="2679" t="s">
        <v>344</v>
      </c>
      <c r="F69" s="2679" t="s">
        <v>482</v>
      </c>
      <c r="G69" s="2679" t="s">
        <v>483</v>
      </c>
      <c r="H69" s="2679" t="s">
        <v>170</v>
      </c>
      <c r="I69" s="2679" t="s">
        <v>171</v>
      </c>
    </row>
    <row r="70" spans="1:10" ht="18">
      <c r="A70" s="1580" t="s">
        <v>4131</v>
      </c>
      <c r="B70" s="185" t="s">
        <v>4368</v>
      </c>
      <c r="C70" s="1264">
        <v>1</v>
      </c>
      <c r="D70" s="401" t="s">
        <v>363</v>
      </c>
      <c r="E70" s="2679">
        <f>+'BASE 2'!D597</f>
        <v>3609270</v>
      </c>
      <c r="F70" s="2679"/>
      <c r="G70" s="2679">
        <f>+E70*C70</f>
        <v>3609270</v>
      </c>
      <c r="H70" s="2679"/>
      <c r="I70" s="2679"/>
    </row>
    <row r="71" spans="1:10" ht="18">
      <c r="A71" s="1580"/>
      <c r="B71" s="185" t="str">
        <f>+'BASE 2'!B622</f>
        <v>Juego de Tornillería y Empaques de 16"</v>
      </c>
      <c r="C71" s="1264">
        <v>2</v>
      </c>
      <c r="D71" s="401" t="s">
        <v>363</v>
      </c>
      <c r="E71" s="2679">
        <f>+'BASE 2'!D622</f>
        <v>295000</v>
      </c>
      <c r="F71" s="2679"/>
      <c r="G71" s="2679">
        <f>+E71*C71</f>
        <v>590000</v>
      </c>
      <c r="H71" s="2679"/>
      <c r="I71" s="2679"/>
    </row>
    <row r="72" spans="1:10" ht="18">
      <c r="A72" s="1580" t="s">
        <v>584</v>
      </c>
      <c r="B72" s="185" t="s">
        <v>134</v>
      </c>
      <c r="C72" s="1264">
        <v>0.01</v>
      </c>
      <c r="D72" s="401" t="s">
        <v>583</v>
      </c>
      <c r="E72" s="2679">
        <f>+VIAJE</f>
        <v>1200000</v>
      </c>
      <c r="F72" s="2679"/>
      <c r="G72" s="2679"/>
      <c r="H72" s="2679"/>
      <c r="I72" s="2679">
        <f>+E72*C72</f>
        <v>12000</v>
      </c>
    </row>
    <row r="73" spans="1:10" ht="18">
      <c r="A73" s="2036" t="s">
        <v>190</v>
      </c>
      <c r="B73" s="1266">
        <f>SUM(F73:I73)</f>
        <v>4211270</v>
      </c>
      <c r="C73" s="687"/>
      <c r="D73" s="1267"/>
      <c r="E73" s="1255"/>
      <c r="F73" s="1255">
        <f>SUM(F70:F72)</f>
        <v>0</v>
      </c>
      <c r="G73" s="1255">
        <f>SUM(G70:G72)</f>
        <v>4199270</v>
      </c>
      <c r="H73" s="1255">
        <f>SUM(H70:H72)</f>
        <v>0</v>
      </c>
      <c r="I73" s="2679">
        <f>SUM(I70:I72)</f>
        <v>12000</v>
      </c>
    </row>
    <row r="74" spans="1:10" ht="18">
      <c r="A74" s="2036" t="s">
        <v>191</v>
      </c>
      <c r="B74" s="1587">
        <f>+B73</f>
        <v>4211270</v>
      </c>
      <c r="C74" s="1269" t="s">
        <v>427</v>
      </c>
      <c r="D74" s="863"/>
      <c r="E74" s="882"/>
      <c r="F74" s="882"/>
      <c r="G74" s="882"/>
      <c r="H74" s="882"/>
      <c r="I74" s="882"/>
    </row>
    <row r="75" spans="1:10" s="2039" customFormat="1" ht="18">
      <c r="A75" s="2678"/>
      <c r="B75" s="185"/>
      <c r="C75" s="1282"/>
      <c r="D75" s="863"/>
      <c r="E75" s="882"/>
      <c r="F75" s="882"/>
      <c r="G75" s="882"/>
      <c r="H75" s="882"/>
      <c r="I75" s="882"/>
    </row>
    <row r="76" spans="1:10" s="1260" customFormat="1" ht="15" customHeight="1">
      <c r="A76" s="449" t="str">
        <f>+'CAPTACION RIO SINÚ'!A129</f>
        <v>2.1.5</v>
      </c>
      <c r="B76" s="3573" t="s">
        <v>4373</v>
      </c>
      <c r="C76" s="3573"/>
      <c r="D76" s="3573"/>
      <c r="E76" s="3573"/>
      <c r="F76" s="3573"/>
      <c r="G76" s="3573"/>
      <c r="H76" s="3573"/>
      <c r="I76" s="3573"/>
    </row>
    <row r="77" spans="1:10" s="1260" customFormat="1" ht="15" customHeight="1">
      <c r="A77" s="1261"/>
      <c r="B77" s="1262"/>
      <c r="C77" s="1229" t="s">
        <v>140</v>
      </c>
      <c r="D77" s="1229" t="s">
        <v>343</v>
      </c>
      <c r="E77" s="2679" t="s">
        <v>344</v>
      </c>
      <c r="F77" s="2679" t="s">
        <v>482</v>
      </c>
      <c r="G77" s="2679" t="s">
        <v>483</v>
      </c>
      <c r="H77" s="2679" t="s">
        <v>232</v>
      </c>
      <c r="I77" s="2679" t="s">
        <v>171</v>
      </c>
    </row>
    <row r="78" spans="1:10" ht="18">
      <c r="A78" s="1229"/>
      <c r="B78" s="1258" t="s">
        <v>6439</v>
      </c>
      <c r="C78" s="1264">
        <v>4.5</v>
      </c>
      <c r="D78" s="401" t="s">
        <v>346</v>
      </c>
      <c r="E78" s="2679">
        <f>+OFICI</f>
        <v>80479.625344</v>
      </c>
      <c r="F78" s="2679"/>
      <c r="G78" s="2679"/>
      <c r="H78" s="1255">
        <f>+E78*C78</f>
        <v>362158.31404800003</v>
      </c>
      <c r="I78" s="2679"/>
    </row>
    <row r="79" spans="1:10" s="402" customFormat="1" ht="15" customHeight="1">
      <c r="A79" s="1261" t="s">
        <v>347</v>
      </c>
      <c r="B79" s="185" t="s">
        <v>266</v>
      </c>
      <c r="C79" s="1264">
        <v>4.5</v>
      </c>
      <c r="D79" s="1229" t="s">
        <v>346</v>
      </c>
      <c r="E79" s="2679">
        <f>+AYUDA*2</f>
        <v>130779.39118400001</v>
      </c>
      <c r="F79" s="2679"/>
      <c r="G79" s="2679"/>
      <c r="H79" s="2679">
        <f>+E79*C79</f>
        <v>588507.26032800006</v>
      </c>
      <c r="I79" s="2679"/>
      <c r="J79" s="1260"/>
    </row>
    <row r="80" spans="1:10" s="402" customFormat="1" ht="15" customHeight="1">
      <c r="A80" s="954"/>
      <c r="B80" s="185" t="s">
        <v>6426</v>
      </c>
      <c r="C80" s="183">
        <v>4.5</v>
      </c>
      <c r="D80" s="401" t="s">
        <v>346</v>
      </c>
      <c r="E80" s="2679">
        <f>+'BASE 2'!D736</f>
        <v>18500</v>
      </c>
      <c r="F80" s="2679">
        <f>+E80*C80</f>
        <v>83250</v>
      </c>
      <c r="G80" s="2679"/>
      <c r="H80" s="2679"/>
      <c r="I80" s="2679"/>
      <c r="J80" s="507"/>
    </row>
    <row r="81" spans="1:256" s="402" customFormat="1" ht="15" customHeight="1">
      <c r="A81" s="1261" t="s">
        <v>172</v>
      </c>
      <c r="B81" s="184" t="s">
        <v>189</v>
      </c>
      <c r="C81" s="1264">
        <v>1</v>
      </c>
      <c r="D81" s="1229" t="s">
        <v>583</v>
      </c>
      <c r="E81" s="2679">
        <f>+H82*0.05</f>
        <v>47533.278718800007</v>
      </c>
      <c r="F81" s="2679"/>
      <c r="G81" s="2679"/>
      <c r="H81" s="2679"/>
      <c r="I81" s="2679">
        <f>+E81*C81</f>
        <v>47533.278718800007</v>
      </c>
      <c r="J81" s="1260"/>
    </row>
    <row r="82" spans="1:256" s="1260" customFormat="1" ht="15" customHeight="1">
      <c r="A82" s="1265" t="s">
        <v>190</v>
      </c>
      <c r="B82" s="1266">
        <f>SUM(F82:I82)</f>
        <v>1081448.8530948001</v>
      </c>
      <c r="C82" s="401"/>
      <c r="D82" s="1267"/>
      <c r="E82" s="2679"/>
      <c r="F82" s="2679">
        <f>SUM(F78:F81)</f>
        <v>83250</v>
      </c>
      <c r="G82" s="2679">
        <f>SUM(G78:G81)</f>
        <v>0</v>
      </c>
      <c r="H82" s="2679">
        <f>SUM(H78:H81)</f>
        <v>950665.57437600009</v>
      </c>
      <c r="I82" s="2679">
        <f>SUM(I78:I81)</f>
        <v>47533.278718800007</v>
      </c>
    </row>
    <row r="83" spans="1:256" s="1260" customFormat="1" ht="15" customHeight="1">
      <c r="A83" s="1265" t="s">
        <v>191</v>
      </c>
      <c r="B83" s="1268">
        <f>+B82</f>
        <v>1081448.8530948001</v>
      </c>
      <c r="C83" s="1269" t="s">
        <v>363</v>
      </c>
      <c r="D83" s="863"/>
      <c r="E83" s="882">
        <f>+B91*0.15</f>
        <v>1067448.81</v>
      </c>
      <c r="F83" s="1905"/>
      <c r="G83" s="882"/>
      <c r="H83" s="882"/>
      <c r="I83" s="882"/>
    </row>
    <row r="84" spans="1:256" s="498" customFormat="1" ht="15" customHeight="1">
      <c r="A84" s="1270"/>
      <c r="B84" s="1271"/>
      <c r="C84" s="1272"/>
      <c r="D84" s="1273"/>
      <c r="E84" s="503"/>
      <c r="F84" s="503"/>
      <c r="G84" s="503"/>
      <c r="H84" s="503"/>
      <c r="I84" s="503"/>
      <c r="N84" s="499"/>
      <c r="O84" s="499"/>
      <c r="P84" s="499"/>
      <c r="Q84" s="499"/>
      <c r="R84" s="499"/>
      <c r="S84" s="499"/>
      <c r="T84" s="499"/>
      <c r="U84" s="499"/>
      <c r="V84" s="499"/>
      <c r="W84" s="499"/>
      <c r="X84" s="499"/>
      <c r="Y84" s="499"/>
      <c r="Z84" s="499"/>
      <c r="AA84" s="499"/>
      <c r="AB84" s="499"/>
      <c r="AC84" s="499"/>
      <c r="AD84" s="499"/>
      <c r="AE84" s="499"/>
      <c r="AF84" s="499"/>
      <c r="AG84" s="499"/>
      <c r="AH84" s="499"/>
      <c r="AI84" s="499"/>
      <c r="AJ84" s="499"/>
      <c r="AK84" s="499"/>
      <c r="AL84" s="499"/>
      <c r="AM84" s="499"/>
      <c r="AN84" s="499"/>
      <c r="AO84" s="499"/>
      <c r="AP84" s="499"/>
      <c r="AQ84" s="499"/>
      <c r="AR84" s="499"/>
      <c r="AS84" s="499"/>
      <c r="AT84" s="499"/>
      <c r="AU84" s="499"/>
      <c r="AV84" s="499"/>
      <c r="AW84" s="499"/>
      <c r="AX84" s="499"/>
      <c r="AY84" s="499"/>
      <c r="AZ84" s="499"/>
      <c r="BA84" s="499"/>
      <c r="BB84" s="499"/>
      <c r="BC84" s="499"/>
      <c r="BD84" s="499"/>
      <c r="BE84" s="499"/>
      <c r="BF84" s="499"/>
      <c r="BG84" s="499"/>
      <c r="BH84" s="499"/>
      <c r="BI84" s="499"/>
      <c r="BJ84" s="499"/>
      <c r="BK84" s="499"/>
      <c r="BL84" s="499"/>
      <c r="BM84" s="499"/>
      <c r="BN84" s="499"/>
      <c r="BO84" s="499"/>
      <c r="BP84" s="499"/>
      <c r="BQ84" s="499"/>
      <c r="BR84" s="499"/>
      <c r="BS84" s="499"/>
      <c r="BT84" s="499"/>
      <c r="BU84" s="499"/>
      <c r="BV84" s="499"/>
      <c r="BW84" s="499"/>
      <c r="BX84" s="499"/>
      <c r="BY84" s="499"/>
      <c r="BZ84" s="499"/>
      <c r="CA84" s="499"/>
      <c r="CB84" s="499"/>
      <c r="CC84" s="499"/>
      <c r="CD84" s="499"/>
      <c r="CE84" s="499"/>
      <c r="CF84" s="499"/>
      <c r="CG84" s="499"/>
      <c r="CH84" s="499"/>
      <c r="CI84" s="499"/>
      <c r="CJ84" s="499"/>
      <c r="CK84" s="499"/>
      <c r="CL84" s="499"/>
      <c r="CM84" s="499"/>
      <c r="CN84" s="499"/>
      <c r="CO84" s="499"/>
      <c r="CP84" s="499"/>
      <c r="CQ84" s="499"/>
      <c r="CR84" s="499"/>
      <c r="CS84" s="499"/>
      <c r="CT84" s="499"/>
      <c r="CU84" s="499"/>
      <c r="CV84" s="499"/>
      <c r="CW84" s="499"/>
      <c r="CX84" s="499"/>
      <c r="CY84" s="499"/>
      <c r="CZ84" s="499"/>
      <c r="DA84" s="499"/>
      <c r="DB84" s="499"/>
      <c r="DC84" s="499"/>
      <c r="DD84" s="499"/>
      <c r="DE84" s="499"/>
      <c r="DF84" s="499"/>
      <c r="DG84" s="499"/>
      <c r="DH84" s="499"/>
      <c r="DI84" s="499"/>
      <c r="DJ84" s="499"/>
      <c r="DK84" s="499"/>
      <c r="DL84" s="499"/>
      <c r="DM84" s="499"/>
      <c r="DN84" s="499"/>
      <c r="DO84" s="499"/>
      <c r="DP84" s="499"/>
      <c r="DQ84" s="499"/>
      <c r="DR84" s="499"/>
      <c r="DS84" s="499"/>
      <c r="DT84" s="499"/>
      <c r="DU84" s="499"/>
      <c r="DV84" s="499"/>
      <c r="DW84" s="499"/>
      <c r="DX84" s="499"/>
      <c r="DY84" s="499"/>
      <c r="DZ84" s="499"/>
      <c r="EA84" s="499"/>
      <c r="EB84" s="499"/>
      <c r="EC84" s="499"/>
      <c r="ED84" s="499"/>
      <c r="EE84" s="499"/>
      <c r="EF84" s="499"/>
      <c r="EG84" s="499"/>
      <c r="EH84" s="499"/>
      <c r="EI84" s="499"/>
      <c r="EJ84" s="499"/>
      <c r="EK84" s="499"/>
      <c r="EL84" s="499"/>
      <c r="EM84" s="499"/>
      <c r="EN84" s="499"/>
      <c r="EO84" s="499"/>
      <c r="EP84" s="499"/>
      <c r="EQ84" s="499"/>
      <c r="ER84" s="499"/>
      <c r="ES84" s="499"/>
      <c r="ET84" s="499"/>
      <c r="EU84" s="499"/>
      <c r="EV84" s="499"/>
      <c r="EW84" s="499"/>
      <c r="EX84" s="499"/>
      <c r="EY84" s="499"/>
      <c r="EZ84" s="499"/>
      <c r="FA84" s="499"/>
      <c r="FB84" s="499"/>
      <c r="FC84" s="499"/>
      <c r="FD84" s="499"/>
      <c r="FE84" s="499"/>
      <c r="FF84" s="499"/>
      <c r="FG84" s="499"/>
      <c r="FH84" s="499"/>
      <c r="FI84" s="499"/>
      <c r="FJ84" s="499"/>
      <c r="FK84" s="499"/>
      <c r="FL84" s="499"/>
      <c r="FM84" s="499"/>
      <c r="FN84" s="499"/>
      <c r="FO84" s="499"/>
      <c r="FP84" s="499"/>
      <c r="FQ84" s="499"/>
      <c r="FR84" s="499"/>
      <c r="FS84" s="499"/>
      <c r="FT84" s="499"/>
      <c r="FU84" s="499"/>
      <c r="FV84" s="499"/>
      <c r="FW84" s="499"/>
      <c r="FX84" s="499"/>
      <c r="FY84" s="499"/>
      <c r="FZ84" s="499"/>
      <c r="GA84" s="499"/>
      <c r="GB84" s="499"/>
      <c r="GC84" s="499"/>
      <c r="GD84" s="499"/>
      <c r="GE84" s="499"/>
      <c r="GF84" s="499"/>
      <c r="GG84" s="499"/>
      <c r="GH84" s="499"/>
      <c r="GI84" s="499"/>
      <c r="GJ84" s="499"/>
      <c r="GK84" s="499"/>
      <c r="GL84" s="499"/>
      <c r="GM84" s="499"/>
      <c r="GN84" s="499"/>
      <c r="GO84" s="499"/>
      <c r="GP84" s="499"/>
      <c r="GQ84" s="499"/>
      <c r="GR84" s="499"/>
      <c r="GS84" s="499"/>
      <c r="GT84" s="499"/>
      <c r="GU84" s="499"/>
      <c r="GV84" s="499"/>
      <c r="GW84" s="499"/>
      <c r="GX84" s="499"/>
      <c r="GY84" s="499"/>
      <c r="GZ84" s="499"/>
      <c r="HA84" s="499"/>
      <c r="HB84" s="499"/>
      <c r="HC84" s="499"/>
      <c r="HD84" s="499"/>
      <c r="HE84" s="499"/>
      <c r="HF84" s="499"/>
      <c r="HG84" s="499"/>
      <c r="HH84" s="499"/>
      <c r="HI84" s="499"/>
      <c r="HJ84" s="499"/>
      <c r="HK84" s="499"/>
      <c r="HL84" s="499"/>
      <c r="HM84" s="499"/>
      <c r="HN84" s="499"/>
      <c r="HO84" s="499"/>
      <c r="HP84" s="499"/>
      <c r="HQ84" s="499"/>
      <c r="HR84" s="499"/>
      <c r="HS84" s="499"/>
      <c r="HT84" s="499"/>
      <c r="HU84" s="499"/>
      <c r="HV84" s="499"/>
      <c r="HW84" s="499"/>
      <c r="HX84" s="499"/>
      <c r="HY84" s="499"/>
      <c r="HZ84" s="499"/>
      <c r="IA84" s="499"/>
      <c r="IB84" s="499"/>
      <c r="IC84" s="499"/>
      <c r="ID84" s="499"/>
      <c r="IE84" s="499"/>
      <c r="IF84" s="499"/>
      <c r="IG84" s="499"/>
      <c r="IH84" s="499"/>
      <c r="II84" s="499"/>
      <c r="IJ84" s="499"/>
      <c r="IK84" s="499"/>
      <c r="IL84" s="499"/>
      <c r="IM84" s="499"/>
      <c r="IN84" s="499"/>
      <c r="IO84" s="499"/>
      <c r="IP84" s="499"/>
      <c r="IQ84" s="499"/>
      <c r="IR84" s="499"/>
      <c r="IS84" s="499"/>
      <c r="IT84" s="499"/>
      <c r="IU84" s="499"/>
      <c r="IV84" s="499"/>
    </row>
    <row r="85" spans="1:256" s="1260" customFormat="1" ht="15" customHeight="1">
      <c r="A85" s="449" t="str">
        <f>+'CAPTACION RIO SINÚ'!A176</f>
        <v>2.2.5</v>
      </c>
      <c r="B85" s="3573" t="s">
        <v>4374</v>
      </c>
      <c r="C85" s="3573"/>
      <c r="D85" s="3573"/>
      <c r="E85" s="3573"/>
      <c r="F85" s="3573"/>
      <c r="G85" s="3573"/>
      <c r="H85" s="3573"/>
      <c r="I85" s="3573"/>
    </row>
    <row r="86" spans="1:256" s="1260" customFormat="1" ht="15" customHeight="1">
      <c r="A86" s="1261"/>
      <c r="B86" s="1262"/>
      <c r="C86" s="1229" t="s">
        <v>140</v>
      </c>
      <c r="D86" s="1229" t="s">
        <v>343</v>
      </c>
      <c r="E86" s="2679" t="s">
        <v>344</v>
      </c>
      <c r="F86" s="2679" t="s">
        <v>482</v>
      </c>
      <c r="G86" s="2679" t="s">
        <v>483</v>
      </c>
      <c r="H86" s="2679" t="s">
        <v>232</v>
      </c>
      <c r="I86" s="2679" t="s">
        <v>171</v>
      </c>
    </row>
    <row r="87" spans="1:256" s="1260" customFormat="1" ht="15" customHeight="1">
      <c r="A87" s="954" t="s">
        <v>762</v>
      </c>
      <c r="B87" s="185" t="s">
        <v>6444</v>
      </c>
      <c r="C87" s="1264">
        <v>1</v>
      </c>
      <c r="D87" s="1274" t="s">
        <v>363</v>
      </c>
      <c r="E87" s="1255">
        <f>+'BASE 2'!D656</f>
        <v>6514325.4000000013</v>
      </c>
      <c r="F87" s="1255"/>
      <c r="G87" s="1255">
        <f>+E87*C87</f>
        <v>6514325.4000000013</v>
      </c>
      <c r="H87" s="1255"/>
      <c r="I87" s="1255"/>
    </row>
    <row r="88" spans="1:256" ht="18">
      <c r="A88" s="1580"/>
      <c r="B88" s="185" t="str">
        <f>+'BASE 2'!B622</f>
        <v>Juego de Tornillería y Empaques de 16"</v>
      </c>
      <c r="C88" s="1264">
        <v>2</v>
      </c>
      <c r="D88" s="401" t="s">
        <v>363</v>
      </c>
      <c r="E88" s="2679">
        <f>+'BASE 2'!D622</f>
        <v>295000</v>
      </c>
      <c r="F88" s="2679"/>
      <c r="G88" s="2679">
        <f>+E88*C88</f>
        <v>590000</v>
      </c>
      <c r="H88" s="2679"/>
      <c r="I88" s="2679"/>
    </row>
    <row r="89" spans="1:256" s="402" customFormat="1" ht="15" customHeight="1">
      <c r="A89" s="1261" t="s">
        <v>584</v>
      </c>
      <c r="B89" s="1275" t="s">
        <v>134</v>
      </c>
      <c r="C89" s="183">
        <f>0.01</f>
        <v>0.01</v>
      </c>
      <c r="D89" s="401" t="s">
        <v>583</v>
      </c>
      <c r="E89" s="1276">
        <f>+VIAJE</f>
        <v>1200000</v>
      </c>
      <c r="F89" s="2679"/>
      <c r="G89" s="2679"/>
      <c r="H89" s="2679"/>
      <c r="I89" s="2679">
        <f>+E89*C89</f>
        <v>12000</v>
      </c>
      <c r="J89" s="1260"/>
    </row>
    <row r="90" spans="1:256" s="1260" customFormat="1" ht="15" customHeight="1">
      <c r="A90" s="1265" t="s">
        <v>190</v>
      </c>
      <c r="B90" s="1266">
        <f>SUM(F90:I90)</f>
        <v>7116325.4000000013</v>
      </c>
      <c r="C90" s="401"/>
      <c r="D90" s="1267"/>
      <c r="E90" s="2679"/>
      <c r="F90" s="2679">
        <f>SUM(F85:F89)</f>
        <v>0</v>
      </c>
      <c r="G90" s="2679">
        <f>SUM(G85:G89)</f>
        <v>7104325.4000000013</v>
      </c>
      <c r="H90" s="2679">
        <f>SUM(H85:H89)</f>
        <v>0</v>
      </c>
      <c r="I90" s="2679">
        <f>SUM(I85:I89)</f>
        <v>12000</v>
      </c>
    </row>
    <row r="91" spans="1:256" s="1260" customFormat="1" ht="15.75" customHeight="1">
      <c r="A91" s="1265" t="s">
        <v>191</v>
      </c>
      <c r="B91" s="1268">
        <f>+B90</f>
        <v>7116325.4000000013</v>
      </c>
      <c r="C91" s="1269" t="s">
        <v>363</v>
      </c>
      <c r="D91" s="863"/>
      <c r="E91" s="882"/>
      <c r="F91" s="1905"/>
      <c r="G91" s="882"/>
      <c r="H91" s="882"/>
      <c r="I91" s="882"/>
    </row>
    <row r="92" spans="1:256" s="1260" customFormat="1" ht="15.75" customHeight="1">
      <c r="A92" s="954"/>
      <c r="B92" s="1281"/>
      <c r="C92" s="1282"/>
      <c r="D92" s="863"/>
      <c r="E92" s="882"/>
      <c r="F92" s="1905"/>
      <c r="G92" s="882"/>
      <c r="H92" s="882"/>
      <c r="I92" s="882"/>
    </row>
    <row r="93" spans="1:256" ht="18">
      <c r="A93" s="2314" t="str">
        <f>+'CAPTACION RIO SINÚ'!A130</f>
        <v>2.1.6</v>
      </c>
      <c r="B93" s="3562" t="s">
        <v>4375</v>
      </c>
      <c r="C93" s="3562"/>
      <c r="D93" s="3562"/>
      <c r="E93" s="3562"/>
      <c r="F93" s="3562"/>
      <c r="G93" s="3562"/>
      <c r="H93" s="3562"/>
      <c r="I93" s="3562"/>
    </row>
    <row r="94" spans="1:256" ht="18">
      <c r="A94" s="2043"/>
      <c r="B94" s="2044"/>
      <c r="C94" s="1229" t="s">
        <v>140</v>
      </c>
      <c r="D94" s="1229" t="s">
        <v>343</v>
      </c>
      <c r="E94" s="1814" t="s">
        <v>344</v>
      </c>
      <c r="F94" s="1814" t="s">
        <v>482</v>
      </c>
      <c r="G94" s="1814" t="s">
        <v>483</v>
      </c>
      <c r="H94" s="1814" t="s">
        <v>170</v>
      </c>
      <c r="I94" s="1814" t="s">
        <v>171</v>
      </c>
    </row>
    <row r="95" spans="1:256" ht="18">
      <c r="A95" s="1229"/>
      <c r="B95" s="1258" t="s">
        <v>6439</v>
      </c>
      <c r="C95" s="1264">
        <v>2.08</v>
      </c>
      <c r="D95" s="401" t="s">
        <v>346</v>
      </c>
      <c r="E95" s="2679">
        <f>+OFICI</f>
        <v>80479.625344</v>
      </c>
      <c r="F95" s="2679"/>
      <c r="G95" s="2679"/>
      <c r="H95" s="1255">
        <f>+E95*C95</f>
        <v>167397.62071552</v>
      </c>
      <c r="I95" s="2679"/>
    </row>
    <row r="96" spans="1:256" s="402" customFormat="1" ht="15" customHeight="1">
      <c r="A96" s="1261" t="s">
        <v>347</v>
      </c>
      <c r="B96" s="185" t="s">
        <v>266</v>
      </c>
      <c r="C96" s="1264">
        <v>2.08</v>
      </c>
      <c r="D96" s="1229" t="s">
        <v>346</v>
      </c>
      <c r="E96" s="2679">
        <f>+AYUDA*2</f>
        <v>130779.39118400001</v>
      </c>
      <c r="F96" s="2679"/>
      <c r="G96" s="2679"/>
      <c r="H96" s="2679">
        <f>+E96*C96</f>
        <v>272021.13366272004</v>
      </c>
      <c r="I96" s="2679"/>
      <c r="J96" s="1260"/>
    </row>
    <row r="97" spans="1:11" s="402" customFormat="1" ht="15" customHeight="1">
      <c r="A97" s="954"/>
      <c r="B97" s="185" t="s">
        <v>6426</v>
      </c>
      <c r="C97" s="183">
        <v>2.08</v>
      </c>
      <c r="D97" s="401" t="s">
        <v>346</v>
      </c>
      <c r="E97" s="2679">
        <f>+'BASE 2'!D736</f>
        <v>18500</v>
      </c>
      <c r="F97" s="2679">
        <f>+E97*C97</f>
        <v>38480</v>
      </c>
      <c r="G97" s="2679"/>
      <c r="H97" s="2679"/>
      <c r="I97" s="2679"/>
      <c r="J97" s="507"/>
    </row>
    <row r="98" spans="1:11" ht="18">
      <c r="A98" s="2042" t="s">
        <v>770</v>
      </c>
      <c r="B98" s="185" t="s">
        <v>771</v>
      </c>
      <c r="C98" s="1264">
        <v>1</v>
      </c>
      <c r="D98" s="401" t="s">
        <v>133</v>
      </c>
      <c r="E98" s="1581">
        <f>+LUBRI</f>
        <v>12500.1</v>
      </c>
      <c r="F98" s="1581"/>
      <c r="G98" s="1581">
        <f>+E98*C98</f>
        <v>12500.1</v>
      </c>
      <c r="H98" s="1581"/>
      <c r="I98" s="1581"/>
    </row>
    <row r="99" spans="1:11" ht="18">
      <c r="A99" s="2042" t="s">
        <v>172</v>
      </c>
      <c r="B99" s="185" t="s">
        <v>189</v>
      </c>
      <c r="C99" s="1264">
        <v>1</v>
      </c>
      <c r="D99" s="401" t="s">
        <v>583</v>
      </c>
      <c r="E99" s="1581">
        <f>+H100*0.05</f>
        <v>21970.937718912002</v>
      </c>
      <c r="F99" s="1581"/>
      <c r="G99" s="1581"/>
      <c r="H99" s="1581"/>
      <c r="I99" s="1581">
        <f>+E99*C99</f>
        <v>21970.937718912002</v>
      </c>
    </row>
    <row r="100" spans="1:11" ht="18">
      <c r="A100" s="2040" t="s">
        <v>190</v>
      </c>
      <c r="B100" s="1266">
        <f>SUM(F100:I100)</f>
        <v>512369.79209715204</v>
      </c>
      <c r="C100" s="401"/>
      <c r="D100" s="1267"/>
      <c r="E100" s="1581"/>
      <c r="F100" s="1581">
        <f>SUM(F95:F99)</f>
        <v>38480</v>
      </c>
      <c r="G100" s="1581">
        <f>SUM(G95:G99)</f>
        <v>12500.1</v>
      </c>
      <c r="H100" s="1581">
        <f>SUM(H95:H99)</f>
        <v>439418.75437824003</v>
      </c>
      <c r="I100" s="1581">
        <f>SUM(I95:I99)</f>
        <v>21970.937718912002</v>
      </c>
    </row>
    <row r="101" spans="1:11" ht="18">
      <c r="A101" s="2040" t="s">
        <v>191</v>
      </c>
      <c r="B101" s="1587">
        <f>+B100</f>
        <v>512369.79209715204</v>
      </c>
      <c r="C101" s="2045" t="s">
        <v>363</v>
      </c>
      <c r="D101" s="863"/>
      <c r="E101" s="864">
        <f>+B109*0.15</f>
        <v>510622.5</v>
      </c>
      <c r="F101" s="864"/>
      <c r="G101" s="864"/>
      <c r="H101" s="864"/>
      <c r="I101" s="864"/>
    </row>
    <row r="102" spans="1:11" ht="18">
      <c r="A102" s="2046"/>
      <c r="B102" s="1907"/>
      <c r="C102" s="504"/>
      <c r="D102" s="504"/>
      <c r="E102" s="506"/>
      <c r="F102" s="506"/>
      <c r="G102" s="506"/>
      <c r="H102" s="506"/>
      <c r="I102" s="506"/>
    </row>
    <row r="103" spans="1:11" ht="18">
      <c r="A103" s="2314" t="str">
        <f>+'CAPTACION RIO SINÚ'!A177</f>
        <v>2.2.6</v>
      </c>
      <c r="B103" s="3562" t="s">
        <v>4376</v>
      </c>
      <c r="C103" s="3562"/>
      <c r="D103" s="3562"/>
      <c r="E103" s="3562"/>
      <c r="F103" s="3562"/>
      <c r="G103" s="3562"/>
      <c r="H103" s="3562"/>
      <c r="I103" s="3562"/>
    </row>
    <row r="104" spans="1:11" ht="18">
      <c r="A104" s="2043"/>
      <c r="B104" s="2044"/>
      <c r="C104" s="1229" t="s">
        <v>140</v>
      </c>
      <c r="D104" s="1229" t="s">
        <v>343</v>
      </c>
      <c r="E104" s="1814" t="s">
        <v>344</v>
      </c>
      <c r="F104" s="1814" t="s">
        <v>482</v>
      </c>
      <c r="G104" s="1814" t="s">
        <v>483</v>
      </c>
      <c r="H104" s="1814" t="s">
        <v>170</v>
      </c>
      <c r="I104" s="1814" t="s">
        <v>171</v>
      </c>
    </row>
    <row r="105" spans="1:11" ht="32.25" customHeight="1">
      <c r="A105" s="2042" t="s">
        <v>326</v>
      </c>
      <c r="B105" s="242" t="s">
        <v>4360</v>
      </c>
      <c r="C105" s="183">
        <v>1</v>
      </c>
      <c r="D105" s="501" t="s">
        <v>363</v>
      </c>
      <c r="E105" s="1804">
        <f>+'BASE 2'!D497</f>
        <v>3076150</v>
      </c>
      <c r="F105" s="1581"/>
      <c r="G105" s="1581">
        <f>+E105*C105</f>
        <v>3076150</v>
      </c>
      <c r="H105" s="1581"/>
      <c r="I105" s="1581"/>
      <c r="K105" s="181">
        <f>+VCELA10</f>
        <v>4550000</v>
      </c>
    </row>
    <row r="106" spans="1:11" ht="21.75" customHeight="1">
      <c r="A106" s="2042"/>
      <c r="B106" s="242" t="s">
        <v>6445</v>
      </c>
      <c r="C106" s="183">
        <v>2</v>
      </c>
      <c r="D106" s="501" t="s">
        <v>363</v>
      </c>
      <c r="E106" s="1804">
        <f>+'BASE 2'!D624</f>
        <v>152000</v>
      </c>
      <c r="F106" s="1581"/>
      <c r="G106" s="1581">
        <f>+E106*C106</f>
        <v>304000</v>
      </c>
      <c r="H106" s="1581"/>
      <c r="I106" s="1581"/>
    </row>
    <row r="107" spans="1:11" ht="18">
      <c r="A107" s="2042" t="s">
        <v>584</v>
      </c>
      <c r="B107" s="185" t="s">
        <v>134</v>
      </c>
      <c r="C107" s="1264">
        <v>0.02</v>
      </c>
      <c r="D107" s="401" t="s">
        <v>583</v>
      </c>
      <c r="E107" s="1581">
        <f>+VIAJE</f>
        <v>1200000</v>
      </c>
      <c r="F107" s="1581"/>
      <c r="G107" s="1581"/>
      <c r="H107" s="1581"/>
      <c r="I107" s="1581">
        <f>+E107*C107</f>
        <v>24000</v>
      </c>
    </row>
    <row r="108" spans="1:11" ht="18">
      <c r="A108" s="2040" t="s">
        <v>190</v>
      </c>
      <c r="B108" s="1266">
        <f>SUM(F108:I108)</f>
        <v>3404150</v>
      </c>
      <c r="C108" s="401"/>
      <c r="D108" s="1267"/>
      <c r="E108" s="1581"/>
      <c r="F108" s="1581">
        <f>SUM(F105:F107)</f>
        <v>0</v>
      </c>
      <c r="G108" s="1581">
        <f t="shared" ref="G108:H108" si="2">SUM(G105:G107)</f>
        <v>3380150</v>
      </c>
      <c r="H108" s="1581">
        <f t="shared" si="2"/>
        <v>0</v>
      </c>
      <c r="I108" s="1581">
        <f>SUM(I105:I107)</f>
        <v>24000</v>
      </c>
    </row>
    <row r="109" spans="1:11" ht="18">
      <c r="A109" s="2040" t="s">
        <v>191</v>
      </c>
      <c r="B109" s="1587">
        <f>+B108</f>
        <v>3404150</v>
      </c>
      <c r="C109" s="2045" t="s">
        <v>363</v>
      </c>
      <c r="D109" s="863"/>
      <c r="E109" s="864"/>
      <c r="F109" s="864"/>
      <c r="G109" s="864"/>
      <c r="H109" s="864"/>
      <c r="I109" s="864"/>
    </row>
    <row r="110" spans="1:11" s="2039" customFormat="1" ht="18">
      <c r="A110" s="2042"/>
      <c r="B110" s="185"/>
      <c r="C110" s="1580"/>
      <c r="D110" s="863"/>
      <c r="E110" s="864"/>
      <c r="F110" s="864"/>
      <c r="G110" s="864"/>
      <c r="H110" s="864"/>
      <c r="I110" s="864"/>
    </row>
    <row r="111" spans="1:11" ht="18">
      <c r="A111" s="2314" t="str">
        <f>+'CAPTACION RIO SINÚ'!A131</f>
        <v>2.1.7</v>
      </c>
      <c r="B111" s="3562" t="s">
        <v>4377</v>
      </c>
      <c r="C111" s="3562"/>
      <c r="D111" s="3562"/>
      <c r="E111" s="3562"/>
      <c r="F111" s="3562"/>
      <c r="G111" s="3562"/>
      <c r="H111" s="3562"/>
      <c r="I111" s="3562"/>
    </row>
    <row r="112" spans="1:11" ht="18">
      <c r="A112" s="509"/>
      <c r="B112" s="2044"/>
      <c r="C112" s="1229" t="s">
        <v>140</v>
      </c>
      <c r="D112" s="1229" t="s">
        <v>343</v>
      </c>
      <c r="E112" s="1814" t="s">
        <v>344</v>
      </c>
      <c r="F112" s="1814" t="s">
        <v>482</v>
      </c>
      <c r="G112" s="1814" t="s">
        <v>483</v>
      </c>
      <c r="H112" s="1814" t="s">
        <v>170</v>
      </c>
      <c r="I112" s="1814" t="s">
        <v>171</v>
      </c>
    </row>
    <row r="113" spans="1:10" ht="18">
      <c r="A113" s="1229"/>
      <c r="B113" s="1258" t="s">
        <v>6439</v>
      </c>
      <c r="C113" s="1264">
        <v>1.4</v>
      </c>
      <c r="D113" s="401" t="s">
        <v>346</v>
      </c>
      <c r="E113" s="2679">
        <f>+OFICI</f>
        <v>80479.625344</v>
      </c>
      <c r="F113" s="2679"/>
      <c r="G113" s="2679"/>
      <c r="H113" s="1255">
        <f>+E113*C113</f>
        <v>112671.47548159999</v>
      </c>
      <c r="I113" s="2679"/>
    </row>
    <row r="114" spans="1:10" s="402" customFormat="1" ht="15" customHeight="1">
      <c r="A114" s="1261" t="s">
        <v>347</v>
      </c>
      <c r="B114" s="185" t="s">
        <v>266</v>
      </c>
      <c r="C114" s="1264">
        <v>1.4</v>
      </c>
      <c r="D114" s="1229" t="s">
        <v>346</v>
      </c>
      <c r="E114" s="2679">
        <f>+AYUDA*2</f>
        <v>130779.39118400001</v>
      </c>
      <c r="F114" s="2679"/>
      <c r="G114" s="2679"/>
      <c r="H114" s="2679">
        <f>+E114*C114</f>
        <v>183091.1476576</v>
      </c>
      <c r="I114" s="2679"/>
      <c r="J114" s="1260"/>
    </row>
    <row r="115" spans="1:10" s="402" customFormat="1" ht="15" customHeight="1">
      <c r="A115" s="954"/>
      <c r="B115" s="185" t="s">
        <v>6426</v>
      </c>
      <c r="C115" s="183">
        <v>1.4</v>
      </c>
      <c r="D115" s="401" t="s">
        <v>346</v>
      </c>
      <c r="E115" s="2679">
        <f>+'BASE 2'!D736</f>
        <v>18500</v>
      </c>
      <c r="F115" s="2679">
        <f>+E115*C115</f>
        <v>25900</v>
      </c>
      <c r="G115" s="2679"/>
      <c r="H115" s="2679"/>
      <c r="I115" s="2679"/>
      <c r="J115" s="507"/>
    </row>
    <row r="116" spans="1:10" ht="18">
      <c r="A116" s="2042" t="s">
        <v>770</v>
      </c>
      <c r="B116" s="185" t="s">
        <v>771</v>
      </c>
      <c r="C116" s="1264">
        <v>1</v>
      </c>
      <c r="D116" s="401" t="s">
        <v>133</v>
      </c>
      <c r="E116" s="1581">
        <f>+LUBRI</f>
        <v>12500.1</v>
      </c>
      <c r="F116" s="1581"/>
      <c r="G116" s="1581">
        <f>+E116*C116</f>
        <v>12500.1</v>
      </c>
      <c r="H116" s="1581"/>
      <c r="I116" s="1581"/>
    </row>
    <row r="117" spans="1:10" ht="18">
      <c r="A117" s="2678" t="s">
        <v>172</v>
      </c>
      <c r="B117" s="185" t="s">
        <v>189</v>
      </c>
      <c r="C117" s="1264">
        <v>1</v>
      </c>
      <c r="D117" s="401" t="s">
        <v>583</v>
      </c>
      <c r="E117" s="1581">
        <f>+H118*0.05</f>
        <v>14788.13115696</v>
      </c>
      <c r="F117" s="1814"/>
      <c r="G117" s="1814"/>
      <c r="H117" s="1814"/>
      <c r="I117" s="1814">
        <f>+E117*C117</f>
        <v>14788.13115696</v>
      </c>
    </row>
    <row r="118" spans="1:10" ht="18">
      <c r="A118" s="2036" t="s">
        <v>190</v>
      </c>
      <c r="B118" s="1266">
        <f>SUM(F118:I118)</f>
        <v>348950.85429615993</v>
      </c>
      <c r="C118" s="401"/>
      <c r="D118" s="1267"/>
      <c r="E118" s="1581"/>
      <c r="F118" s="1581">
        <f>SUM(F113:F117)</f>
        <v>25900</v>
      </c>
      <c r="G118" s="1581">
        <f>SUM(G113:G117)</f>
        <v>12500.1</v>
      </c>
      <c r="H118" s="1581">
        <f t="shared" ref="H118:I118" si="3">SUM(H113:H117)</f>
        <v>295762.62313919998</v>
      </c>
      <c r="I118" s="1581">
        <f t="shared" si="3"/>
        <v>14788.13115696</v>
      </c>
    </row>
    <row r="119" spans="1:10" ht="18">
      <c r="A119" s="2036" t="s">
        <v>191</v>
      </c>
      <c r="B119" s="1587">
        <f>+B118</f>
        <v>348950.85429615993</v>
      </c>
      <c r="C119" s="2045" t="s">
        <v>363</v>
      </c>
      <c r="D119" s="863"/>
      <c r="E119" s="864">
        <f>+B127*0.15</f>
        <v>344439</v>
      </c>
      <c r="F119" s="864"/>
      <c r="G119" s="864"/>
      <c r="H119" s="864"/>
      <c r="I119" s="864"/>
    </row>
    <row r="120" spans="1:10" ht="18">
      <c r="A120" s="1273"/>
      <c r="B120" s="880"/>
      <c r="C120" s="863"/>
      <c r="D120" s="863"/>
      <c r="E120" s="864"/>
      <c r="F120" s="864"/>
      <c r="G120" s="864"/>
      <c r="H120" s="864"/>
      <c r="I120" s="864"/>
    </row>
    <row r="121" spans="1:10" ht="18">
      <c r="A121" s="2314" t="str">
        <f>+'CAPTACION RIO SINÚ'!A178</f>
        <v>2.2.7</v>
      </c>
      <c r="B121" s="3562" t="s">
        <v>6447</v>
      </c>
      <c r="C121" s="3562"/>
      <c r="D121" s="3562"/>
      <c r="E121" s="3562"/>
      <c r="F121" s="3562"/>
      <c r="G121" s="3562"/>
      <c r="H121" s="3562"/>
      <c r="I121" s="3562"/>
    </row>
    <row r="122" spans="1:10" ht="18">
      <c r="A122" s="509"/>
      <c r="B122" s="2044"/>
      <c r="C122" s="1229" t="s">
        <v>140</v>
      </c>
      <c r="D122" s="1229" t="s">
        <v>343</v>
      </c>
      <c r="E122" s="1814" t="s">
        <v>344</v>
      </c>
      <c r="F122" s="1814" t="s">
        <v>482</v>
      </c>
      <c r="G122" s="1814" t="s">
        <v>483</v>
      </c>
      <c r="H122" s="1814" t="s">
        <v>170</v>
      </c>
      <c r="I122" s="1814" t="s">
        <v>171</v>
      </c>
    </row>
    <row r="123" spans="1:10" ht="18">
      <c r="A123" s="2678" t="s">
        <v>1021</v>
      </c>
      <c r="B123" s="185" t="s">
        <v>6446</v>
      </c>
      <c r="C123" s="1264">
        <v>1</v>
      </c>
      <c r="D123" s="401" t="s">
        <v>363</v>
      </c>
      <c r="E123" s="1585">
        <f>+'BASE 2'!D499</f>
        <v>1968260</v>
      </c>
      <c r="F123" s="1814"/>
      <c r="G123" s="1814">
        <f>+E123*C123</f>
        <v>1968260</v>
      </c>
      <c r="H123" s="1814"/>
      <c r="I123" s="1814"/>
    </row>
    <row r="124" spans="1:10" ht="18">
      <c r="A124" s="2678"/>
      <c r="B124" s="185" t="s">
        <v>6445</v>
      </c>
      <c r="C124" s="1264">
        <v>2</v>
      </c>
      <c r="D124" s="401" t="s">
        <v>363</v>
      </c>
      <c r="E124" s="1585">
        <f>+'BASE 2'!D624</f>
        <v>152000</v>
      </c>
      <c r="F124" s="1814"/>
      <c r="G124" s="1814">
        <f>+E124*C124</f>
        <v>304000</v>
      </c>
      <c r="H124" s="1814"/>
      <c r="I124" s="1814"/>
    </row>
    <row r="125" spans="1:10" ht="18">
      <c r="A125" s="2678" t="s">
        <v>584</v>
      </c>
      <c r="B125" s="185" t="s">
        <v>134</v>
      </c>
      <c r="C125" s="1264">
        <v>0.02</v>
      </c>
      <c r="D125" s="401" t="s">
        <v>583</v>
      </c>
      <c r="E125" s="1581">
        <f>+VIAJE</f>
        <v>1200000</v>
      </c>
      <c r="F125" s="1814"/>
      <c r="G125" s="1814"/>
      <c r="H125" s="1814"/>
      <c r="I125" s="1814">
        <f>+E125*C125</f>
        <v>24000</v>
      </c>
    </row>
    <row r="126" spans="1:10" ht="18">
      <c r="A126" s="2036" t="s">
        <v>190</v>
      </c>
      <c r="B126" s="1266">
        <f>SUM(F126:I126)</f>
        <v>2296260</v>
      </c>
      <c r="C126" s="401"/>
      <c r="D126" s="1267"/>
      <c r="E126" s="1581"/>
      <c r="F126" s="1581">
        <f>SUM(F123:F125)</f>
        <v>0</v>
      </c>
      <c r="G126" s="1581">
        <f t="shared" ref="G126:I126" si="4">SUM(G123:G125)</f>
        <v>2272260</v>
      </c>
      <c r="H126" s="1581">
        <f t="shared" si="4"/>
        <v>0</v>
      </c>
      <c r="I126" s="1581">
        <f t="shared" si="4"/>
        <v>24000</v>
      </c>
    </row>
    <row r="127" spans="1:10" ht="18">
      <c r="A127" s="2036" t="s">
        <v>191</v>
      </c>
      <c r="B127" s="1587">
        <f>+B126</f>
        <v>2296260</v>
      </c>
      <c r="C127" s="2045" t="s">
        <v>363</v>
      </c>
      <c r="D127" s="863"/>
      <c r="E127" s="864"/>
      <c r="F127" s="864"/>
      <c r="G127" s="864"/>
      <c r="H127" s="864"/>
      <c r="I127" s="864"/>
    </row>
    <row r="128" spans="1:10" s="2039" customFormat="1" ht="18">
      <c r="A128" s="2678"/>
      <c r="B128" s="185"/>
      <c r="C128" s="1580"/>
      <c r="D128" s="863"/>
      <c r="E128" s="864"/>
      <c r="F128" s="864"/>
      <c r="G128" s="864"/>
      <c r="H128" s="864"/>
      <c r="I128" s="864"/>
    </row>
    <row r="129" spans="1:9" ht="18">
      <c r="A129" s="2314" t="str">
        <f>+'CAPTACION RIO SINÚ'!A132</f>
        <v>2.1.8</v>
      </c>
      <c r="B129" s="3563" t="s">
        <v>4406</v>
      </c>
      <c r="C129" s="3564"/>
      <c r="D129" s="3564"/>
      <c r="E129" s="3564"/>
      <c r="F129" s="3564"/>
      <c r="G129" s="3564"/>
      <c r="H129" s="3564"/>
      <c r="I129" s="3565"/>
    </row>
    <row r="130" spans="1:9" ht="18">
      <c r="A130" s="1229"/>
      <c r="B130" s="1258"/>
      <c r="C130" s="1229" t="s">
        <v>140</v>
      </c>
      <c r="D130" s="1229" t="s">
        <v>343</v>
      </c>
      <c r="E130" s="2679" t="s">
        <v>344</v>
      </c>
      <c r="F130" s="2679" t="s">
        <v>482</v>
      </c>
      <c r="G130" s="2679" t="s">
        <v>483</v>
      </c>
      <c r="H130" s="2679" t="s">
        <v>170</v>
      </c>
      <c r="I130" s="2679" t="s">
        <v>171</v>
      </c>
    </row>
    <row r="131" spans="1:9" ht="18">
      <c r="A131" s="1229"/>
      <c r="B131" s="1258" t="s">
        <v>6439</v>
      </c>
      <c r="C131" s="1264">
        <v>1.6</v>
      </c>
      <c r="D131" s="401" t="s">
        <v>346</v>
      </c>
      <c r="E131" s="2679">
        <f>+OFICI</f>
        <v>80479.625344</v>
      </c>
      <c r="F131" s="2679"/>
      <c r="G131" s="2679"/>
      <c r="H131" s="1255">
        <f>+E131*C131</f>
        <v>128767.40055040001</v>
      </c>
      <c r="I131" s="2679"/>
    </row>
    <row r="132" spans="1:9" ht="18">
      <c r="A132" s="1580" t="s">
        <v>347</v>
      </c>
      <c r="B132" s="185" t="s">
        <v>266</v>
      </c>
      <c r="C132" s="1264">
        <v>1.6</v>
      </c>
      <c r="D132" s="401" t="s">
        <v>346</v>
      </c>
      <c r="E132" s="1255">
        <f>AYUDA</f>
        <v>65389.695592000004</v>
      </c>
      <c r="F132" s="1255"/>
      <c r="G132" s="1255"/>
      <c r="H132" s="1255">
        <f>+E132*C132</f>
        <v>104623.51294720001</v>
      </c>
      <c r="I132" s="2679"/>
    </row>
    <row r="133" spans="1:9" ht="18">
      <c r="A133" s="1580" t="s">
        <v>172</v>
      </c>
      <c r="B133" s="185" t="s">
        <v>189</v>
      </c>
      <c r="C133" s="1264">
        <v>1</v>
      </c>
      <c r="D133" s="401" t="s">
        <v>583</v>
      </c>
      <c r="E133" s="1255">
        <f>H134*0.05</f>
        <v>11669.545674880001</v>
      </c>
      <c r="F133" s="1255"/>
      <c r="G133" s="1255"/>
      <c r="H133" s="1255"/>
      <c r="I133" s="2679">
        <f>+E133*C133</f>
        <v>11669.545674880001</v>
      </c>
    </row>
    <row r="134" spans="1:9" ht="18">
      <c r="A134" s="2036" t="s">
        <v>190</v>
      </c>
      <c r="B134" s="1266">
        <f>SUM(F134:I134)</f>
        <v>245060.45917248001</v>
      </c>
      <c r="C134" s="687"/>
      <c r="D134" s="1267"/>
      <c r="E134" s="1255"/>
      <c r="F134" s="1255">
        <f>SUM(F131:F133)</f>
        <v>0</v>
      </c>
      <c r="G134" s="1255">
        <f>SUM(G131:G133)</f>
        <v>0</v>
      </c>
      <c r="H134" s="1255">
        <f>SUM(H131:H133)</f>
        <v>233390.91349760001</v>
      </c>
      <c r="I134" s="1255">
        <f>SUM(I131:I133)</f>
        <v>11669.545674880001</v>
      </c>
    </row>
    <row r="135" spans="1:9" ht="18">
      <c r="A135" s="2036" t="s">
        <v>191</v>
      </c>
      <c r="B135" s="1587">
        <f>+B134</f>
        <v>245060.45917248001</v>
      </c>
      <c r="C135" s="1269" t="s">
        <v>427</v>
      </c>
      <c r="D135" s="863"/>
      <c r="E135" s="882">
        <f>+B143*0.15</f>
        <v>244652.84999999998</v>
      </c>
      <c r="F135" s="882"/>
      <c r="G135" s="882"/>
      <c r="H135" s="882"/>
      <c r="I135" s="882"/>
    </row>
    <row r="136" spans="1:9" s="1260" customFormat="1" ht="15" customHeight="1">
      <c r="A136" s="1277"/>
      <c r="B136" s="1278"/>
      <c r="C136" s="1279"/>
      <c r="D136" s="402"/>
      <c r="E136" s="1280"/>
      <c r="F136" s="1280"/>
      <c r="G136" s="1280"/>
      <c r="H136" s="1280"/>
      <c r="I136" s="1280"/>
    </row>
    <row r="137" spans="1:9" ht="18">
      <c r="A137" s="2314" t="str">
        <f>+'CAPTACION RIO SINÚ'!A179</f>
        <v>2.2.8</v>
      </c>
      <c r="B137" s="3562" t="s">
        <v>4405</v>
      </c>
      <c r="C137" s="3562"/>
      <c r="D137" s="3562"/>
      <c r="E137" s="3562"/>
      <c r="F137" s="3562"/>
      <c r="G137" s="3562"/>
      <c r="H137" s="3562"/>
      <c r="I137" s="3562"/>
    </row>
    <row r="138" spans="1:9" ht="18">
      <c r="A138" s="1229"/>
      <c r="B138" s="1258"/>
      <c r="C138" s="1229" t="s">
        <v>140</v>
      </c>
      <c r="D138" s="1229" t="s">
        <v>343</v>
      </c>
      <c r="E138" s="2679" t="s">
        <v>344</v>
      </c>
      <c r="F138" s="2679" t="s">
        <v>482</v>
      </c>
      <c r="G138" s="2679" t="s">
        <v>483</v>
      </c>
      <c r="H138" s="2679" t="s">
        <v>170</v>
      </c>
      <c r="I138" s="2679" t="s">
        <v>171</v>
      </c>
    </row>
    <row r="139" spans="1:9" ht="18">
      <c r="A139" s="1580" t="s">
        <v>4131</v>
      </c>
      <c r="B139" s="185" t="s">
        <v>4409</v>
      </c>
      <c r="C139" s="1264">
        <v>1</v>
      </c>
      <c r="D139" s="401" t="s">
        <v>363</v>
      </c>
      <c r="E139" s="2679">
        <f>+'BASE 2'!D578</f>
        <v>1321019</v>
      </c>
      <c r="F139" s="2679"/>
      <c r="G139" s="2679">
        <f>+C139*E139</f>
        <v>1321019</v>
      </c>
      <c r="H139" s="2679"/>
      <c r="I139" s="2679"/>
    </row>
    <row r="140" spans="1:9" ht="18">
      <c r="A140" s="2678"/>
      <c r="B140" s="185" t="s">
        <v>6445</v>
      </c>
      <c r="C140" s="1264">
        <v>2</v>
      </c>
      <c r="D140" s="401" t="s">
        <v>363</v>
      </c>
      <c r="E140" s="1585">
        <f>+'BASE 2'!D624</f>
        <v>152000</v>
      </c>
      <c r="F140" s="1814"/>
      <c r="G140" s="1814">
        <f>+E140*C140</f>
        <v>304000</v>
      </c>
      <c r="H140" s="1814"/>
      <c r="I140" s="1814"/>
    </row>
    <row r="141" spans="1:9" ht="18">
      <c r="A141" s="1580" t="s">
        <v>584</v>
      </c>
      <c r="B141" s="185" t="s">
        <v>134</v>
      </c>
      <c r="C141" s="1264">
        <v>5.0000000000000001E-3</v>
      </c>
      <c r="D141" s="401" t="s">
        <v>583</v>
      </c>
      <c r="E141" s="2679">
        <f>+VIAJE</f>
        <v>1200000</v>
      </c>
      <c r="F141" s="2679"/>
      <c r="G141" s="2679"/>
      <c r="H141" s="2679"/>
      <c r="I141" s="2679">
        <f>+E141*C141</f>
        <v>6000</v>
      </c>
    </row>
    <row r="142" spans="1:9" ht="18">
      <c r="A142" s="2036" t="s">
        <v>190</v>
      </c>
      <c r="B142" s="1266">
        <f>SUM(F142:I142)</f>
        <v>1631019</v>
      </c>
      <c r="C142" s="687"/>
      <c r="D142" s="1267"/>
      <c r="E142" s="1255"/>
      <c r="F142" s="1255">
        <f>SUM(F139:F141)</f>
        <v>0</v>
      </c>
      <c r="G142" s="1255">
        <f>SUM(G139:G141)</f>
        <v>1625019</v>
      </c>
      <c r="H142" s="1255">
        <f t="shared" ref="H142:I142" si="5">SUM(H139:H141)</f>
        <v>0</v>
      </c>
      <c r="I142" s="1255">
        <f t="shared" si="5"/>
        <v>6000</v>
      </c>
    </row>
    <row r="143" spans="1:9" ht="18">
      <c r="A143" s="2036" t="s">
        <v>191</v>
      </c>
      <c r="B143" s="1587">
        <f>+B142</f>
        <v>1631019</v>
      </c>
      <c r="C143" s="1269" t="s">
        <v>427</v>
      </c>
      <c r="D143" s="863"/>
      <c r="E143" s="882"/>
      <c r="F143" s="882"/>
      <c r="G143" s="882"/>
      <c r="H143" s="882"/>
      <c r="I143" s="882"/>
    </row>
    <row r="144" spans="1:9" s="2039" customFormat="1" ht="18">
      <c r="A144" s="2678"/>
      <c r="B144" s="185"/>
      <c r="C144" s="1282"/>
      <c r="D144" s="863"/>
      <c r="E144" s="882"/>
      <c r="F144" s="882"/>
      <c r="G144" s="882"/>
      <c r="H144" s="882"/>
      <c r="I144" s="882"/>
    </row>
    <row r="145" spans="1:10" ht="18">
      <c r="A145" s="2314" t="str">
        <f>+'CAPTACION RIO SINÚ'!A133</f>
        <v>2.1.9</v>
      </c>
      <c r="B145" s="3573" t="s">
        <v>4378</v>
      </c>
      <c r="C145" s="3573"/>
      <c r="D145" s="3573"/>
      <c r="E145" s="3573"/>
      <c r="F145" s="3573"/>
      <c r="G145" s="3573"/>
      <c r="H145" s="3573"/>
      <c r="I145" s="3573"/>
    </row>
    <row r="146" spans="1:10" ht="18">
      <c r="A146" s="1900"/>
      <c r="B146" s="1262"/>
      <c r="C146" s="1229" t="s">
        <v>140</v>
      </c>
      <c r="D146" s="1229" t="s">
        <v>343</v>
      </c>
      <c r="E146" s="2679" t="s">
        <v>344</v>
      </c>
      <c r="F146" s="2679" t="s">
        <v>482</v>
      </c>
      <c r="G146" s="2679" t="s">
        <v>483</v>
      </c>
      <c r="H146" s="2679" t="s">
        <v>170</v>
      </c>
      <c r="I146" s="2679" t="s">
        <v>171</v>
      </c>
    </row>
    <row r="147" spans="1:10" ht="18">
      <c r="A147" s="1229"/>
      <c r="B147" s="1258" t="s">
        <v>6439</v>
      </c>
      <c r="C147" s="1264">
        <v>1.1499999999999999</v>
      </c>
      <c r="D147" s="401" t="s">
        <v>346</v>
      </c>
      <c r="E147" s="2679">
        <f>+OFICI</f>
        <v>80479.625344</v>
      </c>
      <c r="F147" s="2679"/>
      <c r="G147" s="2679"/>
      <c r="H147" s="1255">
        <f>+E147*C147</f>
        <v>92551.569145599991</v>
      </c>
      <c r="I147" s="2679"/>
    </row>
    <row r="148" spans="1:10" ht="18">
      <c r="A148" s="1580" t="s">
        <v>347</v>
      </c>
      <c r="B148" s="185" t="s">
        <v>266</v>
      </c>
      <c r="C148" s="1264">
        <v>1.1499999999999999</v>
      </c>
      <c r="D148" s="401" t="s">
        <v>346</v>
      </c>
      <c r="E148" s="1255">
        <f>AYUDA*2</f>
        <v>130779.39118400001</v>
      </c>
      <c r="F148" s="1255"/>
      <c r="G148" s="1255"/>
      <c r="H148" s="1255">
        <f>+E148*C148</f>
        <v>150396.29986160001</v>
      </c>
      <c r="I148" s="2679"/>
    </row>
    <row r="149" spans="1:10" s="402" customFormat="1" ht="15" customHeight="1">
      <c r="A149" s="954"/>
      <c r="B149" s="185" t="s">
        <v>6426</v>
      </c>
      <c r="C149" s="183">
        <v>1.1499999999999999</v>
      </c>
      <c r="D149" s="401" t="s">
        <v>346</v>
      </c>
      <c r="E149" s="2679">
        <f>+'BASE 2'!D736</f>
        <v>18500</v>
      </c>
      <c r="F149" s="2679">
        <f>+E149*C149</f>
        <v>21275</v>
      </c>
      <c r="G149" s="2679"/>
      <c r="H149" s="2679"/>
      <c r="I149" s="2679"/>
      <c r="J149" s="507"/>
    </row>
    <row r="150" spans="1:10" ht="18">
      <c r="A150" s="1900" t="s">
        <v>172</v>
      </c>
      <c r="B150" s="185" t="s">
        <v>189</v>
      </c>
      <c r="C150" s="1264">
        <v>1</v>
      </c>
      <c r="D150" s="401" t="s">
        <v>583</v>
      </c>
      <c r="E150" s="1255">
        <f>H151*0.05</f>
        <v>12147.393450360001</v>
      </c>
      <c r="F150" s="2679"/>
      <c r="G150" s="2679"/>
      <c r="H150" s="2679"/>
      <c r="I150" s="2679">
        <f>+E150*C150</f>
        <v>12147.393450360001</v>
      </c>
    </row>
    <row r="151" spans="1:10" ht="18">
      <c r="A151" s="2040" t="s">
        <v>190</v>
      </c>
      <c r="B151" s="1266">
        <f>SUM(F151:I151)</f>
        <v>276370.26245755999</v>
      </c>
      <c r="C151" s="401"/>
      <c r="D151" s="1267"/>
      <c r="E151" s="2679"/>
      <c r="F151" s="2679">
        <f>SUM(F147:F150)</f>
        <v>21275</v>
      </c>
      <c r="G151" s="2679">
        <f t="shared" ref="G151:I151" si="6">SUM(G147:G150)</f>
        <v>0</v>
      </c>
      <c r="H151" s="2679">
        <f t="shared" si="6"/>
        <v>242947.8690072</v>
      </c>
      <c r="I151" s="2679">
        <f t="shared" si="6"/>
        <v>12147.393450360001</v>
      </c>
    </row>
    <row r="152" spans="1:10" ht="18">
      <c r="A152" s="2040" t="s">
        <v>191</v>
      </c>
      <c r="B152" s="1587">
        <f>+B151</f>
        <v>276370.26245755999</v>
      </c>
      <c r="C152" s="1269" t="s">
        <v>363</v>
      </c>
      <c r="D152" s="863"/>
      <c r="E152" s="882">
        <f>+B160*0.15</f>
        <v>275520</v>
      </c>
      <c r="F152" s="882"/>
      <c r="G152" s="882"/>
      <c r="H152" s="882"/>
      <c r="I152" s="882"/>
    </row>
    <row r="153" spans="1:10" ht="18">
      <c r="A153" s="879"/>
      <c r="B153" s="880"/>
      <c r="C153" s="881"/>
      <c r="D153" s="863"/>
      <c r="E153" s="882"/>
      <c r="F153" s="882"/>
      <c r="G153" s="882"/>
      <c r="H153" s="882"/>
      <c r="I153" s="882"/>
    </row>
    <row r="154" spans="1:10" ht="18">
      <c r="A154" s="2314" t="str">
        <f>+'CAPTACION RIO SINÚ'!A180</f>
        <v>2.2.9</v>
      </c>
      <c r="B154" s="3562" t="s">
        <v>4379</v>
      </c>
      <c r="C154" s="3562"/>
      <c r="D154" s="3562"/>
      <c r="E154" s="3562"/>
      <c r="F154" s="3562"/>
      <c r="G154" s="3562"/>
      <c r="H154" s="3562"/>
      <c r="I154" s="3562"/>
    </row>
    <row r="155" spans="1:10" ht="18">
      <c r="A155" s="1900"/>
      <c r="B155" s="1262"/>
      <c r="C155" s="1229" t="s">
        <v>140</v>
      </c>
      <c r="D155" s="1229" t="s">
        <v>343</v>
      </c>
      <c r="E155" s="2679" t="s">
        <v>344</v>
      </c>
      <c r="F155" s="2679" t="s">
        <v>482</v>
      </c>
      <c r="G155" s="2679" t="s">
        <v>483</v>
      </c>
      <c r="H155" s="2679" t="s">
        <v>170</v>
      </c>
      <c r="I155" s="2679" t="s">
        <v>171</v>
      </c>
    </row>
    <row r="156" spans="1:10" ht="18">
      <c r="A156" s="2041" t="s">
        <v>791</v>
      </c>
      <c r="B156" s="185" t="s">
        <v>4362</v>
      </c>
      <c r="C156" s="1263">
        <v>1</v>
      </c>
      <c r="D156" s="1274" t="s">
        <v>363</v>
      </c>
      <c r="E156" s="1255">
        <f>+'BASE 2'!D643</f>
        <v>1523200</v>
      </c>
      <c r="F156" s="1255"/>
      <c r="G156" s="1255">
        <f>+E156*C156</f>
        <v>1523200</v>
      </c>
      <c r="H156" s="1255"/>
      <c r="I156" s="1255"/>
    </row>
    <row r="157" spans="1:10" ht="18">
      <c r="A157" s="2678"/>
      <c r="B157" s="185" t="s">
        <v>6445</v>
      </c>
      <c r="C157" s="1264">
        <v>2</v>
      </c>
      <c r="D157" s="401" t="s">
        <v>363</v>
      </c>
      <c r="E157" s="1585">
        <f>+'BASE 2'!D624</f>
        <v>152000</v>
      </c>
      <c r="F157" s="1814"/>
      <c r="G157" s="1814">
        <f>+E157*C157</f>
        <v>304000</v>
      </c>
      <c r="H157" s="1814"/>
      <c r="I157" s="1814"/>
    </row>
    <row r="158" spans="1:10" ht="18">
      <c r="A158" s="1900" t="s">
        <v>584</v>
      </c>
      <c r="B158" s="185" t="s">
        <v>134</v>
      </c>
      <c r="C158" s="1263">
        <v>8.0000000000000002E-3</v>
      </c>
      <c r="D158" s="1274" t="s">
        <v>583</v>
      </c>
      <c r="E158" s="1255">
        <f>+VIAJE</f>
        <v>1200000</v>
      </c>
      <c r="F158" s="2679"/>
      <c r="G158" s="2679"/>
      <c r="H158" s="2679"/>
      <c r="I158" s="2679">
        <f>+E158*C158</f>
        <v>9600</v>
      </c>
    </row>
    <row r="159" spans="1:10" ht="18">
      <c r="A159" s="2040" t="s">
        <v>190</v>
      </c>
      <c r="B159" s="1266">
        <f>SUM(F159:I159)</f>
        <v>1836800</v>
      </c>
      <c r="C159" s="401"/>
      <c r="D159" s="1267"/>
      <c r="E159" s="2679"/>
      <c r="F159" s="2679">
        <f>SUM(F154:F158)</f>
        <v>0</v>
      </c>
      <c r="G159" s="2679">
        <f>SUM(G154:G158)</f>
        <v>1827200</v>
      </c>
      <c r="H159" s="2679">
        <f>SUM(H154:H158)</f>
        <v>0</v>
      </c>
      <c r="I159" s="2679">
        <f>SUM(I154:I158)</f>
        <v>9600</v>
      </c>
    </row>
    <row r="160" spans="1:10" ht="18">
      <c r="A160" s="2040" t="s">
        <v>191</v>
      </c>
      <c r="B160" s="1587">
        <f>+B159</f>
        <v>1836800</v>
      </c>
      <c r="C160" s="1269" t="s">
        <v>363</v>
      </c>
      <c r="D160" s="863"/>
      <c r="E160" s="882"/>
      <c r="F160" s="882"/>
      <c r="G160" s="882"/>
      <c r="H160" s="882"/>
      <c r="I160" s="882"/>
    </row>
    <row r="161" spans="1:9" s="2039" customFormat="1" ht="18">
      <c r="A161" s="2042"/>
      <c r="B161" s="185"/>
      <c r="C161" s="1282"/>
      <c r="D161" s="863"/>
      <c r="E161" s="882"/>
      <c r="F161" s="882"/>
      <c r="G161" s="882"/>
      <c r="H161" s="882"/>
      <c r="I161" s="882"/>
    </row>
    <row r="162" spans="1:9" ht="18">
      <c r="A162" s="2314" t="str">
        <f>+'CAPTACION RIO SINÚ'!A134</f>
        <v>2.1.10</v>
      </c>
      <c r="B162" s="3563" t="s">
        <v>4404</v>
      </c>
      <c r="C162" s="3564"/>
      <c r="D162" s="3564"/>
      <c r="E162" s="3564"/>
      <c r="F162" s="3564"/>
      <c r="G162" s="3564"/>
      <c r="H162" s="3564"/>
      <c r="I162" s="3565"/>
    </row>
    <row r="163" spans="1:9" ht="18">
      <c r="A163" s="1229"/>
      <c r="B163" s="1258"/>
      <c r="C163" s="1229" t="s">
        <v>140</v>
      </c>
      <c r="D163" s="1229" t="s">
        <v>343</v>
      </c>
      <c r="E163" s="2679" t="s">
        <v>344</v>
      </c>
      <c r="F163" s="2679" t="s">
        <v>482</v>
      </c>
      <c r="G163" s="2679" t="s">
        <v>483</v>
      </c>
      <c r="H163" s="2679" t="s">
        <v>170</v>
      </c>
      <c r="I163" s="2679" t="s">
        <v>171</v>
      </c>
    </row>
    <row r="164" spans="1:9" ht="18">
      <c r="A164" s="1229"/>
      <c r="B164" s="1258" t="s">
        <v>6439</v>
      </c>
      <c r="C164" s="1264">
        <v>0.85</v>
      </c>
      <c r="D164" s="401" t="s">
        <v>346</v>
      </c>
      <c r="E164" s="2679">
        <f>+OFICI</f>
        <v>80479.625344</v>
      </c>
      <c r="F164" s="2679"/>
      <c r="G164" s="2679"/>
      <c r="H164" s="1255">
        <f>+E164*C164</f>
        <v>68407.681542399994</v>
      </c>
      <c r="I164" s="2679"/>
    </row>
    <row r="165" spans="1:9" ht="18">
      <c r="A165" s="1580" t="s">
        <v>347</v>
      </c>
      <c r="B165" s="185" t="s">
        <v>266</v>
      </c>
      <c r="C165" s="1264">
        <v>0.85</v>
      </c>
      <c r="D165" s="401" t="s">
        <v>346</v>
      </c>
      <c r="E165" s="1255">
        <f>AYUDA</f>
        <v>65389.695592000004</v>
      </c>
      <c r="F165" s="1255"/>
      <c r="G165" s="1255"/>
      <c r="H165" s="1255">
        <f>+E165*C165</f>
        <v>55581.241253200002</v>
      </c>
      <c r="I165" s="2679"/>
    </row>
    <row r="166" spans="1:9" ht="18">
      <c r="A166" s="1580" t="s">
        <v>172</v>
      </c>
      <c r="B166" s="185" t="s">
        <v>189</v>
      </c>
      <c r="C166" s="1264">
        <v>1</v>
      </c>
      <c r="D166" s="401" t="s">
        <v>583</v>
      </c>
      <c r="E166" s="1255">
        <f>H167*0.05</f>
        <v>6199.4461397800005</v>
      </c>
      <c r="F166" s="1255"/>
      <c r="G166" s="1255"/>
      <c r="H166" s="1255"/>
      <c r="I166" s="2679">
        <f>+E166*C166</f>
        <v>6199.4461397800005</v>
      </c>
    </row>
    <row r="167" spans="1:9" ht="18">
      <c r="A167" s="2036" t="s">
        <v>190</v>
      </c>
      <c r="B167" s="1266">
        <f>SUM(F167:I167)</f>
        <v>130188.36893538</v>
      </c>
      <c r="C167" s="687"/>
      <c r="D167" s="1267"/>
      <c r="E167" s="1255"/>
      <c r="F167" s="1255">
        <f>SUM(F164:F166)</f>
        <v>0</v>
      </c>
      <c r="G167" s="1255">
        <f>SUM(G164:G166)</f>
        <v>0</v>
      </c>
      <c r="H167" s="1255">
        <f>SUM(H164:H166)</f>
        <v>123988.9227956</v>
      </c>
      <c r="I167" s="1255">
        <f>SUM(I164:I166)</f>
        <v>6199.4461397800005</v>
      </c>
    </row>
    <row r="168" spans="1:9" ht="18">
      <c r="A168" s="2036" t="s">
        <v>191</v>
      </c>
      <c r="B168" s="1587">
        <f>+B167</f>
        <v>130188.36893538</v>
      </c>
      <c r="C168" s="1269" t="s">
        <v>427</v>
      </c>
      <c r="D168" s="863"/>
      <c r="E168" s="882">
        <f>+B176*0.15</f>
        <v>129768.75</v>
      </c>
      <c r="F168" s="882"/>
      <c r="G168" s="882"/>
      <c r="H168" s="882"/>
      <c r="I168" s="882"/>
    </row>
    <row r="169" spans="1:9" s="1260" customFormat="1" ht="15" customHeight="1">
      <c r="A169" s="1277"/>
      <c r="B169" s="1278"/>
      <c r="C169" s="1279"/>
      <c r="D169" s="402"/>
      <c r="E169" s="1280"/>
      <c r="F169" s="1280"/>
      <c r="G169" s="1280"/>
      <c r="H169" s="1280"/>
      <c r="I169" s="1280"/>
    </row>
    <row r="170" spans="1:9" ht="18">
      <c r="A170" s="2314" t="str">
        <f>+'CAPTACION RIO SINÚ'!A181</f>
        <v>2.2.10</v>
      </c>
      <c r="B170" s="3562" t="s">
        <v>4403</v>
      </c>
      <c r="C170" s="3562"/>
      <c r="D170" s="3562"/>
      <c r="E170" s="3562"/>
      <c r="F170" s="3562"/>
      <c r="G170" s="3562"/>
      <c r="H170" s="3562"/>
      <c r="I170" s="3562"/>
    </row>
    <row r="171" spans="1:9" ht="18">
      <c r="A171" s="1229"/>
      <c r="B171" s="1258"/>
      <c r="C171" s="1229" t="s">
        <v>140</v>
      </c>
      <c r="D171" s="1229" t="s">
        <v>343</v>
      </c>
      <c r="E171" s="2679" t="s">
        <v>344</v>
      </c>
      <c r="F171" s="2679" t="s">
        <v>482</v>
      </c>
      <c r="G171" s="2679" t="s">
        <v>483</v>
      </c>
      <c r="H171" s="2679" t="s">
        <v>170</v>
      </c>
      <c r="I171" s="2679" t="s">
        <v>171</v>
      </c>
    </row>
    <row r="172" spans="1:9" ht="18">
      <c r="A172" s="1580" t="s">
        <v>4131</v>
      </c>
      <c r="B172" s="185" t="s">
        <v>4402</v>
      </c>
      <c r="C172" s="1264">
        <v>1</v>
      </c>
      <c r="D172" s="401" t="s">
        <v>363</v>
      </c>
      <c r="E172" s="2679">
        <f>+'BASE 2'!D550</f>
        <v>699125</v>
      </c>
      <c r="F172" s="2679"/>
      <c r="G172" s="2679">
        <f>+E172*C172</f>
        <v>699125</v>
      </c>
      <c r="H172" s="2679"/>
      <c r="I172" s="2679"/>
    </row>
    <row r="173" spans="1:9" ht="18">
      <c r="A173" s="2678"/>
      <c r="B173" s="185" t="s">
        <v>6448</v>
      </c>
      <c r="C173" s="1264">
        <v>2</v>
      </c>
      <c r="D173" s="401" t="s">
        <v>363</v>
      </c>
      <c r="E173" s="1585">
        <f>+'BASE 2'!D626</f>
        <v>80000</v>
      </c>
      <c r="F173" s="1814"/>
      <c r="G173" s="1814">
        <f>+E173*C173</f>
        <v>160000</v>
      </c>
      <c r="H173" s="1814"/>
      <c r="I173" s="1814"/>
    </row>
    <row r="174" spans="1:9" ht="18">
      <c r="A174" s="1580" t="s">
        <v>584</v>
      </c>
      <c r="B174" s="185" t="s">
        <v>134</v>
      </c>
      <c r="C174" s="1264">
        <v>5.0000000000000001E-3</v>
      </c>
      <c r="D174" s="401" t="s">
        <v>583</v>
      </c>
      <c r="E174" s="2679">
        <f>+VIAJE</f>
        <v>1200000</v>
      </c>
      <c r="F174" s="2679"/>
      <c r="G174" s="2679"/>
      <c r="H174" s="2679"/>
      <c r="I174" s="2679">
        <f>+E174*C174</f>
        <v>6000</v>
      </c>
    </row>
    <row r="175" spans="1:9" ht="18">
      <c r="A175" s="2036" t="s">
        <v>190</v>
      </c>
      <c r="B175" s="1266">
        <f>SUM(F175:I175)</f>
        <v>865125</v>
      </c>
      <c r="C175" s="687"/>
      <c r="D175" s="1267"/>
      <c r="E175" s="1255"/>
      <c r="F175" s="1255">
        <f>SUM(F172:F174)</f>
        <v>0</v>
      </c>
      <c r="G175" s="1255">
        <f t="shared" ref="G175:I175" si="7">SUM(G172:G174)</f>
        <v>859125</v>
      </c>
      <c r="H175" s="1255">
        <f t="shared" si="7"/>
        <v>0</v>
      </c>
      <c r="I175" s="1255">
        <f t="shared" si="7"/>
        <v>6000</v>
      </c>
    </row>
    <row r="176" spans="1:9" ht="18">
      <c r="A176" s="2036" t="s">
        <v>191</v>
      </c>
      <c r="B176" s="1587">
        <f>+B175</f>
        <v>865125</v>
      </c>
      <c r="C176" s="1269" t="s">
        <v>427</v>
      </c>
      <c r="D176" s="863"/>
      <c r="E176" s="882"/>
      <c r="F176" s="882"/>
      <c r="G176" s="882"/>
      <c r="H176" s="882"/>
      <c r="I176" s="882"/>
    </row>
    <row r="177" spans="1:10" s="2039" customFormat="1" ht="18">
      <c r="A177" s="2678"/>
      <c r="B177" s="185"/>
      <c r="C177" s="1282"/>
      <c r="D177" s="863"/>
      <c r="E177" s="882"/>
      <c r="F177" s="882"/>
      <c r="G177" s="882"/>
      <c r="H177" s="882"/>
      <c r="I177" s="882"/>
    </row>
    <row r="178" spans="1:10" ht="18">
      <c r="A178" s="2047" t="str">
        <f>+'CAPTACION RIO SINÚ'!A135</f>
        <v>2.1.11</v>
      </c>
      <c r="B178" s="3562" t="s">
        <v>4380</v>
      </c>
      <c r="C178" s="3562"/>
      <c r="D178" s="3562"/>
      <c r="E178" s="3562"/>
      <c r="F178" s="3562"/>
      <c r="G178" s="3562"/>
      <c r="H178" s="3562"/>
      <c r="I178" s="3562"/>
    </row>
    <row r="179" spans="1:10" ht="18">
      <c r="A179" s="509"/>
      <c r="B179" s="1258"/>
      <c r="C179" s="1229" t="s">
        <v>140</v>
      </c>
      <c r="D179" s="1229" t="s">
        <v>343</v>
      </c>
      <c r="E179" s="2679" t="s">
        <v>344</v>
      </c>
      <c r="F179" s="2679" t="s">
        <v>482</v>
      </c>
      <c r="G179" s="2679" t="s">
        <v>483</v>
      </c>
      <c r="H179" s="2679" t="s">
        <v>170</v>
      </c>
      <c r="I179" s="2679" t="s">
        <v>171</v>
      </c>
    </row>
    <row r="180" spans="1:10" ht="18">
      <c r="A180" s="1229"/>
      <c r="B180" s="1258" t="s">
        <v>6439</v>
      </c>
      <c r="C180" s="1264">
        <v>0.9</v>
      </c>
      <c r="D180" s="401" t="s">
        <v>346</v>
      </c>
      <c r="E180" s="2679">
        <f>+OFICI</f>
        <v>80479.625344</v>
      </c>
      <c r="F180" s="2679"/>
      <c r="G180" s="2679"/>
      <c r="H180" s="1255">
        <f>+E180*C180</f>
        <v>72431.662809600006</v>
      </c>
      <c r="I180" s="2679"/>
    </row>
    <row r="181" spans="1:10" ht="18">
      <c r="A181" s="1580" t="s">
        <v>347</v>
      </c>
      <c r="B181" s="185" t="s">
        <v>266</v>
      </c>
      <c r="C181" s="1264">
        <v>0.9</v>
      </c>
      <c r="D181" s="401" t="s">
        <v>346</v>
      </c>
      <c r="E181" s="1255">
        <f>AYUDA</f>
        <v>65389.695592000004</v>
      </c>
      <c r="F181" s="1255"/>
      <c r="G181" s="1255"/>
      <c r="H181" s="1255">
        <f>+E181*C181</f>
        <v>58850.726032800005</v>
      </c>
      <c r="I181" s="2679"/>
    </row>
    <row r="182" spans="1:10" s="402" customFormat="1" ht="15" customHeight="1">
      <c r="A182" s="954"/>
      <c r="B182" s="185" t="s">
        <v>6426</v>
      </c>
      <c r="C182" s="183">
        <v>0.9</v>
      </c>
      <c r="D182" s="401" t="s">
        <v>346</v>
      </c>
      <c r="E182" s="2679">
        <f>+'BASE 2'!D736</f>
        <v>18500</v>
      </c>
      <c r="F182" s="2679">
        <f>+E182*C182</f>
        <v>16650</v>
      </c>
      <c r="G182" s="2679"/>
      <c r="H182" s="2679"/>
      <c r="I182" s="2679"/>
      <c r="J182" s="507"/>
    </row>
    <row r="183" spans="1:10" ht="18">
      <c r="A183" s="2678" t="s">
        <v>172</v>
      </c>
      <c r="B183" s="185" t="s">
        <v>189</v>
      </c>
      <c r="C183" s="1264">
        <v>1</v>
      </c>
      <c r="D183" s="401" t="s">
        <v>583</v>
      </c>
      <c r="E183" s="1255">
        <f>H184*0.05</f>
        <v>6564.1194421200016</v>
      </c>
      <c r="F183" s="2679"/>
      <c r="G183" s="2679"/>
      <c r="H183" s="2679"/>
      <c r="I183" s="2679">
        <f>+E183*C183</f>
        <v>6564.1194421200016</v>
      </c>
    </row>
    <row r="184" spans="1:10" ht="18">
      <c r="A184" s="2036" t="s">
        <v>190</v>
      </c>
      <c r="B184" s="1266">
        <f>SUM(F184:I184)</f>
        <v>154496.50828452001</v>
      </c>
      <c r="C184" s="401"/>
      <c r="D184" s="1267"/>
      <c r="E184" s="2679"/>
      <c r="F184" s="2679">
        <f>SUM(F180:F183)</f>
        <v>16650</v>
      </c>
      <c r="G184" s="2679">
        <f t="shared" ref="G184:I184" si="8">SUM(G180:G183)</f>
        <v>0</v>
      </c>
      <c r="H184" s="2679">
        <f t="shared" si="8"/>
        <v>131282.38884240002</v>
      </c>
      <c r="I184" s="2679">
        <f t="shared" si="8"/>
        <v>6564.1194421200016</v>
      </c>
    </row>
    <row r="185" spans="1:10" ht="18">
      <c r="A185" s="2036" t="s">
        <v>191</v>
      </c>
      <c r="B185" s="1587">
        <f>+B184</f>
        <v>154496.50828452001</v>
      </c>
      <c r="C185" s="2045" t="s">
        <v>363</v>
      </c>
      <c r="D185" s="863"/>
      <c r="E185" s="882">
        <f>+B194*0.15</f>
        <v>155869.19999999998</v>
      </c>
      <c r="F185" s="882"/>
      <c r="G185" s="882"/>
      <c r="H185" s="882"/>
      <c r="I185" s="882"/>
    </row>
    <row r="186" spans="1:10" ht="18">
      <c r="A186" s="1273"/>
      <c r="B186" s="880"/>
      <c r="C186" s="881"/>
      <c r="D186" s="863"/>
      <c r="E186" s="882"/>
      <c r="F186" s="882"/>
      <c r="G186" s="882"/>
      <c r="H186" s="882"/>
      <c r="I186" s="882"/>
    </row>
    <row r="187" spans="1:10" ht="18">
      <c r="A187" s="2314" t="str">
        <f>+'CAPTACION RIO SINÚ'!A182</f>
        <v>2.2.11</v>
      </c>
      <c r="B187" s="3562" t="s">
        <v>6450</v>
      </c>
      <c r="C187" s="3562"/>
      <c r="D187" s="3562"/>
      <c r="E187" s="3562"/>
      <c r="F187" s="3562"/>
      <c r="G187" s="3562"/>
      <c r="H187" s="3562"/>
      <c r="I187" s="3562"/>
    </row>
    <row r="188" spans="1:10" ht="18">
      <c r="A188" s="509"/>
      <c r="B188" s="1258"/>
      <c r="C188" s="1229" t="s">
        <v>140</v>
      </c>
      <c r="D188" s="1229" t="s">
        <v>343</v>
      </c>
      <c r="E188" s="2679" t="s">
        <v>344</v>
      </c>
      <c r="F188" s="2679" t="s">
        <v>482</v>
      </c>
      <c r="G188" s="2679" t="s">
        <v>483</v>
      </c>
      <c r="H188" s="2679" t="s">
        <v>170</v>
      </c>
      <c r="I188" s="2679" t="s">
        <v>171</v>
      </c>
    </row>
    <row r="189" spans="1:10" ht="18">
      <c r="A189" s="2678" t="s">
        <v>213</v>
      </c>
      <c r="B189" s="185" t="s">
        <v>6449</v>
      </c>
      <c r="C189" s="1264">
        <v>1</v>
      </c>
      <c r="D189" s="401" t="s">
        <v>363</v>
      </c>
      <c r="E189" s="2679">
        <f>+'BASE 2'!D352</f>
        <v>798728</v>
      </c>
      <c r="F189" s="2679"/>
      <c r="G189" s="2679">
        <f>+E189*C189</f>
        <v>798728</v>
      </c>
      <c r="H189" s="2679"/>
      <c r="I189" s="2679"/>
    </row>
    <row r="190" spans="1:10" ht="18">
      <c r="A190" s="2678"/>
      <c r="B190" s="185" t="s">
        <v>6445</v>
      </c>
      <c r="C190" s="1264">
        <v>1</v>
      </c>
      <c r="D190" s="401" t="s">
        <v>363</v>
      </c>
      <c r="E190" s="1585">
        <f>+'BASE 2'!D624</f>
        <v>152000</v>
      </c>
      <c r="F190" s="1814"/>
      <c r="G190" s="1814">
        <f>+E190*C190</f>
        <v>152000</v>
      </c>
      <c r="H190" s="1814"/>
      <c r="I190" s="1814"/>
    </row>
    <row r="191" spans="1:10" ht="18">
      <c r="A191" s="2678"/>
      <c r="B191" s="185" t="s">
        <v>6448</v>
      </c>
      <c r="C191" s="1264">
        <v>1</v>
      </c>
      <c r="D191" s="401" t="s">
        <v>363</v>
      </c>
      <c r="E191" s="1585">
        <f>+'BASE 2'!D626</f>
        <v>80000</v>
      </c>
      <c r="F191" s="1814"/>
      <c r="G191" s="1814">
        <f>+E191*C191</f>
        <v>80000</v>
      </c>
      <c r="H191" s="1814"/>
      <c r="I191" s="1814"/>
    </row>
    <row r="192" spans="1:10" ht="18">
      <c r="A192" s="2678" t="s">
        <v>584</v>
      </c>
      <c r="B192" s="185" t="s">
        <v>134</v>
      </c>
      <c r="C192" s="1263">
        <v>7.0000000000000001E-3</v>
      </c>
      <c r="D192" s="1274" t="s">
        <v>583</v>
      </c>
      <c r="E192" s="1255">
        <f>+VIAJE</f>
        <v>1200000</v>
      </c>
      <c r="F192" s="2679"/>
      <c r="G192" s="2679"/>
      <c r="H192" s="2679"/>
      <c r="I192" s="2679">
        <f>+E192*C192</f>
        <v>8400</v>
      </c>
    </row>
    <row r="193" spans="1:9" ht="18">
      <c r="A193" s="2036" t="s">
        <v>190</v>
      </c>
      <c r="B193" s="1266">
        <f>SUM(F193:I193)</f>
        <v>1039128</v>
      </c>
      <c r="C193" s="401"/>
      <c r="D193" s="1267"/>
      <c r="E193" s="2679"/>
      <c r="F193" s="2679">
        <f>SUM(F188:F192)</f>
        <v>0</v>
      </c>
      <c r="G193" s="2679">
        <f>SUM(G188:G192)</f>
        <v>1030728</v>
      </c>
      <c r="H193" s="2679">
        <f>SUM(H188:H192)</f>
        <v>0</v>
      </c>
      <c r="I193" s="2679">
        <f>SUM(I188:I192)</f>
        <v>8400</v>
      </c>
    </row>
    <row r="194" spans="1:9" ht="18">
      <c r="A194" s="2036" t="s">
        <v>191</v>
      </c>
      <c r="B194" s="1587">
        <f>+B193</f>
        <v>1039128</v>
      </c>
      <c r="C194" s="2045" t="s">
        <v>363</v>
      </c>
      <c r="D194" s="863"/>
      <c r="E194" s="882"/>
      <c r="F194" s="882"/>
      <c r="G194" s="882"/>
      <c r="H194" s="882"/>
      <c r="I194" s="882"/>
    </row>
    <row r="195" spans="1:9" s="2039" customFormat="1" ht="18">
      <c r="A195" s="2678"/>
      <c r="B195" s="185"/>
      <c r="C195" s="1580"/>
      <c r="D195" s="863"/>
      <c r="E195" s="882"/>
      <c r="F195" s="882"/>
      <c r="G195" s="882"/>
      <c r="H195" s="882"/>
      <c r="I195" s="882"/>
    </row>
    <row r="196" spans="1:9" ht="18">
      <c r="A196" s="2047" t="str">
        <f>+'CAPTACION RIO SINÚ'!A136</f>
        <v>2.1.12</v>
      </c>
      <c r="B196" s="3562" t="s">
        <v>6482</v>
      </c>
      <c r="C196" s="3562"/>
      <c r="D196" s="3562"/>
      <c r="E196" s="3562"/>
      <c r="F196" s="3562"/>
      <c r="G196" s="3562"/>
      <c r="H196" s="3562"/>
      <c r="I196" s="3562"/>
    </row>
    <row r="197" spans="1:9" ht="18">
      <c r="A197" s="509"/>
      <c r="B197" s="1258"/>
      <c r="C197" s="1229" t="s">
        <v>140</v>
      </c>
      <c r="D197" s="1229" t="s">
        <v>343</v>
      </c>
      <c r="E197" s="2679" t="s">
        <v>344</v>
      </c>
      <c r="F197" s="2679" t="s">
        <v>482</v>
      </c>
      <c r="G197" s="2679" t="s">
        <v>483</v>
      </c>
      <c r="H197" s="2679" t="s">
        <v>170</v>
      </c>
      <c r="I197" s="2679" t="s">
        <v>171</v>
      </c>
    </row>
    <row r="198" spans="1:9" ht="18">
      <c r="A198" s="1229"/>
      <c r="B198" s="1258" t="s">
        <v>6439</v>
      </c>
      <c r="C198" s="1264">
        <v>0.51</v>
      </c>
      <c r="D198" s="401" t="s">
        <v>346</v>
      </c>
      <c r="E198" s="2679">
        <f>+OFICI</f>
        <v>80479.625344</v>
      </c>
      <c r="F198" s="2679"/>
      <c r="G198" s="2679"/>
      <c r="H198" s="1255">
        <f>+E198*C198</f>
        <v>41044.608925439999</v>
      </c>
      <c r="I198" s="2679"/>
    </row>
    <row r="199" spans="1:9" ht="18">
      <c r="A199" s="1580" t="s">
        <v>347</v>
      </c>
      <c r="B199" s="185" t="s">
        <v>266</v>
      </c>
      <c r="C199" s="1264">
        <v>0.51</v>
      </c>
      <c r="D199" s="401" t="s">
        <v>346</v>
      </c>
      <c r="E199" s="1255">
        <f>AYUDA</f>
        <v>65389.695592000004</v>
      </c>
      <c r="F199" s="1255"/>
      <c r="G199" s="1255"/>
      <c r="H199" s="1255">
        <f>+E199*C199</f>
        <v>33348.74475192</v>
      </c>
      <c r="I199" s="2679"/>
    </row>
    <row r="200" spans="1:9" ht="18">
      <c r="A200" s="2678" t="s">
        <v>172</v>
      </c>
      <c r="B200" s="185" t="s">
        <v>189</v>
      </c>
      <c r="C200" s="1264">
        <v>1</v>
      </c>
      <c r="D200" s="401" t="s">
        <v>583</v>
      </c>
      <c r="E200" s="1255">
        <f>H201*0.05</f>
        <v>3719.6676838679996</v>
      </c>
      <c r="F200" s="2679"/>
      <c r="G200" s="2679"/>
      <c r="H200" s="2679"/>
      <c r="I200" s="2679">
        <f>+E200*C200</f>
        <v>3719.6676838679996</v>
      </c>
    </row>
    <row r="201" spans="1:9" ht="18">
      <c r="A201" s="2036" t="s">
        <v>190</v>
      </c>
      <c r="B201" s="1266">
        <f>SUM(F201:I201)</f>
        <v>78113.021361227991</v>
      </c>
      <c r="C201" s="401"/>
      <c r="D201" s="1267"/>
      <c r="E201" s="2679"/>
      <c r="F201" s="2679">
        <f>SUM(F197:F200)</f>
        <v>0</v>
      </c>
      <c r="G201" s="2679">
        <f>SUM(G197:G200)</f>
        <v>0</v>
      </c>
      <c r="H201" s="2679">
        <f>SUM(H198:H200)</f>
        <v>74393.353677359992</v>
      </c>
      <c r="I201" s="2679">
        <f>SUM(I198:I200)</f>
        <v>3719.6676838679996</v>
      </c>
    </row>
    <row r="202" spans="1:9" ht="18">
      <c r="A202" s="2036" t="s">
        <v>191</v>
      </c>
      <c r="B202" s="1587">
        <f>+B201</f>
        <v>78113.021361227991</v>
      </c>
      <c r="C202" s="2045" t="s">
        <v>363</v>
      </c>
      <c r="D202" s="863"/>
      <c r="E202" s="882">
        <f>+B211*0.15</f>
        <v>77248.5</v>
      </c>
      <c r="F202" s="882"/>
      <c r="G202" s="882"/>
      <c r="H202" s="882"/>
      <c r="I202" s="882"/>
    </row>
    <row r="203" spans="1:9" ht="18">
      <c r="A203" s="1273"/>
      <c r="B203" s="880"/>
      <c r="C203" s="881"/>
      <c r="D203" s="863"/>
      <c r="E203" s="882"/>
      <c r="F203" s="882"/>
      <c r="G203" s="882"/>
      <c r="H203" s="882"/>
      <c r="I203" s="882"/>
    </row>
    <row r="204" spans="1:9" ht="18">
      <c r="A204" s="2314" t="str">
        <f>+'CAPTACION RIO SINÚ'!A183</f>
        <v>2.2.12</v>
      </c>
      <c r="B204" s="3562" t="s">
        <v>6452</v>
      </c>
      <c r="C204" s="3562"/>
      <c r="D204" s="3562"/>
      <c r="E204" s="3562"/>
      <c r="F204" s="3562"/>
      <c r="G204" s="3562"/>
      <c r="H204" s="3562"/>
      <c r="I204" s="3562"/>
    </row>
    <row r="205" spans="1:9" ht="18">
      <c r="A205" s="509"/>
      <c r="B205" s="1258"/>
      <c r="C205" s="1229" t="s">
        <v>140</v>
      </c>
      <c r="D205" s="1229" t="s">
        <v>343</v>
      </c>
      <c r="E205" s="2679" t="s">
        <v>344</v>
      </c>
      <c r="F205" s="2679" t="s">
        <v>482</v>
      </c>
      <c r="G205" s="2679" t="s">
        <v>483</v>
      </c>
      <c r="H205" s="2679" t="s">
        <v>170</v>
      </c>
      <c r="I205" s="2679" t="s">
        <v>171</v>
      </c>
    </row>
    <row r="206" spans="1:9" ht="18">
      <c r="A206" s="2678" t="s">
        <v>213</v>
      </c>
      <c r="B206" s="185" t="s">
        <v>6453</v>
      </c>
      <c r="C206" s="1264">
        <v>1</v>
      </c>
      <c r="D206" s="401" t="s">
        <v>363</v>
      </c>
      <c r="E206" s="2679">
        <f>+'BASE 2'!D351</f>
        <v>358190</v>
      </c>
      <c r="F206" s="2679"/>
      <c r="G206" s="2679">
        <f>+E206*C206</f>
        <v>358190</v>
      </c>
      <c r="H206" s="2679"/>
      <c r="I206" s="2679"/>
    </row>
    <row r="207" spans="1:9" ht="18">
      <c r="A207" s="2678"/>
      <c r="B207" s="185" t="s">
        <v>6448</v>
      </c>
      <c r="C207" s="1264">
        <v>1</v>
      </c>
      <c r="D207" s="401" t="s">
        <v>363</v>
      </c>
      <c r="E207" s="1585">
        <f>+'BASE 2'!D626</f>
        <v>80000</v>
      </c>
      <c r="F207" s="1814"/>
      <c r="G207" s="2679">
        <f t="shared" ref="G207:G208" si="9">+E207*C207</f>
        <v>80000</v>
      </c>
      <c r="H207" s="1814"/>
      <c r="I207" s="1814"/>
    </row>
    <row r="208" spans="1:9" ht="18">
      <c r="A208" s="2678"/>
      <c r="B208" s="185" t="s">
        <v>6451</v>
      </c>
      <c r="C208" s="1264">
        <v>1</v>
      </c>
      <c r="D208" s="401" t="s">
        <v>363</v>
      </c>
      <c r="E208" s="1585">
        <f>+'BASE 2'!D627</f>
        <v>72000</v>
      </c>
      <c r="F208" s="1814"/>
      <c r="G208" s="2679">
        <f t="shared" si="9"/>
        <v>72000</v>
      </c>
      <c r="H208" s="1814"/>
      <c r="I208" s="1814"/>
    </row>
    <row r="209" spans="1:9" ht="18">
      <c r="A209" s="2678" t="s">
        <v>584</v>
      </c>
      <c r="B209" s="185" t="s">
        <v>134</v>
      </c>
      <c r="C209" s="1263">
        <v>4.0000000000000001E-3</v>
      </c>
      <c r="D209" s="1274" t="s">
        <v>583</v>
      </c>
      <c r="E209" s="1255">
        <f>+VIAJE</f>
        <v>1200000</v>
      </c>
      <c r="F209" s="2679"/>
      <c r="G209" s="2679"/>
      <c r="H209" s="2679"/>
      <c r="I209" s="2679">
        <f>+E209*C209</f>
        <v>4800</v>
      </c>
    </row>
    <row r="210" spans="1:9" ht="18">
      <c r="A210" s="2036" t="s">
        <v>190</v>
      </c>
      <c r="B210" s="1266">
        <f>SUM(F210:I210)</f>
        <v>514990</v>
      </c>
      <c r="C210" s="401"/>
      <c r="D210" s="1267"/>
      <c r="E210" s="2679"/>
      <c r="F210" s="2679">
        <f>SUM(F205:F209)</f>
        <v>0</v>
      </c>
      <c r="G210" s="2679">
        <f>SUM(G206:G209)</f>
        <v>510190</v>
      </c>
      <c r="H210" s="2679">
        <f t="shared" ref="H210:I210" si="10">SUM(H206:H209)</f>
        <v>0</v>
      </c>
      <c r="I210" s="2679">
        <f t="shared" si="10"/>
        <v>4800</v>
      </c>
    </row>
    <row r="211" spans="1:9" ht="18">
      <c r="A211" s="2036" t="s">
        <v>191</v>
      </c>
      <c r="B211" s="1587">
        <f>+B210</f>
        <v>514990</v>
      </c>
      <c r="C211" s="2045" t="s">
        <v>363</v>
      </c>
      <c r="D211" s="863"/>
      <c r="E211" s="882"/>
      <c r="F211" s="882"/>
      <c r="G211" s="882"/>
      <c r="H211" s="882"/>
      <c r="I211" s="882"/>
    </row>
    <row r="212" spans="1:9" s="2039" customFormat="1" ht="18">
      <c r="A212" s="2678"/>
      <c r="B212" s="185"/>
      <c r="C212" s="1580"/>
      <c r="D212" s="863"/>
      <c r="E212" s="882"/>
      <c r="F212" s="882"/>
      <c r="G212" s="882"/>
      <c r="H212" s="882"/>
      <c r="I212" s="882"/>
    </row>
    <row r="213" spans="1:9" ht="18">
      <c r="A213" s="2047" t="str">
        <f>+'CAPTACION RIO SINÚ'!A137</f>
        <v>2.1.13</v>
      </c>
      <c r="B213" s="3562" t="s">
        <v>5101</v>
      </c>
      <c r="C213" s="3562"/>
      <c r="D213" s="3562"/>
      <c r="E213" s="3562"/>
      <c r="F213" s="3562"/>
      <c r="G213" s="3562"/>
      <c r="H213" s="3562"/>
      <c r="I213" s="3562"/>
    </row>
    <row r="214" spans="1:9" ht="18">
      <c r="A214" s="509"/>
      <c r="B214" s="1258"/>
      <c r="C214" s="1229" t="s">
        <v>140</v>
      </c>
      <c r="D214" s="1229" t="s">
        <v>343</v>
      </c>
      <c r="E214" s="2679" t="s">
        <v>344</v>
      </c>
      <c r="F214" s="2679" t="s">
        <v>482</v>
      </c>
      <c r="G214" s="2679" t="s">
        <v>483</v>
      </c>
      <c r="H214" s="2679" t="s">
        <v>170</v>
      </c>
      <c r="I214" s="2679" t="s">
        <v>171</v>
      </c>
    </row>
    <row r="215" spans="1:9" ht="18">
      <c r="A215" s="1229"/>
      <c r="B215" s="1258" t="s">
        <v>6439</v>
      </c>
      <c r="C215" s="1264">
        <v>0.57999999999999996</v>
      </c>
      <c r="D215" s="401" t="s">
        <v>346</v>
      </c>
      <c r="E215" s="2679">
        <f>+OFICI</f>
        <v>80479.625344</v>
      </c>
      <c r="F215" s="2679"/>
      <c r="G215" s="2679"/>
      <c r="H215" s="1255">
        <f>+E215*C215</f>
        <v>46678.182699519995</v>
      </c>
      <c r="I215" s="2679"/>
    </row>
    <row r="216" spans="1:9" ht="18">
      <c r="A216" s="1580" t="s">
        <v>347</v>
      </c>
      <c r="B216" s="185" t="s">
        <v>266</v>
      </c>
      <c r="C216" s="1264">
        <v>0.57999999999999996</v>
      </c>
      <c r="D216" s="401" t="s">
        <v>346</v>
      </c>
      <c r="E216" s="1255">
        <f>AYUDA</f>
        <v>65389.695592000004</v>
      </c>
      <c r="F216" s="1255"/>
      <c r="G216" s="1255"/>
      <c r="H216" s="1255">
        <f>+E216*C216</f>
        <v>37926.023443359998</v>
      </c>
      <c r="I216" s="2679"/>
    </row>
    <row r="217" spans="1:9" ht="18">
      <c r="A217" s="2678" t="s">
        <v>172</v>
      </c>
      <c r="B217" s="185" t="s">
        <v>189</v>
      </c>
      <c r="C217" s="1264">
        <v>1</v>
      </c>
      <c r="D217" s="401" t="s">
        <v>583</v>
      </c>
      <c r="E217" s="1255">
        <f>H218*0.05</f>
        <v>4230.2103071439997</v>
      </c>
      <c r="F217" s="2679"/>
      <c r="G217" s="2679"/>
      <c r="H217" s="2679"/>
      <c r="I217" s="2679">
        <f>+E217*C217</f>
        <v>4230.2103071439997</v>
      </c>
    </row>
    <row r="218" spans="1:9" ht="18">
      <c r="A218" s="2036" t="s">
        <v>190</v>
      </c>
      <c r="B218" s="1266">
        <f>SUM(F218:I218)</f>
        <v>88834.416450024</v>
      </c>
      <c r="C218" s="401"/>
      <c r="D218" s="1267"/>
      <c r="E218" s="2679"/>
      <c r="F218" s="2679">
        <f>SUM(F215:F217)</f>
        <v>0</v>
      </c>
      <c r="G218" s="2679">
        <f>SUM(G215:G217)</f>
        <v>0</v>
      </c>
      <c r="H218" s="2679">
        <f>SUM(H215:H217)</f>
        <v>84604.206142879993</v>
      </c>
      <c r="I218" s="2679">
        <f>SUM(I215:I217)</f>
        <v>4230.2103071439997</v>
      </c>
    </row>
    <row r="219" spans="1:9" ht="18">
      <c r="A219" s="2036" t="s">
        <v>191</v>
      </c>
      <c r="B219" s="1587">
        <f>+B218</f>
        <v>88834.416450024</v>
      </c>
      <c r="C219" s="2045" t="s">
        <v>363</v>
      </c>
      <c r="D219" s="863"/>
      <c r="E219" s="882">
        <f>+B228*0.15</f>
        <v>89052</v>
      </c>
      <c r="F219" s="882"/>
      <c r="G219" s="882"/>
      <c r="H219" s="882"/>
      <c r="I219" s="882"/>
    </row>
    <row r="220" spans="1:9" ht="18">
      <c r="A220" s="1273"/>
      <c r="B220" s="880"/>
      <c r="C220" s="881"/>
      <c r="D220" s="863"/>
      <c r="E220" s="882"/>
      <c r="F220" s="882"/>
      <c r="G220" s="882"/>
      <c r="H220" s="882"/>
      <c r="I220" s="882"/>
    </row>
    <row r="221" spans="1:9" ht="18">
      <c r="A221" s="2314" t="str">
        <f>+'CAPTACION RIO SINÚ'!A184</f>
        <v>2.2.13</v>
      </c>
      <c r="B221" s="3562" t="s">
        <v>5102</v>
      </c>
      <c r="C221" s="3562"/>
      <c r="D221" s="3562"/>
      <c r="E221" s="3562"/>
      <c r="F221" s="3562"/>
      <c r="G221" s="3562"/>
      <c r="H221" s="3562"/>
      <c r="I221" s="3562"/>
    </row>
    <row r="222" spans="1:9" ht="18">
      <c r="A222" s="509"/>
      <c r="B222" s="1258"/>
      <c r="C222" s="1229" t="s">
        <v>140</v>
      </c>
      <c r="D222" s="1229" t="s">
        <v>343</v>
      </c>
      <c r="E222" s="2679" t="s">
        <v>344</v>
      </c>
      <c r="F222" s="2679" t="s">
        <v>482</v>
      </c>
      <c r="G222" s="2679" t="s">
        <v>483</v>
      </c>
      <c r="H222" s="2679" t="s">
        <v>170</v>
      </c>
      <c r="I222" s="2679" t="s">
        <v>171</v>
      </c>
    </row>
    <row r="223" spans="1:9" ht="33.75" customHeight="1">
      <c r="A223" s="2678" t="s">
        <v>213</v>
      </c>
      <c r="B223" s="242" t="s">
        <v>5100</v>
      </c>
      <c r="C223" s="183">
        <v>1</v>
      </c>
      <c r="D223" s="501" t="s">
        <v>363</v>
      </c>
      <c r="E223" s="497">
        <f>+'BASE 2'!D350</f>
        <v>442680</v>
      </c>
      <c r="F223" s="497"/>
      <c r="G223" s="497">
        <f>+E223*C223</f>
        <v>442680</v>
      </c>
      <c r="H223" s="497"/>
      <c r="I223" s="497"/>
    </row>
    <row r="224" spans="1:9" ht="18">
      <c r="A224" s="2678"/>
      <c r="B224" s="185" t="s">
        <v>6448</v>
      </c>
      <c r="C224" s="1264">
        <v>1</v>
      </c>
      <c r="D224" s="401" t="s">
        <v>363</v>
      </c>
      <c r="E224" s="1585">
        <f>+'BASE 2'!D626</f>
        <v>80000</v>
      </c>
      <c r="F224" s="1814"/>
      <c r="G224" s="2679">
        <f t="shared" ref="G224:G225" si="11">+E224*C224</f>
        <v>80000</v>
      </c>
      <c r="H224" s="1814"/>
      <c r="I224" s="1814"/>
    </row>
    <row r="225" spans="1:9" ht="18">
      <c r="A225" s="2678"/>
      <c r="B225" s="185" t="s">
        <v>6454</v>
      </c>
      <c r="C225" s="1264">
        <v>1</v>
      </c>
      <c r="D225" s="401" t="s">
        <v>363</v>
      </c>
      <c r="E225" s="1585">
        <f>+'BASE 2'!D628</f>
        <v>65000</v>
      </c>
      <c r="F225" s="1814"/>
      <c r="G225" s="2679">
        <f t="shared" si="11"/>
        <v>65000</v>
      </c>
      <c r="H225" s="1814"/>
      <c r="I225" s="1814"/>
    </row>
    <row r="226" spans="1:9" ht="18">
      <c r="A226" s="2678" t="s">
        <v>584</v>
      </c>
      <c r="B226" s="185" t="s">
        <v>134</v>
      </c>
      <c r="C226" s="1263">
        <v>5.0000000000000001E-3</v>
      </c>
      <c r="D226" s="1274" t="s">
        <v>583</v>
      </c>
      <c r="E226" s="1255">
        <f>+VIAJE</f>
        <v>1200000</v>
      </c>
      <c r="F226" s="2679"/>
      <c r="G226" s="2679"/>
      <c r="H226" s="2679"/>
      <c r="I226" s="2679">
        <f>+E226*C226</f>
        <v>6000</v>
      </c>
    </row>
    <row r="227" spans="1:9" ht="18">
      <c r="A227" s="2036" t="s">
        <v>190</v>
      </c>
      <c r="B227" s="1266">
        <f>SUM(F227:I227)</f>
        <v>593680</v>
      </c>
      <c r="C227" s="401"/>
      <c r="D227" s="1267"/>
      <c r="E227" s="2679"/>
      <c r="F227" s="2679">
        <f>SUM(F223:F226)</f>
        <v>0</v>
      </c>
      <c r="G227" s="2679">
        <f>SUM(G223:G226)</f>
        <v>587680</v>
      </c>
      <c r="H227" s="2679">
        <f t="shared" ref="H227:I227" si="12">SUM(H223:H226)</f>
        <v>0</v>
      </c>
      <c r="I227" s="2679">
        <f t="shared" si="12"/>
        <v>6000</v>
      </c>
    </row>
    <row r="228" spans="1:9" ht="18">
      <c r="A228" s="2036" t="s">
        <v>191</v>
      </c>
      <c r="B228" s="1587">
        <f>+B227</f>
        <v>593680</v>
      </c>
      <c r="C228" s="2045" t="s">
        <v>363</v>
      </c>
      <c r="D228" s="863"/>
      <c r="E228" s="882"/>
      <c r="F228" s="882"/>
      <c r="G228" s="882"/>
      <c r="H228" s="882"/>
      <c r="I228" s="882"/>
    </row>
    <row r="229" spans="1:9" s="2039" customFormat="1" ht="18">
      <c r="A229" s="2678"/>
      <c r="B229" s="185"/>
      <c r="C229" s="1580"/>
      <c r="D229" s="863"/>
      <c r="E229" s="882"/>
      <c r="F229" s="882"/>
      <c r="G229" s="882"/>
      <c r="H229" s="882"/>
      <c r="I229" s="882"/>
    </row>
    <row r="230" spans="1:9" ht="18" hidden="1">
      <c r="A230" s="2047"/>
      <c r="B230" s="3562" t="s">
        <v>5067</v>
      </c>
      <c r="C230" s="3562"/>
      <c r="D230" s="3562"/>
      <c r="E230" s="3562"/>
      <c r="F230" s="3562"/>
      <c r="G230" s="3562"/>
      <c r="H230" s="3562"/>
      <c r="I230" s="3562"/>
    </row>
    <row r="231" spans="1:9" ht="18" hidden="1">
      <c r="A231" s="509"/>
      <c r="B231" s="1258"/>
      <c r="C231" s="1229" t="s">
        <v>140</v>
      </c>
      <c r="D231" s="1229" t="s">
        <v>343</v>
      </c>
      <c r="E231" s="2679" t="s">
        <v>344</v>
      </c>
      <c r="F231" s="2679" t="s">
        <v>482</v>
      </c>
      <c r="G231" s="2679" t="s">
        <v>483</v>
      </c>
      <c r="H231" s="2679" t="s">
        <v>170</v>
      </c>
      <c r="I231" s="2679" t="s">
        <v>171</v>
      </c>
    </row>
    <row r="232" spans="1:9" ht="18" hidden="1">
      <c r="A232" s="2678" t="s">
        <v>347</v>
      </c>
      <c r="B232" s="185" t="str">
        <f>IF(PRESTA&gt;0,"AYUD. ENTENDIDO (INCLUYE "&amp;""&amp;PRESTA*100&amp;"% PRESTACIONES)",0)</f>
        <v>AYUD. ENTENDIDO (INCLUYE 82,22% PRESTACIONES)</v>
      </c>
      <c r="C232" s="1264">
        <v>0.86</v>
      </c>
      <c r="D232" s="401" t="s">
        <v>346</v>
      </c>
      <c r="E232" s="2679">
        <f>+AYUDA</f>
        <v>65389.695592000004</v>
      </c>
      <c r="F232" s="2679"/>
      <c r="G232" s="2679"/>
      <c r="H232" s="2679">
        <f>+E232*C232</f>
        <v>56235.138209119999</v>
      </c>
      <c r="I232" s="2679"/>
    </row>
    <row r="233" spans="1:9" ht="18" hidden="1">
      <c r="A233" s="2678" t="s">
        <v>172</v>
      </c>
      <c r="B233" s="185" t="s">
        <v>189</v>
      </c>
      <c r="C233" s="1264">
        <v>1</v>
      </c>
      <c r="D233" s="401" t="s">
        <v>583</v>
      </c>
      <c r="E233" s="1255">
        <f>H234*0.05</f>
        <v>2811.7569104560002</v>
      </c>
      <c r="F233" s="2679"/>
      <c r="G233" s="2679"/>
      <c r="H233" s="2679"/>
      <c r="I233" s="2679">
        <f>+E233*C233</f>
        <v>2811.7569104560002</v>
      </c>
    </row>
    <row r="234" spans="1:9" ht="18" hidden="1">
      <c r="A234" s="2036" t="s">
        <v>190</v>
      </c>
      <c r="B234" s="1266">
        <f>SUM(F234:I234)</f>
        <v>59046.895119576002</v>
      </c>
      <c r="C234" s="401"/>
      <c r="D234" s="1267"/>
      <c r="E234" s="2679"/>
      <c r="F234" s="2679">
        <f>SUM(F231:F233)</f>
        <v>0</v>
      </c>
      <c r="G234" s="2679">
        <f>SUM(G231:G233)</f>
        <v>0</v>
      </c>
      <c r="H234" s="2679">
        <f>SUM(H232:H233)</f>
        <v>56235.138209119999</v>
      </c>
      <c r="I234" s="2679">
        <f>SUM(I231:I233)</f>
        <v>2811.7569104560002</v>
      </c>
    </row>
    <row r="235" spans="1:9" ht="18" hidden="1">
      <c r="A235" s="2036" t="s">
        <v>191</v>
      </c>
      <c r="B235" s="1587">
        <f>+B234</f>
        <v>59046.895119576002</v>
      </c>
      <c r="C235" s="2045" t="s">
        <v>363</v>
      </c>
      <c r="D235" s="863"/>
      <c r="E235" s="882"/>
      <c r="F235" s="882"/>
      <c r="G235" s="882"/>
      <c r="H235" s="882"/>
      <c r="I235" s="882"/>
    </row>
    <row r="236" spans="1:9" ht="18" hidden="1">
      <c r="A236" s="1273"/>
      <c r="B236" s="880"/>
      <c r="C236" s="881"/>
      <c r="D236" s="863"/>
      <c r="E236" s="882"/>
      <c r="F236" s="882"/>
      <c r="G236" s="882"/>
      <c r="H236" s="882"/>
      <c r="I236" s="882"/>
    </row>
    <row r="237" spans="1:9" ht="18" hidden="1">
      <c r="A237" s="2690"/>
      <c r="B237" s="3574" t="s">
        <v>5069</v>
      </c>
      <c r="C237" s="3574"/>
      <c r="D237" s="3574"/>
      <c r="E237" s="3574"/>
      <c r="F237" s="3574"/>
      <c r="G237" s="3574"/>
      <c r="H237" s="3574"/>
      <c r="I237" s="3574"/>
    </row>
    <row r="238" spans="1:9" ht="18" hidden="1">
      <c r="A238" s="509"/>
      <c r="B238" s="1258"/>
      <c r="C238" s="1229" t="s">
        <v>140</v>
      </c>
      <c r="D238" s="1229" t="s">
        <v>343</v>
      </c>
      <c r="E238" s="2679" t="s">
        <v>344</v>
      </c>
      <c r="F238" s="2679" t="s">
        <v>482</v>
      </c>
      <c r="G238" s="2679" t="s">
        <v>483</v>
      </c>
      <c r="H238" s="2679" t="s">
        <v>170</v>
      </c>
      <c r="I238" s="2679" t="s">
        <v>171</v>
      </c>
    </row>
    <row r="239" spans="1:9" ht="18" hidden="1">
      <c r="A239" s="2678" t="s">
        <v>213</v>
      </c>
      <c r="B239" s="185" t="s">
        <v>5068</v>
      </c>
      <c r="C239" s="1264">
        <v>1</v>
      </c>
      <c r="D239" s="401" t="s">
        <v>363</v>
      </c>
      <c r="E239" s="2679">
        <f>712000</f>
        <v>712000</v>
      </c>
      <c r="F239" s="2679"/>
      <c r="G239" s="2679">
        <f>+E239*C239</f>
        <v>712000</v>
      </c>
      <c r="H239" s="2679"/>
      <c r="I239" s="2679"/>
    </row>
    <row r="240" spans="1:9" ht="18" hidden="1">
      <c r="A240" s="2678"/>
      <c r="B240" s="185" t="s">
        <v>6445</v>
      </c>
      <c r="C240" s="1264">
        <v>1</v>
      </c>
      <c r="D240" s="401" t="s">
        <v>363</v>
      </c>
      <c r="E240" s="1585">
        <f>+'BASE 2'!D733</f>
        <v>986448.12</v>
      </c>
      <c r="F240" s="1814"/>
      <c r="G240" s="1814">
        <f>+E240*C240</f>
        <v>986448.12</v>
      </c>
      <c r="H240" s="1814"/>
      <c r="I240" s="1814"/>
    </row>
    <row r="241" spans="1:10" s="402" customFormat="1" ht="15" hidden="1" customHeight="1">
      <c r="A241" s="954"/>
      <c r="B241" s="185"/>
      <c r="C241" s="183">
        <v>0.35</v>
      </c>
      <c r="D241" s="401" t="s">
        <v>346</v>
      </c>
      <c r="E241" s="2679">
        <f>+'BASE 2'!D813</f>
        <v>0</v>
      </c>
      <c r="F241" s="2679">
        <f>+E241*C241</f>
        <v>0</v>
      </c>
      <c r="G241" s="2679"/>
      <c r="H241" s="2679"/>
      <c r="I241" s="2679"/>
      <c r="J241" s="507"/>
    </row>
    <row r="242" spans="1:10" ht="18" hidden="1">
      <c r="A242" s="2678" t="s">
        <v>584</v>
      </c>
      <c r="B242" s="185" t="s">
        <v>134</v>
      </c>
      <c r="C242" s="1263">
        <v>0.01</v>
      </c>
      <c r="D242" s="1274" t="s">
        <v>583</v>
      </c>
      <c r="E242" s="1255">
        <f>+VIAJE</f>
        <v>1200000</v>
      </c>
      <c r="F242" s="2679"/>
      <c r="G242" s="2679"/>
      <c r="H242" s="2679"/>
      <c r="I242" s="2679">
        <f>+E242*C242</f>
        <v>12000</v>
      </c>
    </row>
    <row r="243" spans="1:10" ht="18" hidden="1">
      <c r="A243" s="2036" t="s">
        <v>190</v>
      </c>
      <c r="B243" s="1266">
        <f>SUM(F243:I243)</f>
        <v>1710448.12</v>
      </c>
      <c r="C243" s="401"/>
      <c r="D243" s="1267"/>
      <c r="E243" s="2679"/>
      <c r="F243" s="2679">
        <f>SUM(F238:F242)</f>
        <v>0</v>
      </c>
      <c r="G243" s="2679">
        <f>SUM(G238:G242)</f>
        <v>1698448.12</v>
      </c>
      <c r="H243" s="2679">
        <f>SUM(H238:H242)</f>
        <v>0</v>
      </c>
      <c r="I243" s="2679">
        <f>SUM(I238:I242)</f>
        <v>12000</v>
      </c>
    </row>
    <row r="244" spans="1:10" ht="18" hidden="1">
      <c r="A244" s="2036" t="s">
        <v>191</v>
      </c>
      <c r="B244" s="1587">
        <f>+B243</f>
        <v>1710448.12</v>
      </c>
      <c r="C244" s="2045" t="s">
        <v>363</v>
      </c>
      <c r="D244" s="863"/>
      <c r="E244" s="882"/>
      <c r="F244" s="882"/>
      <c r="G244" s="882"/>
      <c r="H244" s="882"/>
      <c r="I244" s="882"/>
    </row>
    <row r="245" spans="1:10" ht="18">
      <c r="A245" s="2314" t="str">
        <f>+'CAPTACION RIO SINÚ'!A138</f>
        <v>2.1.14</v>
      </c>
      <c r="B245" s="3563" t="s">
        <v>4401</v>
      </c>
      <c r="C245" s="3564"/>
      <c r="D245" s="3564"/>
      <c r="E245" s="3564"/>
      <c r="F245" s="3564"/>
      <c r="G245" s="3564"/>
      <c r="H245" s="3564"/>
      <c r="I245" s="3565"/>
    </row>
    <row r="246" spans="1:10" ht="18">
      <c r="A246" s="1229"/>
      <c r="B246" s="1258"/>
      <c r="C246" s="1229" t="s">
        <v>140</v>
      </c>
      <c r="D246" s="1229" t="s">
        <v>343</v>
      </c>
      <c r="E246" s="2679" t="s">
        <v>344</v>
      </c>
      <c r="F246" s="2679" t="s">
        <v>482</v>
      </c>
      <c r="G246" s="2679" t="s">
        <v>483</v>
      </c>
      <c r="H246" s="2679" t="s">
        <v>170</v>
      </c>
      <c r="I246" s="2679" t="s">
        <v>171</v>
      </c>
    </row>
    <row r="247" spans="1:10" ht="18">
      <c r="A247" s="1229"/>
      <c r="B247" s="1258" t="s">
        <v>6439</v>
      </c>
      <c r="C247" s="1264">
        <v>1.1499999999999999</v>
      </c>
      <c r="D247" s="401" t="s">
        <v>346</v>
      </c>
      <c r="E247" s="2679">
        <f>+OFICI</f>
        <v>80479.625344</v>
      </c>
      <c r="F247" s="2679"/>
      <c r="G247" s="2679"/>
      <c r="H247" s="1255">
        <f>+E247*C247</f>
        <v>92551.569145599991</v>
      </c>
      <c r="I247" s="2679"/>
    </row>
    <row r="248" spans="1:10" ht="18">
      <c r="A248" s="1580" t="s">
        <v>347</v>
      </c>
      <c r="B248" s="185" t="s">
        <v>266</v>
      </c>
      <c r="C248" s="1264">
        <v>1.1499999999999999</v>
      </c>
      <c r="D248" s="401" t="s">
        <v>346</v>
      </c>
      <c r="E248" s="1255">
        <f>AYUDA*1</f>
        <v>65389.695592000004</v>
      </c>
      <c r="F248" s="1255"/>
      <c r="G248" s="1255"/>
      <c r="H248" s="1255">
        <f>+E248*C248</f>
        <v>75198.149930800006</v>
      </c>
      <c r="I248" s="2679"/>
    </row>
    <row r="249" spans="1:10" s="402" customFormat="1" ht="15" customHeight="1">
      <c r="A249" s="954"/>
      <c r="B249" s="185" t="s">
        <v>6426</v>
      </c>
      <c r="C249" s="183">
        <v>1.1499999999999999</v>
      </c>
      <c r="D249" s="401" t="s">
        <v>346</v>
      </c>
      <c r="E249" s="2679">
        <f>+'BASE 2'!D736</f>
        <v>18500</v>
      </c>
      <c r="F249" s="2679">
        <f>+E249*C249</f>
        <v>21275</v>
      </c>
      <c r="G249" s="2679"/>
      <c r="H249" s="2679"/>
      <c r="I249" s="2679"/>
      <c r="J249" s="507"/>
    </row>
    <row r="250" spans="1:10" ht="18">
      <c r="A250" s="1580" t="s">
        <v>172</v>
      </c>
      <c r="B250" s="185" t="s">
        <v>189</v>
      </c>
      <c r="C250" s="1264">
        <v>1</v>
      </c>
      <c r="D250" s="401" t="s">
        <v>583</v>
      </c>
      <c r="E250" s="1255">
        <f>H251*0.05</f>
        <v>8387.4859538199998</v>
      </c>
      <c r="F250" s="1255"/>
      <c r="G250" s="1255"/>
      <c r="H250" s="1255"/>
      <c r="I250" s="2679">
        <f>+E250*C250</f>
        <v>8387.4859538199998</v>
      </c>
    </row>
    <row r="251" spans="1:10" ht="18">
      <c r="A251" s="2036" t="s">
        <v>190</v>
      </c>
      <c r="B251" s="1266">
        <f>SUM(F251:I251)</f>
        <v>197412.20503021998</v>
      </c>
      <c r="C251" s="687"/>
      <c r="D251" s="1267"/>
      <c r="E251" s="1255"/>
      <c r="F251" s="1255">
        <f>SUM(F247:F250)</f>
        <v>21275</v>
      </c>
      <c r="G251" s="1255">
        <f>SUM(G247:G250)</f>
        <v>0</v>
      </c>
      <c r="H251" s="1255">
        <f>SUM(H247:H250)</f>
        <v>167749.71907639998</v>
      </c>
      <c r="I251" s="1255">
        <f>SUM(I247:I250)</f>
        <v>8387.4859538199998</v>
      </c>
    </row>
    <row r="252" spans="1:10" ht="18">
      <c r="A252" s="2036" t="s">
        <v>191</v>
      </c>
      <c r="B252" s="1587">
        <f>+B251</f>
        <v>197412.20503021998</v>
      </c>
      <c r="C252" s="1269" t="s">
        <v>427</v>
      </c>
      <c r="D252" s="863"/>
      <c r="E252" s="882">
        <f>+B260*0.15</f>
        <v>195112.5</v>
      </c>
      <c r="F252" s="882"/>
      <c r="G252" s="882"/>
      <c r="H252" s="882"/>
      <c r="I252" s="882"/>
    </row>
    <row r="253" spans="1:10" s="1260" customFormat="1" ht="15" customHeight="1">
      <c r="A253" s="1277"/>
      <c r="B253" s="1278"/>
      <c r="C253" s="1279"/>
      <c r="D253" s="402"/>
      <c r="E253" s="1280"/>
      <c r="F253" s="1280"/>
      <c r="G253" s="1280"/>
      <c r="H253" s="1280"/>
      <c r="I253" s="1280"/>
    </row>
    <row r="254" spans="1:10" ht="18">
      <c r="A254" s="2314" t="str">
        <f>+'CAPTACION RIO SINÚ'!A185</f>
        <v>2.2.14</v>
      </c>
      <c r="B254" s="3562" t="s">
        <v>4400</v>
      </c>
      <c r="C254" s="3562"/>
      <c r="D254" s="3562"/>
      <c r="E254" s="3562"/>
      <c r="F254" s="3562"/>
      <c r="G254" s="3562"/>
      <c r="H254" s="3562"/>
      <c r="I254" s="3562"/>
    </row>
    <row r="255" spans="1:10" ht="18">
      <c r="A255" s="1229"/>
      <c r="B255" s="1258"/>
      <c r="C255" s="1229" t="s">
        <v>140</v>
      </c>
      <c r="D255" s="1229" t="s">
        <v>343</v>
      </c>
      <c r="E255" s="2679" t="s">
        <v>344</v>
      </c>
      <c r="F255" s="2679" t="s">
        <v>482</v>
      </c>
      <c r="G255" s="2679" t="s">
        <v>483</v>
      </c>
      <c r="H255" s="2679" t="s">
        <v>170</v>
      </c>
      <c r="I255" s="2679" t="s">
        <v>171</v>
      </c>
    </row>
    <row r="256" spans="1:10" ht="18">
      <c r="A256" s="1580" t="s">
        <v>4131</v>
      </c>
      <c r="B256" s="185" t="s">
        <v>4399</v>
      </c>
      <c r="C256" s="1264">
        <v>1</v>
      </c>
      <c r="D256" s="401" t="s">
        <v>363</v>
      </c>
      <c r="E256" s="2679">
        <f>+'BASE 2'!D562</f>
        <v>1100750</v>
      </c>
      <c r="F256" s="2679"/>
      <c r="G256" s="2679">
        <f>+E256*C256</f>
        <v>1100750</v>
      </c>
      <c r="H256" s="2679"/>
      <c r="I256" s="2679"/>
    </row>
    <row r="257" spans="1:10" ht="18">
      <c r="A257" s="1580"/>
      <c r="B257" s="185" t="s">
        <v>6455</v>
      </c>
      <c r="C257" s="1264">
        <v>2</v>
      </c>
      <c r="D257" s="401" t="s">
        <v>363</v>
      </c>
      <c r="E257" s="2679">
        <f>+'BASE 2'!D625</f>
        <v>91000</v>
      </c>
      <c r="F257" s="2679"/>
      <c r="G257" s="2679">
        <f>+E257*C257</f>
        <v>182000</v>
      </c>
      <c r="H257" s="2679"/>
      <c r="I257" s="2679"/>
    </row>
    <row r="258" spans="1:10" ht="18">
      <c r="A258" s="1580" t="s">
        <v>584</v>
      </c>
      <c r="B258" s="185" t="s">
        <v>134</v>
      </c>
      <c r="C258" s="1264">
        <v>1.4999999999999999E-2</v>
      </c>
      <c r="D258" s="401" t="s">
        <v>583</v>
      </c>
      <c r="E258" s="2679">
        <f>+VIAJE</f>
        <v>1200000</v>
      </c>
      <c r="F258" s="2679"/>
      <c r="G258" s="2679"/>
      <c r="H258" s="2679"/>
      <c r="I258" s="2679">
        <f>+E258*C258</f>
        <v>18000</v>
      </c>
    </row>
    <row r="259" spans="1:10" ht="18">
      <c r="A259" s="2036" t="s">
        <v>190</v>
      </c>
      <c r="B259" s="1266">
        <f>SUM(F259:I259)</f>
        <v>1300750</v>
      </c>
      <c r="C259" s="687"/>
      <c r="D259" s="1267"/>
      <c r="E259" s="1255"/>
      <c r="F259" s="1255">
        <f>SUM(F256:F258)</f>
        <v>0</v>
      </c>
      <c r="G259" s="1255">
        <f>SUM(G256:G258)</f>
        <v>1282750</v>
      </c>
      <c r="H259" s="1255">
        <f t="shared" ref="H259:I259" si="13">SUM(H256:H258)</f>
        <v>0</v>
      </c>
      <c r="I259" s="1255">
        <f t="shared" si="13"/>
        <v>18000</v>
      </c>
    </row>
    <row r="260" spans="1:10" ht="18">
      <c r="A260" s="2036" t="s">
        <v>191</v>
      </c>
      <c r="B260" s="1587">
        <f>+B259</f>
        <v>1300750</v>
      </c>
      <c r="C260" s="1269" t="s">
        <v>427</v>
      </c>
      <c r="D260" s="863"/>
      <c r="E260" s="882"/>
      <c r="F260" s="882"/>
      <c r="G260" s="882"/>
      <c r="H260" s="882"/>
      <c r="I260" s="882"/>
    </row>
    <row r="261" spans="1:10" s="2039" customFormat="1" ht="18">
      <c r="A261" s="2678"/>
      <c r="B261" s="185"/>
      <c r="C261" s="1282"/>
      <c r="D261" s="863"/>
      <c r="E261" s="882"/>
      <c r="F261" s="882"/>
      <c r="G261" s="882"/>
      <c r="H261" s="882"/>
      <c r="I261" s="882"/>
    </row>
    <row r="262" spans="1:10" s="2039" customFormat="1" ht="18">
      <c r="A262" s="2678"/>
      <c r="B262" s="185"/>
      <c r="C262" s="1282"/>
      <c r="D262" s="863"/>
      <c r="E262" s="882"/>
      <c r="F262" s="882"/>
      <c r="G262" s="882"/>
      <c r="H262" s="882"/>
      <c r="I262" s="882"/>
    </row>
    <row r="263" spans="1:10" ht="18">
      <c r="A263" s="2314" t="str">
        <f>+'CAPTACION RIO SINÚ'!A139</f>
        <v>2.1.15</v>
      </c>
      <c r="B263" s="3563" t="s">
        <v>4398</v>
      </c>
      <c r="C263" s="3564"/>
      <c r="D263" s="3564"/>
      <c r="E263" s="3564"/>
      <c r="F263" s="3564"/>
      <c r="G263" s="3564"/>
      <c r="H263" s="3564"/>
      <c r="I263" s="3565"/>
    </row>
    <row r="264" spans="1:10" ht="18">
      <c r="A264" s="1229"/>
      <c r="B264" s="1258"/>
      <c r="C264" s="1229" t="s">
        <v>140</v>
      </c>
      <c r="D264" s="1229" t="s">
        <v>343</v>
      </c>
      <c r="E264" s="2679" t="s">
        <v>344</v>
      </c>
      <c r="F264" s="2679" t="s">
        <v>482</v>
      </c>
      <c r="G264" s="2679" t="s">
        <v>483</v>
      </c>
      <c r="H264" s="2679" t="s">
        <v>170</v>
      </c>
      <c r="I264" s="2679" t="s">
        <v>171</v>
      </c>
    </row>
    <row r="265" spans="1:10" ht="18">
      <c r="A265" s="1229"/>
      <c r="B265" s="1258" t="s">
        <v>6439</v>
      </c>
      <c r="C265" s="1264">
        <v>1.33</v>
      </c>
      <c r="D265" s="401" t="s">
        <v>346</v>
      </c>
      <c r="E265" s="2679">
        <f>+OFICI</f>
        <v>80479.625344</v>
      </c>
      <c r="F265" s="2679"/>
      <c r="G265" s="2679"/>
      <c r="H265" s="1255">
        <f>+E265*C265</f>
        <v>107037.90170752001</v>
      </c>
      <c r="I265" s="2679"/>
    </row>
    <row r="266" spans="1:10" ht="18">
      <c r="A266" s="1580" t="s">
        <v>347</v>
      </c>
      <c r="B266" s="185" t="s">
        <v>266</v>
      </c>
      <c r="C266" s="1264">
        <v>1.33</v>
      </c>
      <c r="D266" s="401" t="s">
        <v>346</v>
      </c>
      <c r="E266" s="1255">
        <f>AYUDA</f>
        <v>65389.695592000004</v>
      </c>
      <c r="F266" s="1255"/>
      <c r="G266" s="1255"/>
      <c r="H266" s="1255">
        <f>+E266*C266</f>
        <v>86968.295137360008</v>
      </c>
      <c r="I266" s="2679"/>
    </row>
    <row r="267" spans="1:10" s="402" customFormat="1" ht="15" customHeight="1">
      <c r="A267" s="954"/>
      <c r="B267" s="185" t="s">
        <v>6426</v>
      </c>
      <c r="C267" s="183">
        <v>1.33</v>
      </c>
      <c r="D267" s="401" t="s">
        <v>346</v>
      </c>
      <c r="E267" s="2679">
        <f>+'BASE 2'!D736</f>
        <v>18500</v>
      </c>
      <c r="F267" s="2679">
        <f>+E267*C267</f>
        <v>24605</v>
      </c>
      <c r="G267" s="2679"/>
      <c r="H267" s="2679"/>
      <c r="I267" s="2679"/>
      <c r="J267" s="507"/>
    </row>
    <row r="268" spans="1:10" ht="18">
      <c r="A268" s="1580" t="s">
        <v>172</v>
      </c>
      <c r="B268" s="185" t="s">
        <v>189</v>
      </c>
      <c r="C268" s="1264">
        <v>1</v>
      </c>
      <c r="D268" s="401" t="s">
        <v>583</v>
      </c>
      <c r="E268" s="1255">
        <f>H269*0.05</f>
        <v>9700.3098422439998</v>
      </c>
      <c r="F268" s="1255"/>
      <c r="G268" s="1255"/>
      <c r="H268" s="1255"/>
      <c r="I268" s="2679">
        <f>+E268*C268</f>
        <v>9700.3098422439998</v>
      </c>
    </row>
    <row r="269" spans="1:10" ht="18">
      <c r="A269" s="2036" t="s">
        <v>190</v>
      </c>
      <c r="B269" s="1266">
        <f>SUM(F269:I269)</f>
        <v>228311.506687124</v>
      </c>
      <c r="C269" s="687"/>
      <c r="D269" s="1267"/>
      <c r="E269" s="1255"/>
      <c r="F269" s="1255">
        <f>SUM(F265:F268)</f>
        <v>24605</v>
      </c>
      <c r="G269" s="1255">
        <f>SUM(G265:G268)</f>
        <v>0</v>
      </c>
      <c r="H269" s="1255">
        <f>SUM(H265:H268)</f>
        <v>194006.19684488</v>
      </c>
      <c r="I269" s="1255">
        <f>SUM(I265:I268)</f>
        <v>9700.3098422439998</v>
      </c>
    </row>
    <row r="270" spans="1:10" ht="18">
      <c r="A270" s="2036" t="s">
        <v>191</v>
      </c>
      <c r="B270" s="1587">
        <f>+B269</f>
        <v>228311.506687124</v>
      </c>
      <c r="C270" s="1269" t="s">
        <v>427</v>
      </c>
      <c r="D270" s="863"/>
      <c r="E270" s="882">
        <f>+B278*0.15</f>
        <v>227096.85</v>
      </c>
      <c r="F270" s="882"/>
      <c r="G270" s="882"/>
      <c r="H270" s="882"/>
      <c r="I270" s="882"/>
    </row>
    <row r="271" spans="1:10" s="1260" customFormat="1" ht="15" customHeight="1">
      <c r="A271" s="1277"/>
      <c r="B271" s="1278"/>
      <c r="C271" s="1279"/>
      <c r="D271" s="402"/>
      <c r="E271" s="1280"/>
      <c r="F271" s="1280"/>
      <c r="G271" s="1280"/>
      <c r="H271" s="1280"/>
      <c r="I271" s="1280"/>
    </row>
    <row r="272" spans="1:10" ht="18">
      <c r="A272" s="2314" t="str">
        <f>+'CAPTACION RIO SINÚ'!A186</f>
        <v>2.2.15</v>
      </c>
      <c r="B272" s="3562" t="s">
        <v>6456</v>
      </c>
      <c r="C272" s="3562"/>
      <c r="D272" s="3562"/>
      <c r="E272" s="3562"/>
      <c r="F272" s="3562"/>
      <c r="G272" s="3562"/>
      <c r="H272" s="3562"/>
      <c r="I272" s="3562"/>
    </row>
    <row r="273" spans="1:10" ht="18">
      <c r="A273" s="1229"/>
      <c r="B273" s="1258"/>
      <c r="C273" s="1229" t="s">
        <v>140</v>
      </c>
      <c r="D273" s="1229" t="s">
        <v>343</v>
      </c>
      <c r="E273" s="2679" t="s">
        <v>344</v>
      </c>
      <c r="F273" s="2679" t="s">
        <v>482</v>
      </c>
      <c r="G273" s="2679" t="s">
        <v>483</v>
      </c>
      <c r="H273" s="2679" t="s">
        <v>170</v>
      </c>
      <c r="I273" s="2679" t="s">
        <v>171</v>
      </c>
    </row>
    <row r="274" spans="1:10" ht="18">
      <c r="A274" s="1580" t="s">
        <v>4131</v>
      </c>
      <c r="B274" s="185" t="s">
        <v>4410</v>
      </c>
      <c r="C274" s="1264">
        <v>1</v>
      </c>
      <c r="D274" s="401" t="s">
        <v>363</v>
      </c>
      <c r="E274" s="2679">
        <f>+'BASE 2'!D566</f>
        <v>1301979</v>
      </c>
      <c r="F274" s="2679"/>
      <c r="G274" s="2679">
        <f>+E274*C274</f>
        <v>1301979</v>
      </c>
      <c r="H274" s="2679"/>
      <c r="I274" s="2679"/>
    </row>
    <row r="275" spans="1:10" ht="18">
      <c r="A275" s="1580"/>
      <c r="B275" s="185" t="s">
        <v>6455</v>
      </c>
      <c r="C275" s="1264">
        <v>2</v>
      </c>
      <c r="D275" s="401" t="s">
        <v>363</v>
      </c>
      <c r="E275" s="2679">
        <f>+'BASE 2'!D625</f>
        <v>91000</v>
      </c>
      <c r="F275" s="2679"/>
      <c r="G275" s="2679">
        <f>+E275*C275</f>
        <v>182000</v>
      </c>
      <c r="H275" s="2679"/>
      <c r="I275" s="2679"/>
    </row>
    <row r="276" spans="1:10" ht="18">
      <c r="A276" s="1580" t="s">
        <v>584</v>
      </c>
      <c r="B276" s="185" t="s">
        <v>134</v>
      </c>
      <c r="C276" s="1264">
        <v>2.5000000000000001E-2</v>
      </c>
      <c r="D276" s="401" t="s">
        <v>583</v>
      </c>
      <c r="E276" s="2679">
        <f>+VIAJE</f>
        <v>1200000</v>
      </c>
      <c r="F276" s="2679"/>
      <c r="G276" s="2679"/>
      <c r="H276" s="2679"/>
      <c r="I276" s="2679">
        <f>+E276*C276</f>
        <v>30000</v>
      </c>
    </row>
    <row r="277" spans="1:10" ht="18">
      <c r="A277" s="2036" t="s">
        <v>190</v>
      </c>
      <c r="B277" s="1266">
        <f>SUM(F277:I277)</f>
        <v>1513979</v>
      </c>
      <c r="C277" s="687"/>
      <c r="D277" s="1267"/>
      <c r="E277" s="1255"/>
      <c r="F277" s="1255">
        <f>SUM(F274:F276)</f>
        <v>0</v>
      </c>
      <c r="G277" s="1255">
        <f>SUM(G274:G276)</f>
        <v>1483979</v>
      </c>
      <c r="H277" s="1255">
        <f>SUM(H274:H276)</f>
        <v>0</v>
      </c>
      <c r="I277" s="2679">
        <f>SUM(I274:I276)</f>
        <v>30000</v>
      </c>
    </row>
    <row r="278" spans="1:10" ht="18">
      <c r="A278" s="2036" t="s">
        <v>191</v>
      </c>
      <c r="B278" s="1587">
        <f>+B277</f>
        <v>1513979</v>
      </c>
      <c r="C278" s="1269" t="s">
        <v>427</v>
      </c>
      <c r="D278" s="863"/>
      <c r="E278" s="882"/>
      <c r="F278" s="882"/>
      <c r="G278" s="882"/>
      <c r="H278" s="882"/>
      <c r="I278" s="882"/>
    </row>
    <row r="279" spans="1:10" s="2039" customFormat="1" ht="18">
      <c r="A279" s="2678"/>
      <c r="B279" s="185"/>
      <c r="C279" s="1282"/>
      <c r="D279" s="863"/>
      <c r="E279" s="882"/>
      <c r="F279" s="882"/>
      <c r="G279" s="882"/>
      <c r="H279" s="882"/>
      <c r="I279" s="882"/>
    </row>
    <row r="280" spans="1:10" ht="18">
      <c r="A280" s="2314" t="str">
        <f>+'CAPTACION RIO SINÚ'!A140</f>
        <v>2.1.16</v>
      </c>
      <c r="B280" s="3563" t="s">
        <v>4397</v>
      </c>
      <c r="C280" s="3564"/>
      <c r="D280" s="3564"/>
      <c r="E280" s="3564"/>
      <c r="F280" s="3564"/>
      <c r="G280" s="3564"/>
      <c r="H280" s="3564"/>
      <c r="I280" s="3565"/>
    </row>
    <row r="281" spans="1:10" ht="18">
      <c r="A281" s="1229"/>
      <c r="B281" s="1258"/>
      <c r="C281" s="1229" t="s">
        <v>140</v>
      </c>
      <c r="D281" s="1229" t="s">
        <v>343</v>
      </c>
      <c r="E281" s="2679" t="s">
        <v>344</v>
      </c>
      <c r="F281" s="2679" t="s">
        <v>482</v>
      </c>
      <c r="G281" s="2679" t="s">
        <v>483</v>
      </c>
      <c r="H281" s="2679" t="s">
        <v>170</v>
      </c>
      <c r="I281" s="2679" t="s">
        <v>171</v>
      </c>
    </row>
    <row r="282" spans="1:10" ht="18">
      <c r="A282" s="1229"/>
      <c r="B282" s="1258" t="s">
        <v>6439</v>
      </c>
      <c r="C282" s="1264">
        <v>1.1299999999999999</v>
      </c>
      <c r="D282" s="401" t="s">
        <v>346</v>
      </c>
      <c r="E282" s="2679">
        <f>+OFICI</f>
        <v>80479.625344</v>
      </c>
      <c r="F282" s="2679"/>
      <c r="G282" s="2679"/>
      <c r="H282" s="1255">
        <f>+E282*C282</f>
        <v>90941.976638719992</v>
      </c>
      <c r="I282" s="2679"/>
    </row>
    <row r="283" spans="1:10" ht="18">
      <c r="A283" s="1580" t="s">
        <v>347</v>
      </c>
      <c r="B283" s="185" t="s">
        <v>266</v>
      </c>
      <c r="C283" s="1264">
        <v>1.1299999999999999</v>
      </c>
      <c r="D283" s="401" t="s">
        <v>346</v>
      </c>
      <c r="E283" s="1255">
        <f>AYUDA*2</f>
        <v>130779.39118400001</v>
      </c>
      <c r="F283" s="1255"/>
      <c r="G283" s="1255"/>
      <c r="H283" s="1255">
        <f>+E283*C283</f>
        <v>147780.71203791999</v>
      </c>
      <c r="I283" s="2679"/>
    </row>
    <row r="284" spans="1:10" s="402" customFormat="1" ht="15" customHeight="1">
      <c r="A284" s="954"/>
      <c r="B284" s="185" t="s">
        <v>6426</v>
      </c>
      <c r="C284" s="183">
        <v>1.1299999999999999</v>
      </c>
      <c r="D284" s="401" t="s">
        <v>346</v>
      </c>
      <c r="E284" s="2679">
        <f>+'BASE 2'!D736</f>
        <v>18500</v>
      </c>
      <c r="F284" s="2679">
        <f>+E284*C284</f>
        <v>20904.999999999996</v>
      </c>
      <c r="G284" s="2679"/>
      <c r="H284" s="2679"/>
      <c r="I284" s="2679"/>
      <c r="J284" s="507"/>
    </row>
    <row r="285" spans="1:10" ht="18">
      <c r="A285" s="1580" t="s">
        <v>172</v>
      </c>
      <c r="B285" s="185" t="s">
        <v>189</v>
      </c>
      <c r="C285" s="1264">
        <v>1</v>
      </c>
      <c r="D285" s="401" t="s">
        <v>583</v>
      </c>
      <c r="E285" s="1255">
        <f>H286*0.05</f>
        <v>11936.134433832</v>
      </c>
      <c r="F285" s="1255"/>
      <c r="G285" s="1255"/>
      <c r="H285" s="1255"/>
      <c r="I285" s="2679">
        <f>+E285*C285</f>
        <v>11936.134433832</v>
      </c>
    </row>
    <row r="286" spans="1:10" ht="18">
      <c r="A286" s="2036" t="s">
        <v>190</v>
      </c>
      <c r="B286" s="1266">
        <f>SUM(F286:I286)</f>
        <v>271563.823110472</v>
      </c>
      <c r="C286" s="687"/>
      <c r="D286" s="1267"/>
      <c r="E286" s="1255"/>
      <c r="F286" s="1255">
        <f>SUM(F282:F285)</f>
        <v>20904.999999999996</v>
      </c>
      <c r="G286" s="1255">
        <f t="shared" ref="G286:I286" si="14">SUM(G282:G285)</f>
        <v>0</v>
      </c>
      <c r="H286" s="1255">
        <f t="shared" si="14"/>
        <v>238722.68867663998</v>
      </c>
      <c r="I286" s="1255">
        <f t="shared" si="14"/>
        <v>11936.134433832</v>
      </c>
    </row>
    <row r="287" spans="1:10" ht="18">
      <c r="A287" s="2036" t="s">
        <v>191</v>
      </c>
      <c r="B287" s="1587">
        <f>+B286</f>
        <v>271563.823110472</v>
      </c>
      <c r="C287" s="1269" t="s">
        <v>427</v>
      </c>
      <c r="D287" s="863"/>
      <c r="E287" s="882">
        <f>+B295*0.15</f>
        <v>273014.55</v>
      </c>
      <c r="F287" s="882"/>
      <c r="G287" s="882"/>
      <c r="H287" s="882"/>
      <c r="I287" s="882"/>
    </row>
    <row r="288" spans="1:10" s="1260" customFormat="1" ht="15" customHeight="1">
      <c r="A288" s="1277"/>
      <c r="B288" s="1278"/>
      <c r="C288" s="1279"/>
      <c r="D288" s="402"/>
      <c r="E288" s="1280"/>
      <c r="F288" s="1280"/>
      <c r="G288" s="1280"/>
      <c r="H288" s="1280"/>
      <c r="I288" s="1280"/>
    </row>
    <row r="289" spans="1:10" ht="18">
      <c r="A289" s="2314" t="str">
        <f>+'CAPTACION RIO SINÚ'!A187</f>
        <v>2.2.16</v>
      </c>
      <c r="B289" s="3562" t="s">
        <v>4396</v>
      </c>
      <c r="C289" s="3562"/>
      <c r="D289" s="3562"/>
      <c r="E289" s="3562"/>
      <c r="F289" s="3562"/>
      <c r="G289" s="3562"/>
      <c r="H289" s="3562"/>
      <c r="I289" s="3562"/>
    </row>
    <row r="290" spans="1:10" ht="18">
      <c r="A290" s="1229"/>
      <c r="B290" s="1258"/>
      <c r="C290" s="1229" t="s">
        <v>140</v>
      </c>
      <c r="D290" s="1229" t="s">
        <v>343</v>
      </c>
      <c r="E290" s="2679" t="s">
        <v>344</v>
      </c>
      <c r="F290" s="2679" t="s">
        <v>482</v>
      </c>
      <c r="G290" s="2679" t="s">
        <v>483</v>
      </c>
      <c r="H290" s="2679" t="s">
        <v>170</v>
      </c>
      <c r="I290" s="2679" t="s">
        <v>171</v>
      </c>
    </row>
    <row r="291" spans="1:10" ht="18">
      <c r="A291" s="1580" t="s">
        <v>4131</v>
      </c>
      <c r="B291" s="185" t="s">
        <v>4395</v>
      </c>
      <c r="C291" s="1264">
        <v>1</v>
      </c>
      <c r="D291" s="401" t="s">
        <v>363</v>
      </c>
      <c r="E291" s="2679">
        <f>+'BASE 2'!D571</f>
        <v>1602097</v>
      </c>
      <c r="F291" s="2679"/>
      <c r="G291" s="2679">
        <f>+E291*C291</f>
        <v>1602097</v>
      </c>
      <c r="H291" s="2679"/>
      <c r="I291" s="2679"/>
    </row>
    <row r="292" spans="1:10" ht="18">
      <c r="A292" s="1580"/>
      <c r="B292" s="185" t="s">
        <v>6455</v>
      </c>
      <c r="C292" s="1264">
        <v>2</v>
      </c>
      <c r="D292" s="401" t="s">
        <v>363</v>
      </c>
      <c r="E292" s="2679">
        <f>+'BASE 2'!D625</f>
        <v>91000</v>
      </c>
      <c r="F292" s="2679"/>
      <c r="G292" s="2679">
        <f>+E292*C292</f>
        <v>182000</v>
      </c>
      <c r="H292" s="2679"/>
      <c r="I292" s="2679"/>
    </row>
    <row r="293" spans="1:10" ht="18">
      <c r="A293" s="1580" t="s">
        <v>584</v>
      </c>
      <c r="B293" s="185" t="s">
        <v>134</v>
      </c>
      <c r="C293" s="1264">
        <v>0.03</v>
      </c>
      <c r="D293" s="401" t="s">
        <v>583</v>
      </c>
      <c r="E293" s="2679">
        <f>+VIAJE</f>
        <v>1200000</v>
      </c>
      <c r="F293" s="2679"/>
      <c r="G293" s="2679"/>
      <c r="H293" s="2679"/>
      <c r="I293" s="2679">
        <f>+E293*C293</f>
        <v>36000</v>
      </c>
    </row>
    <row r="294" spans="1:10" ht="18">
      <c r="A294" s="2036" t="s">
        <v>190</v>
      </c>
      <c r="B294" s="1266">
        <f>SUM(F294:I294)</f>
        <v>1820097</v>
      </c>
      <c r="C294" s="687"/>
      <c r="D294" s="1267"/>
      <c r="E294" s="1255"/>
      <c r="F294" s="1255">
        <f>SUM(F291:F293)</f>
        <v>0</v>
      </c>
      <c r="G294" s="1255">
        <f>SUM(G291:G293)</f>
        <v>1784097</v>
      </c>
      <c r="H294" s="1255">
        <f>SUM(H291:H293)</f>
        <v>0</v>
      </c>
      <c r="I294" s="2679">
        <f>SUM(I291:I293)</f>
        <v>36000</v>
      </c>
    </row>
    <row r="295" spans="1:10" ht="18">
      <c r="A295" s="2036" t="s">
        <v>191</v>
      </c>
      <c r="B295" s="1587">
        <f>+B294</f>
        <v>1820097</v>
      </c>
      <c r="C295" s="1269" t="s">
        <v>427</v>
      </c>
      <c r="D295" s="863"/>
      <c r="E295" s="882"/>
      <c r="F295" s="882"/>
      <c r="G295" s="882"/>
      <c r="H295" s="882"/>
      <c r="I295" s="882"/>
    </row>
    <row r="296" spans="1:10" s="2039" customFormat="1" ht="18">
      <c r="A296" s="2678"/>
      <c r="B296" s="185"/>
      <c r="C296" s="1282"/>
      <c r="D296" s="863"/>
      <c r="E296" s="882"/>
      <c r="F296" s="882"/>
      <c r="G296" s="882"/>
      <c r="H296" s="882"/>
      <c r="I296" s="882"/>
    </row>
    <row r="297" spans="1:10" ht="18">
      <c r="A297" s="2047" t="str">
        <f>+'CAPTACION RIO SINÚ'!A141</f>
        <v>2.1.17</v>
      </c>
      <c r="B297" s="3562" t="s">
        <v>4381</v>
      </c>
      <c r="C297" s="3562"/>
      <c r="D297" s="3562"/>
      <c r="E297" s="3562"/>
      <c r="F297" s="3562"/>
      <c r="G297" s="3562"/>
      <c r="H297" s="3562"/>
      <c r="I297" s="3562"/>
    </row>
    <row r="298" spans="1:10" ht="18">
      <c r="A298" s="509"/>
      <c r="B298" s="1258"/>
      <c r="C298" s="1229" t="s">
        <v>140</v>
      </c>
      <c r="D298" s="1229" t="s">
        <v>343</v>
      </c>
      <c r="E298" s="2679" t="s">
        <v>344</v>
      </c>
      <c r="F298" s="2679" t="s">
        <v>482</v>
      </c>
      <c r="G298" s="2679" t="s">
        <v>483</v>
      </c>
      <c r="H298" s="2679" t="s">
        <v>170</v>
      </c>
      <c r="I298" s="2679" t="s">
        <v>171</v>
      </c>
    </row>
    <row r="299" spans="1:10" ht="18">
      <c r="A299" s="1229"/>
      <c r="B299" s="1258" t="s">
        <v>6439</v>
      </c>
      <c r="C299" s="1264">
        <v>1.45</v>
      </c>
      <c r="D299" s="401" t="s">
        <v>346</v>
      </c>
      <c r="E299" s="2679">
        <f>+OFICI</f>
        <v>80479.625344</v>
      </c>
      <c r="F299" s="2679"/>
      <c r="G299" s="2679"/>
      <c r="H299" s="1255">
        <f>+E299*C299</f>
        <v>116695.4567488</v>
      </c>
      <c r="I299" s="2679"/>
    </row>
    <row r="300" spans="1:10" ht="18">
      <c r="A300" s="1580"/>
      <c r="B300" s="185" t="s">
        <v>266</v>
      </c>
      <c r="C300" s="1264">
        <v>1.45</v>
      </c>
      <c r="D300" s="401" t="s">
        <v>346</v>
      </c>
      <c r="E300" s="1255">
        <f>AYUDA</f>
        <v>65389.695592000004</v>
      </c>
      <c r="F300" s="1255"/>
      <c r="G300" s="1255"/>
      <c r="H300" s="1255">
        <f>+E300*C300</f>
        <v>94815.05860840001</v>
      </c>
      <c r="I300" s="2679"/>
    </row>
    <row r="301" spans="1:10" s="402" customFormat="1" ht="15" customHeight="1">
      <c r="A301" s="954"/>
      <c r="B301" s="185" t="s">
        <v>6426</v>
      </c>
      <c r="C301" s="183">
        <v>1.45</v>
      </c>
      <c r="D301" s="401" t="s">
        <v>346</v>
      </c>
      <c r="E301" s="2679">
        <f>+'BASE 2'!D754</f>
        <v>24000</v>
      </c>
      <c r="F301" s="2679">
        <f>+E301*C301</f>
        <v>34800</v>
      </c>
      <c r="G301" s="2679"/>
      <c r="H301" s="2679"/>
      <c r="I301" s="2679"/>
      <c r="J301" s="507"/>
    </row>
    <row r="302" spans="1:10" ht="18">
      <c r="A302" s="2678" t="s">
        <v>172</v>
      </c>
      <c r="B302" s="185" t="s">
        <v>189</v>
      </c>
      <c r="C302" s="1264">
        <v>1</v>
      </c>
      <c r="D302" s="401" t="s">
        <v>583</v>
      </c>
      <c r="E302" s="1255">
        <f>H303*0.05</f>
        <v>10575.525767860001</v>
      </c>
      <c r="F302" s="2679"/>
      <c r="G302" s="2679"/>
      <c r="H302" s="2679"/>
      <c r="I302" s="2679">
        <f>+E302*C302</f>
        <v>10575.525767860001</v>
      </c>
    </row>
    <row r="303" spans="1:10" ht="18">
      <c r="A303" s="2036" t="s">
        <v>190</v>
      </c>
      <c r="B303" s="1266">
        <f>SUM(F303:I303)</f>
        <v>256886.04112506</v>
      </c>
      <c r="C303" s="401"/>
      <c r="D303" s="1267"/>
      <c r="E303" s="2679"/>
      <c r="F303" s="2679">
        <f>SUM(F299:F302)</f>
        <v>34800</v>
      </c>
      <c r="G303" s="2679">
        <f t="shared" ref="G303:I303" si="15">SUM(G299:G302)</f>
        <v>0</v>
      </c>
      <c r="H303" s="2679">
        <f t="shared" si="15"/>
        <v>211510.5153572</v>
      </c>
      <c r="I303" s="2679">
        <f t="shared" si="15"/>
        <v>10575.525767860001</v>
      </c>
    </row>
    <row r="304" spans="1:10" ht="18">
      <c r="A304" s="2036" t="s">
        <v>191</v>
      </c>
      <c r="B304" s="1587">
        <f>+B303</f>
        <v>256886.04112506</v>
      </c>
      <c r="C304" s="2045" t="s">
        <v>363</v>
      </c>
      <c r="D304" s="863"/>
      <c r="E304" s="882">
        <f>+B313*0.15</f>
        <v>257753.25</v>
      </c>
      <c r="F304" s="882"/>
      <c r="G304" s="882"/>
      <c r="H304" s="882"/>
      <c r="I304" s="882"/>
    </row>
    <row r="305" spans="1:11" ht="18">
      <c r="A305" s="1273"/>
      <c r="B305" s="880"/>
      <c r="C305" s="881"/>
      <c r="D305" s="863"/>
      <c r="E305" s="882"/>
      <c r="F305" s="882"/>
      <c r="G305" s="882"/>
      <c r="H305" s="882"/>
      <c r="I305" s="882"/>
    </row>
    <row r="306" spans="1:11" ht="18">
      <c r="A306" s="2314" t="str">
        <f>+'CAPTACION RIO SINÚ'!A188</f>
        <v>2.2.17</v>
      </c>
      <c r="B306" s="3562" t="s">
        <v>4382</v>
      </c>
      <c r="C306" s="3562"/>
      <c r="D306" s="3562"/>
      <c r="E306" s="3562"/>
      <c r="F306" s="3562"/>
      <c r="G306" s="3562"/>
      <c r="H306" s="3562"/>
      <c r="I306" s="3562"/>
    </row>
    <row r="307" spans="1:11" ht="18">
      <c r="A307" s="509"/>
      <c r="B307" s="1258"/>
      <c r="C307" s="1229" t="s">
        <v>140</v>
      </c>
      <c r="D307" s="1229" t="s">
        <v>343</v>
      </c>
      <c r="E307" s="2679" t="s">
        <v>344</v>
      </c>
      <c r="F307" s="2679" t="s">
        <v>482</v>
      </c>
      <c r="G307" s="2679" t="s">
        <v>483</v>
      </c>
      <c r="H307" s="2679" t="s">
        <v>170</v>
      </c>
      <c r="I307" s="2679" t="s">
        <v>171</v>
      </c>
    </row>
    <row r="308" spans="1:11" ht="18">
      <c r="A308" s="2678" t="s">
        <v>213</v>
      </c>
      <c r="B308" s="185" t="s">
        <v>4364</v>
      </c>
      <c r="C308" s="1264">
        <v>1</v>
      </c>
      <c r="D308" s="401" t="s">
        <v>363</v>
      </c>
      <c r="E308" s="2679">
        <f>+'BASE 2'!D354</f>
        <v>1433355</v>
      </c>
      <c r="F308" s="2679"/>
      <c r="G308" s="2679">
        <f>+E308*C308</f>
        <v>1433355</v>
      </c>
      <c r="H308" s="2679"/>
      <c r="I308" s="2679"/>
    </row>
    <row r="309" spans="1:11" ht="18">
      <c r="A309" s="1580"/>
      <c r="B309" s="185" t="s">
        <v>6457</v>
      </c>
      <c r="C309" s="1264">
        <v>1</v>
      </c>
      <c r="D309" s="401" t="s">
        <v>363</v>
      </c>
      <c r="E309" s="2679">
        <f>+'BASE 2'!D623</f>
        <v>170000</v>
      </c>
      <c r="F309" s="2679"/>
      <c r="G309" s="2679">
        <f>+E309*C309</f>
        <v>170000</v>
      </c>
      <c r="H309" s="2679"/>
      <c r="I309" s="2679"/>
    </row>
    <row r="310" spans="1:11" ht="18">
      <c r="A310" s="1580"/>
      <c r="B310" s="185" t="s">
        <v>6455</v>
      </c>
      <c r="C310" s="1264">
        <v>1</v>
      </c>
      <c r="D310" s="401" t="s">
        <v>363</v>
      </c>
      <c r="E310" s="2679">
        <f>+'BASE 2'!D625</f>
        <v>91000</v>
      </c>
      <c r="F310" s="2679"/>
      <c r="G310" s="2679">
        <f>+E310*C310</f>
        <v>91000</v>
      </c>
      <c r="H310" s="2679"/>
      <c r="I310" s="2679"/>
    </row>
    <row r="311" spans="1:11" ht="18">
      <c r="A311" s="2678" t="s">
        <v>584</v>
      </c>
      <c r="B311" s="185" t="s">
        <v>134</v>
      </c>
      <c r="C311" s="1263">
        <v>0.02</v>
      </c>
      <c r="D311" s="1274" t="s">
        <v>583</v>
      </c>
      <c r="E311" s="1255">
        <f>+VIAJE</f>
        <v>1200000</v>
      </c>
      <c r="F311" s="2679"/>
      <c r="G311" s="2679"/>
      <c r="H311" s="2679"/>
      <c r="I311" s="2679">
        <f>+E311*C311</f>
        <v>24000</v>
      </c>
    </row>
    <row r="312" spans="1:11" ht="18">
      <c r="A312" s="2036" t="s">
        <v>190</v>
      </c>
      <c r="B312" s="1266">
        <f>SUM(F312:I312)</f>
        <v>1718355</v>
      </c>
      <c r="C312" s="401"/>
      <c r="D312" s="1267"/>
      <c r="E312" s="2679"/>
      <c r="F312" s="2679">
        <f>SUM(F307:F311)</f>
        <v>0</v>
      </c>
      <c r="G312" s="2679">
        <f>SUM(G308:G311)</f>
        <v>1694355</v>
      </c>
      <c r="H312" s="2679">
        <f t="shared" ref="H312:I312" si="16">SUM(H308:H311)</f>
        <v>0</v>
      </c>
      <c r="I312" s="2679">
        <f t="shared" si="16"/>
        <v>24000</v>
      </c>
    </row>
    <row r="313" spans="1:11" ht="18">
      <c r="A313" s="2036" t="s">
        <v>191</v>
      </c>
      <c r="B313" s="1587">
        <f>+B312</f>
        <v>1718355</v>
      </c>
      <c r="C313" s="2045" t="s">
        <v>363</v>
      </c>
      <c r="D313" s="863"/>
      <c r="E313" s="882"/>
      <c r="F313" s="882"/>
      <c r="G313" s="882"/>
      <c r="H313" s="882"/>
      <c r="I313" s="882"/>
    </row>
    <row r="314" spans="1:11" s="2039" customFormat="1" ht="18">
      <c r="A314" s="2678"/>
      <c r="B314" s="185"/>
      <c r="C314" s="1580"/>
      <c r="D314" s="863"/>
      <c r="E314" s="882"/>
      <c r="F314" s="882"/>
      <c r="G314" s="882"/>
      <c r="H314" s="882"/>
      <c r="I314" s="882"/>
    </row>
    <row r="315" spans="1:11" ht="18">
      <c r="A315" s="2314" t="str">
        <f>+'CAPTACION RIO SINÚ'!A142</f>
        <v>2.1.18</v>
      </c>
      <c r="B315" s="3563" t="s">
        <v>4383</v>
      </c>
      <c r="C315" s="3564"/>
      <c r="D315" s="3564"/>
      <c r="E315" s="3564"/>
      <c r="F315" s="3564"/>
      <c r="G315" s="3564"/>
      <c r="H315" s="3564"/>
      <c r="I315" s="3565"/>
    </row>
    <row r="316" spans="1:11" ht="18">
      <c r="A316" s="1229"/>
      <c r="B316" s="1258"/>
      <c r="C316" s="1229" t="s">
        <v>140</v>
      </c>
      <c r="D316" s="1229" t="s">
        <v>343</v>
      </c>
      <c r="E316" s="2679" t="s">
        <v>344</v>
      </c>
      <c r="F316" s="2679" t="s">
        <v>482</v>
      </c>
      <c r="G316" s="2679" t="s">
        <v>483</v>
      </c>
      <c r="H316" s="2679" t="s">
        <v>170</v>
      </c>
      <c r="I316" s="2679" t="s">
        <v>171</v>
      </c>
    </row>
    <row r="317" spans="1:11" ht="18">
      <c r="A317" s="1229"/>
      <c r="B317" s="1258" t="s">
        <v>6439</v>
      </c>
      <c r="C317" s="1264">
        <v>2.4500000000000002</v>
      </c>
      <c r="D317" s="401" t="s">
        <v>346</v>
      </c>
      <c r="E317" s="2679">
        <f>+OFICI</f>
        <v>80479.625344</v>
      </c>
      <c r="F317" s="2679"/>
      <c r="G317" s="2679"/>
      <c r="H317" s="1255">
        <f>+E317*C317</f>
        <v>197175.0820928</v>
      </c>
      <c r="I317" s="2679"/>
    </row>
    <row r="318" spans="1:11" ht="18">
      <c r="A318" s="1580"/>
      <c r="B318" s="185" t="s">
        <v>266</v>
      </c>
      <c r="C318" s="1264">
        <v>2.4500000000000002</v>
      </c>
      <c r="D318" s="401" t="s">
        <v>346</v>
      </c>
      <c r="E318" s="1255">
        <f>AYUDA*2</f>
        <v>130779.39118400001</v>
      </c>
      <c r="F318" s="1255"/>
      <c r="G318" s="1255"/>
      <c r="H318" s="1255">
        <f>+E318*C318</f>
        <v>320409.50840080006</v>
      </c>
      <c r="I318" s="2679"/>
    </row>
    <row r="319" spans="1:11" s="402" customFormat="1" ht="15" customHeight="1">
      <c r="A319" s="1261" t="s">
        <v>736</v>
      </c>
      <c r="B319" s="1259" t="s">
        <v>6410</v>
      </c>
      <c r="C319" s="182">
        <v>1</v>
      </c>
      <c r="D319" s="509" t="s">
        <v>735</v>
      </c>
      <c r="E319" s="497">
        <f>+RETRO</f>
        <v>150000</v>
      </c>
      <c r="F319" s="1585">
        <f>+E319*C319</f>
        <v>150000</v>
      </c>
      <c r="G319" s="1585"/>
      <c r="H319" s="1585"/>
      <c r="I319" s="184"/>
      <c r="K319" s="402">
        <f>1/18</f>
        <v>5.5555555555555552E-2</v>
      </c>
    </row>
    <row r="320" spans="1:11" s="402" customFormat="1" ht="15" customHeight="1">
      <c r="A320" s="954"/>
      <c r="B320" s="185" t="s">
        <v>6426</v>
      </c>
      <c r="C320" s="183">
        <v>2.4500000000000002</v>
      </c>
      <c r="D320" s="401" t="s">
        <v>346</v>
      </c>
      <c r="E320" s="2679">
        <f>+'BASE 2'!D736</f>
        <v>18500</v>
      </c>
      <c r="F320" s="2679">
        <f>+E320*C320</f>
        <v>45325</v>
      </c>
      <c r="G320" s="2679"/>
      <c r="H320" s="2679"/>
      <c r="I320" s="2679"/>
      <c r="J320" s="507"/>
    </row>
    <row r="321" spans="1:9" ht="18">
      <c r="A321" s="1580" t="s">
        <v>172</v>
      </c>
      <c r="B321" s="185" t="s">
        <v>189</v>
      </c>
      <c r="C321" s="1264">
        <v>1</v>
      </c>
      <c r="D321" s="401" t="s">
        <v>583</v>
      </c>
      <c r="E321" s="1255">
        <f>H322*0.05</f>
        <v>25879.229524680006</v>
      </c>
      <c r="F321" s="1255"/>
      <c r="G321" s="1255"/>
      <c r="H321" s="1255"/>
      <c r="I321" s="2679">
        <f>+E321*C321</f>
        <v>25879.229524680006</v>
      </c>
    </row>
    <row r="322" spans="1:9" ht="18">
      <c r="A322" s="2036" t="s">
        <v>190</v>
      </c>
      <c r="B322" s="1266">
        <f>SUM(F322:I322)</f>
        <v>738788.82001828006</v>
      </c>
      <c r="C322" s="687"/>
      <c r="D322" s="1267"/>
      <c r="E322" s="1255"/>
      <c r="F322" s="1255">
        <f>SUM(F317:F321)</f>
        <v>195325</v>
      </c>
      <c r="G322" s="1255">
        <f t="shared" ref="G322:I322" si="17">SUM(G317:G321)</f>
        <v>0</v>
      </c>
      <c r="H322" s="1255">
        <f t="shared" si="17"/>
        <v>517584.59049360006</v>
      </c>
      <c r="I322" s="1255">
        <f t="shared" si="17"/>
        <v>25879.229524680006</v>
      </c>
    </row>
    <row r="323" spans="1:9" ht="18">
      <c r="A323" s="2036" t="s">
        <v>191</v>
      </c>
      <c r="B323" s="1587">
        <f>+B322</f>
        <v>738788.82001828006</v>
      </c>
      <c r="C323" s="1269" t="s">
        <v>427</v>
      </c>
      <c r="D323" s="863"/>
      <c r="E323" s="882">
        <f>+B331*0.15</f>
        <v>732677.25</v>
      </c>
      <c r="F323" s="882"/>
      <c r="G323" s="882"/>
      <c r="H323" s="882"/>
      <c r="I323" s="882"/>
    </row>
    <row r="324" spans="1:9" s="1260" customFormat="1" ht="15" customHeight="1">
      <c r="A324" s="1277"/>
      <c r="B324" s="1278"/>
      <c r="C324" s="1279"/>
      <c r="D324" s="402"/>
      <c r="E324" s="1280"/>
      <c r="F324" s="1280"/>
      <c r="G324" s="1280"/>
      <c r="H324" s="1280"/>
      <c r="I324" s="1280"/>
    </row>
    <row r="325" spans="1:9" ht="18">
      <c r="A325" s="2314" t="str">
        <f>+'CAPTACION RIO SINÚ'!A189</f>
        <v>2.2.18</v>
      </c>
      <c r="B325" s="3562" t="s">
        <v>4384</v>
      </c>
      <c r="C325" s="3562"/>
      <c r="D325" s="3562"/>
      <c r="E325" s="3562"/>
      <c r="F325" s="3562"/>
      <c r="G325" s="3562"/>
      <c r="H325" s="3562"/>
      <c r="I325" s="3562"/>
    </row>
    <row r="326" spans="1:9" ht="18">
      <c r="A326" s="1229"/>
      <c r="B326" s="1258"/>
      <c r="C326" s="1229" t="s">
        <v>140</v>
      </c>
      <c r="D326" s="1229" t="s">
        <v>343</v>
      </c>
      <c r="E326" s="2679" t="s">
        <v>344</v>
      </c>
      <c r="F326" s="2679" t="s">
        <v>482</v>
      </c>
      <c r="G326" s="2679" t="s">
        <v>483</v>
      </c>
      <c r="H326" s="2679" t="s">
        <v>170</v>
      </c>
      <c r="I326" s="2679" t="s">
        <v>171</v>
      </c>
    </row>
    <row r="327" spans="1:9" ht="18">
      <c r="A327" s="1580" t="s">
        <v>4131</v>
      </c>
      <c r="B327" s="185" t="s">
        <v>4365</v>
      </c>
      <c r="C327" s="1264">
        <v>1</v>
      </c>
      <c r="D327" s="401" t="s">
        <v>363</v>
      </c>
      <c r="E327" s="2679">
        <f>+'BASE 2'!D593</f>
        <v>4484515</v>
      </c>
      <c r="F327" s="2679"/>
      <c r="G327" s="2679">
        <f>+E327*C327</f>
        <v>4484515</v>
      </c>
      <c r="H327" s="2679"/>
      <c r="I327" s="2679"/>
    </row>
    <row r="328" spans="1:9" ht="18">
      <c r="A328" s="1580"/>
      <c r="B328" s="185" t="s">
        <v>6457</v>
      </c>
      <c r="C328" s="1264">
        <v>2</v>
      </c>
      <c r="D328" s="401" t="s">
        <v>363</v>
      </c>
      <c r="E328" s="2679">
        <f>+'BASE 2'!D623</f>
        <v>170000</v>
      </c>
      <c r="F328" s="2679"/>
      <c r="G328" s="2679">
        <f>+E328*C328</f>
        <v>340000</v>
      </c>
      <c r="H328" s="2679"/>
      <c r="I328" s="2679"/>
    </row>
    <row r="329" spans="1:9" ht="18">
      <c r="A329" s="1580" t="s">
        <v>584</v>
      </c>
      <c r="B329" s="185" t="s">
        <v>134</v>
      </c>
      <c r="C329" s="1264">
        <v>0.05</v>
      </c>
      <c r="D329" s="401" t="s">
        <v>583</v>
      </c>
      <c r="E329" s="2679">
        <f>+VIAJE</f>
        <v>1200000</v>
      </c>
      <c r="F329" s="2679"/>
      <c r="G329" s="2679"/>
      <c r="H329" s="2679"/>
      <c r="I329" s="2679">
        <f>+E329*C329</f>
        <v>60000</v>
      </c>
    </row>
    <row r="330" spans="1:9" ht="18">
      <c r="A330" s="2036" t="s">
        <v>190</v>
      </c>
      <c r="B330" s="1266">
        <f>SUM(F330:I330)</f>
        <v>4884515</v>
      </c>
      <c r="C330" s="687"/>
      <c r="D330" s="1267"/>
      <c r="E330" s="1255"/>
      <c r="F330" s="1255">
        <f>SUM(F327:F329)</f>
        <v>0</v>
      </c>
      <c r="G330" s="1255">
        <f>SUM(G327:G329)</f>
        <v>4824515</v>
      </c>
      <c r="H330" s="1255">
        <f>SUM(H327:H329)</f>
        <v>0</v>
      </c>
      <c r="I330" s="2679">
        <f>SUM(I327:I329)</f>
        <v>60000</v>
      </c>
    </row>
    <row r="331" spans="1:9" ht="18">
      <c r="A331" s="2036" t="s">
        <v>191</v>
      </c>
      <c r="B331" s="1587">
        <f>+B330</f>
        <v>4884515</v>
      </c>
      <c r="C331" s="1269" t="s">
        <v>427</v>
      </c>
      <c r="D331" s="863"/>
      <c r="E331" s="882"/>
      <c r="F331" s="882"/>
      <c r="G331" s="882"/>
      <c r="H331" s="882"/>
      <c r="I331" s="882"/>
    </row>
    <row r="332" spans="1:9" s="2039" customFormat="1" ht="18">
      <c r="A332" s="2678"/>
      <c r="B332" s="185"/>
      <c r="C332" s="1282"/>
      <c r="D332" s="863"/>
      <c r="E332" s="882"/>
      <c r="F332" s="882"/>
      <c r="G332" s="882"/>
      <c r="H332" s="882"/>
      <c r="I332" s="882"/>
    </row>
    <row r="333" spans="1:9" ht="18">
      <c r="A333" s="2314" t="str">
        <f>+'CAPTACION RIO SINÚ'!A143</f>
        <v>2.1.19</v>
      </c>
      <c r="B333" s="3563" t="s">
        <v>4394</v>
      </c>
      <c r="C333" s="3564"/>
      <c r="D333" s="3564"/>
      <c r="E333" s="3564"/>
      <c r="F333" s="3564"/>
      <c r="G333" s="3564"/>
      <c r="H333" s="3564"/>
      <c r="I333" s="3565"/>
    </row>
    <row r="334" spans="1:9" ht="18">
      <c r="A334" s="1229"/>
      <c r="B334" s="1258"/>
      <c r="C334" s="1229" t="s">
        <v>140</v>
      </c>
      <c r="D334" s="1229" t="s">
        <v>343</v>
      </c>
      <c r="E334" s="2679" t="s">
        <v>344</v>
      </c>
      <c r="F334" s="2679" t="s">
        <v>482</v>
      </c>
      <c r="G334" s="2679" t="s">
        <v>483</v>
      </c>
      <c r="H334" s="2679" t="s">
        <v>170</v>
      </c>
      <c r="I334" s="2679" t="s">
        <v>171</v>
      </c>
    </row>
    <row r="335" spans="1:9" ht="18">
      <c r="A335" s="1229"/>
      <c r="B335" s="1258" t="s">
        <v>6439</v>
      </c>
      <c r="C335" s="1264">
        <v>1.5</v>
      </c>
      <c r="D335" s="401" t="s">
        <v>346</v>
      </c>
      <c r="E335" s="2679">
        <f>+OFICI</f>
        <v>80479.625344</v>
      </c>
      <c r="F335" s="2679"/>
      <c r="G335" s="2679"/>
      <c r="H335" s="1255">
        <f>+E335*C335</f>
        <v>120719.438016</v>
      </c>
      <c r="I335" s="2679"/>
    </row>
    <row r="336" spans="1:9" ht="18">
      <c r="A336" s="1580"/>
      <c r="B336" s="185" t="s">
        <v>266</v>
      </c>
      <c r="C336" s="1264">
        <v>1.5</v>
      </c>
      <c r="D336" s="401" t="s">
        <v>346</v>
      </c>
      <c r="E336" s="1255">
        <f>AYUDA*6</f>
        <v>392338.17355200002</v>
      </c>
      <c r="F336" s="1255"/>
      <c r="G336" s="1255"/>
      <c r="H336" s="1255">
        <f>+E336*C336</f>
        <v>588507.26032800006</v>
      </c>
      <c r="I336" s="2679"/>
    </row>
    <row r="337" spans="1:12" s="402" customFormat="1" ht="15" customHeight="1">
      <c r="A337" s="1261" t="s">
        <v>736</v>
      </c>
      <c r="B337" s="1259" t="s">
        <v>6410</v>
      </c>
      <c r="C337" s="182">
        <v>8</v>
      </c>
      <c r="D337" s="509" t="s">
        <v>735</v>
      </c>
      <c r="E337" s="497">
        <f>+RETRO</f>
        <v>150000</v>
      </c>
      <c r="F337" s="1585">
        <f>+E337*C337</f>
        <v>1200000</v>
      </c>
      <c r="G337" s="1585"/>
      <c r="H337" s="1585"/>
      <c r="I337" s="184"/>
      <c r="K337" s="402">
        <f>1/18</f>
        <v>5.5555555555555552E-2</v>
      </c>
    </row>
    <row r="338" spans="1:12" s="402" customFormat="1" ht="15" customHeight="1">
      <c r="A338" s="954"/>
      <c r="B338" s="185" t="s">
        <v>6426</v>
      </c>
      <c r="C338" s="183">
        <v>1.5</v>
      </c>
      <c r="D338" s="401" t="s">
        <v>346</v>
      </c>
      <c r="E338" s="2679">
        <f>+'BASE 2'!D736</f>
        <v>18500</v>
      </c>
      <c r="F338" s="1585">
        <f>+E338*C338</f>
        <v>27750</v>
      </c>
      <c r="G338" s="2679"/>
      <c r="H338" s="2679"/>
      <c r="I338" s="2679"/>
      <c r="J338" s="507"/>
    </row>
    <row r="339" spans="1:12" ht="18">
      <c r="A339" s="1580" t="s">
        <v>172</v>
      </c>
      <c r="B339" s="185" t="s">
        <v>189</v>
      </c>
      <c r="C339" s="1264">
        <v>1</v>
      </c>
      <c r="D339" s="401" t="s">
        <v>583</v>
      </c>
      <c r="E339" s="1255">
        <f>H340*0.05</f>
        <v>35461.334917200002</v>
      </c>
      <c r="F339" s="1255"/>
      <c r="G339" s="1255"/>
      <c r="H339" s="1255"/>
      <c r="I339" s="2679">
        <f>+E339*C339</f>
        <v>35461.334917200002</v>
      </c>
    </row>
    <row r="340" spans="1:12" ht="18">
      <c r="A340" s="2036" t="s">
        <v>190</v>
      </c>
      <c r="B340" s="1266">
        <f>SUM(F340:I340)</f>
        <v>1972438.0332612002</v>
      </c>
      <c r="C340" s="687"/>
      <c r="D340" s="1267"/>
      <c r="E340" s="1255"/>
      <c r="F340" s="1255">
        <f>SUM(F335:F339)</f>
        <v>1227750</v>
      </c>
      <c r="G340" s="1255">
        <f>SUM(G335:G339)</f>
        <v>0</v>
      </c>
      <c r="H340" s="1255">
        <f>SUM(H335:H339)</f>
        <v>709226.69834400003</v>
      </c>
      <c r="I340" s="1255">
        <f>SUM(I335:I339)</f>
        <v>35461.334917200002</v>
      </c>
    </row>
    <row r="341" spans="1:12" ht="18">
      <c r="A341" s="2036" t="s">
        <v>191</v>
      </c>
      <c r="B341" s="1587">
        <f>+B340</f>
        <v>1972438.0332612002</v>
      </c>
      <c r="C341" s="1269" t="s">
        <v>427</v>
      </c>
      <c r="D341" s="863"/>
      <c r="E341" s="882">
        <f>+B349*0.15</f>
        <v>1979278.5</v>
      </c>
      <c r="F341" s="882"/>
      <c r="G341" s="882"/>
      <c r="H341" s="882"/>
      <c r="I341" s="882"/>
    </row>
    <row r="342" spans="1:12" s="1260" customFormat="1" ht="15" customHeight="1">
      <c r="A342" s="1277"/>
      <c r="B342" s="1278"/>
      <c r="C342" s="1279"/>
      <c r="D342" s="402"/>
      <c r="E342" s="1280"/>
      <c r="F342" s="1280"/>
      <c r="G342" s="1280"/>
      <c r="H342" s="1280"/>
      <c r="I342" s="1280"/>
    </row>
    <row r="343" spans="1:12" ht="18">
      <c r="A343" s="2314" t="str">
        <f>+'CAPTACION RIO SINÚ'!A190</f>
        <v>2.2.19</v>
      </c>
      <c r="B343" s="3562" t="s">
        <v>4392</v>
      </c>
      <c r="C343" s="3562"/>
      <c r="D343" s="3562"/>
      <c r="E343" s="3562"/>
      <c r="F343" s="3562"/>
      <c r="G343" s="3562"/>
      <c r="H343" s="3562"/>
      <c r="I343" s="3562"/>
    </row>
    <row r="344" spans="1:12" ht="18">
      <c r="A344" s="1229"/>
      <c r="B344" s="1258"/>
      <c r="C344" s="1229" t="s">
        <v>140</v>
      </c>
      <c r="D344" s="1229" t="s">
        <v>343</v>
      </c>
      <c r="E344" s="2679" t="s">
        <v>344</v>
      </c>
      <c r="F344" s="2679" t="s">
        <v>482</v>
      </c>
      <c r="G344" s="2679" t="s">
        <v>483</v>
      </c>
      <c r="H344" s="2679" t="s">
        <v>170</v>
      </c>
      <c r="I344" s="2679" t="s">
        <v>171</v>
      </c>
      <c r="L344" s="181">
        <f>2400+(740*21)</f>
        <v>17940</v>
      </c>
    </row>
    <row r="345" spans="1:12" ht="18">
      <c r="A345" s="1580" t="s">
        <v>4131</v>
      </c>
      <c r="B345" s="185" t="s">
        <v>4393</v>
      </c>
      <c r="C345" s="1264">
        <v>1</v>
      </c>
      <c r="D345" s="401" t="s">
        <v>363</v>
      </c>
      <c r="E345" s="2679">
        <f>+'BASE 2'!D594</f>
        <v>12615190</v>
      </c>
      <c r="F345" s="2679"/>
      <c r="G345" s="2679">
        <f>+E345*C345</f>
        <v>12615190</v>
      </c>
      <c r="H345" s="2679"/>
      <c r="I345" s="2679"/>
      <c r="L345" s="181">
        <f>+L344*1.19</f>
        <v>21348.6</v>
      </c>
    </row>
    <row r="346" spans="1:12" ht="18">
      <c r="A346" s="1580"/>
      <c r="B346" s="185" t="s">
        <v>6457</v>
      </c>
      <c r="C346" s="1264">
        <v>2</v>
      </c>
      <c r="D346" s="401" t="s">
        <v>363</v>
      </c>
      <c r="E346" s="2679">
        <f>+'BASE 2'!D623</f>
        <v>170000</v>
      </c>
      <c r="F346" s="2679"/>
      <c r="G346" s="2679">
        <f>+E346*C346</f>
        <v>340000</v>
      </c>
      <c r="H346" s="2679"/>
      <c r="I346" s="2679"/>
    </row>
    <row r="347" spans="1:12" ht="18">
      <c r="A347" s="1580" t="s">
        <v>584</v>
      </c>
      <c r="B347" s="185" t="s">
        <v>134</v>
      </c>
      <c r="C347" s="1264">
        <v>0.2</v>
      </c>
      <c r="D347" s="401" t="s">
        <v>583</v>
      </c>
      <c r="E347" s="2679">
        <f>+VIAJE</f>
        <v>1200000</v>
      </c>
      <c r="F347" s="2679"/>
      <c r="G347" s="2679"/>
      <c r="H347" s="2679"/>
      <c r="I347" s="2679">
        <f>+E347*C347</f>
        <v>240000</v>
      </c>
    </row>
    <row r="348" spans="1:12" ht="18">
      <c r="A348" s="2036" t="s">
        <v>190</v>
      </c>
      <c r="B348" s="1266">
        <f>SUM(F348:I348)</f>
        <v>13195190</v>
      </c>
      <c r="C348" s="687"/>
      <c r="D348" s="1267"/>
      <c r="E348" s="1255"/>
      <c r="F348" s="1255">
        <f>SUM(F345:F347)</f>
        <v>0</v>
      </c>
      <c r="G348" s="1255">
        <f>SUM(G345:G347)</f>
        <v>12955190</v>
      </c>
      <c r="H348" s="1255">
        <f t="shared" ref="H348:I348" si="18">SUM(H345:H347)</f>
        <v>0</v>
      </c>
      <c r="I348" s="1255">
        <f t="shared" si="18"/>
        <v>240000</v>
      </c>
    </row>
    <row r="349" spans="1:12" ht="18">
      <c r="A349" s="2036" t="s">
        <v>191</v>
      </c>
      <c r="B349" s="1587">
        <f>+B348</f>
        <v>13195190</v>
      </c>
      <c r="C349" s="1269" t="s">
        <v>427</v>
      </c>
      <c r="D349" s="863"/>
      <c r="E349" s="882"/>
      <c r="F349" s="882"/>
      <c r="G349" s="882"/>
      <c r="H349" s="882"/>
      <c r="I349" s="882"/>
    </row>
    <row r="350" spans="1:12" s="2039" customFormat="1" ht="13.5" customHeight="1">
      <c r="A350" s="2678"/>
      <c r="B350" s="185"/>
      <c r="C350" s="1282"/>
      <c r="D350" s="863"/>
      <c r="E350" s="882"/>
      <c r="F350" s="882"/>
      <c r="G350" s="882"/>
      <c r="H350" s="882"/>
      <c r="I350" s="882"/>
    </row>
    <row r="351" spans="1:12" ht="18">
      <c r="A351" s="2314" t="str">
        <f>+'CAPTACION RIO SINÚ'!A144</f>
        <v>2.1.20</v>
      </c>
      <c r="B351" s="3573" t="s">
        <v>4385</v>
      </c>
      <c r="C351" s="3573"/>
      <c r="D351" s="3573"/>
      <c r="E351" s="3573"/>
      <c r="F351" s="3573"/>
      <c r="G351" s="3573"/>
      <c r="H351" s="3573"/>
      <c r="I351" s="3573"/>
    </row>
    <row r="352" spans="1:12" ht="18">
      <c r="A352" s="1900"/>
      <c r="B352" s="1262"/>
      <c r="C352" s="1229" t="s">
        <v>140</v>
      </c>
      <c r="D352" s="1229" t="s">
        <v>343</v>
      </c>
      <c r="E352" s="2679" t="s">
        <v>344</v>
      </c>
      <c r="F352" s="2679" t="s">
        <v>482</v>
      </c>
      <c r="G352" s="2679" t="s">
        <v>483</v>
      </c>
      <c r="H352" s="2679" t="s">
        <v>170</v>
      </c>
      <c r="I352" s="2679" t="s">
        <v>171</v>
      </c>
    </row>
    <row r="353" spans="1:10" ht="18">
      <c r="A353" s="1229"/>
      <c r="B353" s="1258" t="s">
        <v>6439</v>
      </c>
      <c r="C353" s="1264">
        <v>1.29</v>
      </c>
      <c r="D353" s="401" t="s">
        <v>346</v>
      </c>
      <c r="E353" s="2679">
        <f>+OFICI</f>
        <v>80479.625344</v>
      </c>
      <c r="F353" s="2679"/>
      <c r="G353" s="2679"/>
      <c r="H353" s="1255">
        <f>+E353*C353</f>
        <v>103818.71669376</v>
      </c>
      <c r="I353" s="2679"/>
    </row>
    <row r="354" spans="1:10" ht="18">
      <c r="A354" s="1580"/>
      <c r="B354" s="185" t="s">
        <v>266</v>
      </c>
      <c r="C354" s="1264">
        <v>1.29</v>
      </c>
      <c r="D354" s="401" t="s">
        <v>346</v>
      </c>
      <c r="E354" s="1255">
        <f>AYUDA*2</f>
        <v>130779.39118400001</v>
      </c>
      <c r="F354" s="1255"/>
      <c r="G354" s="1255"/>
      <c r="H354" s="1255">
        <f>+E354*C354</f>
        <v>168705.41462736001</v>
      </c>
      <c r="I354" s="2679"/>
    </row>
    <row r="355" spans="1:10" s="402" customFormat="1" ht="15" customHeight="1">
      <c r="A355" s="954"/>
      <c r="B355" s="185" t="s">
        <v>6426</v>
      </c>
      <c r="C355" s="183">
        <v>1.29</v>
      </c>
      <c r="D355" s="401" t="s">
        <v>346</v>
      </c>
      <c r="E355" s="2679">
        <f>+'BASE 2'!D755</f>
        <v>30600</v>
      </c>
      <c r="F355" s="1585">
        <f>+E355*C355</f>
        <v>39474</v>
      </c>
      <c r="G355" s="2679"/>
      <c r="H355" s="2679"/>
      <c r="I355" s="2679"/>
      <c r="J355" s="507"/>
    </row>
    <row r="356" spans="1:10" ht="18">
      <c r="A356" s="1900" t="s">
        <v>172</v>
      </c>
      <c r="B356" s="185" t="s">
        <v>189</v>
      </c>
      <c r="C356" s="1264">
        <v>1</v>
      </c>
      <c r="D356" s="401" t="s">
        <v>583</v>
      </c>
      <c r="E356" s="1255">
        <f>H357*0.05</f>
        <v>13626.206566056002</v>
      </c>
      <c r="F356" s="2679"/>
      <c r="G356" s="2679"/>
      <c r="H356" s="2679"/>
      <c r="I356" s="2679">
        <f>+E356*C356</f>
        <v>13626.206566056002</v>
      </c>
    </row>
    <row r="357" spans="1:10" ht="18">
      <c r="A357" s="2040" t="s">
        <v>190</v>
      </c>
      <c r="B357" s="1266">
        <f>SUM(F357:I357)</f>
        <v>325624.33788717602</v>
      </c>
      <c r="C357" s="401"/>
      <c r="D357" s="1267"/>
      <c r="E357" s="2679"/>
      <c r="F357" s="2679">
        <f>SUM(F353:F356)</f>
        <v>39474</v>
      </c>
      <c r="G357" s="2679">
        <f t="shared" ref="G357:I357" si="19">SUM(G353:G356)</f>
        <v>0</v>
      </c>
      <c r="H357" s="2679">
        <f t="shared" si="19"/>
        <v>272524.13132112002</v>
      </c>
      <c r="I357" s="2679">
        <f t="shared" si="19"/>
        <v>13626.206566056002</v>
      </c>
    </row>
    <row r="358" spans="1:10" ht="18">
      <c r="A358" s="2040" t="s">
        <v>191</v>
      </c>
      <c r="B358" s="1587">
        <f>+B357</f>
        <v>325624.33788717602</v>
      </c>
      <c r="C358" s="1269" t="s">
        <v>363</v>
      </c>
      <c r="D358" s="863"/>
      <c r="E358" s="882">
        <f>+B366*0.15</f>
        <v>325920</v>
      </c>
      <c r="F358" s="882"/>
      <c r="G358" s="882"/>
      <c r="H358" s="882"/>
      <c r="I358" s="882"/>
    </row>
    <row r="359" spans="1:10" ht="18">
      <c r="A359" s="879"/>
      <c r="B359" s="880"/>
      <c r="C359" s="881"/>
      <c r="D359" s="863"/>
      <c r="E359" s="882"/>
      <c r="F359" s="882"/>
      <c r="G359" s="882"/>
      <c r="H359" s="882"/>
      <c r="I359" s="882"/>
    </row>
    <row r="360" spans="1:10" ht="18">
      <c r="A360" s="2314" t="str">
        <f>+'CAPTACION RIO SINÚ'!A191</f>
        <v>2.2.20</v>
      </c>
      <c r="B360" s="3562" t="s">
        <v>6458</v>
      </c>
      <c r="C360" s="3562"/>
      <c r="D360" s="3562"/>
      <c r="E360" s="3562"/>
      <c r="F360" s="3562"/>
      <c r="G360" s="3562"/>
      <c r="H360" s="3562"/>
      <c r="I360" s="3562"/>
    </row>
    <row r="361" spans="1:10" ht="18">
      <c r="A361" s="1900"/>
      <c r="B361" s="1262"/>
      <c r="C361" s="1229" t="s">
        <v>140</v>
      </c>
      <c r="D361" s="1229" t="s">
        <v>343</v>
      </c>
      <c r="E361" s="2679" t="s">
        <v>344</v>
      </c>
      <c r="F361" s="2679" t="s">
        <v>482</v>
      </c>
      <c r="G361" s="2679" t="s">
        <v>483</v>
      </c>
      <c r="H361" s="2679" t="s">
        <v>170</v>
      </c>
      <c r="I361" s="2679" t="s">
        <v>171</v>
      </c>
    </row>
    <row r="362" spans="1:10" ht="18">
      <c r="A362" s="2048"/>
      <c r="B362" s="2051" t="s">
        <v>4366</v>
      </c>
      <c r="C362" s="2049">
        <v>1</v>
      </c>
      <c r="D362" s="401" t="s">
        <v>363</v>
      </c>
      <c r="E362" s="2053">
        <f>+'BASE 2'!D641</f>
        <v>1808800</v>
      </c>
      <c r="F362" s="2679">
        <f>+E362*C362</f>
        <v>1808800</v>
      </c>
      <c r="G362" s="1255"/>
      <c r="H362" s="1255"/>
      <c r="I362" s="1255"/>
    </row>
    <row r="363" spans="1:10" ht="18">
      <c r="A363" s="1580"/>
      <c r="B363" s="2051" t="s">
        <v>6457</v>
      </c>
      <c r="C363" s="687">
        <v>2</v>
      </c>
      <c r="D363" s="401" t="s">
        <v>363</v>
      </c>
      <c r="E363" s="2679">
        <f>+'BASE 2'!D623</f>
        <v>170000</v>
      </c>
      <c r="F363" s="2679"/>
      <c r="G363" s="2679">
        <f>+E363*C363</f>
        <v>340000</v>
      </c>
      <c r="H363" s="2679"/>
      <c r="I363" s="2679"/>
    </row>
    <row r="364" spans="1:10" ht="18">
      <c r="A364" s="1580" t="s">
        <v>584</v>
      </c>
      <c r="B364" s="185" t="s">
        <v>134</v>
      </c>
      <c r="C364" s="1264">
        <v>0.02</v>
      </c>
      <c r="D364" s="401" t="s">
        <v>583</v>
      </c>
      <c r="E364" s="2679">
        <f>+VIAJE</f>
        <v>1200000</v>
      </c>
      <c r="F364" s="2679"/>
      <c r="G364" s="2679"/>
      <c r="H364" s="2679"/>
      <c r="I364" s="2679">
        <f>+E364*C364</f>
        <v>24000</v>
      </c>
    </row>
    <row r="365" spans="1:10" ht="18">
      <c r="A365" s="2040" t="s">
        <v>190</v>
      </c>
      <c r="B365" s="1266">
        <f>SUM(F365:I365)</f>
        <v>2172800</v>
      </c>
      <c r="C365" s="401"/>
      <c r="D365" s="1267"/>
      <c r="E365" s="2679"/>
      <c r="F365" s="2679">
        <f>SUM(F362:F364)</f>
        <v>1808800</v>
      </c>
      <c r="G365" s="2679">
        <f t="shared" ref="G365:I365" si="20">SUM(G362:G364)</f>
        <v>340000</v>
      </c>
      <c r="H365" s="2679">
        <f t="shared" si="20"/>
        <v>0</v>
      </c>
      <c r="I365" s="2679">
        <f t="shared" si="20"/>
        <v>24000</v>
      </c>
    </row>
    <row r="366" spans="1:10" ht="18">
      <c r="A366" s="2040" t="s">
        <v>191</v>
      </c>
      <c r="B366" s="1587">
        <f>+B365</f>
        <v>2172800</v>
      </c>
      <c r="C366" s="1269" t="s">
        <v>363</v>
      </c>
      <c r="D366" s="863"/>
      <c r="E366" s="882"/>
      <c r="F366" s="882"/>
      <c r="G366" s="882"/>
      <c r="H366" s="882"/>
      <c r="I366" s="882"/>
    </row>
    <row r="367" spans="1:10" ht="18">
      <c r="A367" s="879"/>
      <c r="B367" s="880"/>
      <c r="C367" s="881"/>
      <c r="D367" s="863"/>
      <c r="E367" s="882"/>
      <c r="F367" s="882"/>
      <c r="G367" s="882"/>
      <c r="H367" s="882"/>
      <c r="I367" s="882"/>
    </row>
    <row r="368" spans="1:10" ht="18">
      <c r="A368" s="2314" t="str">
        <f>+'CAPTACION RIO SINÚ'!A145</f>
        <v>2.1.21</v>
      </c>
      <c r="B368" s="3563" t="s">
        <v>4391</v>
      </c>
      <c r="C368" s="3564"/>
      <c r="D368" s="3564"/>
      <c r="E368" s="3564"/>
      <c r="F368" s="3564"/>
      <c r="G368" s="3564"/>
      <c r="H368" s="3564"/>
      <c r="I368" s="3565"/>
    </row>
    <row r="369" spans="1:12" ht="18">
      <c r="A369" s="1229"/>
      <c r="B369" s="1258"/>
      <c r="C369" s="1229" t="s">
        <v>140</v>
      </c>
      <c r="D369" s="1229" t="s">
        <v>343</v>
      </c>
      <c r="E369" s="2679" t="s">
        <v>344</v>
      </c>
      <c r="F369" s="2679" t="s">
        <v>482</v>
      </c>
      <c r="G369" s="2679" t="s">
        <v>483</v>
      </c>
      <c r="H369" s="2679" t="s">
        <v>170</v>
      </c>
      <c r="I369" s="2679" t="s">
        <v>171</v>
      </c>
    </row>
    <row r="370" spans="1:12" ht="18">
      <c r="A370" s="1229"/>
      <c r="B370" s="1258" t="s">
        <v>6439</v>
      </c>
      <c r="C370" s="1264">
        <v>2.35</v>
      </c>
      <c r="D370" s="401" t="s">
        <v>346</v>
      </c>
      <c r="E370" s="2679">
        <f>+OFICI</f>
        <v>80479.625344</v>
      </c>
      <c r="F370" s="2679"/>
      <c r="G370" s="2679"/>
      <c r="H370" s="1255">
        <f>+E370*C370</f>
        <v>189127.11955840001</v>
      </c>
      <c r="I370" s="2679"/>
    </row>
    <row r="371" spans="1:12" ht="18">
      <c r="A371" s="1580"/>
      <c r="B371" s="185" t="s">
        <v>266</v>
      </c>
      <c r="C371" s="1264">
        <v>2.35</v>
      </c>
      <c r="D371" s="401" t="s">
        <v>346</v>
      </c>
      <c r="E371" s="1255">
        <f>AYUDA*2</f>
        <v>130779.39118400001</v>
      </c>
      <c r="F371" s="1255"/>
      <c r="G371" s="1255"/>
      <c r="H371" s="1255">
        <f>+E371*C371</f>
        <v>307331.56928240001</v>
      </c>
      <c r="I371" s="2679"/>
    </row>
    <row r="372" spans="1:12" s="402" customFormat="1" ht="15" customHeight="1">
      <c r="A372" s="954"/>
      <c r="B372" s="185" t="s">
        <v>6426</v>
      </c>
      <c r="C372" s="183">
        <v>2.35</v>
      </c>
      <c r="D372" s="401" t="s">
        <v>346</v>
      </c>
      <c r="E372" s="2679">
        <f>+'BASE 2'!D736</f>
        <v>18500</v>
      </c>
      <c r="F372" s="1585">
        <f>+E372*C372</f>
        <v>43475</v>
      </c>
      <c r="G372" s="2679"/>
      <c r="H372" s="2679"/>
      <c r="I372" s="2679"/>
      <c r="J372" s="507"/>
    </row>
    <row r="373" spans="1:12" ht="18">
      <c r="A373" s="1580" t="s">
        <v>172</v>
      </c>
      <c r="B373" s="185" t="s">
        <v>189</v>
      </c>
      <c r="C373" s="1264">
        <v>1</v>
      </c>
      <c r="D373" s="401" t="s">
        <v>583</v>
      </c>
      <c r="E373" s="1255">
        <f>H374*0.05</f>
        <v>24822.934442040001</v>
      </c>
      <c r="F373" s="1255"/>
      <c r="G373" s="1255"/>
      <c r="H373" s="1255"/>
      <c r="I373" s="2679">
        <f>+E373*C373</f>
        <v>24822.934442040001</v>
      </c>
    </row>
    <row r="374" spans="1:12" ht="18">
      <c r="A374" s="2036" t="s">
        <v>190</v>
      </c>
      <c r="B374" s="1266">
        <f>SUM(F374:I374)</f>
        <v>564756.62328284001</v>
      </c>
      <c r="C374" s="687"/>
      <c r="D374" s="1267"/>
      <c r="E374" s="1255"/>
      <c r="F374" s="1255">
        <f>SUM(F370:F373)</f>
        <v>43475</v>
      </c>
      <c r="G374" s="1255">
        <f t="shared" ref="G374:I374" si="21">SUM(G370:G373)</f>
        <v>0</v>
      </c>
      <c r="H374" s="1255">
        <f t="shared" si="21"/>
        <v>496458.68884080002</v>
      </c>
      <c r="I374" s="1255">
        <f t="shared" si="21"/>
        <v>24822.934442040001</v>
      </c>
    </row>
    <row r="375" spans="1:12" ht="18">
      <c r="A375" s="2036" t="s">
        <v>191</v>
      </c>
      <c r="B375" s="1587">
        <f>+B374</f>
        <v>564756.62328284001</v>
      </c>
      <c r="C375" s="1269" t="s">
        <v>427</v>
      </c>
      <c r="D375" s="863"/>
      <c r="E375" s="882">
        <f>+B383*0.15</f>
        <v>568873.5</v>
      </c>
      <c r="F375" s="882"/>
      <c r="G375" s="882"/>
      <c r="H375" s="882"/>
      <c r="I375" s="882"/>
    </row>
    <row r="376" spans="1:12" s="1260" customFormat="1" ht="15" customHeight="1">
      <c r="A376" s="1277"/>
      <c r="B376" s="1278"/>
      <c r="C376" s="1279"/>
      <c r="D376" s="402"/>
      <c r="E376" s="1280"/>
      <c r="F376" s="1280"/>
      <c r="G376" s="1280"/>
      <c r="H376" s="1280"/>
      <c r="I376" s="1280"/>
    </row>
    <row r="377" spans="1:12" ht="18">
      <c r="A377" s="2314" t="str">
        <f>+'CAPTACION RIO SINÚ'!A192</f>
        <v>2.2.21</v>
      </c>
      <c r="B377" s="3562" t="s">
        <v>6459</v>
      </c>
      <c r="C377" s="3562"/>
      <c r="D377" s="3562"/>
      <c r="E377" s="3562"/>
      <c r="F377" s="3562"/>
      <c r="G377" s="3562"/>
      <c r="H377" s="3562"/>
      <c r="I377" s="3562"/>
    </row>
    <row r="378" spans="1:12" ht="18">
      <c r="A378" s="1229"/>
      <c r="B378" s="1258"/>
      <c r="C378" s="1229" t="s">
        <v>140</v>
      </c>
      <c r="D378" s="1229" t="s">
        <v>343</v>
      </c>
      <c r="E378" s="2679" t="s">
        <v>344</v>
      </c>
      <c r="F378" s="2679" t="s">
        <v>482</v>
      </c>
      <c r="G378" s="2679" t="s">
        <v>483</v>
      </c>
      <c r="H378" s="2679" t="s">
        <v>170</v>
      </c>
      <c r="I378" s="2679" t="s">
        <v>171</v>
      </c>
      <c r="L378" s="181">
        <f>2400+(740*21)</f>
        <v>17940</v>
      </c>
    </row>
    <row r="379" spans="1:12" ht="18">
      <c r="A379" s="1580" t="s">
        <v>4131</v>
      </c>
      <c r="B379" s="185" t="s">
        <v>4390</v>
      </c>
      <c r="C379" s="1264">
        <v>1</v>
      </c>
      <c r="D379" s="401" t="s">
        <v>363</v>
      </c>
      <c r="E379" s="2679">
        <f>+'BASE 2'!D590</f>
        <v>3416490</v>
      </c>
      <c r="F379" s="2679"/>
      <c r="G379" s="2679">
        <f>+E379*C379</f>
        <v>3416490</v>
      </c>
      <c r="H379" s="2679"/>
      <c r="I379" s="2679"/>
      <c r="L379" s="181">
        <f>+L378*1.19</f>
        <v>21348.6</v>
      </c>
    </row>
    <row r="380" spans="1:12" ht="18">
      <c r="A380" s="1580"/>
      <c r="B380" s="185" t="s">
        <v>6457</v>
      </c>
      <c r="C380" s="1264">
        <v>2</v>
      </c>
      <c r="D380" s="401" t="s">
        <v>363</v>
      </c>
      <c r="E380" s="2679">
        <f>+'BASE 2'!D623</f>
        <v>170000</v>
      </c>
      <c r="F380" s="2679"/>
      <c r="G380" s="2679">
        <f>+E380*C380</f>
        <v>340000</v>
      </c>
      <c r="H380" s="2679"/>
      <c r="I380" s="2679"/>
    </row>
    <row r="381" spans="1:12" ht="18">
      <c r="A381" s="1580" t="s">
        <v>584</v>
      </c>
      <c r="B381" s="185" t="s">
        <v>134</v>
      </c>
      <c r="C381" s="1264">
        <v>0.03</v>
      </c>
      <c r="D381" s="401" t="s">
        <v>583</v>
      </c>
      <c r="E381" s="2679">
        <f>+VIAJE</f>
        <v>1200000</v>
      </c>
      <c r="F381" s="2679"/>
      <c r="G381" s="2679"/>
      <c r="H381" s="2679"/>
      <c r="I381" s="2679">
        <f>+E381*C381</f>
        <v>36000</v>
      </c>
    </row>
    <row r="382" spans="1:12" ht="18">
      <c r="A382" s="2036" t="s">
        <v>190</v>
      </c>
      <c r="B382" s="1266">
        <f>SUM(F382:I382)</f>
        <v>3792490</v>
      </c>
      <c r="C382" s="687"/>
      <c r="D382" s="1267"/>
      <c r="E382" s="1255"/>
      <c r="F382" s="1255">
        <f>SUM(F379:F381)</f>
        <v>0</v>
      </c>
      <c r="G382" s="1255">
        <f>SUM(G379:G381)</f>
        <v>3756490</v>
      </c>
      <c r="H382" s="1255">
        <f t="shared" ref="H382" si="22">SUM(H379:H381)</f>
        <v>0</v>
      </c>
      <c r="I382" s="1255">
        <f t="shared" ref="I382" si="23">SUM(I379:I381)</f>
        <v>36000</v>
      </c>
    </row>
    <row r="383" spans="1:12" ht="18">
      <c r="A383" s="2036" t="s">
        <v>191</v>
      </c>
      <c r="B383" s="1587">
        <f>+B382</f>
        <v>3792490</v>
      </c>
      <c r="C383" s="1269" t="s">
        <v>427</v>
      </c>
      <c r="D383" s="863"/>
      <c r="E383" s="882"/>
      <c r="F383" s="882"/>
      <c r="G383" s="882"/>
      <c r="H383" s="882"/>
      <c r="I383" s="882"/>
    </row>
    <row r="384" spans="1:12" s="2050" customFormat="1" ht="13.5" customHeight="1">
      <c r="A384" s="1273"/>
      <c r="B384" s="861"/>
      <c r="C384" s="881"/>
      <c r="D384" s="863"/>
      <c r="E384" s="882"/>
      <c r="F384" s="882"/>
      <c r="G384" s="882"/>
      <c r="H384" s="882"/>
      <c r="I384" s="882"/>
    </row>
    <row r="385" spans="1:10" ht="18">
      <c r="A385" s="2314" t="str">
        <f>+'CAPTACION RIO SINÚ'!A146</f>
        <v>2.1.22</v>
      </c>
      <c r="B385" s="3563" t="s">
        <v>4386</v>
      </c>
      <c r="C385" s="3564"/>
      <c r="D385" s="3564"/>
      <c r="E385" s="3564"/>
      <c r="F385" s="3564"/>
      <c r="G385" s="3564"/>
      <c r="H385" s="3564"/>
      <c r="I385" s="3565"/>
    </row>
    <row r="386" spans="1:10" ht="18">
      <c r="A386" s="1229"/>
      <c r="B386" s="1258"/>
      <c r="C386" s="1229" t="s">
        <v>140</v>
      </c>
      <c r="D386" s="1229" t="s">
        <v>343</v>
      </c>
      <c r="E386" s="2679" t="s">
        <v>344</v>
      </c>
      <c r="F386" s="2679" t="s">
        <v>482</v>
      </c>
      <c r="G386" s="2679" t="s">
        <v>483</v>
      </c>
      <c r="H386" s="2679" t="s">
        <v>170</v>
      </c>
      <c r="I386" s="2679" t="s">
        <v>171</v>
      </c>
    </row>
    <row r="387" spans="1:10" ht="18">
      <c r="A387" s="1229"/>
      <c r="B387" s="1258" t="s">
        <v>6439</v>
      </c>
      <c r="C387" s="1264">
        <v>3.15</v>
      </c>
      <c r="D387" s="401" t="s">
        <v>346</v>
      </c>
      <c r="E387" s="2679">
        <f>+OFICI</f>
        <v>80479.625344</v>
      </c>
      <c r="F387" s="2679"/>
      <c r="G387" s="2679"/>
      <c r="H387" s="1255">
        <f>+E387*C387</f>
        <v>253510.81983359999</v>
      </c>
      <c r="I387" s="2679"/>
    </row>
    <row r="388" spans="1:10" ht="18">
      <c r="A388" s="1580"/>
      <c r="B388" s="185" t="s">
        <v>266</v>
      </c>
      <c r="C388" s="1264">
        <v>3.15</v>
      </c>
      <c r="D388" s="401" t="s">
        <v>346</v>
      </c>
      <c r="E388" s="1255">
        <f>AYUDA*2</f>
        <v>130779.39118400001</v>
      </c>
      <c r="F388" s="1255"/>
      <c r="G388" s="1255"/>
      <c r="H388" s="1255">
        <f>+E388*C388</f>
        <v>411955.0822296</v>
      </c>
      <c r="I388" s="2679"/>
    </row>
    <row r="389" spans="1:10" s="402" customFormat="1" ht="15" customHeight="1">
      <c r="A389" s="954"/>
      <c r="B389" s="185" t="s">
        <v>6426</v>
      </c>
      <c r="C389" s="183">
        <v>3.15</v>
      </c>
      <c r="D389" s="401" t="s">
        <v>346</v>
      </c>
      <c r="E389" s="2679">
        <f>+'BASE 2'!D736</f>
        <v>18500</v>
      </c>
      <c r="F389" s="1585">
        <f>+E389*C389</f>
        <v>58275</v>
      </c>
      <c r="G389" s="2679"/>
      <c r="H389" s="2679"/>
      <c r="I389" s="2679"/>
      <c r="J389" s="507"/>
    </row>
    <row r="390" spans="1:10" ht="18">
      <c r="A390" s="1580" t="s">
        <v>172</v>
      </c>
      <c r="B390" s="185" t="s">
        <v>189</v>
      </c>
      <c r="C390" s="1264">
        <v>1</v>
      </c>
      <c r="D390" s="401" t="s">
        <v>583</v>
      </c>
      <c r="E390" s="1255">
        <f>H391*0.05</f>
        <v>33273.295103160002</v>
      </c>
      <c r="F390" s="1255"/>
      <c r="G390" s="1255"/>
      <c r="H390" s="1255"/>
      <c r="I390" s="2679">
        <f>+E390*C390</f>
        <v>33273.295103160002</v>
      </c>
    </row>
    <row r="391" spans="1:10" ht="18">
      <c r="A391" s="2036" t="s">
        <v>190</v>
      </c>
      <c r="B391" s="1266">
        <f>SUM(F391:I391)</f>
        <v>757014.19716635998</v>
      </c>
      <c r="C391" s="687"/>
      <c r="D391" s="1267"/>
      <c r="E391" s="1255"/>
      <c r="F391" s="1255">
        <f>SUM(F387:F390)</f>
        <v>58275</v>
      </c>
      <c r="G391" s="1255">
        <f t="shared" ref="G391:I391" si="24">SUM(G387:G390)</f>
        <v>0</v>
      </c>
      <c r="H391" s="1255">
        <f t="shared" si="24"/>
        <v>665465.90206320002</v>
      </c>
      <c r="I391" s="1255">
        <f t="shared" si="24"/>
        <v>33273.295103160002</v>
      </c>
    </row>
    <row r="392" spans="1:10" ht="18">
      <c r="A392" s="2036" t="s">
        <v>191</v>
      </c>
      <c r="B392" s="1587">
        <f>+B391</f>
        <v>757014.19716635998</v>
      </c>
      <c r="C392" s="1269" t="s">
        <v>133</v>
      </c>
      <c r="D392" s="863"/>
      <c r="E392" s="882">
        <f>+B400*0.15</f>
        <v>756569.1</v>
      </c>
      <c r="F392" s="882"/>
      <c r="G392" s="882"/>
      <c r="H392" s="882"/>
      <c r="I392" s="882"/>
    </row>
    <row r="393" spans="1:10" s="2050" customFormat="1" ht="13.5" customHeight="1">
      <c r="A393" s="1273"/>
      <c r="B393" s="861"/>
      <c r="C393" s="881"/>
      <c r="D393" s="863"/>
      <c r="E393" s="882"/>
      <c r="F393" s="882"/>
      <c r="G393" s="882"/>
      <c r="H393" s="882"/>
      <c r="I393" s="882"/>
    </row>
    <row r="394" spans="1:10" ht="18">
      <c r="A394" s="2314" t="str">
        <f>+'CAPTACION RIO SINÚ'!A193</f>
        <v>2.2.22</v>
      </c>
      <c r="B394" s="3562" t="s">
        <v>4387</v>
      </c>
      <c r="C394" s="3562"/>
      <c r="D394" s="3562"/>
      <c r="E394" s="3562"/>
      <c r="F394" s="3562"/>
      <c r="G394" s="3562"/>
      <c r="H394" s="3562"/>
      <c r="I394" s="3562"/>
    </row>
    <row r="395" spans="1:10" ht="18">
      <c r="A395" s="1229"/>
      <c r="B395" s="1258"/>
      <c r="C395" s="1229" t="s">
        <v>140</v>
      </c>
      <c r="D395" s="1229" t="s">
        <v>343</v>
      </c>
      <c r="E395" s="2679" t="s">
        <v>344</v>
      </c>
      <c r="F395" s="2679" t="s">
        <v>482</v>
      </c>
      <c r="G395" s="2679" t="s">
        <v>483</v>
      </c>
      <c r="H395" s="2679" t="s">
        <v>170</v>
      </c>
      <c r="I395" s="2679" t="s">
        <v>171</v>
      </c>
    </row>
    <row r="396" spans="1:10" ht="18">
      <c r="A396" s="1580" t="s">
        <v>4131</v>
      </c>
      <c r="B396" s="185" t="s">
        <v>4367</v>
      </c>
      <c r="C396" s="1264">
        <v>1</v>
      </c>
      <c r="D396" s="401" t="s">
        <v>363</v>
      </c>
      <c r="E396" s="2679">
        <f>+'BASE 2'!D501</f>
        <v>4679794</v>
      </c>
      <c r="F396" s="2679"/>
      <c r="G396" s="2679">
        <f>+E396*C396</f>
        <v>4679794</v>
      </c>
      <c r="H396" s="2679"/>
      <c r="I396" s="2679"/>
    </row>
    <row r="397" spans="1:10" ht="18">
      <c r="A397" s="1580"/>
      <c r="B397" s="185" t="s">
        <v>6457</v>
      </c>
      <c r="C397" s="1264">
        <v>2</v>
      </c>
      <c r="D397" s="401" t="s">
        <v>363</v>
      </c>
      <c r="E397" s="2679">
        <f>+'BASE 2'!D623</f>
        <v>170000</v>
      </c>
      <c r="F397" s="2679"/>
      <c r="G397" s="2679">
        <f>+E397*C397</f>
        <v>340000</v>
      </c>
      <c r="H397" s="2679"/>
      <c r="I397" s="2679"/>
    </row>
    <row r="398" spans="1:10" ht="18">
      <c r="A398" s="1580" t="s">
        <v>584</v>
      </c>
      <c r="B398" s="185" t="s">
        <v>134</v>
      </c>
      <c r="C398" s="1264">
        <v>0.02</v>
      </c>
      <c r="D398" s="401" t="s">
        <v>583</v>
      </c>
      <c r="E398" s="2679">
        <f>+VIAJE</f>
        <v>1200000</v>
      </c>
      <c r="F398" s="2679"/>
      <c r="G398" s="2679"/>
      <c r="H398" s="2679"/>
      <c r="I398" s="2679">
        <f>+E398*C398</f>
        <v>24000</v>
      </c>
    </row>
    <row r="399" spans="1:10" ht="18">
      <c r="A399" s="2036" t="s">
        <v>190</v>
      </c>
      <c r="B399" s="1266">
        <f>SUM(F399:I399)</f>
        <v>5043794</v>
      </c>
      <c r="C399" s="687"/>
      <c r="D399" s="1267"/>
      <c r="E399" s="1255"/>
      <c r="F399" s="1255">
        <f>SUM(F396:F398)</f>
        <v>0</v>
      </c>
      <c r="G399" s="1255">
        <f t="shared" ref="G399:I399" si="25">SUM(G396:G398)</f>
        <v>5019794</v>
      </c>
      <c r="H399" s="1255">
        <f t="shared" si="25"/>
        <v>0</v>
      </c>
      <c r="I399" s="1255">
        <f t="shared" si="25"/>
        <v>24000</v>
      </c>
    </row>
    <row r="400" spans="1:10" ht="18">
      <c r="A400" s="2036" t="s">
        <v>191</v>
      </c>
      <c r="B400" s="1587">
        <f>+B399</f>
        <v>5043794</v>
      </c>
      <c r="C400" s="1269" t="s">
        <v>133</v>
      </c>
      <c r="D400" s="863"/>
      <c r="E400" s="882"/>
      <c r="F400" s="882"/>
      <c r="G400" s="882"/>
      <c r="H400" s="882"/>
      <c r="I400" s="882"/>
    </row>
    <row r="401" spans="1:9" s="2050" customFormat="1" ht="13.5" customHeight="1">
      <c r="A401" s="1273"/>
      <c r="B401" s="861"/>
      <c r="C401" s="881"/>
      <c r="D401" s="863"/>
      <c r="E401" s="882"/>
      <c r="F401" s="882"/>
      <c r="G401" s="882"/>
      <c r="H401" s="882"/>
      <c r="I401" s="882"/>
    </row>
    <row r="402" spans="1:9" ht="18">
      <c r="A402" s="2314" t="str">
        <f>+'CAPTACION RIO SINÚ'!A147</f>
        <v>2.1.23</v>
      </c>
      <c r="B402" s="3594" t="s">
        <v>4500</v>
      </c>
      <c r="C402" s="3595"/>
      <c r="D402" s="3595"/>
      <c r="E402" s="3595"/>
      <c r="F402" s="3595"/>
      <c r="G402" s="3595"/>
      <c r="H402" s="3595"/>
      <c r="I402" s="3596"/>
    </row>
    <row r="403" spans="1:9" ht="18">
      <c r="A403" s="1900"/>
      <c r="B403" s="1262"/>
      <c r="C403" s="1229" t="s">
        <v>140</v>
      </c>
      <c r="D403" s="1229" t="s">
        <v>343</v>
      </c>
      <c r="E403" s="2679" t="s">
        <v>344</v>
      </c>
      <c r="F403" s="2679" t="s">
        <v>482</v>
      </c>
      <c r="G403" s="2679" t="s">
        <v>483</v>
      </c>
      <c r="H403" s="2679" t="s">
        <v>170</v>
      </c>
      <c r="I403" s="2679" t="s">
        <v>171</v>
      </c>
    </row>
    <row r="404" spans="1:9" ht="18">
      <c r="A404" s="1229"/>
      <c r="B404" s="1258" t="s">
        <v>6439</v>
      </c>
      <c r="C404" s="1264">
        <v>1.4</v>
      </c>
      <c r="D404" s="401" t="s">
        <v>346</v>
      </c>
      <c r="E404" s="2679">
        <f>+OFICI</f>
        <v>80479.625344</v>
      </c>
      <c r="F404" s="2679"/>
      <c r="G404" s="2679"/>
      <c r="H404" s="1255">
        <f>+E404*C404</f>
        <v>112671.47548159999</v>
      </c>
      <c r="I404" s="2679"/>
    </row>
    <row r="405" spans="1:9" ht="18">
      <c r="A405" s="1580"/>
      <c r="B405" s="185" t="s">
        <v>266</v>
      </c>
      <c r="C405" s="1264">
        <v>1.4</v>
      </c>
      <c r="D405" s="401" t="s">
        <v>346</v>
      </c>
      <c r="E405" s="1255">
        <f>AYUDA</f>
        <v>65389.695592000004</v>
      </c>
      <c r="F405" s="1255"/>
      <c r="G405" s="1255"/>
      <c r="H405" s="1255">
        <f>+E405*C405</f>
        <v>91545.573828799999</v>
      </c>
      <c r="I405" s="2679"/>
    </row>
    <row r="406" spans="1:9" ht="18">
      <c r="A406" s="1900" t="s">
        <v>172</v>
      </c>
      <c r="B406" s="185" t="s">
        <v>189</v>
      </c>
      <c r="C406" s="1264">
        <v>1</v>
      </c>
      <c r="D406" s="401" t="s">
        <v>583</v>
      </c>
      <c r="E406" s="1255">
        <f>H407*0.05</f>
        <v>10210.85246552</v>
      </c>
      <c r="F406" s="2679"/>
      <c r="G406" s="2679"/>
      <c r="H406" s="2679"/>
      <c r="I406" s="2679">
        <f>+E406*C406</f>
        <v>10210.85246552</v>
      </c>
    </row>
    <row r="407" spans="1:9" ht="18">
      <c r="A407" s="2040" t="s">
        <v>190</v>
      </c>
      <c r="B407" s="1266">
        <f>SUM(F407:I407)</f>
        <v>214427.90177591998</v>
      </c>
      <c r="C407" s="401"/>
      <c r="D407" s="1267"/>
      <c r="E407" s="2679"/>
      <c r="F407" s="2679">
        <f>SUM(F402:F406)</f>
        <v>0</v>
      </c>
      <c r="G407" s="2679">
        <f>SUM(G402:G406)</f>
        <v>0</v>
      </c>
      <c r="H407" s="2679">
        <f>SUM(H404:H406)</f>
        <v>204217.04931039998</v>
      </c>
      <c r="I407" s="2679">
        <f>SUM(I404:I406)</f>
        <v>10210.85246552</v>
      </c>
    </row>
    <row r="408" spans="1:9" ht="18">
      <c r="A408" s="2040" t="s">
        <v>191</v>
      </c>
      <c r="B408" s="1587">
        <f>+B407</f>
        <v>214427.90177591998</v>
      </c>
      <c r="C408" s="1269" t="s">
        <v>363</v>
      </c>
      <c r="D408" s="863"/>
      <c r="E408" s="882">
        <f>+B416*0.15</f>
        <v>214230</v>
      </c>
      <c r="F408" s="882"/>
      <c r="G408" s="882"/>
      <c r="H408" s="882"/>
      <c r="I408" s="882"/>
    </row>
    <row r="409" spans="1:9" ht="18">
      <c r="A409" s="879"/>
      <c r="B409" s="880"/>
      <c r="C409" s="881"/>
      <c r="D409" s="863"/>
      <c r="E409" s="882"/>
      <c r="F409" s="882"/>
      <c r="G409" s="882"/>
      <c r="H409" s="882"/>
      <c r="I409" s="882"/>
    </row>
    <row r="410" spans="1:9" ht="18">
      <c r="A410" s="2314" t="str">
        <f>+'CAPTACION RIO SINÚ'!A194</f>
        <v>2.2.23</v>
      </c>
      <c r="B410" s="3562" t="s">
        <v>7946</v>
      </c>
      <c r="C410" s="3562"/>
      <c r="D410" s="3562"/>
      <c r="E410" s="3562"/>
      <c r="F410" s="3562"/>
      <c r="G410" s="3562"/>
      <c r="H410" s="3562"/>
      <c r="I410" s="3562"/>
    </row>
    <row r="411" spans="1:9" ht="18">
      <c r="A411" s="1900"/>
      <c r="B411" s="1262"/>
      <c r="C411" s="1229" t="s">
        <v>140</v>
      </c>
      <c r="D411" s="1229" t="s">
        <v>343</v>
      </c>
      <c r="E411" s="2679" t="s">
        <v>344</v>
      </c>
      <c r="F411" s="2679" t="s">
        <v>482</v>
      </c>
      <c r="G411" s="2679" t="s">
        <v>483</v>
      </c>
      <c r="H411" s="2679" t="s">
        <v>170</v>
      </c>
      <c r="I411" s="2679" t="s">
        <v>171</v>
      </c>
    </row>
    <row r="412" spans="1:9" ht="18">
      <c r="A412" s="2041" t="s">
        <v>791</v>
      </c>
      <c r="B412" s="185" t="s">
        <v>4481</v>
      </c>
      <c r="C412" s="1263">
        <v>1</v>
      </c>
      <c r="D412" s="1274" t="s">
        <v>363</v>
      </c>
      <c r="E412" s="1255">
        <f>+'BASE 2'!D631</f>
        <v>1404200</v>
      </c>
      <c r="F412" s="1255"/>
      <c r="G412" s="1255">
        <f>+E412*C412</f>
        <v>1404200</v>
      </c>
      <c r="H412" s="1255"/>
      <c r="I412" s="1255"/>
    </row>
    <row r="413" spans="1:9" ht="18">
      <c r="A413" s="2041"/>
      <c r="B413" s="185" t="s">
        <v>6460</v>
      </c>
      <c r="C413" s="1263">
        <v>2</v>
      </c>
      <c r="D413" s="1274" t="s">
        <v>363</v>
      </c>
      <c r="E413" s="1255">
        <f>+UREP12</f>
        <v>844888.1</v>
      </c>
      <c r="F413" s="1255"/>
      <c r="G413" s="1255"/>
      <c r="H413" s="1255"/>
      <c r="I413" s="1255"/>
    </row>
    <row r="414" spans="1:9" ht="18">
      <c r="A414" s="1900" t="s">
        <v>584</v>
      </c>
      <c r="B414" s="185" t="s">
        <v>134</v>
      </c>
      <c r="C414" s="1263">
        <v>0.02</v>
      </c>
      <c r="D414" s="1274" t="s">
        <v>583</v>
      </c>
      <c r="E414" s="1255">
        <f>+VIAJE</f>
        <v>1200000</v>
      </c>
      <c r="F414" s="2679"/>
      <c r="G414" s="2679"/>
      <c r="H414" s="2679"/>
      <c r="I414" s="2679">
        <f>+E414*C414</f>
        <v>24000</v>
      </c>
    </row>
    <row r="415" spans="1:9" ht="18">
      <c r="A415" s="2040" t="s">
        <v>190</v>
      </c>
      <c r="B415" s="1266">
        <f>SUM(F415:I415)</f>
        <v>1428200</v>
      </c>
      <c r="C415" s="401"/>
      <c r="D415" s="1267"/>
      <c r="E415" s="2679"/>
      <c r="F415" s="2679">
        <f>SUM(F412:F414)</f>
        <v>0</v>
      </c>
      <c r="G415" s="2679">
        <f t="shared" ref="G415:I415" si="26">SUM(G412:G414)</f>
        <v>1404200</v>
      </c>
      <c r="H415" s="2679">
        <f t="shared" si="26"/>
        <v>0</v>
      </c>
      <c r="I415" s="2679">
        <f t="shared" si="26"/>
        <v>24000</v>
      </c>
    </row>
    <row r="416" spans="1:9" ht="18">
      <c r="A416" s="2040" t="s">
        <v>191</v>
      </c>
      <c r="B416" s="1587">
        <f>+B415</f>
        <v>1428200</v>
      </c>
      <c r="C416" s="1269" t="s">
        <v>363</v>
      </c>
      <c r="D416" s="863"/>
      <c r="E416" s="882"/>
      <c r="F416" s="882"/>
      <c r="G416" s="882"/>
      <c r="H416" s="882"/>
      <c r="I416" s="882"/>
    </row>
    <row r="417" spans="1:11" s="2050" customFormat="1" ht="13.5" customHeight="1">
      <c r="A417" s="1273"/>
      <c r="B417" s="861"/>
      <c r="C417" s="881"/>
      <c r="D417" s="863"/>
      <c r="E417" s="882"/>
      <c r="F417" s="882"/>
      <c r="G417" s="882"/>
      <c r="H417" s="882"/>
      <c r="I417" s="882"/>
    </row>
    <row r="418" spans="1:11" s="2039" customFormat="1" ht="18">
      <c r="A418" s="2314" t="str">
        <f>+'CAPTACION RIO SINÚ'!A148</f>
        <v>2.1.24</v>
      </c>
      <c r="B418" s="3562" t="s">
        <v>6485</v>
      </c>
      <c r="C418" s="3562"/>
      <c r="D418" s="3562"/>
      <c r="E418" s="3562"/>
      <c r="F418" s="3562"/>
      <c r="G418" s="3562"/>
      <c r="H418" s="3562"/>
      <c r="I418" s="3562"/>
    </row>
    <row r="419" spans="1:11" s="2039" customFormat="1" ht="18">
      <c r="A419" s="1580"/>
      <c r="B419" s="185"/>
      <c r="C419" s="1580" t="s">
        <v>140</v>
      </c>
      <c r="D419" s="1580" t="s">
        <v>343</v>
      </c>
      <c r="E419" s="1255" t="s">
        <v>344</v>
      </c>
      <c r="F419" s="1255" t="s">
        <v>482</v>
      </c>
      <c r="G419" s="1255" t="s">
        <v>483</v>
      </c>
      <c r="H419" s="1255" t="s">
        <v>170</v>
      </c>
      <c r="I419" s="1255" t="s">
        <v>171</v>
      </c>
    </row>
    <row r="420" spans="1:11" s="2039" customFormat="1" ht="18">
      <c r="A420" s="1580"/>
      <c r="B420" s="185" t="s">
        <v>6439</v>
      </c>
      <c r="C420" s="1263">
        <v>1.1100000000000001</v>
      </c>
      <c r="D420" s="1274" t="s">
        <v>346</v>
      </c>
      <c r="E420" s="1255">
        <f>+OFICI</f>
        <v>80479.625344</v>
      </c>
      <c r="F420" s="1255"/>
      <c r="G420" s="1255"/>
      <c r="H420" s="1255">
        <f>+E420*C420</f>
        <v>89332.384131840008</v>
      </c>
      <c r="I420" s="1255"/>
    </row>
    <row r="421" spans="1:11" s="2039" customFormat="1" ht="18">
      <c r="A421" s="1580"/>
      <c r="B421" s="185" t="s">
        <v>266</v>
      </c>
      <c r="C421" s="1263">
        <v>1.1100000000000001</v>
      </c>
      <c r="D421" s="1274" t="s">
        <v>346</v>
      </c>
      <c r="E421" s="1255">
        <f>AYUDA*2</f>
        <v>130779.39118400001</v>
      </c>
      <c r="F421" s="1255"/>
      <c r="G421" s="1255"/>
      <c r="H421" s="1255">
        <f>+E421*C421</f>
        <v>145165.12421424003</v>
      </c>
      <c r="I421" s="1255"/>
    </row>
    <row r="422" spans="1:11" s="507" customFormat="1" ht="15" customHeight="1">
      <c r="A422" s="954"/>
      <c r="B422" s="185" t="s">
        <v>6426</v>
      </c>
      <c r="C422" s="1263">
        <v>1.1100000000000001</v>
      </c>
      <c r="D422" s="1274" t="s">
        <v>346</v>
      </c>
      <c r="E422" s="1255">
        <f>+'BASE 2'!D736</f>
        <v>18500</v>
      </c>
      <c r="F422" s="1585">
        <f>+E422*C422</f>
        <v>20535</v>
      </c>
      <c r="G422" s="1255"/>
      <c r="H422" s="1255"/>
      <c r="I422" s="1255"/>
    </row>
    <row r="423" spans="1:11" s="402" customFormat="1" ht="15" customHeight="1">
      <c r="A423" s="1261" t="s">
        <v>736</v>
      </c>
      <c r="B423" s="1259" t="s">
        <v>6410</v>
      </c>
      <c r="C423" s="1263">
        <v>0.9</v>
      </c>
      <c r="D423" s="509" t="s">
        <v>735</v>
      </c>
      <c r="E423" s="497">
        <f>+RETRO</f>
        <v>150000</v>
      </c>
      <c r="F423" s="1585">
        <f>+E423*C423</f>
        <v>135000</v>
      </c>
      <c r="G423" s="1585"/>
      <c r="H423" s="1585"/>
      <c r="I423" s="184"/>
      <c r="K423" s="402">
        <f>1/18</f>
        <v>5.5555555555555552E-2</v>
      </c>
    </row>
    <row r="424" spans="1:11" s="2039" customFormat="1" ht="18">
      <c r="A424" s="1580" t="s">
        <v>172</v>
      </c>
      <c r="B424" s="185" t="s">
        <v>189</v>
      </c>
      <c r="C424" s="1263">
        <v>1</v>
      </c>
      <c r="D424" s="1274" t="s">
        <v>583</v>
      </c>
      <c r="E424" s="1255">
        <f>H425*0.05</f>
        <v>11724.875417304002</v>
      </c>
      <c r="F424" s="1255"/>
      <c r="G424" s="1255"/>
      <c r="H424" s="1255"/>
      <c r="I424" s="1255">
        <f>+E424*C424</f>
        <v>11724.875417304002</v>
      </c>
    </row>
    <row r="425" spans="1:11" s="2039" customFormat="1" ht="18">
      <c r="A425" s="2678" t="s">
        <v>190</v>
      </c>
      <c r="B425" s="2056">
        <f>SUM(F425:I425)</f>
        <v>401757.38376338402</v>
      </c>
      <c r="C425" s="1299"/>
      <c r="D425" s="2057"/>
      <c r="E425" s="1255"/>
      <c r="F425" s="1255">
        <f>SUM(F420:F424)</f>
        <v>155535</v>
      </c>
      <c r="G425" s="1255">
        <f>SUM(G420:G424)</f>
        <v>0</v>
      </c>
      <c r="H425" s="1255">
        <f>SUM(H420:H424)</f>
        <v>234497.50834608002</v>
      </c>
      <c r="I425" s="1255">
        <f>SUM(I420:I424)</f>
        <v>11724.875417304002</v>
      </c>
    </row>
    <row r="426" spans="1:11" s="2039" customFormat="1" ht="18">
      <c r="A426" s="2040" t="s">
        <v>191</v>
      </c>
      <c r="B426" s="1587">
        <f>+B425</f>
        <v>401757.38376338402</v>
      </c>
      <c r="C426" s="1269" t="s">
        <v>427</v>
      </c>
      <c r="D426" s="863"/>
      <c r="E426" s="882">
        <f>+B434*0.15</f>
        <v>400722</v>
      </c>
      <c r="F426" s="882"/>
      <c r="G426" s="882"/>
      <c r="H426" s="882"/>
      <c r="I426" s="882"/>
    </row>
    <row r="427" spans="1:11" s="1260" customFormat="1" ht="15" customHeight="1">
      <c r="A427" s="1906"/>
      <c r="B427" s="1907"/>
      <c r="C427" s="1917"/>
      <c r="D427" s="507"/>
      <c r="E427" s="1913"/>
      <c r="F427" s="1913"/>
      <c r="G427" s="1913"/>
      <c r="H427" s="1913"/>
      <c r="I427" s="1913"/>
    </row>
    <row r="428" spans="1:11" s="2039" customFormat="1" ht="18">
      <c r="A428" s="2314" t="str">
        <f>+'CAPTACION RIO SINÚ'!A195</f>
        <v>2.2.24</v>
      </c>
      <c r="B428" s="3562" t="s">
        <v>6484</v>
      </c>
      <c r="C428" s="3562"/>
      <c r="D428" s="3562"/>
      <c r="E428" s="3562"/>
      <c r="F428" s="3562"/>
      <c r="G428" s="3562"/>
      <c r="H428" s="3562"/>
      <c r="I428" s="3562"/>
    </row>
    <row r="429" spans="1:11" s="2039" customFormat="1" ht="18">
      <c r="A429" s="1580"/>
      <c r="B429" s="185"/>
      <c r="C429" s="1580" t="s">
        <v>140</v>
      </c>
      <c r="D429" s="1580" t="s">
        <v>343</v>
      </c>
      <c r="E429" s="1255" t="s">
        <v>344</v>
      </c>
      <c r="F429" s="1255" t="s">
        <v>482</v>
      </c>
      <c r="G429" s="1255" t="s">
        <v>483</v>
      </c>
      <c r="H429" s="1255" t="s">
        <v>170</v>
      </c>
      <c r="I429" s="1255" t="s">
        <v>171</v>
      </c>
    </row>
    <row r="430" spans="1:11" s="2039" customFormat="1" ht="18">
      <c r="A430" s="1580" t="s">
        <v>4131</v>
      </c>
      <c r="B430" s="185" t="s">
        <v>6483</v>
      </c>
      <c r="C430" s="1263">
        <v>1</v>
      </c>
      <c r="D430" s="1274" t="s">
        <v>363</v>
      </c>
      <c r="E430" s="1255">
        <f>+'BASE 2'!D591</f>
        <v>2489480</v>
      </c>
      <c r="F430" s="1255"/>
      <c r="G430" s="1255">
        <f>+E430*C430</f>
        <v>2489480</v>
      </c>
      <c r="H430" s="1255"/>
      <c r="I430" s="1255"/>
    </row>
    <row r="431" spans="1:11" s="2039" customFormat="1" ht="18">
      <c r="A431" s="1580"/>
      <c r="B431" s="185" t="s">
        <v>6457</v>
      </c>
      <c r="C431" s="1263">
        <v>1</v>
      </c>
      <c r="D431" s="1274" t="s">
        <v>363</v>
      </c>
      <c r="E431" s="1255">
        <f>+'BASE 2'!D623</f>
        <v>170000</v>
      </c>
      <c r="F431" s="1255"/>
      <c r="G431" s="1255">
        <f>+E431*C431</f>
        <v>170000</v>
      </c>
      <c r="H431" s="1255"/>
      <c r="I431" s="1255"/>
    </row>
    <row r="432" spans="1:11" s="2039" customFormat="1" ht="18">
      <c r="A432" s="1580" t="s">
        <v>584</v>
      </c>
      <c r="B432" s="185" t="s">
        <v>134</v>
      </c>
      <c r="C432" s="1263">
        <v>0.01</v>
      </c>
      <c r="D432" s="1274" t="s">
        <v>583</v>
      </c>
      <c r="E432" s="1255">
        <f>+VIAJE</f>
        <v>1200000</v>
      </c>
      <c r="F432" s="1255"/>
      <c r="G432" s="1255"/>
      <c r="H432" s="1255"/>
      <c r="I432" s="1255">
        <f>+E432*C432</f>
        <v>12000</v>
      </c>
    </row>
    <row r="433" spans="1:11" s="2039" customFormat="1" ht="18">
      <c r="A433" s="2678" t="s">
        <v>190</v>
      </c>
      <c r="B433" s="2056">
        <f>SUM(F433:I433)</f>
        <v>2671480</v>
      </c>
      <c r="C433" s="1299"/>
      <c r="D433" s="2057"/>
      <c r="E433" s="1255"/>
      <c r="F433" s="1255">
        <f>SUM(F430:F432)</f>
        <v>0</v>
      </c>
      <c r="G433" s="1255">
        <f>SUM(G430:G432)</f>
        <v>2659480</v>
      </c>
      <c r="H433" s="1255">
        <f t="shared" ref="H433:I433" si="27">SUM(H430:H432)</f>
        <v>0</v>
      </c>
      <c r="I433" s="1255">
        <f t="shared" si="27"/>
        <v>12000</v>
      </c>
    </row>
    <row r="434" spans="1:11" s="2039" customFormat="1" ht="18">
      <c r="A434" s="2040" t="s">
        <v>191</v>
      </c>
      <c r="B434" s="1587">
        <f>+B433</f>
        <v>2671480</v>
      </c>
      <c r="C434" s="1269" t="s">
        <v>427</v>
      </c>
      <c r="D434" s="863"/>
      <c r="E434" s="882"/>
      <c r="F434" s="882"/>
      <c r="G434" s="882"/>
      <c r="H434" s="882"/>
      <c r="I434" s="882"/>
    </row>
    <row r="435" spans="1:11" s="2050" customFormat="1" ht="13.5" customHeight="1">
      <c r="A435" s="1273"/>
      <c r="B435" s="861"/>
      <c r="C435" s="881"/>
      <c r="D435" s="863"/>
      <c r="E435" s="882"/>
      <c r="F435" s="882"/>
      <c r="G435" s="882"/>
      <c r="H435" s="882"/>
      <c r="I435" s="882"/>
    </row>
    <row r="436" spans="1:11" ht="18">
      <c r="A436" s="2314" t="str">
        <f>+'CAPTACION RIO SINÚ'!A149</f>
        <v>2.1.25</v>
      </c>
      <c r="B436" s="3562" t="s">
        <v>4501</v>
      </c>
      <c r="C436" s="3562"/>
      <c r="D436" s="3562"/>
      <c r="E436" s="3562"/>
      <c r="F436" s="3562"/>
      <c r="G436" s="3562"/>
      <c r="H436" s="3562"/>
      <c r="I436" s="3562"/>
    </row>
    <row r="437" spans="1:11" ht="18">
      <c r="A437" s="2043"/>
      <c r="B437" s="2044"/>
      <c r="C437" s="1229" t="s">
        <v>140</v>
      </c>
      <c r="D437" s="1229" t="s">
        <v>343</v>
      </c>
      <c r="E437" s="1814" t="s">
        <v>344</v>
      </c>
      <c r="F437" s="1814" t="s">
        <v>482</v>
      </c>
      <c r="G437" s="1814" t="s">
        <v>483</v>
      </c>
      <c r="H437" s="1814" t="s">
        <v>170</v>
      </c>
      <c r="I437" s="1814" t="s">
        <v>171</v>
      </c>
    </row>
    <row r="438" spans="1:11" ht="18">
      <c r="A438" s="1229"/>
      <c r="B438" s="1258" t="s">
        <v>6439</v>
      </c>
      <c r="C438" s="1264">
        <v>0.78</v>
      </c>
      <c r="D438" s="401" t="s">
        <v>346</v>
      </c>
      <c r="E438" s="2679">
        <f>+OFICI</f>
        <v>80479.625344</v>
      </c>
      <c r="F438" s="2679"/>
      <c r="G438" s="2679"/>
      <c r="H438" s="1255">
        <f>+E438*C438</f>
        <v>62774.107768320006</v>
      </c>
      <c r="I438" s="2679"/>
    </row>
    <row r="439" spans="1:11" ht="18">
      <c r="A439" s="1580"/>
      <c r="B439" s="185" t="s">
        <v>266</v>
      </c>
      <c r="C439" s="1264">
        <v>0.78</v>
      </c>
      <c r="D439" s="401" t="s">
        <v>346</v>
      </c>
      <c r="E439" s="1255">
        <f>AYUDA*2</f>
        <v>130779.39118400001</v>
      </c>
      <c r="F439" s="1255"/>
      <c r="G439" s="1255"/>
      <c r="H439" s="1255">
        <f>+E439*C439</f>
        <v>102007.92512352001</v>
      </c>
      <c r="I439" s="2679"/>
    </row>
    <row r="440" spans="1:11" s="402" customFormat="1" ht="15" customHeight="1">
      <c r="A440" s="1261" t="s">
        <v>736</v>
      </c>
      <c r="B440" s="1259" t="s">
        <v>6410</v>
      </c>
      <c r="C440" s="182">
        <v>2.5</v>
      </c>
      <c r="D440" s="509" t="s">
        <v>735</v>
      </c>
      <c r="E440" s="497">
        <f>+RETRO</f>
        <v>150000</v>
      </c>
      <c r="F440" s="1585">
        <f>+E440*C440</f>
        <v>375000</v>
      </c>
      <c r="G440" s="1585"/>
      <c r="H440" s="1585"/>
      <c r="I440" s="184"/>
      <c r="K440" s="402">
        <f>1/18</f>
        <v>5.5555555555555552E-2</v>
      </c>
    </row>
    <row r="441" spans="1:11" s="402" customFormat="1" ht="15" customHeight="1">
      <c r="A441" s="954"/>
      <c r="B441" s="185" t="s">
        <v>6426</v>
      </c>
      <c r="C441" s="183">
        <v>0.78</v>
      </c>
      <c r="D441" s="401" t="s">
        <v>346</v>
      </c>
      <c r="E441" s="2679">
        <f>+'BASE 2'!D736</f>
        <v>18500</v>
      </c>
      <c r="F441" s="1585">
        <f>+E441*C441</f>
        <v>14430</v>
      </c>
      <c r="G441" s="2679"/>
      <c r="H441" s="2679"/>
      <c r="I441" s="2679"/>
      <c r="J441" s="507"/>
    </row>
    <row r="442" spans="1:11" ht="18">
      <c r="A442" s="2042" t="s">
        <v>770</v>
      </c>
      <c r="B442" s="185" t="s">
        <v>771</v>
      </c>
      <c r="C442" s="1264">
        <v>1</v>
      </c>
      <c r="D442" s="401" t="s">
        <v>133</v>
      </c>
      <c r="E442" s="1581">
        <f>+LUBRI</f>
        <v>12500.1</v>
      </c>
      <c r="F442" s="1581"/>
      <c r="G442" s="1581">
        <f>+E442*C442</f>
        <v>12500.1</v>
      </c>
      <c r="H442" s="1581"/>
      <c r="I442" s="1581"/>
    </row>
    <row r="443" spans="1:11" ht="18">
      <c r="A443" s="2042" t="s">
        <v>172</v>
      </c>
      <c r="B443" s="185" t="s">
        <v>189</v>
      </c>
      <c r="C443" s="1264">
        <v>1</v>
      </c>
      <c r="D443" s="401" t="s">
        <v>583</v>
      </c>
      <c r="E443" s="1581">
        <f>+H444*0.05</f>
        <v>8239.1016445920013</v>
      </c>
      <c r="F443" s="1581"/>
      <c r="G443" s="1581"/>
      <c r="H443" s="1581"/>
      <c r="I443" s="1581">
        <f>+E443*C443</f>
        <v>8239.1016445920013</v>
      </c>
    </row>
    <row r="444" spans="1:11" ht="18">
      <c r="A444" s="2040" t="s">
        <v>190</v>
      </c>
      <c r="B444" s="1266">
        <f>SUM(F444:I444)</f>
        <v>574951.23453643196</v>
      </c>
      <c r="C444" s="401"/>
      <c r="D444" s="1267"/>
      <c r="E444" s="1581"/>
      <c r="F444" s="1581">
        <f>SUM(F438:F443)</f>
        <v>389430</v>
      </c>
      <c r="G444" s="1581">
        <f t="shared" ref="G444:I444" si="28">SUM(G438:G443)</f>
        <v>12500.1</v>
      </c>
      <c r="H444" s="1581">
        <f>SUM(H438:H443)</f>
        <v>164782.03289184</v>
      </c>
      <c r="I444" s="1581">
        <f t="shared" si="28"/>
        <v>8239.1016445920013</v>
      </c>
    </row>
    <row r="445" spans="1:11" ht="18">
      <c r="A445" s="2040" t="s">
        <v>191</v>
      </c>
      <c r="B445" s="1587">
        <f>+B444</f>
        <v>574951.23453643196</v>
      </c>
      <c r="C445" s="2045" t="s">
        <v>363</v>
      </c>
      <c r="D445" s="863"/>
      <c r="E445" s="864">
        <f>+B453*0.15</f>
        <v>576735</v>
      </c>
      <c r="F445" s="864"/>
      <c r="G445" s="864"/>
      <c r="H445" s="864"/>
      <c r="I445" s="864"/>
    </row>
    <row r="446" spans="1:11" ht="18">
      <c r="A446" s="2046"/>
      <c r="B446" s="1907"/>
      <c r="C446" s="504"/>
      <c r="D446" s="504"/>
      <c r="E446" s="506"/>
      <c r="F446" s="506"/>
      <c r="G446" s="506"/>
      <c r="H446" s="506"/>
      <c r="I446" s="506"/>
    </row>
    <row r="447" spans="1:11" ht="18">
      <c r="A447" s="2314" t="str">
        <f>+'CAPTACION RIO SINÚ'!A196</f>
        <v>2.2.25</v>
      </c>
      <c r="B447" s="3562" t="s">
        <v>6461</v>
      </c>
      <c r="C447" s="3562"/>
      <c r="D447" s="3562"/>
      <c r="E447" s="3562"/>
      <c r="F447" s="3562"/>
      <c r="G447" s="3562"/>
      <c r="H447" s="3562"/>
      <c r="I447" s="3562"/>
    </row>
    <row r="448" spans="1:11" ht="18">
      <c r="A448" s="2043"/>
      <c r="B448" s="2044"/>
      <c r="C448" s="1229" t="s">
        <v>140</v>
      </c>
      <c r="D448" s="1229" t="s">
        <v>343</v>
      </c>
      <c r="E448" s="1814" t="s">
        <v>344</v>
      </c>
      <c r="F448" s="1814" t="s">
        <v>482</v>
      </c>
      <c r="G448" s="1814" t="s">
        <v>483</v>
      </c>
      <c r="H448" s="1814" t="s">
        <v>170</v>
      </c>
      <c r="I448" s="1814" t="s">
        <v>171</v>
      </c>
    </row>
    <row r="449" spans="1:11" ht="30" customHeight="1">
      <c r="A449" s="2042" t="s">
        <v>326</v>
      </c>
      <c r="B449" s="242" t="s">
        <v>4486</v>
      </c>
      <c r="C449" s="183">
        <v>1</v>
      </c>
      <c r="D449" s="501" t="s">
        <v>363</v>
      </c>
      <c r="E449" s="1804">
        <f>+'BASE 2'!D500</f>
        <v>3462900</v>
      </c>
      <c r="F449" s="1804"/>
      <c r="G449" s="1804">
        <f>+E449*C449</f>
        <v>3462900</v>
      </c>
      <c r="H449" s="1804"/>
      <c r="I449" s="1804"/>
      <c r="K449" s="181">
        <f>+VCELA10</f>
        <v>4550000</v>
      </c>
    </row>
    <row r="450" spans="1:11" ht="18">
      <c r="A450" s="1580"/>
      <c r="B450" s="185" t="s">
        <v>6457</v>
      </c>
      <c r="C450" s="1264">
        <v>2</v>
      </c>
      <c r="D450" s="401" t="s">
        <v>363</v>
      </c>
      <c r="E450" s="2679">
        <f>+'BASE 2'!D623</f>
        <v>170000</v>
      </c>
      <c r="F450" s="2679"/>
      <c r="G450" s="2679">
        <f>+E450*C450</f>
        <v>340000</v>
      </c>
      <c r="H450" s="2679"/>
      <c r="I450" s="2679"/>
    </row>
    <row r="451" spans="1:11" ht="18">
      <c r="A451" s="2042" t="s">
        <v>584</v>
      </c>
      <c r="B451" s="185" t="s">
        <v>134</v>
      </c>
      <c r="C451" s="1264">
        <v>3.5000000000000003E-2</v>
      </c>
      <c r="D451" s="401" t="s">
        <v>583</v>
      </c>
      <c r="E451" s="1581">
        <f>+VIAJE</f>
        <v>1200000</v>
      </c>
      <c r="F451" s="1581"/>
      <c r="G451" s="1581"/>
      <c r="H451" s="1581"/>
      <c r="I451" s="1581">
        <f>+E451*C451</f>
        <v>42000.000000000007</v>
      </c>
    </row>
    <row r="452" spans="1:11" ht="18">
      <c r="A452" s="2040" t="s">
        <v>190</v>
      </c>
      <c r="B452" s="1266">
        <f>SUM(F452:I452)</f>
        <v>3844900</v>
      </c>
      <c r="C452" s="401"/>
      <c r="D452" s="1267"/>
      <c r="E452" s="1581"/>
      <c r="F452" s="1581">
        <f>SUM(F449:F451)</f>
        <v>0</v>
      </c>
      <c r="G452" s="1581">
        <f>SUM(G449:G451)</f>
        <v>3802900</v>
      </c>
      <c r="H452" s="1581">
        <f>SUM(H449:H451)</f>
        <v>0</v>
      </c>
      <c r="I452" s="1581">
        <f>SUM(I449:I451)</f>
        <v>42000.000000000007</v>
      </c>
    </row>
    <row r="453" spans="1:11" ht="18">
      <c r="A453" s="2040" t="s">
        <v>191</v>
      </c>
      <c r="B453" s="1587">
        <f>+B452</f>
        <v>3844900</v>
      </c>
      <c r="C453" s="2045" t="s">
        <v>363</v>
      </c>
      <c r="D453" s="863"/>
      <c r="E453" s="864"/>
      <c r="F453" s="864"/>
      <c r="G453" s="864"/>
      <c r="H453" s="864"/>
      <c r="I453" s="864"/>
    </row>
    <row r="454" spans="1:11" s="2050" customFormat="1" ht="13.5" customHeight="1">
      <c r="A454" s="1273"/>
      <c r="B454" s="861"/>
      <c r="C454" s="881"/>
      <c r="D454" s="863"/>
      <c r="E454" s="882"/>
      <c r="F454" s="882"/>
      <c r="G454" s="882"/>
      <c r="H454" s="882"/>
      <c r="I454" s="882"/>
    </row>
    <row r="455" spans="1:11" ht="18">
      <c r="A455" s="2047" t="str">
        <f>+'CAPTACION RIO SINÚ'!A150</f>
        <v>2.1.26</v>
      </c>
      <c r="B455" s="3562" t="s">
        <v>4502</v>
      </c>
      <c r="C455" s="3562"/>
      <c r="D455" s="3562"/>
      <c r="E455" s="3562"/>
      <c r="F455" s="3562"/>
      <c r="G455" s="3562"/>
      <c r="H455" s="3562"/>
      <c r="I455" s="3562"/>
    </row>
    <row r="456" spans="1:11" ht="18">
      <c r="A456" s="509"/>
      <c r="B456" s="1258"/>
      <c r="C456" s="1229" t="s">
        <v>140</v>
      </c>
      <c r="D456" s="1229" t="s">
        <v>343</v>
      </c>
      <c r="E456" s="2679" t="s">
        <v>344</v>
      </c>
      <c r="F456" s="2679" t="s">
        <v>482</v>
      </c>
      <c r="G456" s="2679" t="s">
        <v>483</v>
      </c>
      <c r="H456" s="2679" t="s">
        <v>170</v>
      </c>
      <c r="I456" s="2679" t="s">
        <v>171</v>
      </c>
    </row>
    <row r="457" spans="1:11" ht="18">
      <c r="A457" s="1229"/>
      <c r="B457" s="1258" t="s">
        <v>6439</v>
      </c>
      <c r="C457" s="1264">
        <v>1.85</v>
      </c>
      <c r="D457" s="401" t="s">
        <v>346</v>
      </c>
      <c r="E457" s="2679">
        <f>+OFICI</f>
        <v>80479.625344</v>
      </c>
      <c r="F457" s="2679"/>
      <c r="G457" s="2679"/>
      <c r="H457" s="1255">
        <f>+E457*C457</f>
        <v>148887.30688640001</v>
      </c>
      <c r="I457" s="2679"/>
    </row>
    <row r="458" spans="1:11" ht="18">
      <c r="A458" s="1580"/>
      <c r="B458" s="185" t="s">
        <v>266</v>
      </c>
      <c r="C458" s="1264">
        <v>1.85</v>
      </c>
      <c r="D458" s="401" t="s">
        <v>346</v>
      </c>
      <c r="E458" s="1255">
        <f>AYUDA*2</f>
        <v>130779.39118400001</v>
      </c>
      <c r="F458" s="1255"/>
      <c r="G458" s="1255"/>
      <c r="H458" s="1255">
        <f>+E458*C458</f>
        <v>241941.87369040001</v>
      </c>
      <c r="I458" s="2679"/>
    </row>
    <row r="459" spans="1:11" s="402" customFormat="1" ht="15" customHeight="1">
      <c r="A459" s="954"/>
      <c r="B459" s="185" t="s">
        <v>6426</v>
      </c>
      <c r="C459" s="183">
        <v>1.85</v>
      </c>
      <c r="D459" s="401" t="s">
        <v>346</v>
      </c>
      <c r="E459" s="2679">
        <f>+'BASE 2'!D736</f>
        <v>18500</v>
      </c>
      <c r="F459" s="1585">
        <f>+E459*C459</f>
        <v>34225</v>
      </c>
      <c r="G459" s="2679"/>
      <c r="H459" s="2679"/>
      <c r="I459" s="2679"/>
      <c r="J459" s="507"/>
    </row>
    <row r="460" spans="1:11" ht="18">
      <c r="A460" s="2678" t="s">
        <v>172</v>
      </c>
      <c r="B460" s="185" t="s">
        <v>189</v>
      </c>
      <c r="C460" s="1264">
        <v>1</v>
      </c>
      <c r="D460" s="401" t="s">
        <v>583</v>
      </c>
      <c r="E460" s="1255">
        <f>H461*0.05</f>
        <v>19541.459028840003</v>
      </c>
      <c r="F460" s="2679"/>
      <c r="G460" s="2679"/>
      <c r="H460" s="2679"/>
      <c r="I460" s="2679">
        <f>+E460*C460</f>
        <v>19541.459028840003</v>
      </c>
    </row>
    <row r="461" spans="1:11" ht="18">
      <c r="A461" s="2036" t="s">
        <v>190</v>
      </c>
      <c r="B461" s="1266">
        <f>SUM(F461:I461)</f>
        <v>444595.63960564003</v>
      </c>
      <c r="C461" s="401"/>
      <c r="D461" s="1267"/>
      <c r="E461" s="2679"/>
      <c r="F461" s="2679">
        <f>SUM(F456:F460)</f>
        <v>34225</v>
      </c>
      <c r="G461" s="2679">
        <f>SUM(G456:G460)</f>
        <v>0</v>
      </c>
      <c r="H461" s="2679">
        <f>SUM(H456:H460)</f>
        <v>390829.18057680002</v>
      </c>
      <c r="I461" s="2679">
        <f>SUM(I456:I460)</f>
        <v>19541.459028840003</v>
      </c>
    </row>
    <row r="462" spans="1:11" ht="18">
      <c r="A462" s="2036" t="s">
        <v>191</v>
      </c>
      <c r="B462" s="1587">
        <f>+B461</f>
        <v>444595.63960564003</v>
      </c>
      <c r="C462" s="2045" t="s">
        <v>363</v>
      </c>
      <c r="D462" s="863"/>
      <c r="E462" s="882">
        <f>+B471*0.15</f>
        <v>447322.5</v>
      </c>
      <c r="F462" s="882"/>
      <c r="G462" s="882"/>
      <c r="H462" s="882"/>
      <c r="I462" s="882"/>
    </row>
    <row r="463" spans="1:11" ht="18">
      <c r="A463" s="1273"/>
      <c r="B463" s="880"/>
      <c r="C463" s="881"/>
      <c r="D463" s="863"/>
      <c r="E463" s="882"/>
      <c r="F463" s="882"/>
      <c r="G463" s="882"/>
      <c r="H463" s="882"/>
      <c r="I463" s="882"/>
    </row>
    <row r="464" spans="1:11" ht="18">
      <c r="A464" s="2314" t="str">
        <f>+'CAPTACION RIO SINÚ'!A197</f>
        <v>2.2.26</v>
      </c>
      <c r="B464" s="3562" t="s">
        <v>4503</v>
      </c>
      <c r="C464" s="3562"/>
      <c r="D464" s="3562"/>
      <c r="E464" s="3562"/>
      <c r="F464" s="3562"/>
      <c r="G464" s="3562"/>
      <c r="H464" s="3562"/>
      <c r="I464" s="3562"/>
    </row>
    <row r="465" spans="1:10" ht="18">
      <c r="A465" s="509"/>
      <c r="B465" s="1258"/>
      <c r="C465" s="1229" t="s">
        <v>140</v>
      </c>
      <c r="D465" s="1229" t="s">
        <v>343</v>
      </c>
      <c r="E465" s="2679" t="s">
        <v>344</v>
      </c>
      <c r="F465" s="2679" t="s">
        <v>482</v>
      </c>
      <c r="G465" s="2679" t="s">
        <v>483</v>
      </c>
      <c r="H465" s="2679" t="s">
        <v>170</v>
      </c>
      <c r="I465" s="2679" t="s">
        <v>171</v>
      </c>
    </row>
    <row r="466" spans="1:10" ht="18">
      <c r="A466" s="2678" t="s">
        <v>213</v>
      </c>
      <c r="B466" s="185" t="s">
        <v>4483</v>
      </c>
      <c r="C466" s="1264">
        <v>1</v>
      </c>
      <c r="D466" s="401" t="s">
        <v>363</v>
      </c>
      <c r="E466" s="2679">
        <f>+'BASE 2'!D356</f>
        <v>2481150</v>
      </c>
      <c r="F466" s="2679"/>
      <c r="G466" s="2679">
        <f>+E466*C466</f>
        <v>2481150</v>
      </c>
      <c r="H466" s="2679"/>
      <c r="I466" s="2679"/>
    </row>
    <row r="467" spans="1:10" ht="18">
      <c r="A467" s="1580"/>
      <c r="B467" s="185" t="s">
        <v>6438</v>
      </c>
      <c r="C467" s="1264">
        <v>1</v>
      </c>
      <c r="D467" s="401" t="s">
        <v>363</v>
      </c>
      <c r="E467" s="2679">
        <f>+'BASE 2'!D622</f>
        <v>295000</v>
      </c>
      <c r="F467" s="2679"/>
      <c r="G467" s="2679">
        <f>+E467*C467</f>
        <v>295000</v>
      </c>
      <c r="H467" s="2679"/>
      <c r="I467" s="2679"/>
    </row>
    <row r="468" spans="1:10" ht="18">
      <c r="A468" s="1580"/>
      <c r="B468" s="185" t="s">
        <v>6457</v>
      </c>
      <c r="C468" s="1264">
        <v>1</v>
      </c>
      <c r="D468" s="401" t="s">
        <v>363</v>
      </c>
      <c r="E468" s="2679">
        <f>+'BASE 2'!D623</f>
        <v>170000</v>
      </c>
      <c r="F468" s="2679"/>
      <c r="G468" s="2679">
        <f>+E468*C468</f>
        <v>170000</v>
      </c>
      <c r="H468" s="2679"/>
      <c r="I468" s="2679"/>
    </row>
    <row r="469" spans="1:10" ht="18">
      <c r="A469" s="2678" t="s">
        <v>584</v>
      </c>
      <c r="B469" s="185" t="s">
        <v>134</v>
      </c>
      <c r="C469" s="1264">
        <v>0.03</v>
      </c>
      <c r="D469" s="1274" t="s">
        <v>583</v>
      </c>
      <c r="E469" s="1255">
        <f>+VIAJE</f>
        <v>1200000</v>
      </c>
      <c r="F469" s="2679"/>
      <c r="G469" s="2679"/>
      <c r="H469" s="2679"/>
      <c r="I469" s="2679">
        <f>+E469*C469</f>
        <v>36000</v>
      </c>
    </row>
    <row r="470" spans="1:10" ht="18">
      <c r="A470" s="2036" t="s">
        <v>190</v>
      </c>
      <c r="B470" s="1266">
        <f>SUM(F470:I470)</f>
        <v>2982150</v>
      </c>
      <c r="C470" s="401"/>
      <c r="D470" s="1267"/>
      <c r="E470" s="2679"/>
      <c r="F470" s="2679">
        <f>SUM(F465:F469)</f>
        <v>0</v>
      </c>
      <c r="G470" s="2679">
        <f>SUM(G466:G469)</f>
        <v>2946150</v>
      </c>
      <c r="H470" s="2679">
        <f t="shared" ref="H470:I470" si="29">SUM(H466:H469)</f>
        <v>0</v>
      </c>
      <c r="I470" s="2679">
        <f t="shared" si="29"/>
        <v>36000</v>
      </c>
    </row>
    <row r="471" spans="1:10" ht="18">
      <c r="A471" s="2036" t="s">
        <v>191</v>
      </c>
      <c r="B471" s="1587">
        <f>+B470</f>
        <v>2982150</v>
      </c>
      <c r="C471" s="2045" t="s">
        <v>363</v>
      </c>
      <c r="D471" s="863"/>
      <c r="E471" s="882"/>
      <c r="F471" s="882"/>
      <c r="G471" s="882"/>
      <c r="H471" s="882"/>
      <c r="I471" s="882"/>
    </row>
    <row r="472" spans="1:10" s="2050" customFormat="1" ht="13.5" customHeight="1">
      <c r="A472" s="1273"/>
      <c r="B472" s="861"/>
      <c r="C472" s="881"/>
      <c r="D472" s="863"/>
      <c r="E472" s="882"/>
      <c r="F472" s="882"/>
      <c r="G472" s="882"/>
      <c r="H472" s="882"/>
      <c r="I472" s="882"/>
    </row>
    <row r="473" spans="1:10" s="1260" customFormat="1" ht="15" customHeight="1">
      <c r="A473" s="449" t="str">
        <f>+'CAPTACION RIO SINÚ'!A151</f>
        <v>2.1.27</v>
      </c>
      <c r="B473" s="3573" t="s">
        <v>6464</v>
      </c>
      <c r="C473" s="3573"/>
      <c r="D473" s="3573"/>
      <c r="E473" s="3573"/>
      <c r="F473" s="3573"/>
      <c r="G473" s="3573"/>
      <c r="H473" s="3573"/>
      <c r="I473" s="3573"/>
    </row>
    <row r="474" spans="1:10" s="1260" customFormat="1" ht="15" customHeight="1">
      <c r="A474" s="1261"/>
      <c r="B474" s="1262"/>
      <c r="C474" s="1229" t="s">
        <v>140</v>
      </c>
      <c r="D474" s="1229" t="s">
        <v>343</v>
      </c>
      <c r="E474" s="2679" t="s">
        <v>344</v>
      </c>
      <c r="F474" s="2679" t="s">
        <v>482</v>
      </c>
      <c r="G474" s="2679" t="s">
        <v>483</v>
      </c>
      <c r="H474" s="2679" t="s">
        <v>232</v>
      </c>
      <c r="I474" s="2679" t="s">
        <v>171</v>
      </c>
    </row>
    <row r="475" spans="1:10" ht="18">
      <c r="A475" s="1229"/>
      <c r="B475" s="1258" t="s">
        <v>6439</v>
      </c>
      <c r="C475" s="1264">
        <v>3.3</v>
      </c>
      <c r="D475" s="401" t="s">
        <v>346</v>
      </c>
      <c r="E475" s="2679">
        <f>+OFICI</f>
        <v>80479.625344</v>
      </c>
      <c r="F475" s="2679"/>
      <c r="G475" s="2679"/>
      <c r="H475" s="1255">
        <f>+E475*C475</f>
        <v>265582.76363519998</v>
      </c>
      <c r="I475" s="2679"/>
    </row>
    <row r="476" spans="1:10" ht="18">
      <c r="A476" s="1580"/>
      <c r="B476" s="185" t="s">
        <v>266</v>
      </c>
      <c r="C476" s="1264">
        <v>3.3</v>
      </c>
      <c r="D476" s="401" t="s">
        <v>346</v>
      </c>
      <c r="E476" s="1255">
        <f>AYUDA*2</f>
        <v>130779.39118400001</v>
      </c>
      <c r="F476" s="1255"/>
      <c r="G476" s="1255"/>
      <c r="H476" s="1255">
        <f>+E476*C476</f>
        <v>431571.99090720003</v>
      </c>
      <c r="I476" s="2679"/>
    </row>
    <row r="477" spans="1:10" s="402" customFormat="1" ht="15" customHeight="1">
      <c r="A477" s="954"/>
      <c r="B477" s="185" t="s">
        <v>6426</v>
      </c>
      <c r="C477" s="183">
        <v>3.3</v>
      </c>
      <c r="D477" s="401" t="s">
        <v>346</v>
      </c>
      <c r="E477" s="2679">
        <f>+'BASE 2'!D736</f>
        <v>18500</v>
      </c>
      <c r="F477" s="1585">
        <f>+E477*C477</f>
        <v>61050</v>
      </c>
      <c r="G477" s="2679"/>
      <c r="H477" s="2679"/>
      <c r="I477" s="2679"/>
      <c r="J477" s="507"/>
    </row>
    <row r="478" spans="1:10" s="402" customFormat="1" ht="15" customHeight="1">
      <c r="A478" s="1261" t="s">
        <v>172</v>
      </c>
      <c r="B478" s="184" t="s">
        <v>189</v>
      </c>
      <c r="C478" s="1264">
        <v>1</v>
      </c>
      <c r="D478" s="1229" t="s">
        <v>583</v>
      </c>
      <c r="E478" s="2679">
        <f>+H479*0.05</f>
        <v>34857.737727120002</v>
      </c>
      <c r="F478" s="2679"/>
      <c r="G478" s="2679"/>
      <c r="H478" s="2679"/>
      <c r="I478" s="2679">
        <f>+E478*C478</f>
        <v>34857.737727120002</v>
      </c>
      <c r="J478" s="1260"/>
    </row>
    <row r="479" spans="1:10" s="1260" customFormat="1" ht="15" customHeight="1">
      <c r="A479" s="1265" t="s">
        <v>190</v>
      </c>
      <c r="B479" s="1266">
        <f>SUM(F479:I479)</f>
        <v>793062.49226952007</v>
      </c>
      <c r="C479" s="401"/>
      <c r="D479" s="1267"/>
      <c r="E479" s="2679"/>
      <c r="F479" s="2679">
        <f>SUM(F475:F478)</f>
        <v>61050</v>
      </c>
      <c r="G479" s="2679">
        <f t="shared" ref="G479:I479" si="30">SUM(G475:G478)</f>
        <v>0</v>
      </c>
      <c r="H479" s="2679">
        <f t="shared" si="30"/>
        <v>697154.75454240001</v>
      </c>
      <c r="I479" s="2679">
        <f t="shared" si="30"/>
        <v>34857.737727120002</v>
      </c>
    </row>
    <row r="480" spans="1:10" s="1260" customFormat="1" ht="15" customHeight="1">
      <c r="A480" s="1265" t="s">
        <v>191</v>
      </c>
      <c r="B480" s="1268">
        <f>+B479</f>
        <v>793062.49226952007</v>
      </c>
      <c r="C480" s="1269" t="s">
        <v>363</v>
      </c>
      <c r="D480" s="863"/>
      <c r="E480" s="882">
        <f>+B488*0.15</f>
        <v>792712.5</v>
      </c>
      <c r="F480" s="1905"/>
      <c r="G480" s="882"/>
      <c r="H480" s="882"/>
      <c r="I480" s="882"/>
    </row>
    <row r="481" spans="1:256" s="498" customFormat="1" ht="15" customHeight="1">
      <c r="A481" s="1270"/>
      <c r="B481" s="1271"/>
      <c r="C481" s="1272"/>
      <c r="D481" s="1273"/>
      <c r="E481" s="503"/>
      <c r="F481" s="503"/>
      <c r="G481" s="503"/>
      <c r="H481" s="503"/>
      <c r="I481" s="503"/>
      <c r="N481" s="499"/>
      <c r="O481" s="499"/>
      <c r="P481" s="499"/>
      <c r="Q481" s="499"/>
      <c r="R481" s="499"/>
      <c r="S481" s="499"/>
      <c r="T481" s="499"/>
      <c r="U481" s="499"/>
      <c r="V481" s="499"/>
      <c r="W481" s="499"/>
      <c r="X481" s="499"/>
      <c r="Y481" s="499"/>
      <c r="Z481" s="499"/>
      <c r="AA481" s="499"/>
      <c r="AB481" s="499"/>
      <c r="AC481" s="499"/>
      <c r="AD481" s="499"/>
      <c r="AE481" s="499"/>
      <c r="AF481" s="499"/>
      <c r="AG481" s="499"/>
      <c r="AH481" s="499"/>
      <c r="AI481" s="499"/>
      <c r="AJ481" s="499"/>
      <c r="AK481" s="499"/>
      <c r="AL481" s="499"/>
      <c r="AM481" s="499"/>
      <c r="AN481" s="499"/>
      <c r="AO481" s="499"/>
      <c r="AP481" s="499"/>
      <c r="AQ481" s="499"/>
      <c r="AR481" s="499"/>
      <c r="AS481" s="499"/>
      <c r="AT481" s="499"/>
      <c r="AU481" s="499"/>
      <c r="AV481" s="499"/>
      <c r="AW481" s="499"/>
      <c r="AX481" s="499"/>
      <c r="AY481" s="499"/>
      <c r="AZ481" s="499"/>
      <c r="BA481" s="499"/>
      <c r="BB481" s="499"/>
      <c r="BC481" s="499"/>
      <c r="BD481" s="499"/>
      <c r="BE481" s="499"/>
      <c r="BF481" s="499"/>
      <c r="BG481" s="499"/>
      <c r="BH481" s="499"/>
      <c r="BI481" s="499"/>
      <c r="BJ481" s="499"/>
      <c r="BK481" s="499"/>
      <c r="BL481" s="499"/>
      <c r="BM481" s="499"/>
      <c r="BN481" s="499"/>
      <c r="BO481" s="499"/>
      <c r="BP481" s="499"/>
      <c r="BQ481" s="499"/>
      <c r="BR481" s="499"/>
      <c r="BS481" s="499"/>
      <c r="BT481" s="499"/>
      <c r="BU481" s="499"/>
      <c r="BV481" s="499"/>
      <c r="BW481" s="499"/>
      <c r="BX481" s="499"/>
      <c r="BY481" s="499"/>
      <c r="BZ481" s="499"/>
      <c r="CA481" s="499"/>
      <c r="CB481" s="499"/>
      <c r="CC481" s="499"/>
      <c r="CD481" s="499"/>
      <c r="CE481" s="499"/>
      <c r="CF481" s="499"/>
      <c r="CG481" s="499"/>
      <c r="CH481" s="499"/>
      <c r="CI481" s="499"/>
      <c r="CJ481" s="499"/>
      <c r="CK481" s="499"/>
      <c r="CL481" s="499"/>
      <c r="CM481" s="499"/>
      <c r="CN481" s="499"/>
      <c r="CO481" s="499"/>
      <c r="CP481" s="499"/>
      <c r="CQ481" s="499"/>
      <c r="CR481" s="499"/>
      <c r="CS481" s="499"/>
      <c r="CT481" s="499"/>
      <c r="CU481" s="499"/>
      <c r="CV481" s="499"/>
      <c r="CW481" s="499"/>
      <c r="CX481" s="499"/>
      <c r="CY481" s="499"/>
      <c r="CZ481" s="499"/>
      <c r="DA481" s="499"/>
      <c r="DB481" s="499"/>
      <c r="DC481" s="499"/>
      <c r="DD481" s="499"/>
      <c r="DE481" s="499"/>
      <c r="DF481" s="499"/>
      <c r="DG481" s="499"/>
      <c r="DH481" s="499"/>
      <c r="DI481" s="499"/>
      <c r="DJ481" s="499"/>
      <c r="DK481" s="499"/>
      <c r="DL481" s="499"/>
      <c r="DM481" s="499"/>
      <c r="DN481" s="499"/>
      <c r="DO481" s="499"/>
      <c r="DP481" s="499"/>
      <c r="DQ481" s="499"/>
      <c r="DR481" s="499"/>
      <c r="DS481" s="499"/>
      <c r="DT481" s="499"/>
      <c r="DU481" s="499"/>
      <c r="DV481" s="499"/>
      <c r="DW481" s="499"/>
      <c r="DX481" s="499"/>
      <c r="DY481" s="499"/>
      <c r="DZ481" s="499"/>
      <c r="EA481" s="499"/>
      <c r="EB481" s="499"/>
      <c r="EC481" s="499"/>
      <c r="ED481" s="499"/>
      <c r="EE481" s="499"/>
      <c r="EF481" s="499"/>
      <c r="EG481" s="499"/>
      <c r="EH481" s="499"/>
      <c r="EI481" s="499"/>
      <c r="EJ481" s="499"/>
      <c r="EK481" s="499"/>
      <c r="EL481" s="499"/>
      <c r="EM481" s="499"/>
      <c r="EN481" s="499"/>
      <c r="EO481" s="499"/>
      <c r="EP481" s="499"/>
      <c r="EQ481" s="499"/>
      <c r="ER481" s="499"/>
      <c r="ES481" s="499"/>
      <c r="ET481" s="499"/>
      <c r="EU481" s="499"/>
      <c r="EV481" s="499"/>
      <c r="EW481" s="499"/>
      <c r="EX481" s="499"/>
      <c r="EY481" s="499"/>
      <c r="EZ481" s="499"/>
      <c r="FA481" s="499"/>
      <c r="FB481" s="499"/>
      <c r="FC481" s="499"/>
      <c r="FD481" s="499"/>
      <c r="FE481" s="499"/>
      <c r="FF481" s="499"/>
      <c r="FG481" s="499"/>
      <c r="FH481" s="499"/>
      <c r="FI481" s="499"/>
      <c r="FJ481" s="499"/>
      <c r="FK481" s="499"/>
      <c r="FL481" s="499"/>
      <c r="FM481" s="499"/>
      <c r="FN481" s="499"/>
      <c r="FO481" s="499"/>
      <c r="FP481" s="499"/>
      <c r="FQ481" s="499"/>
      <c r="FR481" s="499"/>
      <c r="FS481" s="499"/>
      <c r="FT481" s="499"/>
      <c r="FU481" s="499"/>
      <c r="FV481" s="499"/>
      <c r="FW481" s="499"/>
      <c r="FX481" s="499"/>
      <c r="FY481" s="499"/>
      <c r="FZ481" s="499"/>
      <c r="GA481" s="499"/>
      <c r="GB481" s="499"/>
      <c r="GC481" s="499"/>
      <c r="GD481" s="499"/>
      <c r="GE481" s="499"/>
      <c r="GF481" s="499"/>
      <c r="GG481" s="499"/>
      <c r="GH481" s="499"/>
      <c r="GI481" s="499"/>
      <c r="GJ481" s="499"/>
      <c r="GK481" s="499"/>
      <c r="GL481" s="499"/>
      <c r="GM481" s="499"/>
      <c r="GN481" s="499"/>
      <c r="GO481" s="499"/>
      <c r="GP481" s="499"/>
      <c r="GQ481" s="499"/>
      <c r="GR481" s="499"/>
      <c r="GS481" s="499"/>
      <c r="GT481" s="499"/>
      <c r="GU481" s="499"/>
      <c r="GV481" s="499"/>
      <c r="GW481" s="499"/>
      <c r="GX481" s="499"/>
      <c r="GY481" s="499"/>
      <c r="GZ481" s="499"/>
      <c r="HA481" s="499"/>
      <c r="HB481" s="499"/>
      <c r="HC481" s="499"/>
      <c r="HD481" s="499"/>
      <c r="HE481" s="499"/>
      <c r="HF481" s="499"/>
      <c r="HG481" s="499"/>
      <c r="HH481" s="499"/>
      <c r="HI481" s="499"/>
      <c r="HJ481" s="499"/>
      <c r="HK481" s="499"/>
      <c r="HL481" s="499"/>
      <c r="HM481" s="499"/>
      <c r="HN481" s="499"/>
      <c r="HO481" s="499"/>
      <c r="HP481" s="499"/>
      <c r="HQ481" s="499"/>
      <c r="HR481" s="499"/>
      <c r="HS481" s="499"/>
      <c r="HT481" s="499"/>
      <c r="HU481" s="499"/>
      <c r="HV481" s="499"/>
      <c r="HW481" s="499"/>
      <c r="HX481" s="499"/>
      <c r="HY481" s="499"/>
      <c r="HZ481" s="499"/>
      <c r="IA481" s="499"/>
      <c r="IB481" s="499"/>
      <c r="IC481" s="499"/>
      <c r="ID481" s="499"/>
      <c r="IE481" s="499"/>
      <c r="IF481" s="499"/>
      <c r="IG481" s="499"/>
      <c r="IH481" s="499"/>
      <c r="II481" s="499"/>
      <c r="IJ481" s="499"/>
      <c r="IK481" s="499"/>
      <c r="IL481" s="499"/>
      <c r="IM481" s="499"/>
      <c r="IN481" s="499"/>
      <c r="IO481" s="499"/>
      <c r="IP481" s="499"/>
      <c r="IQ481" s="499"/>
      <c r="IR481" s="499"/>
      <c r="IS481" s="499"/>
      <c r="IT481" s="499"/>
      <c r="IU481" s="499"/>
      <c r="IV481" s="499"/>
    </row>
    <row r="482" spans="1:256" s="1260" customFormat="1" ht="15" customHeight="1">
      <c r="A482" s="2314" t="str">
        <f>+'CAPTACION RIO SINÚ'!A198</f>
        <v>2.2.27</v>
      </c>
      <c r="B482" s="3562" t="s">
        <v>6463</v>
      </c>
      <c r="C482" s="3562"/>
      <c r="D482" s="3562"/>
      <c r="E482" s="3562"/>
      <c r="F482" s="3562"/>
      <c r="G482" s="3562"/>
      <c r="H482" s="3562"/>
      <c r="I482" s="3562"/>
    </row>
    <row r="483" spans="1:256" s="1260" customFormat="1" ht="15" customHeight="1">
      <c r="A483" s="1261"/>
      <c r="B483" s="1262"/>
      <c r="C483" s="1229" t="s">
        <v>140</v>
      </c>
      <c r="D483" s="1229" t="s">
        <v>343</v>
      </c>
      <c r="E483" s="2679" t="s">
        <v>344</v>
      </c>
      <c r="F483" s="2679" t="s">
        <v>482</v>
      </c>
      <c r="G483" s="2679" t="s">
        <v>483</v>
      </c>
      <c r="H483" s="2679" t="s">
        <v>232</v>
      </c>
      <c r="I483" s="2679" t="s">
        <v>171</v>
      </c>
    </row>
    <row r="484" spans="1:256" s="1260" customFormat="1" ht="15" customHeight="1">
      <c r="A484" s="954"/>
      <c r="B484" s="185" t="s">
        <v>4485</v>
      </c>
      <c r="C484" s="1264">
        <v>1</v>
      </c>
      <c r="D484" s="1274" t="s">
        <v>363</v>
      </c>
      <c r="E484" s="1255">
        <f>+'BASE 2'!D321</f>
        <v>4670750</v>
      </c>
      <c r="F484" s="1255"/>
      <c r="G484" s="1255">
        <f>+E484*C484</f>
        <v>4670750</v>
      </c>
      <c r="H484" s="1255"/>
      <c r="I484" s="1255"/>
    </row>
    <row r="485" spans="1:256" ht="18">
      <c r="A485" s="1580"/>
      <c r="B485" s="185" t="s">
        <v>6438</v>
      </c>
      <c r="C485" s="1264">
        <v>2</v>
      </c>
      <c r="D485" s="401" t="s">
        <v>363</v>
      </c>
      <c r="E485" s="2679">
        <f>+'BASE 2'!D622</f>
        <v>295000</v>
      </c>
      <c r="F485" s="2679"/>
      <c r="G485" s="2679">
        <f>+E485*C485</f>
        <v>590000</v>
      </c>
      <c r="H485" s="2679"/>
      <c r="I485" s="2679"/>
    </row>
    <row r="486" spans="1:256" s="402" customFormat="1" ht="15" customHeight="1">
      <c r="A486" s="1261" t="s">
        <v>584</v>
      </c>
      <c r="B486" s="1275" t="s">
        <v>134</v>
      </c>
      <c r="C486" s="1264">
        <v>0.02</v>
      </c>
      <c r="D486" s="401" t="s">
        <v>583</v>
      </c>
      <c r="E486" s="1276">
        <f>+VIAJE</f>
        <v>1200000</v>
      </c>
      <c r="F486" s="2679"/>
      <c r="G486" s="2679"/>
      <c r="H486" s="2679"/>
      <c r="I486" s="2679">
        <f>+E486*C486</f>
        <v>24000</v>
      </c>
      <c r="J486" s="1260"/>
    </row>
    <row r="487" spans="1:256" s="1260" customFormat="1" ht="15" customHeight="1">
      <c r="A487" s="1265" t="s">
        <v>190</v>
      </c>
      <c r="B487" s="1266">
        <f>SUM(F487:I487)</f>
        <v>5284750</v>
      </c>
      <c r="C487" s="401"/>
      <c r="D487" s="1267"/>
      <c r="E487" s="2679"/>
      <c r="F487" s="2679">
        <f>SUM(F482:F486)</f>
        <v>0</v>
      </c>
      <c r="G487" s="2679">
        <f>SUM(G484:G486)</f>
        <v>5260750</v>
      </c>
      <c r="H487" s="2679">
        <f t="shared" ref="H487" si="31">SUM(H484:H486)</f>
        <v>0</v>
      </c>
      <c r="I487" s="2679">
        <f>SUM(I484:I486)</f>
        <v>24000</v>
      </c>
    </row>
    <row r="488" spans="1:256" s="1260" customFormat="1" ht="15" customHeight="1">
      <c r="A488" s="1265" t="s">
        <v>191</v>
      </c>
      <c r="B488" s="1268">
        <f>+B487</f>
        <v>5284750</v>
      </c>
      <c r="C488" s="1269" t="s">
        <v>363</v>
      </c>
      <c r="D488" s="863"/>
      <c r="E488" s="882"/>
      <c r="F488" s="1905"/>
      <c r="G488" s="882"/>
      <c r="H488" s="882"/>
      <c r="I488" s="882"/>
    </row>
    <row r="489" spans="1:256" s="2050" customFormat="1" ht="13.5" customHeight="1">
      <c r="A489" s="1273"/>
      <c r="B489" s="861"/>
      <c r="C489" s="881"/>
      <c r="D489" s="863"/>
      <c r="E489" s="882"/>
      <c r="F489" s="882"/>
      <c r="G489" s="882"/>
      <c r="H489" s="882"/>
      <c r="I489" s="882"/>
    </row>
    <row r="490" spans="1:256" ht="18">
      <c r="A490" s="2314" t="str">
        <f>+'CAPTACION RIO SINÚ'!A152</f>
        <v>2.1.28</v>
      </c>
      <c r="B490" s="3563" t="s">
        <v>6466</v>
      </c>
      <c r="C490" s="3564"/>
      <c r="D490" s="3564"/>
      <c r="E490" s="3564"/>
      <c r="F490" s="3564"/>
      <c r="G490" s="3564"/>
      <c r="H490" s="3564"/>
      <c r="I490" s="3565"/>
    </row>
    <row r="491" spans="1:256" ht="18">
      <c r="A491" s="1229"/>
      <c r="B491" s="1258"/>
      <c r="C491" s="1229" t="s">
        <v>140</v>
      </c>
      <c r="D491" s="1229" t="s">
        <v>343</v>
      </c>
      <c r="E491" s="2679" t="s">
        <v>344</v>
      </c>
      <c r="F491" s="2679" t="s">
        <v>482</v>
      </c>
      <c r="G491" s="2679" t="s">
        <v>483</v>
      </c>
      <c r="H491" s="2679" t="s">
        <v>170</v>
      </c>
      <c r="I491" s="2679" t="s">
        <v>171</v>
      </c>
    </row>
    <row r="492" spans="1:256" s="402" customFormat="1" ht="15" customHeight="1">
      <c r="A492" s="954" t="s">
        <v>53</v>
      </c>
      <c r="B492" s="231" t="s">
        <v>6499</v>
      </c>
      <c r="C492" s="1299">
        <f>1/6</f>
        <v>0.16666666666666666</v>
      </c>
      <c r="D492" s="401" t="s">
        <v>346</v>
      </c>
      <c r="E492" s="1255">
        <f>+PLAELE</f>
        <v>204223.83333333331</v>
      </c>
      <c r="F492" s="2679">
        <f>+E492*C492</f>
        <v>34037.305555555547</v>
      </c>
      <c r="G492" s="2679"/>
      <c r="H492" s="2679"/>
      <c r="I492" s="2679"/>
      <c r="J492" s="507"/>
      <c r="K492" s="2034"/>
      <c r="L492" s="507"/>
      <c r="M492" s="507"/>
    </row>
    <row r="493" spans="1:256" s="402" customFormat="1" ht="15" customHeight="1">
      <c r="A493" s="954" t="s">
        <v>47</v>
      </c>
      <c r="B493" s="231" t="s">
        <v>6422</v>
      </c>
      <c r="C493" s="1299">
        <f>1/6</f>
        <v>0.16666666666666666</v>
      </c>
      <c r="D493" s="401" t="s">
        <v>346</v>
      </c>
      <c r="E493" s="1255">
        <f>+ETF315_</f>
        <v>986448.12</v>
      </c>
      <c r="F493" s="2679">
        <f>+E493*C493</f>
        <v>164408.01999999999</v>
      </c>
      <c r="G493" s="2679"/>
      <c r="H493" s="2679"/>
      <c r="I493" s="2679"/>
      <c r="J493" s="507"/>
      <c r="K493" s="507"/>
      <c r="L493" s="1917"/>
      <c r="M493" s="507"/>
    </row>
    <row r="494" spans="1:256" s="402" customFormat="1" ht="15" customHeight="1">
      <c r="A494" s="954" t="s">
        <v>380</v>
      </c>
      <c r="B494" s="184" t="s">
        <v>378</v>
      </c>
      <c r="C494" s="183">
        <f>1/40</f>
        <v>2.5000000000000001E-2</v>
      </c>
      <c r="D494" s="401" t="s">
        <v>238</v>
      </c>
      <c r="E494" s="2679">
        <f>+GASO</f>
        <v>8800</v>
      </c>
      <c r="F494" s="2679"/>
      <c r="G494" s="2679"/>
      <c r="H494" s="2679"/>
      <c r="I494" s="2679">
        <f>+E494*C494</f>
        <v>220</v>
      </c>
      <c r="J494" s="507"/>
      <c r="K494" s="507"/>
      <c r="L494" s="507"/>
      <c r="M494" s="507"/>
    </row>
    <row r="495" spans="1:256" s="402" customFormat="1" ht="15" customHeight="1">
      <c r="A495" s="954" t="s">
        <v>382</v>
      </c>
      <c r="B495" s="184" t="s">
        <v>381</v>
      </c>
      <c r="C495" s="183">
        <f>1/3.3</f>
        <v>0.30303030303030304</v>
      </c>
      <c r="D495" s="401" t="s">
        <v>426</v>
      </c>
      <c r="E495" s="2679">
        <f>+ESTOP</f>
        <v>4080</v>
      </c>
      <c r="F495" s="2679"/>
      <c r="G495" s="2679"/>
      <c r="H495" s="2679"/>
      <c r="I495" s="2679">
        <f>+E495*C495</f>
        <v>1236.3636363636365</v>
      </c>
      <c r="J495" s="507"/>
    </row>
    <row r="496" spans="1:256" ht="18">
      <c r="A496" s="1229"/>
      <c r="B496" s="1258" t="s">
        <v>6439</v>
      </c>
      <c r="C496" s="1299">
        <f t="shared" ref="C496:C497" si="32">1/6</f>
        <v>0.16666666666666666</v>
      </c>
      <c r="D496" s="401" t="s">
        <v>346</v>
      </c>
      <c r="E496" s="2679">
        <f>+OFICI</f>
        <v>80479.625344</v>
      </c>
      <c r="F496" s="2679"/>
      <c r="G496" s="2679"/>
      <c r="H496" s="1255">
        <f>+E496*C496</f>
        <v>13413.270890666667</v>
      </c>
      <c r="I496" s="2679"/>
    </row>
    <row r="497" spans="1:10" ht="18">
      <c r="A497" s="1580"/>
      <c r="B497" s="185" t="s">
        <v>266</v>
      </c>
      <c r="C497" s="1299">
        <f t="shared" si="32"/>
        <v>0.16666666666666666</v>
      </c>
      <c r="D497" s="401" t="s">
        <v>346</v>
      </c>
      <c r="E497" s="1255">
        <f>AYUDA</f>
        <v>65389.695592000004</v>
      </c>
      <c r="F497" s="1255"/>
      <c r="G497" s="1255"/>
      <c r="H497" s="1255">
        <f>+E497*C497</f>
        <v>10898.282598666667</v>
      </c>
      <c r="I497" s="2679"/>
    </row>
    <row r="498" spans="1:10" s="402" customFormat="1" ht="15" customHeight="1">
      <c r="A498" s="1261" t="s">
        <v>172</v>
      </c>
      <c r="B498" s="184" t="s">
        <v>189</v>
      </c>
      <c r="C498" s="1264">
        <v>1</v>
      </c>
      <c r="D498" s="1229" t="s">
        <v>583</v>
      </c>
      <c r="E498" s="2679">
        <f>H499*0.05</f>
        <v>1215.5776744666666</v>
      </c>
      <c r="F498" s="2679"/>
      <c r="G498" s="2679"/>
      <c r="H498" s="2679"/>
      <c r="I498" s="2679">
        <f>+E498*C498</f>
        <v>1215.5776744666666</v>
      </c>
      <c r="J498" s="1260"/>
    </row>
    <row r="499" spans="1:10" ht="18">
      <c r="A499" s="2036" t="s">
        <v>190</v>
      </c>
      <c r="B499" s="1266">
        <f>SUM(F499:I499)</f>
        <v>225428.82035571916</v>
      </c>
      <c r="C499" s="687"/>
      <c r="D499" s="1267"/>
      <c r="E499" s="1255"/>
      <c r="F499" s="1255">
        <f>SUM(F492:F498)</f>
        <v>198445.32555555552</v>
      </c>
      <c r="G499" s="1255">
        <f t="shared" ref="G499:I499" si="33">SUM(G492:G498)</f>
        <v>0</v>
      </c>
      <c r="H499" s="1255">
        <f t="shared" si="33"/>
        <v>24311.553489333332</v>
      </c>
      <c r="I499" s="1255">
        <f t="shared" si="33"/>
        <v>2671.9413108303033</v>
      </c>
    </row>
    <row r="500" spans="1:10" ht="18">
      <c r="A500" s="2036" t="s">
        <v>191</v>
      </c>
      <c r="B500" s="1587">
        <f>+B499</f>
        <v>225428.82035571916</v>
      </c>
      <c r="C500" s="1269" t="s">
        <v>427</v>
      </c>
      <c r="D500" s="863"/>
      <c r="E500" s="882">
        <f>+B508*0.15</f>
        <v>228892.20300000001</v>
      </c>
      <c r="F500" s="882"/>
      <c r="G500" s="882"/>
      <c r="H500" s="882"/>
      <c r="I500" s="882"/>
    </row>
    <row r="501" spans="1:10" s="1260" customFormat="1" ht="15" customHeight="1">
      <c r="A501" s="1277"/>
      <c r="B501" s="1278"/>
      <c r="C501" s="1279"/>
      <c r="D501" s="402"/>
      <c r="E501" s="1280"/>
      <c r="F501" s="1280"/>
      <c r="G501" s="1280"/>
      <c r="H501" s="1280"/>
      <c r="I501" s="1280"/>
    </row>
    <row r="502" spans="1:10" ht="18">
      <c r="A502" s="2314" t="str">
        <f>+'CAPTACION RIO SINÚ'!A199</f>
        <v>2.2.28</v>
      </c>
      <c r="B502" s="3562" t="s">
        <v>6465</v>
      </c>
      <c r="C502" s="3562"/>
      <c r="D502" s="3562"/>
      <c r="E502" s="3562"/>
      <c r="F502" s="3562"/>
      <c r="G502" s="3562"/>
      <c r="H502" s="3562"/>
      <c r="I502" s="3562"/>
    </row>
    <row r="503" spans="1:10" ht="18">
      <c r="A503" s="1229"/>
      <c r="B503" s="1258"/>
      <c r="C503" s="1229" t="s">
        <v>140</v>
      </c>
      <c r="D503" s="1229" t="s">
        <v>343</v>
      </c>
      <c r="E503" s="2679" t="s">
        <v>344</v>
      </c>
      <c r="F503" s="2679" t="s">
        <v>482</v>
      </c>
      <c r="G503" s="2679" t="s">
        <v>483</v>
      </c>
      <c r="H503" s="2679" t="s">
        <v>170</v>
      </c>
      <c r="I503" s="2679" t="s">
        <v>171</v>
      </c>
    </row>
    <row r="504" spans="1:10" ht="18">
      <c r="A504" s="1580" t="s">
        <v>4131</v>
      </c>
      <c r="B504" s="184" t="s">
        <v>4487</v>
      </c>
      <c r="C504" s="1264">
        <v>1</v>
      </c>
      <c r="D504" s="401" t="s">
        <v>363</v>
      </c>
      <c r="E504" s="2679">
        <f>+'BASE 2'!D658</f>
        <v>1194948.02</v>
      </c>
      <c r="F504" s="2679"/>
      <c r="G504" s="2679">
        <f>+E504*C504</f>
        <v>1194948.02</v>
      </c>
      <c r="H504" s="2679"/>
      <c r="I504" s="2679"/>
    </row>
    <row r="505" spans="1:10" ht="18">
      <c r="A505" s="1580"/>
      <c r="B505" s="185" t="s">
        <v>6438</v>
      </c>
      <c r="C505" s="1264">
        <v>1</v>
      </c>
      <c r="D505" s="401" t="s">
        <v>363</v>
      </c>
      <c r="E505" s="2679">
        <f>+'BASE 2'!D622</f>
        <v>295000</v>
      </c>
      <c r="F505" s="2679"/>
      <c r="G505" s="2679">
        <f>+E505*C505</f>
        <v>295000</v>
      </c>
      <c r="H505" s="2679"/>
      <c r="I505" s="2679"/>
    </row>
    <row r="506" spans="1:10" ht="18">
      <c r="A506" s="1580" t="s">
        <v>584</v>
      </c>
      <c r="B506" s="185" t="s">
        <v>134</v>
      </c>
      <c r="C506" s="1264">
        <v>1.4999999999999999E-2</v>
      </c>
      <c r="D506" s="401" t="s">
        <v>583</v>
      </c>
      <c r="E506" s="2679">
        <f>+VIAJE</f>
        <v>1200000</v>
      </c>
      <c r="F506" s="2679"/>
      <c r="G506" s="2679">
        <f>+E506*C506</f>
        <v>18000</v>
      </c>
      <c r="H506" s="2679"/>
      <c r="I506" s="2679">
        <f>+E506*C506</f>
        <v>18000</v>
      </c>
    </row>
    <row r="507" spans="1:10" ht="18">
      <c r="A507" s="2036" t="s">
        <v>190</v>
      </c>
      <c r="B507" s="1266">
        <f>SUM(F507:I507)</f>
        <v>1525948.02</v>
      </c>
      <c r="C507" s="687"/>
      <c r="D507" s="1267"/>
      <c r="E507" s="1255"/>
      <c r="F507" s="1255">
        <f>SUM(F504:F506)</f>
        <v>0</v>
      </c>
      <c r="G507" s="1255">
        <f>SUM(G504:G506)</f>
        <v>1507948.02</v>
      </c>
      <c r="H507" s="1255">
        <f>SUM(H504:H506)</f>
        <v>0</v>
      </c>
      <c r="I507" s="2679">
        <f>SUM(I504:I506)</f>
        <v>18000</v>
      </c>
    </row>
    <row r="508" spans="1:10" ht="15" customHeight="1">
      <c r="A508" s="2036" t="s">
        <v>191</v>
      </c>
      <c r="B508" s="1587">
        <f>+B507</f>
        <v>1525948.02</v>
      </c>
      <c r="C508" s="1269" t="s">
        <v>427</v>
      </c>
      <c r="D508" s="863"/>
      <c r="E508" s="882"/>
      <c r="F508" s="882"/>
      <c r="G508" s="882"/>
      <c r="H508" s="882"/>
      <c r="I508" s="882"/>
    </row>
    <row r="509" spans="1:10" s="2050" customFormat="1" ht="13.5" customHeight="1">
      <c r="A509" s="1273"/>
      <c r="B509" s="861"/>
      <c r="C509" s="881"/>
      <c r="D509" s="863"/>
      <c r="E509" s="882"/>
      <c r="F509" s="882"/>
      <c r="G509" s="882"/>
      <c r="H509" s="882"/>
      <c r="I509" s="882"/>
    </row>
    <row r="510" spans="1:10" ht="18">
      <c r="A510" s="2314" t="str">
        <f>'CAPTACION RIO SINÚ'!A153</f>
        <v>2.1.29</v>
      </c>
      <c r="B510" s="3562" t="s">
        <v>6468</v>
      </c>
      <c r="C510" s="3562"/>
      <c r="D510" s="3562"/>
      <c r="E510" s="3562"/>
      <c r="F510" s="3562"/>
      <c r="G510" s="3562"/>
      <c r="H510" s="3562"/>
      <c r="I510" s="3562"/>
    </row>
    <row r="511" spans="1:10" ht="18">
      <c r="A511" s="2043"/>
      <c r="B511" s="2044"/>
      <c r="C511" s="1229" t="s">
        <v>140</v>
      </c>
      <c r="D511" s="1229" t="s">
        <v>343</v>
      </c>
      <c r="E511" s="1814" t="s">
        <v>344</v>
      </c>
      <c r="F511" s="1814" t="s">
        <v>482</v>
      </c>
      <c r="G511" s="1814" t="s">
        <v>483</v>
      </c>
      <c r="H511" s="1814" t="s">
        <v>170</v>
      </c>
      <c r="I511" s="1814" t="s">
        <v>171</v>
      </c>
    </row>
    <row r="512" spans="1:10" ht="18">
      <c r="A512" s="1229"/>
      <c r="B512" s="1258" t="s">
        <v>6439</v>
      </c>
      <c r="C512" s="1264">
        <v>1.47</v>
      </c>
      <c r="D512" s="401" t="s">
        <v>346</v>
      </c>
      <c r="E512" s="2679">
        <f>+OFICI</f>
        <v>80479.625344</v>
      </c>
      <c r="F512" s="2679"/>
      <c r="G512" s="2679"/>
      <c r="H512" s="1255">
        <f>+E512*C512</f>
        <v>118305.04925568</v>
      </c>
      <c r="I512" s="2679"/>
    </row>
    <row r="513" spans="1:11" ht="18">
      <c r="A513" s="1580"/>
      <c r="B513" s="185" t="s">
        <v>266</v>
      </c>
      <c r="C513" s="1264">
        <v>1.47</v>
      </c>
      <c r="D513" s="401" t="s">
        <v>346</v>
      </c>
      <c r="E513" s="1255">
        <f>AYUDA*2</f>
        <v>130779.39118400001</v>
      </c>
      <c r="F513" s="1255"/>
      <c r="G513" s="1255"/>
      <c r="H513" s="1255">
        <f>+E513*C513</f>
        <v>192245.70504048001</v>
      </c>
      <c r="I513" s="2679"/>
    </row>
    <row r="514" spans="1:11" s="402" customFormat="1" ht="15" customHeight="1">
      <c r="A514" s="954"/>
      <c r="B514" s="185" t="s">
        <v>6426</v>
      </c>
      <c r="C514" s="183">
        <v>1.47</v>
      </c>
      <c r="D514" s="401" t="s">
        <v>346</v>
      </c>
      <c r="E514" s="2679">
        <f>+'BASE 2'!D736</f>
        <v>18500</v>
      </c>
      <c r="F514" s="1585">
        <f>+E514*C514</f>
        <v>27195</v>
      </c>
      <c r="G514" s="2679"/>
      <c r="H514" s="2679"/>
      <c r="I514" s="2679"/>
      <c r="J514" s="507"/>
    </row>
    <row r="515" spans="1:11" ht="18">
      <c r="A515" s="2048" t="s">
        <v>736</v>
      </c>
      <c r="B515" s="2051" t="s">
        <v>737</v>
      </c>
      <c r="C515" s="2691">
        <v>4</v>
      </c>
      <c r="D515" s="2052" t="s">
        <v>735</v>
      </c>
      <c r="E515" s="2053">
        <f>+RETRO</f>
        <v>150000</v>
      </c>
      <c r="F515" s="2679">
        <f>+E515*C515</f>
        <v>600000</v>
      </c>
      <c r="G515" s="1581"/>
      <c r="H515" s="1581"/>
      <c r="I515" s="1581"/>
    </row>
    <row r="516" spans="1:11" ht="18">
      <c r="A516" s="2042" t="s">
        <v>770</v>
      </c>
      <c r="B516" s="185" t="s">
        <v>771</v>
      </c>
      <c r="C516" s="1264">
        <v>1</v>
      </c>
      <c r="D516" s="401" t="s">
        <v>133</v>
      </c>
      <c r="E516" s="1581">
        <f>+LUBRI</f>
        <v>12500.1</v>
      </c>
      <c r="F516" s="1581"/>
      <c r="G516" s="1581">
        <f>+E516*C516</f>
        <v>12500.1</v>
      </c>
      <c r="H516" s="1581"/>
      <c r="I516" s="1581"/>
    </row>
    <row r="517" spans="1:11" ht="18">
      <c r="A517" s="2042" t="s">
        <v>172</v>
      </c>
      <c r="B517" s="185" t="s">
        <v>189</v>
      </c>
      <c r="C517" s="1264">
        <v>1</v>
      </c>
      <c r="D517" s="401" t="s">
        <v>583</v>
      </c>
      <c r="E517" s="1581">
        <f>+H518*0.05</f>
        <v>15527.537714808001</v>
      </c>
      <c r="F517" s="1581"/>
      <c r="G517" s="1581"/>
      <c r="H517" s="1581"/>
      <c r="I517" s="1581">
        <f>+E517*C517</f>
        <v>15527.537714808001</v>
      </c>
    </row>
    <row r="518" spans="1:11" ht="18">
      <c r="A518" s="2040" t="s">
        <v>190</v>
      </c>
      <c r="B518" s="1266">
        <f>SUM(F518:I518)</f>
        <v>965773.39201096795</v>
      </c>
      <c r="C518" s="401"/>
      <c r="D518" s="1267"/>
      <c r="E518" s="1581"/>
      <c r="F518" s="1581">
        <f>SUM(F512:F517)</f>
        <v>627195</v>
      </c>
      <c r="G518" s="1581">
        <f t="shared" ref="G518:I518" si="34">SUM(G512:G517)</f>
        <v>12500.1</v>
      </c>
      <c r="H518" s="1581">
        <f t="shared" si="34"/>
        <v>310550.75429616001</v>
      </c>
      <c r="I518" s="1581">
        <f t="shared" si="34"/>
        <v>15527.537714808001</v>
      </c>
    </row>
    <row r="519" spans="1:11" ht="18">
      <c r="A519" s="2040" t="s">
        <v>191</v>
      </c>
      <c r="B519" s="1587">
        <f>+B518</f>
        <v>965773.39201096795</v>
      </c>
      <c r="C519" s="2045" t="s">
        <v>363</v>
      </c>
      <c r="D519" s="863"/>
      <c r="E519" s="864">
        <f>+B527*0.15</f>
        <v>969896.39999999991</v>
      </c>
      <c r="F519" s="864"/>
      <c r="G519" s="864"/>
      <c r="H519" s="864"/>
      <c r="I519" s="864"/>
    </row>
    <row r="520" spans="1:11" ht="18">
      <c r="A520" s="2046"/>
      <c r="B520" s="1907"/>
      <c r="C520" s="504"/>
      <c r="D520" s="504"/>
      <c r="E520" s="506"/>
      <c r="F520" s="506"/>
      <c r="G520" s="506"/>
      <c r="H520" s="506"/>
      <c r="I520" s="506"/>
    </row>
    <row r="521" spans="1:11" ht="18">
      <c r="A521" s="2314" t="str">
        <f>'CAPTACION RIO SINÚ'!A200</f>
        <v>2.2.29</v>
      </c>
      <c r="B521" s="3562" t="s">
        <v>6467</v>
      </c>
      <c r="C521" s="3562"/>
      <c r="D521" s="3562"/>
      <c r="E521" s="3562"/>
      <c r="F521" s="3562"/>
      <c r="G521" s="3562"/>
      <c r="H521" s="3562"/>
      <c r="I521" s="3562"/>
    </row>
    <row r="522" spans="1:11" ht="18">
      <c r="A522" s="2043"/>
      <c r="B522" s="2044"/>
      <c r="C522" s="1229" t="s">
        <v>140</v>
      </c>
      <c r="D522" s="1229" t="s">
        <v>343</v>
      </c>
      <c r="E522" s="1814" t="s">
        <v>344</v>
      </c>
      <c r="F522" s="1814" t="s">
        <v>482</v>
      </c>
      <c r="G522" s="1814" t="s">
        <v>483</v>
      </c>
      <c r="H522" s="1814" t="s">
        <v>170</v>
      </c>
      <c r="I522" s="1814" t="s">
        <v>171</v>
      </c>
    </row>
    <row r="523" spans="1:11" ht="31.5" customHeight="1">
      <c r="A523" s="2042" t="s">
        <v>326</v>
      </c>
      <c r="B523" s="242" t="s">
        <v>4488</v>
      </c>
      <c r="C523" s="183">
        <v>1</v>
      </c>
      <c r="D523" s="501" t="s">
        <v>363</v>
      </c>
      <c r="E523" s="1804">
        <f>+'BASE 2'!D502</f>
        <v>6128976</v>
      </c>
      <c r="F523" s="1581"/>
      <c r="G523" s="1804">
        <f>+E523*C523</f>
        <v>6128976</v>
      </c>
      <c r="H523" s="1804"/>
      <c r="I523" s="1804"/>
      <c r="K523" s="181">
        <f>+VCELA10</f>
        <v>4550000</v>
      </c>
    </row>
    <row r="524" spans="1:11" ht="18">
      <c r="A524" s="1580"/>
      <c r="B524" s="185" t="s">
        <v>6438</v>
      </c>
      <c r="C524" s="1264">
        <v>1</v>
      </c>
      <c r="D524" s="401" t="s">
        <v>363</v>
      </c>
      <c r="E524" s="2679">
        <f>+'BASE 2'!D622</f>
        <v>295000</v>
      </c>
      <c r="F524" s="2679"/>
      <c r="G524" s="2679">
        <f>+E524*C524</f>
        <v>295000</v>
      </c>
      <c r="H524" s="2679"/>
      <c r="I524" s="2679"/>
    </row>
    <row r="525" spans="1:11" ht="18">
      <c r="A525" s="2042" t="s">
        <v>584</v>
      </c>
      <c r="B525" s="185" t="s">
        <v>134</v>
      </c>
      <c r="C525" s="1264">
        <v>3.5000000000000003E-2</v>
      </c>
      <c r="D525" s="401" t="s">
        <v>583</v>
      </c>
      <c r="E525" s="1581">
        <f>+VIAJE</f>
        <v>1200000</v>
      </c>
      <c r="F525" s="1581"/>
      <c r="G525" s="1804"/>
      <c r="H525" s="1804"/>
      <c r="I525" s="1804">
        <f>+E525*C525</f>
        <v>42000.000000000007</v>
      </c>
    </row>
    <row r="526" spans="1:11" ht="18">
      <c r="A526" s="2040" t="s">
        <v>190</v>
      </c>
      <c r="B526" s="1266">
        <f>SUM(F526:I526)</f>
        <v>6465976</v>
      </c>
      <c r="C526" s="401"/>
      <c r="D526" s="1267"/>
      <c r="E526" s="1581"/>
      <c r="F526" s="1581">
        <f>SUM(F523:F525)</f>
        <v>0</v>
      </c>
      <c r="G526" s="1804">
        <f>SUM(G523:G525)</f>
        <v>6423976</v>
      </c>
      <c r="H526" s="1804">
        <f t="shared" ref="H526:I526" si="35">SUM(H523:H525)</f>
        <v>0</v>
      </c>
      <c r="I526" s="1804">
        <f t="shared" si="35"/>
        <v>42000.000000000007</v>
      </c>
    </row>
    <row r="527" spans="1:11" ht="18">
      <c r="A527" s="2040" t="s">
        <v>191</v>
      </c>
      <c r="B527" s="1587">
        <f>+B526</f>
        <v>6465976</v>
      </c>
      <c r="C527" s="2045" t="s">
        <v>363</v>
      </c>
      <c r="D527" s="863"/>
      <c r="E527" s="864"/>
      <c r="F527" s="864"/>
      <c r="G527" s="864"/>
      <c r="H527" s="864"/>
      <c r="I527" s="864"/>
    </row>
    <row r="528" spans="1:11" s="2050" customFormat="1" ht="13.5" customHeight="1">
      <c r="A528" s="1273"/>
      <c r="B528" s="861"/>
      <c r="C528" s="881"/>
      <c r="D528" s="863"/>
      <c r="E528" s="882"/>
      <c r="F528" s="882"/>
      <c r="G528" s="882"/>
      <c r="H528" s="882"/>
      <c r="I528" s="882"/>
    </row>
    <row r="529" spans="1:10" ht="18">
      <c r="A529" s="2314" t="str">
        <f>+'CAPTACION RIO SINÚ'!A154</f>
        <v>2.1.30</v>
      </c>
      <c r="B529" s="3573" t="s">
        <v>4504</v>
      </c>
      <c r="C529" s="3573"/>
      <c r="D529" s="3573"/>
      <c r="E529" s="3573"/>
      <c r="F529" s="3573"/>
      <c r="G529" s="3573"/>
      <c r="H529" s="3573"/>
      <c r="I529" s="3573"/>
    </row>
    <row r="530" spans="1:10" ht="18">
      <c r="A530" s="1900"/>
      <c r="B530" s="1262"/>
      <c r="C530" s="1229" t="s">
        <v>140</v>
      </c>
      <c r="D530" s="1229" t="s">
        <v>343</v>
      </c>
      <c r="E530" s="2679" t="s">
        <v>344</v>
      </c>
      <c r="F530" s="2679" t="s">
        <v>482</v>
      </c>
      <c r="G530" s="2679" t="s">
        <v>483</v>
      </c>
      <c r="H530" s="2679" t="s">
        <v>170</v>
      </c>
      <c r="I530" s="2679" t="s">
        <v>171</v>
      </c>
    </row>
    <row r="531" spans="1:10" ht="18">
      <c r="A531" s="1229"/>
      <c r="B531" s="1258" t="s">
        <v>6439</v>
      </c>
      <c r="C531" s="1264">
        <v>2.57</v>
      </c>
      <c r="D531" s="401" t="s">
        <v>346</v>
      </c>
      <c r="E531" s="2679">
        <f>+OFICI</f>
        <v>80479.625344</v>
      </c>
      <c r="F531" s="2679"/>
      <c r="G531" s="2679"/>
      <c r="H531" s="1255">
        <f>+E531*C531</f>
        <v>206832.63713408</v>
      </c>
      <c r="I531" s="2679"/>
    </row>
    <row r="532" spans="1:10" ht="18">
      <c r="A532" s="1580"/>
      <c r="B532" s="185" t="s">
        <v>266</v>
      </c>
      <c r="C532" s="1264">
        <v>2.57</v>
      </c>
      <c r="D532" s="401" t="s">
        <v>346</v>
      </c>
      <c r="E532" s="1255">
        <f>AYUDA*2</f>
        <v>130779.39118400001</v>
      </c>
      <c r="F532" s="1255"/>
      <c r="G532" s="1255"/>
      <c r="H532" s="1255">
        <f>+E532*C532</f>
        <v>336103.03534288</v>
      </c>
      <c r="I532" s="2679"/>
    </row>
    <row r="533" spans="1:10" s="402" customFormat="1" ht="15" customHeight="1">
      <c r="A533" s="954"/>
      <c r="B533" s="185" t="s">
        <v>6426</v>
      </c>
      <c r="C533" s="183">
        <v>2.57</v>
      </c>
      <c r="D533" s="401" t="s">
        <v>346</v>
      </c>
      <c r="E533" s="2679">
        <f>+'BASE 2'!D736</f>
        <v>18500</v>
      </c>
      <c r="F533" s="1585">
        <f>+E533*C533</f>
        <v>47545</v>
      </c>
      <c r="G533" s="2679"/>
      <c r="H533" s="2679"/>
      <c r="I533" s="2679"/>
      <c r="J533" s="507"/>
    </row>
    <row r="534" spans="1:10" ht="18">
      <c r="A534" s="1900" t="s">
        <v>172</v>
      </c>
      <c r="B534" s="185" t="s">
        <v>189</v>
      </c>
      <c r="C534" s="1264">
        <v>1</v>
      </c>
      <c r="D534" s="401" t="s">
        <v>583</v>
      </c>
      <c r="E534" s="1255">
        <f>H535*0.05</f>
        <v>27146.783623848001</v>
      </c>
      <c r="F534" s="2679"/>
      <c r="G534" s="2679"/>
      <c r="H534" s="2679"/>
      <c r="I534" s="2679">
        <f>+E534*C534</f>
        <v>27146.783623848001</v>
      </c>
    </row>
    <row r="535" spans="1:10" ht="18">
      <c r="A535" s="2040" t="s">
        <v>190</v>
      </c>
      <c r="B535" s="1266">
        <f>SUM(F535:I535)</f>
        <v>617627.45610080799</v>
      </c>
      <c r="C535" s="401"/>
      <c r="D535" s="1267"/>
      <c r="E535" s="2679"/>
      <c r="F535" s="2679">
        <f>SUM(F531:F534)</f>
        <v>47545</v>
      </c>
      <c r="G535" s="2679">
        <f t="shared" ref="G535:I535" si="36">SUM(G531:G534)</f>
        <v>0</v>
      </c>
      <c r="H535" s="2679">
        <f t="shared" si="36"/>
        <v>542935.67247696</v>
      </c>
      <c r="I535" s="2679">
        <f t="shared" si="36"/>
        <v>27146.783623848001</v>
      </c>
    </row>
    <row r="536" spans="1:10" ht="18">
      <c r="A536" s="2040" t="s">
        <v>191</v>
      </c>
      <c r="B536" s="1587">
        <f>+B535</f>
        <v>617627.45610080799</v>
      </c>
      <c r="C536" s="1269" t="s">
        <v>363</v>
      </c>
      <c r="D536" s="863"/>
      <c r="E536" s="882">
        <f>+B544*0.15</f>
        <v>618675</v>
      </c>
      <c r="F536" s="882"/>
      <c r="G536" s="882"/>
      <c r="H536" s="882"/>
      <c r="I536" s="882"/>
    </row>
    <row r="537" spans="1:10" ht="18">
      <c r="A537" s="879"/>
      <c r="B537" s="880"/>
      <c r="C537" s="881"/>
      <c r="D537" s="863"/>
      <c r="E537" s="882"/>
      <c r="F537" s="882"/>
      <c r="G537" s="882"/>
      <c r="H537" s="882"/>
      <c r="I537" s="882"/>
    </row>
    <row r="538" spans="1:10" ht="18">
      <c r="A538" s="2314" t="str">
        <f>+'CAPTACION RIO SINÚ'!A201</f>
        <v>2.2.30</v>
      </c>
      <c r="B538" s="3562" t="s">
        <v>4505</v>
      </c>
      <c r="C538" s="3562"/>
      <c r="D538" s="3562"/>
      <c r="E538" s="3562"/>
      <c r="F538" s="3562"/>
      <c r="G538" s="3562"/>
      <c r="H538" s="3562"/>
      <c r="I538" s="3562"/>
    </row>
    <row r="539" spans="1:10" ht="18">
      <c r="A539" s="1900"/>
      <c r="B539" s="1262"/>
      <c r="C539" s="1229" t="s">
        <v>140</v>
      </c>
      <c r="D539" s="1229" t="s">
        <v>343</v>
      </c>
      <c r="E539" s="2679" t="s">
        <v>344</v>
      </c>
      <c r="F539" s="2679" t="s">
        <v>482</v>
      </c>
      <c r="G539" s="2679" t="s">
        <v>483</v>
      </c>
      <c r="H539" s="2679" t="s">
        <v>170</v>
      </c>
      <c r="I539" s="2679" t="s">
        <v>171</v>
      </c>
    </row>
    <row r="540" spans="1:10" ht="18">
      <c r="A540" s="2041" t="s">
        <v>791</v>
      </c>
      <c r="B540" s="185" t="s">
        <v>4489</v>
      </c>
      <c r="C540" s="1263">
        <v>1</v>
      </c>
      <c r="D540" s="1274" t="s">
        <v>363</v>
      </c>
      <c r="E540" s="1255">
        <f>+'BASE 2'!D640</f>
        <v>3510500</v>
      </c>
      <c r="F540" s="1255"/>
      <c r="G540" s="1255">
        <f>+E540*C540</f>
        <v>3510500</v>
      </c>
      <c r="H540" s="1255"/>
      <c r="I540" s="1255"/>
    </row>
    <row r="541" spans="1:10" ht="18">
      <c r="A541" s="1580"/>
      <c r="B541" s="185" t="s">
        <v>6438</v>
      </c>
      <c r="C541" s="1264">
        <v>2</v>
      </c>
      <c r="D541" s="401" t="s">
        <v>363</v>
      </c>
      <c r="E541" s="2679">
        <f>+'BASE 2'!D622</f>
        <v>295000</v>
      </c>
      <c r="F541" s="2679"/>
      <c r="G541" s="2679">
        <f>+E541*C541</f>
        <v>590000</v>
      </c>
      <c r="H541" s="2679"/>
      <c r="I541" s="2679"/>
    </row>
    <row r="542" spans="1:10" ht="18">
      <c r="A542" s="1900" t="s">
        <v>584</v>
      </c>
      <c r="B542" s="185" t="s">
        <v>134</v>
      </c>
      <c r="C542" s="1263">
        <v>0.02</v>
      </c>
      <c r="D542" s="1274" t="s">
        <v>583</v>
      </c>
      <c r="E542" s="1255">
        <f>+VIAJE</f>
        <v>1200000</v>
      </c>
      <c r="F542" s="2679"/>
      <c r="G542" s="2679"/>
      <c r="H542" s="2679"/>
      <c r="I542" s="2679">
        <f>+E542*C542</f>
        <v>24000</v>
      </c>
    </row>
    <row r="543" spans="1:10" ht="18">
      <c r="A543" s="2040" t="s">
        <v>190</v>
      </c>
      <c r="B543" s="1266">
        <f>SUM(F543:I543)</f>
        <v>4124500</v>
      </c>
      <c r="C543" s="401"/>
      <c r="D543" s="1267"/>
      <c r="E543" s="2679"/>
      <c r="F543" s="2679">
        <f>SUM(F538:F542)</f>
        <v>0</v>
      </c>
      <c r="G543" s="2679">
        <f>SUM(G540:G542)</f>
        <v>4100500</v>
      </c>
      <c r="H543" s="2679">
        <f t="shared" ref="H543:I543" si="37">SUM(H540:H542)</f>
        <v>0</v>
      </c>
      <c r="I543" s="2679">
        <f t="shared" si="37"/>
        <v>24000</v>
      </c>
    </row>
    <row r="544" spans="1:10" ht="18">
      <c r="A544" s="2040" t="s">
        <v>191</v>
      </c>
      <c r="B544" s="1587">
        <f>+B543</f>
        <v>4124500</v>
      </c>
      <c r="C544" s="1269" t="s">
        <v>363</v>
      </c>
      <c r="D544" s="863"/>
      <c r="E544" s="882"/>
      <c r="F544" s="882"/>
      <c r="G544" s="882"/>
      <c r="H544" s="882"/>
      <c r="I544" s="882"/>
    </row>
    <row r="545" spans="1:10" s="2050" customFormat="1" ht="13.5" customHeight="1">
      <c r="A545" s="1273"/>
      <c r="B545" s="861"/>
      <c r="C545" s="881"/>
      <c r="D545" s="863"/>
      <c r="E545" s="882"/>
      <c r="F545" s="882"/>
      <c r="G545" s="882"/>
      <c r="H545" s="882"/>
      <c r="I545" s="882"/>
    </row>
    <row r="546" spans="1:10" ht="18">
      <c r="A546" s="2314" t="str">
        <f>+'CAPTACION RIO SINÚ'!A155</f>
        <v>2.1.31</v>
      </c>
      <c r="B546" s="3563" t="s">
        <v>6470</v>
      </c>
      <c r="C546" s="3564"/>
      <c r="D546" s="3564"/>
      <c r="E546" s="3564"/>
      <c r="F546" s="3564"/>
      <c r="G546" s="3564"/>
      <c r="H546" s="3564"/>
      <c r="I546" s="3565"/>
    </row>
    <row r="547" spans="1:10" ht="18">
      <c r="A547" s="1229"/>
      <c r="B547" s="1258"/>
      <c r="C547" s="1229" t="s">
        <v>140</v>
      </c>
      <c r="D547" s="1229" t="s">
        <v>343</v>
      </c>
      <c r="E547" s="2679" t="s">
        <v>344</v>
      </c>
      <c r="F547" s="2679" t="s">
        <v>482</v>
      </c>
      <c r="G547" s="2679" t="s">
        <v>483</v>
      </c>
      <c r="H547" s="2679" t="s">
        <v>170</v>
      </c>
      <c r="I547" s="2679" t="s">
        <v>171</v>
      </c>
    </row>
    <row r="548" spans="1:10" ht="18">
      <c r="A548" s="1229"/>
      <c r="B548" s="1258" t="s">
        <v>6439</v>
      </c>
      <c r="C548" s="1264">
        <v>1.45</v>
      </c>
      <c r="D548" s="401" t="s">
        <v>346</v>
      </c>
      <c r="E548" s="2679">
        <f>+OFICI</f>
        <v>80479.625344</v>
      </c>
      <c r="F548" s="2679"/>
      <c r="G548" s="2679"/>
      <c r="H548" s="1255">
        <f>+E548*C548</f>
        <v>116695.4567488</v>
      </c>
      <c r="I548" s="2679"/>
    </row>
    <row r="549" spans="1:10" ht="18">
      <c r="A549" s="1580"/>
      <c r="B549" s="185" t="s">
        <v>266</v>
      </c>
      <c r="C549" s="1264">
        <v>1.45</v>
      </c>
      <c r="D549" s="401" t="s">
        <v>346</v>
      </c>
      <c r="E549" s="1255">
        <f>AYUDA*2</f>
        <v>130779.39118400001</v>
      </c>
      <c r="F549" s="1255"/>
      <c r="G549" s="1255"/>
      <c r="H549" s="1255">
        <f>+E549*C549</f>
        <v>189630.11721680002</v>
      </c>
      <c r="I549" s="2679"/>
    </row>
    <row r="550" spans="1:10" s="402" customFormat="1" ht="15" customHeight="1">
      <c r="A550" s="954"/>
      <c r="B550" s="185" t="s">
        <v>6426</v>
      </c>
      <c r="C550" s="183">
        <v>1.45</v>
      </c>
      <c r="D550" s="401" t="s">
        <v>346</v>
      </c>
      <c r="E550" s="2679">
        <f>+'BASE 2'!D736</f>
        <v>18500</v>
      </c>
      <c r="F550" s="1585">
        <f>+E550*C550</f>
        <v>26825</v>
      </c>
      <c r="G550" s="2679"/>
      <c r="H550" s="2679"/>
      <c r="I550" s="2679"/>
      <c r="J550" s="507"/>
    </row>
    <row r="551" spans="1:10" ht="18">
      <c r="A551" s="1580" t="s">
        <v>172</v>
      </c>
      <c r="B551" s="185" t="s">
        <v>189</v>
      </c>
      <c r="C551" s="1264">
        <v>1</v>
      </c>
      <c r="D551" s="401" t="s">
        <v>583</v>
      </c>
      <c r="E551" s="1255">
        <f>H552*0.05</f>
        <v>15316.278698280001</v>
      </c>
      <c r="F551" s="1255"/>
      <c r="G551" s="1255"/>
      <c r="H551" s="1255"/>
      <c r="I551" s="2679">
        <f>+E551*C551</f>
        <v>15316.278698280001</v>
      </c>
    </row>
    <row r="552" spans="1:10" ht="18">
      <c r="A552" s="2036" t="s">
        <v>190</v>
      </c>
      <c r="B552" s="1266">
        <f>SUM(F552:I552)</f>
        <v>348466.85266387998</v>
      </c>
      <c r="C552" s="687"/>
      <c r="D552" s="1267"/>
      <c r="E552" s="1255"/>
      <c r="F552" s="1255">
        <f>SUM(F548:F551)</f>
        <v>26825</v>
      </c>
      <c r="G552" s="1255">
        <f t="shared" ref="G552:I552" si="38">SUM(G548:G551)</f>
        <v>0</v>
      </c>
      <c r="H552" s="1255">
        <f t="shared" si="38"/>
        <v>306325.57396559999</v>
      </c>
      <c r="I552" s="1255">
        <f t="shared" si="38"/>
        <v>15316.278698280001</v>
      </c>
    </row>
    <row r="553" spans="1:10" ht="18">
      <c r="A553" s="2036" t="s">
        <v>191</v>
      </c>
      <c r="B553" s="1587">
        <f>+B552</f>
        <v>348466.85266387998</v>
      </c>
      <c r="C553" s="1269" t="s">
        <v>427</v>
      </c>
      <c r="D553" s="863"/>
      <c r="E553" s="882">
        <f>+B561*0.15</f>
        <v>349522.5</v>
      </c>
      <c r="F553" s="882"/>
      <c r="G553" s="882"/>
      <c r="H553" s="882"/>
      <c r="I553" s="882"/>
    </row>
    <row r="554" spans="1:10" s="1260" customFormat="1" ht="15" customHeight="1">
      <c r="A554" s="1277"/>
      <c r="B554" s="1278"/>
      <c r="C554" s="1279"/>
      <c r="D554" s="402"/>
      <c r="E554" s="1280"/>
      <c r="F554" s="1280"/>
      <c r="G554" s="1280"/>
      <c r="H554" s="1280"/>
      <c r="I554" s="1280"/>
    </row>
    <row r="555" spans="1:10" ht="18">
      <c r="A555" s="2314" t="str">
        <f>+'CAPTACION RIO SINÚ'!A202</f>
        <v>2.2.31</v>
      </c>
      <c r="B555" s="3562" t="s">
        <v>6469</v>
      </c>
      <c r="C555" s="3562"/>
      <c r="D555" s="3562"/>
      <c r="E555" s="3562"/>
      <c r="F555" s="3562"/>
      <c r="G555" s="3562"/>
      <c r="H555" s="3562"/>
      <c r="I555" s="3562"/>
    </row>
    <row r="556" spans="1:10" ht="18">
      <c r="A556" s="1229"/>
      <c r="B556" s="1258"/>
      <c r="C556" s="1229" t="s">
        <v>140</v>
      </c>
      <c r="D556" s="1229" t="s">
        <v>343</v>
      </c>
      <c r="E556" s="2679" t="s">
        <v>344</v>
      </c>
      <c r="F556" s="2679" t="s">
        <v>482</v>
      </c>
      <c r="G556" s="2679" t="s">
        <v>483</v>
      </c>
      <c r="H556" s="2679" t="s">
        <v>170</v>
      </c>
      <c r="I556" s="2679" t="s">
        <v>171</v>
      </c>
    </row>
    <row r="557" spans="1:10" ht="18">
      <c r="A557" s="1580" t="s">
        <v>4131</v>
      </c>
      <c r="B557" s="185" t="s">
        <v>4490</v>
      </c>
      <c r="C557" s="1264">
        <v>1</v>
      </c>
      <c r="D557" s="401" t="s">
        <v>363</v>
      </c>
      <c r="E557" s="2679">
        <f>+'BASE 2'!D596</f>
        <v>2005150</v>
      </c>
      <c r="F557" s="2679"/>
      <c r="G557" s="2679">
        <f>+E557*C557</f>
        <v>2005150</v>
      </c>
      <c r="H557" s="2679"/>
      <c r="I557" s="2679"/>
    </row>
    <row r="558" spans="1:10" ht="18">
      <c r="A558" s="1580"/>
      <c r="B558" s="185" t="s">
        <v>6438</v>
      </c>
      <c r="C558" s="1264">
        <v>1</v>
      </c>
      <c r="D558" s="401" t="s">
        <v>363</v>
      </c>
      <c r="E558" s="2679">
        <f>+'BASE 2'!D622</f>
        <v>295000</v>
      </c>
      <c r="F558" s="2679"/>
      <c r="G558" s="2679">
        <f>+E558*C558</f>
        <v>295000</v>
      </c>
      <c r="H558" s="2679"/>
      <c r="I558" s="2679"/>
    </row>
    <row r="559" spans="1:10" ht="18">
      <c r="A559" s="1580" t="s">
        <v>584</v>
      </c>
      <c r="B559" s="185" t="s">
        <v>134</v>
      </c>
      <c r="C559" s="1264">
        <v>2.5000000000000001E-2</v>
      </c>
      <c r="D559" s="401" t="s">
        <v>583</v>
      </c>
      <c r="E559" s="2679">
        <f>+VIAJE</f>
        <v>1200000</v>
      </c>
      <c r="F559" s="2679"/>
      <c r="G559" s="2679"/>
      <c r="H559" s="2679"/>
      <c r="I559" s="2679">
        <f>+E559*C559</f>
        <v>30000</v>
      </c>
    </row>
    <row r="560" spans="1:10" ht="18">
      <c r="A560" s="2036" t="s">
        <v>190</v>
      </c>
      <c r="B560" s="1266">
        <f>SUM(F560:I560)</f>
        <v>2330150</v>
      </c>
      <c r="C560" s="687"/>
      <c r="D560" s="1267"/>
      <c r="E560" s="1255"/>
      <c r="F560" s="1255">
        <f>SUM(F557:F559)</f>
        <v>0</v>
      </c>
      <c r="G560" s="1255">
        <f>SUM(G557:G559)</f>
        <v>2300150</v>
      </c>
      <c r="H560" s="1255">
        <f t="shared" ref="H560:I560" si="39">SUM(H557:H559)</f>
        <v>0</v>
      </c>
      <c r="I560" s="1255">
        <f t="shared" si="39"/>
        <v>30000</v>
      </c>
    </row>
    <row r="561" spans="1:10" ht="18">
      <c r="A561" s="2036" t="s">
        <v>191</v>
      </c>
      <c r="B561" s="1587">
        <f>+B560</f>
        <v>2330150</v>
      </c>
      <c r="C561" s="1269" t="s">
        <v>427</v>
      </c>
      <c r="D561" s="863"/>
      <c r="E561" s="882"/>
      <c r="F561" s="882"/>
      <c r="G561" s="882"/>
      <c r="H561" s="882"/>
      <c r="I561" s="882"/>
    </row>
    <row r="562" spans="1:10" s="2050" customFormat="1" ht="13.5" customHeight="1">
      <c r="A562" s="1273"/>
      <c r="B562" s="861"/>
      <c r="C562" s="881"/>
      <c r="D562" s="863"/>
      <c r="E562" s="882"/>
      <c r="F562" s="882"/>
      <c r="G562" s="882"/>
      <c r="H562" s="882"/>
      <c r="I562" s="882"/>
    </row>
    <row r="563" spans="1:10" ht="18">
      <c r="A563" s="2314" t="str">
        <f>+'CAPTACION RIO SINÚ'!A156</f>
        <v>2.1.32</v>
      </c>
      <c r="B563" s="3569" t="s">
        <v>6472</v>
      </c>
      <c r="C563" s="3569"/>
      <c r="D563" s="3569"/>
      <c r="E563" s="3569"/>
      <c r="F563" s="3569"/>
      <c r="G563" s="3569"/>
      <c r="H563" s="3569"/>
      <c r="I563" s="3569"/>
    </row>
    <row r="564" spans="1:10" ht="18">
      <c r="A564" s="2043"/>
      <c r="B564" s="184"/>
      <c r="C564" s="1229" t="s">
        <v>140</v>
      </c>
      <c r="D564" s="1229" t="s">
        <v>343</v>
      </c>
      <c r="E564" s="1229" t="s">
        <v>344</v>
      </c>
      <c r="F564" s="1229" t="s">
        <v>482</v>
      </c>
      <c r="G564" s="1229" t="s">
        <v>483</v>
      </c>
      <c r="H564" s="1229" t="s">
        <v>170</v>
      </c>
      <c r="I564" s="1229" t="s">
        <v>171</v>
      </c>
    </row>
    <row r="565" spans="1:10" ht="18">
      <c r="A565" s="1229"/>
      <c r="B565" s="1258" t="s">
        <v>6439</v>
      </c>
      <c r="C565" s="1264">
        <v>2</v>
      </c>
      <c r="D565" s="401" t="s">
        <v>346</v>
      </c>
      <c r="E565" s="2679">
        <f>+OFICI</f>
        <v>80479.625344</v>
      </c>
      <c r="F565" s="2679"/>
      <c r="G565" s="2679"/>
      <c r="H565" s="1255">
        <f>+E565*C565</f>
        <v>160959.250688</v>
      </c>
      <c r="I565" s="2679"/>
    </row>
    <row r="566" spans="1:10" ht="18">
      <c r="A566" s="1580"/>
      <c r="B566" s="185" t="s">
        <v>266</v>
      </c>
      <c r="C566" s="1264">
        <v>2</v>
      </c>
      <c r="D566" s="401" t="s">
        <v>346</v>
      </c>
      <c r="E566" s="1255">
        <f>AYUDA*2</f>
        <v>130779.39118400001</v>
      </c>
      <c r="F566" s="1255"/>
      <c r="G566" s="1255"/>
      <c r="H566" s="1255">
        <f>+E566*C566</f>
        <v>261558.78236800001</v>
      </c>
      <c r="I566" s="2679"/>
    </row>
    <row r="567" spans="1:10" s="402" customFormat="1" ht="15" customHeight="1">
      <c r="A567" s="954"/>
      <c r="B567" s="185" t="s">
        <v>6426</v>
      </c>
      <c r="C567" s="183">
        <v>2</v>
      </c>
      <c r="D567" s="401" t="s">
        <v>346</v>
      </c>
      <c r="E567" s="2679">
        <f>+'BASE 2'!D736</f>
        <v>18500</v>
      </c>
      <c r="F567" s="1585">
        <f>+E567*C567</f>
        <v>37000</v>
      </c>
      <c r="G567" s="2679"/>
      <c r="H567" s="2679"/>
      <c r="I567" s="2679"/>
      <c r="J567" s="507"/>
    </row>
    <row r="568" spans="1:10" ht="18">
      <c r="A568" s="2042" t="s">
        <v>172</v>
      </c>
      <c r="B568" s="1275" t="s">
        <v>189</v>
      </c>
      <c r="C568" s="1264">
        <v>1</v>
      </c>
      <c r="D568" s="401" t="s">
        <v>583</v>
      </c>
      <c r="E568" s="1276">
        <f>+H569*0.05</f>
        <v>21125.901652800003</v>
      </c>
      <c r="F568" s="1276"/>
      <c r="G568" s="1276"/>
      <c r="H568" s="1276"/>
      <c r="I568" s="1276">
        <f>+E568*C568</f>
        <v>21125.901652800003</v>
      </c>
    </row>
    <row r="569" spans="1:10" ht="18">
      <c r="A569" s="2040" t="s">
        <v>190</v>
      </c>
      <c r="B569" s="1266">
        <f>SUM(F569:I569)</f>
        <v>480643.93470879999</v>
      </c>
      <c r="C569" s="401"/>
      <c r="D569" s="1267"/>
      <c r="E569" s="1276"/>
      <c r="F569" s="1276">
        <f>SUM(F564:F568)</f>
        <v>37000</v>
      </c>
      <c r="G569" s="1276">
        <f>SUM(G564:G568)</f>
        <v>0</v>
      </c>
      <c r="H569" s="1276">
        <f>SUM(H564:H568)</f>
        <v>422518.03305600001</v>
      </c>
      <c r="I569" s="1276">
        <f>SUM(I564:I568)</f>
        <v>21125.901652800003</v>
      </c>
    </row>
    <row r="570" spans="1:10" ht="18">
      <c r="A570" s="2040" t="s">
        <v>191</v>
      </c>
      <c r="B570" s="1587">
        <f>+B569</f>
        <v>480643.93470879999</v>
      </c>
      <c r="C570" s="2045" t="s">
        <v>363</v>
      </c>
      <c r="D570" s="863"/>
      <c r="E570" s="2037">
        <f>+B577*0.15</f>
        <v>482908.19999999995</v>
      </c>
      <c r="F570" s="863"/>
      <c r="G570" s="863"/>
      <c r="H570" s="863"/>
      <c r="I570" s="863"/>
    </row>
    <row r="571" spans="1:10" ht="18">
      <c r="A571" s="2046"/>
      <c r="B571" s="1907"/>
      <c r="C571" s="504"/>
      <c r="D571" s="504"/>
      <c r="E571" s="506"/>
      <c r="F571" s="506"/>
      <c r="G571" s="506"/>
      <c r="H571" s="506"/>
      <c r="I571" s="506"/>
    </row>
    <row r="572" spans="1:10" ht="18">
      <c r="A572" s="2314" t="str">
        <f>+'CAPTACION RIO SINÚ'!A203</f>
        <v>2.2.32</v>
      </c>
      <c r="B572" s="3562" t="s">
        <v>6471</v>
      </c>
      <c r="C572" s="3562"/>
      <c r="D572" s="3562"/>
      <c r="E572" s="3562"/>
      <c r="F572" s="3562"/>
      <c r="G572" s="3562"/>
      <c r="H572" s="3562"/>
      <c r="I572" s="3562"/>
    </row>
    <row r="573" spans="1:10" ht="18">
      <c r="A573" s="2043"/>
      <c r="B573" s="184"/>
      <c r="C573" s="1229" t="s">
        <v>140</v>
      </c>
      <c r="D573" s="1229" t="s">
        <v>343</v>
      </c>
      <c r="E573" s="1229" t="s">
        <v>344</v>
      </c>
      <c r="F573" s="1229" t="s">
        <v>482</v>
      </c>
      <c r="G573" s="1229" t="s">
        <v>483</v>
      </c>
      <c r="H573" s="1229" t="s">
        <v>170</v>
      </c>
      <c r="I573" s="1229" t="s">
        <v>171</v>
      </c>
    </row>
    <row r="574" spans="1:10" ht="18">
      <c r="A574" s="2042" t="s">
        <v>4191</v>
      </c>
      <c r="B574" s="1275" t="s">
        <v>4492</v>
      </c>
      <c r="C574" s="1264">
        <v>1</v>
      </c>
      <c r="D574" s="401" t="s">
        <v>363</v>
      </c>
      <c r="E574" s="1276">
        <f>+'BASE 2'!D660</f>
        <v>3195388</v>
      </c>
      <c r="F574" s="1276"/>
      <c r="G574" s="1276">
        <f>+E574*C574</f>
        <v>3195388</v>
      </c>
      <c r="H574" s="1276"/>
      <c r="I574" s="1276"/>
    </row>
    <row r="575" spans="1:10" ht="18">
      <c r="A575" s="2042" t="s">
        <v>584</v>
      </c>
      <c r="B575" s="1275" t="s">
        <v>134</v>
      </c>
      <c r="C575" s="1264">
        <v>0.02</v>
      </c>
      <c r="D575" s="401" t="s">
        <v>583</v>
      </c>
      <c r="E575" s="1276">
        <f>+VIAJE</f>
        <v>1200000</v>
      </c>
      <c r="F575" s="1276"/>
      <c r="G575" s="1276"/>
      <c r="H575" s="1276"/>
      <c r="I575" s="1276">
        <f>+E575*C575</f>
        <v>24000</v>
      </c>
    </row>
    <row r="576" spans="1:10" ht="18">
      <c r="A576" s="2040" t="s">
        <v>190</v>
      </c>
      <c r="B576" s="1266">
        <f>SUM(F576:I576)</f>
        <v>3219388</v>
      </c>
      <c r="C576" s="401"/>
      <c r="D576" s="1267"/>
      <c r="E576" s="1276"/>
      <c r="F576" s="1276">
        <f>SUM(F573:F575)</f>
        <v>0</v>
      </c>
      <c r="G576" s="1276">
        <f>SUM(G574:G575)</f>
        <v>3195388</v>
      </c>
      <c r="H576" s="1276">
        <f>SUM(H574:H575)</f>
        <v>0</v>
      </c>
      <c r="I576" s="1276">
        <f>SUM(I574:I575)</f>
        <v>24000</v>
      </c>
    </row>
    <row r="577" spans="1:9" ht="18">
      <c r="A577" s="2040" t="s">
        <v>191</v>
      </c>
      <c r="B577" s="1587">
        <f>+B576</f>
        <v>3219388</v>
      </c>
      <c r="C577" s="2045" t="s">
        <v>363</v>
      </c>
      <c r="D577" s="863"/>
      <c r="E577" s="863"/>
      <c r="F577" s="863"/>
      <c r="G577" s="863"/>
      <c r="H577" s="863"/>
      <c r="I577" s="863"/>
    </row>
    <row r="578" spans="1:9" s="2050" customFormat="1" ht="13.5" customHeight="1">
      <c r="A578" s="1273"/>
      <c r="B578" s="861"/>
      <c r="C578" s="881"/>
      <c r="D578" s="863"/>
      <c r="E578" s="882"/>
      <c r="F578" s="882"/>
      <c r="G578" s="882"/>
      <c r="H578" s="882"/>
      <c r="I578" s="882"/>
    </row>
    <row r="579" spans="1:9" ht="18">
      <c r="A579" s="2314" t="str">
        <f>+'CAPTACION RIO SINÚ'!A157</f>
        <v>2.1.33</v>
      </c>
      <c r="B579" s="3569" t="s">
        <v>4506</v>
      </c>
      <c r="C579" s="3569"/>
      <c r="D579" s="3569"/>
      <c r="E579" s="3569"/>
      <c r="F579" s="3569"/>
      <c r="G579" s="3569"/>
      <c r="H579" s="3569"/>
      <c r="I579" s="3569"/>
    </row>
    <row r="580" spans="1:9" ht="18">
      <c r="A580" s="2043"/>
      <c r="B580" s="184"/>
      <c r="C580" s="1229" t="s">
        <v>140</v>
      </c>
      <c r="D580" s="1229" t="s">
        <v>343</v>
      </c>
      <c r="E580" s="1229" t="s">
        <v>344</v>
      </c>
      <c r="F580" s="1229" t="s">
        <v>482</v>
      </c>
      <c r="G580" s="1229" t="s">
        <v>483</v>
      </c>
      <c r="H580" s="1229" t="s">
        <v>170</v>
      </c>
      <c r="I580" s="1229" t="s">
        <v>171</v>
      </c>
    </row>
    <row r="581" spans="1:9" ht="18">
      <c r="A581" s="1229"/>
      <c r="B581" s="1258" t="s">
        <v>6439</v>
      </c>
      <c r="C581" s="1264">
        <v>3.65</v>
      </c>
      <c r="D581" s="401" t="s">
        <v>346</v>
      </c>
      <c r="E581" s="2679">
        <f>+OFICI</f>
        <v>80479.625344</v>
      </c>
      <c r="F581" s="2679"/>
      <c r="G581" s="2679"/>
      <c r="H581" s="1255">
        <f>+E581*C581</f>
        <v>293750.63250559999</v>
      </c>
      <c r="I581" s="2679"/>
    </row>
    <row r="582" spans="1:9" ht="18">
      <c r="A582" s="1580"/>
      <c r="B582" s="185" t="s">
        <v>266</v>
      </c>
      <c r="C582" s="1264">
        <v>3.65</v>
      </c>
      <c r="D582" s="401" t="s">
        <v>346</v>
      </c>
      <c r="E582" s="1255">
        <f>AYUDA</f>
        <v>65389.695592000004</v>
      </c>
      <c r="F582" s="1255"/>
      <c r="G582" s="1255"/>
      <c r="H582" s="1255">
        <f>+E582*C582</f>
        <v>238672.38891080001</v>
      </c>
      <c r="I582" s="2679"/>
    </row>
    <row r="583" spans="1:9" ht="18">
      <c r="A583" s="2042" t="s">
        <v>172</v>
      </c>
      <c r="B583" s="1275" t="s">
        <v>189</v>
      </c>
      <c r="C583" s="1264">
        <v>1</v>
      </c>
      <c r="D583" s="401" t="s">
        <v>583</v>
      </c>
      <c r="E583" s="1276">
        <f>+H584*0.05</f>
        <v>26621.15107082</v>
      </c>
      <c r="F583" s="1276"/>
      <c r="G583" s="1276"/>
      <c r="H583" s="1276"/>
      <c r="I583" s="1276">
        <f>+E583*C583</f>
        <v>26621.15107082</v>
      </c>
    </row>
    <row r="584" spans="1:9" ht="18">
      <c r="A584" s="2040" t="s">
        <v>190</v>
      </c>
      <c r="B584" s="1266">
        <f>SUM(F584:I584)</f>
        <v>559044.17248722003</v>
      </c>
      <c r="C584" s="401"/>
      <c r="D584" s="1267"/>
      <c r="E584" s="1276"/>
      <c r="F584" s="1276">
        <f>SUM(F580:F583)</f>
        <v>0</v>
      </c>
      <c r="G584" s="1276">
        <f>SUM(G580:G583)</f>
        <v>0</v>
      </c>
      <c r="H584" s="1276">
        <f>SUM(H581:H583)</f>
        <v>532423.02141639998</v>
      </c>
      <c r="I584" s="1276">
        <f>SUM(I581:I583)</f>
        <v>26621.15107082</v>
      </c>
    </row>
    <row r="585" spans="1:9" ht="18">
      <c r="A585" s="2040" t="s">
        <v>191</v>
      </c>
      <c r="B585" s="1587">
        <f>+B584</f>
        <v>559044.17248722003</v>
      </c>
      <c r="C585" s="2045" t="s">
        <v>363</v>
      </c>
      <c r="D585" s="863"/>
      <c r="E585" s="2037">
        <f>+B592*0.15</f>
        <v>559620</v>
      </c>
      <c r="F585" s="863"/>
      <c r="G585" s="863"/>
      <c r="H585" s="863"/>
      <c r="I585" s="863"/>
    </row>
    <row r="586" spans="1:9" ht="18">
      <c r="A586" s="2046"/>
      <c r="B586" s="1907"/>
      <c r="C586" s="504"/>
      <c r="D586" s="504"/>
      <c r="E586" s="506"/>
      <c r="F586" s="506"/>
      <c r="G586" s="506"/>
      <c r="H586" s="506"/>
      <c r="I586" s="506"/>
    </row>
    <row r="587" spans="1:9" ht="18">
      <c r="A587" s="2314" t="str">
        <f>+'CAPTACION RIO SINÚ'!A204</f>
        <v>2.2.33</v>
      </c>
      <c r="B587" s="3562" t="s">
        <v>4507</v>
      </c>
      <c r="C587" s="3562"/>
      <c r="D587" s="3562"/>
      <c r="E587" s="3562"/>
      <c r="F587" s="3562"/>
      <c r="G587" s="3562"/>
      <c r="H587" s="3562"/>
      <c r="I587" s="3562"/>
    </row>
    <row r="588" spans="1:9" ht="18">
      <c r="A588" s="2043"/>
      <c r="B588" s="184"/>
      <c r="C588" s="1229" t="s">
        <v>140</v>
      </c>
      <c r="D588" s="1229" t="s">
        <v>343</v>
      </c>
      <c r="E588" s="1229" t="s">
        <v>344</v>
      </c>
      <c r="F588" s="1229" t="s">
        <v>482</v>
      </c>
      <c r="G588" s="1229" t="s">
        <v>483</v>
      </c>
      <c r="H588" s="1229" t="s">
        <v>170</v>
      </c>
      <c r="I588" s="1229" t="s">
        <v>171</v>
      </c>
    </row>
    <row r="589" spans="1:9" ht="18">
      <c r="A589" s="2042" t="s">
        <v>4191</v>
      </c>
      <c r="B589" s="1275" t="s">
        <v>4491</v>
      </c>
      <c r="C589" s="1264">
        <v>1</v>
      </c>
      <c r="D589" s="401" t="s">
        <v>363</v>
      </c>
      <c r="E589" s="1276">
        <f>+'BASE 2'!D139</f>
        <v>3712800</v>
      </c>
      <c r="F589" s="1276"/>
      <c r="G589" s="1276">
        <f>+E589*C589</f>
        <v>3712800</v>
      </c>
      <c r="H589" s="1276"/>
      <c r="I589" s="1276"/>
    </row>
    <row r="590" spans="1:9" ht="18">
      <c r="A590" s="2042" t="s">
        <v>584</v>
      </c>
      <c r="B590" s="1275" t="s">
        <v>134</v>
      </c>
      <c r="C590" s="1263">
        <v>1.4999999999999999E-2</v>
      </c>
      <c r="D590" s="401" t="s">
        <v>583</v>
      </c>
      <c r="E590" s="1276">
        <f>+VIAJE</f>
        <v>1200000</v>
      </c>
      <c r="F590" s="1276"/>
      <c r="G590" s="1276"/>
      <c r="H590" s="1276"/>
      <c r="I590" s="1276">
        <f>+E590*C590</f>
        <v>18000</v>
      </c>
    </row>
    <row r="591" spans="1:9" ht="18">
      <c r="A591" s="2040" t="s">
        <v>190</v>
      </c>
      <c r="B591" s="1266">
        <f>SUM(F591:I591)</f>
        <v>3730800</v>
      </c>
      <c r="C591" s="401"/>
      <c r="D591" s="1267"/>
      <c r="E591" s="1276"/>
      <c r="F591" s="1276">
        <f>SUM(F588:F590)</f>
        <v>0</v>
      </c>
      <c r="G591" s="1276">
        <f>SUM(G588:G590)</f>
        <v>3712800</v>
      </c>
      <c r="H591" s="1276">
        <f>SUM(H588:H590)</f>
        <v>0</v>
      </c>
      <c r="I591" s="1276">
        <f>SUM(I588:I590)</f>
        <v>18000</v>
      </c>
    </row>
    <row r="592" spans="1:9" ht="18">
      <c r="A592" s="2040" t="s">
        <v>191</v>
      </c>
      <c r="B592" s="1587">
        <f>+B591</f>
        <v>3730800</v>
      </c>
      <c r="C592" s="2045" t="s">
        <v>363</v>
      </c>
      <c r="D592" s="863"/>
      <c r="E592" s="863"/>
      <c r="F592" s="863"/>
      <c r="G592" s="863"/>
      <c r="H592" s="863"/>
      <c r="I592" s="863"/>
    </row>
    <row r="593" spans="1:9" s="2050" customFormat="1" ht="13.5" customHeight="1">
      <c r="A593" s="1273"/>
      <c r="B593" s="861"/>
      <c r="C593" s="881"/>
      <c r="D593" s="863"/>
      <c r="E593" s="882"/>
      <c r="F593" s="882"/>
      <c r="G593" s="882"/>
      <c r="H593" s="882"/>
      <c r="I593" s="882"/>
    </row>
    <row r="594" spans="1:9" ht="18">
      <c r="A594" s="2314" t="str">
        <f>+'CAPTACION RIO SINÚ'!A158</f>
        <v>2.1.34</v>
      </c>
      <c r="B594" s="3569" t="s">
        <v>4508</v>
      </c>
      <c r="C594" s="3569"/>
      <c r="D594" s="3569"/>
      <c r="E594" s="3569"/>
      <c r="F594" s="3569"/>
      <c r="G594" s="3569"/>
      <c r="H594" s="3569"/>
      <c r="I594" s="3569"/>
    </row>
    <row r="595" spans="1:9" ht="18">
      <c r="A595" s="2043"/>
      <c r="B595" s="184"/>
      <c r="C595" s="1229" t="s">
        <v>140</v>
      </c>
      <c r="D595" s="1229" t="s">
        <v>343</v>
      </c>
      <c r="E595" s="1229" t="s">
        <v>344</v>
      </c>
      <c r="F595" s="1229" t="s">
        <v>482</v>
      </c>
      <c r="G595" s="1229" t="s">
        <v>483</v>
      </c>
      <c r="H595" s="1229" t="s">
        <v>170</v>
      </c>
      <c r="I595" s="1229" t="s">
        <v>171</v>
      </c>
    </row>
    <row r="596" spans="1:9" ht="18">
      <c r="A596" s="1229"/>
      <c r="B596" s="1258" t="s">
        <v>6439</v>
      </c>
      <c r="C596" s="1264">
        <v>0.84</v>
      </c>
      <c r="D596" s="401" t="s">
        <v>346</v>
      </c>
      <c r="E596" s="2679">
        <f>+OFICI</f>
        <v>80479.625344</v>
      </c>
      <c r="F596" s="2679"/>
      <c r="G596" s="2679"/>
      <c r="H596" s="1255">
        <f>+E596*C596</f>
        <v>67602.885288959995</v>
      </c>
      <c r="I596" s="2679"/>
    </row>
    <row r="597" spans="1:9" ht="18">
      <c r="A597" s="2042" t="s">
        <v>172</v>
      </c>
      <c r="B597" s="1275" t="s">
        <v>189</v>
      </c>
      <c r="C597" s="1264">
        <v>1</v>
      </c>
      <c r="D597" s="401" t="s">
        <v>583</v>
      </c>
      <c r="E597" s="1276">
        <f>+H598*0.05</f>
        <v>3380.1442644479998</v>
      </c>
      <c r="F597" s="1276"/>
      <c r="G597" s="1276"/>
      <c r="H597" s="1276"/>
      <c r="I597" s="1276">
        <f>+E597*C597</f>
        <v>3380.1442644479998</v>
      </c>
    </row>
    <row r="598" spans="1:9" ht="18">
      <c r="A598" s="2040" t="s">
        <v>190</v>
      </c>
      <c r="B598" s="1266">
        <f>SUM(F598:I598)</f>
        <v>70983.029553407992</v>
      </c>
      <c r="C598" s="401"/>
      <c r="D598" s="1267"/>
      <c r="E598" s="1276"/>
      <c r="F598" s="1276">
        <f>SUM(F595:F597)</f>
        <v>0</v>
      </c>
      <c r="G598" s="1276">
        <f>SUM(G595:G597)</f>
        <v>0</v>
      </c>
      <c r="H598" s="1276">
        <f>SUM(H596:H597)</f>
        <v>67602.885288959995</v>
      </c>
      <c r="I598" s="1276">
        <f>SUM(I595:I597)</f>
        <v>3380.1442644479998</v>
      </c>
    </row>
    <row r="599" spans="1:9" ht="18">
      <c r="A599" s="2040" t="s">
        <v>191</v>
      </c>
      <c r="B599" s="1587">
        <f>+B598</f>
        <v>70983.029553407992</v>
      </c>
      <c r="C599" s="2045" t="s">
        <v>363</v>
      </c>
      <c r="D599" s="863"/>
      <c r="E599" s="2037">
        <f>+B606*0.15</f>
        <v>70968.75</v>
      </c>
      <c r="F599" s="863"/>
      <c r="G599" s="863"/>
      <c r="H599" s="863"/>
      <c r="I599" s="863"/>
    </row>
    <row r="600" spans="1:9" ht="18">
      <c r="A600" s="2046"/>
      <c r="B600" s="1907"/>
      <c r="C600" s="504"/>
      <c r="D600" s="504"/>
      <c r="E600" s="506"/>
      <c r="F600" s="506"/>
      <c r="G600" s="506"/>
      <c r="H600" s="506"/>
      <c r="I600" s="506"/>
    </row>
    <row r="601" spans="1:9" ht="18">
      <c r="A601" s="2314" t="str">
        <f>+'CAPTACION RIO SINÚ'!A205</f>
        <v>2.2.34</v>
      </c>
      <c r="B601" s="3569" t="s">
        <v>4509</v>
      </c>
      <c r="C601" s="3569"/>
      <c r="D601" s="3569"/>
      <c r="E601" s="3569"/>
      <c r="F601" s="3569"/>
      <c r="G601" s="3569"/>
      <c r="H601" s="3569"/>
      <c r="I601" s="3569"/>
    </row>
    <row r="602" spans="1:9" ht="18">
      <c r="A602" s="2043"/>
      <c r="B602" s="184"/>
      <c r="C602" s="1229" t="s">
        <v>140</v>
      </c>
      <c r="D602" s="1229" t="s">
        <v>343</v>
      </c>
      <c r="E602" s="1229" t="s">
        <v>344</v>
      </c>
      <c r="F602" s="1229" t="s">
        <v>482</v>
      </c>
      <c r="G602" s="1229" t="s">
        <v>483</v>
      </c>
      <c r="H602" s="1229" t="s">
        <v>170</v>
      </c>
      <c r="I602" s="1229" t="s">
        <v>171</v>
      </c>
    </row>
    <row r="603" spans="1:9" ht="18">
      <c r="A603" s="2042" t="s">
        <v>4191</v>
      </c>
      <c r="B603" s="1275" t="s">
        <v>4510</v>
      </c>
      <c r="C603" s="1264">
        <v>1</v>
      </c>
      <c r="D603" s="401" t="s">
        <v>363</v>
      </c>
      <c r="E603" s="1276">
        <f>+'BASE 2'!D126</f>
        <v>461125</v>
      </c>
      <c r="F603" s="1276"/>
      <c r="G603" s="1276">
        <f>+E603*C603</f>
        <v>461125</v>
      </c>
      <c r="H603" s="1276"/>
      <c r="I603" s="1276"/>
    </row>
    <row r="604" spans="1:9" ht="18">
      <c r="A604" s="2042" t="s">
        <v>584</v>
      </c>
      <c r="B604" s="1275" t="s">
        <v>134</v>
      </c>
      <c r="C604" s="1264">
        <v>0.01</v>
      </c>
      <c r="D604" s="401" t="s">
        <v>583</v>
      </c>
      <c r="E604" s="1276">
        <f>+VIAJE</f>
        <v>1200000</v>
      </c>
      <c r="F604" s="1276"/>
      <c r="G604" s="1276"/>
      <c r="H604" s="1276"/>
      <c r="I604" s="1276">
        <f>+E604*C604</f>
        <v>12000</v>
      </c>
    </row>
    <row r="605" spans="1:9" ht="18">
      <c r="A605" s="2040" t="s">
        <v>190</v>
      </c>
      <c r="B605" s="1266">
        <f>SUM(F605:I605)</f>
        <v>473125</v>
      </c>
      <c r="C605" s="401"/>
      <c r="D605" s="1267"/>
      <c r="E605" s="1276"/>
      <c r="F605" s="1276">
        <f>SUM(F602:F604)</f>
        <v>0</v>
      </c>
      <c r="G605" s="1276">
        <f>SUM(G603:G604)</f>
        <v>461125</v>
      </c>
      <c r="H605" s="1276">
        <f t="shared" ref="H605:I605" si="40">SUM(H603:H604)</f>
        <v>0</v>
      </c>
      <c r="I605" s="1276">
        <f t="shared" si="40"/>
        <v>12000</v>
      </c>
    </row>
    <row r="606" spans="1:9" ht="18">
      <c r="A606" s="2040" t="s">
        <v>191</v>
      </c>
      <c r="B606" s="1587">
        <f>+B605</f>
        <v>473125</v>
      </c>
      <c r="C606" s="2045" t="s">
        <v>363</v>
      </c>
      <c r="D606" s="863"/>
      <c r="E606" s="863"/>
      <c r="F606" s="863"/>
      <c r="G606" s="863"/>
      <c r="H606" s="863"/>
      <c r="I606" s="863"/>
    </row>
    <row r="607" spans="1:9" s="2050" customFormat="1" ht="13.5" customHeight="1">
      <c r="A607" s="1273"/>
      <c r="B607" s="861"/>
      <c r="C607" s="881"/>
      <c r="D607" s="863"/>
      <c r="E607" s="882"/>
      <c r="F607" s="882"/>
      <c r="G607" s="882"/>
      <c r="H607" s="882"/>
      <c r="I607" s="882"/>
    </row>
    <row r="608" spans="1:9" ht="18">
      <c r="A608" s="2314" t="str">
        <f>+'CAPTACION RIO SINÚ'!A159</f>
        <v>2.1.35</v>
      </c>
      <c r="B608" s="3562" t="s">
        <v>4511</v>
      </c>
      <c r="C608" s="3562"/>
      <c r="D608" s="3562"/>
      <c r="E608" s="3562"/>
      <c r="F608" s="3562"/>
      <c r="G608" s="3562"/>
      <c r="H608" s="3562"/>
      <c r="I608" s="3562"/>
    </row>
    <row r="609" spans="1:11" ht="18">
      <c r="A609" s="2043"/>
      <c r="B609" s="2044"/>
      <c r="C609" s="1229" t="s">
        <v>140</v>
      </c>
      <c r="D609" s="1229" t="s">
        <v>343</v>
      </c>
      <c r="E609" s="1814" t="s">
        <v>344</v>
      </c>
      <c r="F609" s="1814" t="s">
        <v>482</v>
      </c>
      <c r="G609" s="1814" t="s">
        <v>483</v>
      </c>
      <c r="H609" s="1814" t="s">
        <v>170</v>
      </c>
      <c r="I609" s="1814" t="s">
        <v>171</v>
      </c>
    </row>
    <row r="610" spans="1:11" ht="18">
      <c r="A610" s="1229"/>
      <c r="B610" s="1258" t="s">
        <v>6439</v>
      </c>
      <c r="C610" s="1264">
        <v>2.5299999999999998</v>
      </c>
      <c r="D610" s="401" t="s">
        <v>346</v>
      </c>
      <c r="E610" s="2679">
        <f>+OFICI</f>
        <v>80479.625344</v>
      </c>
      <c r="F610" s="2679"/>
      <c r="G610" s="2679"/>
      <c r="H610" s="1255">
        <f>+E610*C610</f>
        <v>203613.45212032</v>
      </c>
      <c r="I610" s="2679"/>
    </row>
    <row r="611" spans="1:11" ht="18">
      <c r="A611" s="1580"/>
      <c r="B611" s="185" t="s">
        <v>266</v>
      </c>
      <c r="C611" s="1264">
        <v>2.5299999999999998</v>
      </c>
      <c r="D611" s="401" t="s">
        <v>346</v>
      </c>
      <c r="E611" s="1255">
        <f>AYUDA</f>
        <v>65389.695592000004</v>
      </c>
      <c r="F611" s="1255"/>
      <c r="G611" s="1255"/>
      <c r="H611" s="1255">
        <f>+E611*C611</f>
        <v>165435.92984776001</v>
      </c>
      <c r="I611" s="2679"/>
    </row>
    <row r="612" spans="1:11" s="402" customFormat="1" ht="15" customHeight="1">
      <c r="A612" s="954"/>
      <c r="B612" s="185" t="s">
        <v>6426</v>
      </c>
      <c r="C612" s="183">
        <v>2.5299999999999998</v>
      </c>
      <c r="D612" s="401" t="s">
        <v>346</v>
      </c>
      <c r="E612" s="2679">
        <f>+'BASE 2'!D736</f>
        <v>18500</v>
      </c>
      <c r="F612" s="1585">
        <f>+E612*C612</f>
        <v>46805</v>
      </c>
      <c r="G612" s="2679"/>
      <c r="H612" s="2679"/>
      <c r="I612" s="2679"/>
      <c r="J612" s="507"/>
    </row>
    <row r="613" spans="1:11" ht="18">
      <c r="A613" s="2042" t="s">
        <v>770</v>
      </c>
      <c r="B613" s="185" t="s">
        <v>771</v>
      </c>
      <c r="C613" s="1264">
        <v>1</v>
      </c>
      <c r="D613" s="401" t="s">
        <v>133</v>
      </c>
      <c r="E613" s="1581">
        <f>+LUBRI</f>
        <v>12500.1</v>
      </c>
      <c r="F613" s="1581"/>
      <c r="G613" s="1581">
        <f>+E613*C613</f>
        <v>12500.1</v>
      </c>
      <c r="H613" s="1581"/>
      <c r="I613" s="1581"/>
    </row>
    <row r="614" spans="1:11" ht="18">
      <c r="A614" s="2042" t="s">
        <v>172</v>
      </c>
      <c r="B614" s="185" t="s">
        <v>189</v>
      </c>
      <c r="C614" s="1264">
        <v>1</v>
      </c>
      <c r="D614" s="401" t="s">
        <v>583</v>
      </c>
      <c r="E614" s="1581">
        <f>+H615*0.05</f>
        <v>18452.469098404003</v>
      </c>
      <c r="F614" s="1581"/>
      <c r="G614" s="1581"/>
      <c r="H614" s="1581"/>
      <c r="I614" s="1581">
        <f>+E614*C614</f>
        <v>18452.469098404003</v>
      </c>
    </row>
    <row r="615" spans="1:11" ht="18">
      <c r="A615" s="2040" t="s">
        <v>190</v>
      </c>
      <c r="B615" s="1266">
        <f>SUM(F615:I615)</f>
        <v>446806.95106648398</v>
      </c>
      <c r="C615" s="401"/>
      <c r="D615" s="1267"/>
      <c r="E615" s="1581"/>
      <c r="F615" s="1581">
        <f>SUM(F610:F614)</f>
        <v>46805</v>
      </c>
      <c r="G615" s="1581">
        <f t="shared" ref="G615:I615" si="41">SUM(G610:G614)</f>
        <v>12500.1</v>
      </c>
      <c r="H615" s="1581">
        <f t="shared" si="41"/>
        <v>369049.38196808001</v>
      </c>
      <c r="I615" s="1581">
        <f t="shared" si="41"/>
        <v>18452.469098404003</v>
      </c>
    </row>
    <row r="616" spans="1:11" ht="18">
      <c r="A616" s="2040" t="s">
        <v>191</v>
      </c>
      <c r="B616" s="1587">
        <f>+B615</f>
        <v>446806.95106648398</v>
      </c>
      <c r="C616" s="2045" t="s">
        <v>363</v>
      </c>
      <c r="D616" s="863"/>
      <c r="E616" s="864">
        <f>+B623*0.15</f>
        <v>447187.5</v>
      </c>
      <c r="F616" s="864"/>
      <c r="G616" s="864"/>
      <c r="H616" s="864"/>
      <c r="I616" s="864"/>
    </row>
    <row r="617" spans="1:11" ht="18">
      <c r="A617" s="2046"/>
      <c r="B617" s="1907"/>
      <c r="C617" s="504"/>
      <c r="D617" s="504"/>
      <c r="E617" s="506"/>
      <c r="F617" s="506"/>
      <c r="G617" s="506"/>
      <c r="H617" s="506"/>
      <c r="I617" s="506"/>
    </row>
    <row r="618" spans="1:11" ht="18">
      <c r="A618" s="2314" t="str">
        <f>+'CAPTACION RIO SINÚ'!A206</f>
        <v>2.2.35</v>
      </c>
      <c r="B618" s="3569" t="s">
        <v>4512</v>
      </c>
      <c r="C618" s="3569"/>
      <c r="D618" s="3569"/>
      <c r="E618" s="3569"/>
      <c r="F618" s="3569"/>
      <c r="G618" s="3569"/>
      <c r="H618" s="3569"/>
      <c r="I618" s="3569"/>
    </row>
    <row r="619" spans="1:11" ht="18">
      <c r="A619" s="2043"/>
      <c r="B619" s="2044"/>
      <c r="C619" s="1229" t="s">
        <v>140</v>
      </c>
      <c r="D619" s="1229" t="s">
        <v>343</v>
      </c>
      <c r="E619" s="1814" t="s">
        <v>344</v>
      </c>
      <c r="F619" s="1814" t="s">
        <v>482</v>
      </c>
      <c r="G619" s="1814" t="s">
        <v>483</v>
      </c>
      <c r="H619" s="1814" t="s">
        <v>170</v>
      </c>
      <c r="I619" s="1814" t="s">
        <v>171</v>
      </c>
    </row>
    <row r="620" spans="1:11" ht="32.25" customHeight="1">
      <c r="A620" s="2042"/>
      <c r="B620" s="242" t="s">
        <v>4494</v>
      </c>
      <c r="C620" s="183">
        <v>1</v>
      </c>
      <c r="D620" s="501" t="s">
        <v>363</v>
      </c>
      <c r="E620" s="1804">
        <f>+'BASE 2'!D498</f>
        <v>2945250</v>
      </c>
      <c r="F620" s="1804"/>
      <c r="G620" s="1804">
        <f>+E620*C620</f>
        <v>2945250</v>
      </c>
      <c r="H620" s="1804"/>
      <c r="I620" s="1804"/>
      <c r="K620" s="181">
        <f>+VCELA10</f>
        <v>4550000</v>
      </c>
    </row>
    <row r="621" spans="1:11" ht="18">
      <c r="A621" s="2042" t="s">
        <v>584</v>
      </c>
      <c r="B621" s="185" t="s">
        <v>134</v>
      </c>
      <c r="C621" s="1263">
        <v>0.03</v>
      </c>
      <c r="D621" s="401" t="s">
        <v>583</v>
      </c>
      <c r="E621" s="1581">
        <f>+VIAJE</f>
        <v>1200000</v>
      </c>
      <c r="F621" s="1581"/>
      <c r="G621" s="1581"/>
      <c r="H621" s="1581"/>
      <c r="I621" s="1581">
        <f>+E621*C621</f>
        <v>36000</v>
      </c>
    </row>
    <row r="622" spans="1:11" ht="18">
      <c r="A622" s="2040" t="s">
        <v>190</v>
      </c>
      <c r="B622" s="1266">
        <f>SUM(F622:I622)</f>
        <v>2981250</v>
      </c>
      <c r="C622" s="401"/>
      <c r="D622" s="1267"/>
      <c r="E622" s="1581"/>
      <c r="F622" s="1581">
        <f>SUM(F620:F621)</f>
        <v>0</v>
      </c>
      <c r="G622" s="1581">
        <f>SUM(G620:G621)</f>
        <v>2945250</v>
      </c>
      <c r="H622" s="1581">
        <f>SUM(H620:H621)</f>
        <v>0</v>
      </c>
      <c r="I622" s="1581">
        <f>SUM(I620:I621)</f>
        <v>36000</v>
      </c>
    </row>
    <row r="623" spans="1:11" ht="18">
      <c r="A623" s="2040" t="s">
        <v>191</v>
      </c>
      <c r="B623" s="1587">
        <f>+B622</f>
        <v>2981250</v>
      </c>
      <c r="C623" s="2045" t="s">
        <v>363</v>
      </c>
      <c r="D623" s="863"/>
      <c r="E623" s="864"/>
      <c r="F623" s="864"/>
      <c r="G623" s="864"/>
      <c r="H623" s="864"/>
      <c r="I623" s="864"/>
    </row>
    <row r="624" spans="1:11" s="2050" customFormat="1" ht="13.5" customHeight="1">
      <c r="A624" s="1273"/>
      <c r="B624" s="861"/>
      <c r="C624" s="881"/>
      <c r="D624" s="863"/>
      <c r="E624" s="882"/>
      <c r="F624" s="882"/>
      <c r="G624" s="882"/>
      <c r="H624" s="882"/>
      <c r="I624" s="882"/>
    </row>
    <row r="625" spans="1:10" ht="18">
      <c r="A625" s="2047" t="str">
        <f>+'CAPTACION RIO SINÚ'!A160</f>
        <v>2.1.36</v>
      </c>
      <c r="B625" s="3562" t="s">
        <v>6475</v>
      </c>
      <c r="C625" s="3562"/>
      <c r="D625" s="3562"/>
      <c r="E625" s="3562"/>
      <c r="F625" s="3562"/>
      <c r="G625" s="3562"/>
      <c r="H625" s="3562"/>
      <c r="I625" s="3562"/>
    </row>
    <row r="626" spans="1:10" ht="18">
      <c r="A626" s="509"/>
      <c r="B626" s="1258"/>
      <c r="C626" s="1229" t="s">
        <v>140</v>
      </c>
      <c r="D626" s="1229" t="s">
        <v>343</v>
      </c>
      <c r="E626" s="2679" t="s">
        <v>344</v>
      </c>
      <c r="F626" s="2679" t="s">
        <v>482</v>
      </c>
      <c r="G626" s="2679" t="s">
        <v>483</v>
      </c>
      <c r="H626" s="2679" t="s">
        <v>170</v>
      </c>
      <c r="I626" s="2679" t="s">
        <v>171</v>
      </c>
    </row>
    <row r="627" spans="1:10" ht="18">
      <c r="A627" s="1229"/>
      <c r="B627" s="1258" t="s">
        <v>6439</v>
      </c>
      <c r="C627" s="1264">
        <v>1.76</v>
      </c>
      <c r="D627" s="401" t="s">
        <v>346</v>
      </c>
      <c r="E627" s="2679">
        <f>+OFICI</f>
        <v>80479.625344</v>
      </c>
      <c r="F627" s="2679"/>
      <c r="G627" s="2679"/>
      <c r="H627" s="1255">
        <f>+E627*C627</f>
        <v>141644.14060544001</v>
      </c>
      <c r="I627" s="2679"/>
    </row>
    <row r="628" spans="1:10" ht="18">
      <c r="A628" s="1580"/>
      <c r="B628" s="185" t="s">
        <v>266</v>
      </c>
      <c r="C628" s="1264">
        <v>1.76</v>
      </c>
      <c r="D628" s="401" t="s">
        <v>346</v>
      </c>
      <c r="E628" s="1255">
        <f>AYUDA</f>
        <v>65389.695592000004</v>
      </c>
      <c r="F628" s="1255"/>
      <c r="G628" s="1255"/>
      <c r="H628" s="1255">
        <f>+E628*C628</f>
        <v>115085.86424192</v>
      </c>
      <c r="I628" s="2679"/>
    </row>
    <row r="629" spans="1:10" s="402" customFormat="1" ht="15" customHeight="1">
      <c r="A629" s="954"/>
      <c r="B629" s="185" t="s">
        <v>6426</v>
      </c>
      <c r="C629" s="183">
        <v>1.76</v>
      </c>
      <c r="D629" s="401" t="s">
        <v>346</v>
      </c>
      <c r="E629" s="2679">
        <f>+'BASE 2'!D736</f>
        <v>18500</v>
      </c>
      <c r="F629" s="1585">
        <f>+E629*C629</f>
        <v>32560</v>
      </c>
      <c r="G629" s="2679"/>
      <c r="H629" s="2679"/>
      <c r="I629" s="2679"/>
      <c r="J629" s="507"/>
    </row>
    <row r="630" spans="1:10" ht="18">
      <c r="A630" s="2678" t="s">
        <v>172</v>
      </c>
      <c r="B630" s="185" t="s">
        <v>189</v>
      </c>
      <c r="C630" s="1264">
        <v>1</v>
      </c>
      <c r="D630" s="401" t="s">
        <v>583</v>
      </c>
      <c r="E630" s="1255">
        <f>H631*0.05</f>
        <v>12836.500242368002</v>
      </c>
      <c r="F630" s="2679"/>
      <c r="G630" s="2679"/>
      <c r="H630" s="2679"/>
      <c r="I630" s="2679">
        <f>+E630*C630</f>
        <v>12836.500242368002</v>
      </c>
    </row>
    <row r="631" spans="1:10" ht="18">
      <c r="A631" s="2036" t="s">
        <v>190</v>
      </c>
      <c r="B631" s="1266">
        <f>SUM(F631:I631)</f>
        <v>302126.50508972805</v>
      </c>
      <c r="C631" s="401"/>
      <c r="D631" s="1267"/>
      <c r="E631" s="2679"/>
      <c r="F631" s="2679">
        <f>SUM(F626:F630)</f>
        <v>32560</v>
      </c>
      <c r="G631" s="2679">
        <f>SUM(G626:G630)</f>
        <v>0</v>
      </c>
      <c r="H631" s="2679">
        <f>SUM(H626:H630)</f>
        <v>256730.00484736002</v>
      </c>
      <c r="I631" s="2679">
        <f>SUM(I626:I630)</f>
        <v>12836.500242368002</v>
      </c>
    </row>
    <row r="632" spans="1:10" ht="18">
      <c r="A632" s="2036" t="s">
        <v>191</v>
      </c>
      <c r="B632" s="1587">
        <f>+B631</f>
        <v>302126.50508972805</v>
      </c>
      <c r="C632" s="2045" t="s">
        <v>363</v>
      </c>
      <c r="D632" s="863"/>
      <c r="E632" s="882">
        <f>+B639*0.15</f>
        <v>302105.55</v>
      </c>
      <c r="F632" s="882"/>
      <c r="G632" s="882"/>
      <c r="H632" s="882"/>
      <c r="I632" s="882"/>
    </row>
    <row r="633" spans="1:10" ht="18">
      <c r="A633" s="1273"/>
      <c r="B633" s="880"/>
      <c r="C633" s="881"/>
      <c r="D633" s="863"/>
      <c r="E633" s="882"/>
      <c r="F633" s="882"/>
      <c r="G633" s="882"/>
      <c r="H633" s="882"/>
      <c r="I633" s="882"/>
    </row>
    <row r="634" spans="1:10" ht="18">
      <c r="A634" s="2314" t="str">
        <f>+'CAPTACION RIO SINÚ'!A207</f>
        <v>2.2.36</v>
      </c>
      <c r="B634" s="3569" t="s">
        <v>4513</v>
      </c>
      <c r="C634" s="3569"/>
      <c r="D634" s="3569"/>
      <c r="E634" s="3569"/>
      <c r="F634" s="3569"/>
      <c r="G634" s="3569"/>
      <c r="H634" s="3569"/>
      <c r="I634" s="3569"/>
    </row>
    <row r="635" spans="1:10" ht="18">
      <c r="A635" s="509"/>
      <c r="B635" s="1258"/>
      <c r="C635" s="1229" t="s">
        <v>140</v>
      </c>
      <c r="D635" s="1229" t="s">
        <v>343</v>
      </c>
      <c r="E635" s="2679" t="s">
        <v>344</v>
      </c>
      <c r="F635" s="2679" t="s">
        <v>482</v>
      </c>
      <c r="G635" s="2679" t="s">
        <v>483</v>
      </c>
      <c r="H635" s="2679" t="s">
        <v>170</v>
      </c>
      <c r="I635" s="2679" t="s">
        <v>171</v>
      </c>
    </row>
    <row r="636" spans="1:10" ht="18">
      <c r="A636" s="2678" t="s">
        <v>213</v>
      </c>
      <c r="B636" s="185" t="s">
        <v>4495</v>
      </c>
      <c r="C636" s="1264">
        <v>1</v>
      </c>
      <c r="D636" s="401" t="s">
        <v>363</v>
      </c>
      <c r="E636" s="2679">
        <f>+'BASE 2'!D355</f>
        <v>1990037</v>
      </c>
      <c r="F636" s="2679"/>
      <c r="G636" s="2679">
        <f>+E636*C636</f>
        <v>1990037</v>
      </c>
      <c r="H636" s="2679"/>
      <c r="I636" s="2679"/>
    </row>
    <row r="637" spans="1:10" ht="18">
      <c r="A637" s="2678" t="s">
        <v>584</v>
      </c>
      <c r="B637" s="185" t="s">
        <v>134</v>
      </c>
      <c r="C637" s="1264">
        <v>0.02</v>
      </c>
      <c r="D637" s="1274" t="s">
        <v>583</v>
      </c>
      <c r="E637" s="1255">
        <f>+VIAJE</f>
        <v>1200000</v>
      </c>
      <c r="F637" s="2679"/>
      <c r="G637" s="2679"/>
      <c r="H637" s="2679"/>
      <c r="I637" s="2679">
        <f>+E637*C637</f>
        <v>24000</v>
      </c>
    </row>
    <row r="638" spans="1:10" ht="18">
      <c r="A638" s="2036" t="s">
        <v>190</v>
      </c>
      <c r="B638" s="1266">
        <f>SUM(F638:I638)</f>
        <v>2014037</v>
      </c>
      <c r="C638" s="401"/>
      <c r="D638" s="1267"/>
      <c r="E638" s="2679"/>
      <c r="F638" s="2679">
        <f>SUM(F635:F637)</f>
        <v>0</v>
      </c>
      <c r="G638" s="2679">
        <f>SUM(G635:G637)</f>
        <v>1990037</v>
      </c>
      <c r="H638" s="2679">
        <f>SUM(H635:H637)</f>
        <v>0</v>
      </c>
      <c r="I638" s="2679">
        <f>SUM(I635:I637)</f>
        <v>24000</v>
      </c>
    </row>
    <row r="639" spans="1:10" ht="18">
      <c r="A639" s="2036" t="s">
        <v>191</v>
      </c>
      <c r="B639" s="1587">
        <f>+B638</f>
        <v>2014037</v>
      </c>
      <c r="C639" s="2045" t="s">
        <v>363</v>
      </c>
      <c r="D639" s="863"/>
      <c r="E639" s="882"/>
      <c r="F639" s="882"/>
      <c r="G639" s="882"/>
      <c r="H639" s="882"/>
      <c r="I639" s="882"/>
    </row>
    <row r="640" spans="1:10" s="2050" customFormat="1" ht="13.5" customHeight="1">
      <c r="A640" s="1273"/>
      <c r="B640" s="861"/>
      <c r="C640" s="881"/>
      <c r="D640" s="863"/>
      <c r="E640" s="882"/>
      <c r="F640" s="882"/>
      <c r="G640" s="882"/>
      <c r="H640" s="882"/>
      <c r="I640" s="882"/>
    </row>
    <row r="641" spans="1:9" ht="18">
      <c r="A641" s="2314" t="str">
        <f>+'CAPTACION RIO SINÚ'!A161</f>
        <v>2.1.37</v>
      </c>
      <c r="B641" s="3569" t="s">
        <v>6478</v>
      </c>
      <c r="C641" s="3569"/>
      <c r="D641" s="3569"/>
      <c r="E641" s="3569"/>
      <c r="F641" s="3569"/>
      <c r="G641" s="3569"/>
      <c r="H641" s="3569"/>
      <c r="I641" s="3569"/>
    </row>
    <row r="642" spans="1:9" ht="18">
      <c r="A642" s="2043"/>
      <c r="B642" s="184"/>
      <c r="C642" s="1229" t="s">
        <v>140</v>
      </c>
      <c r="D642" s="1229" t="s">
        <v>343</v>
      </c>
      <c r="E642" s="1229" t="s">
        <v>344</v>
      </c>
      <c r="F642" s="1229" t="s">
        <v>482</v>
      </c>
      <c r="G642" s="1229" t="s">
        <v>483</v>
      </c>
      <c r="H642" s="1229" t="s">
        <v>170</v>
      </c>
      <c r="I642" s="1229" t="s">
        <v>171</v>
      </c>
    </row>
    <row r="643" spans="1:9" ht="18">
      <c r="A643" s="1580"/>
      <c r="B643" s="185" t="s">
        <v>266</v>
      </c>
      <c r="C643" s="1264">
        <v>0.63</v>
      </c>
      <c r="D643" s="401" t="s">
        <v>346</v>
      </c>
      <c r="E643" s="1255">
        <f>AYUDA</f>
        <v>65389.695592000004</v>
      </c>
      <c r="F643" s="1255"/>
      <c r="G643" s="1255"/>
      <c r="H643" s="1255">
        <f>+E643*C643</f>
        <v>41195.508222960001</v>
      </c>
      <c r="I643" s="2679"/>
    </row>
    <row r="644" spans="1:9" ht="18">
      <c r="A644" s="2042" t="s">
        <v>172</v>
      </c>
      <c r="B644" s="1275" t="s">
        <v>189</v>
      </c>
      <c r="C644" s="1264">
        <v>1</v>
      </c>
      <c r="D644" s="401" t="s">
        <v>583</v>
      </c>
      <c r="E644" s="1276">
        <f>+H645*0.05</f>
        <v>2059.7754111480003</v>
      </c>
      <c r="F644" s="1276"/>
      <c r="G644" s="1276"/>
      <c r="H644" s="1276"/>
      <c r="I644" s="1276">
        <f>+E644*C644</f>
        <v>2059.7754111480003</v>
      </c>
    </row>
    <row r="645" spans="1:9" ht="18">
      <c r="A645" s="2040" t="s">
        <v>190</v>
      </c>
      <c r="B645" s="1266">
        <f>SUM(F645:I645)</f>
        <v>43255.283634108004</v>
      </c>
      <c r="C645" s="401"/>
      <c r="D645" s="1267"/>
      <c r="E645" s="1276"/>
      <c r="F645" s="1276">
        <f>SUM(F642:F644)</f>
        <v>0</v>
      </c>
      <c r="G645" s="1276">
        <f>SUM(G642:G644)</f>
        <v>0</v>
      </c>
      <c r="H645" s="1276">
        <f>SUM(H643:H644)</f>
        <v>41195.508222960001</v>
      </c>
      <c r="I645" s="1276">
        <f>SUM(I642:I644)</f>
        <v>2059.7754111480003</v>
      </c>
    </row>
    <row r="646" spans="1:9" ht="18">
      <c r="A646" s="2040" t="s">
        <v>191</v>
      </c>
      <c r="B646" s="1587">
        <f>+B645</f>
        <v>43255.283634108004</v>
      </c>
      <c r="C646" s="2045" t="s">
        <v>363</v>
      </c>
      <c r="D646" s="863"/>
      <c r="E646" s="2037">
        <f>+B653*0.15</f>
        <v>42228.75</v>
      </c>
      <c r="F646" s="863"/>
      <c r="G646" s="863"/>
      <c r="H646" s="863"/>
      <c r="I646" s="863"/>
    </row>
    <row r="647" spans="1:9" ht="18">
      <c r="A647" s="2046"/>
      <c r="B647" s="1907"/>
      <c r="C647" s="504"/>
      <c r="D647" s="504"/>
      <c r="E647" s="506"/>
      <c r="F647" s="506"/>
      <c r="G647" s="506"/>
      <c r="H647" s="506"/>
      <c r="I647" s="506"/>
    </row>
    <row r="648" spans="1:9" ht="18">
      <c r="A648" s="2314" t="str">
        <f>+'CAPTACION RIO SINÚ'!A208</f>
        <v>2.2.37</v>
      </c>
      <c r="B648" s="3569" t="s">
        <v>6477</v>
      </c>
      <c r="C648" s="3569"/>
      <c r="D648" s="3569"/>
      <c r="E648" s="3569"/>
      <c r="F648" s="3569"/>
      <c r="G648" s="3569"/>
      <c r="H648" s="3569"/>
      <c r="I648" s="3569"/>
    </row>
    <row r="649" spans="1:9" ht="18">
      <c r="A649" s="2043"/>
      <c r="B649" s="184"/>
      <c r="C649" s="1229" t="s">
        <v>140</v>
      </c>
      <c r="D649" s="1229" t="s">
        <v>343</v>
      </c>
      <c r="E649" s="1229" t="s">
        <v>344</v>
      </c>
      <c r="F649" s="1229" t="s">
        <v>482</v>
      </c>
      <c r="G649" s="1229" t="s">
        <v>483</v>
      </c>
      <c r="H649" s="1229" t="s">
        <v>170</v>
      </c>
      <c r="I649" s="1229" t="s">
        <v>171</v>
      </c>
    </row>
    <row r="650" spans="1:9" ht="18">
      <c r="A650" s="2042" t="s">
        <v>4191</v>
      </c>
      <c r="B650" s="1275" t="s">
        <v>4496</v>
      </c>
      <c r="C650" s="1264">
        <v>1</v>
      </c>
      <c r="D650" s="401" t="s">
        <v>363</v>
      </c>
      <c r="E650" s="1276">
        <f>+'BASE 2'!D127</f>
        <v>270725</v>
      </c>
      <c r="F650" s="1276"/>
      <c r="G650" s="1276">
        <f>+E650*C650</f>
        <v>270725</v>
      </c>
      <c r="H650" s="1276"/>
      <c r="I650" s="1276"/>
    </row>
    <row r="651" spans="1:9" ht="18">
      <c r="A651" s="2042" t="s">
        <v>584</v>
      </c>
      <c r="B651" s="1275" t="s">
        <v>134</v>
      </c>
      <c r="C651" s="1264">
        <v>8.9999999999999993E-3</v>
      </c>
      <c r="D651" s="401" t="s">
        <v>583</v>
      </c>
      <c r="E651" s="1276">
        <f>+VIAJE</f>
        <v>1200000</v>
      </c>
      <c r="F651" s="1276"/>
      <c r="G651" s="1276"/>
      <c r="H651" s="1276"/>
      <c r="I651" s="1276">
        <f>+E651*C651</f>
        <v>10800</v>
      </c>
    </row>
    <row r="652" spans="1:9" ht="18">
      <c r="A652" s="2040" t="s">
        <v>190</v>
      </c>
      <c r="B652" s="1266">
        <f>SUM(F652:I652)</f>
        <v>281525</v>
      </c>
      <c r="C652" s="401"/>
      <c r="D652" s="1267"/>
      <c r="E652" s="1276"/>
      <c r="F652" s="1276">
        <f>SUM(F649:F651)</f>
        <v>0</v>
      </c>
      <c r="G652" s="1276">
        <f>SUM(G649:G651)</f>
        <v>270725</v>
      </c>
      <c r="H652" s="1276">
        <f>SUM(H649:H651)</f>
        <v>0</v>
      </c>
      <c r="I652" s="1276">
        <f>SUM(I649:I651)</f>
        <v>10800</v>
      </c>
    </row>
    <row r="653" spans="1:9" ht="18">
      <c r="A653" s="2040" t="s">
        <v>191</v>
      </c>
      <c r="B653" s="1587">
        <f>+B652</f>
        <v>281525</v>
      </c>
      <c r="C653" s="2045" t="s">
        <v>363</v>
      </c>
      <c r="D653" s="863"/>
      <c r="E653" s="863"/>
      <c r="F653" s="863"/>
      <c r="G653" s="863"/>
      <c r="H653" s="863"/>
      <c r="I653" s="863"/>
    </row>
    <row r="654" spans="1:9" s="2050" customFormat="1" ht="13.5" customHeight="1">
      <c r="A654" s="1273"/>
      <c r="B654" s="861"/>
      <c r="C654" s="881"/>
      <c r="D654" s="863"/>
      <c r="E654" s="882"/>
      <c r="F654" s="882"/>
      <c r="G654" s="882"/>
      <c r="H654" s="882"/>
      <c r="I654" s="882"/>
    </row>
    <row r="655" spans="1:9" ht="18">
      <c r="A655" s="2314" t="str">
        <f>+'CAPTACION RIO SINÚ'!A162</f>
        <v>2.1.38</v>
      </c>
      <c r="B655" s="3573" t="s">
        <v>6479</v>
      </c>
      <c r="C655" s="3573"/>
      <c r="D655" s="3573"/>
      <c r="E655" s="3573"/>
      <c r="F655" s="3573"/>
      <c r="G655" s="3573"/>
      <c r="H655" s="3573"/>
      <c r="I655" s="3573"/>
    </row>
    <row r="656" spans="1:9" ht="18">
      <c r="A656" s="1900"/>
      <c r="B656" s="1262"/>
      <c r="C656" s="1229" t="s">
        <v>140</v>
      </c>
      <c r="D656" s="1229" t="s">
        <v>343</v>
      </c>
      <c r="E656" s="2679" t="s">
        <v>344</v>
      </c>
      <c r="F656" s="2679" t="s">
        <v>482</v>
      </c>
      <c r="G656" s="2679" t="s">
        <v>483</v>
      </c>
      <c r="H656" s="2679" t="s">
        <v>170</v>
      </c>
      <c r="I656" s="2679" t="s">
        <v>171</v>
      </c>
    </row>
    <row r="657" spans="1:12" ht="18">
      <c r="A657" s="1229"/>
      <c r="B657" s="1258" t="s">
        <v>6439</v>
      </c>
      <c r="C657" s="1264">
        <v>0.89</v>
      </c>
      <c r="D657" s="401" t="s">
        <v>346</v>
      </c>
      <c r="E657" s="2679">
        <f>+OFICI</f>
        <v>80479.625344</v>
      </c>
      <c r="F657" s="2679"/>
      <c r="G657" s="2679"/>
      <c r="H657" s="1255">
        <f>+E657*C657</f>
        <v>71626.866556160006</v>
      </c>
      <c r="I657" s="2679"/>
    </row>
    <row r="658" spans="1:12" ht="18">
      <c r="A658" s="1580"/>
      <c r="B658" s="185" t="s">
        <v>266</v>
      </c>
      <c r="C658" s="1264">
        <v>0.89</v>
      </c>
      <c r="D658" s="401" t="s">
        <v>346</v>
      </c>
      <c r="E658" s="1255">
        <f>AYUDA*2</f>
        <v>130779.39118400001</v>
      </c>
      <c r="F658" s="1255"/>
      <c r="G658" s="1255"/>
      <c r="H658" s="1255">
        <f>+E658*C658</f>
        <v>116393.65815376001</v>
      </c>
      <c r="I658" s="2679"/>
    </row>
    <row r="659" spans="1:12" s="402" customFormat="1" ht="15" customHeight="1">
      <c r="A659" s="954"/>
      <c r="B659" s="185" t="s">
        <v>6426</v>
      </c>
      <c r="C659" s="183">
        <v>0.89</v>
      </c>
      <c r="D659" s="401" t="s">
        <v>346</v>
      </c>
      <c r="E659" s="2679">
        <f>+'BASE 2'!D736</f>
        <v>18500</v>
      </c>
      <c r="F659" s="1585">
        <f>+E659*C659</f>
        <v>16465</v>
      </c>
      <c r="G659" s="2679"/>
      <c r="H659" s="2679"/>
      <c r="I659" s="2679"/>
      <c r="J659" s="507"/>
    </row>
    <row r="660" spans="1:12" ht="18">
      <c r="A660" s="1900" t="s">
        <v>172</v>
      </c>
      <c r="B660" s="185" t="s">
        <v>189</v>
      </c>
      <c r="C660" s="1264">
        <v>1</v>
      </c>
      <c r="D660" s="401" t="s">
        <v>583</v>
      </c>
      <c r="E660" s="1255">
        <f>H661*0.05</f>
        <v>9401.0262354960014</v>
      </c>
      <c r="F660" s="2679"/>
      <c r="G660" s="2679"/>
      <c r="H660" s="2679"/>
      <c r="I660" s="2679">
        <f>+E660*C660</f>
        <v>9401.0262354960014</v>
      </c>
    </row>
    <row r="661" spans="1:12" ht="18">
      <c r="A661" s="2040" t="s">
        <v>190</v>
      </c>
      <c r="B661" s="1266">
        <f>SUM(F661:I661)</f>
        <v>213886.55094541603</v>
      </c>
      <c r="C661" s="401"/>
      <c r="D661" s="401"/>
      <c r="E661" s="2679"/>
      <c r="F661" s="2679">
        <f>SUM(F657:F660)</f>
        <v>16465</v>
      </c>
      <c r="G661" s="2679">
        <f t="shared" ref="G661:I661" si="42">SUM(G657:G660)</f>
        <v>0</v>
      </c>
      <c r="H661" s="2679">
        <f t="shared" si="42"/>
        <v>188020.52470992002</v>
      </c>
      <c r="I661" s="2679">
        <f t="shared" si="42"/>
        <v>9401.0262354960014</v>
      </c>
    </row>
    <row r="662" spans="1:12" ht="18">
      <c r="A662" s="2040" t="s">
        <v>191</v>
      </c>
      <c r="B662" s="2692">
        <f>+B661</f>
        <v>213886.55094541603</v>
      </c>
      <c r="C662" s="2099" t="s">
        <v>363</v>
      </c>
      <c r="D662" s="863"/>
      <c r="E662" s="2037">
        <f>+B670*0.15</f>
        <v>214143</v>
      </c>
      <c r="F662" s="863"/>
      <c r="G662" s="863"/>
      <c r="H662" s="863"/>
      <c r="I662" s="863"/>
    </row>
    <row r="663" spans="1:12" s="2039" customFormat="1" ht="18">
      <c r="A663" s="2042"/>
      <c r="B663" s="2054"/>
      <c r="C663" s="2098"/>
      <c r="D663" s="2098"/>
      <c r="E663" s="2055"/>
      <c r="F663" s="2055"/>
      <c r="G663" s="2055"/>
      <c r="H663" s="2055"/>
      <c r="I663" s="882"/>
    </row>
    <row r="664" spans="1:12" ht="18">
      <c r="A664" s="2314" t="str">
        <f>+'CAPTACION RIO SINÚ'!A209</f>
        <v>2.2.38</v>
      </c>
      <c r="B664" s="3569" t="s">
        <v>4514</v>
      </c>
      <c r="C664" s="3569"/>
      <c r="D664" s="3569"/>
      <c r="E664" s="3569"/>
      <c r="F664" s="3569"/>
      <c r="G664" s="3569"/>
      <c r="H664" s="3569"/>
      <c r="I664" s="3569"/>
    </row>
    <row r="665" spans="1:12" ht="18">
      <c r="A665" s="1229"/>
      <c r="B665" s="1258"/>
      <c r="C665" s="1229" t="s">
        <v>140</v>
      </c>
      <c r="D665" s="1229" t="s">
        <v>343</v>
      </c>
      <c r="E665" s="2679" t="s">
        <v>344</v>
      </c>
      <c r="F665" s="2679" t="s">
        <v>482</v>
      </c>
      <c r="G665" s="2679" t="s">
        <v>483</v>
      </c>
      <c r="H665" s="2679" t="s">
        <v>170</v>
      </c>
      <c r="I665" s="2679" t="s">
        <v>171</v>
      </c>
      <c r="L665" s="181">
        <f>2400+(740*21)</f>
        <v>17940</v>
      </c>
    </row>
    <row r="666" spans="1:12" ht="18">
      <c r="A666" s="1580" t="s">
        <v>4131</v>
      </c>
      <c r="B666" s="185" t="s">
        <v>4497</v>
      </c>
      <c r="C666" s="1264">
        <v>1</v>
      </c>
      <c r="D666" s="401" t="s">
        <v>363</v>
      </c>
      <c r="E666" s="2679">
        <f>+'BASE 2'!D573</f>
        <v>1306620</v>
      </c>
      <c r="F666" s="2679"/>
      <c r="G666" s="2679">
        <f>+E666*C666</f>
        <v>1306620</v>
      </c>
      <c r="H666" s="2679"/>
      <c r="I666" s="2679"/>
      <c r="L666" s="181">
        <f>+L665*1.19</f>
        <v>21348.6</v>
      </c>
    </row>
    <row r="667" spans="1:12" ht="18">
      <c r="A667" s="1580"/>
      <c r="B667" s="185" t="s">
        <v>6455</v>
      </c>
      <c r="C667" s="1264">
        <v>1</v>
      </c>
      <c r="D667" s="401" t="s">
        <v>363</v>
      </c>
      <c r="E667" s="2679">
        <f>+'BASE 2'!D625</f>
        <v>91000</v>
      </c>
      <c r="F667" s="2679"/>
      <c r="G667" s="2679">
        <f>+E667*C667</f>
        <v>91000</v>
      </c>
      <c r="H667" s="2679"/>
      <c r="I667" s="2679"/>
    </row>
    <row r="668" spans="1:12" ht="18">
      <c r="A668" s="1580" t="s">
        <v>584</v>
      </c>
      <c r="B668" s="185" t="s">
        <v>134</v>
      </c>
      <c r="C668" s="1264">
        <v>2.5000000000000001E-2</v>
      </c>
      <c r="D668" s="401" t="s">
        <v>583</v>
      </c>
      <c r="E668" s="2679">
        <f>+VIAJE</f>
        <v>1200000</v>
      </c>
      <c r="F668" s="2679"/>
      <c r="G668" s="2679"/>
      <c r="H668" s="2679"/>
      <c r="I668" s="2679">
        <f>+E668*C668</f>
        <v>30000</v>
      </c>
    </row>
    <row r="669" spans="1:12" ht="18">
      <c r="A669" s="2036" t="s">
        <v>190</v>
      </c>
      <c r="B669" s="1266">
        <f>SUM(F669:I669)</f>
        <v>1427620</v>
      </c>
      <c r="C669" s="687"/>
      <c r="D669" s="1267"/>
      <c r="E669" s="1255"/>
      <c r="F669" s="1255">
        <f>SUM(F666:F668)</f>
        <v>0</v>
      </c>
      <c r="G669" s="1255">
        <f>SUM(G666:G668)</f>
        <v>1397620</v>
      </c>
      <c r="H669" s="1255">
        <f>SUM(H666:H668)</f>
        <v>0</v>
      </c>
      <c r="I669" s="2679">
        <f>SUM(I666:I668)</f>
        <v>30000</v>
      </c>
    </row>
    <row r="670" spans="1:12" ht="18">
      <c r="A670" s="2036" t="s">
        <v>191</v>
      </c>
      <c r="B670" s="1587">
        <f>+B669</f>
        <v>1427620</v>
      </c>
      <c r="C670" s="1269" t="s">
        <v>427</v>
      </c>
      <c r="D670" s="863"/>
      <c r="E670" s="882"/>
      <c r="F670" s="882"/>
      <c r="G670" s="882"/>
      <c r="H670" s="882"/>
      <c r="I670" s="882"/>
    </row>
    <row r="671" spans="1:12" s="2050" customFormat="1" ht="13.5" customHeight="1">
      <c r="A671" s="1273"/>
      <c r="B671" s="861"/>
      <c r="C671" s="881"/>
      <c r="D671" s="863"/>
      <c r="E671" s="882"/>
      <c r="F671" s="882"/>
      <c r="G671" s="882"/>
      <c r="H671" s="882"/>
      <c r="I671" s="882"/>
    </row>
    <row r="672" spans="1:12" ht="18">
      <c r="A672" s="2314" t="str">
        <f>+'CAPTACION RIO SINÚ'!A163</f>
        <v>2.1.39</v>
      </c>
      <c r="B672" s="3573" t="s">
        <v>6481</v>
      </c>
      <c r="C672" s="3573"/>
      <c r="D672" s="3573"/>
      <c r="E672" s="3573"/>
      <c r="F672" s="3573"/>
      <c r="G672" s="3573"/>
      <c r="H672" s="3573"/>
      <c r="I672" s="3573"/>
    </row>
    <row r="673" spans="1:12" ht="18">
      <c r="A673" s="1900"/>
      <c r="B673" s="1262"/>
      <c r="C673" s="1229" t="s">
        <v>140</v>
      </c>
      <c r="D673" s="1229" t="s">
        <v>343</v>
      </c>
      <c r="E673" s="2679" t="s">
        <v>344</v>
      </c>
      <c r="F673" s="2679" t="s">
        <v>482</v>
      </c>
      <c r="G673" s="2679" t="s">
        <v>483</v>
      </c>
      <c r="H673" s="2679" t="s">
        <v>170</v>
      </c>
      <c r="I673" s="2679" t="s">
        <v>171</v>
      </c>
    </row>
    <row r="674" spans="1:12" ht="18">
      <c r="A674" s="1229"/>
      <c r="B674" s="1258" t="s">
        <v>6439</v>
      </c>
      <c r="C674" s="1264">
        <v>0.71</v>
      </c>
      <c r="D674" s="401" t="s">
        <v>346</v>
      </c>
      <c r="E674" s="2679">
        <f>+OFICI</f>
        <v>80479.625344</v>
      </c>
      <c r="F674" s="2679"/>
      <c r="G674" s="2679"/>
      <c r="H674" s="1255">
        <f>+E674*C674</f>
        <v>57140.533994239995</v>
      </c>
      <c r="I674" s="2679"/>
    </row>
    <row r="675" spans="1:12" ht="18">
      <c r="A675" s="1580"/>
      <c r="B675" s="185" t="s">
        <v>266</v>
      </c>
      <c r="C675" s="1264">
        <v>0.71</v>
      </c>
      <c r="D675" s="401" t="s">
        <v>346</v>
      </c>
      <c r="E675" s="1255">
        <f>AYUDA</f>
        <v>65389.695592000004</v>
      </c>
      <c r="F675" s="1255"/>
      <c r="G675" s="1255"/>
      <c r="H675" s="1255">
        <f>+E675*C675</f>
        <v>46426.683870319997</v>
      </c>
      <c r="I675" s="2679"/>
    </row>
    <row r="676" spans="1:12" ht="18">
      <c r="A676" s="1900" t="s">
        <v>172</v>
      </c>
      <c r="B676" s="185" t="s">
        <v>189</v>
      </c>
      <c r="C676" s="1264">
        <v>1</v>
      </c>
      <c r="D676" s="401" t="s">
        <v>583</v>
      </c>
      <c r="E676" s="1255">
        <f>H677*0.05</f>
        <v>5178.3608932280004</v>
      </c>
      <c r="F676" s="2679"/>
      <c r="G676" s="2679"/>
      <c r="H676" s="2679"/>
      <c r="I676" s="2679">
        <f>+E676*C676</f>
        <v>5178.3608932280004</v>
      </c>
    </row>
    <row r="677" spans="1:12" ht="18">
      <c r="A677" s="2040" t="s">
        <v>190</v>
      </c>
      <c r="B677" s="1266">
        <f>SUM(F677:I677)</f>
        <v>108745.578757788</v>
      </c>
      <c r="C677" s="401"/>
      <c r="D677" s="1267"/>
      <c r="E677" s="2679"/>
      <c r="F677" s="2679">
        <f>SUM(F672:F676)</f>
        <v>0</v>
      </c>
      <c r="G677" s="2679">
        <f>SUM(G672:G676)</f>
        <v>0</v>
      </c>
      <c r="H677" s="2679">
        <f>SUM(H672:H676)</f>
        <v>103567.21786455999</v>
      </c>
      <c r="I677" s="2679">
        <f>SUM(I672:I676)</f>
        <v>5178.3608932280004</v>
      </c>
    </row>
    <row r="678" spans="1:12" ht="18">
      <c r="A678" s="2036" t="s">
        <v>191</v>
      </c>
      <c r="B678" s="1587">
        <f>+B677</f>
        <v>108745.578757788</v>
      </c>
      <c r="C678" s="1269" t="s">
        <v>427</v>
      </c>
      <c r="D678" s="863"/>
      <c r="E678" s="882">
        <f>+B685*0.15</f>
        <v>108729</v>
      </c>
      <c r="F678" s="882"/>
      <c r="G678" s="882"/>
      <c r="H678" s="882"/>
      <c r="I678" s="882"/>
    </row>
    <row r="679" spans="1:12" s="2039" customFormat="1" ht="18">
      <c r="A679" s="2042"/>
      <c r="B679" s="2056"/>
      <c r="C679" s="2100"/>
      <c r="D679" s="2101"/>
      <c r="E679" s="882"/>
      <c r="F679" s="882"/>
      <c r="G679" s="882"/>
      <c r="H679" s="882"/>
      <c r="I679" s="882"/>
    </row>
    <row r="680" spans="1:12" ht="18">
      <c r="A680" s="2314" t="str">
        <f>+'CAPTACION RIO SINÚ'!A210</f>
        <v>2.2.39</v>
      </c>
      <c r="B680" s="3569" t="s">
        <v>6480</v>
      </c>
      <c r="C680" s="3569"/>
      <c r="D680" s="3569"/>
      <c r="E680" s="3569"/>
      <c r="F680" s="3569"/>
      <c r="G680" s="3569"/>
      <c r="H680" s="3569"/>
      <c r="I680" s="3569"/>
    </row>
    <row r="681" spans="1:12" ht="18">
      <c r="A681" s="1229"/>
      <c r="B681" s="1258"/>
      <c r="C681" s="1229" t="s">
        <v>140</v>
      </c>
      <c r="D681" s="1229" t="s">
        <v>343</v>
      </c>
      <c r="E681" s="2679" t="s">
        <v>344</v>
      </c>
      <c r="F681" s="2679" t="s">
        <v>482</v>
      </c>
      <c r="G681" s="2679" t="s">
        <v>483</v>
      </c>
      <c r="H681" s="2679" t="s">
        <v>170</v>
      </c>
      <c r="I681" s="2679" t="s">
        <v>171</v>
      </c>
      <c r="L681" s="181">
        <f>2400+(740*21)</f>
        <v>17940</v>
      </c>
    </row>
    <row r="682" spans="1:12" ht="18">
      <c r="A682" s="1580" t="s">
        <v>4131</v>
      </c>
      <c r="B682" s="185" t="s">
        <v>4498</v>
      </c>
      <c r="C682" s="1264">
        <v>1</v>
      </c>
      <c r="D682" s="401" t="s">
        <v>363</v>
      </c>
      <c r="E682" s="2679">
        <f>+'BASE 2'!D318</f>
        <v>706860</v>
      </c>
      <c r="F682" s="2679"/>
      <c r="G682" s="2679">
        <f>+E682*C682</f>
        <v>706860</v>
      </c>
      <c r="H682" s="2679"/>
      <c r="I682" s="2679"/>
      <c r="L682" s="181">
        <f>+L681*1.19</f>
        <v>21348.6</v>
      </c>
    </row>
    <row r="683" spans="1:12" ht="18">
      <c r="A683" s="1580" t="s">
        <v>584</v>
      </c>
      <c r="B683" s="185" t="s">
        <v>134</v>
      </c>
      <c r="C683" s="1264">
        <v>1.4999999999999999E-2</v>
      </c>
      <c r="D683" s="401" t="s">
        <v>583</v>
      </c>
      <c r="E683" s="2679">
        <f>+VIAJE</f>
        <v>1200000</v>
      </c>
      <c r="F683" s="2679"/>
      <c r="G683" s="2679"/>
      <c r="H683" s="2679"/>
      <c r="I683" s="2679">
        <f>+E683*C683</f>
        <v>18000</v>
      </c>
    </row>
    <row r="684" spans="1:12" ht="18">
      <c r="A684" s="2036" t="s">
        <v>190</v>
      </c>
      <c r="B684" s="1266">
        <f>SUM(F684:I684)</f>
        <v>724860</v>
      </c>
      <c r="C684" s="687"/>
      <c r="D684" s="1267"/>
      <c r="E684" s="1255"/>
      <c r="F684" s="1255">
        <f>SUM(F682:F683)</f>
        <v>0</v>
      </c>
      <c r="G684" s="1255">
        <f>SUM(G682:G683)</f>
        <v>706860</v>
      </c>
      <c r="H684" s="1255">
        <f>SUM(H682:H683)</f>
        <v>0</v>
      </c>
      <c r="I684" s="2679">
        <f>SUM(I682:I683)</f>
        <v>18000</v>
      </c>
    </row>
    <row r="685" spans="1:12" ht="18">
      <c r="A685" s="2036" t="s">
        <v>191</v>
      </c>
      <c r="B685" s="1587">
        <f>+B684</f>
        <v>724860</v>
      </c>
      <c r="C685" s="1269" t="s">
        <v>427</v>
      </c>
      <c r="D685" s="863"/>
      <c r="E685" s="882"/>
      <c r="F685" s="882"/>
      <c r="G685" s="882"/>
      <c r="H685" s="882"/>
      <c r="I685" s="882"/>
    </row>
    <row r="686" spans="1:12" s="2050" customFormat="1" ht="13.5" customHeight="1">
      <c r="A686" s="1273"/>
      <c r="B686" s="861"/>
      <c r="C686" s="881"/>
      <c r="D686" s="863"/>
      <c r="E686" s="882"/>
      <c r="F686" s="882"/>
      <c r="G686" s="882"/>
      <c r="H686" s="882"/>
      <c r="I686" s="882"/>
    </row>
    <row r="687" spans="1:12" ht="18">
      <c r="A687" s="2314" t="str">
        <f>+'CAPTACION RIO SINÚ'!A164</f>
        <v>2.1.40</v>
      </c>
      <c r="B687" s="3562" t="s">
        <v>4515</v>
      </c>
      <c r="C687" s="3562"/>
      <c r="D687" s="3562"/>
      <c r="E687" s="3562"/>
      <c r="F687" s="3562"/>
      <c r="G687" s="3562"/>
      <c r="H687" s="3562"/>
      <c r="I687" s="3562"/>
    </row>
    <row r="688" spans="1:12" ht="18">
      <c r="A688" s="2043"/>
      <c r="B688" s="2044"/>
      <c r="C688" s="1229" t="s">
        <v>140</v>
      </c>
      <c r="D688" s="1229" t="s">
        <v>343</v>
      </c>
      <c r="E688" s="1814" t="s">
        <v>344</v>
      </c>
      <c r="F688" s="1814" t="s">
        <v>482</v>
      </c>
      <c r="G688" s="1814" t="s">
        <v>483</v>
      </c>
      <c r="H688" s="1814" t="s">
        <v>170</v>
      </c>
      <c r="I688" s="1814" t="s">
        <v>171</v>
      </c>
    </row>
    <row r="689" spans="1:11" ht="18">
      <c r="A689" s="1229"/>
      <c r="B689" s="1258" t="s">
        <v>6439</v>
      </c>
      <c r="C689" s="1264">
        <v>0.9</v>
      </c>
      <c r="D689" s="401" t="s">
        <v>346</v>
      </c>
      <c r="E689" s="2679">
        <f>+OFICI</f>
        <v>80479.625344</v>
      </c>
      <c r="F689" s="2679"/>
      <c r="G689" s="2679"/>
      <c r="H689" s="1255">
        <f>+E689*C689</f>
        <v>72431.662809600006</v>
      </c>
      <c r="I689" s="2679"/>
    </row>
    <row r="690" spans="1:11" ht="18">
      <c r="A690" s="1580"/>
      <c r="B690" s="185" t="s">
        <v>266</v>
      </c>
      <c r="C690" s="1264">
        <v>0.9</v>
      </c>
      <c r="D690" s="401" t="s">
        <v>346</v>
      </c>
      <c r="E690" s="1255">
        <f>AYUDA*2</f>
        <v>130779.39118400001</v>
      </c>
      <c r="F690" s="1255"/>
      <c r="G690" s="1255"/>
      <c r="H690" s="1255">
        <f>+E690*C690</f>
        <v>117701.45206560001</v>
      </c>
      <c r="I690" s="2679"/>
    </row>
    <row r="691" spans="1:11" s="402" customFormat="1" ht="15" customHeight="1">
      <c r="A691" s="954"/>
      <c r="B691" s="185" t="s">
        <v>6426</v>
      </c>
      <c r="C691" s="183">
        <v>0.9</v>
      </c>
      <c r="D691" s="401" t="s">
        <v>346</v>
      </c>
      <c r="E691" s="2679">
        <f>+'BASE 2'!D736</f>
        <v>18500</v>
      </c>
      <c r="F691" s="1585">
        <f>+E691*C691</f>
        <v>16650</v>
      </c>
      <c r="G691" s="2679"/>
      <c r="H691" s="2679"/>
      <c r="I691" s="2679"/>
      <c r="J691" s="507"/>
    </row>
    <row r="692" spans="1:11" ht="18">
      <c r="A692" s="2042" t="s">
        <v>770</v>
      </c>
      <c r="B692" s="185" t="s">
        <v>771</v>
      </c>
      <c r="C692" s="1264">
        <v>1</v>
      </c>
      <c r="D692" s="401" t="s">
        <v>133</v>
      </c>
      <c r="E692" s="1581">
        <f>+LUBRI</f>
        <v>12500.1</v>
      </c>
      <c r="F692" s="1581"/>
      <c r="G692" s="1581">
        <f>+E692*C692</f>
        <v>12500.1</v>
      </c>
      <c r="H692" s="1581"/>
      <c r="I692" s="1581"/>
    </row>
    <row r="693" spans="1:11" ht="18">
      <c r="A693" s="2042" t="s">
        <v>172</v>
      </c>
      <c r="B693" s="185" t="s">
        <v>189</v>
      </c>
      <c r="C693" s="1264">
        <v>1</v>
      </c>
      <c r="D693" s="401" t="s">
        <v>583</v>
      </c>
      <c r="E693" s="1581">
        <f>+H694*0.05</f>
        <v>9506.6557437600022</v>
      </c>
      <c r="F693" s="1581"/>
      <c r="G693" s="1581"/>
      <c r="H693" s="1581"/>
      <c r="I693" s="1581">
        <f>+E693*C693</f>
        <v>9506.6557437600022</v>
      </c>
    </row>
    <row r="694" spans="1:11" ht="18">
      <c r="A694" s="2040" t="s">
        <v>190</v>
      </c>
      <c r="B694" s="1266">
        <f>SUM(F694:I694)</f>
        <v>228789.87061896003</v>
      </c>
      <c r="C694" s="401"/>
      <c r="D694" s="1267"/>
      <c r="E694" s="1581"/>
      <c r="F694" s="1581">
        <f>SUM(F689:F693)</f>
        <v>16650</v>
      </c>
      <c r="G694" s="1581">
        <f t="shared" ref="G694:I694" si="43">SUM(G689:G693)</f>
        <v>12500.1</v>
      </c>
      <c r="H694" s="1581">
        <f t="shared" si="43"/>
        <v>190133.11487520003</v>
      </c>
      <c r="I694" s="1581">
        <f t="shared" si="43"/>
        <v>9506.6557437600022</v>
      </c>
    </row>
    <row r="695" spans="1:11" ht="18">
      <c r="A695" s="2040" t="s">
        <v>191</v>
      </c>
      <c r="B695" s="1587">
        <f>+B694</f>
        <v>228789.87061896003</v>
      </c>
      <c r="C695" s="2045" t="s">
        <v>363</v>
      </c>
      <c r="D695" s="863"/>
      <c r="E695" s="864">
        <f>+B702*0.15</f>
        <v>226732.5</v>
      </c>
      <c r="F695" s="864"/>
      <c r="G695" s="864"/>
      <c r="H695" s="864"/>
      <c r="I695" s="864"/>
    </row>
    <row r="696" spans="1:11" ht="18">
      <c r="A696" s="2046"/>
      <c r="B696" s="1907"/>
      <c r="C696" s="504"/>
      <c r="D696" s="504"/>
      <c r="E696" s="506"/>
      <c r="F696" s="506"/>
      <c r="G696" s="506"/>
      <c r="H696" s="506"/>
      <c r="I696" s="506"/>
    </row>
    <row r="697" spans="1:11" ht="18">
      <c r="A697" s="2314" t="str">
        <f>+'CAPTACION RIO SINÚ'!A211</f>
        <v>2.2.40</v>
      </c>
      <c r="B697" s="3569" t="s">
        <v>4516</v>
      </c>
      <c r="C697" s="3569"/>
      <c r="D697" s="3569"/>
      <c r="E697" s="3569"/>
      <c r="F697" s="3569"/>
      <c r="G697" s="3569"/>
      <c r="H697" s="3569"/>
      <c r="I697" s="3569"/>
    </row>
    <row r="698" spans="1:11" ht="18">
      <c r="A698" s="2043"/>
      <c r="B698" s="2044"/>
      <c r="C698" s="1229" t="s">
        <v>140</v>
      </c>
      <c r="D698" s="1229" t="s">
        <v>343</v>
      </c>
      <c r="E698" s="1814" t="s">
        <v>344</v>
      </c>
      <c r="F698" s="1814" t="s">
        <v>482</v>
      </c>
      <c r="G698" s="1814" t="s">
        <v>483</v>
      </c>
      <c r="H698" s="1814" t="s">
        <v>170</v>
      </c>
      <c r="I698" s="1814" t="s">
        <v>171</v>
      </c>
    </row>
    <row r="699" spans="1:11" ht="36.75" customHeight="1">
      <c r="A699" s="2042" t="s">
        <v>326</v>
      </c>
      <c r="B699" s="242" t="s">
        <v>4570</v>
      </c>
      <c r="C699" s="183">
        <v>1</v>
      </c>
      <c r="D699" s="501" t="s">
        <v>363</v>
      </c>
      <c r="E699" s="1804">
        <f>+'BASE 2'!D494</f>
        <v>1481550</v>
      </c>
      <c r="F699" s="1804"/>
      <c r="G699" s="1804">
        <f>+E699*C699</f>
        <v>1481550</v>
      </c>
      <c r="H699" s="1804"/>
      <c r="I699" s="1804"/>
      <c r="K699" s="181">
        <f>+VCELA10</f>
        <v>4550000</v>
      </c>
    </row>
    <row r="700" spans="1:11" ht="18">
      <c r="A700" s="2042" t="s">
        <v>584</v>
      </c>
      <c r="B700" s="185" t="s">
        <v>134</v>
      </c>
      <c r="C700" s="1263">
        <v>2.5000000000000001E-2</v>
      </c>
      <c r="D700" s="401" t="s">
        <v>583</v>
      </c>
      <c r="E700" s="1581">
        <f>+VIAJE</f>
        <v>1200000</v>
      </c>
      <c r="F700" s="1581"/>
      <c r="G700" s="1581"/>
      <c r="H700" s="1581"/>
      <c r="I700" s="1581">
        <f>+E700*C700</f>
        <v>30000</v>
      </c>
    </row>
    <row r="701" spans="1:11" ht="18">
      <c r="A701" s="2040" t="s">
        <v>190</v>
      </c>
      <c r="B701" s="1266">
        <f>SUM(F701:I701)</f>
        <v>1511550</v>
      </c>
      <c r="C701" s="401"/>
      <c r="D701" s="1267"/>
      <c r="E701" s="1581"/>
      <c r="F701" s="1581">
        <f>SUM(F699:F700)</f>
        <v>0</v>
      </c>
      <c r="G701" s="1581">
        <f>SUM(G699:G700)</f>
        <v>1481550</v>
      </c>
      <c r="H701" s="1581">
        <f>SUM(H699:H700)</f>
        <v>0</v>
      </c>
      <c r="I701" s="1581">
        <f>SUM(I699:I700)</f>
        <v>30000</v>
      </c>
    </row>
    <row r="702" spans="1:11" ht="18">
      <c r="A702" s="2040" t="s">
        <v>191</v>
      </c>
      <c r="B702" s="1587">
        <f>+B701</f>
        <v>1511550</v>
      </c>
      <c r="C702" s="2045" t="s">
        <v>363</v>
      </c>
      <c r="D702" s="863"/>
      <c r="E702" s="864"/>
      <c r="F702" s="864"/>
      <c r="G702" s="864"/>
      <c r="H702" s="864"/>
      <c r="I702" s="864"/>
    </row>
    <row r="703" spans="1:11" s="2050" customFormat="1" ht="13.5" customHeight="1">
      <c r="A703" s="1273"/>
      <c r="B703" s="861"/>
      <c r="C703" s="881"/>
      <c r="D703" s="863"/>
      <c r="E703" s="882"/>
      <c r="F703" s="882"/>
      <c r="G703" s="882"/>
      <c r="H703" s="882"/>
      <c r="I703" s="882"/>
    </row>
    <row r="705" spans="1:13" ht="18">
      <c r="A705" s="3591" t="s">
        <v>5539</v>
      </c>
      <c r="B705" s="3592"/>
      <c r="C705" s="3592"/>
      <c r="D705" s="3592"/>
      <c r="E705" s="3592"/>
      <c r="F705" s="3592"/>
      <c r="G705" s="3592"/>
      <c r="H705" s="3592"/>
      <c r="I705" s="3593"/>
    </row>
    <row r="706" spans="1:13" ht="18">
      <c r="A706" s="2058">
        <v>1.1000000000000001</v>
      </c>
      <c r="B706" s="3566" t="s">
        <v>5580</v>
      </c>
      <c r="C706" s="3567"/>
      <c r="D706" s="3567"/>
      <c r="E706" s="3567"/>
      <c r="F706" s="3567"/>
      <c r="G706" s="3567"/>
      <c r="H706" s="3567"/>
      <c r="I706" s="3568"/>
    </row>
    <row r="707" spans="1:13" ht="18">
      <c r="A707" s="1229"/>
      <c r="B707" s="1815"/>
      <c r="C707" s="2059" t="s">
        <v>140</v>
      </c>
      <c r="D707" s="1229" t="s">
        <v>343</v>
      </c>
      <c r="E707" s="1581" t="s">
        <v>344</v>
      </c>
      <c r="F707" s="1814" t="s">
        <v>482</v>
      </c>
      <c r="G707" s="1814" t="s">
        <v>483</v>
      </c>
      <c r="H707" s="1814" t="s">
        <v>232</v>
      </c>
      <c r="I707" s="1814" t="s">
        <v>171</v>
      </c>
    </row>
    <row r="708" spans="1:13" ht="18">
      <c r="A708" s="1200"/>
      <c r="B708" s="2060" t="s">
        <v>5329</v>
      </c>
      <c r="C708" s="2059">
        <v>0.29999999999999982</v>
      </c>
      <c r="D708" s="401" t="s">
        <v>5402</v>
      </c>
      <c r="E708" s="1581">
        <f>+ESCAL</f>
        <v>50000</v>
      </c>
      <c r="F708" s="1814">
        <f>+E708*C708</f>
        <v>14999.999999999991</v>
      </c>
      <c r="G708" s="2061"/>
      <c r="H708" s="1581"/>
      <c r="I708" s="1581"/>
    </row>
    <row r="709" spans="1:13" ht="18">
      <c r="A709" s="2062"/>
      <c r="B709" s="2063" t="s">
        <v>5330</v>
      </c>
      <c r="C709" s="2059">
        <v>1.5</v>
      </c>
      <c r="D709" s="401" t="s">
        <v>5402</v>
      </c>
      <c r="E709" s="1581">
        <f>+CINT</f>
        <v>10000</v>
      </c>
      <c r="F709" s="1814">
        <f>+E709*C709</f>
        <v>15000</v>
      </c>
      <c r="G709" s="2061"/>
      <c r="H709" s="1581"/>
      <c r="I709" s="1581"/>
    </row>
    <row r="710" spans="1:13" ht="18">
      <c r="A710" s="1229"/>
      <c r="B710" s="2064" t="s">
        <v>5328</v>
      </c>
      <c r="C710" s="2059">
        <f>1/0.7</f>
        <v>1.4285714285714286</v>
      </c>
      <c r="D710" s="1229" t="s">
        <v>346</v>
      </c>
      <c r="E710" s="1581">
        <v>90000</v>
      </c>
      <c r="F710" s="1814"/>
      <c r="G710" s="1814" t="s">
        <v>441</v>
      </c>
      <c r="H710" s="1814">
        <f>+E710*C710</f>
        <v>128571.42857142858</v>
      </c>
      <c r="I710" s="1814"/>
    </row>
    <row r="711" spans="1:13" ht="18">
      <c r="A711" s="1229"/>
      <c r="B711" s="2064" t="s">
        <v>5328</v>
      </c>
      <c r="C711" s="2059">
        <f t="shared" ref="C711:C712" si="44">1/0.7</f>
        <v>1.4285714285714286</v>
      </c>
      <c r="D711" s="1229" t="s">
        <v>346</v>
      </c>
      <c r="E711" s="1581">
        <v>63000</v>
      </c>
      <c r="F711" s="1814"/>
      <c r="G711" s="1814"/>
      <c r="H711" s="1814">
        <f t="shared" ref="H711:H712" si="45">+E711*C711</f>
        <v>90000</v>
      </c>
      <c r="I711" s="1814"/>
    </row>
    <row r="712" spans="1:13" ht="18">
      <c r="A712" s="1229"/>
      <c r="B712" s="2065" t="s">
        <v>1062</v>
      </c>
      <c r="C712" s="2059">
        <f t="shared" si="44"/>
        <v>1.4285714285714286</v>
      </c>
      <c r="D712" s="1229" t="s">
        <v>346</v>
      </c>
      <c r="E712" s="1581">
        <f>+AYUDR</f>
        <v>50299.76584</v>
      </c>
      <c r="F712" s="1814"/>
      <c r="G712" s="1814"/>
      <c r="H712" s="1814">
        <f t="shared" si="45"/>
        <v>71856.808342857141</v>
      </c>
      <c r="I712" s="1814"/>
    </row>
    <row r="713" spans="1:13" ht="18">
      <c r="A713" s="1229" t="s">
        <v>2344</v>
      </c>
      <c r="B713" s="1815" t="s">
        <v>189</v>
      </c>
      <c r="C713" s="2059">
        <v>1</v>
      </c>
      <c r="D713" s="401" t="s">
        <v>583</v>
      </c>
      <c r="E713" s="1581">
        <f>+H714*0.05</f>
        <v>14521.411845714285</v>
      </c>
      <c r="F713" s="1814"/>
      <c r="G713" s="1814"/>
      <c r="H713" s="1814"/>
      <c r="I713" s="1814">
        <f>+E713*C713</f>
        <v>14521.411845714285</v>
      </c>
    </row>
    <row r="714" spans="1:13" ht="18">
      <c r="A714" s="2036" t="s">
        <v>190</v>
      </c>
      <c r="B714" s="1266">
        <f>SUM(F714:I714)</f>
        <v>334949.64875999995</v>
      </c>
      <c r="C714" s="2059"/>
      <c r="D714" s="1267"/>
      <c r="E714" s="1814"/>
      <c r="F714" s="1814">
        <f t="shared" ref="F714:G714" si="46">SUM(F708:F713)</f>
        <v>29999.999999999993</v>
      </c>
      <c r="G714" s="1814">
        <f t="shared" si="46"/>
        <v>0</v>
      </c>
      <c r="H714" s="1814">
        <f>SUM(H708:H713)</f>
        <v>290428.23691428569</v>
      </c>
      <c r="I714" s="1814">
        <f>SUM(I708:I713)</f>
        <v>14521.411845714285</v>
      </c>
    </row>
    <row r="715" spans="1:13" ht="18">
      <c r="A715" s="2036" t="s">
        <v>191</v>
      </c>
      <c r="B715" s="1587">
        <f>SUM(B714:B714)</f>
        <v>334949.64875999995</v>
      </c>
      <c r="C715" s="2066" t="s">
        <v>363</v>
      </c>
      <c r="D715" s="1915"/>
      <c r="E715" s="864"/>
      <c r="F715" s="864"/>
      <c r="G715" s="864"/>
      <c r="H715" s="864"/>
      <c r="I715" s="864"/>
    </row>
    <row r="716" spans="1:13" s="2039" customFormat="1" ht="18">
      <c r="A716" s="2678"/>
      <c r="B716" s="1715"/>
      <c r="C716" s="2067"/>
      <c r="D716" s="863"/>
      <c r="E716" s="864"/>
      <c r="F716" s="864"/>
      <c r="G716" s="864"/>
      <c r="H716" s="864"/>
      <c r="I716" s="864"/>
    </row>
    <row r="717" spans="1:13" ht="18">
      <c r="A717" s="2058">
        <v>1.1000000000000001</v>
      </c>
      <c r="B717" s="3566" t="s">
        <v>5332</v>
      </c>
      <c r="C717" s="3567"/>
      <c r="D717" s="3567"/>
      <c r="E717" s="3567"/>
      <c r="F717" s="3567"/>
      <c r="G717" s="3567"/>
      <c r="H717" s="3567"/>
      <c r="I717" s="3568"/>
    </row>
    <row r="718" spans="1:13" ht="18">
      <c r="A718" s="1229"/>
      <c r="B718" s="1815"/>
      <c r="C718" s="2068" t="s">
        <v>140</v>
      </c>
      <c r="D718" s="1580" t="s">
        <v>343</v>
      </c>
      <c r="E718" s="1581" t="s">
        <v>344</v>
      </c>
      <c r="F718" s="1581" t="s">
        <v>482</v>
      </c>
      <c r="G718" s="1581" t="s">
        <v>483</v>
      </c>
      <c r="H718" s="1581" t="s">
        <v>232</v>
      </c>
      <c r="I718" s="1581" t="s">
        <v>171</v>
      </c>
      <c r="M718" s="181">
        <f>25341*3000*1.19</f>
        <v>90467370</v>
      </c>
    </row>
    <row r="719" spans="1:13" ht="18">
      <c r="A719" s="2069"/>
      <c r="B719" s="1815" t="s">
        <v>5333</v>
      </c>
      <c r="C719" s="2068">
        <v>2</v>
      </c>
      <c r="D719" s="401" t="s">
        <v>363</v>
      </c>
      <c r="E719" s="1581">
        <v>220000</v>
      </c>
      <c r="F719" s="1581"/>
      <c r="G719" s="1814">
        <f t="shared" ref="G719:G729" si="47">+E719*C719</f>
        <v>440000</v>
      </c>
      <c r="H719" s="1581"/>
      <c r="I719" s="1581"/>
    </row>
    <row r="720" spans="1:13" ht="18">
      <c r="A720" s="2069"/>
      <c r="B720" s="1815" t="s">
        <v>5334</v>
      </c>
      <c r="C720" s="2068">
        <v>3</v>
      </c>
      <c r="D720" s="401" t="s">
        <v>363</v>
      </c>
      <c r="E720" s="1581">
        <v>57000</v>
      </c>
      <c r="F720" s="1581"/>
      <c r="G720" s="1814">
        <f t="shared" si="47"/>
        <v>171000</v>
      </c>
      <c r="H720" s="1581"/>
      <c r="I720" s="1581"/>
    </row>
    <row r="721" spans="1:11" ht="18">
      <c r="A721" s="2069"/>
      <c r="B721" s="1815" t="s">
        <v>5335</v>
      </c>
      <c r="C721" s="2068">
        <v>3</v>
      </c>
      <c r="D721" s="401" t="s">
        <v>363</v>
      </c>
      <c r="E721" s="1581">
        <v>14000</v>
      </c>
      <c r="F721" s="1581"/>
      <c r="G721" s="1814">
        <f t="shared" si="47"/>
        <v>42000</v>
      </c>
      <c r="H721" s="1581"/>
      <c r="I721" s="1581"/>
    </row>
    <row r="722" spans="1:11" ht="18">
      <c r="A722" s="2069"/>
      <c r="B722" s="1815" t="s">
        <v>5336</v>
      </c>
      <c r="C722" s="2068">
        <v>3</v>
      </c>
      <c r="D722" s="401" t="s">
        <v>363</v>
      </c>
      <c r="E722" s="1581">
        <v>23000</v>
      </c>
      <c r="F722" s="1581"/>
      <c r="G722" s="1814">
        <f t="shared" si="47"/>
        <v>69000</v>
      </c>
      <c r="H722" s="1581"/>
      <c r="I722" s="1581"/>
    </row>
    <row r="723" spans="1:11" ht="18">
      <c r="A723" s="2069"/>
      <c r="B723" s="1815" t="s">
        <v>5337</v>
      </c>
      <c r="C723" s="2068">
        <v>2</v>
      </c>
      <c r="D723" s="401" t="s">
        <v>363</v>
      </c>
      <c r="E723" s="1581">
        <v>7200</v>
      </c>
      <c r="F723" s="1581"/>
      <c r="G723" s="1814">
        <f t="shared" si="47"/>
        <v>14400</v>
      </c>
      <c r="H723" s="1581"/>
      <c r="I723" s="1581"/>
    </row>
    <row r="724" spans="1:11" ht="18">
      <c r="A724" s="2070"/>
      <c r="B724" s="2071" t="s">
        <v>5338</v>
      </c>
      <c r="C724" s="2068">
        <v>4</v>
      </c>
      <c r="D724" s="401" t="s">
        <v>363</v>
      </c>
      <c r="E724" s="1581">
        <v>8500</v>
      </c>
      <c r="F724" s="1814"/>
      <c r="G724" s="1814">
        <f>+E724*C724</f>
        <v>34000</v>
      </c>
      <c r="H724" s="1581"/>
      <c r="I724" s="1581"/>
    </row>
    <row r="725" spans="1:11" ht="18">
      <c r="A725" s="2072"/>
      <c r="B725" s="2071" t="s">
        <v>5339</v>
      </c>
      <c r="C725" s="2068">
        <v>12</v>
      </c>
      <c r="D725" s="401" t="s">
        <v>363</v>
      </c>
      <c r="E725" s="1581">
        <v>400</v>
      </c>
      <c r="F725" s="1814"/>
      <c r="G725" s="1814">
        <f t="shared" si="47"/>
        <v>4800</v>
      </c>
      <c r="H725" s="1581"/>
      <c r="I725" s="1581"/>
    </row>
    <row r="726" spans="1:11" ht="18">
      <c r="A726" s="2072"/>
      <c r="B726" s="2071" t="s">
        <v>5340</v>
      </c>
      <c r="C726" s="2068">
        <v>3</v>
      </c>
      <c r="D726" s="401" t="s">
        <v>363</v>
      </c>
      <c r="E726" s="1581">
        <v>25000</v>
      </c>
      <c r="F726" s="1814"/>
      <c r="G726" s="1814">
        <f t="shared" si="47"/>
        <v>75000</v>
      </c>
      <c r="H726" s="1581"/>
      <c r="I726" s="1581"/>
    </row>
    <row r="727" spans="1:11" ht="18">
      <c r="A727" s="2072"/>
      <c r="B727" s="2071" t="s">
        <v>5341</v>
      </c>
      <c r="C727" s="2068">
        <v>1</v>
      </c>
      <c r="D727" s="401" t="s">
        <v>363</v>
      </c>
      <c r="E727" s="1581">
        <v>224000</v>
      </c>
      <c r="F727" s="1814"/>
      <c r="G727" s="1814">
        <f t="shared" si="47"/>
        <v>224000</v>
      </c>
      <c r="H727" s="1581"/>
      <c r="I727" s="1581"/>
    </row>
    <row r="728" spans="1:11" ht="27.6">
      <c r="A728" s="2072"/>
      <c r="B728" s="2071" t="s">
        <v>5342</v>
      </c>
      <c r="C728" s="2068">
        <v>1</v>
      </c>
      <c r="D728" s="401" t="s">
        <v>363</v>
      </c>
      <c r="E728" s="1581">
        <v>90000</v>
      </c>
      <c r="F728" s="1814"/>
      <c r="G728" s="1814">
        <f t="shared" si="47"/>
        <v>90000</v>
      </c>
      <c r="H728" s="1581"/>
      <c r="I728" s="1581"/>
    </row>
    <row r="729" spans="1:11" ht="18">
      <c r="A729" s="1229"/>
      <c r="B729" s="2071" t="s">
        <v>5343</v>
      </c>
      <c r="C729" s="2059">
        <v>3</v>
      </c>
      <c r="D729" s="401" t="s">
        <v>363</v>
      </c>
      <c r="E729" s="1581">
        <v>25000</v>
      </c>
      <c r="F729" s="1814"/>
      <c r="G729" s="1814">
        <f t="shared" si="47"/>
        <v>75000</v>
      </c>
      <c r="H729" s="1581"/>
      <c r="I729" s="1581"/>
    </row>
    <row r="730" spans="1:11" ht="18">
      <c r="A730" s="1229"/>
      <c r="B730" s="184" t="s">
        <v>5579</v>
      </c>
      <c r="C730" s="2059">
        <v>1</v>
      </c>
      <c r="D730" s="1229" t="s">
        <v>583</v>
      </c>
      <c r="E730" s="1581">
        <v>150000</v>
      </c>
      <c r="F730" s="1814"/>
      <c r="G730" s="1814"/>
      <c r="H730" s="1814"/>
      <c r="I730" s="1814">
        <f>+E730*C730</f>
        <v>150000</v>
      </c>
      <c r="K730" s="181">
        <f>+AIU</f>
        <v>0.29572249606750989</v>
      </c>
    </row>
    <row r="731" spans="1:11" ht="18">
      <c r="A731" s="2036" t="s">
        <v>190</v>
      </c>
      <c r="B731" s="1266">
        <f>SUM(F731:I731)</f>
        <v>1389200</v>
      </c>
      <c r="C731" s="2059"/>
      <c r="D731" s="1267"/>
      <c r="E731" s="1581"/>
      <c r="F731" s="1814">
        <f>SUM(F719:F730)</f>
        <v>0</v>
      </c>
      <c r="G731" s="1814">
        <f>SUM(G719:G730)</f>
        <v>1239200</v>
      </c>
      <c r="H731" s="1814">
        <f>SUM(H719:H730)</f>
        <v>0</v>
      </c>
      <c r="I731" s="1814">
        <f>SUM(I719:I730)</f>
        <v>150000</v>
      </c>
    </row>
    <row r="732" spans="1:11" ht="18">
      <c r="A732" s="2036" t="s">
        <v>191</v>
      </c>
      <c r="B732" s="1587">
        <f>SUM(B731:B731)</f>
        <v>1389200</v>
      </c>
      <c r="C732" s="2066" t="s">
        <v>363</v>
      </c>
      <c r="D732" s="1915"/>
      <c r="E732" s="864"/>
      <c r="F732" s="864"/>
      <c r="G732" s="864"/>
      <c r="H732" s="864"/>
      <c r="I732" s="864"/>
    </row>
    <row r="733" spans="1:11" ht="18">
      <c r="A733" s="873"/>
      <c r="B733" s="1278"/>
      <c r="C733" s="2033"/>
      <c r="D733" s="402"/>
      <c r="E733" s="2034"/>
      <c r="F733" s="2032"/>
      <c r="G733" s="2032"/>
      <c r="H733" s="2032"/>
      <c r="I733" s="2032"/>
    </row>
    <row r="734" spans="1:11" ht="18">
      <c r="A734" s="2058">
        <v>1.2</v>
      </c>
      <c r="B734" s="3566" t="s">
        <v>5582</v>
      </c>
      <c r="C734" s="3567"/>
      <c r="D734" s="3567"/>
      <c r="E734" s="3567"/>
      <c r="F734" s="3567"/>
      <c r="G734" s="3567"/>
      <c r="H734" s="3567"/>
      <c r="I734" s="3568"/>
    </row>
    <row r="735" spans="1:11" ht="18">
      <c r="A735" s="1229"/>
      <c r="B735" s="1815"/>
      <c r="C735" s="2059" t="s">
        <v>140</v>
      </c>
      <c r="D735" s="1229" t="s">
        <v>343</v>
      </c>
      <c r="E735" s="1581" t="s">
        <v>344</v>
      </c>
      <c r="F735" s="1814" t="s">
        <v>482</v>
      </c>
      <c r="G735" s="1814" t="s">
        <v>483</v>
      </c>
      <c r="H735" s="1814" t="s">
        <v>232</v>
      </c>
      <c r="I735" s="1814" t="s">
        <v>171</v>
      </c>
    </row>
    <row r="736" spans="1:11" ht="18">
      <c r="A736" s="1200"/>
      <c r="B736" s="2060" t="s">
        <v>5329</v>
      </c>
      <c r="C736" s="2059">
        <v>0.19999999999999998</v>
      </c>
      <c r="D736" s="401" t="s">
        <v>5402</v>
      </c>
      <c r="E736" s="1581">
        <f>+ESCAL</f>
        <v>50000</v>
      </c>
      <c r="F736" s="1814">
        <f>+E736*C736</f>
        <v>10000</v>
      </c>
      <c r="G736" s="2061"/>
      <c r="H736" s="1581"/>
      <c r="I736" s="1581"/>
    </row>
    <row r="737" spans="1:9" ht="18">
      <c r="A737" s="2062"/>
      <c r="B737" s="2063" t="s">
        <v>5330</v>
      </c>
      <c r="C737" s="2059">
        <v>1.5</v>
      </c>
      <c r="D737" s="401" t="s">
        <v>5402</v>
      </c>
      <c r="E737" s="1581">
        <f>+CINT</f>
        <v>10000</v>
      </c>
      <c r="F737" s="1814">
        <f>+E737*C737</f>
        <v>15000</v>
      </c>
      <c r="G737" s="2061"/>
      <c r="H737" s="1581"/>
      <c r="I737" s="1581"/>
    </row>
    <row r="738" spans="1:9" ht="18">
      <c r="A738" s="1229"/>
      <c r="B738" s="2064" t="s">
        <v>5328</v>
      </c>
      <c r="C738" s="2059">
        <f>1/0.8</f>
        <v>1.25</v>
      </c>
      <c r="D738" s="1229" t="s">
        <v>346</v>
      </c>
      <c r="E738" s="1581">
        <v>90000</v>
      </c>
      <c r="F738" s="1814"/>
      <c r="G738" s="1814"/>
      <c r="H738" s="1814">
        <f>+E738*C738</f>
        <v>112500</v>
      </c>
      <c r="I738" s="1814"/>
    </row>
    <row r="739" spans="1:9" ht="18">
      <c r="A739" s="1229"/>
      <c r="B739" s="2064" t="s">
        <v>5328</v>
      </c>
      <c r="C739" s="2059">
        <f t="shared" ref="C739:C740" si="48">1/0.8</f>
        <v>1.25</v>
      </c>
      <c r="D739" s="1229" t="s">
        <v>346</v>
      </c>
      <c r="E739" s="1581">
        <v>63000</v>
      </c>
      <c r="F739" s="1814"/>
      <c r="G739" s="1814"/>
      <c r="H739" s="1814">
        <f t="shared" ref="H739:H740" si="49">+E739*C739</f>
        <v>78750</v>
      </c>
      <c r="I739" s="1814"/>
    </row>
    <row r="740" spans="1:9" ht="18">
      <c r="A740" s="1229"/>
      <c r="B740" s="2065" t="s">
        <v>1062</v>
      </c>
      <c r="C740" s="2068">
        <f t="shared" si="48"/>
        <v>1.25</v>
      </c>
      <c r="D740" s="1580" t="s">
        <v>346</v>
      </c>
      <c r="E740" s="1581">
        <f>+AYUDR</f>
        <v>50299.76584</v>
      </c>
      <c r="F740" s="1814"/>
      <c r="G740" s="1814" t="s">
        <v>441</v>
      </c>
      <c r="H740" s="1814">
        <f t="shared" si="49"/>
        <v>62874.707300000002</v>
      </c>
      <c r="I740" s="1814"/>
    </row>
    <row r="741" spans="1:9" ht="18">
      <c r="A741" s="1229" t="s">
        <v>2344</v>
      </c>
      <c r="B741" s="1815" t="s">
        <v>189</v>
      </c>
      <c r="C741" s="2059">
        <v>1</v>
      </c>
      <c r="D741" s="401" t="s">
        <v>583</v>
      </c>
      <c r="E741" s="1581">
        <f>+H742*0.05</f>
        <v>12706.235365</v>
      </c>
      <c r="F741" s="1814"/>
      <c r="G741" s="1814"/>
      <c r="H741" s="1814"/>
      <c r="I741" s="1814">
        <f>+E741*C741</f>
        <v>12706.235365</v>
      </c>
    </row>
    <row r="742" spans="1:9" ht="18">
      <c r="A742" s="2036" t="s">
        <v>190</v>
      </c>
      <c r="B742" s="1266">
        <f>SUM(F742:I742)</f>
        <v>291830.94266499998</v>
      </c>
      <c r="C742" s="2059"/>
      <c r="D742" s="1267"/>
      <c r="E742" s="1581"/>
      <c r="F742" s="1814">
        <f>SUM(F736:F741)</f>
        <v>25000</v>
      </c>
      <c r="G742" s="1814">
        <f>SUM(G736:G741)</f>
        <v>0</v>
      </c>
      <c r="H742" s="1814">
        <f>SUM(H736:H741)</f>
        <v>254124.70730000001</v>
      </c>
      <c r="I742" s="1814">
        <f>SUM(I736:I741)</f>
        <v>12706.235365</v>
      </c>
    </row>
    <row r="743" spans="1:9" ht="18">
      <c r="A743" s="2036" t="s">
        <v>191</v>
      </c>
      <c r="B743" s="1587">
        <f>SUM(B742:B742)</f>
        <v>291830.94266499998</v>
      </c>
      <c r="C743" s="2066" t="s">
        <v>363</v>
      </c>
      <c r="D743" s="1915"/>
      <c r="E743" s="864"/>
      <c r="F743" s="864"/>
      <c r="G743" s="864"/>
      <c r="H743" s="864"/>
      <c r="I743" s="864"/>
    </row>
    <row r="744" spans="1:9" s="2039" customFormat="1" ht="18">
      <c r="A744" s="2678"/>
      <c r="B744" s="1715"/>
      <c r="C744" s="2067"/>
      <c r="D744" s="863"/>
      <c r="E744" s="864"/>
      <c r="F744" s="864"/>
      <c r="G744" s="864"/>
      <c r="H744" s="864"/>
      <c r="I744" s="864"/>
    </row>
    <row r="745" spans="1:9" ht="18">
      <c r="A745" s="2058">
        <v>1.2</v>
      </c>
      <c r="B745" s="3566" t="s">
        <v>5350</v>
      </c>
      <c r="C745" s="3567"/>
      <c r="D745" s="3567"/>
      <c r="E745" s="3567"/>
      <c r="F745" s="3567"/>
      <c r="G745" s="3567"/>
      <c r="H745" s="3567"/>
      <c r="I745" s="3568"/>
    </row>
    <row r="746" spans="1:9" ht="18">
      <c r="A746" s="1229"/>
      <c r="B746" s="1815"/>
      <c r="C746" s="2059" t="s">
        <v>140</v>
      </c>
      <c r="D746" s="1229" t="s">
        <v>343</v>
      </c>
      <c r="E746" s="1581" t="s">
        <v>344</v>
      </c>
      <c r="F746" s="1814" t="s">
        <v>482</v>
      </c>
      <c r="G746" s="1814" t="s">
        <v>483</v>
      </c>
      <c r="H746" s="1814" t="s">
        <v>232</v>
      </c>
      <c r="I746" s="1814" t="s">
        <v>171</v>
      </c>
    </row>
    <row r="747" spans="1:9" ht="18">
      <c r="A747" s="2070"/>
      <c r="B747" s="2071" t="s">
        <v>5351</v>
      </c>
      <c r="C747" s="2059">
        <v>1</v>
      </c>
      <c r="D747" s="401" t="s">
        <v>363</v>
      </c>
      <c r="E747" s="1581">
        <v>19000</v>
      </c>
      <c r="F747" s="1814"/>
      <c r="G747" s="1814">
        <f>+E747*C747</f>
        <v>19000</v>
      </c>
      <c r="H747" s="1581"/>
      <c r="I747" s="1581"/>
    </row>
    <row r="748" spans="1:9" ht="18">
      <c r="A748" s="2073"/>
      <c r="B748" s="2071" t="s">
        <v>5352</v>
      </c>
      <c r="C748" s="2059">
        <v>2</v>
      </c>
      <c r="D748" s="401" t="s">
        <v>363</v>
      </c>
      <c r="E748" s="1581">
        <v>3500</v>
      </c>
      <c r="F748" s="1814"/>
      <c r="G748" s="1814">
        <f t="shared" ref="G748:G757" si="50">+E748*C748</f>
        <v>7000</v>
      </c>
      <c r="H748" s="1581"/>
      <c r="I748" s="1581"/>
    </row>
    <row r="749" spans="1:9" ht="18">
      <c r="A749" s="2070"/>
      <c r="B749" s="2071" t="s">
        <v>5353</v>
      </c>
      <c r="C749" s="2059">
        <v>1</v>
      </c>
      <c r="D749" s="401" t="s">
        <v>363</v>
      </c>
      <c r="E749" s="1581">
        <v>4200</v>
      </c>
      <c r="F749" s="1814"/>
      <c r="G749" s="1814">
        <f t="shared" si="50"/>
        <v>4200</v>
      </c>
      <c r="H749" s="1581"/>
      <c r="I749" s="1581"/>
    </row>
    <row r="750" spans="1:9" ht="18">
      <c r="A750" s="2072"/>
      <c r="B750" s="2071" t="s">
        <v>5354</v>
      </c>
      <c r="C750" s="2059">
        <v>1</v>
      </c>
      <c r="D750" s="401" t="s">
        <v>363</v>
      </c>
      <c r="E750" s="1581">
        <v>25000</v>
      </c>
      <c r="F750" s="1814"/>
      <c r="G750" s="1814">
        <f t="shared" si="50"/>
        <v>25000</v>
      </c>
      <c r="H750" s="1581"/>
      <c r="I750" s="1581"/>
    </row>
    <row r="751" spans="1:9" ht="18">
      <c r="A751" s="2072"/>
      <c r="B751" s="2071" t="s">
        <v>5355</v>
      </c>
      <c r="C751" s="2059">
        <v>1</v>
      </c>
      <c r="D751" s="401" t="s">
        <v>363</v>
      </c>
      <c r="E751" s="1581">
        <v>8500</v>
      </c>
      <c r="F751" s="1814"/>
      <c r="G751" s="1814">
        <f t="shared" si="50"/>
        <v>8500</v>
      </c>
      <c r="H751" s="1581"/>
      <c r="I751" s="1581"/>
    </row>
    <row r="752" spans="1:9" ht="18">
      <c r="A752" s="2072"/>
      <c r="B752" s="2071" t="s">
        <v>5356</v>
      </c>
      <c r="C752" s="2059">
        <v>4</v>
      </c>
      <c r="D752" s="401" t="s">
        <v>363</v>
      </c>
      <c r="E752" s="1581">
        <v>13000</v>
      </c>
      <c r="F752" s="1814"/>
      <c r="G752" s="1814">
        <f t="shared" si="50"/>
        <v>52000</v>
      </c>
      <c r="H752" s="1581"/>
      <c r="I752" s="1581"/>
    </row>
    <row r="753" spans="1:9" ht="18">
      <c r="A753" s="2072"/>
      <c r="B753" s="2071" t="s">
        <v>5357</v>
      </c>
      <c r="C753" s="2059">
        <v>1</v>
      </c>
      <c r="D753" s="401" t="s">
        <v>363</v>
      </c>
      <c r="E753" s="1581">
        <v>21000</v>
      </c>
      <c r="F753" s="1814"/>
      <c r="G753" s="1814">
        <f t="shared" si="50"/>
        <v>21000</v>
      </c>
      <c r="H753" s="1581"/>
      <c r="I753" s="1581"/>
    </row>
    <row r="754" spans="1:9" ht="18">
      <c r="A754" s="2072"/>
      <c r="B754" s="2071" t="s">
        <v>5358</v>
      </c>
      <c r="C754" s="2059">
        <v>1</v>
      </c>
      <c r="D754" s="401" t="s">
        <v>363</v>
      </c>
      <c r="E754" s="1581">
        <v>16000</v>
      </c>
      <c r="F754" s="1814"/>
      <c r="G754" s="1814">
        <f t="shared" si="50"/>
        <v>16000</v>
      </c>
      <c r="H754" s="1581"/>
      <c r="I754" s="1581"/>
    </row>
    <row r="755" spans="1:9" ht="18">
      <c r="A755" s="2072"/>
      <c r="B755" s="2071" t="s">
        <v>5337</v>
      </c>
      <c r="C755" s="2059">
        <v>1</v>
      </c>
      <c r="D755" s="401" t="s">
        <v>363</v>
      </c>
      <c r="E755" s="1581">
        <v>7200</v>
      </c>
      <c r="F755" s="1814"/>
      <c r="G755" s="1814">
        <f t="shared" si="50"/>
        <v>7200</v>
      </c>
      <c r="H755" s="1581"/>
      <c r="I755" s="1581"/>
    </row>
    <row r="756" spans="1:9" ht="18">
      <c r="A756" s="2072"/>
      <c r="B756" s="2071" t="s">
        <v>5359</v>
      </c>
      <c r="C756" s="2059">
        <v>1</v>
      </c>
      <c r="D756" s="401" t="s">
        <v>363</v>
      </c>
      <c r="E756" s="1581">
        <v>65000</v>
      </c>
      <c r="F756" s="1814"/>
      <c r="G756" s="1814">
        <f>+E756*C756</f>
        <v>65000</v>
      </c>
      <c r="H756" s="1581"/>
      <c r="I756" s="1581"/>
    </row>
    <row r="757" spans="1:9" ht="18">
      <c r="A757" s="2072"/>
      <c r="B757" s="2071" t="s">
        <v>5360</v>
      </c>
      <c r="C757" s="2059">
        <v>15</v>
      </c>
      <c r="D757" s="401" t="s">
        <v>363</v>
      </c>
      <c r="E757" s="1581">
        <v>4750</v>
      </c>
      <c r="F757" s="1814"/>
      <c r="G757" s="1814">
        <f t="shared" si="50"/>
        <v>71250</v>
      </c>
      <c r="H757" s="1581"/>
      <c r="I757" s="1581"/>
    </row>
    <row r="758" spans="1:9" ht="18">
      <c r="A758" s="1229"/>
      <c r="B758" s="2071" t="s">
        <v>5581</v>
      </c>
      <c r="C758" s="2059">
        <v>1</v>
      </c>
      <c r="D758" s="1229" t="s">
        <v>583</v>
      </c>
      <c r="E758" s="1581">
        <v>20000</v>
      </c>
      <c r="F758" s="1814"/>
      <c r="G758" s="1814"/>
      <c r="H758" s="1814"/>
      <c r="I758" s="1814">
        <f>+E758*C758</f>
        <v>20000</v>
      </c>
    </row>
    <row r="759" spans="1:9" ht="18">
      <c r="A759" s="2036" t="s">
        <v>190</v>
      </c>
      <c r="B759" s="1266">
        <f>SUM(F759:I759)</f>
        <v>316150</v>
      </c>
      <c r="C759" s="2059"/>
      <c r="D759" s="1267"/>
      <c r="E759" s="1581"/>
      <c r="F759" s="1814">
        <f t="shared" ref="F759:I759" si="51">SUM(F747:F758)</f>
        <v>0</v>
      </c>
      <c r="G759" s="1814">
        <f>SUM(G747:G758)</f>
        <v>296150</v>
      </c>
      <c r="H759" s="1814">
        <f t="shared" si="51"/>
        <v>0</v>
      </c>
      <c r="I759" s="1814">
        <f t="shared" si="51"/>
        <v>20000</v>
      </c>
    </row>
    <row r="760" spans="1:9" ht="18">
      <c r="A760" s="2036" t="s">
        <v>191</v>
      </c>
      <c r="B760" s="1587">
        <f>SUM(B759:B759)</f>
        <v>316150</v>
      </c>
      <c r="C760" s="2066" t="s">
        <v>363</v>
      </c>
      <c r="D760" s="1915"/>
      <c r="E760" s="864"/>
      <c r="F760" s="864"/>
      <c r="G760" s="864"/>
      <c r="H760" s="864"/>
      <c r="I760" s="864"/>
    </row>
    <row r="761" spans="1:9" ht="18">
      <c r="A761" s="873"/>
      <c r="B761" s="1278"/>
      <c r="C761" s="2033"/>
      <c r="D761" s="402"/>
      <c r="E761" s="2034"/>
      <c r="F761" s="2032"/>
      <c r="G761" s="2032"/>
      <c r="H761" s="2032"/>
      <c r="I761" s="2032"/>
    </row>
    <row r="762" spans="1:9" ht="18">
      <c r="A762" s="2035">
        <v>1.3</v>
      </c>
      <c r="B762" s="3566" t="s">
        <v>5378</v>
      </c>
      <c r="C762" s="3567"/>
      <c r="D762" s="3567"/>
      <c r="E762" s="3567"/>
      <c r="F762" s="3567"/>
      <c r="G762" s="3567"/>
      <c r="H762" s="3567"/>
      <c r="I762" s="3568"/>
    </row>
    <row r="763" spans="1:9" ht="18">
      <c r="A763" s="1229"/>
      <c r="B763" s="1815"/>
      <c r="C763" s="2059" t="s">
        <v>140</v>
      </c>
      <c r="D763" s="1229" t="s">
        <v>343</v>
      </c>
      <c r="E763" s="1581" t="s">
        <v>344</v>
      </c>
      <c r="F763" s="1814" t="s">
        <v>482</v>
      </c>
      <c r="G763" s="1814" t="s">
        <v>483</v>
      </c>
      <c r="H763" s="1814" t="s">
        <v>232</v>
      </c>
      <c r="I763" s="1814" t="s">
        <v>171</v>
      </c>
    </row>
    <row r="764" spans="1:9" ht="18">
      <c r="A764" s="2070"/>
      <c r="B764" s="2074" t="s">
        <v>5379</v>
      </c>
      <c r="C764" s="2059">
        <v>3.0000000000000004</v>
      </c>
      <c r="D764" s="1274" t="s">
        <v>5402</v>
      </c>
      <c r="E764" s="1581">
        <f>+GRUA</f>
        <v>150000</v>
      </c>
      <c r="F764" s="1814">
        <f>+E764*C764</f>
        <v>450000.00000000006</v>
      </c>
      <c r="G764" s="1814"/>
      <c r="H764" s="1814"/>
      <c r="I764" s="1814"/>
    </row>
    <row r="765" spans="1:9" ht="18">
      <c r="A765" s="2070" t="s">
        <v>3626</v>
      </c>
      <c r="B765" s="2074" t="s">
        <v>5329</v>
      </c>
      <c r="C765" s="2068">
        <v>0.29999999999999982</v>
      </c>
      <c r="D765" s="1274" t="s">
        <v>5402</v>
      </c>
      <c r="E765" s="1581">
        <f>+ESCAL</f>
        <v>50000</v>
      </c>
      <c r="F765" s="1581">
        <f>+C765*E765</f>
        <v>14999.999999999991</v>
      </c>
      <c r="G765" s="2061"/>
      <c r="H765" s="1581"/>
      <c r="I765" s="1581"/>
    </row>
    <row r="766" spans="1:9" ht="18">
      <c r="A766" s="1580"/>
      <c r="B766" s="2075" t="s">
        <v>5330</v>
      </c>
      <c r="C766" s="2068">
        <v>1.5</v>
      </c>
      <c r="D766" s="1274" t="s">
        <v>5402</v>
      </c>
      <c r="E766" s="1581">
        <f>+CINT</f>
        <v>10000</v>
      </c>
      <c r="F766" s="1581">
        <f>+C766*E766</f>
        <v>15000</v>
      </c>
      <c r="G766" s="2061"/>
      <c r="H766" s="1581"/>
      <c r="I766" s="1581"/>
    </row>
    <row r="767" spans="1:9" ht="18">
      <c r="A767" s="1229" t="s">
        <v>584</v>
      </c>
      <c r="B767" s="184" t="s">
        <v>5383</v>
      </c>
      <c r="C767" s="2076">
        <v>1</v>
      </c>
      <c r="D767" s="1229" t="s">
        <v>583</v>
      </c>
      <c r="E767" s="1581">
        <v>350000</v>
      </c>
      <c r="F767" s="1814"/>
      <c r="G767" s="1814"/>
      <c r="H767" s="1814"/>
      <c r="I767" s="1814">
        <f>+C767*E767</f>
        <v>350000</v>
      </c>
    </row>
    <row r="768" spans="1:9" ht="18">
      <c r="A768" s="2072"/>
      <c r="B768" s="2064" t="s">
        <v>5380</v>
      </c>
      <c r="C768" s="2068">
        <f>1/0.1</f>
        <v>10</v>
      </c>
      <c r="D768" s="1274" t="s">
        <v>346</v>
      </c>
      <c r="E768" s="1581">
        <v>153000</v>
      </c>
      <c r="F768" s="1581"/>
      <c r="G768" s="1581"/>
      <c r="H768" s="1814">
        <f>+C768*E768</f>
        <v>1530000</v>
      </c>
      <c r="I768" s="1814"/>
    </row>
    <row r="769" spans="1:9" ht="18">
      <c r="A769" s="2072"/>
      <c r="B769" s="2064" t="s">
        <v>5381</v>
      </c>
      <c r="C769" s="2068">
        <f t="shared" ref="C769" si="52">1/0.1</f>
        <v>10</v>
      </c>
      <c r="D769" s="1274" t="s">
        <v>346</v>
      </c>
      <c r="E769" s="1581">
        <v>63000</v>
      </c>
      <c r="F769" s="1581"/>
      <c r="G769" s="1581"/>
      <c r="H769" s="1814">
        <f>+C769*E769</f>
        <v>630000</v>
      </c>
      <c r="I769" s="1814"/>
    </row>
    <row r="770" spans="1:9" ht="18">
      <c r="A770" s="2072"/>
      <c r="B770" s="2075" t="s">
        <v>5382</v>
      </c>
      <c r="C770" s="2068">
        <f>1/0.1</f>
        <v>10</v>
      </c>
      <c r="D770" s="1274" t="s">
        <v>346</v>
      </c>
      <c r="E770" s="1581">
        <v>90000</v>
      </c>
      <c r="F770" s="1581"/>
      <c r="G770" s="1581"/>
      <c r="H770" s="1814">
        <f>+C770*E770</f>
        <v>900000</v>
      </c>
      <c r="I770" s="1814"/>
    </row>
    <row r="771" spans="1:9" ht="18">
      <c r="A771" s="1229" t="s">
        <v>2344</v>
      </c>
      <c r="B771" s="1815" t="s">
        <v>189</v>
      </c>
      <c r="C771" s="2059">
        <v>1</v>
      </c>
      <c r="D771" s="401" t="s">
        <v>583</v>
      </c>
      <c r="E771" s="1581">
        <f>H772*0.05</f>
        <v>153000</v>
      </c>
      <c r="F771" s="1814"/>
      <c r="G771" s="1814"/>
      <c r="H771" s="1814"/>
      <c r="I771" s="1814">
        <f>+E771*C771</f>
        <v>153000</v>
      </c>
    </row>
    <row r="772" spans="1:9" ht="18">
      <c r="A772" s="2036" t="s">
        <v>190</v>
      </c>
      <c r="B772" s="1266">
        <f>SUM(F772:I772)</f>
        <v>4043000</v>
      </c>
      <c r="C772" s="2059"/>
      <c r="D772" s="1267"/>
      <c r="E772" s="1581"/>
      <c r="F772" s="1814">
        <f>SUM(F764:F771)</f>
        <v>480000.00000000006</v>
      </c>
      <c r="G772" s="1814">
        <f>SUM(G764:G771)</f>
        <v>0</v>
      </c>
      <c r="H772" s="1814">
        <f>SUM(H764:H771)</f>
        <v>3060000</v>
      </c>
      <c r="I772" s="1814">
        <f>SUM(I764:I771)</f>
        <v>503000</v>
      </c>
    </row>
    <row r="773" spans="1:9" ht="18">
      <c r="A773" s="2036" t="s">
        <v>191</v>
      </c>
      <c r="B773" s="1587">
        <f>SUM(B772:B772)</f>
        <v>4043000</v>
      </c>
      <c r="C773" s="2066" t="s">
        <v>772</v>
      </c>
      <c r="D773" s="863"/>
      <c r="E773" s="864"/>
      <c r="F773" s="864"/>
      <c r="G773" s="864"/>
      <c r="H773" s="864"/>
      <c r="I773" s="864"/>
    </row>
    <row r="774" spans="1:9" ht="18">
      <c r="A774" s="504"/>
      <c r="B774" s="505"/>
      <c r="C774" s="2077"/>
      <c r="D774" s="504"/>
      <c r="E774" s="506"/>
      <c r="F774" s="506"/>
      <c r="G774" s="506"/>
      <c r="H774" s="506"/>
      <c r="I774" s="506"/>
    </row>
    <row r="775" spans="1:9" ht="18" hidden="1">
      <c r="A775" s="2035" t="s">
        <v>441</v>
      </c>
      <c r="B775" s="3566" t="s">
        <v>5345</v>
      </c>
      <c r="C775" s="3567"/>
      <c r="D775" s="3567"/>
      <c r="E775" s="3567"/>
      <c r="F775" s="3567"/>
      <c r="G775" s="3567"/>
      <c r="H775" s="3567"/>
      <c r="I775" s="3568"/>
    </row>
    <row r="776" spans="1:9" ht="18" hidden="1">
      <c r="A776" s="1229"/>
      <c r="B776" s="1815"/>
      <c r="C776" s="2059" t="s">
        <v>140</v>
      </c>
      <c r="D776" s="1229" t="s">
        <v>343</v>
      </c>
      <c r="E776" s="2078" t="s">
        <v>344</v>
      </c>
      <c r="F776" s="1814" t="s">
        <v>482</v>
      </c>
      <c r="G776" s="1814" t="s">
        <v>483</v>
      </c>
      <c r="H776" s="1814" t="s">
        <v>232</v>
      </c>
      <c r="I776" s="1814" t="s">
        <v>171</v>
      </c>
    </row>
    <row r="777" spans="1:9" ht="18" hidden="1">
      <c r="A777" s="1229"/>
      <c r="B777" s="2064" t="s">
        <v>5328</v>
      </c>
      <c r="C777" s="2059">
        <f>1/40</f>
        <v>2.5000000000000001E-2</v>
      </c>
      <c r="D777" s="1229"/>
      <c r="E777" s="1581">
        <v>90000</v>
      </c>
      <c r="F777" s="1814"/>
      <c r="G777" s="1814"/>
      <c r="H777" s="1814">
        <f t="shared" ref="H777:H778" si="53">+C777*E777</f>
        <v>2250</v>
      </c>
      <c r="I777" s="1814"/>
    </row>
    <row r="778" spans="1:9" ht="18" hidden="1">
      <c r="A778" s="1229"/>
      <c r="B778" s="2064" t="s">
        <v>5328</v>
      </c>
      <c r="C778" s="2059">
        <f t="shared" ref="C778:C779" si="54">1/40</f>
        <v>2.5000000000000001E-2</v>
      </c>
      <c r="D778" s="1229"/>
      <c r="E778" s="1581">
        <v>63000</v>
      </c>
      <c r="F778" s="1814"/>
      <c r="G778" s="1814"/>
      <c r="H778" s="1814">
        <f t="shared" si="53"/>
        <v>1575</v>
      </c>
      <c r="I778" s="1814"/>
    </row>
    <row r="779" spans="1:9" ht="18" hidden="1">
      <c r="A779" s="1229"/>
      <c r="B779" s="2079" t="s">
        <v>5486</v>
      </c>
      <c r="C779" s="2059">
        <f t="shared" si="54"/>
        <v>2.5000000000000001E-2</v>
      </c>
      <c r="D779" s="1229" t="s">
        <v>346</v>
      </c>
      <c r="E779" s="2080">
        <v>54000</v>
      </c>
      <c r="F779" s="1814"/>
      <c r="G779" s="1814"/>
      <c r="H779" s="1814">
        <f>+C779*E779</f>
        <v>1350</v>
      </c>
      <c r="I779" s="1814"/>
    </row>
    <row r="780" spans="1:9" ht="18" hidden="1">
      <c r="A780" s="1229" t="s">
        <v>172</v>
      </c>
      <c r="B780" s="1815" t="s">
        <v>189</v>
      </c>
      <c r="C780" s="2059">
        <v>1</v>
      </c>
      <c r="D780" s="401" t="s">
        <v>583</v>
      </c>
      <c r="E780" s="1581">
        <f>+H781*0.05</f>
        <v>258.75</v>
      </c>
      <c r="F780" s="1814"/>
      <c r="G780" s="1814"/>
      <c r="H780" s="1814"/>
      <c r="I780" s="1814">
        <f>+C780*E780</f>
        <v>258.75</v>
      </c>
    </row>
    <row r="781" spans="1:9" ht="18" hidden="1">
      <c r="A781" s="2036" t="s">
        <v>190</v>
      </c>
      <c r="B781" s="1266">
        <f>SUM(F781:I781)</f>
        <v>5433.75</v>
      </c>
      <c r="C781" s="2059"/>
      <c r="D781" s="1267"/>
      <c r="E781" s="1581"/>
      <c r="F781" s="1814">
        <v>0</v>
      </c>
      <c r="G781" s="1814" t="s">
        <v>441</v>
      </c>
      <c r="H781" s="1814">
        <f>SUM(H777:H780)</f>
        <v>5175</v>
      </c>
      <c r="I781" s="1814">
        <f>SUM(I777:I780)</f>
        <v>258.75</v>
      </c>
    </row>
    <row r="782" spans="1:9" ht="18" hidden="1">
      <c r="A782" s="1228" t="s">
        <v>3708</v>
      </c>
      <c r="B782" s="1587">
        <f>+B781*AIU</f>
        <v>1606.8821130068318</v>
      </c>
      <c r="C782" s="2068"/>
      <c r="D782" s="1915"/>
      <c r="E782" s="864"/>
      <c r="F782" s="1790"/>
      <c r="G782" s="1790"/>
      <c r="H782" s="1790"/>
      <c r="I782" s="1790"/>
    </row>
    <row r="783" spans="1:9" ht="18" hidden="1">
      <c r="A783" s="2036" t="s">
        <v>191</v>
      </c>
      <c r="B783" s="1587">
        <f>SUM(B781:B782)</f>
        <v>7040.6321130068318</v>
      </c>
      <c r="C783" s="2066" t="s">
        <v>363</v>
      </c>
      <c r="D783" s="863"/>
      <c r="E783" s="864"/>
      <c r="F783" s="864"/>
      <c r="G783" s="864"/>
      <c r="H783" s="864"/>
      <c r="I783" s="864"/>
    </row>
    <row r="784" spans="1:9" ht="18" hidden="1">
      <c r="A784" s="873"/>
      <c r="B784" s="1278"/>
      <c r="C784" s="2033"/>
      <c r="D784" s="402"/>
      <c r="E784" s="2034"/>
      <c r="F784" s="2032"/>
      <c r="G784" s="2032"/>
      <c r="H784" s="2032"/>
      <c r="I784" s="2032"/>
    </row>
    <row r="785" spans="1:9" ht="18">
      <c r="A785" s="2035">
        <v>2.1</v>
      </c>
      <c r="B785" s="3566" t="s">
        <v>5594</v>
      </c>
      <c r="C785" s="3567"/>
      <c r="D785" s="3567"/>
      <c r="E785" s="3567"/>
      <c r="F785" s="3567"/>
      <c r="G785" s="3567"/>
      <c r="H785" s="3567"/>
      <c r="I785" s="3568"/>
    </row>
    <row r="786" spans="1:9" ht="18">
      <c r="A786" s="1229"/>
      <c r="B786" s="1815"/>
      <c r="C786" s="2059" t="s">
        <v>140</v>
      </c>
      <c r="D786" s="1229" t="s">
        <v>343</v>
      </c>
      <c r="E786" s="1581" t="s">
        <v>344</v>
      </c>
      <c r="F786" s="1814" t="s">
        <v>482</v>
      </c>
      <c r="G786" s="1814" t="s">
        <v>483</v>
      </c>
      <c r="H786" s="1814" t="s">
        <v>232</v>
      </c>
      <c r="I786" s="1814" t="s">
        <v>171</v>
      </c>
    </row>
    <row r="787" spans="1:9" ht="18">
      <c r="A787" s="2081"/>
      <c r="B787" s="2074" t="s">
        <v>5485</v>
      </c>
      <c r="C787" s="2068">
        <f>1/0.04</f>
        <v>25</v>
      </c>
      <c r="D787" s="1274" t="s">
        <v>346</v>
      </c>
      <c r="E787" s="1581">
        <v>90000</v>
      </c>
      <c r="F787" s="1581"/>
      <c r="G787" s="2061"/>
      <c r="H787" s="1581">
        <f>+C787*E787</f>
        <v>2250000</v>
      </c>
      <c r="I787" s="1581"/>
    </row>
    <row r="788" spans="1:9" ht="18">
      <c r="A788" s="2070"/>
      <c r="B788" s="2075" t="s">
        <v>1062</v>
      </c>
      <c r="C788" s="2068">
        <f>1/0.04</f>
        <v>25</v>
      </c>
      <c r="D788" s="1274" t="s">
        <v>346</v>
      </c>
      <c r="E788" s="1581">
        <f>+AYUDR</f>
        <v>50299.76584</v>
      </c>
      <c r="F788" s="1581"/>
      <c r="G788" s="2061"/>
      <c r="H788" s="1581">
        <f>+C788*E788</f>
        <v>1257494.1459999999</v>
      </c>
      <c r="I788" s="1581"/>
    </row>
    <row r="789" spans="1:9" ht="18">
      <c r="A789" s="1229" t="s">
        <v>2344</v>
      </c>
      <c r="B789" s="1815" t="s">
        <v>189</v>
      </c>
      <c r="C789" s="2059">
        <v>1</v>
      </c>
      <c r="D789" s="401" t="s">
        <v>583</v>
      </c>
      <c r="E789" s="1581">
        <f>H790*0.05</f>
        <v>175374.70730000001</v>
      </c>
      <c r="F789" s="1814"/>
      <c r="G789" s="1814"/>
      <c r="H789" s="1814"/>
      <c r="I789" s="1814">
        <f>+E789*C789</f>
        <v>175374.70730000001</v>
      </c>
    </row>
    <row r="790" spans="1:9" ht="18">
      <c r="A790" s="2036" t="s">
        <v>190</v>
      </c>
      <c r="B790" s="1266">
        <f>SUM(F790:I790)</f>
        <v>3682868.8532999996</v>
      </c>
      <c r="C790" s="2059"/>
      <c r="D790" s="1267"/>
      <c r="E790" s="1581"/>
      <c r="F790" s="1814">
        <f>SUM(F787:F789)</f>
        <v>0</v>
      </c>
      <c r="G790" s="1814">
        <f>SUM(G787:G789)</f>
        <v>0</v>
      </c>
      <c r="H790" s="1814">
        <f>SUM(H787:H789)</f>
        <v>3507494.1459999997</v>
      </c>
      <c r="I790" s="1814">
        <f>SUM(I787:I789)</f>
        <v>175374.70730000001</v>
      </c>
    </row>
    <row r="791" spans="1:9" ht="18">
      <c r="A791" s="2036" t="s">
        <v>191</v>
      </c>
      <c r="B791" s="1587">
        <f>SUM(B790:B790)</f>
        <v>3682868.8532999996</v>
      </c>
      <c r="C791" s="2066" t="s">
        <v>363</v>
      </c>
      <c r="D791" s="863"/>
      <c r="E791" s="864"/>
      <c r="F791" s="864"/>
      <c r="G791" s="864"/>
      <c r="H791" s="864"/>
      <c r="I791" s="864"/>
    </row>
    <row r="792" spans="1:9" s="2039" customFormat="1" ht="18">
      <c r="A792" s="2678"/>
      <c r="B792" s="1715"/>
      <c r="C792" s="2067"/>
      <c r="D792" s="863"/>
      <c r="E792" s="864"/>
      <c r="F792" s="864"/>
      <c r="G792" s="864"/>
      <c r="H792" s="864"/>
      <c r="I792" s="864"/>
    </row>
    <row r="793" spans="1:9" ht="18">
      <c r="A793" s="2035">
        <v>2.1</v>
      </c>
      <c r="B793" s="3566" t="s">
        <v>5583</v>
      </c>
      <c r="C793" s="3567"/>
      <c r="D793" s="3567"/>
      <c r="E793" s="3567"/>
      <c r="F793" s="3567"/>
      <c r="G793" s="3567"/>
      <c r="H793" s="3567"/>
      <c r="I793" s="3568"/>
    </row>
    <row r="794" spans="1:9" ht="18">
      <c r="A794" s="1229"/>
      <c r="B794" s="1815"/>
      <c r="C794" s="2059" t="s">
        <v>140</v>
      </c>
      <c r="D794" s="1229" t="s">
        <v>343</v>
      </c>
      <c r="E794" s="1581" t="s">
        <v>344</v>
      </c>
      <c r="F794" s="1814" t="s">
        <v>482</v>
      </c>
      <c r="G794" s="1814" t="s">
        <v>483</v>
      </c>
      <c r="H794" s="1814" t="s">
        <v>232</v>
      </c>
      <c r="I794" s="1814" t="s">
        <v>171</v>
      </c>
    </row>
    <row r="795" spans="1:9" ht="41.4">
      <c r="A795" s="2070"/>
      <c r="B795" s="2074" t="s">
        <v>5584</v>
      </c>
      <c r="C795" s="2059">
        <v>1</v>
      </c>
      <c r="D795" s="1274" t="s">
        <v>772</v>
      </c>
      <c r="E795" s="1581">
        <v>450000</v>
      </c>
      <c r="F795" s="1814"/>
      <c r="G795" s="1814">
        <f>+E795*C795</f>
        <v>450000</v>
      </c>
      <c r="H795" s="1814"/>
      <c r="I795" s="1814"/>
    </row>
    <row r="796" spans="1:9" ht="27.6">
      <c r="A796" s="2070"/>
      <c r="B796" s="2074" t="s">
        <v>5585</v>
      </c>
      <c r="C796" s="2059">
        <v>3</v>
      </c>
      <c r="D796" s="1274" t="s">
        <v>363</v>
      </c>
      <c r="E796" s="1581">
        <v>2750000</v>
      </c>
      <c r="F796" s="1814"/>
      <c r="G796" s="1814">
        <f t="shared" ref="G796:G803" si="55">+E796*C796</f>
        <v>8250000</v>
      </c>
      <c r="H796" s="1814"/>
      <c r="I796" s="1814"/>
    </row>
    <row r="797" spans="1:9" ht="27.6">
      <c r="A797" s="2070"/>
      <c r="B797" s="2074" t="s">
        <v>5586</v>
      </c>
      <c r="C797" s="2059">
        <v>3</v>
      </c>
      <c r="D797" s="1274" t="s">
        <v>363</v>
      </c>
      <c r="E797" s="1581">
        <v>3750000</v>
      </c>
      <c r="F797" s="1814"/>
      <c r="G797" s="1814">
        <f t="shared" si="55"/>
        <v>11250000</v>
      </c>
      <c r="H797" s="1814"/>
      <c r="I797" s="1814"/>
    </row>
    <row r="798" spans="1:9" ht="18">
      <c r="A798" s="2070"/>
      <c r="B798" s="2074" t="s">
        <v>5587</v>
      </c>
      <c r="C798" s="2059">
        <v>1</v>
      </c>
      <c r="D798" s="1274" t="s">
        <v>363</v>
      </c>
      <c r="E798" s="1581">
        <v>380000</v>
      </c>
      <c r="F798" s="1814"/>
      <c r="G798" s="1814">
        <f t="shared" si="55"/>
        <v>380000</v>
      </c>
      <c r="H798" s="1814"/>
      <c r="I798" s="1814"/>
    </row>
    <row r="799" spans="1:9" ht="18">
      <c r="A799" s="2070"/>
      <c r="B799" s="2074" t="s">
        <v>5588</v>
      </c>
      <c r="C799" s="2059">
        <v>5</v>
      </c>
      <c r="D799" s="1274" t="s">
        <v>45</v>
      </c>
      <c r="E799" s="1581">
        <v>21000</v>
      </c>
      <c r="F799" s="1814"/>
      <c r="G799" s="1814">
        <f t="shared" si="55"/>
        <v>105000</v>
      </c>
      <c r="H799" s="1814"/>
      <c r="I799" s="1814"/>
    </row>
    <row r="800" spans="1:9" ht="18">
      <c r="A800" s="2070"/>
      <c r="B800" s="2074" t="s">
        <v>5589</v>
      </c>
      <c r="C800" s="2068">
        <v>5</v>
      </c>
      <c r="D800" s="1274" t="s">
        <v>45</v>
      </c>
      <c r="E800" s="1581">
        <v>23000</v>
      </c>
      <c r="F800" s="1581"/>
      <c r="G800" s="1814">
        <f t="shared" si="55"/>
        <v>115000</v>
      </c>
      <c r="H800" s="1581"/>
      <c r="I800" s="1581"/>
    </row>
    <row r="801" spans="1:9" ht="36">
      <c r="A801" s="1580"/>
      <c r="B801" s="1911" t="s">
        <v>5590</v>
      </c>
      <c r="C801" s="2068">
        <v>1</v>
      </c>
      <c r="D801" s="1274" t="s">
        <v>363</v>
      </c>
      <c r="E801" s="1581">
        <v>3750000</v>
      </c>
      <c r="F801" s="1581"/>
      <c r="G801" s="1814">
        <f t="shared" si="55"/>
        <v>3750000</v>
      </c>
      <c r="H801" s="1581"/>
      <c r="I801" s="1581"/>
    </row>
    <row r="802" spans="1:9" ht="18">
      <c r="A802" s="1580"/>
      <c r="B802" s="2075" t="s">
        <v>5591</v>
      </c>
      <c r="C802" s="2068">
        <v>1</v>
      </c>
      <c r="D802" s="1274" t="s">
        <v>363</v>
      </c>
      <c r="E802" s="1581">
        <v>470000</v>
      </c>
      <c r="F802" s="1581"/>
      <c r="G802" s="1814">
        <f t="shared" si="55"/>
        <v>470000</v>
      </c>
      <c r="H802" s="1581"/>
      <c r="I802" s="1581"/>
    </row>
    <row r="803" spans="1:9" ht="18">
      <c r="A803" s="2081"/>
      <c r="B803" s="2075" t="s">
        <v>5592</v>
      </c>
      <c r="C803" s="2068">
        <v>15</v>
      </c>
      <c r="D803" s="1274" t="s">
        <v>45</v>
      </c>
      <c r="E803" s="1581">
        <v>15000</v>
      </c>
      <c r="F803" s="1581"/>
      <c r="G803" s="1814">
        <f t="shared" si="55"/>
        <v>225000</v>
      </c>
      <c r="H803" s="1581"/>
      <c r="I803" s="1581"/>
    </row>
    <row r="804" spans="1:9" ht="18">
      <c r="A804" s="1229" t="s">
        <v>584</v>
      </c>
      <c r="B804" s="184" t="s">
        <v>5593</v>
      </c>
      <c r="C804" s="2076">
        <v>1</v>
      </c>
      <c r="D804" s="1229" t="s">
        <v>583</v>
      </c>
      <c r="E804" s="1581">
        <v>250000</v>
      </c>
      <c r="F804" s="1814"/>
      <c r="G804" s="1814"/>
      <c r="H804" s="1814"/>
      <c r="I804" s="1814">
        <f>+C804*E804</f>
        <v>250000</v>
      </c>
    </row>
    <row r="805" spans="1:9" ht="18">
      <c r="A805" s="2036" t="s">
        <v>190</v>
      </c>
      <c r="B805" s="1266">
        <f>+SUM(F805:I805)</f>
        <v>25245000</v>
      </c>
      <c r="C805" s="2059"/>
      <c r="D805" s="1267"/>
      <c r="E805" s="1581"/>
      <c r="F805" s="1814">
        <f>SUM(F795:F804)</f>
        <v>0</v>
      </c>
      <c r="G805" s="1814">
        <f>SUM(G795:G803)</f>
        <v>24995000</v>
      </c>
      <c r="H805" s="1814">
        <f>SUM(H795:H804)</f>
        <v>0</v>
      </c>
      <c r="I805" s="1814">
        <f>SUM(I795:I804)</f>
        <v>250000</v>
      </c>
    </row>
    <row r="806" spans="1:9" ht="18">
      <c r="A806" s="2036" t="s">
        <v>191</v>
      </c>
      <c r="B806" s="1587">
        <f>SUM(B805:B805)</f>
        <v>25245000</v>
      </c>
      <c r="C806" s="2066" t="s">
        <v>363</v>
      </c>
      <c r="D806" s="863"/>
      <c r="E806" s="864"/>
      <c r="F806" s="864"/>
      <c r="G806" s="864"/>
      <c r="H806" s="864"/>
      <c r="I806" s="864"/>
    </row>
    <row r="807" spans="1:9" ht="18">
      <c r="A807" s="504"/>
      <c r="B807" s="505"/>
      <c r="C807" s="2077"/>
      <c r="D807" s="504"/>
      <c r="E807" s="506"/>
      <c r="F807" s="506"/>
      <c r="G807" s="506"/>
      <c r="H807" s="506"/>
      <c r="I807" s="506"/>
    </row>
    <row r="808" spans="1:9" ht="18">
      <c r="A808" s="2035">
        <v>2.2000000000000002</v>
      </c>
      <c r="B808" s="3566" t="s">
        <v>5597</v>
      </c>
      <c r="C808" s="3567"/>
      <c r="D808" s="3567"/>
      <c r="E808" s="3567"/>
      <c r="F808" s="3567"/>
      <c r="G808" s="3567"/>
      <c r="H808" s="3567"/>
      <c r="I808" s="3568"/>
    </row>
    <row r="809" spans="1:9" ht="18">
      <c r="A809" s="1229"/>
      <c r="B809" s="1815"/>
      <c r="C809" s="2059" t="s">
        <v>140</v>
      </c>
      <c r="D809" s="1229" t="s">
        <v>343</v>
      </c>
      <c r="E809" s="1581" t="s">
        <v>344</v>
      </c>
      <c r="F809" s="1814" t="s">
        <v>482</v>
      </c>
      <c r="G809" s="1814" t="s">
        <v>483</v>
      </c>
      <c r="H809" s="1814" t="s">
        <v>232</v>
      </c>
      <c r="I809" s="1814" t="s">
        <v>171</v>
      </c>
    </row>
    <row r="810" spans="1:9" ht="18">
      <c r="A810" s="2070"/>
      <c r="B810" s="2074" t="s">
        <v>5329</v>
      </c>
      <c r="C810" s="2068">
        <v>0.29999999999999982</v>
      </c>
      <c r="D810" s="1274" t="s">
        <v>5402</v>
      </c>
      <c r="E810" s="1581">
        <f>+ESCAL</f>
        <v>50000</v>
      </c>
      <c r="F810" s="1581">
        <f>+C810*E810</f>
        <v>14999.999999999991</v>
      </c>
      <c r="G810" s="2061"/>
      <c r="H810" s="1581"/>
      <c r="I810" s="1581"/>
    </row>
    <row r="811" spans="1:9" ht="18">
      <c r="A811" s="1580"/>
      <c r="B811" s="2075" t="s">
        <v>5330</v>
      </c>
      <c r="C811" s="2068">
        <v>1.5</v>
      </c>
      <c r="D811" s="1274" t="s">
        <v>5402</v>
      </c>
      <c r="E811" s="1581">
        <f>+CINT</f>
        <v>10000</v>
      </c>
      <c r="F811" s="1581">
        <f>+C811*E811</f>
        <v>15000</v>
      </c>
      <c r="G811" s="2061"/>
      <c r="H811" s="1581"/>
      <c r="I811" s="1581"/>
    </row>
    <row r="812" spans="1:9" ht="18">
      <c r="A812" s="1229"/>
      <c r="B812" s="2064" t="s">
        <v>5328</v>
      </c>
      <c r="C812" s="2059">
        <f>1/0.35</f>
        <v>2.8571428571428572</v>
      </c>
      <c r="D812" s="1229" t="s">
        <v>346</v>
      </c>
      <c r="E812" s="1581">
        <v>90000</v>
      </c>
      <c r="F812" s="1814"/>
      <c r="G812" s="1814"/>
      <c r="H812" s="1814">
        <f>+E812*C812</f>
        <v>257142.85714285716</v>
      </c>
      <c r="I812" s="1814"/>
    </row>
    <row r="813" spans="1:9" ht="18">
      <c r="A813" s="1229"/>
      <c r="B813" s="2064" t="s">
        <v>5328</v>
      </c>
      <c r="C813" s="2059">
        <f t="shared" ref="C813:C814" si="56">1/0.35</f>
        <v>2.8571428571428572</v>
      </c>
      <c r="D813" s="1229" t="s">
        <v>346</v>
      </c>
      <c r="E813" s="1581">
        <v>63000</v>
      </c>
      <c r="F813" s="1814"/>
      <c r="G813" s="1814"/>
      <c r="H813" s="1814">
        <f t="shared" ref="H813:H814" si="57">+E813*C813</f>
        <v>180000</v>
      </c>
      <c r="I813" s="1814"/>
    </row>
    <row r="814" spans="1:9" ht="18">
      <c r="A814" s="1229"/>
      <c r="B814" s="2065" t="s">
        <v>1062</v>
      </c>
      <c r="C814" s="2059">
        <f t="shared" si="56"/>
        <v>2.8571428571428572</v>
      </c>
      <c r="D814" s="1580" t="s">
        <v>346</v>
      </c>
      <c r="E814" s="1581">
        <f>+AYUDR</f>
        <v>50299.76584</v>
      </c>
      <c r="F814" s="1814"/>
      <c r="G814" s="1814" t="s">
        <v>441</v>
      </c>
      <c r="H814" s="1814">
        <f t="shared" si="57"/>
        <v>143713.61668571428</v>
      </c>
      <c r="I814" s="1814"/>
    </row>
    <row r="815" spans="1:9" ht="18">
      <c r="A815" s="1229" t="s">
        <v>2344</v>
      </c>
      <c r="B815" s="1815" t="s">
        <v>189</v>
      </c>
      <c r="C815" s="2059">
        <v>1</v>
      </c>
      <c r="D815" s="401" t="s">
        <v>583</v>
      </c>
      <c r="E815" s="1581">
        <f>H816*0.05</f>
        <v>29042.82369142857</v>
      </c>
      <c r="F815" s="1814"/>
      <c r="G815" s="1814"/>
      <c r="H815" s="1814"/>
      <c r="I815" s="1814">
        <f>+E815*C815</f>
        <v>29042.82369142857</v>
      </c>
    </row>
    <row r="816" spans="1:9" ht="18">
      <c r="A816" s="2036" t="s">
        <v>190</v>
      </c>
      <c r="B816" s="1266">
        <f>SUM(F816:I816)</f>
        <v>639899.29751999991</v>
      </c>
      <c r="C816" s="2059"/>
      <c r="D816" s="1267"/>
      <c r="E816" s="1581"/>
      <c r="F816" s="1814">
        <f>SUM(F810:F815)</f>
        <v>29999.999999999993</v>
      </c>
      <c r="G816" s="1814">
        <f t="shared" ref="G816:I816" si="58">SUM(G810:G815)</f>
        <v>0</v>
      </c>
      <c r="H816" s="1814">
        <f t="shared" si="58"/>
        <v>580856.47382857138</v>
      </c>
      <c r="I816" s="1814">
        <f t="shared" si="58"/>
        <v>29042.82369142857</v>
      </c>
    </row>
    <row r="817" spans="1:9" ht="18">
      <c r="A817" s="2036" t="s">
        <v>191</v>
      </c>
      <c r="B817" s="1587">
        <f>SUM(B816:B816)</f>
        <v>639899.29751999991</v>
      </c>
      <c r="C817" s="2066" t="s">
        <v>363</v>
      </c>
      <c r="D817" s="863"/>
      <c r="E817" s="864"/>
      <c r="F817" s="864"/>
      <c r="G817" s="864"/>
      <c r="H817" s="864"/>
      <c r="I817" s="864"/>
    </row>
    <row r="818" spans="1:9" ht="18">
      <c r="A818" s="504"/>
      <c r="B818" s="505"/>
      <c r="C818" s="2077"/>
      <c r="D818" s="504"/>
      <c r="E818" s="506"/>
      <c r="F818" s="506"/>
      <c r="G818" s="506"/>
      <c r="H818" s="506"/>
      <c r="I818" s="506"/>
    </row>
    <row r="819" spans="1:9" ht="18">
      <c r="A819" s="2035">
        <v>2.2000000000000002</v>
      </c>
      <c r="B819" s="3566" t="s">
        <v>5598</v>
      </c>
      <c r="C819" s="3567"/>
      <c r="D819" s="3567"/>
      <c r="E819" s="3567"/>
      <c r="F819" s="3567"/>
      <c r="G819" s="3567"/>
      <c r="H819" s="3567"/>
      <c r="I819" s="3568"/>
    </row>
    <row r="820" spans="1:9" ht="18">
      <c r="A820" s="1229"/>
      <c r="B820" s="1815"/>
      <c r="C820" s="2059" t="s">
        <v>140</v>
      </c>
      <c r="D820" s="1229" t="s">
        <v>343</v>
      </c>
      <c r="E820" s="1581" t="s">
        <v>344</v>
      </c>
      <c r="F820" s="1814" t="s">
        <v>482</v>
      </c>
      <c r="G820" s="1814" t="s">
        <v>483</v>
      </c>
      <c r="H820" s="1814" t="s">
        <v>232</v>
      </c>
      <c r="I820" s="1814" t="s">
        <v>171</v>
      </c>
    </row>
    <row r="821" spans="1:9" ht="18">
      <c r="A821" s="2070"/>
      <c r="B821" s="2074" t="s">
        <v>5365</v>
      </c>
      <c r="C821" s="2059">
        <v>1</v>
      </c>
      <c r="D821" s="1274" t="s">
        <v>363</v>
      </c>
      <c r="E821" s="1581">
        <v>220000</v>
      </c>
      <c r="F821" s="1814"/>
      <c r="G821" s="1814">
        <f>+E821*C821</f>
        <v>220000</v>
      </c>
      <c r="H821" s="1814"/>
      <c r="I821" s="1814"/>
    </row>
    <row r="822" spans="1:9" ht="18">
      <c r="A822" s="2070"/>
      <c r="B822" s="2074" t="s">
        <v>5599</v>
      </c>
      <c r="C822" s="2059">
        <v>2</v>
      </c>
      <c r="D822" s="1274" t="s">
        <v>363</v>
      </c>
      <c r="E822" s="1581">
        <v>6500</v>
      </c>
      <c r="F822" s="1814"/>
      <c r="G822" s="1814">
        <f t="shared" ref="G822:G830" si="59">+E822*C822</f>
        <v>13000</v>
      </c>
      <c r="H822" s="1814"/>
      <c r="I822" s="1814"/>
    </row>
    <row r="823" spans="1:9" ht="18">
      <c r="A823" s="2070"/>
      <c r="B823" s="2074" t="s">
        <v>5367</v>
      </c>
      <c r="C823" s="2059">
        <v>4</v>
      </c>
      <c r="D823" s="1274" t="s">
        <v>363</v>
      </c>
      <c r="E823" s="1581">
        <v>300</v>
      </c>
      <c r="F823" s="1814"/>
      <c r="G823" s="1814">
        <f t="shared" si="59"/>
        <v>1200</v>
      </c>
      <c r="H823" s="1814"/>
      <c r="I823" s="1814"/>
    </row>
    <row r="824" spans="1:9" ht="18">
      <c r="A824" s="2070"/>
      <c r="B824" s="2074" t="s">
        <v>5368</v>
      </c>
      <c r="C824" s="2059">
        <v>4</v>
      </c>
      <c r="D824" s="1274" t="s">
        <v>363</v>
      </c>
      <c r="E824" s="1581">
        <v>300</v>
      </c>
      <c r="F824" s="1814"/>
      <c r="G824" s="1814">
        <f t="shared" si="59"/>
        <v>1200</v>
      </c>
      <c r="H824" s="1814"/>
      <c r="I824" s="1814"/>
    </row>
    <row r="825" spans="1:9" ht="18">
      <c r="A825" s="2070"/>
      <c r="B825" s="2074" t="s">
        <v>5369</v>
      </c>
      <c r="C825" s="2059">
        <v>1</v>
      </c>
      <c r="D825" s="1274" t="s">
        <v>363</v>
      </c>
      <c r="E825" s="1581">
        <v>190000</v>
      </c>
      <c r="F825" s="1814"/>
      <c r="G825" s="1814">
        <f t="shared" si="59"/>
        <v>190000</v>
      </c>
      <c r="H825" s="1814"/>
      <c r="I825" s="1814"/>
    </row>
    <row r="826" spans="1:9" ht="18">
      <c r="A826" s="2070"/>
      <c r="B826" s="2074" t="s">
        <v>5370</v>
      </c>
      <c r="C826" s="2068">
        <v>20</v>
      </c>
      <c r="D826" s="1274" t="s">
        <v>45</v>
      </c>
      <c r="E826" s="1581">
        <v>15000</v>
      </c>
      <c r="F826" s="1581"/>
      <c r="G826" s="1814">
        <f t="shared" si="59"/>
        <v>300000</v>
      </c>
      <c r="H826" s="1581"/>
      <c r="I826" s="1581"/>
    </row>
    <row r="827" spans="1:9" ht="18">
      <c r="A827" s="1580"/>
      <c r="B827" s="1911" t="s">
        <v>5371</v>
      </c>
      <c r="C827" s="2068">
        <v>3</v>
      </c>
      <c r="D827" s="1274" t="s">
        <v>363</v>
      </c>
      <c r="E827" s="1581">
        <v>220000</v>
      </c>
      <c r="F827" s="1581"/>
      <c r="G827" s="1814">
        <f t="shared" si="59"/>
        <v>660000</v>
      </c>
      <c r="H827" s="1581"/>
      <c r="I827" s="1581"/>
    </row>
    <row r="828" spans="1:9" ht="18">
      <c r="A828" s="1580"/>
      <c r="B828" s="2075" t="s">
        <v>5372</v>
      </c>
      <c r="C828" s="2068">
        <v>3</v>
      </c>
      <c r="D828" s="1274" t="s">
        <v>363</v>
      </c>
      <c r="E828" s="1581">
        <v>4000</v>
      </c>
      <c r="F828" s="1581"/>
      <c r="G828" s="1814">
        <f t="shared" si="59"/>
        <v>12000</v>
      </c>
      <c r="H828" s="1581"/>
      <c r="I828" s="1581"/>
    </row>
    <row r="829" spans="1:9" ht="18">
      <c r="A829" s="2081"/>
      <c r="B829" s="2075" t="s">
        <v>5373</v>
      </c>
      <c r="C829" s="2068">
        <v>3</v>
      </c>
      <c r="D829" s="1274" t="s">
        <v>363</v>
      </c>
      <c r="E829" s="1581">
        <v>220000</v>
      </c>
      <c r="F829" s="1581"/>
      <c r="G829" s="1814">
        <f t="shared" si="59"/>
        <v>660000</v>
      </c>
      <c r="H829" s="1581"/>
      <c r="I829" s="1581"/>
    </row>
    <row r="830" spans="1:9" ht="18">
      <c r="A830" s="2081"/>
      <c r="B830" s="2075" t="s">
        <v>5343</v>
      </c>
      <c r="C830" s="2068">
        <v>3</v>
      </c>
      <c r="D830" s="1274" t="s">
        <v>363</v>
      </c>
      <c r="E830" s="1581">
        <v>25000</v>
      </c>
      <c r="F830" s="1581"/>
      <c r="G830" s="1814">
        <f t="shared" si="59"/>
        <v>75000</v>
      </c>
      <c r="H830" s="1581"/>
      <c r="I830" s="1581"/>
    </row>
    <row r="831" spans="1:9" ht="18">
      <c r="A831" s="1229" t="s">
        <v>584</v>
      </c>
      <c r="B831" s="184" t="s">
        <v>5521</v>
      </c>
      <c r="C831" s="2076">
        <v>1</v>
      </c>
      <c r="D831" s="1229" t="s">
        <v>583</v>
      </c>
      <c r="E831" s="1581">
        <v>50000</v>
      </c>
      <c r="F831" s="1814"/>
      <c r="G831" s="1814"/>
      <c r="H831" s="1814"/>
      <c r="I831" s="1814">
        <f>+C831*E831</f>
        <v>50000</v>
      </c>
    </row>
    <row r="832" spans="1:9" ht="18">
      <c r="A832" s="2036" t="s">
        <v>190</v>
      </c>
      <c r="B832" s="1266">
        <f>+SUM(F832:I832)</f>
        <v>2182400</v>
      </c>
      <c r="C832" s="2059"/>
      <c r="D832" s="1267"/>
      <c r="E832" s="1581"/>
      <c r="F832" s="1814">
        <f>SUM(F821:F831)</f>
        <v>0</v>
      </c>
      <c r="G832" s="1814">
        <f t="shared" ref="G832:I832" si="60">SUM(G821:G831)</f>
        <v>2132400</v>
      </c>
      <c r="H832" s="1814">
        <f t="shared" si="60"/>
        <v>0</v>
      </c>
      <c r="I832" s="1814">
        <f t="shared" si="60"/>
        <v>50000</v>
      </c>
    </row>
    <row r="833" spans="1:9" ht="18">
      <c r="A833" s="2036" t="s">
        <v>191</v>
      </c>
      <c r="B833" s="1587">
        <f>SUM(B832:B832)</f>
        <v>2182400</v>
      </c>
      <c r="C833" s="2066" t="s">
        <v>363</v>
      </c>
      <c r="D833" s="863"/>
      <c r="E833" s="864"/>
      <c r="F833" s="864"/>
      <c r="G833" s="864"/>
      <c r="H833" s="864"/>
      <c r="I833" s="864"/>
    </row>
    <row r="834" spans="1:9" ht="18">
      <c r="A834" s="504"/>
      <c r="B834" s="505"/>
      <c r="C834" s="2077"/>
      <c r="D834" s="504"/>
      <c r="E834" s="506"/>
      <c r="F834" s="506"/>
      <c r="G834" s="506"/>
      <c r="H834" s="506"/>
      <c r="I834" s="506"/>
    </row>
    <row r="835" spans="1:9" ht="18">
      <c r="A835" s="2082">
        <v>2.2999999999999998</v>
      </c>
      <c r="B835" s="3563" t="s">
        <v>5414</v>
      </c>
      <c r="C835" s="3564"/>
      <c r="D835" s="3564"/>
      <c r="E835" s="3564"/>
      <c r="F835" s="3564"/>
      <c r="G835" s="3564"/>
      <c r="H835" s="3564"/>
      <c r="I835" s="3565"/>
    </row>
    <row r="836" spans="1:9" ht="18">
      <c r="A836" s="2043"/>
      <c r="B836" s="1262"/>
      <c r="C836" s="1299" t="s">
        <v>140</v>
      </c>
      <c r="D836" s="1580" t="s">
        <v>343</v>
      </c>
      <c r="E836" s="1255" t="s">
        <v>344</v>
      </c>
      <c r="F836" s="1255" t="s">
        <v>482</v>
      </c>
      <c r="G836" s="1255" t="s">
        <v>483</v>
      </c>
      <c r="H836" s="1255" t="s">
        <v>170</v>
      </c>
      <c r="I836" s="1255" t="s">
        <v>171</v>
      </c>
    </row>
    <row r="837" spans="1:9" ht="18">
      <c r="A837" s="2043" t="s">
        <v>172</v>
      </c>
      <c r="B837" s="1262" t="s">
        <v>189</v>
      </c>
      <c r="C837" s="687">
        <v>1</v>
      </c>
      <c r="D837" s="1229" t="s">
        <v>583</v>
      </c>
      <c r="E837" s="2679">
        <f>+H840*0.05</f>
        <v>2338.3294306666667</v>
      </c>
      <c r="F837" s="2679"/>
      <c r="G837" s="2679"/>
      <c r="H837" s="2679"/>
      <c r="I837" s="2679">
        <f>+E837*C837</f>
        <v>2338.3294306666667</v>
      </c>
    </row>
    <row r="838" spans="1:9" ht="18">
      <c r="A838" s="2043" t="s">
        <v>348</v>
      </c>
      <c r="B838" s="1262" t="str">
        <f>IF(PRESTA&gt;0,"AYUD. RASO (INCLUYE "&amp;""&amp;PRESTA*100&amp;"% PRESTACIONES)",0)</f>
        <v>AYUD. RASO (INCLUYE 82,22% PRESTACIONES)</v>
      </c>
      <c r="C838" s="687">
        <v>0.33333333333333331</v>
      </c>
      <c r="D838" s="1229" t="s">
        <v>346</v>
      </c>
      <c r="E838" s="2679">
        <f>+AYUDR</f>
        <v>50299.76584</v>
      </c>
      <c r="F838" s="2679"/>
      <c r="G838" s="2679"/>
      <c r="H838" s="2679">
        <f>+E838*C838</f>
        <v>16766.588613333333</v>
      </c>
      <c r="I838" s="2679"/>
    </row>
    <row r="839" spans="1:9" ht="18">
      <c r="A839" s="2043"/>
      <c r="B839" s="231" t="s">
        <v>5104</v>
      </c>
      <c r="C839" s="687">
        <v>0.33333333333333331</v>
      </c>
      <c r="D839" s="1229" t="s">
        <v>717</v>
      </c>
      <c r="E839" s="2679">
        <v>90000</v>
      </c>
      <c r="F839" s="2679"/>
      <c r="G839" s="2679"/>
      <c r="H839" s="2679">
        <f>+E839*C839</f>
        <v>30000</v>
      </c>
      <c r="I839" s="2679"/>
    </row>
    <row r="840" spans="1:9" ht="18">
      <c r="A840" s="2083" t="s">
        <v>190</v>
      </c>
      <c r="B840" s="1587">
        <f>SUM(F840:I840)</f>
        <v>49104.918043999998</v>
      </c>
      <c r="C840" s="687"/>
      <c r="D840" s="1229"/>
      <c r="E840" s="2679"/>
      <c r="F840" s="2679">
        <f>+SUM(F837:F839)</f>
        <v>0</v>
      </c>
      <c r="G840" s="2679">
        <f>+SUM(G837:G839)</f>
        <v>0</v>
      </c>
      <c r="H840" s="2679">
        <f>+SUM(H837:H839)</f>
        <v>46766.588613333333</v>
      </c>
      <c r="I840" s="2679">
        <f>+SUM(I837:I839)</f>
        <v>2338.3294306666667</v>
      </c>
    </row>
    <row r="841" spans="1:9" ht="18">
      <c r="A841" s="2083" t="s">
        <v>191</v>
      </c>
      <c r="B841" s="1587">
        <f>+B840</f>
        <v>49104.918043999998</v>
      </c>
      <c r="C841" s="1228" t="s">
        <v>45</v>
      </c>
      <c r="D841" s="873"/>
      <c r="E841" s="1794"/>
      <c r="F841" s="1794"/>
      <c r="G841" s="1794"/>
      <c r="H841" s="1794"/>
      <c r="I841" s="1794"/>
    </row>
    <row r="842" spans="1:9" ht="18">
      <c r="A842" s="402"/>
      <c r="B842" s="402"/>
      <c r="C842" s="402"/>
      <c r="D842" s="402"/>
      <c r="E842" s="402"/>
      <c r="F842" s="402"/>
      <c r="G842" s="402"/>
      <c r="H842" s="402"/>
      <c r="I842" s="402"/>
    </row>
    <row r="843" spans="1:9" ht="18">
      <c r="A843" s="2082">
        <v>2.2999999999999998</v>
      </c>
      <c r="B843" s="3563" t="s">
        <v>5415</v>
      </c>
      <c r="C843" s="3564"/>
      <c r="D843" s="3564"/>
      <c r="E843" s="3564"/>
      <c r="F843" s="3564"/>
      <c r="G843" s="3564"/>
      <c r="H843" s="3564"/>
      <c r="I843" s="3565"/>
    </row>
    <row r="844" spans="1:9" ht="18">
      <c r="A844" s="2043"/>
      <c r="B844" s="1262"/>
      <c r="C844" s="1299" t="s">
        <v>140</v>
      </c>
      <c r="D844" s="1580" t="s">
        <v>343</v>
      </c>
      <c r="E844" s="1255" t="s">
        <v>344</v>
      </c>
      <c r="F844" s="1255" t="s">
        <v>482</v>
      </c>
      <c r="G844" s="1255" t="s">
        <v>483</v>
      </c>
      <c r="H844" s="1255" t="s">
        <v>170</v>
      </c>
      <c r="I844" s="1255" t="s">
        <v>171</v>
      </c>
    </row>
    <row r="845" spans="1:9" ht="18">
      <c r="A845" s="2043"/>
      <c r="B845" s="2084" t="s">
        <v>5416</v>
      </c>
      <c r="C845" s="687">
        <v>3</v>
      </c>
      <c r="D845" s="1229" t="s">
        <v>45</v>
      </c>
      <c r="E845" s="2679">
        <v>51000</v>
      </c>
      <c r="F845" s="2679"/>
      <c r="G845" s="2679">
        <f>+E845*C845</f>
        <v>153000</v>
      </c>
      <c r="H845" s="2679"/>
      <c r="I845" s="2679"/>
    </row>
    <row r="846" spans="1:9" ht="18">
      <c r="A846" s="2043"/>
      <c r="B846" s="2084" t="s">
        <v>5417</v>
      </c>
      <c r="C846" s="687">
        <v>2</v>
      </c>
      <c r="D846" s="1229" t="s">
        <v>45</v>
      </c>
      <c r="E846" s="2679">
        <v>10000</v>
      </c>
      <c r="F846" s="2679"/>
      <c r="G846" s="2679">
        <f t="shared" ref="G846" si="61">+E846*C846</f>
        <v>20000</v>
      </c>
      <c r="H846" s="2679"/>
      <c r="I846" s="2679"/>
    </row>
    <row r="847" spans="1:9" ht="18">
      <c r="A847" s="2043"/>
      <c r="B847" s="1262" t="s">
        <v>5117</v>
      </c>
      <c r="C847" s="687">
        <v>1</v>
      </c>
      <c r="D847" s="1229" t="s">
        <v>772</v>
      </c>
      <c r="E847" s="2679">
        <v>1500</v>
      </c>
      <c r="F847" s="2679"/>
      <c r="G847" s="402"/>
      <c r="H847" s="2679"/>
      <c r="I847" s="2679">
        <f>+E847*C847</f>
        <v>1500</v>
      </c>
    </row>
    <row r="848" spans="1:9" ht="18">
      <c r="A848" s="2083" t="s">
        <v>190</v>
      </c>
      <c r="B848" s="1587">
        <f>SUM(F848:I848)</f>
        <v>174500</v>
      </c>
      <c r="C848" s="687"/>
      <c r="D848" s="1229"/>
      <c r="E848" s="2679"/>
      <c r="F848" s="2679">
        <f>+SUM(F845:F847)</f>
        <v>0</v>
      </c>
      <c r="G848" s="2679">
        <f>+SUM(G845:G847)</f>
        <v>173000</v>
      </c>
      <c r="H848" s="2679">
        <f>+SUM(H845:H847)</f>
        <v>0</v>
      </c>
      <c r="I848" s="2679">
        <f>+SUM(I845:I847)</f>
        <v>1500</v>
      </c>
    </row>
    <row r="849" spans="1:9" ht="18">
      <c r="A849" s="2083" t="s">
        <v>191</v>
      </c>
      <c r="B849" s="1587">
        <f>+B848</f>
        <v>174500</v>
      </c>
      <c r="C849" s="1228" t="s">
        <v>45</v>
      </c>
      <c r="D849" s="873"/>
      <c r="E849" s="1794"/>
      <c r="F849" s="1794"/>
      <c r="G849" s="1794"/>
      <c r="H849" s="1794"/>
      <c r="I849" s="1794"/>
    </row>
    <row r="851" spans="1:9" ht="18">
      <c r="A851" s="2082">
        <v>2.4</v>
      </c>
      <c r="B851" s="3563" t="s">
        <v>5418</v>
      </c>
      <c r="C851" s="3564"/>
      <c r="D851" s="3564"/>
      <c r="E851" s="3564"/>
      <c r="F851" s="3564"/>
      <c r="G851" s="3564"/>
      <c r="H851" s="3564"/>
      <c r="I851" s="3565"/>
    </row>
    <row r="852" spans="1:9" ht="18">
      <c r="A852" s="2043"/>
      <c r="B852" s="1262"/>
      <c r="C852" s="1299" t="s">
        <v>140</v>
      </c>
      <c r="D852" s="1580" t="s">
        <v>343</v>
      </c>
      <c r="E852" s="1255" t="s">
        <v>344</v>
      </c>
      <c r="F852" s="1255" t="s">
        <v>482</v>
      </c>
      <c r="G852" s="1255" t="s">
        <v>483</v>
      </c>
      <c r="H852" s="1255" t="s">
        <v>170</v>
      </c>
      <c r="I852" s="1255" t="s">
        <v>171</v>
      </c>
    </row>
    <row r="853" spans="1:9" ht="18">
      <c r="A853" s="2043" t="s">
        <v>172</v>
      </c>
      <c r="B853" s="1262" t="s">
        <v>189</v>
      </c>
      <c r="C853" s="687">
        <v>1</v>
      </c>
      <c r="D853" s="1229" t="s">
        <v>583</v>
      </c>
      <c r="E853" s="2679">
        <f>+H856*0.05</f>
        <v>35074.941460000002</v>
      </c>
      <c r="F853" s="2679"/>
      <c r="G853" s="2679"/>
      <c r="H853" s="2679"/>
      <c r="I853" s="2679">
        <f>+E853*C853</f>
        <v>35074.941460000002</v>
      </c>
    </row>
    <row r="854" spans="1:9" ht="18">
      <c r="A854" s="2043" t="s">
        <v>348</v>
      </c>
      <c r="B854" s="1262" t="str">
        <f>IF(PRESTA&gt;0,"AYUD. RASO (INCLUYE "&amp;""&amp;PRESTA*100&amp;"% PRESTACIONES)",0)</f>
        <v>AYUD. RASO (INCLUYE 82,22% PRESTACIONES)</v>
      </c>
      <c r="C854" s="687">
        <f>1/0.2</f>
        <v>5</v>
      </c>
      <c r="D854" s="1229" t="s">
        <v>346</v>
      </c>
      <c r="E854" s="2679">
        <f>+AYUDR</f>
        <v>50299.76584</v>
      </c>
      <c r="F854" s="2679"/>
      <c r="G854" s="2679"/>
      <c r="H854" s="2679">
        <f>+E854*C854</f>
        <v>251498.82920000001</v>
      </c>
      <c r="I854" s="2679"/>
    </row>
    <row r="855" spans="1:9" ht="18">
      <c r="A855" s="2043"/>
      <c r="B855" s="231" t="s">
        <v>5104</v>
      </c>
      <c r="C855" s="687">
        <f>1/0.2</f>
        <v>5</v>
      </c>
      <c r="D855" s="1229" t="s">
        <v>717</v>
      </c>
      <c r="E855" s="2679">
        <v>90000</v>
      </c>
      <c r="F855" s="2679"/>
      <c r="G855" s="2679"/>
      <c r="H855" s="2679">
        <f>+E855*C855</f>
        <v>450000</v>
      </c>
      <c r="I855" s="2679"/>
    </row>
    <row r="856" spans="1:9" ht="18">
      <c r="A856" s="2083" t="s">
        <v>190</v>
      </c>
      <c r="B856" s="1587">
        <f>SUM(F856:I856)</f>
        <v>736573.77066000004</v>
      </c>
      <c r="C856" s="687"/>
      <c r="D856" s="1229"/>
      <c r="E856" s="2679"/>
      <c r="F856" s="2679">
        <f>+SUM(F853:F855)</f>
        <v>0</v>
      </c>
      <c r="G856" s="2679">
        <f>+SUM(G853:G855)</f>
        <v>0</v>
      </c>
      <c r="H856" s="2679">
        <f>+SUM(H853:H855)</f>
        <v>701498.82920000004</v>
      </c>
      <c r="I856" s="2679">
        <f>+SUM(I853:I855)</f>
        <v>35074.941460000002</v>
      </c>
    </row>
    <row r="857" spans="1:9" ht="18">
      <c r="A857" s="2083" t="s">
        <v>191</v>
      </c>
      <c r="B857" s="1587">
        <f>+B856</f>
        <v>736573.77066000004</v>
      </c>
      <c r="C857" s="1228" t="s">
        <v>772</v>
      </c>
      <c r="D857" s="873"/>
      <c r="E857" s="1794"/>
      <c r="F857" s="1794"/>
      <c r="G857" s="1794"/>
      <c r="H857" s="1794"/>
      <c r="I857" s="1794"/>
    </row>
    <row r="858" spans="1:9" ht="18">
      <c r="A858" s="402"/>
      <c r="B858" s="402"/>
      <c r="C858" s="402"/>
      <c r="D858" s="402"/>
      <c r="E858" s="402"/>
      <c r="F858" s="402"/>
      <c r="G858" s="402"/>
      <c r="H858" s="402"/>
      <c r="I858" s="402"/>
    </row>
    <row r="859" spans="1:9" ht="18">
      <c r="A859" s="2082">
        <v>2.4</v>
      </c>
      <c r="B859" s="3563" t="s">
        <v>5419</v>
      </c>
      <c r="C859" s="3564"/>
      <c r="D859" s="3564"/>
      <c r="E859" s="3564"/>
      <c r="F859" s="3564"/>
      <c r="G859" s="3564"/>
      <c r="H859" s="3564"/>
      <c r="I859" s="3565"/>
    </row>
    <row r="860" spans="1:9" ht="18">
      <c r="A860" s="2043"/>
      <c r="B860" s="1262"/>
      <c r="C860" s="1299" t="s">
        <v>140</v>
      </c>
      <c r="D860" s="1580" t="s">
        <v>343</v>
      </c>
      <c r="E860" s="1255" t="s">
        <v>344</v>
      </c>
      <c r="F860" s="1255" t="s">
        <v>482</v>
      </c>
      <c r="G860" s="1255" t="s">
        <v>483</v>
      </c>
      <c r="H860" s="1255" t="s">
        <v>170</v>
      </c>
      <c r="I860" s="1255" t="s">
        <v>171</v>
      </c>
    </row>
    <row r="861" spans="1:9" ht="18">
      <c r="A861" s="2043"/>
      <c r="B861" s="2085" t="s">
        <v>5428</v>
      </c>
      <c r="C861" s="1299">
        <v>1</v>
      </c>
      <c r="D861" s="1580" t="s">
        <v>1058</v>
      </c>
      <c r="E861" s="1255">
        <v>820000</v>
      </c>
      <c r="F861" s="1255"/>
      <c r="G861" s="2679">
        <f t="shared" ref="G861:G867" si="62">+E861*C861</f>
        <v>820000</v>
      </c>
      <c r="H861" s="1255"/>
      <c r="I861" s="1255"/>
    </row>
    <row r="862" spans="1:9" ht="18">
      <c r="A862" s="2043"/>
      <c r="B862" s="2086" t="s">
        <v>5420</v>
      </c>
      <c r="C862" s="1299">
        <v>6</v>
      </c>
      <c r="D862" s="1580" t="s">
        <v>45</v>
      </c>
      <c r="E862" s="1255">
        <v>45000</v>
      </c>
      <c r="F862" s="1255"/>
      <c r="G862" s="2679">
        <f t="shared" si="62"/>
        <v>270000</v>
      </c>
      <c r="H862" s="1255"/>
      <c r="I862" s="1255"/>
    </row>
    <row r="863" spans="1:9" ht="18">
      <c r="A863" s="2043"/>
      <c r="B863" s="2084" t="s">
        <v>5421</v>
      </c>
      <c r="C863" s="1299">
        <v>6</v>
      </c>
      <c r="D863" s="1580" t="s">
        <v>363</v>
      </c>
      <c r="E863" s="1255">
        <v>4200</v>
      </c>
      <c r="F863" s="1255"/>
      <c r="G863" s="2679">
        <f t="shared" si="62"/>
        <v>25200</v>
      </c>
      <c r="H863" s="1255"/>
      <c r="I863" s="1255"/>
    </row>
    <row r="864" spans="1:9" ht="18">
      <c r="A864" s="2043"/>
      <c r="B864" s="2084" t="s">
        <v>5422</v>
      </c>
      <c r="C864" s="1299">
        <v>7</v>
      </c>
      <c r="D864" s="1580" t="s">
        <v>363</v>
      </c>
      <c r="E864" s="1255">
        <v>1500</v>
      </c>
      <c r="F864" s="1255"/>
      <c r="G864" s="2679">
        <f t="shared" si="62"/>
        <v>10500</v>
      </c>
      <c r="H864" s="1255"/>
      <c r="I864" s="1255"/>
    </row>
    <row r="865" spans="1:9" ht="18">
      <c r="A865" s="2043"/>
      <c r="B865" s="2086" t="s">
        <v>5423</v>
      </c>
      <c r="C865" s="1299">
        <v>1</v>
      </c>
      <c r="D865" s="1580" t="s">
        <v>363</v>
      </c>
      <c r="E865" s="1255">
        <v>22000</v>
      </c>
      <c r="F865" s="1255"/>
      <c r="G865" s="2679">
        <f t="shared" si="62"/>
        <v>22000</v>
      </c>
      <c r="H865" s="1255"/>
      <c r="I865" s="1255"/>
    </row>
    <row r="866" spans="1:9" ht="18">
      <c r="A866" s="2043"/>
      <c r="B866" s="2084" t="s">
        <v>5424</v>
      </c>
      <c r="C866" s="1299">
        <v>1</v>
      </c>
      <c r="D866" s="1580" t="s">
        <v>363</v>
      </c>
      <c r="E866" s="1255">
        <v>42000</v>
      </c>
      <c r="F866" s="1255"/>
      <c r="G866" s="2679">
        <f t="shared" si="62"/>
        <v>42000</v>
      </c>
      <c r="H866" s="1255"/>
      <c r="I866" s="1255"/>
    </row>
    <row r="867" spans="1:9" ht="18">
      <c r="A867" s="2043"/>
      <c r="B867" s="2086" t="s">
        <v>5425</v>
      </c>
      <c r="C867" s="1299">
        <v>1</v>
      </c>
      <c r="D867" s="1580" t="s">
        <v>363</v>
      </c>
      <c r="E867" s="1255">
        <v>15000</v>
      </c>
      <c r="F867" s="1255"/>
      <c r="G867" s="2679">
        <f t="shared" si="62"/>
        <v>15000</v>
      </c>
      <c r="H867" s="1255"/>
      <c r="I867" s="1255"/>
    </row>
    <row r="868" spans="1:9" ht="18">
      <c r="A868" s="2043"/>
      <c r="B868" s="2086" t="s">
        <v>5426</v>
      </c>
      <c r="C868" s="687">
        <v>2</v>
      </c>
      <c r="D868" s="1580" t="s">
        <v>363</v>
      </c>
      <c r="E868" s="2679">
        <v>14000</v>
      </c>
      <c r="F868" s="2679"/>
      <c r="G868" s="2679">
        <f>+E868*C868</f>
        <v>28000</v>
      </c>
      <c r="H868" s="2679"/>
      <c r="I868" s="2679"/>
    </row>
    <row r="869" spans="1:9" ht="18">
      <c r="A869" s="2043"/>
      <c r="B869" s="2084" t="s">
        <v>5427</v>
      </c>
      <c r="C869" s="687">
        <v>6</v>
      </c>
      <c r="D869" s="1229" t="s">
        <v>45</v>
      </c>
      <c r="E869" s="2679">
        <v>2800</v>
      </c>
      <c r="F869" s="2679"/>
      <c r="G869" s="2679">
        <f t="shared" ref="G869" si="63">+E869*C869</f>
        <v>16800</v>
      </c>
      <c r="H869" s="2679"/>
      <c r="I869" s="2679"/>
    </row>
    <row r="870" spans="1:9" ht="18">
      <c r="A870" s="2043"/>
      <c r="B870" s="1262" t="s">
        <v>5429</v>
      </c>
      <c r="C870" s="687">
        <v>1</v>
      </c>
      <c r="D870" s="1229" t="s">
        <v>772</v>
      </c>
      <c r="E870" s="2679">
        <v>20000</v>
      </c>
      <c r="F870" s="2679"/>
      <c r="G870" s="402"/>
      <c r="H870" s="2679"/>
      <c r="I870" s="2679">
        <f>+E870*C870</f>
        <v>20000</v>
      </c>
    </row>
    <row r="871" spans="1:9" ht="18">
      <c r="A871" s="2083" t="s">
        <v>190</v>
      </c>
      <c r="B871" s="1587">
        <f>SUM(F871:I871)</f>
        <v>1269500</v>
      </c>
      <c r="C871" s="687"/>
      <c r="D871" s="1229"/>
      <c r="E871" s="2679"/>
      <c r="F871" s="2679">
        <f>+SUM(F868:F870)</f>
        <v>0</v>
      </c>
      <c r="G871" s="2679">
        <f>+SUM(G861:G870)</f>
        <v>1249500</v>
      </c>
      <c r="H871" s="2679">
        <f>+SUM(H868:H870)</f>
        <v>0</v>
      </c>
      <c r="I871" s="2679">
        <f>+SUM(I868:I870)</f>
        <v>20000</v>
      </c>
    </row>
    <row r="872" spans="1:9" ht="18">
      <c r="A872" s="2083" t="s">
        <v>191</v>
      </c>
      <c r="B872" s="1587">
        <f>+B871</f>
        <v>1269500</v>
      </c>
      <c r="C872" s="1228" t="s">
        <v>772</v>
      </c>
      <c r="D872" s="873"/>
      <c r="E872" s="1794"/>
      <c r="F872" s="1794"/>
      <c r="G872" s="1794"/>
      <c r="H872" s="1794"/>
      <c r="I872" s="1794"/>
    </row>
    <row r="874" spans="1:9" ht="31.5" customHeight="1">
      <c r="A874" s="2082">
        <v>2.5</v>
      </c>
      <c r="B874" s="3570" t="s">
        <v>5430</v>
      </c>
      <c r="C874" s="3571"/>
      <c r="D874" s="3571"/>
      <c r="E874" s="3571"/>
      <c r="F874" s="3571"/>
      <c r="G874" s="3571"/>
      <c r="H874" s="3571"/>
      <c r="I874" s="3572"/>
    </row>
    <row r="875" spans="1:9" ht="18">
      <c r="A875" s="2043"/>
      <c r="B875" s="1262"/>
      <c r="C875" s="1299" t="s">
        <v>140</v>
      </c>
      <c r="D875" s="1580" t="s">
        <v>343</v>
      </c>
      <c r="E875" s="1255" t="s">
        <v>344</v>
      </c>
      <c r="F875" s="1255" t="s">
        <v>482</v>
      </c>
      <c r="G875" s="1255" t="s">
        <v>483</v>
      </c>
      <c r="H875" s="1255" t="s">
        <v>170</v>
      </c>
      <c r="I875" s="1255" t="s">
        <v>171</v>
      </c>
    </row>
    <row r="876" spans="1:9" ht="18">
      <c r="A876" s="2043" t="s">
        <v>172</v>
      </c>
      <c r="B876" s="1262" t="s">
        <v>189</v>
      </c>
      <c r="C876" s="687">
        <v>1</v>
      </c>
      <c r="D876" s="1229" t="s">
        <v>583</v>
      </c>
      <c r="E876" s="2679">
        <f>+H881*0.05</f>
        <v>116916.47153333333</v>
      </c>
      <c r="F876" s="2679"/>
      <c r="G876" s="2679"/>
      <c r="H876" s="2679"/>
      <c r="I876" s="2679">
        <f>+E876*C876</f>
        <v>116916.47153333333</v>
      </c>
    </row>
    <row r="877" spans="1:9" ht="18">
      <c r="A877" s="1200" t="s">
        <v>5406</v>
      </c>
      <c r="B877" s="2086" t="s">
        <v>5330</v>
      </c>
      <c r="C877" s="1229">
        <v>1.5000000000000002</v>
      </c>
      <c r="D877" s="1229" t="s">
        <v>5402</v>
      </c>
      <c r="E877" s="2679">
        <f>+CINT</f>
        <v>10000</v>
      </c>
      <c r="F877" s="2679">
        <f>+C877*E877</f>
        <v>15000.000000000002</v>
      </c>
      <c r="G877" s="1814"/>
      <c r="H877" s="1581"/>
      <c r="I877" s="1581"/>
    </row>
    <row r="878" spans="1:9" ht="18">
      <c r="A878" s="1580" t="s">
        <v>5401</v>
      </c>
      <c r="B878" s="2086" t="s">
        <v>5363</v>
      </c>
      <c r="C878" s="687">
        <v>1.6666666666666665</v>
      </c>
      <c r="D878" s="1229" t="s">
        <v>5402</v>
      </c>
      <c r="E878" s="2679">
        <f>+GRUA</f>
        <v>150000</v>
      </c>
      <c r="F878" s="2679">
        <f>+C878*E878</f>
        <v>249999.99999999997</v>
      </c>
      <c r="G878" s="1581"/>
      <c r="H878" s="1581"/>
      <c r="I878" s="1581"/>
    </row>
    <row r="879" spans="1:9" ht="18">
      <c r="A879" s="2043" t="s">
        <v>348</v>
      </c>
      <c r="B879" s="1262" t="str">
        <f>IF(PRESTA&gt;0,"AYUD. RASO (INCLUYE "&amp;""&amp;PRESTA*100&amp;"% PRESTACIONES)",0)</f>
        <v>AYUD. RASO (INCLUYE 82,22% PRESTACIONES)</v>
      </c>
      <c r="C879" s="687">
        <f>1/0.06</f>
        <v>16.666666666666668</v>
      </c>
      <c r="D879" s="1229" t="s">
        <v>346</v>
      </c>
      <c r="E879" s="2679">
        <f>+AYUDR</f>
        <v>50299.76584</v>
      </c>
      <c r="F879" s="2679"/>
      <c r="G879" s="2679"/>
      <c r="H879" s="2679">
        <f>+E879*C879</f>
        <v>838329.43066666671</v>
      </c>
      <c r="I879" s="2679"/>
    </row>
    <row r="880" spans="1:9" ht="18">
      <c r="A880" s="2043"/>
      <c r="B880" s="231" t="s">
        <v>5104</v>
      </c>
      <c r="C880" s="687">
        <f>1/0.06</f>
        <v>16.666666666666668</v>
      </c>
      <c r="D880" s="1229" t="s">
        <v>717</v>
      </c>
      <c r="E880" s="2679">
        <v>90000</v>
      </c>
      <c r="F880" s="2679"/>
      <c r="G880" s="2679"/>
      <c r="H880" s="2679">
        <f>+E880*C880</f>
        <v>1500000</v>
      </c>
      <c r="I880" s="2679"/>
    </row>
    <row r="881" spans="1:9" ht="18">
      <c r="A881" s="2083" t="s">
        <v>190</v>
      </c>
      <c r="B881" s="1587">
        <f>SUM(F881:I881)</f>
        <v>2720245.9021999999</v>
      </c>
      <c r="C881" s="687"/>
      <c r="D881" s="1229"/>
      <c r="E881" s="2679"/>
      <c r="F881" s="2679">
        <f>+SUM(F876:F880)</f>
        <v>265000</v>
      </c>
      <c r="G881" s="2679">
        <f>+SUM(G876:G880)</f>
        <v>0</v>
      </c>
      <c r="H881" s="2679">
        <f>+SUM(H876:H880)</f>
        <v>2338329.4306666665</v>
      </c>
      <c r="I881" s="2679">
        <f>+SUM(I876:I880)</f>
        <v>116916.47153333333</v>
      </c>
    </row>
    <row r="882" spans="1:9" ht="18">
      <c r="A882" s="2083" t="s">
        <v>191</v>
      </c>
      <c r="B882" s="1587">
        <f>+B881</f>
        <v>2720245.9021999999</v>
      </c>
      <c r="C882" s="1228" t="s">
        <v>363</v>
      </c>
      <c r="D882" s="873"/>
      <c r="E882" s="1794"/>
      <c r="F882" s="1794"/>
      <c r="G882" s="1794"/>
      <c r="H882" s="1794"/>
      <c r="I882" s="1794"/>
    </row>
    <row r="883" spans="1:9" ht="18">
      <c r="A883" s="402"/>
      <c r="B883" s="402"/>
      <c r="C883" s="402"/>
      <c r="D883" s="402"/>
      <c r="E883" s="402"/>
      <c r="F883" s="402"/>
      <c r="G883" s="402"/>
      <c r="H883" s="402"/>
      <c r="I883" s="402"/>
    </row>
    <row r="884" spans="1:9" ht="31.5" customHeight="1">
      <c r="A884" s="2082">
        <v>2.5</v>
      </c>
      <c r="B884" s="3570" t="s">
        <v>5431</v>
      </c>
      <c r="C884" s="3571"/>
      <c r="D884" s="3571"/>
      <c r="E884" s="3571"/>
      <c r="F884" s="3571"/>
      <c r="G884" s="3571"/>
      <c r="H884" s="3571"/>
      <c r="I884" s="3572"/>
    </row>
    <row r="885" spans="1:9" ht="18">
      <c r="A885" s="2043"/>
      <c r="B885" s="1262"/>
      <c r="C885" s="1299" t="s">
        <v>140</v>
      </c>
      <c r="D885" s="1580" t="s">
        <v>343</v>
      </c>
      <c r="E885" s="1255" t="s">
        <v>344</v>
      </c>
      <c r="F885" s="1255" t="s">
        <v>482</v>
      </c>
      <c r="G885" s="1255" t="s">
        <v>483</v>
      </c>
      <c r="H885" s="1255" t="s">
        <v>170</v>
      </c>
      <c r="I885" s="1255" t="s">
        <v>171</v>
      </c>
    </row>
    <row r="886" spans="1:9" ht="18">
      <c r="A886" s="2043"/>
      <c r="B886" s="2085" t="s">
        <v>5432</v>
      </c>
      <c r="C886" s="1299">
        <v>1</v>
      </c>
      <c r="D886" s="1580" t="s">
        <v>133</v>
      </c>
      <c r="E886" s="1255">
        <v>32000000</v>
      </c>
      <c r="F886" s="1255"/>
      <c r="G886" s="2679">
        <f t="shared" ref="G886" si="64">+E886*C886</f>
        <v>32000000</v>
      </c>
      <c r="H886" s="1255"/>
      <c r="I886" s="1255"/>
    </row>
    <row r="887" spans="1:9" ht="18">
      <c r="A887" s="2043"/>
      <c r="B887" s="1262" t="s">
        <v>5433</v>
      </c>
      <c r="C887" s="687">
        <v>1</v>
      </c>
      <c r="D887" s="1229" t="s">
        <v>772</v>
      </c>
      <c r="E887" s="2679">
        <v>200000</v>
      </c>
      <c r="F887" s="2679"/>
      <c r="G887" s="402"/>
      <c r="H887" s="2679"/>
      <c r="I887" s="2679">
        <f>+E887*C887</f>
        <v>200000</v>
      </c>
    </row>
    <row r="888" spans="1:9" ht="18">
      <c r="A888" s="2083" t="s">
        <v>190</v>
      </c>
      <c r="B888" s="1587">
        <f>SUM(F888:I888)</f>
        <v>32200000</v>
      </c>
      <c r="C888" s="687"/>
      <c r="D888" s="1229"/>
      <c r="E888" s="2679"/>
      <c r="F888" s="2679">
        <f>+SUM(F887:F887)</f>
        <v>0</v>
      </c>
      <c r="G888" s="2679">
        <f>+SUM(G886:G887)</f>
        <v>32000000</v>
      </c>
      <c r="H888" s="2679">
        <f>+SUM(H887:H887)</f>
        <v>0</v>
      </c>
      <c r="I888" s="2679">
        <f>+SUM(I887:I887)</f>
        <v>200000</v>
      </c>
    </row>
    <row r="889" spans="1:9" ht="18">
      <c r="A889" s="2083" t="s">
        <v>191</v>
      </c>
      <c r="B889" s="1587">
        <f>+B888</f>
        <v>32200000</v>
      </c>
      <c r="C889" s="1228" t="s">
        <v>363</v>
      </c>
      <c r="D889" s="873"/>
      <c r="E889" s="1794"/>
      <c r="F889" s="1794"/>
      <c r="G889" s="1794"/>
      <c r="H889" s="1794"/>
      <c r="I889" s="1794"/>
    </row>
    <row r="892" spans="1:9" ht="18">
      <c r="A892" s="2082">
        <v>3.1</v>
      </c>
      <c r="B892" s="3570" t="s">
        <v>5440</v>
      </c>
      <c r="C892" s="3571"/>
      <c r="D892" s="3571"/>
      <c r="E892" s="3571"/>
      <c r="F892" s="3571"/>
      <c r="G892" s="3571"/>
      <c r="H892" s="3571"/>
      <c r="I892" s="3572"/>
    </row>
    <row r="893" spans="1:9" ht="18">
      <c r="A893" s="2043"/>
      <c r="B893" s="1262"/>
      <c r="C893" s="1299" t="s">
        <v>140</v>
      </c>
      <c r="D893" s="1580" t="s">
        <v>343</v>
      </c>
      <c r="E893" s="1255" t="s">
        <v>344</v>
      </c>
      <c r="F893" s="1255" t="s">
        <v>482</v>
      </c>
      <c r="G893" s="1255" t="s">
        <v>483</v>
      </c>
      <c r="H893" s="1255" t="s">
        <v>170</v>
      </c>
      <c r="I893" s="1255" t="s">
        <v>171</v>
      </c>
    </row>
    <row r="894" spans="1:9" ht="18">
      <c r="A894" s="2043" t="s">
        <v>172</v>
      </c>
      <c r="B894" s="1262" t="s">
        <v>189</v>
      </c>
      <c r="C894" s="687">
        <v>1</v>
      </c>
      <c r="D894" s="1229" t="s">
        <v>583</v>
      </c>
      <c r="E894" s="2679">
        <f>+H897*0.05</f>
        <v>14531.04346488889</v>
      </c>
      <c r="F894" s="2679"/>
      <c r="G894" s="2679"/>
      <c r="H894" s="2679"/>
      <c r="I894" s="2679">
        <f>+E894*C894</f>
        <v>14531.04346488889</v>
      </c>
    </row>
    <row r="895" spans="1:9" ht="18">
      <c r="A895" s="2043" t="s">
        <v>348</v>
      </c>
      <c r="B895" s="1262" t="str">
        <f>IF(PRESTA&gt;0,"AYUD. RASO (INCLUYE "&amp;""&amp;PRESTA*100&amp;"% PRESTACIONES)",0)</f>
        <v>AYUD. RASO (INCLUYE 82,22% PRESTACIONES)</v>
      </c>
      <c r="C895" s="687">
        <f>1/0.45</f>
        <v>2.2222222222222223</v>
      </c>
      <c r="D895" s="1229" t="s">
        <v>346</v>
      </c>
      <c r="E895" s="2679">
        <f>+AYUDR</f>
        <v>50299.76584</v>
      </c>
      <c r="F895" s="2679"/>
      <c r="G895" s="2679"/>
      <c r="H895" s="2679">
        <f>+E895*C895</f>
        <v>111777.25742222223</v>
      </c>
      <c r="I895" s="2679"/>
    </row>
    <row r="896" spans="1:9" ht="18">
      <c r="A896" s="2043"/>
      <c r="B896" s="231" t="s">
        <v>965</v>
      </c>
      <c r="C896" s="687">
        <f>+C895</f>
        <v>2.2222222222222223</v>
      </c>
      <c r="D896" s="1229" t="s">
        <v>717</v>
      </c>
      <c r="E896" s="2679">
        <f>+OFICI</f>
        <v>80479.625344</v>
      </c>
      <c r="F896" s="2679"/>
      <c r="G896" s="2679"/>
      <c r="H896" s="2679">
        <f>+E896*C896</f>
        <v>178843.61187555557</v>
      </c>
      <c r="I896" s="2679"/>
    </row>
    <row r="897" spans="1:9" ht="18">
      <c r="A897" s="2083" t="s">
        <v>190</v>
      </c>
      <c r="B897" s="1587">
        <f>SUM(F897:I897)</f>
        <v>305151.91276266664</v>
      </c>
      <c r="C897" s="687"/>
      <c r="D897" s="1229"/>
      <c r="E897" s="2679"/>
      <c r="F897" s="2679">
        <f>+SUM(F894:F896)</f>
        <v>0</v>
      </c>
      <c r="G897" s="2679">
        <f>+SUM(G894:G896)</f>
        <v>0</v>
      </c>
      <c r="H897" s="2679">
        <f>+SUM(H894:H896)</f>
        <v>290620.86929777777</v>
      </c>
      <c r="I897" s="2679">
        <f>+SUM(I894:I896)</f>
        <v>14531.04346488889</v>
      </c>
    </row>
    <row r="898" spans="1:9" ht="18">
      <c r="A898" s="2083" t="s">
        <v>191</v>
      </c>
      <c r="B898" s="1587">
        <f>+B897</f>
        <v>305151.91276266664</v>
      </c>
      <c r="C898" s="1228" t="s">
        <v>363</v>
      </c>
      <c r="D898" s="873"/>
      <c r="E898" s="1794"/>
      <c r="F898" s="1794"/>
      <c r="G898" s="1794"/>
      <c r="H898" s="1794"/>
      <c r="I898" s="1794"/>
    </row>
    <row r="899" spans="1:9" ht="18">
      <c r="A899" s="402"/>
      <c r="B899" s="402"/>
      <c r="C899" s="402"/>
      <c r="D899" s="402"/>
      <c r="E899" s="402"/>
      <c r="F899" s="402"/>
      <c r="G899" s="402"/>
      <c r="H899" s="402"/>
      <c r="I899" s="402"/>
    </row>
    <row r="900" spans="1:9" ht="18">
      <c r="A900" s="2082">
        <v>3.1</v>
      </c>
      <c r="B900" s="3570" t="s">
        <v>5442</v>
      </c>
      <c r="C900" s="3571"/>
      <c r="D900" s="3571"/>
      <c r="E900" s="3571"/>
      <c r="F900" s="3571"/>
      <c r="G900" s="3571"/>
      <c r="H900" s="3571"/>
      <c r="I900" s="3572"/>
    </row>
    <row r="901" spans="1:9" ht="18">
      <c r="A901" s="2043"/>
      <c r="B901" s="1262"/>
      <c r="C901" s="1299" t="s">
        <v>140</v>
      </c>
      <c r="D901" s="1580" t="s">
        <v>343</v>
      </c>
      <c r="E901" s="1255" t="s">
        <v>344</v>
      </c>
      <c r="F901" s="1255" t="s">
        <v>482</v>
      </c>
      <c r="G901" s="1255" t="s">
        <v>483</v>
      </c>
      <c r="H901" s="1255" t="s">
        <v>170</v>
      </c>
      <c r="I901" s="1255" t="s">
        <v>171</v>
      </c>
    </row>
    <row r="902" spans="1:9" ht="18">
      <c r="A902" s="2043"/>
      <c r="B902" s="2063" t="s">
        <v>5386</v>
      </c>
      <c r="C902" s="687">
        <v>3.5</v>
      </c>
      <c r="D902" s="1229" t="s">
        <v>426</v>
      </c>
      <c r="E902" s="1255">
        <v>2600</v>
      </c>
      <c r="F902" s="1255"/>
      <c r="G902" s="2679">
        <f t="shared" ref="G902:G909" si="65">+E902*C902</f>
        <v>9100</v>
      </c>
      <c r="H902" s="1255"/>
      <c r="I902" s="1255"/>
    </row>
    <row r="903" spans="1:9" ht="18">
      <c r="A903" s="2043"/>
      <c r="B903" s="2063" t="s">
        <v>5387</v>
      </c>
      <c r="C903" s="687">
        <v>0.03</v>
      </c>
      <c r="D903" s="1229" t="s">
        <v>426</v>
      </c>
      <c r="E903" s="1255">
        <v>2700</v>
      </c>
      <c r="F903" s="1255"/>
      <c r="G903" s="2679">
        <f t="shared" si="65"/>
        <v>81</v>
      </c>
      <c r="H903" s="1255"/>
      <c r="I903" s="1255"/>
    </row>
    <row r="904" spans="1:9" ht="18">
      <c r="A904" s="2043"/>
      <c r="B904" s="2063" t="s">
        <v>5388</v>
      </c>
      <c r="C904" s="687">
        <v>0.3</v>
      </c>
      <c r="D904" s="1229" t="s">
        <v>1292</v>
      </c>
      <c r="E904" s="1255">
        <v>150000</v>
      </c>
      <c r="F904" s="1255"/>
      <c r="G904" s="2679">
        <f t="shared" si="65"/>
        <v>45000</v>
      </c>
      <c r="H904" s="1255"/>
      <c r="I904" s="1255"/>
    </row>
    <row r="905" spans="1:9" ht="18">
      <c r="A905" s="2043"/>
      <c r="B905" s="2063" t="s">
        <v>5389</v>
      </c>
      <c r="C905" s="687">
        <v>0.3</v>
      </c>
      <c r="D905" s="1229" t="s">
        <v>1292</v>
      </c>
      <c r="E905" s="1255">
        <v>150000</v>
      </c>
      <c r="F905" s="1255"/>
      <c r="G905" s="2679">
        <f t="shared" si="65"/>
        <v>45000</v>
      </c>
      <c r="H905" s="1255"/>
      <c r="I905" s="1255"/>
    </row>
    <row r="906" spans="1:9" ht="18">
      <c r="A906" s="2043"/>
      <c r="B906" s="2063" t="s">
        <v>5390</v>
      </c>
      <c r="C906" s="687">
        <v>100</v>
      </c>
      <c r="D906" s="1229" t="s">
        <v>426</v>
      </c>
      <c r="E906" s="1255">
        <v>600</v>
      </c>
      <c r="F906" s="1255"/>
      <c r="G906" s="2679">
        <f t="shared" si="65"/>
        <v>60000</v>
      </c>
      <c r="H906" s="1255"/>
      <c r="I906" s="1255"/>
    </row>
    <row r="907" spans="1:9" ht="18">
      <c r="A907" s="2043"/>
      <c r="B907" s="2063" t="s">
        <v>5391</v>
      </c>
      <c r="C907" s="687">
        <v>60</v>
      </c>
      <c r="D907" s="1229" t="s">
        <v>343</v>
      </c>
      <c r="E907" s="1255">
        <v>1000</v>
      </c>
      <c r="F907" s="1255"/>
      <c r="G907" s="2679">
        <f t="shared" si="65"/>
        <v>60000</v>
      </c>
      <c r="H907" s="1255"/>
      <c r="I907" s="1255"/>
    </row>
    <row r="908" spans="1:9" ht="18">
      <c r="A908" s="2043"/>
      <c r="B908" s="2063" t="s">
        <v>5392</v>
      </c>
      <c r="C908" s="687">
        <v>7.6</v>
      </c>
      <c r="D908" s="1229" t="s">
        <v>4693</v>
      </c>
      <c r="E908" s="1255">
        <v>7000</v>
      </c>
      <c r="F908" s="1255"/>
      <c r="G908" s="2679">
        <f t="shared" si="65"/>
        <v>53200</v>
      </c>
      <c r="H908" s="1255"/>
      <c r="I908" s="1255"/>
    </row>
    <row r="909" spans="1:9" ht="18">
      <c r="A909" s="2043"/>
      <c r="B909" s="2063" t="s">
        <v>5393</v>
      </c>
      <c r="C909" s="687">
        <v>0.1</v>
      </c>
      <c r="D909" s="1229" t="s">
        <v>3639</v>
      </c>
      <c r="E909" s="2679">
        <v>230000</v>
      </c>
      <c r="F909" s="2679"/>
      <c r="G909" s="2679">
        <f t="shared" si="65"/>
        <v>23000</v>
      </c>
      <c r="H909" s="2679"/>
      <c r="I909" s="2679"/>
    </row>
    <row r="910" spans="1:9" ht="18">
      <c r="A910" s="2043"/>
      <c r="B910" s="2087" t="s">
        <v>5443</v>
      </c>
      <c r="C910" s="687">
        <v>1</v>
      </c>
      <c r="D910" s="401" t="s">
        <v>772</v>
      </c>
      <c r="E910" s="2679">
        <v>25000</v>
      </c>
      <c r="F910" s="2679"/>
      <c r="G910" s="402"/>
      <c r="H910" s="2679"/>
      <c r="I910" s="2679">
        <f>+E910*C910</f>
        <v>25000</v>
      </c>
    </row>
    <row r="911" spans="1:9" ht="18">
      <c r="A911" s="2083" t="s">
        <v>190</v>
      </c>
      <c r="B911" s="1587">
        <f>SUM(F911:I911)</f>
        <v>320381</v>
      </c>
      <c r="C911" s="687"/>
      <c r="D911" s="1229"/>
      <c r="E911" s="2679"/>
      <c r="F911" s="2679">
        <f>+SUM(F910:F910)</f>
        <v>0</v>
      </c>
      <c r="G911" s="2679">
        <f>+SUM(G902:G910)</f>
        <v>295381</v>
      </c>
      <c r="H911" s="2679">
        <f>+SUM(H910:H910)</f>
        <v>0</v>
      </c>
      <c r="I911" s="2679">
        <f>+SUM(I910:I910)</f>
        <v>25000</v>
      </c>
    </row>
    <row r="912" spans="1:9" ht="18">
      <c r="A912" s="2083" t="s">
        <v>191</v>
      </c>
      <c r="B912" s="1587">
        <f>+B911</f>
        <v>320381</v>
      </c>
      <c r="C912" s="1228" t="s">
        <v>363</v>
      </c>
      <c r="D912" s="873"/>
      <c r="E912" s="1794"/>
      <c r="F912" s="1794"/>
      <c r="G912" s="1794"/>
      <c r="H912" s="1794"/>
      <c r="I912" s="1794"/>
    </row>
    <row r="914" spans="1:9" ht="18">
      <c r="A914" s="2082">
        <v>3.2</v>
      </c>
      <c r="B914" s="3570" t="s">
        <v>5228</v>
      </c>
      <c r="C914" s="3571"/>
      <c r="D914" s="3571"/>
      <c r="E914" s="3571"/>
      <c r="F914" s="3571"/>
      <c r="G914" s="3571"/>
      <c r="H914" s="3571"/>
      <c r="I914" s="3572"/>
    </row>
    <row r="915" spans="1:9" ht="18">
      <c r="A915" s="2043"/>
      <c r="B915" s="1262"/>
      <c r="C915" s="1299" t="s">
        <v>140</v>
      </c>
      <c r="D915" s="1580" t="s">
        <v>343</v>
      </c>
      <c r="E915" s="1255" t="s">
        <v>344</v>
      </c>
      <c r="F915" s="1255" t="s">
        <v>482</v>
      </c>
      <c r="G915" s="1255" t="s">
        <v>483</v>
      </c>
      <c r="H915" s="1255" t="s">
        <v>170</v>
      </c>
      <c r="I915" s="1255" t="s">
        <v>171</v>
      </c>
    </row>
    <row r="916" spans="1:9" ht="18">
      <c r="A916" s="2043" t="s">
        <v>172</v>
      </c>
      <c r="B916" s="1262" t="s">
        <v>189</v>
      </c>
      <c r="C916" s="687">
        <v>1</v>
      </c>
      <c r="D916" s="1229" t="s">
        <v>583</v>
      </c>
      <c r="E916" s="2679">
        <f>+H919*0.05</f>
        <v>14531.04346488889</v>
      </c>
      <c r="F916" s="2679"/>
      <c r="G916" s="2679"/>
      <c r="H916" s="2679"/>
      <c r="I916" s="2679">
        <f>+E916*C916</f>
        <v>14531.04346488889</v>
      </c>
    </row>
    <row r="917" spans="1:9" ht="18">
      <c r="A917" s="2043" t="s">
        <v>348</v>
      </c>
      <c r="B917" s="1262" t="str">
        <f>IF(PRESTA&gt;0,"AYUD. RASO (INCLUYE "&amp;""&amp;PRESTA*100&amp;"% PRESTACIONES)",0)</f>
        <v>AYUD. RASO (INCLUYE 82,22% PRESTACIONES)</v>
      </c>
      <c r="C917" s="687">
        <f>1/0.45</f>
        <v>2.2222222222222223</v>
      </c>
      <c r="D917" s="1229" t="s">
        <v>346</v>
      </c>
      <c r="E917" s="2679">
        <f>+AYUDR</f>
        <v>50299.76584</v>
      </c>
      <c r="F917" s="2679"/>
      <c r="G917" s="2679"/>
      <c r="H917" s="2679">
        <f>+E917*C917</f>
        <v>111777.25742222223</v>
      </c>
      <c r="I917" s="2679"/>
    </row>
    <row r="918" spans="1:9" ht="18">
      <c r="A918" s="2043"/>
      <c r="B918" s="231" t="s">
        <v>965</v>
      </c>
      <c r="C918" s="687">
        <f>+C917</f>
        <v>2.2222222222222223</v>
      </c>
      <c r="D918" s="1229" t="s">
        <v>717</v>
      </c>
      <c r="E918" s="2679">
        <f>+OFICI</f>
        <v>80479.625344</v>
      </c>
      <c r="F918" s="2679"/>
      <c r="G918" s="2679"/>
      <c r="H918" s="2679">
        <f>+E918*C918</f>
        <v>178843.61187555557</v>
      </c>
      <c r="I918" s="2679"/>
    </row>
    <row r="919" spans="1:9" ht="18">
      <c r="A919" s="2083" t="s">
        <v>190</v>
      </c>
      <c r="B919" s="1587">
        <f>SUM(F919:I919)</f>
        <v>305151.91276266664</v>
      </c>
      <c r="C919" s="687"/>
      <c r="D919" s="1229"/>
      <c r="E919" s="2679"/>
      <c r="F919" s="2679">
        <f>+SUM(F916:F918)</f>
        <v>0</v>
      </c>
      <c r="G919" s="2679">
        <f>+SUM(G916:G918)</f>
        <v>0</v>
      </c>
      <c r="H919" s="2679">
        <f>+SUM(H916:H918)</f>
        <v>290620.86929777777</v>
      </c>
      <c r="I919" s="2679">
        <f>+SUM(I916:I918)</f>
        <v>14531.04346488889</v>
      </c>
    </row>
    <row r="920" spans="1:9" ht="18">
      <c r="A920" s="2083" t="s">
        <v>191</v>
      </c>
      <c r="B920" s="1587">
        <f>+B919</f>
        <v>305151.91276266664</v>
      </c>
      <c r="C920" s="1228" t="s">
        <v>363</v>
      </c>
      <c r="D920" s="873"/>
      <c r="E920" s="1794"/>
      <c r="F920" s="1794"/>
      <c r="G920" s="1794"/>
      <c r="H920" s="1794"/>
      <c r="I920" s="1794"/>
    </row>
    <row r="921" spans="1:9" ht="18">
      <c r="A921" s="402"/>
      <c r="B921" s="402"/>
      <c r="C921" s="402"/>
      <c r="D921" s="402"/>
      <c r="E921" s="402"/>
      <c r="F921" s="402"/>
      <c r="G921" s="402"/>
      <c r="H921" s="402"/>
      <c r="I921" s="402"/>
    </row>
    <row r="922" spans="1:9" ht="18">
      <c r="A922" s="2082">
        <v>3.2</v>
      </c>
      <c r="B922" s="3570" t="s">
        <v>5444</v>
      </c>
      <c r="C922" s="3571"/>
      <c r="D922" s="3571"/>
      <c r="E922" s="3571"/>
      <c r="F922" s="3571"/>
      <c r="G922" s="3571"/>
      <c r="H922" s="3571"/>
      <c r="I922" s="3572"/>
    </row>
    <row r="923" spans="1:9" ht="18">
      <c r="A923" s="2043"/>
      <c r="B923" s="1262"/>
      <c r="C923" s="1299" t="s">
        <v>140</v>
      </c>
      <c r="D923" s="1580" t="s">
        <v>343</v>
      </c>
      <c r="E923" s="1255" t="s">
        <v>344</v>
      </c>
      <c r="F923" s="1255" t="s">
        <v>482</v>
      </c>
      <c r="G923" s="1255" t="s">
        <v>483</v>
      </c>
      <c r="H923" s="1255" t="s">
        <v>170</v>
      </c>
      <c r="I923" s="1255" t="s">
        <v>171</v>
      </c>
    </row>
    <row r="924" spans="1:9" ht="18">
      <c r="A924" s="2043"/>
      <c r="B924" s="2063" t="s">
        <v>5386</v>
      </c>
      <c r="C924" s="687">
        <v>2.8</v>
      </c>
      <c r="D924" s="1229" t="s">
        <v>426</v>
      </c>
      <c r="E924" s="1255">
        <v>2600</v>
      </c>
      <c r="F924" s="1255"/>
      <c r="G924" s="2679">
        <f t="shared" ref="G924:G931" si="66">+E924*C924</f>
        <v>7279.9999999999991</v>
      </c>
      <c r="H924" s="1255"/>
      <c r="I924" s="1255"/>
    </row>
    <row r="925" spans="1:9" ht="18">
      <c r="A925" s="2043"/>
      <c r="B925" s="2063" t="s">
        <v>5387</v>
      </c>
      <c r="C925" s="687">
        <v>2.5000000000000001E-2</v>
      </c>
      <c r="D925" s="1229" t="s">
        <v>426</v>
      </c>
      <c r="E925" s="1255">
        <v>2700</v>
      </c>
      <c r="F925" s="1255"/>
      <c r="G925" s="2679">
        <f t="shared" si="66"/>
        <v>67.5</v>
      </c>
      <c r="H925" s="1255"/>
      <c r="I925" s="1255"/>
    </row>
    <row r="926" spans="1:9" ht="18">
      <c r="A926" s="2043"/>
      <c r="B926" s="2063" t="s">
        <v>5388</v>
      </c>
      <c r="C926" s="687">
        <v>0.24</v>
      </c>
      <c r="D926" s="1229" t="s">
        <v>1292</v>
      </c>
      <c r="E926" s="1255">
        <v>150000</v>
      </c>
      <c r="F926" s="1255"/>
      <c r="G926" s="2679">
        <f t="shared" si="66"/>
        <v>36000</v>
      </c>
      <c r="H926" s="1255"/>
      <c r="I926" s="1255"/>
    </row>
    <row r="927" spans="1:9" ht="18">
      <c r="A927" s="2043"/>
      <c r="B927" s="2063" t="s">
        <v>5389</v>
      </c>
      <c r="C927" s="687">
        <v>0.2</v>
      </c>
      <c r="D927" s="1229" t="s">
        <v>1292</v>
      </c>
      <c r="E927" s="1255">
        <v>150000</v>
      </c>
      <c r="F927" s="1255"/>
      <c r="G927" s="2679">
        <f t="shared" si="66"/>
        <v>30000</v>
      </c>
      <c r="H927" s="1255"/>
      <c r="I927" s="1255"/>
    </row>
    <row r="928" spans="1:9" ht="18">
      <c r="A928" s="2043"/>
      <c r="B928" s="2063" t="s">
        <v>5390</v>
      </c>
      <c r="C928" s="687">
        <v>80</v>
      </c>
      <c r="D928" s="1229" t="s">
        <v>426</v>
      </c>
      <c r="E928" s="1255">
        <v>600</v>
      </c>
      <c r="F928" s="1255"/>
      <c r="G928" s="2679">
        <f t="shared" si="66"/>
        <v>48000</v>
      </c>
      <c r="H928" s="1255"/>
      <c r="I928" s="1255"/>
    </row>
    <row r="929" spans="1:9" ht="18">
      <c r="A929" s="2043"/>
      <c r="B929" s="2063" t="s">
        <v>5391</v>
      </c>
      <c r="C929" s="687">
        <v>48</v>
      </c>
      <c r="D929" s="1229" t="s">
        <v>343</v>
      </c>
      <c r="E929" s="1255">
        <v>1000</v>
      </c>
      <c r="F929" s="1255"/>
      <c r="G929" s="2679">
        <f t="shared" si="66"/>
        <v>48000</v>
      </c>
      <c r="H929" s="1255"/>
      <c r="I929" s="1255"/>
    </row>
    <row r="930" spans="1:9" ht="18">
      <c r="A930" s="2043"/>
      <c r="B930" s="2063" t="s">
        <v>5392</v>
      </c>
      <c r="C930" s="687">
        <v>6</v>
      </c>
      <c r="D930" s="1229" t="s">
        <v>4693</v>
      </c>
      <c r="E930" s="1255">
        <v>7000</v>
      </c>
      <c r="F930" s="1255"/>
      <c r="G930" s="2679">
        <f t="shared" si="66"/>
        <v>42000</v>
      </c>
      <c r="H930" s="1255"/>
      <c r="I930" s="1255"/>
    </row>
    <row r="931" spans="1:9" ht="18">
      <c r="A931" s="2043"/>
      <c r="B931" s="2063" t="s">
        <v>5393</v>
      </c>
      <c r="C931" s="687">
        <v>0.08</v>
      </c>
      <c r="D931" s="1229" t="s">
        <v>3639</v>
      </c>
      <c r="E931" s="2679">
        <v>230000</v>
      </c>
      <c r="F931" s="2679"/>
      <c r="G931" s="2679">
        <f t="shared" si="66"/>
        <v>18400</v>
      </c>
      <c r="H931" s="2679"/>
      <c r="I931" s="2679"/>
    </row>
    <row r="932" spans="1:9" ht="18">
      <c r="A932" s="2043"/>
      <c r="B932" s="2087" t="s">
        <v>5443</v>
      </c>
      <c r="C932" s="687">
        <v>1</v>
      </c>
      <c r="D932" s="401" t="s">
        <v>772</v>
      </c>
      <c r="E932" s="2679">
        <v>25000</v>
      </c>
      <c r="F932" s="2679"/>
      <c r="G932" s="402"/>
      <c r="H932" s="2679"/>
      <c r="I932" s="2679">
        <f>+E932*C932</f>
        <v>25000</v>
      </c>
    </row>
    <row r="933" spans="1:9" ht="18">
      <c r="A933" s="2083" t="s">
        <v>190</v>
      </c>
      <c r="B933" s="1587">
        <f>SUM(F933:I933)</f>
        <v>254747.5</v>
      </c>
      <c r="C933" s="687"/>
      <c r="D933" s="1229"/>
      <c r="E933" s="2679"/>
      <c r="F933" s="2679">
        <f>+SUM(F932:F932)</f>
        <v>0</v>
      </c>
      <c r="G933" s="2679">
        <f>+SUM(G924:G932)</f>
        <v>229747.5</v>
      </c>
      <c r="H933" s="2679">
        <f>+SUM(H932:H932)</f>
        <v>0</v>
      </c>
      <c r="I933" s="2679">
        <f>+SUM(I932:I932)</f>
        <v>25000</v>
      </c>
    </row>
    <row r="934" spans="1:9" ht="18">
      <c r="A934" s="2083" t="s">
        <v>191</v>
      </c>
      <c r="B934" s="1587">
        <f>+B933</f>
        <v>254747.5</v>
      </c>
      <c r="C934" s="1228" t="s">
        <v>363</v>
      </c>
      <c r="D934" s="873"/>
      <c r="E934" s="1794"/>
      <c r="F934" s="1794"/>
      <c r="G934" s="1794"/>
      <c r="H934" s="1794"/>
      <c r="I934" s="1794"/>
    </row>
    <row r="936" spans="1:9" ht="18">
      <c r="A936" s="2082">
        <v>4.0999999999999996</v>
      </c>
      <c r="B936" s="3570" t="s">
        <v>5445</v>
      </c>
      <c r="C936" s="3571"/>
      <c r="D936" s="3571"/>
      <c r="E936" s="3571"/>
      <c r="F936" s="3571"/>
      <c r="G936" s="3571"/>
      <c r="H936" s="3571"/>
      <c r="I936" s="3572"/>
    </row>
    <row r="937" spans="1:9" ht="18">
      <c r="A937" s="2043"/>
      <c r="B937" s="1262"/>
      <c r="C937" s="1299" t="s">
        <v>140</v>
      </c>
      <c r="D937" s="1580" t="s">
        <v>343</v>
      </c>
      <c r="E937" s="1255" t="s">
        <v>344</v>
      </c>
      <c r="F937" s="1255" t="s">
        <v>482</v>
      </c>
      <c r="G937" s="1255" t="s">
        <v>483</v>
      </c>
      <c r="H937" s="1255" t="s">
        <v>170</v>
      </c>
      <c r="I937" s="1255" t="s">
        <v>171</v>
      </c>
    </row>
    <row r="938" spans="1:9" ht="18">
      <c r="A938" s="2043" t="s">
        <v>172</v>
      </c>
      <c r="B938" s="1262" t="s">
        <v>189</v>
      </c>
      <c r="C938" s="687">
        <v>1</v>
      </c>
      <c r="D938" s="1229" t="s">
        <v>583</v>
      </c>
      <c r="E938" s="2679">
        <f>+H943*0.05</f>
        <v>25412.470730000001</v>
      </c>
      <c r="F938" s="2679"/>
      <c r="G938" s="2679"/>
      <c r="H938" s="2679"/>
      <c r="I938" s="2679">
        <f>+E938*C938</f>
        <v>25412.470730000001</v>
      </c>
    </row>
    <row r="939" spans="1:9" ht="18">
      <c r="A939" s="2043"/>
      <c r="B939" s="2063" t="s">
        <v>5450</v>
      </c>
      <c r="C939" s="687">
        <v>1</v>
      </c>
      <c r="D939" s="1229"/>
      <c r="E939" s="1255">
        <v>80000</v>
      </c>
      <c r="F939" s="1255">
        <f>+E939*C939</f>
        <v>80000</v>
      </c>
      <c r="G939" s="2679"/>
      <c r="H939" s="1255"/>
      <c r="I939" s="1255"/>
    </row>
    <row r="940" spans="1:9" ht="18">
      <c r="A940" s="2043" t="s">
        <v>348</v>
      </c>
      <c r="B940" s="1262" t="str">
        <f>IF(PRESTA&gt;0,"AYUD. RASO (INCLUYE "&amp;""&amp;PRESTA*100&amp;"% PRESTACIONES)",0)</f>
        <v>AYUD. RASO (INCLUYE 82,22% PRESTACIONES)</v>
      </c>
      <c r="C940" s="687">
        <f>1/0.4</f>
        <v>2.5</v>
      </c>
      <c r="D940" s="1229" t="s">
        <v>346</v>
      </c>
      <c r="E940" s="2679">
        <f>+AYUDR</f>
        <v>50299.76584</v>
      </c>
      <c r="F940" s="2679"/>
      <c r="G940" s="2679"/>
      <c r="H940" s="2679">
        <f>+E940*C940</f>
        <v>125749.4146</v>
      </c>
      <c r="I940" s="2679"/>
    </row>
    <row r="941" spans="1:9" ht="18">
      <c r="A941" s="2043"/>
      <c r="B941" s="231" t="s">
        <v>5448</v>
      </c>
      <c r="C941" s="687">
        <f>1/0.4</f>
        <v>2.5</v>
      </c>
      <c r="D941" s="1229" t="s">
        <v>346</v>
      </c>
      <c r="E941" s="2679">
        <v>90000</v>
      </c>
      <c r="F941" s="2679"/>
      <c r="G941" s="2679"/>
      <c r="H941" s="2679">
        <f>+E941*C941</f>
        <v>225000</v>
      </c>
      <c r="I941" s="2679"/>
    </row>
    <row r="942" spans="1:9" ht="18">
      <c r="A942" s="2043"/>
      <c r="B942" s="231" t="s">
        <v>5449</v>
      </c>
      <c r="C942" s="687">
        <f>+C940</f>
        <v>2.5</v>
      </c>
      <c r="D942" s="1229" t="s">
        <v>717</v>
      </c>
      <c r="E942" s="2679">
        <v>63000</v>
      </c>
      <c r="F942" s="2679"/>
      <c r="G942" s="2679"/>
      <c r="H942" s="2679">
        <f>+E942*C942</f>
        <v>157500</v>
      </c>
      <c r="I942" s="2679"/>
    </row>
    <row r="943" spans="1:9" ht="18">
      <c r="A943" s="2083" t="s">
        <v>190</v>
      </c>
      <c r="B943" s="1587">
        <f>SUM(F943:I943)</f>
        <v>613661.88532999996</v>
      </c>
      <c r="C943" s="687"/>
      <c r="D943" s="1229"/>
      <c r="E943" s="2679"/>
      <c r="F943" s="2679">
        <f>+SUM(F938:F942)</f>
        <v>80000</v>
      </c>
      <c r="G943" s="2679">
        <f>+SUM(G938:G942)</f>
        <v>0</v>
      </c>
      <c r="H943" s="2679">
        <f>+SUM(H938:H942)</f>
        <v>508249.41460000002</v>
      </c>
      <c r="I943" s="2679">
        <f>+SUM(I938:I942)</f>
        <v>25412.470730000001</v>
      </c>
    </row>
    <row r="944" spans="1:9" ht="18">
      <c r="A944" s="2083" t="s">
        <v>191</v>
      </c>
      <c r="B944" s="1587">
        <f>+B943</f>
        <v>613661.88532999996</v>
      </c>
      <c r="C944" s="1228" t="s">
        <v>363</v>
      </c>
      <c r="D944" s="873"/>
      <c r="E944" s="1794"/>
      <c r="F944" s="1794"/>
      <c r="G944" s="1794"/>
      <c r="H944" s="1794"/>
      <c r="I944" s="1794"/>
    </row>
    <row r="945" spans="1:9" ht="18">
      <c r="A945" s="402"/>
      <c r="B945" s="402"/>
      <c r="C945" s="402"/>
      <c r="D945" s="402"/>
      <c r="E945" s="402"/>
      <c r="F945" s="402"/>
      <c r="G945" s="402"/>
      <c r="H945" s="402"/>
      <c r="I945" s="402"/>
    </row>
    <row r="946" spans="1:9" ht="18">
      <c r="A946" s="2082">
        <v>4.0999999999999996</v>
      </c>
      <c r="B946" s="3570" t="s">
        <v>5446</v>
      </c>
      <c r="C946" s="3571"/>
      <c r="D946" s="3571"/>
      <c r="E946" s="3571"/>
      <c r="F946" s="3571"/>
      <c r="G946" s="3571"/>
      <c r="H946" s="3571"/>
      <c r="I946" s="3572"/>
    </row>
    <row r="947" spans="1:9" ht="18">
      <c r="A947" s="2043"/>
      <c r="B947" s="1262"/>
      <c r="C947" s="1299" t="s">
        <v>140</v>
      </c>
      <c r="D947" s="1580" t="s">
        <v>343</v>
      </c>
      <c r="E947" s="1255" t="s">
        <v>344</v>
      </c>
      <c r="F947" s="1255" t="s">
        <v>482</v>
      </c>
      <c r="G947" s="1255" t="s">
        <v>483</v>
      </c>
      <c r="H947" s="1255" t="s">
        <v>170</v>
      </c>
      <c r="I947" s="1255" t="s">
        <v>171</v>
      </c>
    </row>
    <row r="948" spans="1:9" ht="18">
      <c r="A948" s="2043"/>
      <c r="B948" s="2063" t="s">
        <v>5320</v>
      </c>
      <c r="C948" s="687">
        <v>6</v>
      </c>
      <c r="D948" s="1229" t="s">
        <v>343</v>
      </c>
      <c r="E948" s="1255">
        <v>190000</v>
      </c>
      <c r="F948" s="1255"/>
      <c r="G948" s="2679">
        <f t="shared" ref="G948:G951" si="67">+E948*C948</f>
        <v>1140000</v>
      </c>
      <c r="H948" s="1255"/>
      <c r="I948" s="1255"/>
    </row>
    <row r="949" spans="1:9" ht="18">
      <c r="A949" s="2043"/>
      <c r="B949" s="2063" t="s">
        <v>5321</v>
      </c>
      <c r="C949" s="687">
        <v>60</v>
      </c>
      <c r="D949" s="1229" t="s">
        <v>45</v>
      </c>
      <c r="E949" s="1255">
        <v>38000</v>
      </c>
      <c r="F949" s="1255"/>
      <c r="G949" s="2679">
        <f t="shared" si="67"/>
        <v>2280000</v>
      </c>
      <c r="H949" s="1255"/>
      <c r="I949" s="1255"/>
    </row>
    <row r="950" spans="1:9" ht="18">
      <c r="A950" s="2043"/>
      <c r="B950" s="2063" t="s">
        <v>5313</v>
      </c>
      <c r="C950" s="687">
        <v>15</v>
      </c>
      <c r="D950" s="1229" t="s">
        <v>343</v>
      </c>
      <c r="E950" s="1255">
        <v>30000</v>
      </c>
      <c r="F950" s="1255"/>
      <c r="G950" s="2679">
        <f t="shared" si="67"/>
        <v>450000</v>
      </c>
      <c r="H950" s="1255"/>
      <c r="I950" s="1255"/>
    </row>
    <row r="951" spans="1:9" ht="18">
      <c r="A951" s="2043"/>
      <c r="B951" s="2063" t="s">
        <v>5447</v>
      </c>
      <c r="C951" s="687">
        <v>2</v>
      </c>
      <c r="D951" s="1229" t="s">
        <v>343</v>
      </c>
      <c r="E951" s="1255">
        <v>100000</v>
      </c>
      <c r="F951" s="1255"/>
      <c r="G951" s="2679">
        <f t="shared" si="67"/>
        <v>200000</v>
      </c>
      <c r="H951" s="1255"/>
      <c r="I951" s="1255"/>
    </row>
    <row r="952" spans="1:9" ht="18">
      <c r="A952" s="2083" t="s">
        <v>190</v>
      </c>
      <c r="B952" s="1587">
        <f>SUM(F952:I952)</f>
        <v>4120000</v>
      </c>
      <c r="C952" s="687"/>
      <c r="D952" s="1229"/>
      <c r="E952" s="2679"/>
      <c r="F952" s="2679">
        <f>+SUM(F972:F972)</f>
        <v>0</v>
      </c>
      <c r="G952" s="2679">
        <f>+SUM(G948:G951)</f>
        <v>4070000</v>
      </c>
      <c r="H952" s="2679">
        <f>+SUM(H972:H972)</f>
        <v>0</v>
      </c>
      <c r="I952" s="2679">
        <f>+SUM(I972:I972)</f>
        <v>50000</v>
      </c>
    </row>
    <row r="953" spans="1:9" ht="18">
      <c r="A953" s="2083" t="s">
        <v>191</v>
      </c>
      <c r="B953" s="1587">
        <f>+B952</f>
        <v>4120000</v>
      </c>
      <c r="C953" s="1228" t="s">
        <v>363</v>
      </c>
      <c r="D953" s="873"/>
      <c r="E953" s="1794"/>
      <c r="F953" s="1794"/>
      <c r="G953" s="1794"/>
      <c r="H953" s="1794"/>
      <c r="I953" s="1794"/>
    </row>
    <row r="955" spans="1:9" ht="18">
      <c r="A955" s="2082">
        <v>4.2</v>
      </c>
      <c r="B955" s="3570" t="s">
        <v>5230</v>
      </c>
      <c r="C955" s="3571"/>
      <c r="D955" s="3571"/>
      <c r="E955" s="3571"/>
      <c r="F955" s="3571"/>
      <c r="G955" s="3571"/>
      <c r="H955" s="3571"/>
      <c r="I955" s="3572"/>
    </row>
    <row r="956" spans="1:9" ht="18">
      <c r="A956" s="2043"/>
      <c r="B956" s="1262"/>
      <c r="C956" s="1299" t="s">
        <v>140</v>
      </c>
      <c r="D956" s="1580" t="s">
        <v>343</v>
      </c>
      <c r="E956" s="1255" t="s">
        <v>344</v>
      </c>
      <c r="F956" s="1255" t="s">
        <v>482</v>
      </c>
      <c r="G956" s="1255" t="s">
        <v>483</v>
      </c>
      <c r="H956" s="1255" t="s">
        <v>170</v>
      </c>
      <c r="I956" s="1255" t="s">
        <v>171</v>
      </c>
    </row>
    <row r="957" spans="1:9" ht="18">
      <c r="A957" s="2043" t="s">
        <v>172</v>
      </c>
      <c r="B957" s="1262" t="s">
        <v>189</v>
      </c>
      <c r="C957" s="687">
        <v>1</v>
      </c>
      <c r="D957" s="1229" t="s">
        <v>583</v>
      </c>
      <c r="E957" s="2679">
        <f>+H962*0.05</f>
        <v>24222.423898000001</v>
      </c>
      <c r="F957" s="2679"/>
      <c r="G957" s="2679"/>
      <c r="H957" s="2679"/>
      <c r="I957" s="2679">
        <f>+E957*C957</f>
        <v>24222.423898000001</v>
      </c>
    </row>
    <row r="958" spans="1:9" ht="18">
      <c r="A958" s="2043"/>
      <c r="B958" s="2063" t="s">
        <v>5450</v>
      </c>
      <c r="C958" s="687">
        <v>1</v>
      </c>
      <c r="D958" s="1229"/>
      <c r="E958" s="1255">
        <v>80000</v>
      </c>
      <c r="F958" s="1255">
        <f>+E958*C958</f>
        <v>80000</v>
      </c>
      <c r="G958" s="2679"/>
      <c r="H958" s="1255"/>
      <c r="I958" s="1255"/>
    </row>
    <row r="959" spans="1:9" ht="18">
      <c r="A959" s="2043" t="s">
        <v>348</v>
      </c>
      <c r="B959" s="1262" t="str">
        <f>IF(PRESTA&gt;0,"AYUD. RASO (INCLUYE "&amp;""&amp;PRESTA*100&amp;"% PRESTACIONES)",0)</f>
        <v>AYUD. RASO (INCLUYE 82,22% PRESTACIONES)</v>
      </c>
      <c r="C959" s="687">
        <f>1/0.4</f>
        <v>2.5</v>
      </c>
      <c r="D959" s="1229" t="s">
        <v>346</v>
      </c>
      <c r="E959" s="2679">
        <f>+AYUDR</f>
        <v>50299.76584</v>
      </c>
      <c r="F959" s="2679"/>
      <c r="G959" s="2679"/>
      <c r="H959" s="2679">
        <f>+E959*C959</f>
        <v>125749.4146</v>
      </c>
      <c r="I959" s="2679"/>
    </row>
    <row r="960" spans="1:9" ht="18">
      <c r="A960" s="2043"/>
      <c r="B960" s="231" t="s">
        <v>5600</v>
      </c>
      <c r="C960" s="687">
        <f>1/0.4</f>
        <v>2.5</v>
      </c>
      <c r="D960" s="1229" t="s">
        <v>346</v>
      </c>
      <c r="E960" s="2679">
        <f>+OFICI</f>
        <v>80479.625344</v>
      </c>
      <c r="F960" s="2679"/>
      <c r="G960" s="2679"/>
      <c r="H960" s="2679">
        <f>+E960*C960</f>
        <v>201199.06336</v>
      </c>
      <c r="I960" s="2679"/>
    </row>
    <row r="961" spans="1:9" ht="18">
      <c r="A961" s="2043"/>
      <c r="B961" s="231" t="s">
        <v>5601</v>
      </c>
      <c r="C961" s="687">
        <f>+C959</f>
        <v>2.5</v>
      </c>
      <c r="D961" s="1229" t="s">
        <v>717</v>
      </c>
      <c r="E961" s="2679">
        <v>63000</v>
      </c>
      <c r="F961" s="2679"/>
      <c r="G961" s="2679"/>
      <c r="H961" s="2679">
        <f>+E961*C961</f>
        <v>157500</v>
      </c>
      <c r="I961" s="2679"/>
    </row>
    <row r="962" spans="1:9" ht="18">
      <c r="A962" s="2083" t="s">
        <v>190</v>
      </c>
      <c r="B962" s="1587">
        <f>SUM(F962:I962)</f>
        <v>588670.90185800008</v>
      </c>
      <c r="C962" s="687"/>
      <c r="D962" s="1229"/>
      <c r="E962" s="2679"/>
      <c r="F962" s="2679">
        <f>+SUM(F957:F961)</f>
        <v>80000</v>
      </c>
      <c r="G962" s="2679">
        <f>+SUM(G957:G961)</f>
        <v>0</v>
      </c>
      <c r="H962" s="2679">
        <f>+SUM(H957:H961)</f>
        <v>484448.47795999999</v>
      </c>
      <c r="I962" s="2679">
        <f>+SUM(I957:I961)</f>
        <v>24222.423898000001</v>
      </c>
    </row>
    <row r="963" spans="1:9" ht="18">
      <c r="A963" s="2083" t="s">
        <v>191</v>
      </c>
      <c r="B963" s="1587">
        <f>+B962</f>
        <v>588670.90185800008</v>
      </c>
      <c r="C963" s="1228" t="s">
        <v>363</v>
      </c>
      <c r="D963" s="873"/>
      <c r="E963" s="1794"/>
      <c r="F963" s="1794"/>
      <c r="G963" s="1794"/>
      <c r="H963" s="1794"/>
      <c r="I963" s="1794"/>
    </row>
    <row r="964" spans="1:9" ht="18">
      <c r="A964" s="402"/>
      <c r="B964" s="402"/>
      <c r="C964" s="402"/>
      <c r="D964" s="402"/>
      <c r="E964" s="402"/>
      <c r="F964" s="402"/>
      <c r="G964" s="402"/>
      <c r="H964" s="402"/>
      <c r="I964" s="402"/>
    </row>
    <row r="965" spans="1:9" ht="18">
      <c r="A965" s="2082">
        <v>4.2</v>
      </c>
      <c r="B965" s="3570" t="s">
        <v>5252</v>
      </c>
      <c r="C965" s="3571"/>
      <c r="D965" s="3571"/>
      <c r="E965" s="3571"/>
      <c r="F965" s="3571"/>
      <c r="G965" s="3571"/>
      <c r="H965" s="3571"/>
      <c r="I965" s="3572"/>
    </row>
    <row r="966" spans="1:9" ht="18">
      <c r="A966" s="2043"/>
      <c r="B966" s="1262"/>
      <c r="C966" s="1299" t="s">
        <v>140</v>
      </c>
      <c r="D966" s="1580" t="s">
        <v>343</v>
      </c>
      <c r="E966" s="1255" t="s">
        <v>344</v>
      </c>
      <c r="F966" s="1255" t="s">
        <v>482</v>
      </c>
      <c r="G966" s="1255" t="s">
        <v>483</v>
      </c>
      <c r="H966" s="1255" t="s">
        <v>170</v>
      </c>
      <c r="I966" s="1255" t="s">
        <v>171</v>
      </c>
    </row>
    <row r="967" spans="1:9" ht="18">
      <c r="A967" s="2043"/>
      <c r="B967" s="2063" t="s">
        <v>5311</v>
      </c>
      <c r="C967" s="687">
        <v>1</v>
      </c>
      <c r="D967" s="1229" t="s">
        <v>343</v>
      </c>
      <c r="E967" s="1255">
        <v>230000</v>
      </c>
      <c r="F967" s="1255"/>
      <c r="G967" s="2679">
        <f t="shared" ref="G967:G971" si="68">+E967*C967</f>
        <v>230000</v>
      </c>
      <c r="H967" s="1255"/>
      <c r="I967" s="1255"/>
    </row>
    <row r="968" spans="1:9" ht="18">
      <c r="A968" s="2043"/>
      <c r="B968" s="2063" t="s">
        <v>5312</v>
      </c>
      <c r="C968" s="687">
        <v>15</v>
      </c>
      <c r="D968" s="1229" t="s">
        <v>343</v>
      </c>
      <c r="E968" s="1255">
        <v>14000</v>
      </c>
      <c r="F968" s="1255"/>
      <c r="G968" s="2679">
        <f t="shared" si="68"/>
        <v>210000</v>
      </c>
      <c r="H968" s="1255"/>
      <c r="I968" s="1255"/>
    </row>
    <row r="969" spans="1:9" ht="18">
      <c r="A969" s="2043"/>
      <c r="B969" s="2063" t="s">
        <v>5313</v>
      </c>
      <c r="C969" s="687">
        <v>2</v>
      </c>
      <c r="D969" s="1229" t="s">
        <v>343</v>
      </c>
      <c r="E969" s="1255">
        <v>30000</v>
      </c>
      <c r="F969" s="1255"/>
      <c r="G969" s="2679">
        <f t="shared" si="68"/>
        <v>60000</v>
      </c>
      <c r="H969" s="1255"/>
      <c r="I969" s="1255"/>
    </row>
    <row r="970" spans="1:9" ht="18">
      <c r="A970" s="2043"/>
      <c r="B970" s="2063" t="s">
        <v>5314</v>
      </c>
      <c r="C970" s="687">
        <v>1</v>
      </c>
      <c r="D970" s="1229" t="s">
        <v>343</v>
      </c>
      <c r="E970" s="1255">
        <v>130000</v>
      </c>
      <c r="F970" s="1255"/>
      <c r="G970" s="2679">
        <f t="shared" si="68"/>
        <v>130000</v>
      </c>
      <c r="H970" s="1255"/>
      <c r="I970" s="1255"/>
    </row>
    <row r="971" spans="1:9" ht="18">
      <c r="A971" s="2043"/>
      <c r="B971" s="2088" t="s">
        <v>5315</v>
      </c>
      <c r="C971" s="687">
        <v>1</v>
      </c>
      <c r="D971" s="401" t="s">
        <v>772</v>
      </c>
      <c r="E971" s="2679">
        <v>50000</v>
      </c>
      <c r="F971" s="2679"/>
      <c r="G971" s="2679">
        <f t="shared" si="68"/>
        <v>50000</v>
      </c>
      <c r="H971" s="2679"/>
      <c r="I971" s="2679"/>
    </row>
    <row r="972" spans="1:9" ht="18">
      <c r="A972" s="2043"/>
      <c r="B972" s="2087" t="s">
        <v>5443</v>
      </c>
      <c r="C972" s="687">
        <v>1</v>
      </c>
      <c r="D972" s="401" t="s">
        <v>772</v>
      </c>
      <c r="E972" s="2679">
        <v>50000</v>
      </c>
      <c r="F972" s="2679"/>
      <c r="G972" s="402"/>
      <c r="H972" s="2679"/>
      <c r="I972" s="2679">
        <f>+E972*C972</f>
        <v>50000</v>
      </c>
    </row>
    <row r="973" spans="1:9" ht="18">
      <c r="A973" s="2083" t="s">
        <v>190</v>
      </c>
      <c r="B973" s="1587">
        <f>SUM(F973:I973)</f>
        <v>680000</v>
      </c>
      <c r="C973" s="687"/>
      <c r="D973" s="1229"/>
      <c r="E973" s="2679"/>
      <c r="F973" s="2679">
        <f>+SUM(F971:F971)</f>
        <v>0</v>
      </c>
      <c r="G973" s="2679">
        <f>+SUM(G967:G971)</f>
        <v>680000</v>
      </c>
      <c r="H973" s="2679">
        <f>+SUM(H971:H971)</f>
        <v>0</v>
      </c>
      <c r="I973" s="2679">
        <f>+SUM(I971:I971)</f>
        <v>0</v>
      </c>
    </row>
    <row r="974" spans="1:9" ht="18">
      <c r="A974" s="2083" t="s">
        <v>191</v>
      </c>
      <c r="B974" s="1587">
        <f>+B973</f>
        <v>680000</v>
      </c>
      <c r="C974" s="1228" t="s">
        <v>363</v>
      </c>
      <c r="D974" s="873"/>
      <c r="E974" s="1794"/>
      <c r="F974" s="1794"/>
      <c r="G974" s="1794"/>
      <c r="H974" s="1794"/>
      <c r="I974" s="1794"/>
    </row>
    <row r="976" spans="1:9" ht="18">
      <c r="A976" s="2082">
        <v>5.0999999999999996</v>
      </c>
      <c r="B976" s="3570" t="s">
        <v>5451</v>
      </c>
      <c r="C976" s="3571"/>
      <c r="D976" s="3571"/>
      <c r="E976" s="3571"/>
      <c r="F976" s="3571"/>
      <c r="G976" s="3571"/>
      <c r="H976" s="3571"/>
      <c r="I976" s="3572"/>
    </row>
    <row r="977" spans="1:9" ht="18">
      <c r="A977" s="2043"/>
      <c r="B977" s="1262"/>
      <c r="C977" s="1299" t="s">
        <v>140</v>
      </c>
      <c r="D977" s="1580" t="s">
        <v>343</v>
      </c>
      <c r="E977" s="1255" t="s">
        <v>344</v>
      </c>
      <c r="F977" s="1255" t="s">
        <v>482</v>
      </c>
      <c r="G977" s="1255" t="s">
        <v>483</v>
      </c>
      <c r="H977" s="1255" t="s">
        <v>170</v>
      </c>
      <c r="I977" s="1255" t="s">
        <v>171</v>
      </c>
    </row>
    <row r="978" spans="1:9" ht="18">
      <c r="A978" s="2043" t="s">
        <v>172</v>
      </c>
      <c r="B978" s="1262" t="s">
        <v>189</v>
      </c>
      <c r="C978" s="687">
        <v>1</v>
      </c>
      <c r="D978" s="1229" t="s">
        <v>583</v>
      </c>
      <c r="E978" s="2679">
        <f>+H981*0.05</f>
        <v>1753.7470730000002</v>
      </c>
      <c r="F978" s="2679"/>
      <c r="G978" s="2679"/>
      <c r="H978" s="2679"/>
      <c r="I978" s="2679">
        <f>+E978*C978</f>
        <v>1753.7470730000002</v>
      </c>
    </row>
    <row r="979" spans="1:9" ht="18">
      <c r="A979" s="2043"/>
      <c r="B979" s="231" t="s">
        <v>5104</v>
      </c>
      <c r="C979" s="687">
        <v>0.25</v>
      </c>
      <c r="D979" s="1229" t="s">
        <v>717</v>
      </c>
      <c r="E979" s="2679">
        <v>90000</v>
      </c>
      <c r="F979" s="2679"/>
      <c r="G979" s="2679"/>
      <c r="H979" s="2679">
        <f>+E979*C979</f>
        <v>22500</v>
      </c>
      <c r="I979" s="2679"/>
    </row>
    <row r="980" spans="1:9" ht="18">
      <c r="A980" s="2043" t="s">
        <v>348</v>
      </c>
      <c r="B980" s="1262" t="str">
        <f>IF(PRESTA&gt;0,"AYUD. RASO (INCLUYE "&amp;""&amp;PRESTA*100&amp;"% PRESTACIONES)",0)</f>
        <v>AYUD. RASO (INCLUYE 82,22% PRESTACIONES)</v>
      </c>
      <c r="C980" s="687">
        <f>1/4</f>
        <v>0.25</v>
      </c>
      <c r="D980" s="1229" t="s">
        <v>346</v>
      </c>
      <c r="E980" s="2679">
        <f>+AYUDR</f>
        <v>50299.76584</v>
      </c>
      <c r="F980" s="2679"/>
      <c r="G980" s="2679"/>
      <c r="H980" s="2679">
        <f>+E980*C980</f>
        <v>12574.94146</v>
      </c>
      <c r="I980" s="2679"/>
    </row>
    <row r="981" spans="1:9" ht="18">
      <c r="A981" s="2083" t="s">
        <v>190</v>
      </c>
      <c r="B981" s="1587">
        <f>SUM(F981:I981)</f>
        <v>36828.688533</v>
      </c>
      <c r="C981" s="687"/>
      <c r="D981" s="1229"/>
      <c r="E981" s="2679"/>
      <c r="F981" s="2679">
        <f>+SUM(F978:F980)</f>
        <v>0</v>
      </c>
      <c r="G981" s="2679">
        <f>+SUM(G978:G980)</f>
        <v>0</v>
      </c>
      <c r="H981" s="2679">
        <f>+SUM(H978:H980)</f>
        <v>35074.941460000002</v>
      </c>
      <c r="I981" s="2679">
        <f>+SUM(I978:I980)</f>
        <v>1753.7470730000002</v>
      </c>
    </row>
    <row r="982" spans="1:9" ht="18">
      <c r="A982" s="2083" t="s">
        <v>191</v>
      </c>
      <c r="B982" s="1587">
        <f>+B981</f>
        <v>36828.688533</v>
      </c>
      <c r="C982" s="1228" t="s">
        <v>45</v>
      </c>
      <c r="D982" s="873"/>
      <c r="E982" s="1794"/>
      <c r="F982" s="1794"/>
      <c r="G982" s="1794"/>
      <c r="H982" s="1794"/>
      <c r="I982" s="1794"/>
    </row>
    <row r="983" spans="1:9" ht="18">
      <c r="A983" s="402"/>
      <c r="B983" s="402"/>
      <c r="C983" s="402"/>
      <c r="D983" s="402"/>
      <c r="E983" s="402"/>
      <c r="F983" s="402"/>
      <c r="G983" s="402"/>
      <c r="H983" s="402"/>
      <c r="I983" s="402"/>
    </row>
    <row r="984" spans="1:9" ht="18">
      <c r="A984" s="2082">
        <v>5.0999999999999996</v>
      </c>
      <c r="B984" s="3570" t="s">
        <v>5452</v>
      </c>
      <c r="C984" s="3571"/>
      <c r="D984" s="3571"/>
      <c r="E984" s="3571"/>
      <c r="F984" s="3571"/>
      <c r="G984" s="3571"/>
      <c r="H984" s="3571"/>
      <c r="I984" s="3572"/>
    </row>
    <row r="985" spans="1:9" ht="18">
      <c r="A985" s="2043"/>
      <c r="B985" s="1262"/>
      <c r="C985" s="1299" t="s">
        <v>140</v>
      </c>
      <c r="D985" s="1580" t="s">
        <v>343</v>
      </c>
      <c r="E985" s="1255" t="s">
        <v>344</v>
      </c>
      <c r="F985" s="1255" t="s">
        <v>482</v>
      </c>
      <c r="G985" s="1255" t="s">
        <v>483</v>
      </c>
      <c r="H985" s="1255" t="s">
        <v>170</v>
      </c>
      <c r="I985" s="1255" t="s">
        <v>171</v>
      </c>
    </row>
    <row r="986" spans="1:9" ht="18">
      <c r="A986" s="2043"/>
      <c r="B986" s="2063" t="s">
        <v>5453</v>
      </c>
      <c r="C986" s="687">
        <v>8</v>
      </c>
      <c r="D986" s="1229" t="s">
        <v>45</v>
      </c>
      <c r="E986" s="1255">
        <v>82000</v>
      </c>
      <c r="F986" s="1255"/>
      <c r="G986" s="2679">
        <f t="shared" ref="G986:G988" si="69">+E986*C986</f>
        <v>656000</v>
      </c>
      <c r="H986" s="1255"/>
      <c r="I986" s="1255"/>
    </row>
    <row r="987" spans="1:9" ht="18">
      <c r="A987" s="2043"/>
      <c r="B987" s="2063" t="s">
        <v>5454</v>
      </c>
      <c r="C987" s="687">
        <v>1</v>
      </c>
      <c r="D987" s="1229" t="s">
        <v>45</v>
      </c>
      <c r="E987" s="1255">
        <v>28000</v>
      </c>
      <c r="F987" s="1255"/>
      <c r="G987" s="2679">
        <f t="shared" si="69"/>
        <v>28000</v>
      </c>
      <c r="H987" s="1255"/>
      <c r="I987" s="1255"/>
    </row>
    <row r="988" spans="1:9" ht="18">
      <c r="A988" s="2043"/>
      <c r="B988" s="2063" t="s">
        <v>5455</v>
      </c>
      <c r="C988" s="687">
        <v>2</v>
      </c>
      <c r="D988" s="1229" t="s">
        <v>45</v>
      </c>
      <c r="E988" s="1255">
        <v>18000</v>
      </c>
      <c r="F988" s="1255"/>
      <c r="G988" s="2679">
        <f t="shared" si="69"/>
        <v>36000</v>
      </c>
      <c r="H988" s="1255"/>
      <c r="I988" s="1255"/>
    </row>
    <row r="989" spans="1:9" ht="18">
      <c r="A989" s="2043"/>
      <c r="B989" s="2087" t="s">
        <v>5443</v>
      </c>
      <c r="C989" s="687">
        <v>1</v>
      </c>
      <c r="D989" s="401" t="s">
        <v>772</v>
      </c>
      <c r="E989" s="2679">
        <v>1000</v>
      </c>
      <c r="F989" s="2679"/>
      <c r="G989" s="402"/>
      <c r="H989" s="2679"/>
      <c r="I989" s="2679">
        <f>+E989*C989</f>
        <v>1000</v>
      </c>
    </row>
    <row r="990" spans="1:9" ht="18">
      <c r="A990" s="2083" t="s">
        <v>190</v>
      </c>
      <c r="B990" s="1587">
        <f>SUM(F990:I990)</f>
        <v>721000</v>
      </c>
      <c r="C990" s="687"/>
      <c r="D990" s="1229"/>
      <c r="E990" s="2679"/>
      <c r="F990" s="2679">
        <f>+SUM(F986:F989)</f>
        <v>0</v>
      </c>
      <c r="G990" s="2679">
        <f>+SUM(G986:G989)</f>
        <v>720000</v>
      </c>
      <c r="H990" s="2679"/>
      <c r="I990" s="2679">
        <f>+SUM(I988:I989)</f>
        <v>1000</v>
      </c>
    </row>
    <row r="991" spans="1:9" ht="18">
      <c r="A991" s="2083" t="s">
        <v>191</v>
      </c>
      <c r="B991" s="1587">
        <f>+B990</f>
        <v>721000</v>
      </c>
      <c r="C991" s="1228" t="s">
        <v>45</v>
      </c>
      <c r="D991" s="873"/>
      <c r="E991" s="1794"/>
      <c r="F991" s="1794"/>
      <c r="G991" s="1794"/>
      <c r="H991" s="1794"/>
      <c r="I991" s="1794"/>
    </row>
    <row r="993" spans="1:9" ht="61.5" customHeight="1">
      <c r="A993" s="2082">
        <v>6.1</v>
      </c>
      <c r="B993" s="3570" t="s">
        <v>5456</v>
      </c>
      <c r="C993" s="3571"/>
      <c r="D993" s="3571"/>
      <c r="E993" s="3571"/>
      <c r="F993" s="3571"/>
      <c r="G993" s="3571"/>
      <c r="H993" s="3571"/>
      <c r="I993" s="3572"/>
    </row>
    <row r="994" spans="1:9" ht="18">
      <c r="A994" s="2043"/>
      <c r="B994" s="1262"/>
      <c r="C994" s="1299" t="s">
        <v>140</v>
      </c>
      <c r="D994" s="1580" t="s">
        <v>343</v>
      </c>
      <c r="E994" s="1255" t="s">
        <v>344</v>
      </c>
      <c r="F994" s="1255" t="s">
        <v>482</v>
      </c>
      <c r="G994" s="1255" t="s">
        <v>483</v>
      </c>
      <c r="H994" s="1255" t="s">
        <v>170</v>
      </c>
      <c r="I994" s="1255" t="s">
        <v>171</v>
      </c>
    </row>
    <row r="995" spans="1:9" ht="18">
      <c r="A995" s="2043" t="s">
        <v>172</v>
      </c>
      <c r="B995" s="1262" t="s">
        <v>189</v>
      </c>
      <c r="C995" s="687">
        <v>1</v>
      </c>
      <c r="D995" s="1229" t="s">
        <v>583</v>
      </c>
      <c r="E995" s="2679">
        <f>+H998*0.05</f>
        <v>140299.76584000001</v>
      </c>
      <c r="F995" s="2679"/>
      <c r="G995" s="2679"/>
      <c r="H995" s="2679"/>
      <c r="I995" s="2679">
        <f>+E995*C995</f>
        <v>140299.76584000001</v>
      </c>
    </row>
    <row r="996" spans="1:9" ht="18">
      <c r="A996" s="2043"/>
      <c r="B996" s="231" t="s">
        <v>5104</v>
      </c>
      <c r="C996" s="687">
        <f>1/0.05</f>
        <v>20</v>
      </c>
      <c r="D996" s="1229" t="s">
        <v>717</v>
      </c>
      <c r="E996" s="2679">
        <v>90000</v>
      </c>
      <c r="F996" s="2679"/>
      <c r="G996" s="2679"/>
      <c r="H996" s="2679">
        <f>+E996*C996</f>
        <v>1800000</v>
      </c>
      <c r="I996" s="2679"/>
    </row>
    <row r="997" spans="1:9" ht="18">
      <c r="A997" s="2043" t="s">
        <v>348</v>
      </c>
      <c r="B997" s="1262" t="str">
        <f>IF(PRESTA&gt;0,"AYUD. RASO (INCLUYE "&amp;""&amp;PRESTA*100&amp;"% PRESTACIONES)",0)</f>
        <v>AYUD. RASO (INCLUYE 82,22% PRESTACIONES)</v>
      </c>
      <c r="C997" s="687">
        <f>+C996</f>
        <v>20</v>
      </c>
      <c r="D997" s="1229" t="s">
        <v>346</v>
      </c>
      <c r="E997" s="2679">
        <f>+AYUDR</f>
        <v>50299.76584</v>
      </c>
      <c r="F997" s="2679"/>
      <c r="G997" s="2679"/>
      <c r="H997" s="2679">
        <f>+E997*C997</f>
        <v>1005995.3168</v>
      </c>
      <c r="I997" s="2679"/>
    </row>
    <row r="998" spans="1:9" ht="18">
      <c r="A998" s="2083" t="s">
        <v>190</v>
      </c>
      <c r="B998" s="1587">
        <f>SUM(F998:I998)</f>
        <v>2946295.0826400002</v>
      </c>
      <c r="C998" s="687"/>
      <c r="D998" s="1229"/>
      <c r="E998" s="2679"/>
      <c r="F998" s="2679">
        <f>+SUM(F995:F997)</f>
        <v>0</v>
      </c>
      <c r="G998" s="2679">
        <f>+SUM(G995:G997)</f>
        <v>0</v>
      </c>
      <c r="H998" s="2679">
        <f>+SUM(H995:H997)</f>
        <v>2805995.3168000001</v>
      </c>
      <c r="I998" s="2679">
        <f>+SUM(I995:I997)</f>
        <v>140299.76584000001</v>
      </c>
    </row>
    <row r="999" spans="1:9" ht="18">
      <c r="A999" s="2083" t="s">
        <v>191</v>
      </c>
      <c r="B999" s="1587">
        <f>+B998</f>
        <v>2946295.0826400002</v>
      </c>
      <c r="C999" s="1228" t="s">
        <v>363</v>
      </c>
      <c r="D999" s="873"/>
      <c r="E999" s="1794"/>
      <c r="F999" s="1794"/>
      <c r="G999" s="1794"/>
      <c r="H999" s="1794"/>
      <c r="I999" s="1794"/>
    </row>
    <row r="1000" spans="1:9" ht="18">
      <c r="A1000" s="402"/>
      <c r="B1000" s="402"/>
      <c r="C1000" s="402"/>
      <c r="D1000" s="402"/>
      <c r="E1000" s="402"/>
      <c r="F1000" s="402"/>
      <c r="G1000" s="402"/>
      <c r="H1000" s="402"/>
      <c r="I1000" s="402"/>
    </row>
    <row r="1001" spans="1:9" ht="69.75" customHeight="1">
      <c r="A1001" s="2082">
        <v>6.1</v>
      </c>
      <c r="B1001" s="3570" t="s">
        <v>5457</v>
      </c>
      <c r="C1001" s="3571"/>
      <c r="D1001" s="3571"/>
      <c r="E1001" s="3571"/>
      <c r="F1001" s="3571"/>
      <c r="G1001" s="3571"/>
      <c r="H1001" s="3571"/>
      <c r="I1001" s="3572"/>
    </row>
    <row r="1002" spans="1:9" ht="18">
      <c r="A1002" s="2043"/>
      <c r="B1002" s="1262"/>
      <c r="C1002" s="1299" t="s">
        <v>140</v>
      </c>
      <c r="D1002" s="1580" t="s">
        <v>343</v>
      </c>
      <c r="E1002" s="1255" t="s">
        <v>344</v>
      </c>
      <c r="F1002" s="1255" t="s">
        <v>482</v>
      </c>
      <c r="G1002" s="1255" t="s">
        <v>483</v>
      </c>
      <c r="H1002" s="1255" t="s">
        <v>170</v>
      </c>
      <c r="I1002" s="1255" t="s">
        <v>171</v>
      </c>
    </row>
    <row r="1003" spans="1:9" ht="42.75" customHeight="1">
      <c r="A1003" s="2043"/>
      <c r="B1003" s="2089" t="s">
        <v>5458</v>
      </c>
      <c r="C1003" s="687">
        <v>1</v>
      </c>
      <c r="D1003" s="1229" t="s">
        <v>343</v>
      </c>
      <c r="E1003" s="1255">
        <v>1800000</v>
      </c>
      <c r="F1003" s="1255"/>
      <c r="G1003" s="2679">
        <f t="shared" ref="G1003:G1009" si="70">+E1003*C1003</f>
        <v>1800000</v>
      </c>
      <c r="H1003" s="1255"/>
      <c r="I1003" s="1255"/>
    </row>
    <row r="1004" spans="1:9" ht="39.75" customHeight="1">
      <c r="A1004" s="2043"/>
      <c r="B1004" s="2089" t="s">
        <v>5459</v>
      </c>
      <c r="C1004" s="687">
        <v>1</v>
      </c>
      <c r="D1004" s="1229" t="s">
        <v>343</v>
      </c>
      <c r="E1004" s="1255">
        <v>17500000</v>
      </c>
      <c r="F1004" s="1255"/>
      <c r="G1004" s="2679">
        <f t="shared" si="70"/>
        <v>17500000</v>
      </c>
      <c r="H1004" s="1255"/>
      <c r="I1004" s="1255"/>
    </row>
    <row r="1005" spans="1:9" ht="18">
      <c r="A1005" s="2043"/>
      <c r="B1005" s="2089" t="s">
        <v>5270</v>
      </c>
      <c r="C1005" s="687">
        <v>1</v>
      </c>
      <c r="D1005" s="1229" t="s">
        <v>343</v>
      </c>
      <c r="E1005" s="1255">
        <v>3320000</v>
      </c>
      <c r="F1005" s="1255"/>
      <c r="G1005" s="2679">
        <f t="shared" si="70"/>
        <v>3320000</v>
      </c>
      <c r="H1005" s="1255"/>
      <c r="I1005" s="1255"/>
    </row>
    <row r="1006" spans="1:9" ht="18">
      <c r="A1006" s="2043"/>
      <c r="B1006" s="2089" t="s">
        <v>5272</v>
      </c>
      <c r="C1006" s="687">
        <v>1</v>
      </c>
      <c r="D1006" s="1229" t="s">
        <v>343</v>
      </c>
      <c r="E1006" s="1255">
        <v>3200000</v>
      </c>
      <c r="F1006" s="1255"/>
      <c r="G1006" s="2679">
        <f t="shared" si="70"/>
        <v>3200000</v>
      </c>
      <c r="H1006" s="1255"/>
      <c r="I1006" s="1255"/>
    </row>
    <row r="1007" spans="1:9" ht="18">
      <c r="A1007" s="2043"/>
      <c r="B1007" s="2089" t="s">
        <v>5460</v>
      </c>
      <c r="C1007" s="687">
        <v>1</v>
      </c>
      <c r="D1007" s="1229" t="s">
        <v>343</v>
      </c>
      <c r="E1007" s="1255">
        <v>230000</v>
      </c>
      <c r="F1007" s="1255"/>
      <c r="G1007" s="2679">
        <f t="shared" si="70"/>
        <v>230000</v>
      </c>
      <c r="H1007" s="1255"/>
      <c r="I1007" s="1255"/>
    </row>
    <row r="1008" spans="1:9" ht="18">
      <c r="A1008" s="2043"/>
      <c r="B1008" s="2089" t="s">
        <v>5461</v>
      </c>
      <c r="C1008" s="687">
        <v>1</v>
      </c>
      <c r="D1008" s="1229" t="s">
        <v>343</v>
      </c>
      <c r="E1008" s="1255">
        <v>230000</v>
      </c>
      <c r="F1008" s="1255"/>
      <c r="G1008" s="2679">
        <f t="shared" si="70"/>
        <v>230000</v>
      </c>
      <c r="H1008" s="1255"/>
      <c r="I1008" s="1255"/>
    </row>
    <row r="1009" spans="1:9" ht="18">
      <c r="A1009" s="2043"/>
      <c r="B1009" s="2089" t="s">
        <v>5462</v>
      </c>
      <c r="C1009" s="687">
        <v>1</v>
      </c>
      <c r="D1009" s="1229" t="s">
        <v>343</v>
      </c>
      <c r="E1009" s="2679">
        <v>6900000</v>
      </c>
      <c r="F1009" s="2679"/>
      <c r="G1009" s="2679">
        <f t="shared" si="70"/>
        <v>6900000</v>
      </c>
      <c r="H1009" s="2679"/>
      <c r="I1009" s="2679"/>
    </row>
    <row r="1010" spans="1:9" ht="18">
      <c r="A1010" s="2043"/>
      <c r="B1010" s="2087" t="s">
        <v>5443</v>
      </c>
      <c r="C1010" s="687">
        <v>1</v>
      </c>
      <c r="D1010" s="401" t="s">
        <v>772</v>
      </c>
      <c r="E1010" s="2679">
        <v>100000</v>
      </c>
      <c r="F1010" s="2679"/>
      <c r="G1010" s="402"/>
      <c r="H1010" s="2679"/>
      <c r="I1010" s="2679">
        <f>+E1010*C1010</f>
        <v>100000</v>
      </c>
    </row>
    <row r="1011" spans="1:9" ht="18">
      <c r="A1011" s="2083" t="s">
        <v>190</v>
      </c>
      <c r="B1011" s="1587">
        <f>SUM(F1011:I1011)</f>
        <v>33280000</v>
      </c>
      <c r="C1011" s="687"/>
      <c r="D1011" s="1229"/>
      <c r="E1011" s="2679"/>
      <c r="F1011" s="2679">
        <f>+SUM(F1003:F1009)</f>
        <v>0</v>
      </c>
      <c r="G1011" s="2679">
        <f>+SUM(G1003:G1009)</f>
        <v>33180000</v>
      </c>
      <c r="H1011" s="2679"/>
      <c r="I1011" s="2679">
        <f>+SUM(I1010)</f>
        <v>100000</v>
      </c>
    </row>
    <row r="1012" spans="1:9" ht="18">
      <c r="A1012" s="2083" t="s">
        <v>191</v>
      </c>
      <c r="B1012" s="1587">
        <f>+B1011</f>
        <v>33280000</v>
      </c>
      <c r="C1012" s="1228" t="s">
        <v>363</v>
      </c>
      <c r="D1012" s="873"/>
      <c r="E1012" s="1794"/>
      <c r="F1012" s="1794"/>
      <c r="G1012" s="1794"/>
      <c r="H1012" s="1794"/>
      <c r="I1012" s="1794"/>
    </row>
    <row r="1014" spans="1:9" ht="31.5" customHeight="1">
      <c r="A1014" s="2082">
        <v>7.1</v>
      </c>
      <c r="B1014" s="3570" t="s">
        <v>5463</v>
      </c>
      <c r="C1014" s="3571"/>
      <c r="D1014" s="3571"/>
      <c r="E1014" s="3571"/>
      <c r="F1014" s="3571"/>
      <c r="G1014" s="3571"/>
      <c r="H1014" s="3571"/>
      <c r="I1014" s="3572"/>
    </row>
    <row r="1015" spans="1:9" ht="18">
      <c r="A1015" s="2043"/>
      <c r="B1015" s="1262"/>
      <c r="C1015" s="1299" t="s">
        <v>140</v>
      </c>
      <c r="D1015" s="1580" t="s">
        <v>343</v>
      </c>
      <c r="E1015" s="1255" t="s">
        <v>344</v>
      </c>
      <c r="F1015" s="1255" t="s">
        <v>482</v>
      </c>
      <c r="G1015" s="1255" t="s">
        <v>483</v>
      </c>
      <c r="H1015" s="1255" t="s">
        <v>170</v>
      </c>
      <c r="I1015" s="1255" t="s">
        <v>171</v>
      </c>
    </row>
    <row r="1016" spans="1:9" ht="18">
      <c r="A1016" s="2043" t="s">
        <v>172</v>
      </c>
      <c r="B1016" s="1262" t="s">
        <v>189</v>
      </c>
      <c r="C1016" s="687">
        <v>1</v>
      </c>
      <c r="D1016" s="1229" t="s">
        <v>583</v>
      </c>
      <c r="E1016" s="2679">
        <f>+H1019*0.05</f>
        <v>1753.7470730000002</v>
      </c>
      <c r="F1016" s="2679"/>
      <c r="G1016" s="2679"/>
      <c r="H1016" s="2679"/>
      <c r="I1016" s="2679">
        <f>+E1016*C1016</f>
        <v>1753.7470730000002</v>
      </c>
    </row>
    <row r="1017" spans="1:9" ht="18">
      <c r="A1017" s="2043"/>
      <c r="B1017" s="231" t="s">
        <v>5104</v>
      </c>
      <c r="C1017" s="687">
        <f>1/4</f>
        <v>0.25</v>
      </c>
      <c r="D1017" s="1229" t="s">
        <v>717</v>
      </c>
      <c r="E1017" s="2679">
        <v>90000</v>
      </c>
      <c r="F1017" s="2679"/>
      <c r="G1017" s="2679"/>
      <c r="H1017" s="2679">
        <f>+E1017*C1017</f>
        <v>22500</v>
      </c>
      <c r="I1017" s="2679"/>
    </row>
    <row r="1018" spans="1:9" ht="18">
      <c r="A1018" s="2043" t="s">
        <v>348</v>
      </c>
      <c r="B1018" s="1262" t="str">
        <f>IF(PRESTA&gt;0,"AYUD. RASO (INCLUYE "&amp;""&amp;PRESTA*100&amp;"% PRESTACIONES)",0)</f>
        <v>AYUD. RASO (INCLUYE 82,22% PRESTACIONES)</v>
      </c>
      <c r="C1018" s="687">
        <f>+C1017</f>
        <v>0.25</v>
      </c>
      <c r="D1018" s="1229" t="s">
        <v>346</v>
      </c>
      <c r="E1018" s="2679">
        <f>+AYUDR</f>
        <v>50299.76584</v>
      </c>
      <c r="F1018" s="2679"/>
      <c r="G1018" s="2679"/>
      <c r="H1018" s="2679">
        <f>+E1018*C1018</f>
        <v>12574.94146</v>
      </c>
      <c r="I1018" s="2679"/>
    </row>
    <row r="1019" spans="1:9" ht="18">
      <c r="A1019" s="2083" t="s">
        <v>190</v>
      </c>
      <c r="B1019" s="1587">
        <f>SUM(F1019:I1019)</f>
        <v>36828.688533</v>
      </c>
      <c r="C1019" s="687"/>
      <c r="D1019" s="1229"/>
      <c r="E1019" s="2679"/>
      <c r="F1019" s="2679">
        <f>+SUM(F1016:F1018)</f>
        <v>0</v>
      </c>
      <c r="G1019" s="2679">
        <f>+SUM(G1016:G1018)</f>
        <v>0</v>
      </c>
      <c r="H1019" s="2679">
        <f>+SUM(H1016:H1018)</f>
        <v>35074.941460000002</v>
      </c>
      <c r="I1019" s="2679">
        <f>+SUM(I1016:I1018)</f>
        <v>1753.7470730000002</v>
      </c>
    </row>
    <row r="1020" spans="1:9" ht="18">
      <c r="A1020" s="2083" t="s">
        <v>191</v>
      </c>
      <c r="B1020" s="1587">
        <f>+B1019</f>
        <v>36828.688533</v>
      </c>
      <c r="C1020" s="1228" t="s">
        <v>45</v>
      </c>
      <c r="D1020" s="873"/>
      <c r="E1020" s="1794"/>
      <c r="F1020" s="1794"/>
      <c r="G1020" s="1794"/>
      <c r="H1020" s="1794"/>
      <c r="I1020" s="1794"/>
    </row>
    <row r="1021" spans="1:9" ht="18">
      <c r="A1021" s="402"/>
      <c r="B1021" s="402"/>
      <c r="C1021" s="402"/>
      <c r="D1021" s="402"/>
      <c r="E1021" s="402"/>
      <c r="F1021" s="402"/>
      <c r="G1021" s="402"/>
      <c r="H1021" s="402"/>
      <c r="I1021" s="402"/>
    </row>
    <row r="1022" spans="1:9" ht="30" customHeight="1">
      <c r="A1022" s="2082">
        <v>7.1</v>
      </c>
      <c r="B1022" s="3570" t="s">
        <v>5464</v>
      </c>
      <c r="C1022" s="3571"/>
      <c r="D1022" s="3571"/>
      <c r="E1022" s="3571"/>
      <c r="F1022" s="3571"/>
      <c r="G1022" s="3571"/>
      <c r="H1022" s="3571"/>
      <c r="I1022" s="3572"/>
    </row>
    <row r="1023" spans="1:9" ht="18">
      <c r="A1023" s="2043"/>
      <c r="B1023" s="1262"/>
      <c r="C1023" s="1299" t="s">
        <v>140</v>
      </c>
      <c r="D1023" s="1580" t="s">
        <v>343</v>
      </c>
      <c r="E1023" s="1255" t="s">
        <v>344</v>
      </c>
      <c r="F1023" s="1255" t="s">
        <v>482</v>
      </c>
      <c r="G1023" s="1255" t="s">
        <v>483</v>
      </c>
      <c r="H1023" s="1255" t="s">
        <v>170</v>
      </c>
      <c r="I1023" s="1255" t="s">
        <v>171</v>
      </c>
    </row>
    <row r="1024" spans="1:9" ht="18">
      <c r="A1024" s="2043"/>
      <c r="B1024" s="2063" t="s">
        <v>5453</v>
      </c>
      <c r="C1024" s="687">
        <v>8</v>
      </c>
      <c r="D1024" s="1229" t="s">
        <v>45</v>
      </c>
      <c r="E1024" s="1255">
        <v>82000</v>
      </c>
      <c r="F1024" s="1255"/>
      <c r="G1024" s="2679">
        <f t="shared" ref="G1024:G1025" si="71">+E1024*C1024</f>
        <v>656000</v>
      </c>
      <c r="H1024" s="1255"/>
      <c r="I1024" s="1255"/>
    </row>
    <row r="1025" spans="1:9" ht="18">
      <c r="A1025" s="2043"/>
      <c r="B1025" s="2063" t="s">
        <v>5454</v>
      </c>
      <c r="C1025" s="687">
        <v>1</v>
      </c>
      <c r="D1025" s="1229" t="s">
        <v>45</v>
      </c>
      <c r="E1025" s="2679">
        <v>28000</v>
      </c>
      <c r="F1025" s="2679"/>
      <c r="G1025" s="2679">
        <f t="shared" si="71"/>
        <v>28000</v>
      </c>
      <c r="H1025" s="2679"/>
      <c r="I1025" s="2679"/>
    </row>
    <row r="1026" spans="1:9" ht="18">
      <c r="A1026" s="2043"/>
      <c r="B1026" s="2087" t="s">
        <v>5443</v>
      </c>
      <c r="C1026" s="687">
        <v>1</v>
      </c>
      <c r="D1026" s="401" t="s">
        <v>772</v>
      </c>
      <c r="E1026" s="2679">
        <v>1000</v>
      </c>
      <c r="F1026" s="2679"/>
      <c r="G1026" s="402"/>
      <c r="H1026" s="2679"/>
      <c r="I1026" s="2679">
        <f>+E1026*C1026</f>
        <v>1000</v>
      </c>
    </row>
    <row r="1027" spans="1:9" ht="18">
      <c r="A1027" s="2083" t="s">
        <v>190</v>
      </c>
      <c r="B1027" s="1587">
        <f>SUM(F1027:I1027)</f>
        <v>685000</v>
      </c>
      <c r="C1027" s="687"/>
      <c r="D1027" s="1229"/>
      <c r="E1027" s="2679"/>
      <c r="F1027" s="2679">
        <f>+SUM(F1024:F1025)</f>
        <v>0</v>
      </c>
      <c r="G1027" s="2679">
        <f>+SUM(G1024:G1025)</f>
        <v>684000</v>
      </c>
      <c r="H1027" s="2679"/>
      <c r="I1027" s="2679">
        <f>+SUM(I1026)</f>
        <v>1000</v>
      </c>
    </row>
    <row r="1028" spans="1:9" ht="18">
      <c r="A1028" s="2083" t="s">
        <v>191</v>
      </c>
      <c r="B1028" s="1587">
        <f>+B1027</f>
        <v>685000</v>
      </c>
      <c r="C1028" s="1228" t="s">
        <v>45</v>
      </c>
      <c r="D1028" s="873"/>
      <c r="E1028" s="1794"/>
      <c r="F1028" s="1794"/>
      <c r="G1028" s="1794"/>
      <c r="H1028" s="1794"/>
      <c r="I1028" s="1794"/>
    </row>
    <row r="1030" spans="1:9" ht="33" customHeight="1">
      <c r="A1030" s="2082">
        <v>8.1</v>
      </c>
      <c r="B1030" s="3570" t="s">
        <v>5465</v>
      </c>
      <c r="C1030" s="3571"/>
      <c r="D1030" s="3571"/>
      <c r="E1030" s="3571"/>
      <c r="F1030" s="3571"/>
      <c r="G1030" s="3571"/>
      <c r="H1030" s="3571"/>
      <c r="I1030" s="3572"/>
    </row>
    <row r="1031" spans="1:9" ht="18">
      <c r="A1031" s="2043"/>
      <c r="B1031" s="1262"/>
      <c r="C1031" s="1299" t="s">
        <v>140</v>
      </c>
      <c r="D1031" s="1580" t="s">
        <v>343</v>
      </c>
      <c r="E1031" s="1255" t="s">
        <v>344</v>
      </c>
      <c r="F1031" s="1255" t="s">
        <v>482</v>
      </c>
      <c r="G1031" s="1255" t="s">
        <v>483</v>
      </c>
      <c r="H1031" s="1255" t="s">
        <v>170</v>
      </c>
      <c r="I1031" s="1255" t="s">
        <v>171</v>
      </c>
    </row>
    <row r="1032" spans="1:9" ht="18">
      <c r="A1032" s="2043" t="s">
        <v>172</v>
      </c>
      <c r="B1032" s="1262" t="s">
        <v>189</v>
      </c>
      <c r="C1032" s="687">
        <v>1</v>
      </c>
      <c r="D1032" s="1229" t="s">
        <v>583</v>
      </c>
      <c r="E1032" s="2679">
        <f>+H1035*0.05</f>
        <v>1753.7470730000002</v>
      </c>
      <c r="F1032" s="2679"/>
      <c r="G1032" s="2679"/>
      <c r="H1032" s="2679"/>
      <c r="I1032" s="2679">
        <f>+E1032*C1032</f>
        <v>1753.7470730000002</v>
      </c>
    </row>
    <row r="1033" spans="1:9" ht="18">
      <c r="A1033" s="2043"/>
      <c r="B1033" s="231" t="s">
        <v>5104</v>
      </c>
      <c r="C1033" s="687">
        <f>1/4</f>
        <v>0.25</v>
      </c>
      <c r="D1033" s="1229" t="s">
        <v>717</v>
      </c>
      <c r="E1033" s="2679">
        <v>90000</v>
      </c>
      <c r="F1033" s="2679"/>
      <c r="G1033" s="2679"/>
      <c r="H1033" s="2679">
        <f>+E1033*C1033</f>
        <v>22500</v>
      </c>
      <c r="I1033" s="2679"/>
    </row>
    <row r="1034" spans="1:9" ht="18">
      <c r="A1034" s="2043" t="s">
        <v>348</v>
      </c>
      <c r="B1034" s="1262" t="str">
        <f>IF(PRESTA&gt;0,"AYUD. RASO (INCLUYE "&amp;""&amp;PRESTA*100&amp;"% PRESTACIONES)",0)</f>
        <v>AYUD. RASO (INCLUYE 82,22% PRESTACIONES)</v>
      </c>
      <c r="C1034" s="687">
        <f>+C1033</f>
        <v>0.25</v>
      </c>
      <c r="D1034" s="1229" t="s">
        <v>346</v>
      </c>
      <c r="E1034" s="2679">
        <f>+AYUDR</f>
        <v>50299.76584</v>
      </c>
      <c r="F1034" s="2679"/>
      <c r="G1034" s="2679"/>
      <c r="H1034" s="2679">
        <f>+E1034*C1034</f>
        <v>12574.94146</v>
      </c>
      <c r="I1034" s="2679"/>
    </row>
    <row r="1035" spans="1:9" ht="18">
      <c r="A1035" s="2083" t="s">
        <v>190</v>
      </c>
      <c r="B1035" s="1587">
        <f>SUM(F1035:I1035)</f>
        <v>36828.688533</v>
      </c>
      <c r="C1035" s="687"/>
      <c r="D1035" s="1229"/>
      <c r="E1035" s="2679"/>
      <c r="F1035" s="2679">
        <f>+SUM(F1032:F1034)</f>
        <v>0</v>
      </c>
      <c r="G1035" s="2679">
        <f>+SUM(G1032:G1034)</f>
        <v>0</v>
      </c>
      <c r="H1035" s="2679">
        <f>+SUM(H1032:H1034)</f>
        <v>35074.941460000002</v>
      </c>
      <c r="I1035" s="2679">
        <f>+SUM(I1032:I1034)</f>
        <v>1753.7470730000002</v>
      </c>
    </row>
    <row r="1036" spans="1:9" ht="18">
      <c r="A1036" s="2083" t="s">
        <v>191</v>
      </c>
      <c r="B1036" s="1587">
        <f>+B1035</f>
        <v>36828.688533</v>
      </c>
      <c r="C1036" s="1228" t="s">
        <v>45</v>
      </c>
      <c r="D1036" s="873"/>
      <c r="E1036" s="1794"/>
      <c r="F1036" s="1794"/>
      <c r="G1036" s="1794"/>
      <c r="H1036" s="1794"/>
      <c r="I1036" s="1794"/>
    </row>
    <row r="1037" spans="1:9" ht="18">
      <c r="A1037" s="402"/>
      <c r="B1037" s="402"/>
      <c r="C1037" s="402"/>
      <c r="D1037" s="402"/>
      <c r="E1037" s="402"/>
      <c r="F1037" s="402"/>
      <c r="G1037" s="402"/>
      <c r="H1037" s="402"/>
      <c r="I1037" s="402"/>
    </row>
    <row r="1038" spans="1:9" ht="29.25" customHeight="1">
      <c r="A1038" s="2082">
        <v>8.1</v>
      </c>
      <c r="B1038" s="3570" t="s">
        <v>5466</v>
      </c>
      <c r="C1038" s="3571"/>
      <c r="D1038" s="3571"/>
      <c r="E1038" s="3571"/>
      <c r="F1038" s="3571"/>
      <c r="G1038" s="3571"/>
      <c r="H1038" s="3571"/>
      <c r="I1038" s="3572"/>
    </row>
    <row r="1039" spans="1:9" ht="18">
      <c r="A1039" s="2043"/>
      <c r="B1039" s="1262"/>
      <c r="C1039" s="1299" t="s">
        <v>140</v>
      </c>
      <c r="D1039" s="1580" t="s">
        <v>343</v>
      </c>
      <c r="E1039" s="1255" t="s">
        <v>344</v>
      </c>
      <c r="F1039" s="1255" t="s">
        <v>482</v>
      </c>
      <c r="G1039" s="1255" t="s">
        <v>483</v>
      </c>
      <c r="H1039" s="1255" t="s">
        <v>170</v>
      </c>
      <c r="I1039" s="1255" t="s">
        <v>171</v>
      </c>
    </row>
    <row r="1040" spans="1:9" ht="18">
      <c r="A1040" s="2043"/>
      <c r="B1040" s="2063" t="s">
        <v>5453</v>
      </c>
      <c r="C1040" s="687">
        <v>8</v>
      </c>
      <c r="D1040" s="1229" t="s">
        <v>45</v>
      </c>
      <c r="E1040" s="1255">
        <v>82000</v>
      </c>
      <c r="F1040" s="1255"/>
      <c r="G1040" s="2679">
        <f t="shared" ref="G1040:G1041" si="72">+E1040*C1040</f>
        <v>656000</v>
      </c>
      <c r="H1040" s="1255"/>
      <c r="I1040" s="1255"/>
    </row>
    <row r="1041" spans="1:9" ht="18">
      <c r="A1041" s="2043"/>
      <c r="B1041" s="2063" t="s">
        <v>5454</v>
      </c>
      <c r="C1041" s="687">
        <v>1</v>
      </c>
      <c r="D1041" s="1229" t="s">
        <v>45</v>
      </c>
      <c r="E1041" s="2679">
        <v>28000</v>
      </c>
      <c r="F1041" s="2679"/>
      <c r="G1041" s="2679">
        <f t="shared" si="72"/>
        <v>28000</v>
      </c>
      <c r="H1041" s="2679"/>
      <c r="I1041" s="2679"/>
    </row>
    <row r="1042" spans="1:9" ht="18">
      <c r="A1042" s="2043"/>
      <c r="B1042" s="2087" t="s">
        <v>5443</v>
      </c>
      <c r="C1042" s="687">
        <v>1</v>
      </c>
      <c r="D1042" s="401" t="s">
        <v>772</v>
      </c>
      <c r="E1042" s="2679">
        <v>1000</v>
      </c>
      <c r="F1042" s="2679"/>
      <c r="G1042" s="402"/>
      <c r="H1042" s="2679"/>
      <c r="I1042" s="2679">
        <f>+E1042*C1042</f>
        <v>1000</v>
      </c>
    </row>
    <row r="1043" spans="1:9" ht="18">
      <c r="A1043" s="2083" t="s">
        <v>190</v>
      </c>
      <c r="B1043" s="1587">
        <f>SUM(F1043:I1043)</f>
        <v>685000</v>
      </c>
      <c r="C1043" s="687"/>
      <c r="D1043" s="1229"/>
      <c r="E1043" s="2679"/>
      <c r="F1043" s="2679">
        <f>+SUM(F1040:F1041)</f>
        <v>0</v>
      </c>
      <c r="G1043" s="2679">
        <f>+SUM(G1040:G1041)</f>
        <v>684000</v>
      </c>
      <c r="H1043" s="2679"/>
      <c r="I1043" s="2679">
        <f>+SUM(I1042)</f>
        <v>1000</v>
      </c>
    </row>
    <row r="1044" spans="1:9" ht="18">
      <c r="A1044" s="2083" t="s">
        <v>191</v>
      </c>
      <c r="B1044" s="1587">
        <f>+B1043</f>
        <v>685000</v>
      </c>
      <c r="C1044" s="1228" t="s">
        <v>45</v>
      </c>
      <c r="D1044" s="873"/>
      <c r="E1044" s="1794"/>
      <c r="F1044" s="1794"/>
      <c r="G1044" s="1794"/>
      <c r="H1044" s="1794"/>
      <c r="I1044" s="1794"/>
    </row>
    <row r="1046" spans="1:9" ht="18">
      <c r="A1046" s="2082">
        <v>8.1999999999999993</v>
      </c>
      <c r="B1046" s="3570" t="s">
        <v>5467</v>
      </c>
      <c r="C1046" s="3571"/>
      <c r="D1046" s="3571"/>
      <c r="E1046" s="3571"/>
      <c r="F1046" s="3571"/>
      <c r="G1046" s="3571"/>
      <c r="H1046" s="3571"/>
      <c r="I1046" s="3572"/>
    </row>
    <row r="1047" spans="1:9" ht="18">
      <c r="A1047" s="2043"/>
      <c r="B1047" s="1262"/>
      <c r="C1047" s="1299" t="s">
        <v>140</v>
      </c>
      <c r="D1047" s="1580" t="s">
        <v>343</v>
      </c>
      <c r="E1047" s="1255" t="s">
        <v>344</v>
      </c>
      <c r="F1047" s="1255" t="s">
        <v>482</v>
      </c>
      <c r="G1047" s="1255" t="s">
        <v>483</v>
      </c>
      <c r="H1047" s="1255" t="s">
        <v>170</v>
      </c>
      <c r="I1047" s="1255" t="s">
        <v>171</v>
      </c>
    </row>
    <row r="1048" spans="1:9" ht="18">
      <c r="A1048" s="2043" t="s">
        <v>172</v>
      </c>
      <c r="B1048" s="1262" t="s">
        <v>189</v>
      </c>
      <c r="C1048" s="687">
        <v>1</v>
      </c>
      <c r="D1048" s="1229" t="s">
        <v>583</v>
      </c>
      <c r="E1048" s="2679">
        <f>+H1051*0.05</f>
        <v>1753.7470730000002</v>
      </c>
      <c r="F1048" s="2679"/>
      <c r="G1048" s="2679"/>
      <c r="H1048" s="2679"/>
      <c r="I1048" s="2679">
        <f>+E1048*C1048</f>
        <v>1753.7470730000002</v>
      </c>
    </row>
    <row r="1049" spans="1:9" ht="18">
      <c r="A1049" s="2043"/>
      <c r="B1049" s="231" t="s">
        <v>5104</v>
      </c>
      <c r="C1049" s="687">
        <f>1/4</f>
        <v>0.25</v>
      </c>
      <c r="D1049" s="1229" t="s">
        <v>717</v>
      </c>
      <c r="E1049" s="2679">
        <v>90000</v>
      </c>
      <c r="F1049" s="2679"/>
      <c r="G1049" s="2679"/>
      <c r="H1049" s="2679">
        <f>+E1049*C1049</f>
        <v>22500</v>
      </c>
      <c r="I1049" s="2679"/>
    </row>
    <row r="1050" spans="1:9" ht="18">
      <c r="A1050" s="2043" t="s">
        <v>348</v>
      </c>
      <c r="B1050" s="1262" t="str">
        <f>IF(PRESTA&gt;0,"AYUD. RASO (INCLUYE "&amp;""&amp;PRESTA*100&amp;"% PRESTACIONES)",0)</f>
        <v>AYUD. RASO (INCLUYE 82,22% PRESTACIONES)</v>
      </c>
      <c r="C1050" s="687">
        <f>+C1049</f>
        <v>0.25</v>
      </c>
      <c r="D1050" s="1229" t="s">
        <v>346</v>
      </c>
      <c r="E1050" s="2679">
        <f>+AYUDR</f>
        <v>50299.76584</v>
      </c>
      <c r="F1050" s="2679"/>
      <c r="G1050" s="2679"/>
      <c r="H1050" s="2679">
        <f>+E1050*C1050</f>
        <v>12574.94146</v>
      </c>
      <c r="I1050" s="2679"/>
    </row>
    <row r="1051" spans="1:9" ht="18">
      <c r="A1051" s="2083" t="s">
        <v>190</v>
      </c>
      <c r="B1051" s="1587">
        <f>SUM(F1051:I1051)</f>
        <v>36828.688533</v>
      </c>
      <c r="C1051" s="687"/>
      <c r="D1051" s="1229"/>
      <c r="E1051" s="2679"/>
      <c r="F1051" s="2679">
        <f>+SUM(F1048:F1050)</f>
        <v>0</v>
      </c>
      <c r="G1051" s="2679">
        <f>+SUM(G1048:G1050)</f>
        <v>0</v>
      </c>
      <c r="H1051" s="2679">
        <f>+SUM(H1048:H1050)</f>
        <v>35074.941460000002</v>
      </c>
      <c r="I1051" s="2679">
        <f>+SUM(I1048:I1050)</f>
        <v>1753.7470730000002</v>
      </c>
    </row>
    <row r="1052" spans="1:9" ht="18">
      <c r="A1052" s="2083" t="s">
        <v>191</v>
      </c>
      <c r="B1052" s="1587">
        <f>+B1051</f>
        <v>36828.688533</v>
      </c>
      <c r="C1052" s="1228" t="s">
        <v>45</v>
      </c>
      <c r="D1052" s="873"/>
      <c r="E1052" s="1794"/>
      <c r="F1052" s="1794"/>
      <c r="G1052" s="1794"/>
      <c r="H1052" s="1794"/>
      <c r="I1052" s="1794"/>
    </row>
    <row r="1053" spans="1:9" ht="18">
      <c r="A1053" s="402"/>
      <c r="B1053" s="402"/>
      <c r="C1053" s="402"/>
      <c r="D1053" s="402"/>
      <c r="E1053" s="402"/>
      <c r="F1053" s="402"/>
      <c r="G1053" s="402"/>
      <c r="H1053" s="402"/>
      <c r="I1053" s="402"/>
    </row>
    <row r="1054" spans="1:9" ht="18">
      <c r="A1054" s="2082">
        <v>8.1999999999999993</v>
      </c>
      <c r="B1054" s="3570" t="s">
        <v>5468</v>
      </c>
      <c r="C1054" s="3571"/>
      <c r="D1054" s="3571"/>
      <c r="E1054" s="3571"/>
      <c r="F1054" s="3571"/>
      <c r="G1054" s="3571"/>
      <c r="H1054" s="3571"/>
      <c r="I1054" s="3572"/>
    </row>
    <row r="1055" spans="1:9" ht="18">
      <c r="A1055" s="2043"/>
      <c r="B1055" s="1262"/>
      <c r="C1055" s="1299" t="s">
        <v>140</v>
      </c>
      <c r="D1055" s="1580" t="s">
        <v>343</v>
      </c>
      <c r="E1055" s="1255" t="s">
        <v>344</v>
      </c>
      <c r="F1055" s="1255" t="s">
        <v>482</v>
      </c>
      <c r="G1055" s="1255" t="s">
        <v>483</v>
      </c>
      <c r="H1055" s="1255" t="s">
        <v>170</v>
      </c>
      <c r="I1055" s="1255" t="s">
        <v>171</v>
      </c>
    </row>
    <row r="1056" spans="1:9" ht="18">
      <c r="A1056" s="2043"/>
      <c r="B1056" s="2063" t="s">
        <v>5469</v>
      </c>
      <c r="C1056" s="687">
        <v>1</v>
      </c>
      <c r="D1056" s="1229" t="s">
        <v>45</v>
      </c>
      <c r="E1056" s="1255">
        <v>110000</v>
      </c>
      <c r="F1056" s="1255"/>
      <c r="G1056" s="2679">
        <f t="shared" ref="G1056" si="73">+E1056*C1056</f>
        <v>110000</v>
      </c>
      <c r="H1056" s="1255"/>
      <c r="I1056" s="1255"/>
    </row>
    <row r="1057" spans="1:9" ht="18">
      <c r="A1057" s="2043"/>
      <c r="B1057" s="2087" t="s">
        <v>5443</v>
      </c>
      <c r="C1057" s="687">
        <v>1</v>
      </c>
      <c r="D1057" s="401" t="s">
        <v>772</v>
      </c>
      <c r="E1057" s="2679">
        <v>1000</v>
      </c>
      <c r="F1057" s="2679"/>
      <c r="G1057" s="402"/>
      <c r="H1057" s="2679"/>
      <c r="I1057" s="2679">
        <f>+E1057*C1057</f>
        <v>1000</v>
      </c>
    </row>
    <row r="1058" spans="1:9" ht="18">
      <c r="A1058" s="2083" t="s">
        <v>190</v>
      </c>
      <c r="B1058" s="1587">
        <f>SUM(F1058:I1058)</f>
        <v>111000</v>
      </c>
      <c r="C1058" s="687"/>
      <c r="D1058" s="1229"/>
      <c r="E1058" s="2679"/>
      <c r="F1058" s="2679">
        <f>+SUM(F1056:F1056)</f>
        <v>0</v>
      </c>
      <c r="G1058" s="2679">
        <f>+SUM(G1056:G1056)</f>
        <v>110000</v>
      </c>
      <c r="H1058" s="2679"/>
      <c r="I1058" s="2679">
        <f>+SUM(I1057)</f>
        <v>1000</v>
      </c>
    </row>
    <row r="1059" spans="1:9" ht="18">
      <c r="A1059" s="2083" t="s">
        <v>191</v>
      </c>
      <c r="B1059" s="1587">
        <f>+B1058</f>
        <v>111000</v>
      </c>
      <c r="C1059" s="1228" t="s">
        <v>45</v>
      </c>
      <c r="D1059" s="873"/>
      <c r="E1059" s="1794"/>
      <c r="F1059" s="1794"/>
      <c r="G1059" s="1794"/>
      <c r="H1059" s="1794"/>
      <c r="I1059" s="1794"/>
    </row>
    <row r="1061" spans="1:9" ht="18">
      <c r="A1061" s="2082">
        <v>9.1</v>
      </c>
      <c r="B1061" s="3570" t="s">
        <v>5470</v>
      </c>
      <c r="C1061" s="3571"/>
      <c r="D1061" s="3571"/>
      <c r="E1061" s="3571"/>
      <c r="F1061" s="3571"/>
      <c r="G1061" s="3571"/>
      <c r="H1061" s="3571"/>
      <c r="I1061" s="3572"/>
    </row>
    <row r="1062" spans="1:9" ht="18">
      <c r="A1062" s="2043"/>
      <c r="B1062" s="1262"/>
      <c r="C1062" s="1299" t="s">
        <v>140</v>
      </c>
      <c r="D1062" s="1580" t="s">
        <v>343</v>
      </c>
      <c r="E1062" s="1255" t="s">
        <v>344</v>
      </c>
      <c r="F1062" s="1255" t="s">
        <v>482</v>
      </c>
      <c r="G1062" s="1255" t="s">
        <v>483</v>
      </c>
      <c r="H1062" s="1255" t="s">
        <v>170</v>
      </c>
      <c r="I1062" s="1255" t="s">
        <v>171</v>
      </c>
    </row>
    <row r="1063" spans="1:9" ht="18">
      <c r="A1063" s="2043" t="s">
        <v>172</v>
      </c>
      <c r="B1063" s="1262" t="s">
        <v>189</v>
      </c>
      <c r="C1063" s="687">
        <v>1</v>
      </c>
      <c r="D1063" s="1229" t="s">
        <v>583</v>
      </c>
      <c r="E1063" s="2679">
        <f>+H1067*0.05</f>
        <v>100214.11845714285</v>
      </c>
      <c r="F1063" s="2679"/>
      <c r="G1063" s="2679"/>
      <c r="H1063" s="2679"/>
      <c r="I1063" s="2679">
        <f>+E1063*C1063</f>
        <v>100214.11845714285</v>
      </c>
    </row>
    <row r="1064" spans="1:9" ht="18">
      <c r="A1064" s="2043" t="s">
        <v>5401</v>
      </c>
      <c r="B1064" s="1262" t="s">
        <v>5401</v>
      </c>
      <c r="C1064" s="687">
        <v>2.333333333333333</v>
      </c>
      <c r="D1064" s="1229" t="s">
        <v>5472</v>
      </c>
      <c r="E1064" s="2679">
        <f>+GRUA</f>
        <v>150000</v>
      </c>
      <c r="F1064" s="2679">
        <f>+E1064*C1064</f>
        <v>349999.99999999994</v>
      </c>
      <c r="G1064" s="2679"/>
      <c r="H1064" s="2679"/>
      <c r="I1064" s="2679"/>
    </row>
    <row r="1065" spans="1:9" ht="18">
      <c r="A1065" s="2043"/>
      <c r="B1065" s="231" t="s">
        <v>5296</v>
      </c>
      <c r="C1065" s="687">
        <f>1/0.07</f>
        <v>14.285714285714285</v>
      </c>
      <c r="D1065" s="1229" t="s">
        <v>717</v>
      </c>
      <c r="E1065" s="2679">
        <v>90000</v>
      </c>
      <c r="F1065" s="2679"/>
      <c r="G1065" s="2679"/>
      <c r="H1065" s="2679">
        <f>+E1065*C1065</f>
        <v>1285714.2857142857</v>
      </c>
      <c r="I1065" s="2679"/>
    </row>
    <row r="1066" spans="1:9" ht="18">
      <c r="A1066" s="2043" t="s">
        <v>348</v>
      </c>
      <c r="B1066" s="1262" t="str">
        <f>IF(PRESTA&gt;0,"AYUD. RASO (INCLUYE "&amp;""&amp;PRESTA*100&amp;"% PRESTACIONES)",0)</f>
        <v>AYUD. RASO (INCLUYE 82,22% PRESTACIONES)</v>
      </c>
      <c r="C1066" s="687">
        <f>+C1065</f>
        <v>14.285714285714285</v>
      </c>
      <c r="D1066" s="1229" t="s">
        <v>346</v>
      </c>
      <c r="E1066" s="2679">
        <f>+AYUDR</f>
        <v>50299.76584</v>
      </c>
      <c r="F1066" s="2679"/>
      <c r="G1066" s="2679"/>
      <c r="H1066" s="2679">
        <f>+E1066*C1066</f>
        <v>718568.08342857135</v>
      </c>
      <c r="I1066" s="2679"/>
    </row>
    <row r="1067" spans="1:9" ht="18">
      <c r="A1067" s="2083" t="s">
        <v>190</v>
      </c>
      <c r="B1067" s="1587">
        <f>SUM(F1067:I1067)</f>
        <v>2454496.4875999996</v>
      </c>
      <c r="C1067" s="687"/>
      <c r="D1067" s="1229"/>
      <c r="E1067" s="2679"/>
      <c r="F1067" s="2679">
        <f>+SUM(F1063:F1066)</f>
        <v>349999.99999999994</v>
      </c>
      <c r="G1067" s="2679">
        <f>+SUM(G1063:G1066)</f>
        <v>0</v>
      </c>
      <c r="H1067" s="2679">
        <f>+SUM(H1063:H1066)</f>
        <v>2004282.3691428569</v>
      </c>
      <c r="I1067" s="2679">
        <f>+SUM(I1063:I1066)</f>
        <v>100214.11845714285</v>
      </c>
    </row>
    <row r="1068" spans="1:9" ht="18">
      <c r="A1068" s="2083" t="s">
        <v>191</v>
      </c>
      <c r="B1068" s="1587">
        <f>+B1067</f>
        <v>2454496.4875999996</v>
      </c>
      <c r="C1068" s="1228" t="s">
        <v>427</v>
      </c>
      <c r="D1068" s="873"/>
      <c r="E1068" s="1794"/>
      <c r="F1068" s="1794"/>
      <c r="G1068" s="1794"/>
      <c r="H1068" s="1794"/>
      <c r="I1068" s="1794"/>
    </row>
    <row r="1069" spans="1:9" ht="18">
      <c r="A1069" s="402"/>
      <c r="B1069" s="402"/>
      <c r="C1069" s="402"/>
      <c r="D1069" s="402"/>
      <c r="E1069" s="402"/>
      <c r="F1069" s="402"/>
      <c r="G1069" s="402"/>
      <c r="H1069" s="402"/>
      <c r="I1069" s="402"/>
    </row>
    <row r="1070" spans="1:9" ht="18">
      <c r="A1070" s="2082">
        <v>9.1</v>
      </c>
      <c r="B1070" s="3570" t="s">
        <v>5471</v>
      </c>
      <c r="C1070" s="3571"/>
      <c r="D1070" s="3571"/>
      <c r="E1070" s="3571"/>
      <c r="F1070" s="3571"/>
      <c r="G1070" s="3571"/>
      <c r="H1070" s="3571"/>
      <c r="I1070" s="3572"/>
    </row>
    <row r="1071" spans="1:9" ht="18">
      <c r="A1071" s="2043"/>
      <c r="B1071" s="1262"/>
      <c r="C1071" s="1299" t="s">
        <v>140</v>
      </c>
      <c r="D1071" s="1580" t="s">
        <v>343</v>
      </c>
      <c r="E1071" s="1255" t="s">
        <v>344</v>
      </c>
      <c r="F1071" s="1255" t="s">
        <v>482</v>
      </c>
      <c r="G1071" s="1255" t="s">
        <v>483</v>
      </c>
      <c r="H1071" s="1255" t="s">
        <v>170</v>
      </c>
      <c r="I1071" s="1255" t="s">
        <v>171</v>
      </c>
    </row>
    <row r="1072" spans="1:9" ht="64.5" customHeight="1">
      <c r="A1072" s="2043"/>
      <c r="B1072" s="2089" t="s">
        <v>5473</v>
      </c>
      <c r="C1072" s="687">
        <v>1</v>
      </c>
      <c r="D1072" s="1229" t="s">
        <v>427</v>
      </c>
      <c r="E1072" s="1255">
        <v>194564714</v>
      </c>
      <c r="F1072" s="1255"/>
      <c r="G1072" s="2679">
        <f t="shared" ref="G1072" si="74">+E1072*C1072</f>
        <v>194564714</v>
      </c>
      <c r="H1072" s="1255"/>
      <c r="I1072" s="1255"/>
    </row>
    <row r="1073" spans="1:9" ht="18">
      <c r="A1073" s="2043"/>
      <c r="B1073" s="2087" t="s">
        <v>5474</v>
      </c>
      <c r="C1073" s="687">
        <v>1</v>
      </c>
      <c r="D1073" s="401" t="s">
        <v>772</v>
      </c>
      <c r="E1073" s="2679">
        <v>650000</v>
      </c>
      <c r="F1073" s="2679"/>
      <c r="G1073" s="402"/>
      <c r="H1073" s="2679"/>
      <c r="I1073" s="2679">
        <f>+E1073*C1073</f>
        <v>650000</v>
      </c>
    </row>
    <row r="1074" spans="1:9" ht="18">
      <c r="A1074" s="2083" t="s">
        <v>190</v>
      </c>
      <c r="B1074" s="1587">
        <f>SUM(F1074:I1074)</f>
        <v>195214714</v>
      </c>
      <c r="C1074" s="687"/>
      <c r="D1074" s="1229"/>
      <c r="E1074" s="2679"/>
      <c r="F1074" s="2679">
        <f>+SUM(F1072:F1072)</f>
        <v>0</v>
      </c>
      <c r="G1074" s="2679">
        <f>+SUM(G1072:G1072)</f>
        <v>194564714</v>
      </c>
      <c r="H1074" s="2679"/>
      <c r="I1074" s="2679">
        <f>+SUM(I1073)</f>
        <v>650000</v>
      </c>
    </row>
    <row r="1075" spans="1:9" ht="18">
      <c r="A1075" s="2083" t="s">
        <v>191</v>
      </c>
      <c r="B1075" s="1587">
        <f>+B1074</f>
        <v>195214714</v>
      </c>
      <c r="C1075" s="1228" t="s">
        <v>427</v>
      </c>
      <c r="D1075" s="873"/>
      <c r="E1075" s="1794"/>
      <c r="F1075" s="1794"/>
      <c r="G1075" s="1794"/>
      <c r="H1075" s="1794"/>
      <c r="I1075" s="1794"/>
    </row>
    <row r="1077" spans="1:9" ht="18">
      <c r="A1077" s="2082">
        <v>10.1</v>
      </c>
      <c r="B1077" s="3570" t="s">
        <v>5607</v>
      </c>
      <c r="C1077" s="3571"/>
      <c r="D1077" s="3571"/>
      <c r="E1077" s="3571"/>
      <c r="F1077" s="3571"/>
      <c r="G1077" s="3571"/>
      <c r="H1077" s="3571"/>
      <c r="I1077" s="3572"/>
    </row>
    <row r="1078" spans="1:9" ht="18">
      <c r="A1078" s="2043"/>
      <c r="B1078" s="1262"/>
      <c r="C1078" s="1299" t="s">
        <v>140</v>
      </c>
      <c r="D1078" s="1580" t="s">
        <v>343</v>
      </c>
      <c r="E1078" s="1255" t="s">
        <v>344</v>
      </c>
      <c r="F1078" s="1255" t="s">
        <v>482</v>
      </c>
      <c r="G1078" s="1255" t="s">
        <v>483</v>
      </c>
      <c r="H1078" s="1255" t="s">
        <v>170</v>
      </c>
      <c r="I1078" s="1255" t="s">
        <v>171</v>
      </c>
    </row>
    <row r="1079" spans="1:9" ht="18">
      <c r="A1079" s="2043" t="s">
        <v>172</v>
      </c>
      <c r="B1079" s="1262" t="s">
        <v>189</v>
      </c>
      <c r="C1079" s="687">
        <v>1</v>
      </c>
      <c r="D1079" s="1229" t="s">
        <v>583</v>
      </c>
      <c r="E1079" s="2679">
        <f>+H1082*0.05</f>
        <v>116916.47153333333</v>
      </c>
      <c r="F1079" s="2679"/>
      <c r="G1079" s="2679"/>
      <c r="H1079" s="2679"/>
      <c r="I1079" s="2679">
        <f>+E1079*C1079</f>
        <v>116916.47153333333</v>
      </c>
    </row>
    <row r="1080" spans="1:9" ht="18">
      <c r="A1080" s="2043"/>
      <c r="B1080" s="231" t="s">
        <v>5104</v>
      </c>
      <c r="C1080" s="687">
        <f>1/0.06</f>
        <v>16.666666666666668</v>
      </c>
      <c r="D1080" s="1229" t="s">
        <v>717</v>
      </c>
      <c r="E1080" s="2679">
        <v>90000</v>
      </c>
      <c r="F1080" s="2679"/>
      <c r="G1080" s="2679"/>
      <c r="H1080" s="2679">
        <f>+E1080*C1080</f>
        <v>1500000</v>
      </c>
      <c r="I1080" s="2679"/>
    </row>
    <row r="1081" spans="1:9" ht="18">
      <c r="A1081" s="2043" t="s">
        <v>348</v>
      </c>
      <c r="B1081" s="1262" t="str">
        <f>IF(PRESTA&gt;0,"AYUD. RASO (INCLUYE "&amp;""&amp;PRESTA*100&amp;"% PRESTACIONES)",0)</f>
        <v>AYUD. RASO (INCLUYE 82,22% PRESTACIONES)</v>
      </c>
      <c r="C1081" s="687">
        <f>+C1080</f>
        <v>16.666666666666668</v>
      </c>
      <c r="D1081" s="1229" t="s">
        <v>346</v>
      </c>
      <c r="E1081" s="2679">
        <f>+AYUDR</f>
        <v>50299.76584</v>
      </c>
      <c r="F1081" s="2679"/>
      <c r="G1081" s="2679"/>
      <c r="H1081" s="2679">
        <f>+E1081*C1081</f>
        <v>838329.43066666671</v>
      </c>
      <c r="I1081" s="2679"/>
    </row>
    <row r="1082" spans="1:9" ht="18">
      <c r="A1082" s="2083" t="s">
        <v>190</v>
      </c>
      <c r="B1082" s="1587">
        <f>SUM(F1082:I1082)</f>
        <v>2455245.9021999999</v>
      </c>
      <c r="C1082" s="687"/>
      <c r="D1082" s="1229"/>
      <c r="E1082" s="2679"/>
      <c r="F1082" s="2679">
        <f>+SUM(F1079:F1081)</f>
        <v>0</v>
      </c>
      <c r="G1082" s="2679">
        <f>+SUM(G1079:G1081)</f>
        <v>0</v>
      </c>
      <c r="H1082" s="2679">
        <f>+SUM(H1079:H1081)</f>
        <v>2338329.4306666665</v>
      </c>
      <c r="I1082" s="2679">
        <f>+SUM(I1079:I1081)</f>
        <v>116916.47153333333</v>
      </c>
    </row>
    <row r="1083" spans="1:9" ht="18">
      <c r="A1083" s="2083" t="s">
        <v>191</v>
      </c>
      <c r="B1083" s="1587">
        <f>+B1082</f>
        <v>2455245.9021999999</v>
      </c>
      <c r="C1083" s="1228" t="s">
        <v>363</v>
      </c>
      <c r="D1083" s="873"/>
      <c r="E1083" s="1794"/>
      <c r="F1083" s="1794"/>
      <c r="G1083" s="1794"/>
      <c r="H1083" s="1794"/>
      <c r="I1083" s="1794"/>
    </row>
    <row r="1084" spans="1:9" ht="18">
      <c r="A1084" s="402"/>
      <c r="B1084" s="402"/>
      <c r="C1084" s="402"/>
      <c r="D1084" s="402"/>
      <c r="E1084" s="402"/>
      <c r="F1084" s="402"/>
      <c r="G1084" s="402"/>
      <c r="H1084" s="402"/>
      <c r="I1084" s="402"/>
    </row>
    <row r="1085" spans="1:9" ht="18">
      <c r="A1085" s="2082">
        <v>10.1</v>
      </c>
      <c r="B1085" s="3570" t="s">
        <v>5608</v>
      </c>
      <c r="C1085" s="3571"/>
      <c r="D1085" s="3571"/>
      <c r="E1085" s="3571"/>
      <c r="F1085" s="3571"/>
      <c r="G1085" s="3571"/>
      <c r="H1085" s="3571"/>
      <c r="I1085" s="3572"/>
    </row>
    <row r="1086" spans="1:9" ht="18">
      <c r="A1086" s="2043"/>
      <c r="B1086" s="1262"/>
      <c r="C1086" s="1299" t="s">
        <v>140</v>
      </c>
      <c r="D1086" s="1580" t="s">
        <v>343</v>
      </c>
      <c r="E1086" s="1255" t="s">
        <v>344</v>
      </c>
      <c r="F1086" s="1255" t="s">
        <v>482</v>
      </c>
      <c r="G1086" s="1255" t="s">
        <v>483</v>
      </c>
      <c r="H1086" s="1255" t="s">
        <v>170</v>
      </c>
      <c r="I1086" s="1255" t="s">
        <v>171</v>
      </c>
    </row>
    <row r="1087" spans="1:9" ht="50.25" customHeight="1">
      <c r="A1087" s="2043"/>
      <c r="B1087" s="2090" t="s">
        <v>5475</v>
      </c>
      <c r="C1087" s="1299">
        <v>4</v>
      </c>
      <c r="D1087" s="1580" t="s">
        <v>5481</v>
      </c>
      <c r="E1087" s="1255">
        <v>1450000</v>
      </c>
      <c r="F1087" s="1255"/>
      <c r="G1087" s="1255">
        <f>+E1087*C1087</f>
        <v>5800000</v>
      </c>
      <c r="H1087" s="1255"/>
      <c r="I1087" s="1255"/>
    </row>
    <row r="1088" spans="1:9" ht="18">
      <c r="A1088" s="2043"/>
      <c r="B1088" s="2091" t="s">
        <v>5476</v>
      </c>
      <c r="C1088" s="1299">
        <v>1</v>
      </c>
      <c r="D1088" s="1580" t="s">
        <v>5482</v>
      </c>
      <c r="E1088" s="1255">
        <v>350000</v>
      </c>
      <c r="F1088" s="1255"/>
      <c r="G1088" s="1255">
        <f t="shared" ref="G1088:G1107" si="75">+E1088*C1088</f>
        <v>350000</v>
      </c>
      <c r="H1088" s="1255"/>
      <c r="I1088" s="1255"/>
    </row>
    <row r="1089" spans="1:9" ht="18">
      <c r="A1089" s="2043"/>
      <c r="B1089" s="2091" t="s">
        <v>5477</v>
      </c>
      <c r="C1089" s="1299">
        <v>1</v>
      </c>
      <c r="D1089" s="1580" t="s">
        <v>343</v>
      </c>
      <c r="E1089" s="1255">
        <v>6900000</v>
      </c>
      <c r="F1089" s="1255"/>
      <c r="G1089" s="1255">
        <f t="shared" si="75"/>
        <v>6900000</v>
      </c>
      <c r="H1089" s="1255"/>
      <c r="I1089" s="1255"/>
    </row>
    <row r="1090" spans="1:9" ht="18">
      <c r="A1090" s="2043"/>
      <c r="B1090" s="2091" t="s">
        <v>5270</v>
      </c>
      <c r="C1090" s="1299">
        <v>1</v>
      </c>
      <c r="D1090" s="1580" t="s">
        <v>343</v>
      </c>
      <c r="E1090" s="1255">
        <v>3320000</v>
      </c>
      <c r="F1090" s="1255"/>
      <c r="G1090" s="1255">
        <f t="shared" si="75"/>
        <v>3320000</v>
      </c>
      <c r="H1090" s="1255"/>
      <c r="I1090" s="1255"/>
    </row>
    <row r="1091" spans="1:9" ht="18">
      <c r="A1091" s="2043"/>
      <c r="B1091" s="2091" t="s">
        <v>5271</v>
      </c>
      <c r="C1091" s="1299">
        <v>1</v>
      </c>
      <c r="D1091" s="1580" t="s">
        <v>343</v>
      </c>
      <c r="E1091" s="1255">
        <v>650000</v>
      </c>
      <c r="F1091" s="1255"/>
      <c r="G1091" s="1255">
        <f t="shared" si="75"/>
        <v>650000</v>
      </c>
      <c r="H1091" s="1255"/>
      <c r="I1091" s="1255"/>
    </row>
    <row r="1092" spans="1:9" ht="18">
      <c r="A1092" s="2043"/>
      <c r="B1092" s="2091" t="s">
        <v>5272</v>
      </c>
      <c r="C1092" s="1299">
        <v>1</v>
      </c>
      <c r="D1092" s="1580" t="s">
        <v>343</v>
      </c>
      <c r="E1092" s="1255">
        <v>3200000</v>
      </c>
      <c r="F1092" s="1255"/>
      <c r="G1092" s="1255">
        <f t="shared" si="75"/>
        <v>3200000</v>
      </c>
      <c r="H1092" s="1255"/>
      <c r="I1092" s="1255"/>
    </row>
    <row r="1093" spans="1:9" ht="18">
      <c r="A1093" s="2043"/>
      <c r="B1093" s="2091" t="s">
        <v>5478</v>
      </c>
      <c r="C1093" s="687">
        <v>3</v>
      </c>
      <c r="D1093" s="1580" t="s">
        <v>343</v>
      </c>
      <c r="E1093" s="1255">
        <v>1940000</v>
      </c>
      <c r="F1093" s="1255"/>
      <c r="G1093" s="1255">
        <f t="shared" si="75"/>
        <v>5820000</v>
      </c>
      <c r="H1093" s="1255"/>
      <c r="I1093" s="1255"/>
    </row>
    <row r="1094" spans="1:9" ht="30" customHeight="1">
      <c r="A1094" s="2043"/>
      <c r="B1094" s="2089" t="s">
        <v>5479</v>
      </c>
      <c r="C1094" s="687">
        <v>3</v>
      </c>
      <c r="D1094" s="1580" t="s">
        <v>343</v>
      </c>
      <c r="E1094" s="1255">
        <v>35000000</v>
      </c>
      <c r="F1094" s="1255"/>
      <c r="G1094" s="1255">
        <f t="shared" si="75"/>
        <v>105000000</v>
      </c>
      <c r="H1094" s="1255"/>
      <c r="I1094" s="1255"/>
    </row>
    <row r="1095" spans="1:9" ht="15" customHeight="1">
      <c r="A1095" s="2043"/>
      <c r="B1095" s="2091" t="s">
        <v>5279</v>
      </c>
      <c r="C1095" s="687">
        <v>3</v>
      </c>
      <c r="D1095" s="1580" t="s">
        <v>343</v>
      </c>
      <c r="E1095" s="1255">
        <v>65000</v>
      </c>
      <c r="F1095" s="1255"/>
      <c r="G1095" s="1255">
        <f t="shared" si="75"/>
        <v>195000</v>
      </c>
      <c r="H1095" s="1255"/>
      <c r="I1095" s="1255"/>
    </row>
    <row r="1096" spans="1:9" ht="15" customHeight="1">
      <c r="A1096" s="2043"/>
      <c r="B1096" s="2091" t="s">
        <v>5480</v>
      </c>
      <c r="C1096" s="687">
        <v>3</v>
      </c>
      <c r="D1096" s="1580" t="s">
        <v>343</v>
      </c>
      <c r="E1096" s="1255">
        <v>175000</v>
      </c>
      <c r="F1096" s="1255"/>
      <c r="G1096" s="1255">
        <f t="shared" si="75"/>
        <v>525000</v>
      </c>
      <c r="H1096" s="1255"/>
      <c r="I1096" s="1255"/>
    </row>
    <row r="1097" spans="1:9" ht="15" customHeight="1">
      <c r="A1097" s="2043"/>
      <c r="B1097" s="2091" t="s">
        <v>5281</v>
      </c>
      <c r="C1097" s="687">
        <v>9</v>
      </c>
      <c r="D1097" s="1580" t="s">
        <v>343</v>
      </c>
      <c r="E1097" s="1255">
        <v>65000</v>
      </c>
      <c r="F1097" s="1255"/>
      <c r="G1097" s="1255">
        <f t="shared" si="75"/>
        <v>585000</v>
      </c>
      <c r="H1097" s="1255"/>
      <c r="I1097" s="1255"/>
    </row>
    <row r="1098" spans="1:9" ht="15" customHeight="1">
      <c r="A1098" s="2043"/>
      <c r="B1098" s="2091" t="s">
        <v>5282</v>
      </c>
      <c r="C1098" s="687">
        <v>3</v>
      </c>
      <c r="D1098" s="1580" t="s">
        <v>343</v>
      </c>
      <c r="E1098" s="1255">
        <v>290000</v>
      </c>
      <c r="F1098" s="1255"/>
      <c r="G1098" s="1255">
        <f t="shared" si="75"/>
        <v>870000</v>
      </c>
      <c r="H1098" s="1255"/>
      <c r="I1098" s="1255"/>
    </row>
    <row r="1099" spans="1:9" ht="15" customHeight="1">
      <c r="A1099" s="2043"/>
      <c r="B1099" s="2091" t="s">
        <v>5283</v>
      </c>
      <c r="C1099" s="687">
        <v>3</v>
      </c>
      <c r="D1099" s="1580" t="s">
        <v>343</v>
      </c>
      <c r="E1099" s="1255">
        <v>92000</v>
      </c>
      <c r="F1099" s="1255"/>
      <c r="G1099" s="1255">
        <f t="shared" si="75"/>
        <v>276000</v>
      </c>
      <c r="H1099" s="1255"/>
      <c r="I1099" s="1255"/>
    </row>
    <row r="1100" spans="1:9" ht="15" customHeight="1">
      <c r="A1100" s="2043"/>
      <c r="B1100" s="2091" t="s">
        <v>5284</v>
      </c>
      <c r="C1100" s="687">
        <v>3</v>
      </c>
      <c r="D1100" s="1580" t="s">
        <v>343</v>
      </c>
      <c r="E1100" s="1255">
        <v>22000</v>
      </c>
      <c r="F1100" s="1255"/>
      <c r="G1100" s="1255">
        <f t="shared" si="75"/>
        <v>66000</v>
      </c>
      <c r="H1100" s="1255"/>
      <c r="I1100" s="1255"/>
    </row>
    <row r="1101" spans="1:9" ht="18">
      <c r="A1101" s="2043"/>
      <c r="B1101" s="2091" t="s">
        <v>5285</v>
      </c>
      <c r="C1101" s="687">
        <v>3</v>
      </c>
      <c r="D1101" s="1580" t="s">
        <v>343</v>
      </c>
      <c r="E1101" s="1255">
        <v>22000</v>
      </c>
      <c r="F1101" s="1255"/>
      <c r="G1101" s="1255">
        <f t="shared" si="75"/>
        <v>66000</v>
      </c>
      <c r="H1101" s="1255"/>
      <c r="I1101" s="1255"/>
    </row>
    <row r="1102" spans="1:9" ht="18">
      <c r="A1102" s="2043"/>
      <c r="B1102" s="2091" t="s">
        <v>5286</v>
      </c>
      <c r="C1102" s="687">
        <v>2</v>
      </c>
      <c r="D1102" s="1580" t="s">
        <v>343</v>
      </c>
      <c r="E1102" s="1255">
        <v>95000</v>
      </c>
      <c r="F1102" s="1255"/>
      <c r="G1102" s="1255">
        <f t="shared" si="75"/>
        <v>190000</v>
      </c>
      <c r="H1102" s="1255"/>
      <c r="I1102" s="1255"/>
    </row>
    <row r="1103" spans="1:9" ht="18">
      <c r="A1103" s="2043"/>
      <c r="B1103" s="2091" t="s">
        <v>5287</v>
      </c>
      <c r="C1103" s="687">
        <v>6</v>
      </c>
      <c r="D1103" s="1580" t="s">
        <v>343</v>
      </c>
      <c r="E1103" s="1255">
        <v>190000</v>
      </c>
      <c r="F1103" s="1255"/>
      <c r="G1103" s="1255">
        <f t="shared" si="75"/>
        <v>1140000</v>
      </c>
      <c r="H1103" s="1255"/>
      <c r="I1103" s="1255"/>
    </row>
    <row r="1104" spans="1:9" ht="18">
      <c r="A1104" s="2043"/>
      <c r="B1104" s="2091" t="s">
        <v>5288</v>
      </c>
      <c r="C1104" s="687">
        <v>3</v>
      </c>
      <c r="D1104" s="1580" t="s">
        <v>343</v>
      </c>
      <c r="E1104" s="1255">
        <v>25000</v>
      </c>
      <c r="F1104" s="1255"/>
      <c r="G1104" s="1255">
        <f t="shared" si="75"/>
        <v>75000</v>
      </c>
      <c r="H1104" s="1255"/>
      <c r="I1104" s="1255"/>
    </row>
    <row r="1105" spans="1:9" ht="18">
      <c r="A1105" s="2043"/>
      <c r="B1105" s="2091" t="s">
        <v>5289</v>
      </c>
      <c r="C1105" s="687">
        <v>3</v>
      </c>
      <c r="D1105" s="1580" t="s">
        <v>343</v>
      </c>
      <c r="E1105" s="2679">
        <v>25000</v>
      </c>
      <c r="F1105" s="2679"/>
      <c r="G1105" s="1255">
        <f t="shared" si="75"/>
        <v>75000</v>
      </c>
      <c r="H1105" s="2679"/>
      <c r="I1105" s="2679"/>
    </row>
    <row r="1106" spans="1:9" ht="18">
      <c r="A1106" s="2043"/>
      <c r="B1106" s="2091" t="s">
        <v>5288</v>
      </c>
      <c r="C1106" s="687">
        <v>3</v>
      </c>
      <c r="D1106" s="1580" t="s">
        <v>343</v>
      </c>
      <c r="E1106" s="2679">
        <v>25000</v>
      </c>
      <c r="F1106" s="2679"/>
      <c r="G1106" s="1255">
        <f t="shared" si="75"/>
        <v>75000</v>
      </c>
      <c r="H1106" s="2679"/>
      <c r="I1106" s="2679"/>
    </row>
    <row r="1107" spans="1:9" ht="18">
      <c r="A1107" s="2043"/>
      <c r="B1107" s="2091" t="s">
        <v>5289</v>
      </c>
      <c r="C1107" s="687">
        <v>3</v>
      </c>
      <c r="D1107" s="1580" t="s">
        <v>343</v>
      </c>
      <c r="E1107" s="2679">
        <v>25000</v>
      </c>
      <c r="F1107" s="2679"/>
      <c r="G1107" s="1255">
        <f t="shared" si="75"/>
        <v>75000</v>
      </c>
      <c r="H1107" s="2679"/>
      <c r="I1107" s="2679"/>
    </row>
    <row r="1108" spans="1:9" ht="18">
      <c r="A1108" s="2043"/>
      <c r="B1108" s="2088" t="s">
        <v>5483</v>
      </c>
      <c r="C1108" s="687">
        <v>1</v>
      </c>
      <c r="D1108" s="401" t="s">
        <v>772</v>
      </c>
      <c r="E1108" s="2679">
        <v>220000</v>
      </c>
      <c r="F1108" s="2679"/>
      <c r="G1108" s="402"/>
      <c r="H1108" s="2679"/>
      <c r="I1108" s="2679">
        <f>+E1108*C1108</f>
        <v>220000</v>
      </c>
    </row>
    <row r="1109" spans="1:9" ht="18">
      <c r="A1109" s="2083" t="s">
        <v>190</v>
      </c>
      <c r="B1109" s="1587">
        <f>SUM(F1109:I1109)</f>
        <v>135473000</v>
      </c>
      <c r="C1109" s="687"/>
      <c r="D1109" s="1229"/>
      <c r="E1109" s="2679"/>
      <c r="F1109" s="2679">
        <f>+SUM(F1093:F1105)</f>
        <v>0</v>
      </c>
      <c r="G1109" s="2679">
        <f>+SUM(G1087:G1107)</f>
        <v>135253000</v>
      </c>
      <c r="H1109" s="2679"/>
      <c r="I1109" s="2679">
        <f>+SUM(I1108)</f>
        <v>220000</v>
      </c>
    </row>
    <row r="1110" spans="1:9" ht="18">
      <c r="A1110" s="2083" t="s">
        <v>191</v>
      </c>
      <c r="B1110" s="1587">
        <f>+B1109</f>
        <v>135473000</v>
      </c>
      <c r="C1110" s="1228" t="s">
        <v>363</v>
      </c>
      <c r="D1110" s="873"/>
      <c r="E1110" s="1794"/>
      <c r="F1110" s="1794"/>
      <c r="G1110" s="1794"/>
      <c r="H1110" s="1794"/>
      <c r="I1110" s="1794"/>
    </row>
    <row r="1112" spans="1:9" ht="29.25" customHeight="1">
      <c r="A1112" s="2058">
        <v>11.1</v>
      </c>
      <c r="B1112" s="3566" t="s">
        <v>5484</v>
      </c>
      <c r="C1112" s="3567"/>
      <c r="D1112" s="3567"/>
      <c r="E1112" s="3567"/>
      <c r="F1112" s="3567"/>
      <c r="G1112" s="3567"/>
      <c r="H1112" s="3567"/>
      <c r="I1112" s="3568"/>
    </row>
    <row r="1113" spans="1:9" ht="18">
      <c r="A1113" s="1229"/>
      <c r="B1113" s="1815"/>
      <c r="C1113" s="2059" t="s">
        <v>140</v>
      </c>
      <c r="D1113" s="1229" t="s">
        <v>343</v>
      </c>
      <c r="E1113" s="1581" t="s">
        <v>344</v>
      </c>
      <c r="F1113" s="1814" t="s">
        <v>482</v>
      </c>
      <c r="G1113" s="1814" t="s">
        <v>483</v>
      </c>
      <c r="H1113" s="1814" t="s">
        <v>232</v>
      </c>
      <c r="I1113" s="1814" t="s">
        <v>171</v>
      </c>
    </row>
    <row r="1114" spans="1:9" ht="18">
      <c r="A1114" s="1580"/>
      <c r="B1114" s="2065" t="s">
        <v>5485</v>
      </c>
      <c r="C1114" s="2068">
        <f>1/6</f>
        <v>0.16666666666666666</v>
      </c>
      <c r="D1114" s="1580" t="s">
        <v>346</v>
      </c>
      <c r="E1114" s="1581">
        <v>90000</v>
      </c>
      <c r="F1114" s="1581"/>
      <c r="G1114" s="1581"/>
      <c r="H1114" s="1581">
        <f>+C1114*E1114</f>
        <v>15000</v>
      </c>
      <c r="I1114" s="1581"/>
    </row>
    <row r="1115" spans="1:9" ht="18">
      <c r="A1115" s="1580" t="s">
        <v>347</v>
      </c>
      <c r="B1115" s="2065" t="s">
        <v>5486</v>
      </c>
      <c r="C1115" s="2068">
        <f>1/6</f>
        <v>0.16666666666666666</v>
      </c>
      <c r="D1115" s="1580" t="s">
        <v>346</v>
      </c>
      <c r="E1115" s="1581">
        <f>+AYUDR</f>
        <v>50299.76584</v>
      </c>
      <c r="F1115" s="1581"/>
      <c r="G1115" s="1581"/>
      <c r="H1115" s="1581">
        <f>+C1115*E1115</f>
        <v>8383.2943066666667</v>
      </c>
      <c r="I1115" s="1581"/>
    </row>
    <row r="1116" spans="1:9" ht="18">
      <c r="A1116" s="1580" t="s">
        <v>172</v>
      </c>
      <c r="B1116" s="2075" t="s">
        <v>189</v>
      </c>
      <c r="C1116" s="2068">
        <v>1</v>
      </c>
      <c r="D1116" s="1274" t="s">
        <v>583</v>
      </c>
      <c r="E1116" s="1581">
        <f>+H1117*0.05</f>
        <v>1169.1647153333333</v>
      </c>
      <c r="F1116" s="1581"/>
      <c r="G1116" s="1581"/>
      <c r="H1116" s="1581"/>
      <c r="I1116" s="1581">
        <v>2700.0761287500009</v>
      </c>
    </row>
    <row r="1117" spans="1:9" ht="18">
      <c r="A1117" s="2036" t="s">
        <v>190</v>
      </c>
      <c r="B1117" s="1266">
        <f>SUM(G1117:I1117)</f>
        <v>26083.370435416669</v>
      </c>
      <c r="C1117" s="2059"/>
      <c r="D1117" s="1267"/>
      <c r="E1117" s="1581"/>
      <c r="F1117" s="1814">
        <v>0</v>
      </c>
      <c r="G1117" s="1814" t="s">
        <v>441</v>
      </c>
      <c r="H1117" s="1814">
        <f>SUM(H1114:H1116)</f>
        <v>23383.294306666667</v>
      </c>
      <c r="I1117" s="1814">
        <f>SUM(I1114:I1116)</f>
        <v>2700.0761287500009</v>
      </c>
    </row>
    <row r="1118" spans="1:9" ht="18">
      <c r="A1118" s="2036" t="s">
        <v>191</v>
      </c>
      <c r="B1118" s="1587">
        <f>SUM(B1117:B1117)</f>
        <v>26083.370435416669</v>
      </c>
      <c r="C1118" s="2066" t="s">
        <v>363</v>
      </c>
      <c r="D1118" s="863"/>
      <c r="E1118" s="864"/>
      <c r="F1118" s="864"/>
      <c r="G1118" s="864"/>
      <c r="H1118" s="864"/>
      <c r="I1118" s="864"/>
    </row>
    <row r="1120" spans="1:9" ht="35.25" customHeight="1">
      <c r="A1120" s="2058">
        <v>11.1</v>
      </c>
      <c r="B1120" s="3566" t="s">
        <v>5487</v>
      </c>
      <c r="C1120" s="3567"/>
      <c r="D1120" s="3567"/>
      <c r="E1120" s="3567"/>
      <c r="F1120" s="3567"/>
      <c r="G1120" s="3567"/>
      <c r="H1120" s="3567"/>
      <c r="I1120" s="3568"/>
    </row>
    <row r="1121" spans="1:9" ht="18">
      <c r="A1121" s="1229"/>
      <c r="B1121" s="1815"/>
      <c r="C1121" s="2059" t="s">
        <v>140</v>
      </c>
      <c r="D1121" s="1229" t="s">
        <v>343</v>
      </c>
      <c r="E1121" s="1581" t="s">
        <v>344</v>
      </c>
      <c r="F1121" s="1814" t="s">
        <v>482</v>
      </c>
      <c r="G1121" s="1814" t="s">
        <v>483</v>
      </c>
      <c r="H1121" s="1814" t="s">
        <v>232</v>
      </c>
      <c r="I1121" s="1814" t="s">
        <v>171</v>
      </c>
    </row>
    <row r="1122" spans="1:9" ht="18">
      <c r="A1122" s="1580" t="s">
        <v>441</v>
      </c>
      <c r="B1122" s="2092" t="s">
        <v>5106</v>
      </c>
      <c r="C1122" s="2068">
        <v>4</v>
      </c>
      <c r="D1122" s="1274" t="s">
        <v>45</v>
      </c>
      <c r="E1122" s="1581">
        <v>4500</v>
      </c>
      <c r="F1122" s="1581"/>
      <c r="G1122" s="1581">
        <f>+C1122*E1122</f>
        <v>18000</v>
      </c>
      <c r="H1122" s="1581"/>
      <c r="I1122" s="1581"/>
    </row>
    <row r="1123" spans="1:9" ht="18">
      <c r="A1123" s="1580"/>
      <c r="B1123" s="2092" t="s">
        <v>5107</v>
      </c>
      <c r="C1123" s="2068">
        <v>1</v>
      </c>
      <c r="D1123" s="1274" t="s">
        <v>45</v>
      </c>
      <c r="E1123" s="1581">
        <v>4000</v>
      </c>
      <c r="F1123" s="1581"/>
      <c r="G1123" s="1581">
        <f>+C1123*E1123</f>
        <v>4000</v>
      </c>
      <c r="H1123" s="1581"/>
      <c r="I1123" s="1581"/>
    </row>
    <row r="1124" spans="1:9" ht="18">
      <c r="A1124" s="1580" t="s">
        <v>584</v>
      </c>
      <c r="B1124" s="231" t="s">
        <v>5488</v>
      </c>
      <c r="C1124" s="2068">
        <v>1</v>
      </c>
      <c r="D1124" s="1580" t="s">
        <v>583</v>
      </c>
      <c r="E1124" s="1581">
        <v>50</v>
      </c>
      <c r="F1124" s="1581"/>
      <c r="G1124" s="1581"/>
      <c r="H1124" s="1581"/>
      <c r="I1124" s="1581">
        <f>+C1124*E1124</f>
        <v>50</v>
      </c>
    </row>
    <row r="1125" spans="1:9" ht="18">
      <c r="A1125" s="2036" t="s">
        <v>190</v>
      </c>
      <c r="B1125" s="1587">
        <f>SUM(G1125:I1125)</f>
        <v>22050</v>
      </c>
      <c r="C1125" s="2068"/>
      <c r="D1125" s="2057"/>
      <c r="E1125" s="1581"/>
      <c r="F1125" s="1581">
        <v>0</v>
      </c>
      <c r="G1125" s="1581">
        <f>SUM(G1122:G1124)</f>
        <v>22000</v>
      </c>
      <c r="H1125" s="1581">
        <f>SUM(H1124:H1124)</f>
        <v>0</v>
      </c>
      <c r="I1125" s="1581">
        <f>SUM(I1122:I1124)</f>
        <v>50</v>
      </c>
    </row>
    <row r="1126" spans="1:9" ht="18">
      <c r="A1126" s="2036" t="s">
        <v>191</v>
      </c>
      <c r="B1126" s="1587">
        <f>SUM(B1125:B1125)</f>
        <v>22050</v>
      </c>
      <c r="C1126" s="2066" t="s">
        <v>363</v>
      </c>
      <c r="D1126" s="863"/>
      <c r="E1126" s="864"/>
      <c r="F1126" s="864"/>
      <c r="G1126" s="864"/>
      <c r="H1126" s="864"/>
      <c r="I1126" s="864"/>
    </row>
    <row r="1128" spans="1:9" ht="29.25" customHeight="1">
      <c r="A1128" s="2058">
        <v>11.2</v>
      </c>
      <c r="B1128" s="3566" t="s">
        <v>5489</v>
      </c>
      <c r="C1128" s="3567"/>
      <c r="D1128" s="3567"/>
      <c r="E1128" s="3567"/>
      <c r="F1128" s="3567"/>
      <c r="G1128" s="3567"/>
      <c r="H1128" s="3567"/>
      <c r="I1128" s="3568"/>
    </row>
    <row r="1129" spans="1:9" ht="18">
      <c r="A1129" s="1229"/>
      <c r="B1129" s="1815"/>
      <c r="C1129" s="2059" t="s">
        <v>140</v>
      </c>
      <c r="D1129" s="1229" t="s">
        <v>343</v>
      </c>
      <c r="E1129" s="1581" t="s">
        <v>344</v>
      </c>
      <c r="F1129" s="1814" t="s">
        <v>482</v>
      </c>
      <c r="G1129" s="1814" t="s">
        <v>483</v>
      </c>
      <c r="H1129" s="1814" t="s">
        <v>232</v>
      </c>
      <c r="I1129" s="1814" t="s">
        <v>171</v>
      </c>
    </row>
    <row r="1130" spans="1:9" ht="18">
      <c r="A1130" s="1580"/>
      <c r="B1130" s="2065" t="s">
        <v>5485</v>
      </c>
      <c r="C1130" s="2068">
        <f>1/6</f>
        <v>0.16666666666666666</v>
      </c>
      <c r="D1130" s="1580" t="s">
        <v>346</v>
      </c>
      <c r="E1130" s="1581">
        <v>90000</v>
      </c>
      <c r="F1130" s="1581"/>
      <c r="G1130" s="1581"/>
      <c r="H1130" s="1581">
        <f>+C1130*E1130</f>
        <v>15000</v>
      </c>
      <c r="I1130" s="1581"/>
    </row>
    <row r="1131" spans="1:9" ht="18">
      <c r="A1131" s="1580" t="s">
        <v>347</v>
      </c>
      <c r="B1131" s="2065" t="s">
        <v>5486</v>
      </c>
      <c r="C1131" s="2068">
        <f>1/6</f>
        <v>0.16666666666666666</v>
      </c>
      <c r="D1131" s="1580" t="s">
        <v>346</v>
      </c>
      <c r="E1131" s="1581">
        <f>+AYUDR</f>
        <v>50299.76584</v>
      </c>
      <c r="F1131" s="1581"/>
      <c r="G1131" s="1581"/>
      <c r="H1131" s="1581">
        <f>+C1131*E1131</f>
        <v>8383.2943066666667</v>
      </c>
      <c r="I1131" s="1581"/>
    </row>
    <row r="1132" spans="1:9" ht="18">
      <c r="A1132" s="1580" t="s">
        <v>172</v>
      </c>
      <c r="B1132" s="2075" t="s">
        <v>189</v>
      </c>
      <c r="C1132" s="2068">
        <v>1</v>
      </c>
      <c r="D1132" s="1274" t="s">
        <v>583</v>
      </c>
      <c r="E1132" s="1581">
        <f>+H1133*0.05</f>
        <v>1169.1647153333333</v>
      </c>
      <c r="F1132" s="1581"/>
      <c r="G1132" s="1581"/>
      <c r="H1132" s="1581"/>
      <c r="I1132" s="1581">
        <v>2700.0761287500009</v>
      </c>
    </row>
    <row r="1133" spans="1:9" ht="18">
      <c r="A1133" s="2036" t="s">
        <v>190</v>
      </c>
      <c r="B1133" s="1266">
        <f>SUM(G1133:I1133)</f>
        <v>26083.370435416669</v>
      </c>
      <c r="C1133" s="2059"/>
      <c r="D1133" s="1267"/>
      <c r="E1133" s="1581"/>
      <c r="F1133" s="1814">
        <v>0</v>
      </c>
      <c r="G1133" s="1814" t="s">
        <v>441</v>
      </c>
      <c r="H1133" s="1814">
        <f>SUM(H1130:H1132)</f>
        <v>23383.294306666667</v>
      </c>
      <c r="I1133" s="1814">
        <f>SUM(I1130:I1132)</f>
        <v>2700.0761287500009</v>
      </c>
    </row>
    <row r="1134" spans="1:9" ht="18">
      <c r="A1134" s="2036" t="s">
        <v>191</v>
      </c>
      <c r="B1134" s="1587">
        <f>SUM(B1133:B1133)</f>
        <v>26083.370435416669</v>
      </c>
      <c r="C1134" s="2066" t="s">
        <v>363</v>
      </c>
      <c r="D1134" s="863"/>
      <c r="E1134" s="864"/>
      <c r="F1134" s="864"/>
      <c r="G1134" s="864"/>
      <c r="H1134" s="864"/>
      <c r="I1134" s="864"/>
    </row>
    <row r="1136" spans="1:9" ht="35.25" customHeight="1">
      <c r="A1136" s="2058">
        <v>11.2</v>
      </c>
      <c r="B1136" s="3566" t="s">
        <v>5490</v>
      </c>
      <c r="C1136" s="3567"/>
      <c r="D1136" s="3567"/>
      <c r="E1136" s="3567"/>
      <c r="F1136" s="3567"/>
      <c r="G1136" s="3567"/>
      <c r="H1136" s="3567"/>
      <c r="I1136" s="3568"/>
    </row>
    <row r="1137" spans="1:9" ht="18">
      <c r="A1137" s="1229"/>
      <c r="B1137" s="1815"/>
      <c r="C1137" s="2059" t="s">
        <v>140</v>
      </c>
      <c r="D1137" s="1229" t="s">
        <v>343</v>
      </c>
      <c r="E1137" s="1581" t="s">
        <v>344</v>
      </c>
      <c r="F1137" s="1814" t="s">
        <v>482</v>
      </c>
      <c r="G1137" s="1814" t="s">
        <v>483</v>
      </c>
      <c r="H1137" s="1814" t="s">
        <v>232</v>
      </c>
      <c r="I1137" s="1814" t="s">
        <v>171</v>
      </c>
    </row>
    <row r="1138" spans="1:9" ht="18">
      <c r="A1138" s="1580" t="s">
        <v>441</v>
      </c>
      <c r="B1138" s="2092" t="s">
        <v>5491</v>
      </c>
      <c r="C1138" s="2068">
        <v>1</v>
      </c>
      <c r="D1138" s="1274" t="s">
        <v>45</v>
      </c>
      <c r="E1138" s="1581">
        <v>42000</v>
      </c>
      <c r="F1138" s="1581"/>
      <c r="G1138" s="1581">
        <f>+C1138*E1138</f>
        <v>42000</v>
      </c>
      <c r="H1138" s="1581"/>
      <c r="I1138" s="1581"/>
    </row>
    <row r="1139" spans="1:9" ht="18">
      <c r="A1139" s="1580" t="s">
        <v>584</v>
      </c>
      <c r="B1139" s="231" t="s">
        <v>5492</v>
      </c>
      <c r="C1139" s="2068">
        <v>1</v>
      </c>
      <c r="D1139" s="1580" t="s">
        <v>583</v>
      </c>
      <c r="E1139" s="1581">
        <v>50</v>
      </c>
      <c r="F1139" s="1581"/>
      <c r="G1139" s="1581"/>
      <c r="H1139" s="1581"/>
      <c r="I1139" s="1581">
        <f>+C1139*E1139</f>
        <v>50</v>
      </c>
    </row>
    <row r="1140" spans="1:9" ht="18">
      <c r="A1140" s="2036" t="s">
        <v>190</v>
      </c>
      <c r="B1140" s="1587">
        <f>SUM(G1140:I1140)</f>
        <v>42050</v>
      </c>
      <c r="C1140" s="2068"/>
      <c r="D1140" s="2057"/>
      <c r="E1140" s="1581"/>
      <c r="F1140" s="1581">
        <v>0</v>
      </c>
      <c r="G1140" s="1581">
        <f>SUM(G1138:G1139)</f>
        <v>42000</v>
      </c>
      <c r="H1140" s="1581">
        <f>SUM(H1139:H1139)</f>
        <v>0</v>
      </c>
      <c r="I1140" s="1581">
        <f>SUM(I1138:I1139)</f>
        <v>50</v>
      </c>
    </row>
    <row r="1141" spans="1:9" ht="18">
      <c r="A1141" s="2036" t="s">
        <v>191</v>
      </c>
      <c r="B1141" s="1587">
        <f>SUM(B1140:B1140)</f>
        <v>42050</v>
      </c>
      <c r="C1141" s="2066" t="s">
        <v>363</v>
      </c>
      <c r="D1141" s="863"/>
      <c r="E1141" s="864"/>
      <c r="F1141" s="864"/>
      <c r="G1141" s="864"/>
      <c r="H1141" s="864"/>
      <c r="I1141" s="864"/>
    </row>
    <row r="1143" spans="1:9" ht="29.25" customHeight="1">
      <c r="A1143" s="2058">
        <v>11.3</v>
      </c>
      <c r="B1143" s="3566" t="s">
        <v>5493</v>
      </c>
      <c r="C1143" s="3567"/>
      <c r="D1143" s="3567"/>
      <c r="E1143" s="3567"/>
      <c r="F1143" s="3567"/>
      <c r="G1143" s="3567"/>
      <c r="H1143" s="3567"/>
      <c r="I1143" s="3568"/>
    </row>
    <row r="1144" spans="1:9" ht="18">
      <c r="A1144" s="1229"/>
      <c r="B1144" s="1815"/>
      <c r="C1144" s="2059" t="s">
        <v>140</v>
      </c>
      <c r="D1144" s="1229" t="s">
        <v>343</v>
      </c>
      <c r="E1144" s="1581" t="s">
        <v>344</v>
      </c>
      <c r="F1144" s="1814" t="s">
        <v>482</v>
      </c>
      <c r="G1144" s="1814" t="s">
        <v>483</v>
      </c>
      <c r="H1144" s="1814" t="s">
        <v>232</v>
      </c>
      <c r="I1144" s="1814" t="s">
        <v>171</v>
      </c>
    </row>
    <row r="1145" spans="1:9" ht="18">
      <c r="A1145" s="1580"/>
      <c r="B1145" s="2065" t="s">
        <v>5485</v>
      </c>
      <c r="C1145" s="2068">
        <f>1/8</f>
        <v>0.125</v>
      </c>
      <c r="D1145" s="1580" t="s">
        <v>346</v>
      </c>
      <c r="E1145" s="1581">
        <v>90000</v>
      </c>
      <c r="F1145" s="1581"/>
      <c r="G1145" s="1581"/>
      <c r="H1145" s="1581">
        <f>+C1145*E1145</f>
        <v>11250</v>
      </c>
      <c r="I1145" s="1581"/>
    </row>
    <row r="1146" spans="1:9" ht="18">
      <c r="A1146" s="1580" t="s">
        <v>347</v>
      </c>
      <c r="B1146" s="2065" t="s">
        <v>5486</v>
      </c>
      <c r="C1146" s="2068">
        <f>1/8</f>
        <v>0.125</v>
      </c>
      <c r="D1146" s="1580" t="s">
        <v>346</v>
      </c>
      <c r="E1146" s="1581">
        <f>+AYUDR</f>
        <v>50299.76584</v>
      </c>
      <c r="F1146" s="1581"/>
      <c r="G1146" s="1581"/>
      <c r="H1146" s="1581">
        <f>+C1146*E1146</f>
        <v>6287.47073</v>
      </c>
      <c r="I1146" s="1581"/>
    </row>
    <row r="1147" spans="1:9" ht="18">
      <c r="A1147" s="1580" t="s">
        <v>172</v>
      </c>
      <c r="B1147" s="2075" t="s">
        <v>189</v>
      </c>
      <c r="C1147" s="2068">
        <v>1</v>
      </c>
      <c r="D1147" s="1274" t="s">
        <v>583</v>
      </c>
      <c r="E1147" s="1581">
        <f>+H1148*0.05</f>
        <v>876.87353650000011</v>
      </c>
      <c r="F1147" s="1581"/>
      <c r="G1147" s="1581"/>
      <c r="H1147" s="1581"/>
      <c r="I1147" s="1581">
        <v>2700.0761287500009</v>
      </c>
    </row>
    <row r="1148" spans="1:9" ht="18">
      <c r="A1148" s="2036" t="s">
        <v>190</v>
      </c>
      <c r="B1148" s="1266">
        <f>SUM(G1148:I1148)</f>
        <v>20237.54685875</v>
      </c>
      <c r="C1148" s="2059"/>
      <c r="D1148" s="1267"/>
      <c r="E1148" s="1581"/>
      <c r="F1148" s="1814">
        <v>0</v>
      </c>
      <c r="G1148" s="1814" t="s">
        <v>441</v>
      </c>
      <c r="H1148" s="1814">
        <f>SUM(H1145:H1147)</f>
        <v>17537.470730000001</v>
      </c>
      <c r="I1148" s="1814">
        <f>SUM(I1145:I1147)</f>
        <v>2700.0761287500009</v>
      </c>
    </row>
    <row r="1149" spans="1:9" ht="18">
      <c r="A1149" s="2036" t="s">
        <v>191</v>
      </c>
      <c r="B1149" s="1587">
        <f>SUM(B1148:B1148)</f>
        <v>20237.54685875</v>
      </c>
      <c r="C1149" s="2066" t="s">
        <v>363</v>
      </c>
      <c r="D1149" s="863"/>
      <c r="E1149" s="864"/>
      <c r="F1149" s="864"/>
      <c r="G1149" s="864"/>
      <c r="H1149" s="864"/>
      <c r="I1149" s="864"/>
    </row>
    <row r="1151" spans="1:9" ht="35.25" customHeight="1">
      <c r="A1151" s="2058">
        <v>11.3</v>
      </c>
      <c r="B1151" s="3566" t="s">
        <v>5494</v>
      </c>
      <c r="C1151" s="3567"/>
      <c r="D1151" s="3567"/>
      <c r="E1151" s="3567"/>
      <c r="F1151" s="3567"/>
      <c r="G1151" s="3567"/>
      <c r="H1151" s="3567"/>
      <c r="I1151" s="3568"/>
    </row>
    <row r="1152" spans="1:9" ht="18">
      <c r="A1152" s="1229"/>
      <c r="B1152" s="1815"/>
      <c r="C1152" s="2059" t="s">
        <v>140</v>
      </c>
      <c r="D1152" s="1229" t="s">
        <v>343</v>
      </c>
      <c r="E1152" s="1581" t="s">
        <v>344</v>
      </c>
      <c r="F1152" s="1814" t="s">
        <v>482</v>
      </c>
      <c r="G1152" s="1814" t="s">
        <v>483</v>
      </c>
      <c r="H1152" s="1814" t="s">
        <v>232</v>
      </c>
      <c r="I1152" s="1814" t="s">
        <v>171</v>
      </c>
    </row>
    <row r="1153" spans="1:9" ht="18">
      <c r="A1153" s="1580" t="s">
        <v>441</v>
      </c>
      <c r="B1153" s="2092" t="s">
        <v>5495</v>
      </c>
      <c r="C1153" s="2068">
        <v>3</v>
      </c>
      <c r="D1153" s="1274" t="s">
        <v>45</v>
      </c>
      <c r="E1153" s="1581">
        <v>47000</v>
      </c>
      <c r="F1153" s="1581"/>
      <c r="G1153" s="1581">
        <f>+C1153*E1153</f>
        <v>141000</v>
      </c>
      <c r="H1153" s="1581"/>
      <c r="I1153" s="1581"/>
    </row>
    <row r="1154" spans="1:9" ht="18">
      <c r="A1154" s="1580"/>
      <c r="B1154" s="2092" t="s">
        <v>5454</v>
      </c>
      <c r="C1154" s="2068">
        <v>1</v>
      </c>
      <c r="D1154" s="1274" t="s">
        <v>45</v>
      </c>
      <c r="E1154" s="1581">
        <v>28000</v>
      </c>
      <c r="F1154" s="1581"/>
      <c r="G1154" s="1581">
        <f t="shared" ref="G1154" si="76">+C1154*E1154</f>
        <v>28000</v>
      </c>
      <c r="H1154" s="1581"/>
      <c r="I1154" s="1581"/>
    </row>
    <row r="1155" spans="1:9" ht="18">
      <c r="A1155" s="1580" t="s">
        <v>584</v>
      </c>
      <c r="B1155" s="231" t="s">
        <v>5492</v>
      </c>
      <c r="C1155" s="2068">
        <v>1</v>
      </c>
      <c r="D1155" s="1580" t="s">
        <v>583</v>
      </c>
      <c r="E1155" s="1581">
        <v>50</v>
      </c>
      <c r="F1155" s="1581"/>
      <c r="G1155" s="1581"/>
      <c r="H1155" s="1581"/>
      <c r="I1155" s="1581">
        <f>+C1155*E1155</f>
        <v>50</v>
      </c>
    </row>
    <row r="1156" spans="1:9" ht="18">
      <c r="A1156" s="2036" t="s">
        <v>190</v>
      </c>
      <c r="B1156" s="1587">
        <f>SUM(G1156:I1156)</f>
        <v>169050</v>
      </c>
      <c r="C1156" s="2068"/>
      <c r="D1156" s="2057"/>
      <c r="E1156" s="1581"/>
      <c r="F1156" s="1581">
        <v>0</v>
      </c>
      <c r="G1156" s="1581">
        <f>SUM(G1153:G1155)</f>
        <v>169000</v>
      </c>
      <c r="H1156" s="1581">
        <f>SUM(H1155:H1155)</f>
        <v>0</v>
      </c>
      <c r="I1156" s="1581">
        <f>SUM(I1153:I1155)</f>
        <v>50</v>
      </c>
    </row>
    <row r="1157" spans="1:9" ht="18">
      <c r="A1157" s="2036" t="s">
        <v>191</v>
      </c>
      <c r="B1157" s="1587">
        <f>SUM(B1156:B1156)</f>
        <v>169050</v>
      </c>
      <c r="C1157" s="2066" t="s">
        <v>363</v>
      </c>
      <c r="D1157" s="863"/>
      <c r="E1157" s="864"/>
      <c r="F1157" s="864"/>
      <c r="G1157" s="864"/>
      <c r="H1157" s="864"/>
      <c r="I1157" s="864"/>
    </row>
    <row r="1159" spans="1:9" ht="18">
      <c r="A1159" s="2035">
        <v>11.4</v>
      </c>
      <c r="B1159" s="3566" t="s">
        <v>5496</v>
      </c>
      <c r="C1159" s="3567"/>
      <c r="D1159" s="3567"/>
      <c r="E1159" s="3567"/>
      <c r="F1159" s="3567"/>
      <c r="G1159" s="3567"/>
      <c r="H1159" s="3567"/>
      <c r="I1159" s="3568"/>
    </row>
    <row r="1160" spans="1:9" ht="18">
      <c r="A1160" s="1229"/>
      <c r="B1160" s="1815"/>
      <c r="C1160" s="2059" t="s">
        <v>140</v>
      </c>
      <c r="D1160" s="1229" t="s">
        <v>343</v>
      </c>
      <c r="E1160" s="1581" t="s">
        <v>344</v>
      </c>
      <c r="F1160" s="1814" t="s">
        <v>482</v>
      </c>
      <c r="G1160" s="1814" t="s">
        <v>483</v>
      </c>
      <c r="H1160" s="1814" t="s">
        <v>232</v>
      </c>
      <c r="I1160" s="1814" t="s">
        <v>171</v>
      </c>
    </row>
    <row r="1161" spans="1:9" ht="18">
      <c r="A1161" s="1580"/>
      <c r="B1161" s="2065" t="s">
        <v>5485</v>
      </c>
      <c r="C1161" s="2068">
        <f>1/12</f>
        <v>8.3333333333333329E-2</v>
      </c>
      <c r="D1161" s="1580" t="s">
        <v>346</v>
      </c>
      <c r="E1161" s="1581">
        <v>90000</v>
      </c>
      <c r="F1161" s="1581"/>
      <c r="G1161" s="1581"/>
      <c r="H1161" s="1581">
        <f>+C1161*E1161</f>
        <v>7500</v>
      </c>
      <c r="I1161" s="1581"/>
    </row>
    <row r="1162" spans="1:9" ht="18">
      <c r="A1162" s="1580" t="s">
        <v>347</v>
      </c>
      <c r="B1162" s="2065" t="s">
        <v>5486</v>
      </c>
      <c r="C1162" s="2068">
        <f>1/12</f>
        <v>8.3333333333333329E-2</v>
      </c>
      <c r="D1162" s="1580" t="s">
        <v>346</v>
      </c>
      <c r="E1162" s="1581">
        <f>+AYUDR</f>
        <v>50299.76584</v>
      </c>
      <c r="F1162" s="1581"/>
      <c r="G1162" s="1581"/>
      <c r="H1162" s="1581">
        <f>+C1162*E1162</f>
        <v>4191.6471533333333</v>
      </c>
      <c r="I1162" s="1581"/>
    </row>
    <row r="1163" spans="1:9" ht="18">
      <c r="A1163" s="1580" t="s">
        <v>172</v>
      </c>
      <c r="B1163" s="2075" t="s">
        <v>189</v>
      </c>
      <c r="C1163" s="2068">
        <v>1</v>
      </c>
      <c r="D1163" s="1274" t="s">
        <v>583</v>
      </c>
      <c r="E1163" s="1581">
        <f>+H1164*0.05</f>
        <v>584.58235766666667</v>
      </c>
      <c r="F1163" s="1581"/>
      <c r="G1163" s="1581"/>
      <c r="H1163" s="1581"/>
      <c r="I1163" s="1581">
        <v>2700.0761287500009</v>
      </c>
    </row>
    <row r="1164" spans="1:9" ht="18">
      <c r="A1164" s="2036" t="s">
        <v>190</v>
      </c>
      <c r="B1164" s="1266">
        <f>SUM(G1164:I1164)</f>
        <v>14391.723282083334</v>
      </c>
      <c r="C1164" s="2059"/>
      <c r="D1164" s="1267"/>
      <c r="E1164" s="1581"/>
      <c r="F1164" s="1814">
        <v>0</v>
      </c>
      <c r="G1164" s="1814" t="s">
        <v>441</v>
      </c>
      <c r="H1164" s="1814">
        <f>SUM(H1161:H1163)</f>
        <v>11691.647153333333</v>
      </c>
      <c r="I1164" s="1814">
        <f>SUM(I1161:I1163)</f>
        <v>2700.0761287500009</v>
      </c>
    </row>
    <row r="1165" spans="1:9" ht="18">
      <c r="A1165" s="2036" t="s">
        <v>191</v>
      </c>
      <c r="B1165" s="1587">
        <f>SUM(B1164:B1164)</f>
        <v>14391.723282083334</v>
      </c>
      <c r="C1165" s="2066" t="s">
        <v>363</v>
      </c>
      <c r="D1165" s="863"/>
      <c r="E1165" s="864"/>
      <c r="F1165" s="864"/>
      <c r="G1165" s="864"/>
      <c r="H1165" s="864"/>
      <c r="I1165" s="864"/>
    </row>
    <row r="1167" spans="1:9" ht="18">
      <c r="A1167" s="2035">
        <v>11.4</v>
      </c>
      <c r="B1167" s="3566" t="s">
        <v>5497</v>
      </c>
      <c r="C1167" s="3567"/>
      <c r="D1167" s="3567"/>
      <c r="E1167" s="3567"/>
      <c r="F1167" s="3567"/>
      <c r="G1167" s="3567"/>
      <c r="H1167" s="3567"/>
      <c r="I1167" s="3568"/>
    </row>
    <row r="1168" spans="1:9" ht="18">
      <c r="A1168" s="1229"/>
      <c r="B1168" s="1815"/>
      <c r="C1168" s="2059" t="s">
        <v>140</v>
      </c>
      <c r="D1168" s="1229" t="s">
        <v>343</v>
      </c>
      <c r="E1168" s="1581" t="s">
        <v>344</v>
      </c>
      <c r="F1168" s="1814" t="s">
        <v>482</v>
      </c>
      <c r="G1168" s="1814" t="s">
        <v>483</v>
      </c>
      <c r="H1168" s="1814" t="s">
        <v>232</v>
      </c>
      <c r="I1168" s="1814" t="s">
        <v>171</v>
      </c>
    </row>
    <row r="1169" spans="1:9" ht="18">
      <c r="A1169" s="1580" t="s">
        <v>441</v>
      </c>
      <c r="B1169" s="2092" t="s">
        <v>5498</v>
      </c>
      <c r="C1169" s="2068">
        <v>1</v>
      </c>
      <c r="D1169" s="1274" t="s">
        <v>45</v>
      </c>
      <c r="E1169" s="1581">
        <v>45000</v>
      </c>
      <c r="F1169" s="1581"/>
      <c r="G1169" s="1581">
        <f>+C1169*E1169</f>
        <v>45000</v>
      </c>
      <c r="H1169" s="1581"/>
      <c r="I1169" s="1581"/>
    </row>
    <row r="1170" spans="1:9" ht="18">
      <c r="A1170" s="1580"/>
      <c r="B1170" s="2092" t="s">
        <v>5499</v>
      </c>
      <c r="C1170" s="2068">
        <v>1</v>
      </c>
      <c r="D1170" s="1274" t="s">
        <v>363</v>
      </c>
      <c r="E1170" s="1581">
        <v>15000</v>
      </c>
      <c r="F1170" s="1581"/>
      <c r="G1170" s="1581">
        <f t="shared" ref="G1170:G1171" si="77">+C1170*E1170</f>
        <v>15000</v>
      </c>
      <c r="H1170" s="1581"/>
      <c r="I1170" s="1581"/>
    </row>
    <row r="1171" spans="1:9" ht="18">
      <c r="A1171" s="1580"/>
      <c r="B1171" s="2092" t="s">
        <v>5500</v>
      </c>
      <c r="C1171" s="2068">
        <v>1</v>
      </c>
      <c r="D1171" s="1274" t="s">
        <v>363</v>
      </c>
      <c r="E1171" s="1581">
        <v>5000</v>
      </c>
      <c r="F1171" s="1581"/>
      <c r="G1171" s="1581">
        <f t="shared" si="77"/>
        <v>5000</v>
      </c>
      <c r="H1171" s="1581"/>
      <c r="I1171" s="1581"/>
    </row>
    <row r="1172" spans="1:9" ht="18">
      <c r="A1172" s="1580" t="s">
        <v>584</v>
      </c>
      <c r="B1172" s="231" t="s">
        <v>5501</v>
      </c>
      <c r="C1172" s="2068">
        <v>1</v>
      </c>
      <c r="D1172" s="1580" t="s">
        <v>583</v>
      </c>
      <c r="E1172" s="1581">
        <v>2000</v>
      </c>
      <c r="F1172" s="1581"/>
      <c r="G1172" s="1581"/>
      <c r="H1172" s="1581"/>
      <c r="I1172" s="1581">
        <f>+C1172*E1172</f>
        <v>2000</v>
      </c>
    </row>
    <row r="1173" spans="1:9" ht="18">
      <c r="A1173" s="2036" t="s">
        <v>190</v>
      </c>
      <c r="B1173" s="1587">
        <f>SUM(G1173:I1173)</f>
        <v>67000</v>
      </c>
      <c r="C1173" s="2068"/>
      <c r="D1173" s="2057"/>
      <c r="E1173" s="1581"/>
      <c r="F1173" s="1581">
        <v>0</v>
      </c>
      <c r="G1173" s="1581">
        <f>SUM(G1169:G1172)</f>
        <v>65000</v>
      </c>
      <c r="H1173" s="1581">
        <f>SUM(H1172:H1172)</f>
        <v>0</v>
      </c>
      <c r="I1173" s="1581">
        <f>SUM(I1169:I1172)</f>
        <v>2000</v>
      </c>
    </row>
    <row r="1174" spans="1:9" ht="18">
      <c r="A1174" s="2036" t="s">
        <v>191</v>
      </c>
      <c r="B1174" s="1587">
        <f>SUM(B1173:B1173)</f>
        <v>67000</v>
      </c>
      <c r="C1174" s="2066" t="s">
        <v>363</v>
      </c>
      <c r="D1174" s="863"/>
      <c r="E1174" s="864"/>
      <c r="F1174" s="864"/>
      <c r="G1174" s="864"/>
      <c r="H1174" s="864"/>
      <c r="I1174" s="864"/>
    </row>
    <row r="1176" spans="1:9" ht="18">
      <c r="A1176" s="2035">
        <v>12.1</v>
      </c>
      <c r="B1176" s="3566" t="s">
        <v>5502</v>
      </c>
      <c r="C1176" s="3567"/>
      <c r="D1176" s="3567"/>
      <c r="E1176" s="3567"/>
      <c r="F1176" s="3567"/>
      <c r="G1176" s="3567"/>
      <c r="H1176" s="3567"/>
      <c r="I1176" s="3568"/>
    </row>
    <row r="1177" spans="1:9" ht="18">
      <c r="A1177" s="1229"/>
      <c r="B1177" s="1815"/>
      <c r="C1177" s="2059" t="s">
        <v>140</v>
      </c>
      <c r="D1177" s="1229" t="s">
        <v>343</v>
      </c>
      <c r="E1177" s="1581" t="s">
        <v>344</v>
      </c>
      <c r="F1177" s="1814" t="s">
        <v>482</v>
      </c>
      <c r="G1177" s="1814" t="s">
        <v>483</v>
      </c>
      <c r="H1177" s="1814" t="s">
        <v>232</v>
      </c>
      <c r="I1177" s="1814" t="s">
        <v>171</v>
      </c>
    </row>
    <row r="1178" spans="1:9" ht="18">
      <c r="A1178" s="1580"/>
      <c r="B1178" s="2065" t="s">
        <v>5485</v>
      </c>
      <c r="C1178" s="2068">
        <f>1/0.8</f>
        <v>1.25</v>
      </c>
      <c r="D1178" s="1580" t="s">
        <v>346</v>
      </c>
      <c r="E1178" s="1581">
        <v>90000</v>
      </c>
      <c r="F1178" s="1581"/>
      <c r="G1178" s="1581"/>
      <c r="H1178" s="1581">
        <f>+C1178*E1178</f>
        <v>112500</v>
      </c>
      <c r="I1178" s="1581"/>
    </row>
    <row r="1179" spans="1:9" ht="18">
      <c r="A1179" s="1580" t="s">
        <v>347</v>
      </c>
      <c r="B1179" s="2065" t="s">
        <v>5486</v>
      </c>
      <c r="C1179" s="2068">
        <f>1/0.8</f>
        <v>1.25</v>
      </c>
      <c r="D1179" s="1580" t="s">
        <v>346</v>
      </c>
      <c r="E1179" s="1581">
        <f>+AYUDR</f>
        <v>50299.76584</v>
      </c>
      <c r="F1179" s="1581"/>
      <c r="G1179" s="1581"/>
      <c r="H1179" s="1581">
        <f>+C1179*E1179</f>
        <v>62874.707300000002</v>
      </c>
      <c r="I1179" s="1581"/>
    </row>
    <row r="1180" spans="1:9" ht="18">
      <c r="A1180" s="1580" t="s">
        <v>172</v>
      </c>
      <c r="B1180" s="2075" t="s">
        <v>189</v>
      </c>
      <c r="C1180" s="2068">
        <v>1</v>
      </c>
      <c r="D1180" s="1274" t="s">
        <v>583</v>
      </c>
      <c r="E1180" s="1581">
        <f>+H1181*0.05</f>
        <v>8768.7353650000005</v>
      </c>
      <c r="F1180" s="1581"/>
      <c r="G1180" s="1581"/>
      <c r="H1180" s="1581"/>
      <c r="I1180" s="1581">
        <v>2700.0761287500009</v>
      </c>
    </row>
    <row r="1181" spans="1:9" ht="18">
      <c r="A1181" s="2036" t="s">
        <v>190</v>
      </c>
      <c r="B1181" s="1266">
        <f>SUM(G1181:I1181)</f>
        <v>178074.78342875</v>
      </c>
      <c r="C1181" s="2059"/>
      <c r="D1181" s="1267"/>
      <c r="E1181" s="1581"/>
      <c r="F1181" s="1814">
        <v>0</v>
      </c>
      <c r="G1181" s="1814" t="s">
        <v>441</v>
      </c>
      <c r="H1181" s="1814">
        <f>SUM(H1178:H1180)</f>
        <v>175374.70730000001</v>
      </c>
      <c r="I1181" s="1814">
        <f>SUM(I1178:I1180)</f>
        <v>2700.0761287500009</v>
      </c>
    </row>
    <row r="1182" spans="1:9" ht="18">
      <c r="A1182" s="2036" t="s">
        <v>191</v>
      </c>
      <c r="B1182" s="1587">
        <f>SUM(B1181:B1181)</f>
        <v>178074.78342875</v>
      </c>
      <c r="C1182" s="2066" t="s">
        <v>363</v>
      </c>
      <c r="D1182" s="863"/>
      <c r="E1182" s="864"/>
      <c r="F1182" s="864"/>
      <c r="G1182" s="864"/>
      <c r="H1182" s="864"/>
      <c r="I1182" s="864"/>
    </row>
    <row r="1184" spans="1:9" ht="18">
      <c r="A1184" s="2035">
        <v>12.1</v>
      </c>
      <c r="B1184" s="3566" t="s">
        <v>5503</v>
      </c>
      <c r="C1184" s="3567"/>
      <c r="D1184" s="3567"/>
      <c r="E1184" s="3567"/>
      <c r="F1184" s="3567"/>
      <c r="G1184" s="3567"/>
      <c r="H1184" s="3567"/>
      <c r="I1184" s="3568"/>
    </row>
    <row r="1185" spans="1:9" ht="18">
      <c r="A1185" s="1229"/>
      <c r="B1185" s="1815"/>
      <c r="C1185" s="2059" t="s">
        <v>140</v>
      </c>
      <c r="D1185" s="1229" t="s">
        <v>343</v>
      </c>
      <c r="E1185" s="1581" t="s">
        <v>344</v>
      </c>
      <c r="F1185" s="1814" t="s">
        <v>482</v>
      </c>
      <c r="G1185" s="1814" t="s">
        <v>483</v>
      </c>
      <c r="H1185" s="1814" t="s">
        <v>232</v>
      </c>
      <c r="I1185" s="1814" t="s">
        <v>171</v>
      </c>
    </row>
    <row r="1186" spans="1:9" ht="18">
      <c r="A1186" s="1580" t="s">
        <v>441</v>
      </c>
      <c r="B1186" s="2092" t="s">
        <v>5124</v>
      </c>
      <c r="C1186" s="2068">
        <v>1</v>
      </c>
      <c r="D1186" s="1274" t="s">
        <v>363</v>
      </c>
      <c r="E1186" s="1581">
        <v>182000</v>
      </c>
      <c r="F1186" s="1581"/>
      <c r="G1186" s="1581">
        <f>+C1186*E1186</f>
        <v>182000</v>
      </c>
      <c r="H1186" s="1581"/>
      <c r="I1186" s="1581"/>
    </row>
    <row r="1187" spans="1:9" ht="18">
      <c r="A1187" s="1580"/>
      <c r="B1187" s="2092" t="s">
        <v>5125</v>
      </c>
      <c r="C1187" s="2068">
        <v>4</v>
      </c>
      <c r="D1187" s="1274" t="s">
        <v>363</v>
      </c>
      <c r="E1187" s="1581">
        <v>15000</v>
      </c>
      <c r="F1187" s="1581"/>
      <c r="G1187" s="1581">
        <f t="shared" ref="G1187:G1188" si="78">+C1187*E1187</f>
        <v>60000</v>
      </c>
      <c r="H1187" s="1581"/>
      <c r="I1187" s="1581"/>
    </row>
    <row r="1188" spans="1:9" ht="18">
      <c r="A1188" s="1580"/>
      <c r="B1188" s="2092" t="s">
        <v>5126</v>
      </c>
      <c r="C1188" s="2068">
        <v>1</v>
      </c>
      <c r="D1188" s="1274" t="s">
        <v>363</v>
      </c>
      <c r="E1188" s="1581">
        <v>42000</v>
      </c>
      <c r="F1188" s="1581"/>
      <c r="G1188" s="1581">
        <f t="shared" si="78"/>
        <v>42000</v>
      </c>
      <c r="H1188" s="1581"/>
      <c r="I1188" s="1581"/>
    </row>
    <row r="1189" spans="1:9" ht="18">
      <c r="A1189" s="1580" t="s">
        <v>584</v>
      </c>
      <c r="B1189" s="231" t="s">
        <v>5504</v>
      </c>
      <c r="C1189" s="2068">
        <v>1</v>
      </c>
      <c r="D1189" s="1580" t="s">
        <v>583</v>
      </c>
      <c r="E1189" s="1581">
        <v>1000</v>
      </c>
      <c r="F1189" s="1581"/>
      <c r="G1189" s="1581"/>
      <c r="H1189" s="1581"/>
      <c r="I1189" s="1581">
        <f>+C1189*E1189</f>
        <v>1000</v>
      </c>
    </row>
    <row r="1190" spans="1:9" ht="18">
      <c r="A1190" s="2036" t="s">
        <v>190</v>
      </c>
      <c r="B1190" s="1587">
        <f>SUM(G1190:I1190)</f>
        <v>285000</v>
      </c>
      <c r="C1190" s="2068"/>
      <c r="D1190" s="2057"/>
      <c r="E1190" s="1581"/>
      <c r="F1190" s="1581">
        <v>0</v>
      </c>
      <c r="G1190" s="1581">
        <f>SUM(G1186:G1189)</f>
        <v>284000</v>
      </c>
      <c r="H1190" s="1581">
        <f>SUM(H1189:H1189)</f>
        <v>0</v>
      </c>
      <c r="I1190" s="1581">
        <f>SUM(I1186:I1189)</f>
        <v>1000</v>
      </c>
    </row>
    <row r="1191" spans="1:9" ht="18">
      <c r="A1191" s="2036" t="s">
        <v>191</v>
      </c>
      <c r="B1191" s="1587">
        <f>SUM(B1190:B1190)</f>
        <v>285000</v>
      </c>
      <c r="C1191" s="2066" t="s">
        <v>363</v>
      </c>
      <c r="D1191" s="863"/>
      <c r="E1191" s="864"/>
      <c r="F1191" s="864"/>
      <c r="G1191" s="864"/>
      <c r="H1191" s="864"/>
      <c r="I1191" s="864"/>
    </row>
    <row r="1193" spans="1:9" ht="18">
      <c r="A1193" s="2035">
        <v>12.2</v>
      </c>
      <c r="B1193" s="3566" t="s">
        <v>5505</v>
      </c>
      <c r="C1193" s="3567"/>
      <c r="D1193" s="3567"/>
      <c r="E1193" s="3567"/>
      <c r="F1193" s="3567"/>
      <c r="G1193" s="3567"/>
      <c r="H1193" s="3567"/>
      <c r="I1193" s="3568"/>
    </row>
    <row r="1194" spans="1:9" ht="18">
      <c r="A1194" s="1229"/>
      <c r="B1194" s="1815"/>
      <c r="C1194" s="2059" t="s">
        <v>140</v>
      </c>
      <c r="D1194" s="1229" t="s">
        <v>343</v>
      </c>
      <c r="E1194" s="1581" t="s">
        <v>344</v>
      </c>
      <c r="F1194" s="1814" t="s">
        <v>482</v>
      </c>
      <c r="G1194" s="1814" t="s">
        <v>483</v>
      </c>
      <c r="H1194" s="1814" t="s">
        <v>232</v>
      </c>
      <c r="I1194" s="1814" t="s">
        <v>171</v>
      </c>
    </row>
    <row r="1195" spans="1:9" ht="18">
      <c r="A1195" s="1580"/>
      <c r="B1195" s="2065" t="s">
        <v>5485</v>
      </c>
      <c r="C1195" s="2068">
        <f>1/0.5</f>
        <v>2</v>
      </c>
      <c r="D1195" s="1580" t="s">
        <v>346</v>
      </c>
      <c r="E1195" s="1581">
        <v>90000</v>
      </c>
      <c r="F1195" s="1581"/>
      <c r="G1195" s="1581"/>
      <c r="H1195" s="1581">
        <f>+C1195*E1195</f>
        <v>180000</v>
      </c>
      <c r="I1195" s="1581"/>
    </row>
    <row r="1196" spans="1:9" ht="18">
      <c r="A1196" s="1580" t="s">
        <v>347</v>
      </c>
      <c r="B1196" s="2065" t="s">
        <v>5486</v>
      </c>
      <c r="C1196" s="2068">
        <f>1/0.5</f>
        <v>2</v>
      </c>
      <c r="D1196" s="1580" t="s">
        <v>346</v>
      </c>
      <c r="E1196" s="1581">
        <f>+AYUDR</f>
        <v>50299.76584</v>
      </c>
      <c r="F1196" s="1581"/>
      <c r="G1196" s="1581"/>
      <c r="H1196" s="1581">
        <f>+C1196*E1196</f>
        <v>100599.53168</v>
      </c>
      <c r="I1196" s="1581"/>
    </row>
    <row r="1197" spans="1:9" ht="18">
      <c r="A1197" s="1580" t="s">
        <v>172</v>
      </c>
      <c r="B1197" s="2075" t="s">
        <v>189</v>
      </c>
      <c r="C1197" s="2068">
        <v>1</v>
      </c>
      <c r="D1197" s="1274" t="s">
        <v>583</v>
      </c>
      <c r="E1197" s="1581">
        <f>+H1198*0.05</f>
        <v>14029.976584000002</v>
      </c>
      <c r="F1197" s="1581"/>
      <c r="G1197" s="1581"/>
      <c r="H1197" s="1581"/>
      <c r="I1197" s="1581">
        <v>2700.0761287500009</v>
      </c>
    </row>
    <row r="1198" spans="1:9" ht="18">
      <c r="A1198" s="2036" t="s">
        <v>190</v>
      </c>
      <c r="B1198" s="1266">
        <f>SUM(G1198:I1198)</f>
        <v>283299.60780875001</v>
      </c>
      <c r="C1198" s="2059"/>
      <c r="D1198" s="1267"/>
      <c r="E1198" s="1581"/>
      <c r="F1198" s="1814">
        <v>0</v>
      </c>
      <c r="G1198" s="1814" t="s">
        <v>441</v>
      </c>
      <c r="H1198" s="1814">
        <f>SUM(H1195:H1197)</f>
        <v>280599.53168000001</v>
      </c>
      <c r="I1198" s="1814">
        <f>SUM(I1195:I1197)</f>
        <v>2700.0761287500009</v>
      </c>
    </row>
    <row r="1199" spans="1:9" ht="18">
      <c r="A1199" s="2036" t="s">
        <v>191</v>
      </c>
      <c r="B1199" s="1587">
        <f>SUM(B1198:B1198)</f>
        <v>283299.60780875001</v>
      </c>
      <c r="C1199" s="2066" t="s">
        <v>363</v>
      </c>
      <c r="D1199" s="863"/>
      <c r="E1199" s="864"/>
      <c r="F1199" s="864"/>
      <c r="G1199" s="864"/>
      <c r="H1199" s="864"/>
      <c r="I1199" s="864"/>
    </row>
    <row r="1201" spans="1:9" ht="18">
      <c r="A1201" s="2035">
        <v>12.2</v>
      </c>
      <c r="B1201" s="3566" t="s">
        <v>5506</v>
      </c>
      <c r="C1201" s="3567"/>
      <c r="D1201" s="3567"/>
      <c r="E1201" s="3567"/>
      <c r="F1201" s="3567"/>
      <c r="G1201" s="3567"/>
      <c r="H1201" s="3567"/>
      <c r="I1201" s="3568"/>
    </row>
    <row r="1202" spans="1:9" ht="18">
      <c r="A1202" s="1229"/>
      <c r="B1202" s="1815"/>
      <c r="C1202" s="2059" t="s">
        <v>140</v>
      </c>
      <c r="D1202" s="1229" t="s">
        <v>343</v>
      </c>
      <c r="E1202" s="1581" t="s">
        <v>344</v>
      </c>
      <c r="F1202" s="1814" t="s">
        <v>482</v>
      </c>
      <c r="G1202" s="1814" t="s">
        <v>483</v>
      </c>
      <c r="H1202" s="1814" t="s">
        <v>232</v>
      </c>
      <c r="I1202" s="1814" t="s">
        <v>171</v>
      </c>
    </row>
    <row r="1203" spans="1:9" ht="18">
      <c r="A1203" s="1580" t="s">
        <v>441</v>
      </c>
      <c r="B1203" s="2092" t="s">
        <v>5507</v>
      </c>
      <c r="C1203" s="2068">
        <v>1</v>
      </c>
      <c r="D1203" s="1274" t="s">
        <v>363</v>
      </c>
      <c r="E1203" s="1581">
        <v>261000</v>
      </c>
      <c r="F1203" s="1581"/>
      <c r="G1203" s="1581">
        <f>+C1203*E1203</f>
        <v>261000</v>
      </c>
      <c r="H1203" s="1581"/>
      <c r="I1203" s="1581"/>
    </row>
    <row r="1204" spans="1:9" ht="18">
      <c r="A1204" s="1580"/>
      <c r="B1204" s="2092" t="s">
        <v>5125</v>
      </c>
      <c r="C1204" s="2068">
        <v>6</v>
      </c>
      <c r="D1204" s="1274" t="s">
        <v>363</v>
      </c>
      <c r="E1204" s="1581">
        <v>15000</v>
      </c>
      <c r="F1204" s="1581"/>
      <c r="G1204" s="1581">
        <f t="shared" ref="G1204:G1205" si="79">+C1204*E1204</f>
        <v>90000</v>
      </c>
      <c r="H1204" s="1581"/>
      <c r="I1204" s="1581"/>
    </row>
    <row r="1205" spans="1:9" ht="18">
      <c r="A1205" s="1580"/>
      <c r="B1205" s="2092" t="s">
        <v>5126</v>
      </c>
      <c r="C1205" s="2068">
        <v>3</v>
      </c>
      <c r="D1205" s="1274" t="s">
        <v>363</v>
      </c>
      <c r="E1205" s="1581">
        <v>42000</v>
      </c>
      <c r="F1205" s="1581"/>
      <c r="G1205" s="1581">
        <f t="shared" si="79"/>
        <v>126000</v>
      </c>
      <c r="H1205" s="1581"/>
      <c r="I1205" s="1581"/>
    </row>
    <row r="1206" spans="1:9" ht="18">
      <c r="A1206" s="1580" t="s">
        <v>584</v>
      </c>
      <c r="B1206" s="231" t="s">
        <v>5504</v>
      </c>
      <c r="C1206" s="2068">
        <v>1</v>
      </c>
      <c r="D1206" s="1580" t="s">
        <v>583</v>
      </c>
      <c r="E1206" s="1581">
        <v>1000</v>
      </c>
      <c r="F1206" s="1581"/>
      <c r="G1206" s="1581"/>
      <c r="H1206" s="1581"/>
      <c r="I1206" s="1581">
        <f>+C1206*E1206</f>
        <v>1000</v>
      </c>
    </row>
    <row r="1207" spans="1:9" ht="18">
      <c r="A1207" s="2036" t="s">
        <v>190</v>
      </c>
      <c r="B1207" s="1587">
        <f>SUM(G1207:I1207)</f>
        <v>478000</v>
      </c>
      <c r="C1207" s="2068"/>
      <c r="D1207" s="2057"/>
      <c r="E1207" s="1581"/>
      <c r="F1207" s="1581">
        <v>0</v>
      </c>
      <c r="G1207" s="1581">
        <f>SUM(G1203:G1206)</f>
        <v>477000</v>
      </c>
      <c r="H1207" s="1581">
        <f>SUM(H1206:H1206)</f>
        <v>0</v>
      </c>
      <c r="I1207" s="1581">
        <f>SUM(I1203:I1206)</f>
        <v>1000</v>
      </c>
    </row>
    <row r="1208" spans="1:9" ht="18">
      <c r="A1208" s="2036" t="s">
        <v>191</v>
      </c>
      <c r="B1208" s="1587">
        <f>SUM(B1207:B1207)</f>
        <v>478000</v>
      </c>
      <c r="C1208" s="2066" t="s">
        <v>363</v>
      </c>
      <c r="D1208" s="863"/>
      <c r="E1208" s="864"/>
      <c r="F1208" s="864"/>
      <c r="G1208" s="864"/>
      <c r="H1208" s="864"/>
      <c r="I1208" s="864"/>
    </row>
    <row r="1210" spans="1:9" ht="18">
      <c r="A1210" s="2035">
        <v>12.3</v>
      </c>
      <c r="B1210" s="3566" t="s">
        <v>5508</v>
      </c>
      <c r="C1210" s="3567"/>
      <c r="D1210" s="3567"/>
      <c r="E1210" s="3567"/>
      <c r="F1210" s="3567"/>
      <c r="G1210" s="3567"/>
      <c r="H1210" s="3567"/>
      <c r="I1210" s="3568"/>
    </row>
    <row r="1211" spans="1:9" ht="18">
      <c r="A1211" s="1229"/>
      <c r="B1211" s="1815"/>
      <c r="C1211" s="2059" t="s">
        <v>140</v>
      </c>
      <c r="D1211" s="1229" t="s">
        <v>343</v>
      </c>
      <c r="E1211" s="1581" t="s">
        <v>344</v>
      </c>
      <c r="F1211" s="1814" t="s">
        <v>482</v>
      </c>
      <c r="G1211" s="1814" t="s">
        <v>483</v>
      </c>
      <c r="H1211" s="1814" t="s">
        <v>232</v>
      </c>
      <c r="I1211" s="1814" t="s">
        <v>171</v>
      </c>
    </row>
    <row r="1212" spans="1:9" ht="18">
      <c r="A1212" s="1580"/>
      <c r="B1212" s="2065" t="s">
        <v>5485</v>
      </c>
      <c r="C1212" s="2068">
        <f>1/5</f>
        <v>0.2</v>
      </c>
      <c r="D1212" s="1580" t="s">
        <v>346</v>
      </c>
      <c r="E1212" s="1581">
        <v>90000</v>
      </c>
      <c r="F1212" s="1581"/>
      <c r="G1212" s="1581"/>
      <c r="H1212" s="1581">
        <f>+C1212*E1212</f>
        <v>18000</v>
      </c>
      <c r="I1212" s="1581"/>
    </row>
    <row r="1213" spans="1:9" ht="18">
      <c r="A1213" s="1580" t="s">
        <v>347</v>
      </c>
      <c r="B1213" s="2065" t="s">
        <v>5486</v>
      </c>
      <c r="C1213" s="2068">
        <f>1/5</f>
        <v>0.2</v>
      </c>
      <c r="D1213" s="1580" t="s">
        <v>346</v>
      </c>
      <c r="E1213" s="1581">
        <f>+AYUDR</f>
        <v>50299.76584</v>
      </c>
      <c r="F1213" s="1581"/>
      <c r="G1213" s="1581"/>
      <c r="H1213" s="1581">
        <f>+C1213*E1213</f>
        <v>10059.953168</v>
      </c>
      <c r="I1213" s="1581"/>
    </row>
    <row r="1214" spans="1:9" ht="18">
      <c r="A1214" s="1580" t="s">
        <v>172</v>
      </c>
      <c r="B1214" s="2075" t="s">
        <v>189</v>
      </c>
      <c r="C1214" s="2068">
        <v>1</v>
      </c>
      <c r="D1214" s="1274" t="s">
        <v>583</v>
      </c>
      <c r="E1214" s="1581">
        <f>+H1215*0.05</f>
        <v>1402.9976584000001</v>
      </c>
      <c r="F1214" s="1581"/>
      <c r="G1214" s="1581"/>
      <c r="H1214" s="1581"/>
      <c r="I1214" s="1581">
        <v>2700.0761287500009</v>
      </c>
    </row>
    <row r="1215" spans="1:9" ht="18">
      <c r="A1215" s="2036" t="s">
        <v>190</v>
      </c>
      <c r="B1215" s="1266">
        <f>SUM(G1215:I1215)</f>
        <v>30760.029296749999</v>
      </c>
      <c r="C1215" s="2059"/>
      <c r="D1215" s="1267"/>
      <c r="E1215" s="1581"/>
      <c r="F1215" s="1814">
        <v>0</v>
      </c>
      <c r="G1215" s="1814" t="s">
        <v>441</v>
      </c>
      <c r="H1215" s="1814">
        <f>SUM(H1212:H1214)</f>
        <v>28059.953168</v>
      </c>
      <c r="I1215" s="1814">
        <f>SUM(I1212:I1214)</f>
        <v>2700.0761287500009</v>
      </c>
    </row>
    <row r="1216" spans="1:9" ht="18">
      <c r="A1216" s="2036" t="s">
        <v>191</v>
      </c>
      <c r="B1216" s="1587">
        <f>SUM(B1215:B1215)</f>
        <v>30760.029296749999</v>
      </c>
      <c r="C1216" s="2066" t="s">
        <v>363</v>
      </c>
      <c r="D1216" s="863"/>
      <c r="E1216" s="864"/>
      <c r="F1216" s="864"/>
      <c r="G1216" s="864"/>
      <c r="H1216" s="864"/>
      <c r="I1216" s="864"/>
    </row>
    <row r="1218" spans="1:9" ht="18">
      <c r="A1218" s="2035">
        <v>12.3</v>
      </c>
      <c r="B1218" s="3566" t="s">
        <v>5509</v>
      </c>
      <c r="C1218" s="3567"/>
      <c r="D1218" s="3567"/>
      <c r="E1218" s="3567"/>
      <c r="F1218" s="3567"/>
      <c r="G1218" s="3567"/>
      <c r="H1218" s="3567"/>
      <c r="I1218" s="3568"/>
    </row>
    <row r="1219" spans="1:9" ht="18">
      <c r="A1219" s="1229"/>
      <c r="B1219" s="1815"/>
      <c r="C1219" s="2059" t="s">
        <v>140</v>
      </c>
      <c r="D1219" s="1229" t="s">
        <v>343</v>
      </c>
      <c r="E1219" s="1581" t="s">
        <v>344</v>
      </c>
      <c r="F1219" s="1814" t="s">
        <v>482</v>
      </c>
      <c r="G1219" s="1814" t="s">
        <v>483</v>
      </c>
      <c r="H1219" s="1814" t="s">
        <v>232</v>
      </c>
      <c r="I1219" s="1814" t="s">
        <v>171</v>
      </c>
    </row>
    <row r="1220" spans="1:9" ht="18">
      <c r="A1220" s="1580" t="s">
        <v>441</v>
      </c>
      <c r="B1220" s="2092" t="s">
        <v>5135</v>
      </c>
      <c r="C1220" s="2068">
        <v>5</v>
      </c>
      <c r="D1220" s="1274" t="s">
        <v>45</v>
      </c>
      <c r="E1220" s="1581">
        <v>3000</v>
      </c>
      <c r="F1220" s="1581"/>
      <c r="G1220" s="1581">
        <f>+C1220*E1220</f>
        <v>15000</v>
      </c>
      <c r="H1220" s="1581"/>
      <c r="I1220" s="1581"/>
    </row>
    <row r="1221" spans="1:9" ht="18">
      <c r="A1221" s="1580"/>
      <c r="B1221" s="2092" t="s">
        <v>5136</v>
      </c>
      <c r="C1221" s="2068">
        <v>15</v>
      </c>
      <c r="D1221" s="1274" t="s">
        <v>45</v>
      </c>
      <c r="E1221" s="1581">
        <v>1500</v>
      </c>
      <c r="F1221" s="1581"/>
      <c r="G1221" s="1581">
        <f t="shared" ref="G1221:G1225" si="80">+C1221*E1221</f>
        <v>22500</v>
      </c>
      <c r="H1221" s="1581"/>
      <c r="I1221" s="1581"/>
    </row>
    <row r="1222" spans="1:9" ht="18">
      <c r="A1222" s="1580"/>
      <c r="B1222" s="2092" t="s">
        <v>5510</v>
      </c>
      <c r="C1222" s="2068">
        <v>1</v>
      </c>
      <c r="D1222" s="1274" t="s">
        <v>363</v>
      </c>
      <c r="E1222" s="1581">
        <v>2500</v>
      </c>
      <c r="F1222" s="1581"/>
      <c r="G1222" s="1581">
        <f t="shared" si="80"/>
        <v>2500</v>
      </c>
      <c r="H1222" s="1581"/>
      <c r="I1222" s="1581"/>
    </row>
    <row r="1223" spans="1:9" ht="18">
      <c r="A1223" s="1580"/>
      <c r="B1223" s="2092" t="s">
        <v>5138</v>
      </c>
      <c r="C1223" s="2068">
        <v>2</v>
      </c>
      <c r="D1223" s="1274" t="s">
        <v>363</v>
      </c>
      <c r="E1223" s="1581">
        <v>1000</v>
      </c>
      <c r="F1223" s="1581"/>
      <c r="G1223" s="1581">
        <f t="shared" si="80"/>
        <v>2000</v>
      </c>
      <c r="H1223" s="1581"/>
      <c r="I1223" s="1581"/>
    </row>
    <row r="1224" spans="1:9" ht="18">
      <c r="A1224" s="1580"/>
      <c r="B1224" s="2092" t="s">
        <v>5139</v>
      </c>
      <c r="C1224" s="2068">
        <v>2</v>
      </c>
      <c r="D1224" s="1274" t="s">
        <v>363</v>
      </c>
      <c r="E1224" s="1581">
        <v>1000</v>
      </c>
      <c r="F1224" s="1581"/>
      <c r="G1224" s="1581">
        <f t="shared" si="80"/>
        <v>2000</v>
      </c>
      <c r="H1224" s="1581"/>
      <c r="I1224" s="1581"/>
    </row>
    <row r="1225" spans="1:9" ht="18">
      <c r="A1225" s="1580"/>
      <c r="B1225" s="2092" t="s">
        <v>5140</v>
      </c>
      <c r="C1225" s="2068">
        <v>1</v>
      </c>
      <c r="D1225" s="1274" t="s">
        <v>772</v>
      </c>
      <c r="E1225" s="1581">
        <v>2000</v>
      </c>
      <c r="F1225" s="1581"/>
      <c r="G1225" s="1581">
        <f t="shared" si="80"/>
        <v>2000</v>
      </c>
      <c r="H1225" s="1581"/>
      <c r="I1225" s="1581"/>
    </row>
    <row r="1226" spans="1:9" ht="18">
      <c r="A1226" s="1580" t="s">
        <v>584</v>
      </c>
      <c r="B1226" s="231" t="s">
        <v>5511</v>
      </c>
      <c r="C1226" s="2068">
        <v>1</v>
      </c>
      <c r="D1226" s="1580" t="s">
        <v>583</v>
      </c>
      <c r="E1226" s="1581">
        <v>200</v>
      </c>
      <c r="F1226" s="1581"/>
      <c r="G1226" s="1581"/>
      <c r="H1226" s="1581"/>
      <c r="I1226" s="1581">
        <f>+C1226*E1226</f>
        <v>200</v>
      </c>
    </row>
    <row r="1227" spans="1:9" ht="18">
      <c r="A1227" s="2036" t="s">
        <v>190</v>
      </c>
      <c r="B1227" s="1587">
        <f>SUM(G1227:I1227)</f>
        <v>46200</v>
      </c>
      <c r="C1227" s="2068"/>
      <c r="D1227" s="2057"/>
      <c r="E1227" s="1581"/>
      <c r="F1227" s="1581">
        <v>0</v>
      </c>
      <c r="G1227" s="1581">
        <f>SUM(G1220:G1226)</f>
        <v>46000</v>
      </c>
      <c r="H1227" s="1581">
        <f>SUM(H1226:H1226)</f>
        <v>0</v>
      </c>
      <c r="I1227" s="1581">
        <f>SUM(I1220:I1226)</f>
        <v>200</v>
      </c>
    </row>
    <row r="1228" spans="1:9" ht="18">
      <c r="A1228" s="2036" t="s">
        <v>191</v>
      </c>
      <c r="B1228" s="1587">
        <f>SUM(B1227:B1227)</f>
        <v>46200</v>
      </c>
      <c r="C1228" s="2066" t="s">
        <v>363</v>
      </c>
      <c r="D1228" s="863"/>
      <c r="E1228" s="864"/>
      <c r="F1228" s="864"/>
      <c r="G1228" s="864"/>
      <c r="H1228" s="864"/>
      <c r="I1228" s="864"/>
    </row>
    <row r="1230" spans="1:9" ht="18">
      <c r="A1230" s="2035">
        <v>12.4</v>
      </c>
      <c r="B1230" s="3566" t="s">
        <v>5512</v>
      </c>
      <c r="C1230" s="3567"/>
      <c r="D1230" s="3567"/>
      <c r="E1230" s="3567"/>
      <c r="F1230" s="3567"/>
      <c r="G1230" s="3567"/>
      <c r="H1230" s="3567"/>
      <c r="I1230" s="3568"/>
    </row>
    <row r="1231" spans="1:9" ht="18">
      <c r="A1231" s="1229"/>
      <c r="B1231" s="1815"/>
      <c r="C1231" s="2059" t="s">
        <v>140</v>
      </c>
      <c r="D1231" s="1229" t="s">
        <v>343</v>
      </c>
      <c r="E1231" s="1581" t="s">
        <v>344</v>
      </c>
      <c r="F1231" s="1814" t="s">
        <v>482</v>
      </c>
      <c r="G1231" s="1814" t="s">
        <v>483</v>
      </c>
      <c r="H1231" s="1814" t="s">
        <v>232</v>
      </c>
      <c r="I1231" s="1814" t="s">
        <v>171</v>
      </c>
    </row>
    <row r="1232" spans="1:9" ht="18">
      <c r="A1232" s="1580"/>
      <c r="B1232" s="2065" t="s">
        <v>5485</v>
      </c>
      <c r="C1232" s="2068">
        <f>1/5</f>
        <v>0.2</v>
      </c>
      <c r="D1232" s="1580" t="s">
        <v>346</v>
      </c>
      <c r="E1232" s="1581">
        <v>90000</v>
      </c>
      <c r="F1232" s="1581"/>
      <c r="G1232" s="1581"/>
      <c r="H1232" s="1581">
        <f>+C1232*E1232</f>
        <v>18000</v>
      </c>
      <c r="I1232" s="1581"/>
    </row>
    <row r="1233" spans="1:9" ht="18">
      <c r="A1233" s="1580" t="s">
        <v>347</v>
      </c>
      <c r="B1233" s="2065" t="s">
        <v>5486</v>
      </c>
      <c r="C1233" s="2068">
        <f>1/5</f>
        <v>0.2</v>
      </c>
      <c r="D1233" s="1580" t="s">
        <v>346</v>
      </c>
      <c r="E1233" s="1581">
        <f>+AYUDR</f>
        <v>50299.76584</v>
      </c>
      <c r="F1233" s="1581"/>
      <c r="G1233" s="1581"/>
      <c r="H1233" s="1581">
        <f>+C1233*E1233</f>
        <v>10059.953168</v>
      </c>
      <c r="I1233" s="1581"/>
    </row>
    <row r="1234" spans="1:9" ht="18">
      <c r="A1234" s="1580" t="s">
        <v>172</v>
      </c>
      <c r="B1234" s="2075" t="s">
        <v>189</v>
      </c>
      <c r="C1234" s="2068">
        <v>1</v>
      </c>
      <c r="D1234" s="1274" t="s">
        <v>583</v>
      </c>
      <c r="E1234" s="1581">
        <f>+H1235*0.05</f>
        <v>1402.9976584000001</v>
      </c>
      <c r="F1234" s="1581"/>
      <c r="G1234" s="1581"/>
      <c r="H1234" s="1581"/>
      <c r="I1234" s="1581">
        <v>2700.0761287500009</v>
      </c>
    </row>
    <row r="1235" spans="1:9" ht="18">
      <c r="A1235" s="2036" t="s">
        <v>190</v>
      </c>
      <c r="B1235" s="1266">
        <f>SUM(G1235:I1235)</f>
        <v>30760.029296749999</v>
      </c>
      <c r="C1235" s="2059"/>
      <c r="D1235" s="1267"/>
      <c r="E1235" s="1581"/>
      <c r="F1235" s="1814">
        <v>0</v>
      </c>
      <c r="G1235" s="1814" t="s">
        <v>441</v>
      </c>
      <c r="H1235" s="1814">
        <f>SUM(H1232:H1234)</f>
        <v>28059.953168</v>
      </c>
      <c r="I1235" s="1814">
        <f>SUM(I1232:I1234)</f>
        <v>2700.0761287500009</v>
      </c>
    </row>
    <row r="1236" spans="1:9" ht="18">
      <c r="A1236" s="2036" t="s">
        <v>191</v>
      </c>
      <c r="B1236" s="1587">
        <f>SUM(B1235:B1235)</f>
        <v>30760.029296749999</v>
      </c>
      <c r="C1236" s="2066" t="s">
        <v>363</v>
      </c>
      <c r="D1236" s="863"/>
      <c r="E1236" s="864"/>
      <c r="F1236" s="864"/>
      <c r="G1236" s="864"/>
      <c r="H1236" s="864"/>
      <c r="I1236" s="864"/>
    </row>
    <row r="1238" spans="1:9" ht="18">
      <c r="A1238" s="2035">
        <v>12.4</v>
      </c>
      <c r="B1238" s="3566" t="s">
        <v>5513</v>
      </c>
      <c r="C1238" s="3567"/>
      <c r="D1238" s="3567"/>
      <c r="E1238" s="3567"/>
      <c r="F1238" s="3567"/>
      <c r="G1238" s="3567"/>
      <c r="H1238" s="3567"/>
      <c r="I1238" s="3568"/>
    </row>
    <row r="1239" spans="1:9" ht="18">
      <c r="A1239" s="1229"/>
      <c r="B1239" s="1815"/>
      <c r="C1239" s="2059" t="s">
        <v>140</v>
      </c>
      <c r="D1239" s="1229" t="s">
        <v>343</v>
      </c>
      <c r="E1239" s="1581" t="s">
        <v>344</v>
      </c>
      <c r="F1239" s="1814" t="s">
        <v>482</v>
      </c>
      <c r="G1239" s="1814" t="s">
        <v>483</v>
      </c>
      <c r="H1239" s="1814" t="s">
        <v>232</v>
      </c>
      <c r="I1239" s="1814" t="s">
        <v>171</v>
      </c>
    </row>
    <row r="1240" spans="1:9" ht="18">
      <c r="A1240" s="1580" t="s">
        <v>441</v>
      </c>
      <c r="B1240" s="2092" t="s">
        <v>5145</v>
      </c>
      <c r="C1240" s="2068">
        <v>5</v>
      </c>
      <c r="D1240" s="1274" t="s">
        <v>45</v>
      </c>
      <c r="E1240" s="1581">
        <v>1500</v>
      </c>
      <c r="F1240" s="1581"/>
      <c r="G1240" s="1581">
        <f>+C1240*E1240</f>
        <v>7500</v>
      </c>
      <c r="H1240" s="1581"/>
      <c r="I1240" s="1581"/>
    </row>
    <row r="1241" spans="1:9" ht="18">
      <c r="A1241" s="1580"/>
      <c r="B1241" s="2092" t="s">
        <v>5136</v>
      </c>
      <c r="C1241" s="2068">
        <v>15</v>
      </c>
      <c r="D1241" s="1274" t="s">
        <v>45</v>
      </c>
      <c r="E1241" s="1581">
        <v>1500</v>
      </c>
      <c r="F1241" s="1581"/>
      <c r="G1241" s="1581">
        <f t="shared" ref="G1241:G1246" si="81">+C1241*E1241</f>
        <v>22500</v>
      </c>
      <c r="H1241" s="1581"/>
      <c r="I1241" s="1581"/>
    </row>
    <row r="1242" spans="1:9" ht="18">
      <c r="A1242" s="1580"/>
      <c r="B1242" s="2092" t="s">
        <v>5514</v>
      </c>
      <c r="C1242" s="2068">
        <v>1</v>
      </c>
      <c r="D1242" s="1274" t="s">
        <v>363</v>
      </c>
      <c r="E1242" s="1581">
        <v>1200</v>
      </c>
      <c r="F1242" s="1581"/>
      <c r="G1242" s="1581">
        <f t="shared" si="81"/>
        <v>1200</v>
      </c>
      <c r="H1242" s="1581"/>
      <c r="I1242" s="1581"/>
    </row>
    <row r="1243" spans="1:9" ht="18">
      <c r="A1243" s="1580"/>
      <c r="B1243" s="2092" t="s">
        <v>5147</v>
      </c>
      <c r="C1243" s="2068">
        <v>2</v>
      </c>
      <c r="D1243" s="1274" t="s">
        <v>363</v>
      </c>
      <c r="E1243" s="1581">
        <v>500</v>
      </c>
      <c r="F1243" s="1581"/>
      <c r="G1243" s="1581">
        <f t="shared" si="81"/>
        <v>1000</v>
      </c>
      <c r="H1243" s="1581"/>
      <c r="I1243" s="1581"/>
    </row>
    <row r="1244" spans="1:9" ht="18">
      <c r="A1244" s="1580"/>
      <c r="B1244" s="2092" t="s">
        <v>5148</v>
      </c>
      <c r="C1244" s="2068">
        <v>2</v>
      </c>
      <c r="D1244" s="1274" t="s">
        <v>363</v>
      </c>
      <c r="E1244" s="1581">
        <v>500</v>
      </c>
      <c r="F1244" s="1581"/>
      <c r="G1244" s="1581">
        <f t="shared" si="81"/>
        <v>1000</v>
      </c>
      <c r="H1244" s="1581"/>
      <c r="I1244" s="1581"/>
    </row>
    <row r="1245" spans="1:9" ht="18">
      <c r="A1245" s="1580"/>
      <c r="B1245" s="2092" t="s">
        <v>5149</v>
      </c>
      <c r="C1245" s="2068">
        <v>1</v>
      </c>
      <c r="D1245" s="1274" t="s">
        <v>363</v>
      </c>
      <c r="E1245" s="1581">
        <v>4000</v>
      </c>
      <c r="F1245" s="1581"/>
      <c r="G1245" s="1581">
        <f t="shared" si="81"/>
        <v>4000</v>
      </c>
      <c r="H1245" s="1581"/>
      <c r="I1245" s="1581"/>
    </row>
    <row r="1246" spans="1:9" ht="18">
      <c r="A1246" s="1580"/>
      <c r="B1246" s="2092" t="s">
        <v>5140</v>
      </c>
      <c r="C1246" s="2068">
        <v>1</v>
      </c>
      <c r="D1246" s="1274" t="s">
        <v>772</v>
      </c>
      <c r="E1246" s="1581">
        <v>2000</v>
      </c>
      <c r="F1246" s="1581"/>
      <c r="G1246" s="1581">
        <f t="shared" si="81"/>
        <v>2000</v>
      </c>
      <c r="H1246" s="1581"/>
      <c r="I1246" s="1581"/>
    </row>
    <row r="1247" spans="1:9" ht="18">
      <c r="A1247" s="1580" t="s">
        <v>584</v>
      </c>
      <c r="B1247" s="231" t="s">
        <v>5511</v>
      </c>
      <c r="C1247" s="2068">
        <v>1</v>
      </c>
      <c r="D1247" s="1580" t="s">
        <v>583</v>
      </c>
      <c r="E1247" s="1581">
        <v>200</v>
      </c>
      <c r="F1247" s="1581"/>
      <c r="G1247" s="1581"/>
      <c r="H1247" s="1581"/>
      <c r="I1247" s="1581">
        <f>+C1247*E1247</f>
        <v>200</v>
      </c>
    </row>
    <row r="1248" spans="1:9" ht="18">
      <c r="A1248" s="2036" t="s">
        <v>190</v>
      </c>
      <c r="B1248" s="1587">
        <f>SUM(G1248:I1248)</f>
        <v>39400</v>
      </c>
      <c r="C1248" s="2068"/>
      <c r="D1248" s="2057"/>
      <c r="E1248" s="1581"/>
      <c r="F1248" s="1581">
        <v>0</v>
      </c>
      <c r="G1248" s="1581">
        <f>SUM(G1240:G1247)</f>
        <v>39200</v>
      </c>
      <c r="H1248" s="1581">
        <f>SUM(H1247:H1247)</f>
        <v>0</v>
      </c>
      <c r="I1248" s="1581">
        <f>SUM(I1240:I1247)</f>
        <v>200</v>
      </c>
    </row>
    <row r="1249" spans="1:9" ht="18">
      <c r="A1249" s="2036" t="s">
        <v>191</v>
      </c>
      <c r="B1249" s="1587">
        <f>SUM(B1248:B1248)</f>
        <v>39400</v>
      </c>
      <c r="C1249" s="2066" t="s">
        <v>363</v>
      </c>
      <c r="D1249" s="863"/>
      <c r="E1249" s="864"/>
      <c r="F1249" s="864"/>
      <c r="G1249" s="864"/>
      <c r="H1249" s="864"/>
      <c r="I1249" s="864"/>
    </row>
    <row r="1251" spans="1:9" ht="18">
      <c r="A1251" s="2035">
        <v>12.5</v>
      </c>
      <c r="B1251" s="3566" t="s">
        <v>5515</v>
      </c>
      <c r="C1251" s="3567"/>
      <c r="D1251" s="3567"/>
      <c r="E1251" s="3567"/>
      <c r="F1251" s="3567"/>
      <c r="G1251" s="3567"/>
      <c r="H1251" s="3567"/>
      <c r="I1251" s="3568"/>
    </row>
    <row r="1252" spans="1:9" ht="18">
      <c r="A1252" s="1229"/>
      <c r="B1252" s="1815"/>
      <c r="C1252" s="2059" t="s">
        <v>140</v>
      </c>
      <c r="D1252" s="1229" t="s">
        <v>343</v>
      </c>
      <c r="E1252" s="1581" t="s">
        <v>344</v>
      </c>
      <c r="F1252" s="1814" t="s">
        <v>482</v>
      </c>
      <c r="G1252" s="1814" t="s">
        <v>483</v>
      </c>
      <c r="H1252" s="1814" t="s">
        <v>232</v>
      </c>
      <c r="I1252" s="1814" t="s">
        <v>171</v>
      </c>
    </row>
    <row r="1253" spans="1:9" ht="18">
      <c r="A1253" s="1580"/>
      <c r="B1253" s="2065" t="s">
        <v>5485</v>
      </c>
      <c r="C1253" s="2068">
        <f>1/4</f>
        <v>0.25</v>
      </c>
      <c r="D1253" s="1580" t="s">
        <v>346</v>
      </c>
      <c r="E1253" s="1581">
        <v>90000</v>
      </c>
      <c r="F1253" s="1581"/>
      <c r="G1253" s="1581"/>
      <c r="H1253" s="1581">
        <f>+C1253*E1253</f>
        <v>22500</v>
      </c>
      <c r="I1253" s="1581"/>
    </row>
    <row r="1254" spans="1:9" ht="18">
      <c r="A1254" s="1580" t="s">
        <v>347</v>
      </c>
      <c r="B1254" s="2065" t="s">
        <v>5486</v>
      </c>
      <c r="C1254" s="2068">
        <f>1/4</f>
        <v>0.25</v>
      </c>
      <c r="D1254" s="1580" t="s">
        <v>346</v>
      </c>
      <c r="E1254" s="1581">
        <f>+AYUDR</f>
        <v>50299.76584</v>
      </c>
      <c r="F1254" s="1581"/>
      <c r="G1254" s="1581"/>
      <c r="H1254" s="1581">
        <f>+C1254*E1254</f>
        <v>12574.94146</v>
      </c>
      <c r="I1254" s="1581"/>
    </row>
    <row r="1255" spans="1:9" ht="18">
      <c r="A1255" s="1580" t="s">
        <v>172</v>
      </c>
      <c r="B1255" s="2075" t="s">
        <v>189</v>
      </c>
      <c r="C1255" s="2068">
        <v>1</v>
      </c>
      <c r="D1255" s="1274" t="s">
        <v>583</v>
      </c>
      <c r="E1255" s="1581">
        <f>+H1256*0.05</f>
        <v>1753.7470730000002</v>
      </c>
      <c r="F1255" s="1581"/>
      <c r="G1255" s="1581"/>
      <c r="H1255" s="1581"/>
      <c r="I1255" s="1581">
        <v>2700.0761287500009</v>
      </c>
    </row>
    <row r="1256" spans="1:9" ht="18">
      <c r="A1256" s="2036" t="s">
        <v>190</v>
      </c>
      <c r="B1256" s="1266">
        <f>SUM(G1256:I1256)</f>
        <v>37775.017588750001</v>
      </c>
      <c r="C1256" s="2059"/>
      <c r="D1256" s="1267"/>
      <c r="E1256" s="1581"/>
      <c r="F1256" s="1814">
        <v>0</v>
      </c>
      <c r="G1256" s="1814" t="s">
        <v>441</v>
      </c>
      <c r="H1256" s="1814">
        <f>SUM(H1253:H1255)</f>
        <v>35074.941460000002</v>
      </c>
      <c r="I1256" s="1814">
        <f>SUM(I1253:I1255)</f>
        <v>2700.0761287500009</v>
      </c>
    </row>
    <row r="1257" spans="1:9" ht="18">
      <c r="A1257" s="2036" t="s">
        <v>191</v>
      </c>
      <c r="B1257" s="1587">
        <f>SUM(B1256:B1256)</f>
        <v>37775.017588750001</v>
      </c>
      <c r="C1257" s="2066" t="s">
        <v>363</v>
      </c>
      <c r="D1257" s="863"/>
      <c r="E1257" s="864"/>
      <c r="F1257" s="864"/>
      <c r="G1257" s="864"/>
      <c r="H1257" s="864"/>
      <c r="I1257" s="864"/>
    </row>
    <row r="1259" spans="1:9" ht="18">
      <c r="A1259" s="2035">
        <v>12.5</v>
      </c>
      <c r="B1259" s="3566" t="s">
        <v>5516</v>
      </c>
      <c r="C1259" s="3567"/>
      <c r="D1259" s="3567"/>
      <c r="E1259" s="3567"/>
      <c r="F1259" s="3567"/>
      <c r="G1259" s="3567"/>
      <c r="H1259" s="3567"/>
      <c r="I1259" s="3568"/>
    </row>
    <row r="1260" spans="1:9" ht="18">
      <c r="A1260" s="1229"/>
      <c r="B1260" s="1815"/>
      <c r="C1260" s="2059" t="s">
        <v>140</v>
      </c>
      <c r="D1260" s="1229" t="s">
        <v>343</v>
      </c>
      <c r="E1260" s="1581" t="s">
        <v>344</v>
      </c>
      <c r="F1260" s="1814" t="s">
        <v>482</v>
      </c>
      <c r="G1260" s="1814" t="s">
        <v>483</v>
      </c>
      <c r="H1260" s="1814" t="s">
        <v>232</v>
      </c>
      <c r="I1260" s="1814" t="s">
        <v>171</v>
      </c>
    </row>
    <row r="1261" spans="1:9" ht="18">
      <c r="A1261" s="1580" t="s">
        <v>441</v>
      </c>
      <c r="B1261" s="2092" t="s">
        <v>5153</v>
      </c>
      <c r="C1261" s="2068">
        <v>5</v>
      </c>
      <c r="D1261" s="1274" t="s">
        <v>45</v>
      </c>
      <c r="E1261" s="1581">
        <v>2500</v>
      </c>
      <c r="F1261" s="1581"/>
      <c r="G1261" s="1581">
        <f>+C1261*E1261</f>
        <v>12500</v>
      </c>
      <c r="H1261" s="1581"/>
      <c r="I1261" s="1581"/>
    </row>
    <row r="1262" spans="1:9" ht="18">
      <c r="A1262" s="1580"/>
      <c r="B1262" s="2092" t="s">
        <v>5154</v>
      </c>
      <c r="C1262" s="2068">
        <v>12</v>
      </c>
      <c r="D1262" s="1274" t="s">
        <v>45</v>
      </c>
      <c r="E1262" s="1581">
        <v>2100</v>
      </c>
      <c r="F1262" s="1581"/>
      <c r="G1262" s="1581">
        <f t="shared" ref="G1262:G1266" si="82">+C1262*E1262</f>
        <v>25200</v>
      </c>
      <c r="H1262" s="1581"/>
      <c r="I1262" s="1581"/>
    </row>
    <row r="1263" spans="1:9" ht="18">
      <c r="A1263" s="1580"/>
      <c r="B1263" s="2092" t="s">
        <v>5155</v>
      </c>
      <c r="C1263" s="2068">
        <v>1</v>
      </c>
      <c r="D1263" s="1274" t="s">
        <v>363</v>
      </c>
      <c r="E1263" s="1581">
        <v>1500</v>
      </c>
      <c r="F1263" s="1581"/>
      <c r="G1263" s="1581">
        <f t="shared" si="82"/>
        <v>1500</v>
      </c>
      <c r="H1263" s="1581"/>
      <c r="I1263" s="1581"/>
    </row>
    <row r="1264" spans="1:9" ht="18">
      <c r="A1264" s="1580"/>
      <c r="B1264" s="2092" t="s">
        <v>5156</v>
      </c>
      <c r="C1264" s="2068">
        <v>2</v>
      </c>
      <c r="D1264" s="1274" t="s">
        <v>363</v>
      </c>
      <c r="E1264" s="1581">
        <v>600</v>
      </c>
      <c r="F1264" s="1581"/>
      <c r="G1264" s="1581">
        <f t="shared" si="82"/>
        <v>1200</v>
      </c>
      <c r="H1264" s="1581"/>
      <c r="I1264" s="1581"/>
    </row>
    <row r="1265" spans="1:9" ht="18">
      <c r="A1265" s="1580"/>
      <c r="B1265" s="2092" t="s">
        <v>5157</v>
      </c>
      <c r="C1265" s="2068">
        <v>1</v>
      </c>
      <c r="D1265" s="1274" t="s">
        <v>363</v>
      </c>
      <c r="E1265" s="1581">
        <v>9500</v>
      </c>
      <c r="F1265" s="1581"/>
      <c r="G1265" s="1581">
        <f t="shared" si="82"/>
        <v>9500</v>
      </c>
      <c r="H1265" s="1581"/>
      <c r="I1265" s="1581"/>
    </row>
    <row r="1266" spans="1:9" ht="18">
      <c r="A1266" s="1580"/>
      <c r="B1266" s="2092" t="s">
        <v>5140</v>
      </c>
      <c r="C1266" s="2068">
        <v>1</v>
      </c>
      <c r="D1266" s="1274" t="s">
        <v>772</v>
      </c>
      <c r="E1266" s="1581">
        <v>2000</v>
      </c>
      <c r="F1266" s="1581"/>
      <c r="G1266" s="1581">
        <f t="shared" si="82"/>
        <v>2000</v>
      </c>
      <c r="H1266" s="1581"/>
      <c r="I1266" s="1581"/>
    </row>
    <row r="1267" spans="1:9" ht="18">
      <c r="A1267" s="1580" t="s">
        <v>584</v>
      </c>
      <c r="B1267" s="231" t="s">
        <v>5511</v>
      </c>
      <c r="C1267" s="2068">
        <v>1</v>
      </c>
      <c r="D1267" s="1580" t="s">
        <v>583</v>
      </c>
      <c r="E1267" s="1581">
        <v>200</v>
      </c>
      <c r="F1267" s="1581"/>
      <c r="G1267" s="1581"/>
      <c r="H1267" s="1581"/>
      <c r="I1267" s="1581">
        <f>+C1267*E1267</f>
        <v>200</v>
      </c>
    </row>
    <row r="1268" spans="1:9" ht="18">
      <c r="A1268" s="2036" t="s">
        <v>190</v>
      </c>
      <c r="B1268" s="1587">
        <f>SUM(G1268:I1268)</f>
        <v>52100</v>
      </c>
      <c r="C1268" s="2068"/>
      <c r="D1268" s="2057"/>
      <c r="E1268" s="1581"/>
      <c r="F1268" s="1581">
        <v>0</v>
      </c>
      <c r="G1268" s="1581">
        <f>SUM(G1261:G1267)</f>
        <v>51900</v>
      </c>
      <c r="H1268" s="1581">
        <f>SUM(H1267:H1267)</f>
        <v>0</v>
      </c>
      <c r="I1268" s="1581">
        <f>SUM(I1261:I1267)</f>
        <v>200</v>
      </c>
    </row>
    <row r="1269" spans="1:9" ht="18">
      <c r="A1269" s="2036" t="s">
        <v>191</v>
      </c>
      <c r="B1269" s="1587">
        <f>SUM(B1268:B1268)</f>
        <v>52100</v>
      </c>
      <c r="C1269" s="2066" t="s">
        <v>363</v>
      </c>
      <c r="D1269" s="863"/>
      <c r="E1269" s="864"/>
      <c r="F1269" s="864"/>
      <c r="G1269" s="864"/>
      <c r="H1269" s="864"/>
      <c r="I1269" s="864"/>
    </row>
    <row r="1271" spans="1:9" ht="18">
      <c r="A1271" s="2035">
        <v>12.6</v>
      </c>
      <c r="B1271" s="3566" t="s">
        <v>5517</v>
      </c>
      <c r="C1271" s="3567"/>
      <c r="D1271" s="3567"/>
      <c r="E1271" s="3567"/>
      <c r="F1271" s="3567"/>
      <c r="G1271" s="3567"/>
      <c r="H1271" s="3567"/>
      <c r="I1271" s="3568"/>
    </row>
    <row r="1272" spans="1:9" ht="18">
      <c r="A1272" s="1229"/>
      <c r="B1272" s="1815"/>
      <c r="C1272" s="2059" t="s">
        <v>140</v>
      </c>
      <c r="D1272" s="1229" t="s">
        <v>343</v>
      </c>
      <c r="E1272" s="1581" t="s">
        <v>344</v>
      </c>
      <c r="F1272" s="1814" t="s">
        <v>482</v>
      </c>
      <c r="G1272" s="1814" t="s">
        <v>483</v>
      </c>
      <c r="H1272" s="1814" t="s">
        <v>232</v>
      </c>
      <c r="I1272" s="1814" t="s">
        <v>171</v>
      </c>
    </row>
    <row r="1273" spans="1:9" ht="18">
      <c r="A1273" s="1580"/>
      <c r="B1273" s="2065" t="s">
        <v>5485</v>
      </c>
      <c r="C1273" s="2068">
        <f>1/6</f>
        <v>0.16666666666666666</v>
      </c>
      <c r="D1273" s="1580" t="s">
        <v>346</v>
      </c>
      <c r="E1273" s="1581">
        <v>90000</v>
      </c>
      <c r="F1273" s="1581"/>
      <c r="G1273" s="1581"/>
      <c r="H1273" s="1581">
        <f>+C1273*E1273</f>
        <v>15000</v>
      </c>
      <c r="I1273" s="1581"/>
    </row>
    <row r="1274" spans="1:9" ht="18">
      <c r="A1274" s="1580" t="s">
        <v>347</v>
      </c>
      <c r="B1274" s="2065" t="s">
        <v>5486</v>
      </c>
      <c r="C1274" s="2068">
        <f>1/6</f>
        <v>0.16666666666666666</v>
      </c>
      <c r="D1274" s="1580" t="s">
        <v>346</v>
      </c>
      <c r="E1274" s="1581">
        <f>+AYUDR</f>
        <v>50299.76584</v>
      </c>
      <c r="F1274" s="1581"/>
      <c r="G1274" s="1581"/>
      <c r="H1274" s="1581">
        <f>+C1274*E1274</f>
        <v>8383.2943066666667</v>
      </c>
      <c r="I1274" s="1581"/>
    </row>
    <row r="1275" spans="1:9" ht="18">
      <c r="A1275" s="1580" t="s">
        <v>172</v>
      </c>
      <c r="B1275" s="2075" t="s">
        <v>189</v>
      </c>
      <c r="C1275" s="2068">
        <v>1</v>
      </c>
      <c r="D1275" s="1274" t="s">
        <v>583</v>
      </c>
      <c r="E1275" s="1581">
        <f>+H1276*0.05</f>
        <v>1169.1647153333333</v>
      </c>
      <c r="F1275" s="1581"/>
      <c r="G1275" s="1581"/>
      <c r="H1275" s="1581"/>
      <c r="I1275" s="1581">
        <v>2700.0761287500009</v>
      </c>
    </row>
    <row r="1276" spans="1:9" ht="18">
      <c r="A1276" s="2036" t="s">
        <v>190</v>
      </c>
      <c r="B1276" s="1266">
        <f>SUM(G1276:I1276)</f>
        <v>26083.370435416669</v>
      </c>
      <c r="C1276" s="2059"/>
      <c r="D1276" s="1267"/>
      <c r="E1276" s="1581"/>
      <c r="F1276" s="1814">
        <v>0</v>
      </c>
      <c r="G1276" s="1814" t="s">
        <v>441</v>
      </c>
      <c r="H1276" s="1814">
        <f>SUM(H1273:H1275)</f>
        <v>23383.294306666667</v>
      </c>
      <c r="I1276" s="1814">
        <f>SUM(I1273:I1275)</f>
        <v>2700.0761287500009</v>
      </c>
    </row>
    <row r="1277" spans="1:9" ht="18">
      <c r="A1277" s="2036" t="s">
        <v>191</v>
      </c>
      <c r="B1277" s="1587">
        <f>SUM(B1276:B1276)</f>
        <v>26083.370435416669</v>
      </c>
      <c r="C1277" s="2066" t="s">
        <v>363</v>
      </c>
      <c r="D1277" s="863"/>
      <c r="E1277" s="864"/>
      <c r="F1277" s="864"/>
      <c r="G1277" s="864"/>
      <c r="H1277" s="864"/>
      <c r="I1277" s="864"/>
    </row>
    <row r="1279" spans="1:9" ht="18">
      <c r="A1279" s="2035">
        <v>12.6</v>
      </c>
      <c r="B1279" s="3566" t="s">
        <v>5518</v>
      </c>
      <c r="C1279" s="3567"/>
      <c r="D1279" s="3567"/>
      <c r="E1279" s="3567"/>
      <c r="F1279" s="3567"/>
      <c r="G1279" s="3567"/>
      <c r="H1279" s="3567"/>
      <c r="I1279" s="3568"/>
    </row>
    <row r="1280" spans="1:9" ht="18">
      <c r="A1280" s="1229"/>
      <c r="B1280" s="1815"/>
      <c r="C1280" s="2059" t="s">
        <v>140</v>
      </c>
      <c r="D1280" s="1229" t="s">
        <v>343</v>
      </c>
      <c r="E1280" s="1581" t="s">
        <v>344</v>
      </c>
      <c r="F1280" s="1814" t="s">
        <v>482</v>
      </c>
      <c r="G1280" s="1814" t="s">
        <v>483</v>
      </c>
      <c r="H1280" s="1814" t="s">
        <v>232</v>
      </c>
      <c r="I1280" s="1814" t="s">
        <v>171</v>
      </c>
    </row>
    <row r="1281" spans="1:9" ht="18">
      <c r="A1281" s="1580" t="s">
        <v>441</v>
      </c>
      <c r="B1281" s="2092" t="s">
        <v>5161</v>
      </c>
      <c r="C1281" s="2068">
        <v>1</v>
      </c>
      <c r="D1281" s="1274" t="s">
        <v>363</v>
      </c>
      <c r="E1281" s="1581">
        <v>215000</v>
      </c>
      <c r="F1281" s="1581"/>
      <c r="G1281" s="1581">
        <f>+C1281*E1281</f>
        <v>215000</v>
      </c>
      <c r="H1281" s="1581"/>
      <c r="I1281" s="1581"/>
    </row>
    <row r="1282" spans="1:9" ht="18">
      <c r="A1282" s="1580" t="s">
        <v>584</v>
      </c>
      <c r="B1282" s="184" t="s">
        <v>5519</v>
      </c>
      <c r="C1282" s="2068">
        <v>1</v>
      </c>
      <c r="D1282" s="1580" t="s">
        <v>583</v>
      </c>
      <c r="E1282" s="1581">
        <v>200</v>
      </c>
      <c r="F1282" s="1581"/>
      <c r="G1282" s="1581"/>
      <c r="H1282" s="1581"/>
      <c r="I1282" s="1581">
        <f>+C1282*E1282</f>
        <v>200</v>
      </c>
    </row>
    <row r="1283" spans="1:9" ht="18">
      <c r="A1283" s="2036" t="s">
        <v>190</v>
      </c>
      <c r="B1283" s="1266">
        <f>SUM(G1283:I1283)</f>
        <v>215200</v>
      </c>
      <c r="C1283" s="2059"/>
      <c r="D1283" s="1267"/>
      <c r="E1283" s="1581"/>
      <c r="F1283" s="1814">
        <v>0</v>
      </c>
      <c r="G1283" s="1814">
        <f>SUM(G1281:G1282)</f>
        <v>215000</v>
      </c>
      <c r="H1283" s="1814">
        <f>SUM(H1282:H1282)</f>
        <v>0</v>
      </c>
      <c r="I1283" s="1814">
        <f>SUM(I1281:I1282)</f>
        <v>200</v>
      </c>
    </row>
    <row r="1284" spans="1:9" ht="18">
      <c r="A1284" s="2036" t="s">
        <v>191</v>
      </c>
      <c r="B1284" s="1587">
        <f>SUM(B1283:B1283)</f>
        <v>215200</v>
      </c>
      <c r="C1284" s="2066" t="s">
        <v>363</v>
      </c>
      <c r="D1284" s="863"/>
      <c r="E1284" s="864"/>
      <c r="F1284" s="864"/>
      <c r="G1284" s="864"/>
      <c r="H1284" s="864"/>
      <c r="I1284" s="864"/>
    </row>
    <row r="1286" spans="1:9" ht="18">
      <c r="A1286" s="2035">
        <v>12.7</v>
      </c>
      <c r="B1286" s="3566" t="s">
        <v>5520</v>
      </c>
      <c r="C1286" s="3567"/>
      <c r="D1286" s="3567"/>
      <c r="E1286" s="3567"/>
      <c r="F1286" s="3567"/>
      <c r="G1286" s="3567"/>
      <c r="H1286" s="3567"/>
      <c r="I1286" s="3568"/>
    </row>
    <row r="1287" spans="1:9" ht="18">
      <c r="A1287" s="1229"/>
      <c r="B1287" s="1815"/>
      <c r="C1287" s="2059" t="s">
        <v>140</v>
      </c>
      <c r="D1287" s="1229" t="s">
        <v>343</v>
      </c>
      <c r="E1287" s="1581" t="s">
        <v>344</v>
      </c>
      <c r="F1287" s="1814" t="s">
        <v>482</v>
      </c>
      <c r="G1287" s="1814" t="s">
        <v>483</v>
      </c>
      <c r="H1287" s="1814" t="s">
        <v>232</v>
      </c>
      <c r="I1287" s="1814" t="s">
        <v>171</v>
      </c>
    </row>
    <row r="1288" spans="1:9" ht="18">
      <c r="A1288" s="1580"/>
      <c r="B1288" s="2065" t="s">
        <v>5485</v>
      </c>
      <c r="C1288" s="2068">
        <f>1/6</f>
        <v>0.16666666666666666</v>
      </c>
      <c r="D1288" s="1580" t="s">
        <v>346</v>
      </c>
      <c r="E1288" s="1581">
        <v>90000</v>
      </c>
      <c r="F1288" s="1581"/>
      <c r="G1288" s="1581"/>
      <c r="H1288" s="1581">
        <f>+C1288*E1288</f>
        <v>15000</v>
      </c>
      <c r="I1288" s="1581"/>
    </row>
    <row r="1289" spans="1:9" ht="18">
      <c r="A1289" s="1580" t="s">
        <v>347</v>
      </c>
      <c r="B1289" s="2065" t="s">
        <v>5486</v>
      </c>
      <c r="C1289" s="2068">
        <f>1/6</f>
        <v>0.16666666666666666</v>
      </c>
      <c r="D1289" s="1580" t="s">
        <v>346</v>
      </c>
      <c r="E1289" s="1581">
        <f>+AYUDR</f>
        <v>50299.76584</v>
      </c>
      <c r="F1289" s="1581"/>
      <c r="G1289" s="1581"/>
      <c r="H1289" s="1581">
        <f>+C1289*E1289</f>
        <v>8383.2943066666667</v>
      </c>
      <c r="I1289" s="1581"/>
    </row>
    <row r="1290" spans="1:9" ht="18">
      <c r="A1290" s="1580" t="s">
        <v>172</v>
      </c>
      <c r="B1290" s="2075" t="s">
        <v>189</v>
      </c>
      <c r="C1290" s="2068">
        <v>1</v>
      </c>
      <c r="D1290" s="1274" t="s">
        <v>583</v>
      </c>
      <c r="E1290" s="1581">
        <f>+H1291*0.05</f>
        <v>1169.1647153333333</v>
      </c>
      <c r="F1290" s="1581"/>
      <c r="G1290" s="1581"/>
      <c r="H1290" s="1581"/>
      <c r="I1290" s="1581">
        <v>2700.0761287500009</v>
      </c>
    </row>
    <row r="1291" spans="1:9" ht="18">
      <c r="A1291" s="2036" t="s">
        <v>190</v>
      </c>
      <c r="B1291" s="1266">
        <f>SUM(G1291:I1291)</f>
        <v>26083.370435416669</v>
      </c>
      <c r="C1291" s="2059"/>
      <c r="D1291" s="1267"/>
      <c r="E1291" s="1581"/>
      <c r="F1291" s="1814">
        <v>0</v>
      </c>
      <c r="G1291" s="1814" t="s">
        <v>441</v>
      </c>
      <c r="H1291" s="1814">
        <f>SUM(H1288:H1290)</f>
        <v>23383.294306666667</v>
      </c>
      <c r="I1291" s="1814">
        <f>SUM(I1288:I1290)</f>
        <v>2700.0761287500009</v>
      </c>
    </row>
    <row r="1292" spans="1:9" ht="18">
      <c r="A1292" s="2036" t="s">
        <v>191</v>
      </c>
      <c r="B1292" s="1587">
        <f>SUM(B1291:B1291)</f>
        <v>26083.370435416669</v>
      </c>
      <c r="C1292" s="2066" t="s">
        <v>363</v>
      </c>
      <c r="D1292" s="863"/>
      <c r="E1292" s="864"/>
      <c r="F1292" s="864"/>
      <c r="G1292" s="864"/>
      <c r="H1292" s="864"/>
      <c r="I1292" s="864"/>
    </row>
    <row r="1294" spans="1:9" ht="18">
      <c r="A1294" s="2035">
        <v>12.7</v>
      </c>
      <c r="B1294" s="3566" t="s">
        <v>5165</v>
      </c>
      <c r="C1294" s="3567"/>
      <c r="D1294" s="3567"/>
      <c r="E1294" s="3567"/>
      <c r="F1294" s="3567"/>
      <c r="G1294" s="3567"/>
      <c r="H1294" s="3567"/>
      <c r="I1294" s="3568"/>
    </row>
    <row r="1295" spans="1:9" ht="18">
      <c r="A1295" s="1229"/>
      <c r="B1295" s="1815"/>
      <c r="C1295" s="2059" t="s">
        <v>140</v>
      </c>
      <c r="D1295" s="1229" t="s">
        <v>343</v>
      </c>
      <c r="E1295" s="1581" t="s">
        <v>344</v>
      </c>
      <c r="F1295" s="1814" t="s">
        <v>482</v>
      </c>
      <c r="G1295" s="1814" t="s">
        <v>483</v>
      </c>
      <c r="H1295" s="1814" t="s">
        <v>232</v>
      </c>
      <c r="I1295" s="1814" t="s">
        <v>171</v>
      </c>
    </row>
    <row r="1296" spans="1:9" ht="18">
      <c r="A1296" s="1580" t="s">
        <v>441</v>
      </c>
      <c r="B1296" s="2092" t="s">
        <v>5166</v>
      </c>
      <c r="C1296" s="2068">
        <v>1</v>
      </c>
      <c r="D1296" s="1274" t="s">
        <v>363</v>
      </c>
      <c r="E1296" s="1581">
        <v>70000</v>
      </c>
      <c r="F1296" s="1581"/>
      <c r="G1296" s="1581">
        <f>+C1296*E1296</f>
        <v>70000</v>
      </c>
      <c r="H1296" s="1581"/>
      <c r="I1296" s="1581"/>
    </row>
    <row r="1297" spans="1:9" ht="18">
      <c r="A1297" s="1580" t="s">
        <v>584</v>
      </c>
      <c r="B1297" s="184" t="s">
        <v>5521</v>
      </c>
      <c r="C1297" s="2068">
        <v>1</v>
      </c>
      <c r="D1297" s="1580" t="s">
        <v>583</v>
      </c>
      <c r="E1297" s="1581">
        <v>200</v>
      </c>
      <c r="F1297" s="1581"/>
      <c r="G1297" s="1581"/>
      <c r="H1297" s="1581"/>
      <c r="I1297" s="1581">
        <f>+C1297*E1297</f>
        <v>200</v>
      </c>
    </row>
    <row r="1298" spans="1:9" ht="18">
      <c r="A1298" s="2036" t="s">
        <v>190</v>
      </c>
      <c r="B1298" s="1266">
        <f>SUM(G1298:I1298)</f>
        <v>70200</v>
      </c>
      <c r="C1298" s="2059"/>
      <c r="D1298" s="1267"/>
      <c r="E1298" s="1581"/>
      <c r="F1298" s="1814">
        <v>0</v>
      </c>
      <c r="G1298" s="1814">
        <f>SUM(G1296:G1297)</f>
        <v>70000</v>
      </c>
      <c r="H1298" s="1814">
        <f>SUM(H1297:H1297)</f>
        <v>0</v>
      </c>
      <c r="I1298" s="1814">
        <f>SUM(I1296:I1297)</f>
        <v>200</v>
      </c>
    </row>
    <row r="1299" spans="1:9" ht="18">
      <c r="A1299" s="2036" t="s">
        <v>191</v>
      </c>
      <c r="B1299" s="1587">
        <f>SUM(B1298:B1298)</f>
        <v>70200</v>
      </c>
      <c r="C1299" s="2066" t="s">
        <v>363</v>
      </c>
      <c r="D1299" s="863"/>
      <c r="E1299" s="864"/>
      <c r="F1299" s="864"/>
      <c r="G1299" s="864"/>
      <c r="H1299" s="864"/>
      <c r="I1299" s="864"/>
    </row>
    <row r="1300" spans="1:9" ht="18">
      <c r="A1300" s="504"/>
      <c r="B1300" s="505"/>
      <c r="C1300" s="2077"/>
      <c r="D1300" s="504"/>
      <c r="E1300" s="506"/>
      <c r="F1300" s="506"/>
      <c r="G1300" s="506"/>
      <c r="H1300" s="506"/>
      <c r="I1300" s="506"/>
    </row>
    <row r="1301" spans="1:9" ht="42.75" customHeight="1">
      <c r="A1301" s="2035">
        <v>13.1</v>
      </c>
      <c r="B1301" s="3566" t="s">
        <v>5522</v>
      </c>
      <c r="C1301" s="3567"/>
      <c r="D1301" s="3567"/>
      <c r="E1301" s="3567"/>
      <c r="F1301" s="3567"/>
      <c r="G1301" s="3567"/>
      <c r="H1301" s="3567"/>
      <c r="I1301" s="3568"/>
    </row>
    <row r="1302" spans="1:9" ht="14.25" customHeight="1">
      <c r="A1302" s="1229"/>
      <c r="B1302" s="1815"/>
      <c r="C1302" s="2059" t="s">
        <v>140</v>
      </c>
      <c r="D1302" s="1229" t="s">
        <v>343</v>
      </c>
      <c r="E1302" s="1581" t="s">
        <v>344</v>
      </c>
      <c r="F1302" s="1814" t="s">
        <v>482</v>
      </c>
      <c r="G1302" s="1814" t="s">
        <v>483</v>
      </c>
      <c r="H1302" s="1814" t="s">
        <v>232</v>
      </c>
      <c r="I1302" s="1814" t="s">
        <v>171</v>
      </c>
    </row>
    <row r="1303" spans="1:9" ht="18">
      <c r="A1303" s="1580"/>
      <c r="B1303" s="2065" t="s">
        <v>5485</v>
      </c>
      <c r="C1303" s="2068">
        <f>1/10</f>
        <v>0.1</v>
      </c>
      <c r="D1303" s="1580" t="s">
        <v>346</v>
      </c>
      <c r="E1303" s="1581">
        <v>90000</v>
      </c>
      <c r="F1303" s="1581"/>
      <c r="G1303" s="1581"/>
      <c r="H1303" s="1581">
        <f>+C1303*E1303</f>
        <v>9000</v>
      </c>
      <c r="I1303" s="1581"/>
    </row>
    <row r="1304" spans="1:9" ht="18">
      <c r="A1304" s="1580" t="s">
        <v>347</v>
      </c>
      <c r="B1304" s="2065" t="s">
        <v>5486</v>
      </c>
      <c r="C1304" s="2068">
        <f>1/10</f>
        <v>0.1</v>
      </c>
      <c r="D1304" s="1580" t="s">
        <v>346</v>
      </c>
      <c r="E1304" s="1581">
        <f>+AYUDR</f>
        <v>50299.76584</v>
      </c>
      <c r="F1304" s="1581"/>
      <c r="G1304" s="1581"/>
      <c r="H1304" s="1581">
        <f>+C1304*E1304</f>
        <v>5029.976584</v>
      </c>
      <c r="I1304" s="1581"/>
    </row>
    <row r="1305" spans="1:9" ht="18">
      <c r="A1305" s="1580" t="s">
        <v>172</v>
      </c>
      <c r="B1305" s="2075" t="s">
        <v>189</v>
      </c>
      <c r="C1305" s="2068">
        <v>1</v>
      </c>
      <c r="D1305" s="1274" t="s">
        <v>583</v>
      </c>
      <c r="E1305" s="1581">
        <f>+H1306*0.05</f>
        <v>701.49882920000005</v>
      </c>
      <c r="F1305" s="1581"/>
      <c r="G1305" s="1581"/>
      <c r="H1305" s="1581"/>
      <c r="I1305" s="1581">
        <v>2700.0761287500009</v>
      </c>
    </row>
    <row r="1306" spans="1:9" ht="18">
      <c r="A1306" s="2036" t="s">
        <v>190</v>
      </c>
      <c r="B1306" s="1266">
        <f>SUM(G1306:I1306)</f>
        <v>16730.052712750003</v>
      </c>
      <c r="C1306" s="2059"/>
      <c r="D1306" s="1267"/>
      <c r="E1306" s="1581"/>
      <c r="F1306" s="1814">
        <v>0</v>
      </c>
      <c r="G1306" s="1814" t="s">
        <v>441</v>
      </c>
      <c r="H1306" s="1814">
        <f>SUM(H1303:H1305)</f>
        <v>14029.976584</v>
      </c>
      <c r="I1306" s="1814">
        <f>SUM(I1303:I1305)</f>
        <v>2700.0761287500009</v>
      </c>
    </row>
    <row r="1307" spans="1:9" ht="18">
      <c r="A1307" s="2036" t="s">
        <v>191</v>
      </c>
      <c r="B1307" s="1587">
        <f>SUM(B1306:B1306)</f>
        <v>16730.052712750003</v>
      </c>
      <c r="C1307" s="2066" t="s">
        <v>363</v>
      </c>
      <c r="D1307" s="863"/>
      <c r="E1307" s="864"/>
      <c r="F1307" s="864"/>
      <c r="G1307" s="864"/>
      <c r="H1307" s="864"/>
      <c r="I1307" s="864"/>
    </row>
    <row r="1308" spans="1:9" ht="18">
      <c r="A1308" s="402"/>
    </row>
    <row r="1309" spans="1:9" ht="36" customHeight="1">
      <c r="A1309" s="2035">
        <v>13.1</v>
      </c>
      <c r="B1309" s="3566" t="s">
        <v>5168</v>
      </c>
      <c r="C1309" s="3567"/>
      <c r="D1309" s="3567"/>
      <c r="E1309" s="3567"/>
      <c r="F1309" s="3567"/>
      <c r="G1309" s="3567"/>
      <c r="H1309" s="3567"/>
      <c r="I1309" s="3568"/>
    </row>
    <row r="1310" spans="1:9" ht="18">
      <c r="A1310" s="1229"/>
      <c r="B1310" s="1815"/>
      <c r="C1310" s="2059" t="s">
        <v>140</v>
      </c>
      <c r="D1310" s="1229" t="s">
        <v>343</v>
      </c>
      <c r="E1310" s="1581" t="s">
        <v>344</v>
      </c>
      <c r="F1310" s="1814" t="s">
        <v>482</v>
      </c>
      <c r="G1310" s="1814" t="s">
        <v>483</v>
      </c>
      <c r="H1310" s="1814" t="s">
        <v>232</v>
      </c>
      <c r="I1310" s="1814" t="s">
        <v>171</v>
      </c>
    </row>
    <row r="1311" spans="1:9" ht="18">
      <c r="A1311" s="1580" t="s">
        <v>441</v>
      </c>
      <c r="B1311" s="2092" t="s">
        <v>5169</v>
      </c>
      <c r="C1311" s="2068">
        <v>3</v>
      </c>
      <c r="D1311" s="1274" t="s">
        <v>94</v>
      </c>
      <c r="E1311" s="1581">
        <v>3000</v>
      </c>
      <c r="F1311" s="1581"/>
      <c r="G1311" s="1581">
        <f>+C1311*E1311</f>
        <v>9000</v>
      </c>
      <c r="H1311" s="1581"/>
      <c r="I1311" s="1581"/>
    </row>
    <row r="1312" spans="1:9" ht="18">
      <c r="A1312" s="1580"/>
      <c r="B1312" s="2092" t="s">
        <v>5170</v>
      </c>
      <c r="C1312" s="2068">
        <v>1</v>
      </c>
      <c r="D1312" s="1274" t="s">
        <v>363</v>
      </c>
      <c r="E1312" s="1581">
        <v>3000</v>
      </c>
      <c r="F1312" s="1581"/>
      <c r="G1312" s="1581">
        <f t="shared" ref="G1312" si="83">+C1312*E1312</f>
        <v>3000</v>
      </c>
      <c r="H1312" s="1581"/>
      <c r="I1312" s="1581"/>
    </row>
    <row r="1313" spans="1:9" ht="18">
      <c r="A1313" s="1580" t="s">
        <v>584</v>
      </c>
      <c r="B1313" s="184" t="s">
        <v>5521</v>
      </c>
      <c r="C1313" s="2068">
        <v>1</v>
      </c>
      <c r="D1313" s="1580" t="s">
        <v>583</v>
      </c>
      <c r="E1313" s="1581">
        <v>200</v>
      </c>
      <c r="F1313" s="1581"/>
      <c r="G1313" s="1581"/>
      <c r="H1313" s="1581"/>
      <c r="I1313" s="1581">
        <f>+C1313*E1313</f>
        <v>200</v>
      </c>
    </row>
    <row r="1314" spans="1:9" ht="18">
      <c r="A1314" s="2036" t="s">
        <v>190</v>
      </c>
      <c r="B1314" s="1266">
        <f>SUM(G1314:I1314)</f>
        <v>12200</v>
      </c>
      <c r="C1314" s="2059"/>
      <c r="D1314" s="1267"/>
      <c r="E1314" s="1581"/>
      <c r="F1314" s="1814">
        <v>0</v>
      </c>
      <c r="G1314" s="1814">
        <f>SUM(G1311:G1313)</f>
        <v>12000</v>
      </c>
      <c r="H1314" s="1814">
        <f>SUM(H1313:H1313)</f>
        <v>0</v>
      </c>
      <c r="I1314" s="1814">
        <f>SUM(I1311:I1313)</f>
        <v>200</v>
      </c>
    </row>
    <row r="1315" spans="1:9" ht="18">
      <c r="A1315" s="2036" t="s">
        <v>191</v>
      </c>
      <c r="B1315" s="1587">
        <f>SUM(B1314:B1314)</f>
        <v>12200</v>
      </c>
      <c r="C1315" s="2066" t="s">
        <v>363</v>
      </c>
      <c r="D1315" s="863"/>
      <c r="E1315" s="864"/>
      <c r="F1315" s="864"/>
      <c r="G1315" s="864"/>
      <c r="H1315" s="864"/>
      <c r="I1315" s="864"/>
    </row>
    <row r="1317" spans="1:9" ht="18">
      <c r="A1317" s="2035">
        <v>13.2</v>
      </c>
      <c r="B1317" s="3566" t="s">
        <v>5523</v>
      </c>
      <c r="C1317" s="3567"/>
      <c r="D1317" s="3567"/>
      <c r="E1317" s="3567"/>
      <c r="F1317" s="3567"/>
      <c r="G1317" s="3567"/>
      <c r="H1317" s="3567"/>
      <c r="I1317" s="3568"/>
    </row>
    <row r="1318" spans="1:9" ht="18">
      <c r="A1318" s="1229"/>
      <c r="B1318" s="1815"/>
      <c r="C1318" s="2059" t="s">
        <v>140</v>
      </c>
      <c r="D1318" s="1229" t="s">
        <v>343</v>
      </c>
      <c r="E1318" s="1581" t="s">
        <v>344</v>
      </c>
      <c r="F1318" s="1814" t="s">
        <v>482</v>
      </c>
      <c r="G1318" s="1814" t="s">
        <v>483</v>
      </c>
      <c r="H1318" s="1814" t="s">
        <v>232</v>
      </c>
      <c r="I1318" s="1814" t="s">
        <v>171</v>
      </c>
    </row>
    <row r="1319" spans="1:9" ht="18">
      <c r="A1319" s="1580"/>
      <c r="B1319" s="2065" t="s">
        <v>5485</v>
      </c>
      <c r="C1319" s="2068">
        <v>1</v>
      </c>
      <c r="D1319" s="1580" t="s">
        <v>346</v>
      </c>
      <c r="E1319" s="1581">
        <v>90000</v>
      </c>
      <c r="F1319" s="1581"/>
      <c r="G1319" s="1581"/>
      <c r="H1319" s="1581">
        <f>+C1319*E1319</f>
        <v>90000</v>
      </c>
      <c r="I1319" s="1581"/>
    </row>
    <row r="1320" spans="1:9" ht="18">
      <c r="A1320" s="1580" t="s">
        <v>347</v>
      </c>
      <c r="B1320" s="2065" t="s">
        <v>5486</v>
      </c>
      <c r="C1320" s="2068">
        <v>1</v>
      </c>
      <c r="D1320" s="1580" t="s">
        <v>346</v>
      </c>
      <c r="E1320" s="1581">
        <f>+AYUDR</f>
        <v>50299.76584</v>
      </c>
      <c r="F1320" s="1581"/>
      <c r="G1320" s="1581"/>
      <c r="H1320" s="1581">
        <f>+C1320*E1320</f>
        <v>50299.76584</v>
      </c>
      <c r="I1320" s="1581"/>
    </row>
    <row r="1321" spans="1:9" ht="18">
      <c r="A1321" s="1580" t="s">
        <v>172</v>
      </c>
      <c r="B1321" s="2075" t="s">
        <v>189</v>
      </c>
      <c r="C1321" s="2068">
        <v>1</v>
      </c>
      <c r="D1321" s="1274" t="s">
        <v>583</v>
      </c>
      <c r="E1321" s="1581">
        <f>+H1322*0.05</f>
        <v>7014.9882920000009</v>
      </c>
      <c r="F1321" s="1581"/>
      <c r="G1321" s="1581"/>
      <c r="H1321" s="1581"/>
      <c r="I1321" s="1581">
        <v>2700.0761287500009</v>
      </c>
    </row>
    <row r="1322" spans="1:9" ht="18">
      <c r="A1322" s="2036" t="s">
        <v>190</v>
      </c>
      <c r="B1322" s="1266">
        <f>SUM(G1322:I1322)</f>
        <v>142999.84196875</v>
      </c>
      <c r="C1322" s="2059"/>
      <c r="D1322" s="1267"/>
      <c r="E1322" s="1581"/>
      <c r="F1322" s="1814">
        <v>0</v>
      </c>
      <c r="G1322" s="1814" t="s">
        <v>441</v>
      </c>
      <c r="H1322" s="1814">
        <f>SUM(H1319:H1321)</f>
        <v>140299.76584000001</v>
      </c>
      <c r="I1322" s="1814">
        <f>SUM(I1319:I1321)</f>
        <v>2700.0761287500009</v>
      </c>
    </row>
    <row r="1323" spans="1:9" ht="18">
      <c r="A1323" s="2036" t="s">
        <v>191</v>
      </c>
      <c r="B1323" s="1587">
        <f>SUM(B1322:B1322)</f>
        <v>142999.84196875</v>
      </c>
      <c r="C1323" s="2066" t="s">
        <v>363</v>
      </c>
      <c r="D1323" s="863"/>
      <c r="E1323" s="864"/>
      <c r="F1323" s="864"/>
      <c r="G1323" s="864"/>
      <c r="H1323" s="864"/>
      <c r="I1323" s="864"/>
    </row>
    <row r="1325" spans="1:9" ht="18">
      <c r="A1325" s="2035">
        <v>13.2</v>
      </c>
      <c r="B1325" s="3566" t="s">
        <v>5602</v>
      </c>
      <c r="C1325" s="3567"/>
      <c r="D1325" s="3567"/>
      <c r="E1325" s="3567"/>
      <c r="F1325" s="3567"/>
      <c r="G1325" s="3567"/>
      <c r="H1325" s="3567"/>
      <c r="I1325" s="3568"/>
    </row>
    <row r="1326" spans="1:9" ht="18">
      <c r="A1326" s="1229"/>
      <c r="B1326" s="1815"/>
      <c r="C1326" s="2059" t="s">
        <v>140</v>
      </c>
      <c r="D1326" s="1229" t="s">
        <v>343</v>
      </c>
      <c r="E1326" s="1581" t="s">
        <v>344</v>
      </c>
      <c r="F1326" s="1814" t="s">
        <v>482</v>
      </c>
      <c r="G1326" s="1814" t="s">
        <v>483</v>
      </c>
      <c r="H1326" s="1814" t="s">
        <v>232</v>
      </c>
      <c r="I1326" s="1814" t="s">
        <v>171</v>
      </c>
    </row>
    <row r="1327" spans="1:9" ht="18">
      <c r="A1327" s="1580" t="s">
        <v>441</v>
      </c>
      <c r="B1327" s="2092" t="s">
        <v>5173</v>
      </c>
      <c r="C1327" s="2068">
        <v>1</v>
      </c>
      <c r="D1327" s="1274" t="s">
        <v>363</v>
      </c>
      <c r="E1327" s="1581">
        <v>650000</v>
      </c>
      <c r="F1327" s="1581"/>
      <c r="G1327" s="1581">
        <f>+C1327*E1327</f>
        <v>650000</v>
      </c>
      <c r="H1327" s="1581"/>
      <c r="I1327" s="1581"/>
    </row>
    <row r="1328" spans="1:9" ht="18">
      <c r="A1328" s="1580"/>
      <c r="B1328" s="2092" t="s">
        <v>5174</v>
      </c>
      <c r="C1328" s="2068">
        <v>1</v>
      </c>
      <c r="D1328" s="1274" t="s">
        <v>363</v>
      </c>
      <c r="E1328" s="1581">
        <v>35000</v>
      </c>
      <c r="F1328" s="1581"/>
      <c r="G1328" s="1581">
        <f t="shared" ref="G1328:G1329" si="84">+C1328*E1328</f>
        <v>35000</v>
      </c>
      <c r="H1328" s="1581"/>
      <c r="I1328" s="1581"/>
    </row>
    <row r="1329" spans="1:9" ht="18">
      <c r="A1329" s="1580"/>
      <c r="B1329" s="2092" t="s">
        <v>5175</v>
      </c>
      <c r="C1329" s="2068">
        <v>1</v>
      </c>
      <c r="D1329" s="1274" t="s">
        <v>363</v>
      </c>
      <c r="E1329" s="1581">
        <v>240000</v>
      </c>
      <c r="F1329" s="1581"/>
      <c r="G1329" s="1581">
        <f t="shared" si="84"/>
        <v>240000</v>
      </c>
      <c r="H1329" s="1581"/>
      <c r="I1329" s="1581"/>
    </row>
    <row r="1330" spans="1:9" ht="18">
      <c r="A1330" s="1580" t="s">
        <v>584</v>
      </c>
      <c r="B1330" s="184" t="s">
        <v>5603</v>
      </c>
      <c r="C1330" s="2068">
        <v>1</v>
      </c>
      <c r="D1330" s="1580" t="s">
        <v>583</v>
      </c>
      <c r="E1330" s="1581">
        <v>200</v>
      </c>
      <c r="F1330" s="1581"/>
      <c r="G1330" s="1581"/>
      <c r="H1330" s="1581"/>
      <c r="I1330" s="1581">
        <f>+C1330*E1330</f>
        <v>200</v>
      </c>
    </row>
    <row r="1331" spans="1:9" ht="18">
      <c r="A1331" s="2036" t="s">
        <v>190</v>
      </c>
      <c r="B1331" s="1266">
        <f>SUM(G1331:I1331)</f>
        <v>925200</v>
      </c>
      <c r="C1331" s="2059"/>
      <c r="D1331" s="1267"/>
      <c r="E1331" s="1581"/>
      <c r="F1331" s="1814">
        <v>0</v>
      </c>
      <c r="G1331" s="1814">
        <f>SUM(G1327:G1330)</f>
        <v>925000</v>
      </c>
      <c r="H1331" s="1814">
        <f>SUM(H1330:H1330)</f>
        <v>0</v>
      </c>
      <c r="I1331" s="1814">
        <f>SUM(I1327:I1330)</f>
        <v>200</v>
      </c>
    </row>
    <row r="1332" spans="1:9" ht="18">
      <c r="A1332" s="2036" t="s">
        <v>191</v>
      </c>
      <c r="B1332" s="1587">
        <f>SUM(B1331:B1331)</f>
        <v>925200</v>
      </c>
      <c r="C1332" s="2066" t="s">
        <v>363</v>
      </c>
      <c r="D1332" s="863"/>
      <c r="E1332" s="864"/>
      <c r="F1332" s="864"/>
      <c r="G1332" s="864"/>
      <c r="H1332" s="864"/>
      <c r="I1332" s="864"/>
    </row>
    <row r="1334" spans="1:9" ht="18">
      <c r="A1334" s="2035">
        <v>13.3</v>
      </c>
      <c r="B1334" s="3566" t="s">
        <v>5604</v>
      </c>
      <c r="C1334" s="3567"/>
      <c r="D1334" s="3567"/>
      <c r="E1334" s="3567"/>
      <c r="F1334" s="3567"/>
      <c r="G1334" s="3567"/>
      <c r="H1334" s="3567"/>
      <c r="I1334" s="3568"/>
    </row>
    <row r="1335" spans="1:9" ht="18">
      <c r="A1335" s="1229"/>
      <c r="B1335" s="1815"/>
      <c r="C1335" s="2068" t="s">
        <v>140</v>
      </c>
      <c r="D1335" s="1580" t="s">
        <v>343</v>
      </c>
      <c r="E1335" s="1581" t="s">
        <v>344</v>
      </c>
      <c r="F1335" s="1581" t="s">
        <v>482</v>
      </c>
      <c r="G1335" s="1581" t="s">
        <v>483</v>
      </c>
      <c r="H1335" s="1581" t="s">
        <v>232</v>
      </c>
      <c r="I1335" s="1581" t="s">
        <v>171</v>
      </c>
    </row>
    <row r="1336" spans="1:9" ht="18">
      <c r="A1336" s="1229"/>
      <c r="B1336" s="2075" t="s">
        <v>5600</v>
      </c>
      <c r="C1336" s="2068">
        <v>1</v>
      </c>
      <c r="D1336" s="1580" t="s">
        <v>346</v>
      </c>
      <c r="E1336" s="1581">
        <f>+OFICI</f>
        <v>80479.625344</v>
      </c>
      <c r="F1336" s="1581"/>
      <c r="G1336" s="1581"/>
      <c r="H1336" s="1814">
        <f>+C1336*E1336</f>
        <v>80479.625344</v>
      </c>
      <c r="I1336" s="1581"/>
    </row>
    <row r="1337" spans="1:9" ht="18">
      <c r="A1337" s="1229"/>
      <c r="B1337" s="2093" t="s">
        <v>5605</v>
      </c>
      <c r="C1337" s="2068">
        <v>1</v>
      </c>
      <c r="D1337" s="1580" t="s">
        <v>346</v>
      </c>
      <c r="E1337" s="1581">
        <f>+AYUDR</f>
        <v>50299.76584</v>
      </c>
      <c r="F1337" s="1814"/>
      <c r="G1337" s="1814"/>
      <c r="H1337" s="1814">
        <f>+C1337*E1337</f>
        <v>50299.76584</v>
      </c>
      <c r="I1337" s="1814"/>
    </row>
    <row r="1338" spans="1:9" ht="18">
      <c r="A1338" s="1580"/>
      <c r="B1338" s="2075" t="s">
        <v>189</v>
      </c>
      <c r="C1338" s="2068">
        <v>1</v>
      </c>
      <c r="D1338" s="1274" t="s">
        <v>583</v>
      </c>
      <c r="E1338" s="1581">
        <f>0.05*H1339</f>
        <v>6538.9695592000007</v>
      </c>
      <c r="F1338" s="1581"/>
      <c r="G1338" s="1581" t="s">
        <v>441</v>
      </c>
      <c r="H1338" s="1581"/>
      <c r="I1338" s="1581">
        <f>+E1338*C1338</f>
        <v>6538.9695592000007</v>
      </c>
    </row>
    <row r="1339" spans="1:9" ht="18">
      <c r="A1339" s="2036" t="s">
        <v>190</v>
      </c>
      <c r="B1339" s="1266">
        <f>SUM(F1339:I1339)</f>
        <v>137318.3607432</v>
      </c>
      <c r="C1339" s="2068"/>
      <c r="D1339" s="2057"/>
      <c r="E1339" s="1581"/>
      <c r="F1339" s="1581">
        <f>SUM(F1336:F1338)</f>
        <v>0</v>
      </c>
      <c r="G1339" s="1581">
        <f>SUM(G1336:G1338)</f>
        <v>0</v>
      </c>
      <c r="H1339" s="1581">
        <f>SUM(H1336:H1338)</f>
        <v>130779.39118400001</v>
      </c>
      <c r="I1339" s="1581">
        <f>SUM(I1336:I1338)</f>
        <v>6538.9695592000007</v>
      </c>
    </row>
    <row r="1340" spans="1:9" ht="18">
      <c r="A1340" s="2036" t="s">
        <v>191</v>
      </c>
      <c r="B1340" s="1587">
        <f>SUM(B1339:B1339)</f>
        <v>137318.3607432</v>
      </c>
      <c r="C1340" s="2068" t="s">
        <v>363</v>
      </c>
      <c r="D1340" s="863"/>
      <c r="E1340" s="864"/>
      <c r="F1340" s="864"/>
      <c r="G1340" s="864"/>
      <c r="H1340" s="864"/>
      <c r="I1340" s="864"/>
    </row>
    <row r="1342" spans="1:9" ht="18">
      <c r="A1342" s="2035">
        <v>13.3</v>
      </c>
      <c r="B1342" s="3569" t="s">
        <v>5263</v>
      </c>
      <c r="C1342" s="3569"/>
      <c r="D1342" s="3569"/>
      <c r="E1342" s="3569"/>
      <c r="F1342" s="3569"/>
      <c r="G1342" s="3569"/>
      <c r="H1342" s="3569"/>
      <c r="I1342" s="3569"/>
    </row>
    <row r="1343" spans="1:9" ht="18">
      <c r="A1343" s="1229"/>
      <c r="B1343" s="1815"/>
      <c r="C1343" s="2068" t="s">
        <v>140</v>
      </c>
      <c r="D1343" s="1580" t="s">
        <v>343</v>
      </c>
      <c r="E1343" s="1581" t="s">
        <v>344</v>
      </c>
      <c r="F1343" s="1581" t="s">
        <v>482</v>
      </c>
      <c r="G1343" s="1581" t="s">
        <v>483</v>
      </c>
      <c r="H1343" s="1581" t="s">
        <v>232</v>
      </c>
      <c r="I1343" s="1581" t="s">
        <v>171</v>
      </c>
    </row>
    <row r="1344" spans="1:9" ht="18">
      <c r="A1344" s="2069"/>
      <c r="B1344" s="1815" t="s">
        <v>5179</v>
      </c>
      <c r="C1344" s="2068">
        <v>1</v>
      </c>
      <c r="D1344" s="1580" t="s">
        <v>363</v>
      </c>
      <c r="E1344" s="1581">
        <v>130000</v>
      </c>
      <c r="F1344" s="1581"/>
      <c r="G1344" s="1581">
        <f t="shared" ref="G1344" si="85">+C1344*E1344</f>
        <v>130000</v>
      </c>
      <c r="H1344" s="1581"/>
      <c r="I1344" s="1581"/>
    </row>
    <row r="1345" spans="1:9" ht="18">
      <c r="A1345" s="1580"/>
      <c r="B1345" s="184" t="s">
        <v>5394</v>
      </c>
      <c r="C1345" s="2094">
        <v>1</v>
      </c>
      <c r="D1345" s="1580" t="s">
        <v>583</v>
      </c>
      <c r="E1345" s="1581">
        <v>15000</v>
      </c>
      <c r="F1345" s="1581"/>
      <c r="G1345" s="1581" t="s">
        <v>441</v>
      </c>
      <c r="H1345" s="1581"/>
      <c r="I1345" s="1581">
        <f>+E1345*C1345</f>
        <v>15000</v>
      </c>
    </row>
    <row r="1346" spans="1:9" ht="18">
      <c r="A1346" s="2036" t="s">
        <v>190</v>
      </c>
      <c r="B1346" s="1266">
        <f>SUM(F1346:I1346)</f>
        <v>145000</v>
      </c>
      <c r="C1346" s="2068"/>
      <c r="D1346" s="2057"/>
      <c r="E1346" s="1581"/>
      <c r="F1346" s="1581">
        <f>SUM(F1344:F1345)</f>
        <v>0</v>
      </c>
      <c r="G1346" s="1581">
        <f>SUM(G1344:G1345)</f>
        <v>130000</v>
      </c>
      <c r="H1346" s="1581">
        <f>SUM(H1344:H1345)</f>
        <v>0</v>
      </c>
      <c r="I1346" s="1581">
        <f>SUM(I1344:I1345)</f>
        <v>15000</v>
      </c>
    </row>
    <row r="1347" spans="1:9" ht="18">
      <c r="A1347" s="2036" t="s">
        <v>191</v>
      </c>
      <c r="B1347" s="1587">
        <f>SUM(B1346:B1346)</f>
        <v>145000</v>
      </c>
      <c r="C1347" s="2068" t="s">
        <v>363</v>
      </c>
      <c r="D1347" s="863"/>
      <c r="E1347" s="864"/>
      <c r="F1347" s="864"/>
      <c r="G1347" s="864"/>
      <c r="H1347" s="864"/>
      <c r="I1347" s="864"/>
    </row>
    <row r="1349" spans="1:9" ht="70.5" customHeight="1">
      <c r="A1349" s="2058">
        <v>14.1</v>
      </c>
      <c r="B1349" s="3566" t="s">
        <v>5609</v>
      </c>
      <c r="C1349" s="3567"/>
      <c r="D1349" s="3567"/>
      <c r="E1349" s="3567"/>
      <c r="F1349" s="3567"/>
      <c r="G1349" s="3567"/>
      <c r="H1349" s="3567"/>
      <c r="I1349" s="3568"/>
    </row>
    <row r="1350" spans="1:9" ht="18">
      <c r="A1350" s="1229"/>
      <c r="B1350" s="1815"/>
      <c r="C1350" s="2059" t="s">
        <v>140</v>
      </c>
      <c r="D1350" s="1229" t="s">
        <v>343</v>
      </c>
      <c r="E1350" s="1581" t="s">
        <v>344</v>
      </c>
      <c r="F1350" s="1814" t="s">
        <v>482</v>
      </c>
      <c r="G1350" s="1814" t="s">
        <v>483</v>
      </c>
      <c r="H1350" s="1814" t="s">
        <v>232</v>
      </c>
      <c r="I1350" s="1814" t="s">
        <v>171</v>
      </c>
    </row>
    <row r="1351" spans="1:9" ht="18">
      <c r="A1351" s="1580"/>
      <c r="B1351" s="2065" t="s">
        <v>5610</v>
      </c>
      <c r="C1351" s="2068">
        <f>1/0.2</f>
        <v>5</v>
      </c>
      <c r="D1351" s="1580" t="s">
        <v>346</v>
      </c>
      <c r="E1351" s="1581">
        <f>90000*3</f>
        <v>270000</v>
      </c>
      <c r="F1351" s="1581"/>
      <c r="G1351" s="1581"/>
      <c r="H1351" s="1581">
        <f>+C1351*E1351</f>
        <v>1350000</v>
      </c>
      <c r="I1351" s="1581"/>
    </row>
    <row r="1352" spans="1:9" ht="18">
      <c r="A1352" s="1580" t="s">
        <v>347</v>
      </c>
      <c r="B1352" s="2065" t="s">
        <v>5486</v>
      </c>
      <c r="C1352" s="2068">
        <f>1/0.2</f>
        <v>5</v>
      </c>
      <c r="D1352" s="1580" t="s">
        <v>346</v>
      </c>
      <c r="E1352" s="1581">
        <f>+AYUDR</f>
        <v>50299.76584</v>
      </c>
      <c r="F1352" s="1581"/>
      <c r="G1352" s="1581"/>
      <c r="H1352" s="1581">
        <f>+C1352*E1352</f>
        <v>251498.82920000001</v>
      </c>
      <c r="I1352" s="1581"/>
    </row>
    <row r="1353" spans="1:9" ht="18">
      <c r="A1353" s="1580" t="s">
        <v>172</v>
      </c>
      <c r="B1353" s="2075" t="s">
        <v>189</v>
      </c>
      <c r="C1353" s="2068">
        <v>1</v>
      </c>
      <c r="D1353" s="1274" t="s">
        <v>583</v>
      </c>
      <c r="E1353" s="1581">
        <f>+H1354*0.05</f>
        <v>80074.941460000002</v>
      </c>
      <c r="F1353" s="1581"/>
      <c r="G1353" s="1581"/>
      <c r="H1353" s="1581"/>
      <c r="I1353" s="1581">
        <v>2700.0761287500009</v>
      </c>
    </row>
    <row r="1354" spans="1:9" ht="18">
      <c r="A1354" s="2036" t="s">
        <v>190</v>
      </c>
      <c r="B1354" s="1266">
        <f>SUM(G1354:I1354)</f>
        <v>1604198.9053287501</v>
      </c>
      <c r="C1354" s="2059"/>
      <c r="D1354" s="1267"/>
      <c r="E1354" s="1581"/>
      <c r="F1354" s="1814">
        <v>0</v>
      </c>
      <c r="G1354" s="1814" t="s">
        <v>441</v>
      </c>
      <c r="H1354" s="1814">
        <f>SUM(H1351:H1353)</f>
        <v>1601498.8292</v>
      </c>
      <c r="I1354" s="1814">
        <f>SUM(I1351:I1353)</f>
        <v>2700.0761287500009</v>
      </c>
    </row>
    <row r="1355" spans="1:9" ht="18">
      <c r="A1355" s="2036" t="s">
        <v>191</v>
      </c>
      <c r="B1355" s="1587">
        <f>SUM(B1354:B1354)</f>
        <v>1604198.9053287501</v>
      </c>
      <c r="C1355" s="2066" t="s">
        <v>363</v>
      </c>
      <c r="D1355" s="863"/>
      <c r="E1355" s="864"/>
      <c r="F1355" s="864"/>
      <c r="G1355" s="864"/>
      <c r="H1355" s="864"/>
      <c r="I1355" s="864"/>
    </row>
    <row r="1357" spans="1:9" ht="67.5" customHeight="1">
      <c r="A1357" s="2058">
        <v>14.1</v>
      </c>
      <c r="B1357" s="3569" t="s">
        <v>5264</v>
      </c>
      <c r="C1357" s="3569"/>
      <c r="D1357" s="3569"/>
      <c r="E1357" s="3569"/>
      <c r="F1357" s="3569"/>
      <c r="G1357" s="3569"/>
      <c r="H1357" s="3569"/>
      <c r="I1357" s="3569"/>
    </row>
    <row r="1358" spans="1:9" ht="18">
      <c r="A1358" s="1229"/>
      <c r="B1358" s="1815"/>
      <c r="C1358" s="2068" t="s">
        <v>140</v>
      </c>
      <c r="D1358" s="1580" t="s">
        <v>343</v>
      </c>
      <c r="E1358" s="1581" t="s">
        <v>344</v>
      </c>
      <c r="F1358" s="1581" t="s">
        <v>482</v>
      </c>
      <c r="G1358" s="1581" t="s">
        <v>483</v>
      </c>
      <c r="H1358" s="1581" t="s">
        <v>232</v>
      </c>
      <c r="I1358" s="1581" t="s">
        <v>171</v>
      </c>
    </row>
    <row r="1359" spans="1:9" ht="18">
      <c r="A1359" s="2069"/>
      <c r="B1359" s="1815" t="s">
        <v>5611</v>
      </c>
      <c r="C1359" s="2068">
        <v>2</v>
      </c>
      <c r="D1359" s="1580" t="s">
        <v>363</v>
      </c>
      <c r="E1359" s="1581">
        <v>1250000</v>
      </c>
      <c r="F1359" s="1581"/>
      <c r="G1359" s="1581">
        <f>+E1359*C1359</f>
        <v>2500000</v>
      </c>
      <c r="H1359" s="1581"/>
      <c r="I1359" s="1581"/>
    </row>
    <row r="1360" spans="1:9" ht="69" customHeight="1">
      <c r="A1360" s="2069"/>
      <c r="B1360" s="2095" t="s">
        <v>5614</v>
      </c>
      <c r="C1360" s="2096">
        <v>2</v>
      </c>
      <c r="D1360" s="2678" t="s">
        <v>363</v>
      </c>
      <c r="E1360" s="1804">
        <v>8450000</v>
      </c>
      <c r="F1360" s="1581"/>
      <c r="G1360" s="1804">
        <f t="shared" ref="G1360:G1362" si="86">+E1360*C1360</f>
        <v>16900000</v>
      </c>
      <c r="H1360" s="1581"/>
      <c r="I1360" s="1581"/>
    </row>
    <row r="1361" spans="1:9" ht="18">
      <c r="A1361" s="2069"/>
      <c r="B1361" s="1815" t="s">
        <v>5612</v>
      </c>
      <c r="C1361" s="2068">
        <v>2</v>
      </c>
      <c r="D1361" s="1580" t="s">
        <v>363</v>
      </c>
      <c r="E1361" s="1581">
        <v>2100000</v>
      </c>
      <c r="F1361" s="1581"/>
      <c r="G1361" s="1581">
        <f t="shared" si="86"/>
        <v>4200000</v>
      </c>
      <c r="H1361" s="1581"/>
      <c r="I1361" s="1581"/>
    </row>
    <row r="1362" spans="1:9" ht="18">
      <c r="A1362" s="2069"/>
      <c r="B1362" s="1815" t="s">
        <v>5613</v>
      </c>
      <c r="C1362" s="2068">
        <v>2</v>
      </c>
      <c r="D1362" s="1580" t="s">
        <v>363</v>
      </c>
      <c r="E1362" s="1581">
        <v>350000</v>
      </c>
      <c r="F1362" s="1581"/>
      <c r="G1362" s="1581">
        <f t="shared" si="86"/>
        <v>700000</v>
      </c>
      <c r="H1362" s="1581"/>
      <c r="I1362" s="1581"/>
    </row>
    <row r="1363" spans="1:9" ht="18">
      <c r="A1363" s="1580"/>
      <c r="B1363" s="184" t="s">
        <v>5394</v>
      </c>
      <c r="C1363" s="2094">
        <v>1</v>
      </c>
      <c r="D1363" s="1580" t="s">
        <v>583</v>
      </c>
      <c r="E1363" s="1581">
        <v>120000</v>
      </c>
      <c r="F1363" s="1581"/>
      <c r="G1363" s="1581" t="s">
        <v>441</v>
      </c>
      <c r="H1363" s="1581"/>
      <c r="I1363" s="1581">
        <f>+E1363*C1363</f>
        <v>120000</v>
      </c>
    </row>
    <row r="1364" spans="1:9" ht="18">
      <c r="A1364" s="2036" t="s">
        <v>190</v>
      </c>
      <c r="B1364" s="1266">
        <f>SUM(F1364:I1364)</f>
        <v>24420000</v>
      </c>
      <c r="C1364" s="2068"/>
      <c r="D1364" s="2057"/>
      <c r="E1364" s="1581"/>
      <c r="F1364" s="1581">
        <f t="shared" ref="F1364:I1364" si="87">SUM(F1359:F1363)</f>
        <v>0</v>
      </c>
      <c r="G1364" s="1581">
        <f>SUM(G1359:G1363)</f>
        <v>24300000</v>
      </c>
      <c r="H1364" s="1581">
        <f t="shared" si="87"/>
        <v>0</v>
      </c>
      <c r="I1364" s="1581">
        <f t="shared" si="87"/>
        <v>120000</v>
      </c>
    </row>
    <row r="1365" spans="1:9" ht="18">
      <c r="A1365" s="2036" t="s">
        <v>191</v>
      </c>
      <c r="B1365" s="1587">
        <f>SUM(B1364:B1364)</f>
        <v>24420000</v>
      </c>
      <c r="C1365" s="2068" t="s">
        <v>363</v>
      </c>
      <c r="D1365" s="863"/>
      <c r="E1365" s="864"/>
      <c r="F1365" s="864"/>
      <c r="G1365" s="864"/>
      <c r="H1365" s="864"/>
      <c r="I1365" s="864"/>
    </row>
    <row r="1367" spans="1:9" ht="18">
      <c r="A1367" s="2035">
        <v>15.1</v>
      </c>
      <c r="B1367" s="3566" t="s">
        <v>5606</v>
      </c>
      <c r="C1367" s="3567"/>
      <c r="D1367" s="3567"/>
      <c r="E1367" s="3567"/>
      <c r="F1367" s="3567"/>
      <c r="G1367" s="3567"/>
      <c r="H1367" s="3567"/>
      <c r="I1367" s="3568"/>
    </row>
    <row r="1368" spans="1:9" ht="18">
      <c r="A1368" s="1229"/>
      <c r="B1368" s="1815"/>
      <c r="C1368" s="2059" t="s">
        <v>140</v>
      </c>
      <c r="D1368" s="1229" t="s">
        <v>343</v>
      </c>
      <c r="E1368" s="1581" t="s">
        <v>344</v>
      </c>
      <c r="F1368" s="1814" t="s">
        <v>482</v>
      </c>
      <c r="G1368" s="1814" t="s">
        <v>483</v>
      </c>
      <c r="H1368" s="1814" t="s">
        <v>232</v>
      </c>
      <c r="I1368" s="1814" t="s">
        <v>171</v>
      </c>
    </row>
    <row r="1369" spans="1:9" ht="18">
      <c r="A1369" s="2070"/>
      <c r="B1369" s="2074" t="s">
        <v>5184</v>
      </c>
      <c r="C1369" s="2068">
        <v>1</v>
      </c>
      <c r="D1369" s="1274" t="s">
        <v>772</v>
      </c>
      <c r="E1369" s="1581">
        <v>130000</v>
      </c>
      <c r="F1369" s="1581"/>
      <c r="G1369" s="1581"/>
      <c r="H1369" s="1814"/>
      <c r="I1369" s="1814">
        <f>+E1369*C1369</f>
        <v>130000</v>
      </c>
    </row>
    <row r="1370" spans="1:9" ht="18">
      <c r="A1370" s="2070"/>
      <c r="B1370" s="2074" t="s">
        <v>5185</v>
      </c>
      <c r="C1370" s="2068">
        <v>1</v>
      </c>
      <c r="D1370" s="1274" t="s">
        <v>772</v>
      </c>
      <c r="E1370" s="1581">
        <v>320000</v>
      </c>
      <c r="F1370" s="1581"/>
      <c r="G1370" s="1581"/>
      <c r="H1370" s="1814"/>
      <c r="I1370" s="1814">
        <f t="shared" ref="I1370:I1371" si="88">+E1370*C1370</f>
        <v>320000</v>
      </c>
    </row>
    <row r="1371" spans="1:9" ht="18">
      <c r="A1371" s="2070"/>
      <c r="B1371" s="2075" t="s">
        <v>5186</v>
      </c>
      <c r="C1371" s="2068">
        <v>1</v>
      </c>
      <c r="D1371" s="1274" t="s">
        <v>772</v>
      </c>
      <c r="E1371" s="1581">
        <v>360000</v>
      </c>
      <c r="F1371" s="1581"/>
      <c r="G1371" s="1581"/>
      <c r="H1371" s="1814"/>
      <c r="I1371" s="1814">
        <f t="shared" si="88"/>
        <v>360000</v>
      </c>
    </row>
    <row r="1372" spans="1:9" ht="18">
      <c r="A1372" s="2072"/>
      <c r="B1372" s="2064" t="s">
        <v>5187</v>
      </c>
      <c r="C1372" s="2068">
        <f>1/0.08</f>
        <v>12.5</v>
      </c>
      <c r="D1372" s="1274" t="s">
        <v>346</v>
      </c>
      <c r="E1372" s="1581">
        <v>160000</v>
      </c>
      <c r="F1372" s="1581"/>
      <c r="G1372" s="1581"/>
      <c r="H1372" s="1814">
        <f>+C1372*E1372</f>
        <v>2000000</v>
      </c>
      <c r="I1372" s="1814"/>
    </row>
    <row r="1373" spans="1:9" ht="18">
      <c r="A1373" s="2072"/>
      <c r="B1373" s="2064" t="s">
        <v>5188</v>
      </c>
      <c r="C1373" s="2068">
        <f>1/0.04</f>
        <v>25</v>
      </c>
      <c r="D1373" s="1274" t="s">
        <v>346</v>
      </c>
      <c r="E1373" s="1581">
        <v>160000</v>
      </c>
      <c r="F1373" s="1581"/>
      <c r="G1373" s="1581"/>
      <c r="H1373" s="1814">
        <f>+C1373*E1373</f>
        <v>4000000</v>
      </c>
      <c r="I1373" s="1814"/>
    </row>
    <row r="1374" spans="1:9" ht="18">
      <c r="A1374" s="2036" t="s">
        <v>190</v>
      </c>
      <c r="B1374" s="1266">
        <f>SUM(F1374:I1374)</f>
        <v>6810000</v>
      </c>
      <c r="C1374" s="2059"/>
      <c r="D1374" s="1267"/>
      <c r="E1374" s="1814"/>
      <c r="F1374" s="1814">
        <f>SUM(F1369:F1373)</f>
        <v>0</v>
      </c>
      <c r="G1374" s="1814">
        <f>SUM(G1369:G1373)</f>
        <v>0</v>
      </c>
      <c r="H1374" s="1814">
        <f>SUM(H1369:H1373)</f>
        <v>6000000</v>
      </c>
      <c r="I1374" s="1814">
        <f>SUM(I1369:I1373)</f>
        <v>810000</v>
      </c>
    </row>
    <row r="1375" spans="1:9" ht="18">
      <c r="A1375" s="2036" t="s">
        <v>191</v>
      </c>
      <c r="B1375" s="1587">
        <f>SUM(B1374:B1374)</f>
        <v>6810000</v>
      </c>
      <c r="C1375" s="2066" t="s">
        <v>772</v>
      </c>
      <c r="D1375" s="863"/>
      <c r="E1375" s="864"/>
      <c r="F1375" s="864"/>
      <c r="G1375" s="864"/>
      <c r="H1375" s="864"/>
      <c r="I1375" s="864"/>
    </row>
    <row r="1377" spans="1:9" ht="57" customHeight="1">
      <c r="A1377" s="2035" t="s">
        <v>441</v>
      </c>
      <c r="B1377" s="3566" t="s">
        <v>6241</v>
      </c>
      <c r="C1377" s="3567"/>
      <c r="D1377" s="3567"/>
      <c r="E1377" s="3567"/>
      <c r="F1377" s="3567"/>
      <c r="G1377" s="3567"/>
      <c r="H1377" s="3567"/>
      <c r="I1377" s="3568"/>
    </row>
    <row r="1378" spans="1:9" ht="18">
      <c r="A1378" s="1229" t="s">
        <v>1520</v>
      </c>
      <c r="B1378" s="1815" t="s">
        <v>1521</v>
      </c>
      <c r="C1378" s="2068" t="s">
        <v>140</v>
      </c>
      <c r="D1378" s="1580" t="s">
        <v>343</v>
      </c>
      <c r="E1378" s="1581" t="s">
        <v>344</v>
      </c>
      <c r="F1378" s="1581" t="s">
        <v>482</v>
      </c>
      <c r="G1378" s="1581" t="s">
        <v>483</v>
      </c>
      <c r="H1378" s="1581" t="s">
        <v>232</v>
      </c>
      <c r="I1378" s="1581" t="s">
        <v>171</v>
      </c>
    </row>
    <row r="1379" spans="1:9" ht="36">
      <c r="A1379" s="1229" t="s">
        <v>3627</v>
      </c>
      <c r="B1379" s="406" t="s">
        <v>1818</v>
      </c>
      <c r="C1379" s="2059">
        <v>5</v>
      </c>
      <c r="D1379" s="1229" t="s">
        <v>346</v>
      </c>
      <c r="E1379" s="1581">
        <v>150000</v>
      </c>
      <c r="F1379" s="1814"/>
      <c r="G1379" s="1814"/>
      <c r="H1379" s="1814">
        <f>+C1379*E1379</f>
        <v>750000</v>
      </c>
      <c r="I1379" s="1814"/>
    </row>
    <row r="1380" spans="1:9" ht="18">
      <c r="A1380" s="1580" t="s">
        <v>172</v>
      </c>
      <c r="B1380" s="2075" t="s">
        <v>189</v>
      </c>
      <c r="C1380" s="2068">
        <v>1</v>
      </c>
      <c r="D1380" s="1274" t="s">
        <v>583</v>
      </c>
      <c r="E1380" s="1581">
        <f>+H1379*0.05</f>
        <v>37500</v>
      </c>
      <c r="F1380" s="1581"/>
      <c r="G1380" s="1581" t="s">
        <v>441</v>
      </c>
      <c r="H1380" s="1581"/>
      <c r="I1380" s="1581">
        <f>+E1380*C1380</f>
        <v>37500</v>
      </c>
    </row>
    <row r="1381" spans="1:9" ht="18">
      <c r="A1381" s="2036" t="s">
        <v>190</v>
      </c>
      <c r="B1381" s="1266">
        <f>SUM(G1381:I1381)</f>
        <v>787500</v>
      </c>
      <c r="C1381" s="2068"/>
      <c r="D1381" s="2057"/>
      <c r="E1381" s="1581"/>
      <c r="F1381" s="1581">
        <v>0</v>
      </c>
      <c r="G1381" s="1581">
        <f>SUM(G1379:G1380)</f>
        <v>0</v>
      </c>
      <c r="H1381" s="1581">
        <f>SUM(H1379:H1380)</f>
        <v>750000</v>
      </c>
      <c r="I1381" s="1581">
        <f>SUM(I1380:I1380)</f>
        <v>37500</v>
      </c>
    </row>
    <row r="1382" spans="1:9" ht="18">
      <c r="A1382" s="2036" t="s">
        <v>191</v>
      </c>
      <c r="B1382" s="1587">
        <f>SUM(B1381:B1381)</f>
        <v>787500</v>
      </c>
      <c r="C1382" s="2068" t="s">
        <v>363</v>
      </c>
      <c r="D1382" s="863"/>
      <c r="E1382" s="864"/>
      <c r="F1382" s="864"/>
      <c r="G1382" s="864"/>
      <c r="H1382" s="864"/>
      <c r="I1382" s="864"/>
    </row>
    <row r="1383" spans="1:9" ht="18">
      <c r="A1383" s="2678"/>
      <c r="B1383" s="1715"/>
      <c r="C1383" s="2067"/>
      <c r="D1383" s="863"/>
      <c r="E1383" s="864"/>
      <c r="F1383" s="864"/>
      <c r="G1383" s="864"/>
      <c r="H1383" s="864"/>
      <c r="I1383" s="864"/>
    </row>
    <row r="1384" spans="1:9" ht="59.25" customHeight="1">
      <c r="A1384" s="2035" t="s">
        <v>441</v>
      </c>
      <c r="B1384" s="3566" t="s">
        <v>6239</v>
      </c>
      <c r="C1384" s="3567"/>
      <c r="D1384" s="3567"/>
      <c r="E1384" s="3567"/>
      <c r="F1384" s="3567"/>
      <c r="G1384" s="3567"/>
      <c r="H1384" s="3567"/>
      <c r="I1384" s="3568"/>
    </row>
    <row r="1385" spans="1:9" ht="18">
      <c r="A1385" s="1229" t="s">
        <v>1520</v>
      </c>
      <c r="B1385" s="1815" t="s">
        <v>1521</v>
      </c>
      <c r="C1385" s="2068" t="s">
        <v>140</v>
      </c>
      <c r="D1385" s="1580" t="s">
        <v>343</v>
      </c>
      <c r="E1385" s="1581" t="s">
        <v>344</v>
      </c>
      <c r="F1385" s="1581" t="s">
        <v>482</v>
      </c>
      <c r="G1385" s="1581" t="s">
        <v>483</v>
      </c>
      <c r="H1385" s="1581" t="s">
        <v>232</v>
      </c>
      <c r="I1385" s="1581" t="s">
        <v>171</v>
      </c>
    </row>
    <row r="1386" spans="1:9" ht="110.4">
      <c r="A1386" s="2070" t="s">
        <v>1953</v>
      </c>
      <c r="B1386" s="2071" t="s">
        <v>6240</v>
      </c>
      <c r="C1386" s="2068">
        <v>1</v>
      </c>
      <c r="D1386" s="1274" t="s">
        <v>363</v>
      </c>
      <c r="E1386" s="1581">
        <f>35524150*1.19</f>
        <v>42273738.5</v>
      </c>
      <c r="F1386" s="1581"/>
      <c r="G1386" s="1581">
        <f>+C1386*E1386</f>
        <v>42273738.5</v>
      </c>
      <c r="H1386" s="406"/>
      <c r="I1386" s="406"/>
    </row>
    <row r="1387" spans="1:9" ht="18">
      <c r="A1387" s="2097" t="s">
        <v>3671</v>
      </c>
      <c r="B1387" s="406" t="s">
        <v>1844</v>
      </c>
      <c r="C1387" s="2068">
        <v>8</v>
      </c>
      <c r="D1387" s="1274" t="s">
        <v>363</v>
      </c>
      <c r="E1387" s="1581">
        <f>VLOOKUP(B1387,MATERIALES!B:C,2,0)</f>
        <v>85000</v>
      </c>
      <c r="F1387" s="1581"/>
      <c r="G1387" s="1581">
        <f>+C1387*E1387</f>
        <v>680000</v>
      </c>
      <c r="H1387" s="406"/>
      <c r="I1387" s="406"/>
    </row>
    <row r="1388" spans="1:9" ht="18">
      <c r="A1388" s="1580" t="s">
        <v>584</v>
      </c>
      <c r="B1388" s="184" t="s">
        <v>2236</v>
      </c>
      <c r="C1388" s="2068">
        <v>1</v>
      </c>
      <c r="D1388" s="1580" t="s">
        <v>583</v>
      </c>
      <c r="E1388" s="1581">
        <f>VLOOKUP(B1388,MATERIALES!B:C,2,0)</f>
        <v>750000</v>
      </c>
      <c r="F1388" s="1581"/>
      <c r="G1388" s="1581" t="s">
        <v>441</v>
      </c>
      <c r="H1388" s="1581"/>
      <c r="I1388" s="1581">
        <f>+E1388*C1388</f>
        <v>750000</v>
      </c>
    </row>
    <row r="1389" spans="1:9" ht="18">
      <c r="A1389" s="2036" t="s">
        <v>190</v>
      </c>
      <c r="B1389" s="1266">
        <f>SUM(G1389:I1389)</f>
        <v>43703738.5</v>
      </c>
      <c r="C1389" s="2068"/>
      <c r="D1389" s="2057"/>
      <c r="E1389" s="1581"/>
      <c r="F1389" s="1581">
        <v>0</v>
      </c>
      <c r="G1389" s="1581">
        <f>SUM(G1386:G1388)</f>
        <v>42953738.5</v>
      </c>
      <c r="H1389" s="1581">
        <f>SUM(H1388:H1388)</f>
        <v>0</v>
      </c>
      <c r="I1389" s="1581">
        <f>SUM(I1388:I1388)</f>
        <v>750000</v>
      </c>
    </row>
    <row r="1390" spans="1:9" ht="18">
      <c r="A1390" s="2036" t="s">
        <v>191</v>
      </c>
      <c r="B1390" s="1587">
        <f>SUM(B1389:B1389)</f>
        <v>43703738.5</v>
      </c>
      <c r="C1390" s="2068" t="s">
        <v>363</v>
      </c>
      <c r="D1390" s="863"/>
      <c r="E1390" s="864"/>
      <c r="F1390" s="864"/>
      <c r="G1390" s="864"/>
      <c r="H1390" s="864"/>
      <c r="I1390" s="864"/>
    </row>
  </sheetData>
  <mergeCells count="161">
    <mergeCell ref="B892:I892"/>
    <mergeCell ref="B634:I634"/>
    <mergeCell ref="B455:I455"/>
    <mergeCell ref="B464:I464"/>
    <mergeCell ref="B984:I984"/>
    <mergeCell ref="B819:I819"/>
    <mergeCell ref="B835:I835"/>
    <mergeCell ref="B843:I843"/>
    <mergeCell ref="B851:I851"/>
    <mergeCell ref="B859:I859"/>
    <mergeCell ref="B874:I874"/>
    <mergeCell ref="B884:I884"/>
    <mergeCell ref="B965:I965"/>
    <mergeCell ref="B976:I976"/>
    <mergeCell ref="A705:I705"/>
    <mergeCell ref="B717:I717"/>
    <mergeCell ref="B706:I706"/>
    <mergeCell ref="B745:I745"/>
    <mergeCell ref="B734:I734"/>
    <mergeCell ref="B762:I762"/>
    <mergeCell ref="B775:I775"/>
    <mergeCell ref="B793:I793"/>
    <mergeCell ref="B785:I785"/>
    <mergeCell ref="B579:I579"/>
    <mergeCell ref="B587:I587"/>
    <mergeCell ref="B129:I129"/>
    <mergeCell ref="A5:I5"/>
    <mergeCell ref="B680:I680"/>
    <mergeCell ref="B418:I418"/>
    <mergeCell ref="B428:I428"/>
    <mergeCell ref="B410:I410"/>
    <mergeCell ref="B572:I572"/>
    <mergeCell ref="B402:I402"/>
    <mergeCell ref="B436:I436"/>
    <mergeCell ref="B447:I447"/>
    <mergeCell ref="B34:I34"/>
    <mergeCell ref="B42:I42"/>
    <mergeCell ref="B51:I51"/>
    <mergeCell ref="B59:I59"/>
    <mergeCell ref="B68:I68"/>
    <mergeCell ref="B121:I121"/>
    <mergeCell ref="B93:I93"/>
    <mergeCell ref="B103:I103"/>
    <mergeCell ref="B111:I111"/>
    <mergeCell ref="B664:I664"/>
    <mergeCell ref="B137:I137"/>
    <mergeCell ref="B145:I145"/>
    <mergeCell ref="B154:I154"/>
    <mergeCell ref="B162:I162"/>
    <mergeCell ref="A1:A3"/>
    <mergeCell ref="B1:G1"/>
    <mergeCell ref="H1:I3"/>
    <mergeCell ref="B2:G2"/>
    <mergeCell ref="B3:C3"/>
    <mergeCell ref="D3:G3"/>
    <mergeCell ref="B76:I76"/>
    <mergeCell ref="B85:I85"/>
    <mergeCell ref="B7:I7"/>
    <mergeCell ref="B16:I16"/>
    <mergeCell ref="B24:I24"/>
    <mergeCell ref="B170:I170"/>
    <mergeCell ref="B196:I196"/>
    <mergeCell ref="B204:I204"/>
    <mergeCell ref="B178:I178"/>
    <mergeCell ref="B187:I187"/>
    <mergeCell ref="B245:I245"/>
    <mergeCell ref="B254:I254"/>
    <mergeCell ref="B263:I263"/>
    <mergeCell ref="B213:I213"/>
    <mergeCell ref="B221:I221"/>
    <mergeCell ref="B289:I289"/>
    <mergeCell ref="B297:I297"/>
    <mergeCell ref="B272:I272"/>
    <mergeCell ref="B280:I280"/>
    <mergeCell ref="B230:I230"/>
    <mergeCell ref="B237:I237"/>
    <mergeCell ref="B672:I672"/>
    <mergeCell ref="B655:I655"/>
    <mergeCell ref="B315:I315"/>
    <mergeCell ref="B325:I325"/>
    <mergeCell ref="B333:I333"/>
    <mergeCell ref="B343:I343"/>
    <mergeCell ref="B351:I351"/>
    <mergeCell ref="B306:I306"/>
    <mergeCell ref="B563:I563"/>
    <mergeCell ref="B385:I385"/>
    <mergeCell ref="B394:I394"/>
    <mergeCell ref="B510:I510"/>
    <mergeCell ref="B521:I521"/>
    <mergeCell ref="B529:I529"/>
    <mergeCell ref="B538:I538"/>
    <mergeCell ref="B546:I546"/>
    <mergeCell ref="B555:I555"/>
    <mergeCell ref="B625:I625"/>
    <mergeCell ref="B473:I473"/>
    <mergeCell ref="B482:I482"/>
    <mergeCell ref="B490:I490"/>
    <mergeCell ref="B502:I502"/>
    <mergeCell ref="B993:I993"/>
    <mergeCell ref="B1001:I1001"/>
    <mergeCell ref="B1014:I1014"/>
    <mergeCell ref="B1022:I1022"/>
    <mergeCell ref="B1030:I1030"/>
    <mergeCell ref="B900:I900"/>
    <mergeCell ref="B914:I914"/>
    <mergeCell ref="B922:I922"/>
    <mergeCell ref="B936:I936"/>
    <mergeCell ref="B946:I946"/>
    <mergeCell ref="B955:I955"/>
    <mergeCell ref="B594:I594"/>
    <mergeCell ref="B601:I601"/>
    <mergeCell ref="B608:I608"/>
    <mergeCell ref="B618:I618"/>
    <mergeCell ref="B687:I687"/>
    <mergeCell ref="B648:I648"/>
    <mergeCell ref="B641:I641"/>
    <mergeCell ref="B697:I697"/>
    <mergeCell ref="B808:I808"/>
    <mergeCell ref="B1038:I1038"/>
    <mergeCell ref="B1061:I1061"/>
    <mergeCell ref="B1070:I1070"/>
    <mergeCell ref="B1077:I1077"/>
    <mergeCell ref="B1046:I1046"/>
    <mergeCell ref="B1054:I1054"/>
    <mergeCell ref="B1357:I1357"/>
    <mergeCell ref="B1085:I1085"/>
    <mergeCell ref="B1112:I1112"/>
    <mergeCell ref="B1120:I1120"/>
    <mergeCell ref="B1128:I1128"/>
    <mergeCell ref="B1136:I1136"/>
    <mergeCell ref="B1143:I1143"/>
    <mergeCell ref="B1176:I1176"/>
    <mergeCell ref="B1193:I1193"/>
    <mergeCell ref="B1201:I1201"/>
    <mergeCell ref="B1167:I1167"/>
    <mergeCell ref="B1151:I1151"/>
    <mergeCell ref="B1159:I1159"/>
    <mergeCell ref="B360:I360"/>
    <mergeCell ref="B368:I368"/>
    <mergeCell ref="B377:I377"/>
    <mergeCell ref="B1377:I1377"/>
    <mergeCell ref="B1384:I1384"/>
    <mergeCell ref="B1210:I1210"/>
    <mergeCell ref="B1218:I1218"/>
    <mergeCell ref="B1230:I1230"/>
    <mergeCell ref="B1238:I1238"/>
    <mergeCell ref="B1251:I1251"/>
    <mergeCell ref="B1259:I1259"/>
    <mergeCell ref="B1184:I1184"/>
    <mergeCell ref="B1342:I1342"/>
    <mergeCell ref="B1367:I1367"/>
    <mergeCell ref="B1271:I1271"/>
    <mergeCell ref="B1279:I1279"/>
    <mergeCell ref="B1286:I1286"/>
    <mergeCell ref="B1294:I1294"/>
    <mergeCell ref="B1301:I1301"/>
    <mergeCell ref="B1309:I1309"/>
    <mergeCell ref="B1317:I1317"/>
    <mergeCell ref="B1325:I1325"/>
    <mergeCell ref="B1334:I1334"/>
    <mergeCell ref="B1349:I1349"/>
  </mergeCells>
  <dataValidations count="3">
    <dataValidation allowBlank="1" showInputMessage="1" showErrorMessage="1" prompt="Escriba una breve descripción de los materiales que analiza" sqref="B845:B846 B862:B869 B902:B909 B924:B931 B939 B948:B951 B958 B967:B970 B986:B988 B1003:B1009 B1024:B1025 B1040:B1041 B1056 B1072 B1088:B1107"/>
    <dataValidation allowBlank="1" showInputMessage="1" showErrorMessage="1" prompt="Escriba la unidad de medida en que se mide el material" sqref="D902:D909 D924:D931 D939 D948:D951 D958 D967:D970 D986:D988 D1003:D1009 D1024:D1025 D1040:D1041 D1056 D1072"/>
    <dataValidation allowBlank="1" showInputMessage="1" showErrorMessage="1" prompt="Escriba la cantidad de material que se analiza" sqref="C902:C909 C924:C931 C939 C948:C951 C958 C967:C970 C986:C988 C1003:C1009 C1024:C1025 C1040:C1041 C1056 C1072 C1093:C1107 C729 C747:C756"/>
  </dataValidations>
  <printOptions horizontalCentered="1" verticalCentered="1"/>
  <pageMargins left="0.70866141732283472" right="0.70866141732283472" top="0.74803149606299213" bottom="0.74803149606299213" header="0.31496062992125984" footer="0.31496062992125984"/>
  <pageSetup paperSize="119" scale="48" orientation="portrait" r:id="rId1"/>
  <rowBreaks count="12" manualBreakCount="12">
    <brk id="101" max="8" man="1"/>
    <brk id="202" max="8" man="1"/>
    <brk id="401" max="8" man="1"/>
    <brk id="500" max="8" man="1"/>
    <brk id="578" max="8" man="1"/>
    <brk id="744" max="8" man="1"/>
    <brk id="834" max="8" man="1"/>
    <brk id="889" max="8" man="1"/>
    <brk id="963" max="8" man="1"/>
    <brk id="1084" max="8" man="1"/>
    <brk id="1308" max="8" man="1"/>
    <brk id="1347" max="8" man="1"/>
  </rowBreaks>
  <colBreaks count="1" manualBreakCount="1">
    <brk id="9"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R80"/>
  <sheetViews>
    <sheetView view="pageBreakPreview" topLeftCell="A43" zoomScale="70" zoomScaleNormal="70" zoomScaleSheetLayoutView="70" workbookViewId="0">
      <selection activeCell="E60" sqref="E60"/>
    </sheetView>
  </sheetViews>
  <sheetFormatPr baseColWidth="10" defaultColWidth="10.6640625" defaultRowHeight="19.2"/>
  <cols>
    <col min="1" max="1" width="13.6640625" style="933" customWidth="1"/>
    <col min="2" max="2" width="39.33203125" style="933" customWidth="1"/>
    <col min="3" max="3" width="7.109375" style="934" customWidth="1"/>
    <col min="4" max="4" width="13.6640625" style="421" customWidth="1"/>
    <col min="5" max="5" width="14.44140625" style="421" bestFit="1" customWidth="1"/>
    <col min="6" max="6" width="12.44140625" style="935" bestFit="1" customWidth="1"/>
    <col min="7" max="7" width="10.6640625" style="935" customWidth="1"/>
    <col min="8" max="8" width="20" style="936" bestFit="1" customWidth="1"/>
    <col min="9" max="9" width="27" style="936" customWidth="1"/>
    <col min="10" max="10" width="22.5546875" style="937" bestFit="1" customWidth="1"/>
    <col min="11" max="11" width="37.6640625" style="417" customWidth="1"/>
    <col min="12" max="12" width="48.6640625" style="417" customWidth="1"/>
    <col min="13" max="13" width="37.109375" style="417" customWidth="1"/>
    <col min="14" max="14" width="24.6640625" style="417" bestFit="1" customWidth="1"/>
    <col min="15" max="15" width="16.88671875" style="417" bestFit="1" customWidth="1"/>
    <col min="16" max="16" width="8.33203125" style="417" bestFit="1" customWidth="1"/>
    <col min="17" max="17" width="18.33203125" style="417" customWidth="1"/>
    <col min="18" max="18" width="14" style="417" bestFit="1" customWidth="1"/>
  </cols>
  <sheetData>
    <row r="1" spans="1:18" ht="32.25" customHeight="1">
      <c r="A1" s="3246"/>
      <c r="B1" s="3249" t="s">
        <v>8791</v>
      </c>
      <c r="C1" s="3249"/>
      <c r="D1" s="3249"/>
      <c r="E1" s="3249"/>
      <c r="F1" s="3249"/>
      <c r="G1" s="3249"/>
      <c r="H1" s="3249"/>
      <c r="I1" s="2920"/>
      <c r="J1" s="3250"/>
      <c r="K1" s="414"/>
      <c r="L1" s="414"/>
      <c r="M1" s="414"/>
      <c r="N1" s="414"/>
      <c r="O1" s="414"/>
      <c r="P1" s="414"/>
      <c r="Q1" s="414"/>
      <c r="R1" s="414"/>
    </row>
    <row r="2" spans="1:18">
      <c r="A2" s="3247"/>
      <c r="B2" s="3249" t="s">
        <v>4260</v>
      </c>
      <c r="C2" s="3249"/>
      <c r="D2" s="3249"/>
      <c r="E2" s="3249"/>
      <c r="F2" s="3249"/>
      <c r="G2" s="3249"/>
      <c r="H2" s="3249"/>
      <c r="I2" s="2920"/>
      <c r="J2" s="3250"/>
      <c r="K2" s="414"/>
      <c r="L2" s="411" t="s">
        <v>1208</v>
      </c>
      <c r="M2" s="412">
        <v>5830072845</v>
      </c>
      <c r="N2" s="413">
        <v>8172181004</v>
      </c>
      <c r="O2" s="414"/>
      <c r="P2" s="414"/>
      <c r="Q2" s="414"/>
      <c r="R2" s="414"/>
    </row>
    <row r="3" spans="1:18">
      <c r="A3" s="3248"/>
      <c r="B3" s="955" t="s">
        <v>3859</v>
      </c>
      <c r="C3" s="3249" t="s">
        <v>7945</v>
      </c>
      <c r="D3" s="3249"/>
      <c r="E3" s="3249"/>
      <c r="F3" s="3249" t="s">
        <v>8538</v>
      </c>
      <c r="G3" s="3249"/>
      <c r="H3" s="3249"/>
      <c r="I3" s="2920"/>
      <c r="J3" s="3250"/>
      <c r="K3" s="414"/>
      <c r="L3" s="411" t="s">
        <v>1209</v>
      </c>
      <c r="M3" s="938">
        <f>12*30</f>
        <v>360</v>
      </c>
      <c r="N3" s="416"/>
      <c r="O3" s="414"/>
      <c r="P3" s="414"/>
      <c r="Q3" s="414"/>
      <c r="R3" s="414"/>
    </row>
    <row r="4" spans="1:18">
      <c r="A4" s="3242"/>
      <c r="B4" s="3243"/>
      <c r="C4" s="3243"/>
      <c r="D4" s="3243"/>
      <c r="E4" s="3243"/>
      <c r="F4" s="3243"/>
      <c r="G4" s="3243"/>
      <c r="H4" s="3244"/>
      <c r="I4" s="2919"/>
      <c r="J4" s="901"/>
      <c r="L4" s="411" t="s">
        <v>6338</v>
      </c>
      <c r="M4" s="1942">
        <v>0.27</v>
      </c>
      <c r="N4" s="418"/>
    </row>
    <row r="5" spans="1:18">
      <c r="A5" s="3245" t="s">
        <v>4216</v>
      </c>
      <c r="B5" s="3245"/>
      <c r="C5" s="3245"/>
      <c r="D5" s="3245"/>
      <c r="E5" s="3245"/>
      <c r="F5" s="3245"/>
      <c r="G5" s="3245"/>
      <c r="H5" s="3245"/>
      <c r="I5" s="3245"/>
      <c r="J5" s="3245"/>
      <c r="L5" s="3228" t="s">
        <v>6322</v>
      </c>
      <c r="M5" s="3228"/>
    </row>
    <row r="6" spans="1:18">
      <c r="A6" s="902"/>
      <c r="B6" s="903"/>
      <c r="C6" s="903"/>
      <c r="D6" s="903"/>
      <c r="E6" s="903"/>
      <c r="F6" s="903"/>
      <c r="G6" s="903"/>
      <c r="H6" s="903"/>
      <c r="I6" s="903"/>
      <c r="J6" s="904"/>
      <c r="L6" s="419" t="s">
        <v>4228</v>
      </c>
      <c r="M6" s="432">
        <v>6500000</v>
      </c>
    </row>
    <row r="7" spans="1:18">
      <c r="A7" s="905"/>
      <c r="B7" s="3239" t="s">
        <v>713</v>
      </c>
      <c r="C7" s="3240"/>
      <c r="D7" s="3240"/>
      <c r="E7" s="3240"/>
      <c r="F7" s="3240"/>
      <c r="G7" s="3240"/>
      <c r="H7" s="3241"/>
      <c r="I7" s="2918"/>
      <c r="J7" s="906"/>
      <c r="K7" s="421"/>
      <c r="L7" s="419" t="s">
        <v>7936</v>
      </c>
      <c r="M7" s="432">
        <v>6500000</v>
      </c>
      <c r="N7" s="421"/>
      <c r="O7" s="421"/>
      <c r="P7" s="421"/>
      <c r="Q7" s="421"/>
      <c r="R7" s="421"/>
    </row>
    <row r="8" spans="1:18">
      <c r="A8" s="1932" t="s">
        <v>798</v>
      </c>
      <c r="B8" s="1932" t="s">
        <v>799</v>
      </c>
      <c r="C8" s="1932" t="s">
        <v>427</v>
      </c>
      <c r="D8" s="907" t="s">
        <v>800</v>
      </c>
      <c r="E8" s="907" t="s">
        <v>6323</v>
      </c>
      <c r="F8" s="908" t="s">
        <v>801</v>
      </c>
      <c r="G8" s="908"/>
      <c r="H8" s="907" t="s">
        <v>268</v>
      </c>
      <c r="I8" s="2965" t="s">
        <v>8793</v>
      </c>
      <c r="J8" s="2965" t="s">
        <v>8792</v>
      </c>
      <c r="L8" s="419" t="s">
        <v>6336</v>
      </c>
      <c r="M8" s="432">
        <v>6500000</v>
      </c>
    </row>
    <row r="9" spans="1:18">
      <c r="A9" s="909" t="s">
        <v>622</v>
      </c>
      <c r="B9" s="3234" t="s">
        <v>803</v>
      </c>
      <c r="C9" s="3235"/>
      <c r="D9" s="3235"/>
      <c r="E9" s="3235"/>
      <c r="F9" s="3235"/>
      <c r="G9" s="3235"/>
      <c r="H9" s="3235"/>
      <c r="I9" s="2917"/>
      <c r="J9" s="910"/>
      <c r="L9" s="419" t="s">
        <v>7937</v>
      </c>
      <c r="M9" s="432">
        <v>6500000</v>
      </c>
      <c r="N9" s="418"/>
      <c r="O9" s="418"/>
      <c r="P9" s="418"/>
      <c r="Q9" s="418"/>
    </row>
    <row r="10" spans="1:18">
      <c r="A10" s="1932" t="s">
        <v>34</v>
      </c>
      <c r="B10" s="911" t="s">
        <v>858</v>
      </c>
      <c r="C10" s="1932" t="s">
        <v>804</v>
      </c>
      <c r="D10" s="912"/>
      <c r="E10" s="912"/>
      <c r="F10" s="913"/>
      <c r="G10" s="913"/>
      <c r="H10" s="914"/>
      <c r="I10" s="914"/>
      <c r="J10" s="915"/>
      <c r="L10" s="419" t="s">
        <v>6318</v>
      </c>
      <c r="M10" s="432">
        <v>4500000</v>
      </c>
      <c r="N10" s="418"/>
      <c r="O10" s="418"/>
      <c r="P10" s="418"/>
      <c r="Q10" s="418"/>
    </row>
    <row r="11" spans="1:18">
      <c r="A11" s="916" t="s">
        <v>805</v>
      </c>
      <c r="B11" s="917" t="s">
        <v>5055</v>
      </c>
      <c r="C11" s="918"/>
      <c r="D11" s="919"/>
      <c r="E11" s="919"/>
      <c r="F11" s="920"/>
      <c r="G11" s="920"/>
      <c r="H11" s="1402">
        <v>0.04</v>
      </c>
      <c r="I11" s="930">
        <f>+ROUND(H11*N2,0)</f>
        <v>326887240</v>
      </c>
      <c r="J11" s="915">
        <f>+$M$2*H11</f>
        <v>233202913.80000001</v>
      </c>
      <c r="K11" s="425">
        <f>+H11*M2</f>
        <v>233202913.80000001</v>
      </c>
      <c r="L11" s="419" t="s">
        <v>7938</v>
      </c>
      <c r="M11" s="432">
        <v>2500000</v>
      </c>
      <c r="N11" s="418"/>
      <c r="O11" s="418"/>
      <c r="P11" s="418"/>
      <c r="Q11" s="418"/>
    </row>
    <row r="12" spans="1:18">
      <c r="A12" s="916" t="s">
        <v>807</v>
      </c>
      <c r="B12" s="917" t="s">
        <v>4220</v>
      </c>
      <c r="C12" s="918" t="s">
        <v>804</v>
      </c>
      <c r="D12" s="919"/>
      <c r="E12" s="919"/>
      <c r="F12" s="920"/>
      <c r="G12" s="920"/>
      <c r="H12" s="1402">
        <v>0.02</v>
      </c>
      <c r="I12" s="930">
        <f>ROUND(H12*N2,0)</f>
        <v>163443620</v>
      </c>
      <c r="J12" s="915">
        <f t="shared" ref="J12:J17" si="0">+$M$2*H12</f>
        <v>116601456.90000001</v>
      </c>
      <c r="K12" s="425">
        <f>+H12*M2</f>
        <v>116601456.90000001</v>
      </c>
      <c r="L12" s="422" t="s">
        <v>6319</v>
      </c>
      <c r="M12" s="432">
        <v>1500000</v>
      </c>
      <c r="N12" s="418"/>
      <c r="O12" s="418"/>
    </row>
    <row r="13" spans="1:18">
      <c r="A13" s="916" t="s">
        <v>810</v>
      </c>
      <c r="B13" s="917" t="s">
        <v>5056</v>
      </c>
      <c r="C13" s="918" t="s">
        <v>804</v>
      </c>
      <c r="D13" s="919"/>
      <c r="E13" s="919"/>
      <c r="F13" s="920"/>
      <c r="G13" s="920"/>
      <c r="H13" s="1402">
        <v>0.02</v>
      </c>
      <c r="I13" s="930">
        <f>ROUND(H13*N2,0)</f>
        <v>163443620</v>
      </c>
      <c r="J13" s="915">
        <f t="shared" si="0"/>
        <v>116601456.90000001</v>
      </c>
      <c r="K13" s="425">
        <f>+H13*M2</f>
        <v>116601456.90000001</v>
      </c>
      <c r="L13" s="419" t="s">
        <v>6314</v>
      </c>
      <c r="M13" s="432">
        <v>3500000</v>
      </c>
      <c r="N13" s="418"/>
      <c r="O13" s="418"/>
      <c r="P13" s="418"/>
      <c r="Q13" s="418"/>
    </row>
    <row r="14" spans="1:18">
      <c r="A14" s="916" t="s">
        <v>812</v>
      </c>
      <c r="B14" s="917" t="s">
        <v>5057</v>
      </c>
      <c r="C14" s="918" t="s">
        <v>804</v>
      </c>
      <c r="D14" s="919"/>
      <c r="E14" s="919"/>
      <c r="F14" s="920"/>
      <c r="G14" s="920"/>
      <c r="H14" s="1402">
        <v>0.02</v>
      </c>
      <c r="I14" s="930">
        <f>ROUND(H14*N2,0)</f>
        <v>163443620</v>
      </c>
      <c r="J14" s="915">
        <f t="shared" si="0"/>
        <v>116601456.90000001</v>
      </c>
      <c r="K14" s="425">
        <f>+H14*M2</f>
        <v>116601456.90000001</v>
      </c>
      <c r="L14" s="419" t="s">
        <v>6341</v>
      </c>
      <c r="M14" s="432">
        <v>3500000</v>
      </c>
      <c r="N14" s="418"/>
      <c r="O14" s="418"/>
      <c r="P14" s="418"/>
      <c r="Q14" s="418"/>
    </row>
    <row r="15" spans="1:18">
      <c r="A15" s="916" t="s">
        <v>4219</v>
      </c>
      <c r="B15" s="922" t="s">
        <v>4217</v>
      </c>
      <c r="C15" s="918"/>
      <c r="D15" s="919"/>
      <c r="E15" s="919"/>
      <c r="F15" s="920"/>
      <c r="G15" s="920"/>
      <c r="H15" s="1402">
        <v>0.01</v>
      </c>
      <c r="I15" s="930">
        <f>ROUND(H15*N2,0)</f>
        <v>81721810</v>
      </c>
      <c r="J15" s="915">
        <f t="shared" si="0"/>
        <v>58300728.450000003</v>
      </c>
      <c r="K15" s="425">
        <f>+H15*M2</f>
        <v>58300728.450000003</v>
      </c>
      <c r="L15" s="422" t="s">
        <v>4231</v>
      </c>
      <c r="M15" s="432">
        <v>1500000</v>
      </c>
      <c r="N15" s="418"/>
      <c r="O15" s="418"/>
      <c r="P15" s="418"/>
      <c r="Q15" s="418"/>
    </row>
    <row r="16" spans="1:18">
      <c r="A16" s="916" t="s">
        <v>4221</v>
      </c>
      <c r="B16" s="917" t="s">
        <v>4218</v>
      </c>
      <c r="C16" s="918"/>
      <c r="D16" s="919"/>
      <c r="E16" s="919"/>
      <c r="F16" s="920"/>
      <c r="G16" s="920"/>
      <c r="H16" s="1402">
        <v>0.01</v>
      </c>
      <c r="I16" s="930">
        <f>ROUND(H16*N2,0)</f>
        <v>81721810</v>
      </c>
      <c r="J16" s="915">
        <f t="shared" si="0"/>
        <v>58300728.450000003</v>
      </c>
      <c r="K16" s="425">
        <f>+H16*M2</f>
        <v>58300728.450000003</v>
      </c>
      <c r="L16" s="419" t="s">
        <v>6320</v>
      </c>
      <c r="M16" s="432">
        <v>1200000</v>
      </c>
      <c r="N16" s="418"/>
      <c r="O16" s="418"/>
      <c r="P16" s="418"/>
      <c r="Q16" s="418"/>
    </row>
    <row r="17" spans="1:18">
      <c r="A17" s="916" t="s">
        <v>4222</v>
      </c>
      <c r="B17" s="917" t="s">
        <v>5058</v>
      </c>
      <c r="C17" s="918"/>
      <c r="D17" s="919"/>
      <c r="E17" s="919"/>
      <c r="F17" s="920"/>
      <c r="G17" s="920"/>
      <c r="H17" s="1402">
        <v>0.05</v>
      </c>
      <c r="I17" s="930">
        <f>ROUND(H17*N2,0)</f>
        <v>408609050</v>
      </c>
      <c r="J17" s="915">
        <f t="shared" si="0"/>
        <v>291503642.25</v>
      </c>
      <c r="K17" s="425">
        <f>+H17*M2</f>
        <v>291503642.25</v>
      </c>
      <c r="L17" s="419" t="s">
        <v>6372</v>
      </c>
      <c r="M17" s="432">
        <v>1000000</v>
      </c>
      <c r="N17" s="418"/>
      <c r="O17" s="418"/>
      <c r="P17" s="418"/>
      <c r="Q17" s="418"/>
    </row>
    <row r="18" spans="1:18" ht="23.25" customHeight="1">
      <c r="A18" s="1932" t="s">
        <v>1443</v>
      </c>
      <c r="B18" s="911" t="s">
        <v>4223</v>
      </c>
      <c r="C18" s="918"/>
      <c r="D18" s="919"/>
      <c r="E18" s="919"/>
      <c r="F18" s="920"/>
      <c r="G18" s="920"/>
      <c r="H18" s="921"/>
      <c r="I18" s="930"/>
      <c r="J18" s="915"/>
      <c r="K18" s="425">
        <f t="shared" ref="K18" si="1">+H18*M9</f>
        <v>0</v>
      </c>
      <c r="L18" s="419" t="s">
        <v>6340</v>
      </c>
      <c r="M18" s="432">
        <v>1000000</v>
      </c>
      <c r="N18" s="2011"/>
      <c r="O18" s="2011"/>
      <c r="P18" s="2011"/>
      <c r="Q18" s="2011"/>
      <c r="R18" s="1934"/>
    </row>
    <row r="19" spans="1:18" ht="20.25" customHeight="1">
      <c r="A19" s="916" t="s">
        <v>4224</v>
      </c>
      <c r="B19" s="917" t="s">
        <v>4225</v>
      </c>
      <c r="C19" s="918"/>
      <c r="D19" s="919"/>
      <c r="E19" s="919"/>
      <c r="F19" s="920"/>
      <c r="G19" s="920"/>
      <c r="H19" s="921">
        <f>1.07%*(1+M4)</f>
        <v>1.3589000000000002E-2</v>
      </c>
      <c r="I19" s="915">
        <f>ROUND(H19*N2,0)</f>
        <v>111051768</v>
      </c>
      <c r="J19" s="915">
        <f>+H19*M2</f>
        <v>79224859.890705019</v>
      </c>
      <c r="K19" s="425">
        <f>+H19*M2</f>
        <v>79224859.890705019</v>
      </c>
      <c r="L19" s="419" t="s">
        <v>1211</v>
      </c>
      <c r="M19" s="432">
        <v>3500000</v>
      </c>
      <c r="N19" s="2011"/>
      <c r="O19" s="2012" t="s">
        <v>1216</v>
      </c>
      <c r="P19" s="2012" t="s">
        <v>1217</v>
      </c>
      <c r="Q19" s="2011" t="s">
        <v>1218</v>
      </c>
      <c r="R19" s="1934"/>
    </row>
    <row r="20" spans="1:18">
      <c r="A20" s="1932" t="s">
        <v>1444</v>
      </c>
      <c r="B20" s="923" t="s">
        <v>4226</v>
      </c>
      <c r="C20" s="1932"/>
      <c r="D20" s="912"/>
      <c r="E20" s="912"/>
      <c r="F20" s="913"/>
      <c r="G20" s="913"/>
      <c r="H20" s="924"/>
      <c r="I20" s="924"/>
      <c r="J20" s="915"/>
      <c r="L20" s="423" t="s">
        <v>1212</v>
      </c>
      <c r="M20" s="2969">
        <v>0.81820000000000004</v>
      </c>
      <c r="N20" s="2011" t="s">
        <v>1219</v>
      </c>
      <c r="O20" s="2010"/>
      <c r="P20" s="2010"/>
      <c r="Q20" s="2010"/>
      <c r="R20" s="1934"/>
    </row>
    <row r="21" spans="1:18" ht="18.75" customHeight="1">
      <c r="A21" s="916" t="s">
        <v>4227</v>
      </c>
      <c r="B21" s="917" t="s">
        <v>4228</v>
      </c>
      <c r="C21" s="925" t="s">
        <v>346</v>
      </c>
      <c r="D21" s="926">
        <f>+$M$3</f>
        <v>360</v>
      </c>
      <c r="E21" s="1402">
        <v>0.3</v>
      </c>
      <c r="F21" s="913">
        <f>$M$6*(1+$M$20)/30</f>
        <v>393943.33333333331</v>
      </c>
      <c r="G21" s="913"/>
      <c r="H21" s="921">
        <f>+J21/M2</f>
        <v>7.2976583880059566E-3</v>
      </c>
      <c r="I21" s="921"/>
      <c r="J21" s="915">
        <f>+D21*E21*F21</f>
        <v>42545880</v>
      </c>
      <c r="K21" s="425">
        <f>+H21*M2</f>
        <v>42545880</v>
      </c>
      <c r="L21" s="2011" t="s">
        <v>1214</v>
      </c>
      <c r="M21" s="2012" t="s">
        <v>1215</v>
      </c>
      <c r="N21" s="2010"/>
      <c r="O21" s="2010"/>
      <c r="P21" s="2010"/>
      <c r="Q21" s="2010"/>
      <c r="R21" s="1934"/>
    </row>
    <row r="22" spans="1:18">
      <c r="A22" s="916" t="s">
        <v>4229</v>
      </c>
      <c r="B22" s="917" t="s">
        <v>6318</v>
      </c>
      <c r="C22" s="925" t="s">
        <v>346</v>
      </c>
      <c r="D22" s="926">
        <f t="shared" ref="D22:D33" si="2">+$M$3</f>
        <v>360</v>
      </c>
      <c r="E22" s="1402">
        <v>1</v>
      </c>
      <c r="F22" s="913">
        <f>+M10*(1+$M$20)/30</f>
        <v>272730</v>
      </c>
      <c r="G22" s="913"/>
      <c r="H22" s="921">
        <f>+J22/M2</f>
        <v>1.6840750126167592E-2</v>
      </c>
      <c r="I22" s="921"/>
      <c r="J22" s="915">
        <f t="shared" ref="J22:J43" si="3">+D22*E22*F22</f>
        <v>98182800</v>
      </c>
      <c r="K22" s="425">
        <f>+H22*M2</f>
        <v>98182800</v>
      </c>
      <c r="L22" s="2010"/>
      <c r="M22" s="2011" t="s">
        <v>283</v>
      </c>
      <c r="N22" s="2013">
        <f>M2*M24</f>
        <v>1166014569</v>
      </c>
      <c r="O22" s="2014">
        <f>M3+(6*30)</f>
        <v>540</v>
      </c>
      <c r="P22" s="2010">
        <v>3.0000000000000001E-3</v>
      </c>
      <c r="Q22" s="2015">
        <f>(N22*P22)/365*O22</f>
        <v>5175187.9500821922</v>
      </c>
      <c r="R22" s="1934"/>
    </row>
    <row r="23" spans="1:18">
      <c r="A23" s="916"/>
      <c r="B23" s="917"/>
      <c r="C23" s="925"/>
      <c r="D23" s="926"/>
      <c r="E23" s="1402"/>
      <c r="F23" s="913"/>
      <c r="G23" s="913"/>
      <c r="H23" s="921"/>
      <c r="I23" s="921"/>
      <c r="J23" s="915"/>
      <c r="K23" s="425">
        <f t="shared" ref="K23:K46" si="4">+H23*M4</f>
        <v>0</v>
      </c>
      <c r="L23" s="2010" t="s">
        <v>1220</v>
      </c>
      <c r="M23" s="2010">
        <v>0.3</v>
      </c>
      <c r="N23" s="2013">
        <f>M2*M23</f>
        <v>1749021853.5</v>
      </c>
      <c r="O23" s="2014">
        <f>M3+(6*30)</f>
        <v>540</v>
      </c>
      <c r="P23" s="2010">
        <v>2E-3</v>
      </c>
      <c r="Q23" s="2015">
        <f>(N23*P23)/365*O23</f>
        <v>5175187.9500821922</v>
      </c>
      <c r="R23" s="1934"/>
    </row>
    <row r="24" spans="1:18" ht="32.25" customHeight="1">
      <c r="A24" s="916" t="s">
        <v>4232</v>
      </c>
      <c r="B24" s="922" t="s">
        <v>6321</v>
      </c>
      <c r="C24" s="925" t="s">
        <v>346</v>
      </c>
      <c r="D24" s="926">
        <f t="shared" si="2"/>
        <v>360</v>
      </c>
      <c r="E24" s="1402">
        <v>0.3</v>
      </c>
      <c r="F24" s="913">
        <f t="shared" ref="F24:F27" si="5">+M13*(1+$M$20)/30</f>
        <v>212123.33333333334</v>
      </c>
      <c r="G24" s="913"/>
      <c r="H24" s="921">
        <f>+J24/M2</f>
        <v>3.9295083627724379E-3</v>
      </c>
      <c r="I24" s="921"/>
      <c r="J24" s="915">
        <f t="shared" ref="J24" si="6">+D24*E24*F24</f>
        <v>22909320</v>
      </c>
      <c r="K24" s="425">
        <f t="shared" si="4"/>
        <v>0</v>
      </c>
      <c r="L24" s="2010" t="s">
        <v>1221</v>
      </c>
      <c r="M24" s="2010">
        <v>0.2</v>
      </c>
      <c r="N24" s="2013">
        <f>$M$2*M26</f>
        <v>583007284.5</v>
      </c>
      <c r="O24" s="2014">
        <f>M3+(3*360)</f>
        <v>1440</v>
      </c>
      <c r="P24" s="2010">
        <v>2E-3</v>
      </c>
      <c r="Q24" s="2015">
        <f>(N24*P24)/365*O24</f>
        <v>4600167.0667397268</v>
      </c>
      <c r="R24" s="1934"/>
    </row>
    <row r="25" spans="1:18">
      <c r="A25" s="916" t="s">
        <v>4233</v>
      </c>
      <c r="B25" s="922" t="s">
        <v>6341</v>
      </c>
      <c r="C25" s="925" t="s">
        <v>346</v>
      </c>
      <c r="D25" s="926">
        <f t="shared" si="2"/>
        <v>360</v>
      </c>
      <c r="E25" s="1402">
        <v>0.3</v>
      </c>
      <c r="F25" s="913">
        <f t="shared" si="5"/>
        <v>212123.33333333334</v>
      </c>
      <c r="G25" s="913"/>
      <c r="H25" s="921">
        <f>+J25/M2</f>
        <v>3.9295083627724379E-3</v>
      </c>
      <c r="I25" s="921"/>
      <c r="J25" s="915">
        <f t="shared" ref="J25" si="7">+D25*E25*F25</f>
        <v>22909320</v>
      </c>
      <c r="K25" s="425">
        <f t="shared" si="4"/>
        <v>25541.804358020847</v>
      </c>
      <c r="L25" s="2010" t="s">
        <v>1222</v>
      </c>
      <c r="M25" s="2010" t="s">
        <v>1223</v>
      </c>
      <c r="N25" s="2013"/>
      <c r="O25" s="2014"/>
      <c r="P25" s="2010"/>
      <c r="Q25" s="2015"/>
      <c r="R25" s="1934"/>
    </row>
    <row r="26" spans="1:18">
      <c r="A26" s="916"/>
      <c r="B26" s="917"/>
      <c r="C26" s="925"/>
      <c r="D26" s="926"/>
      <c r="E26" s="1402"/>
      <c r="F26" s="913"/>
      <c r="G26" s="913"/>
      <c r="H26" s="921"/>
      <c r="I26" s="921"/>
      <c r="J26" s="915"/>
      <c r="K26" s="425">
        <f t="shared" si="4"/>
        <v>0</v>
      </c>
      <c r="L26" s="2010" t="s">
        <v>1224</v>
      </c>
      <c r="M26" s="2010">
        <v>0.1</v>
      </c>
      <c r="N26" s="2013">
        <f>$M$2*M27</f>
        <v>1166014569</v>
      </c>
      <c r="O26" s="2014">
        <f>M3+(5*360)</f>
        <v>2160</v>
      </c>
      <c r="P26" s="2010">
        <v>3.0000000000000001E-3</v>
      </c>
      <c r="Q26" s="2015">
        <f>(N26*P26)/365*O26</f>
        <v>20700751.800328769</v>
      </c>
      <c r="R26" s="1934"/>
    </row>
    <row r="27" spans="1:18">
      <c r="A27" s="916" t="s">
        <v>5778</v>
      </c>
      <c r="B27" s="917" t="s">
        <v>6320</v>
      </c>
      <c r="C27" s="925" t="s">
        <v>346</v>
      </c>
      <c r="D27" s="926">
        <f t="shared" si="2"/>
        <v>360</v>
      </c>
      <c r="E27" s="1402">
        <v>1</v>
      </c>
      <c r="F27" s="913">
        <f t="shared" si="5"/>
        <v>72728</v>
      </c>
      <c r="G27" s="913"/>
      <c r="H27" s="921">
        <f>J27/M2</f>
        <v>4.490866700311358E-3</v>
      </c>
      <c r="I27" s="921"/>
      <c r="J27" s="915">
        <f t="shared" ref="J27:J32" si="8">+D27*E27*F27</f>
        <v>26182080</v>
      </c>
      <c r="K27" s="425">
        <f t="shared" si="4"/>
        <v>29190.633552023828</v>
      </c>
      <c r="L27" s="2010" t="s">
        <v>1225</v>
      </c>
      <c r="M27" s="2010">
        <v>0.2</v>
      </c>
      <c r="N27" s="2013">
        <f>$M$2*M29</f>
        <v>1166014569</v>
      </c>
      <c r="O27" s="2014">
        <f>M3</f>
        <v>360</v>
      </c>
      <c r="P27" s="2010">
        <v>3.0000000000000001E-3</v>
      </c>
      <c r="Q27" s="2015">
        <f>(N27*P27)/365*O27</f>
        <v>3450125.3000547946</v>
      </c>
      <c r="R27" s="1934"/>
    </row>
    <row r="28" spans="1:18">
      <c r="A28" s="916"/>
      <c r="B28" s="917"/>
      <c r="C28" s="925"/>
      <c r="D28" s="926"/>
      <c r="E28" s="1402"/>
      <c r="F28" s="913"/>
      <c r="G28" s="913"/>
      <c r="H28" s="921"/>
      <c r="I28" s="921"/>
      <c r="J28" s="915"/>
      <c r="K28" s="425">
        <f t="shared" si="4"/>
        <v>0</v>
      </c>
      <c r="L28" s="2010"/>
      <c r="M28" s="2010"/>
      <c r="N28" s="2013"/>
      <c r="O28" s="2014"/>
      <c r="P28" s="2010"/>
      <c r="Q28" s="2015"/>
      <c r="R28" s="1934"/>
    </row>
    <row r="29" spans="1:18">
      <c r="A29" s="916"/>
      <c r="B29" s="917"/>
      <c r="C29" s="925"/>
      <c r="D29" s="926"/>
      <c r="E29" s="1402"/>
      <c r="F29" s="913"/>
      <c r="G29" s="913"/>
      <c r="H29" s="921"/>
      <c r="I29" s="921"/>
      <c r="J29" s="915"/>
      <c r="K29" s="425">
        <f t="shared" si="4"/>
        <v>0</v>
      </c>
      <c r="L29" s="2010" t="s">
        <v>1226</v>
      </c>
      <c r="M29" s="2010">
        <v>0.2</v>
      </c>
      <c r="N29" s="2013"/>
      <c r="O29" s="2014"/>
      <c r="P29" s="2010"/>
      <c r="Q29" s="2015"/>
      <c r="R29" s="1934"/>
    </row>
    <row r="30" spans="1:18">
      <c r="A30" s="916" t="s">
        <v>5781</v>
      </c>
      <c r="B30" s="917" t="s">
        <v>6335</v>
      </c>
      <c r="C30" s="925" t="s">
        <v>346</v>
      </c>
      <c r="D30" s="926">
        <f t="shared" si="2"/>
        <v>360</v>
      </c>
      <c r="E30" s="1402">
        <v>0.1</v>
      </c>
      <c r="F30" s="913">
        <f>$M$7*(1+$M$20)/30</f>
        <v>393943.33333333331</v>
      </c>
      <c r="G30" s="913"/>
      <c r="H30" s="921">
        <f>J30/M2</f>
        <v>2.4325527960019854E-3</v>
      </c>
      <c r="I30" s="921"/>
      <c r="J30" s="915">
        <f t="shared" si="8"/>
        <v>14181960</v>
      </c>
      <c r="K30" s="425">
        <f t="shared" si="4"/>
        <v>6081.3819900049639</v>
      </c>
      <c r="L30" s="2010" t="s">
        <v>1228</v>
      </c>
      <c r="M30" s="2010"/>
      <c r="N30" s="2013"/>
      <c r="O30" s="2014"/>
      <c r="P30" s="2010"/>
      <c r="Q30" s="2015"/>
      <c r="R30" s="1934"/>
    </row>
    <row r="31" spans="1:18">
      <c r="A31" s="916" t="s">
        <v>6397</v>
      </c>
      <c r="B31" s="917" t="s">
        <v>6336</v>
      </c>
      <c r="C31" s="925" t="s">
        <v>346</v>
      </c>
      <c r="D31" s="926">
        <f t="shared" si="2"/>
        <v>360</v>
      </c>
      <c r="E31" s="1402">
        <v>0.1</v>
      </c>
      <c r="F31" s="913">
        <f>$M$8*(1+$M$20)/30</f>
        <v>393943.33333333331</v>
      </c>
      <c r="G31" s="913"/>
      <c r="H31" s="921">
        <f>J31/M2</f>
        <v>2.4325527960019854E-3</v>
      </c>
      <c r="I31" s="921"/>
      <c r="J31" s="915">
        <f t="shared" si="8"/>
        <v>14181960</v>
      </c>
      <c r="K31" s="425">
        <f t="shared" si="4"/>
        <v>3648.8291940029781</v>
      </c>
      <c r="L31" s="2010"/>
      <c r="M31" s="2010"/>
      <c r="N31" s="2013"/>
      <c r="O31" s="2014"/>
      <c r="P31" s="2010"/>
      <c r="Q31" s="2015"/>
      <c r="R31" s="1934"/>
    </row>
    <row r="32" spans="1:18">
      <c r="A32" s="916" t="s">
        <v>6398</v>
      </c>
      <c r="B32" s="917" t="s">
        <v>6337</v>
      </c>
      <c r="C32" s="925" t="s">
        <v>346</v>
      </c>
      <c r="D32" s="926">
        <f t="shared" si="2"/>
        <v>360</v>
      </c>
      <c r="E32" s="1402">
        <v>0.1</v>
      </c>
      <c r="F32" s="913">
        <f>$M$9*(1+$M$20)/30</f>
        <v>393943.33333333331</v>
      </c>
      <c r="G32" s="913"/>
      <c r="H32" s="921">
        <f>J32/M2</f>
        <v>2.4325527960019854E-3</v>
      </c>
      <c r="I32" s="921"/>
      <c r="J32" s="915">
        <f t="shared" si="8"/>
        <v>14181960</v>
      </c>
      <c r="K32" s="425">
        <f t="shared" si="4"/>
        <v>8513.9347860069483</v>
      </c>
      <c r="L32" s="2010"/>
      <c r="M32" s="2010"/>
      <c r="N32" s="2013"/>
      <c r="O32" s="2014"/>
      <c r="P32" s="2010"/>
      <c r="Q32" s="2015"/>
      <c r="R32" s="1934"/>
    </row>
    <row r="33" spans="1:18">
      <c r="A33" s="916" t="s">
        <v>6402</v>
      </c>
      <c r="B33" s="917" t="s">
        <v>6339</v>
      </c>
      <c r="C33" s="925" t="s">
        <v>346</v>
      </c>
      <c r="D33" s="926">
        <f t="shared" si="2"/>
        <v>360</v>
      </c>
      <c r="E33" s="1402">
        <v>0.1</v>
      </c>
      <c r="F33" s="913">
        <f>+M11*(1+$M$20)/30</f>
        <v>151516.66666666666</v>
      </c>
      <c r="G33" s="913"/>
      <c r="H33" s="921">
        <f>J33/M2</f>
        <v>9.3559722923153288E-4</v>
      </c>
      <c r="I33" s="921"/>
      <c r="J33" s="915">
        <f t="shared" ref="J33" si="9">+D33*E33*F33</f>
        <v>5454600</v>
      </c>
      <c r="K33" s="425">
        <f t="shared" si="4"/>
        <v>3274.5903023103651</v>
      </c>
      <c r="L33" s="2010"/>
      <c r="M33" s="2010"/>
      <c r="N33" s="2013"/>
      <c r="O33" s="2014"/>
      <c r="P33" s="2010"/>
      <c r="Q33" s="2015"/>
      <c r="R33" s="1934"/>
    </row>
    <row r="34" spans="1:18">
      <c r="A34" s="1932" t="s">
        <v>1445</v>
      </c>
      <c r="B34" s="911" t="s">
        <v>662</v>
      </c>
      <c r="C34" s="916"/>
      <c r="D34" s="926"/>
      <c r="E34" s="927"/>
      <c r="F34" s="913"/>
      <c r="G34" s="913"/>
      <c r="H34" s="921"/>
      <c r="I34" s="921"/>
      <c r="J34" s="915"/>
      <c r="K34" s="425">
        <f t="shared" si="4"/>
        <v>0</v>
      </c>
      <c r="L34" s="2010"/>
      <c r="M34" s="2010"/>
      <c r="N34" s="2010"/>
      <c r="O34" s="2010"/>
      <c r="P34" s="2010"/>
      <c r="Q34" s="2015">
        <f>SUM(Q22:Q27)</f>
        <v>39101420.067287676</v>
      </c>
      <c r="R34" s="1935"/>
    </row>
    <row r="35" spans="1:18">
      <c r="A35" s="916" t="s">
        <v>4235</v>
      </c>
      <c r="B35" s="917" t="s">
        <v>955</v>
      </c>
      <c r="C35" s="925" t="s">
        <v>346</v>
      </c>
      <c r="D35" s="926">
        <f>+M3</f>
        <v>360</v>
      </c>
      <c r="E35" s="1402">
        <v>1</v>
      </c>
      <c r="F35" s="913">
        <f>400000/30</f>
        <v>13333.333333333334</v>
      </c>
      <c r="G35" s="913"/>
      <c r="H35" s="921">
        <f>J35/M2</f>
        <v>8.2331732855046337E-4</v>
      </c>
      <c r="I35" s="921"/>
      <c r="J35" s="915">
        <f>+D35*E35*F35</f>
        <v>4800000</v>
      </c>
      <c r="K35" s="425">
        <f t="shared" si="4"/>
        <v>987.98079426055608</v>
      </c>
      <c r="L35" s="2010"/>
      <c r="M35" s="2010"/>
      <c r="N35" s="2010"/>
      <c r="O35" s="2010"/>
      <c r="P35" s="2010"/>
      <c r="Q35" s="2015">
        <v>15000</v>
      </c>
      <c r="R35" s="1934"/>
    </row>
    <row r="36" spans="1:18">
      <c r="A36" s="916"/>
      <c r="B36" s="922"/>
      <c r="C36" s="925"/>
      <c r="D36" s="926"/>
      <c r="E36" s="1402"/>
      <c r="F36" s="913"/>
      <c r="G36" s="913"/>
      <c r="H36" s="921"/>
      <c r="I36" s="921"/>
      <c r="J36" s="915"/>
      <c r="K36" s="425">
        <f t="shared" si="4"/>
        <v>0</v>
      </c>
      <c r="L36" s="2010"/>
      <c r="M36" s="2010"/>
      <c r="N36" s="2010"/>
      <c r="O36" s="2010"/>
      <c r="P36" s="2010"/>
      <c r="Q36" s="2015">
        <f>(Q34+Q35)*19%</f>
        <v>7432119.8127846587</v>
      </c>
      <c r="R36" s="1934"/>
    </row>
    <row r="37" spans="1:18">
      <c r="A37" s="916" t="s">
        <v>4237</v>
      </c>
      <c r="B37" s="917" t="s">
        <v>829</v>
      </c>
      <c r="C37" s="925" t="s">
        <v>346</v>
      </c>
      <c r="D37" s="926">
        <f>+M3</f>
        <v>360</v>
      </c>
      <c r="E37" s="1402">
        <v>1</v>
      </c>
      <c r="F37" s="913">
        <v>20000</v>
      </c>
      <c r="G37" s="913"/>
      <c r="H37" s="921">
        <f>J37/M2</f>
        <v>1.2349759928256951E-3</v>
      </c>
      <c r="I37" s="921"/>
      <c r="J37" s="915">
        <f t="shared" si="3"/>
        <v>7200000</v>
      </c>
      <c r="K37" s="425">
        <f t="shared" si="4"/>
        <v>1234.9759928256951</v>
      </c>
      <c r="L37" s="2010" t="s">
        <v>1229</v>
      </c>
      <c r="M37" s="2010"/>
      <c r="N37" s="2010"/>
      <c r="O37" s="2010"/>
      <c r="P37" s="2010"/>
      <c r="Q37" s="2015">
        <f>ROUNDUP(Q34+Q35+Q36,0)</f>
        <v>46548540</v>
      </c>
      <c r="R37" s="1936"/>
    </row>
    <row r="38" spans="1:18">
      <c r="A38" s="916" t="s">
        <v>4238</v>
      </c>
      <c r="B38" s="917"/>
      <c r="C38" s="925"/>
      <c r="D38" s="926"/>
      <c r="E38" s="1402"/>
      <c r="F38" s="920"/>
      <c r="G38" s="920"/>
      <c r="H38" s="921"/>
      <c r="I38" s="921"/>
      <c r="J38" s="915"/>
      <c r="K38" s="425">
        <f t="shared" si="4"/>
        <v>0</v>
      </c>
      <c r="L38" s="2010" t="s">
        <v>1230</v>
      </c>
      <c r="M38" s="2010"/>
      <c r="N38" s="2018"/>
      <c r="O38" s="2018"/>
      <c r="P38" s="2018"/>
      <c r="Q38" s="2018"/>
      <c r="R38" s="1934"/>
    </row>
    <row r="39" spans="1:18" s="3036" customFormat="1">
      <c r="A39" s="3025" t="s">
        <v>4239</v>
      </c>
      <c r="B39" s="3026" t="s">
        <v>6325</v>
      </c>
      <c r="C39" s="3025" t="s">
        <v>346</v>
      </c>
      <c r="D39" s="3027">
        <f>+M3</f>
        <v>360</v>
      </c>
      <c r="E39" s="3028">
        <v>1</v>
      </c>
      <c r="F39" s="3029">
        <f>2300000/30</f>
        <v>76666.666666666672</v>
      </c>
      <c r="G39" s="3029"/>
      <c r="H39" s="3030">
        <f>J39/M2</f>
        <v>4.7340746391651648E-3</v>
      </c>
      <c r="I39" s="3030"/>
      <c r="J39" s="3031">
        <f t="shared" si="3"/>
        <v>27600000</v>
      </c>
      <c r="K39" s="3032">
        <f t="shared" si="4"/>
        <v>3.8734198697649379E-3</v>
      </c>
      <c r="L39" s="3033" t="s">
        <v>1231</v>
      </c>
      <c r="M39" s="3033"/>
      <c r="N39" s="3033"/>
      <c r="O39" s="3033"/>
      <c r="P39" s="3033">
        <v>2</v>
      </c>
      <c r="Q39" s="3034">
        <f>+M41*P39</f>
        <v>226680</v>
      </c>
      <c r="R39" s="3035"/>
    </row>
    <row r="40" spans="1:18">
      <c r="A40" s="916" t="s">
        <v>4240</v>
      </c>
      <c r="B40" s="917" t="s">
        <v>4340</v>
      </c>
      <c r="C40" s="925" t="s">
        <v>363</v>
      </c>
      <c r="D40" s="926">
        <v>98</v>
      </c>
      <c r="E40" s="1402">
        <v>1</v>
      </c>
      <c r="F40" s="913">
        <v>30000</v>
      </c>
      <c r="G40" s="913"/>
      <c r="H40" s="921">
        <f>J40/M2</f>
        <v>5.0428186373715881E-4</v>
      </c>
      <c r="I40" s="921"/>
      <c r="J40" s="915">
        <f t="shared" si="3"/>
        <v>2940000</v>
      </c>
      <c r="K40" s="425" t="e">
        <f t="shared" si="4"/>
        <v>#VALUE!</v>
      </c>
      <c r="L40" s="2010" t="s">
        <v>1232</v>
      </c>
      <c r="M40" s="2016">
        <f>Q37/M2</f>
        <v>7.9842124168175814E-3</v>
      </c>
      <c r="N40" s="2010"/>
      <c r="O40" s="2010"/>
      <c r="P40" s="2010"/>
      <c r="Q40" s="2015">
        <f>+Q39+Q37</f>
        <v>46775220</v>
      </c>
      <c r="R40" s="1934"/>
    </row>
    <row r="41" spans="1:18">
      <c r="A41" s="916" t="s">
        <v>4241</v>
      </c>
      <c r="B41" s="917" t="s">
        <v>6324</v>
      </c>
      <c r="C41" s="925" t="s">
        <v>346</v>
      </c>
      <c r="D41" s="926">
        <f>+M3</f>
        <v>360</v>
      </c>
      <c r="E41" s="1402">
        <v>1</v>
      </c>
      <c r="F41" s="913">
        <v>16650.064411400446</v>
      </c>
      <c r="G41" s="913"/>
      <c r="H41" s="921">
        <f>J41/M2</f>
        <v>1.028121491354052E-3</v>
      </c>
      <c r="I41" s="921"/>
      <c r="J41" s="915">
        <f t="shared" si="3"/>
        <v>5994023.1881041611</v>
      </c>
      <c r="K41" s="425" t="e">
        <f t="shared" si="4"/>
        <v>#VALUE!</v>
      </c>
      <c r="L41" s="2010" t="s">
        <v>1234</v>
      </c>
      <c r="M41" s="2017">
        <v>113340</v>
      </c>
      <c r="N41" s="2010"/>
      <c r="O41" s="2010"/>
      <c r="P41" s="2010"/>
      <c r="Q41" s="2010"/>
      <c r="R41" s="1934"/>
    </row>
    <row r="42" spans="1:18" s="3036" customFormat="1" ht="36">
      <c r="A42" s="3025" t="s">
        <v>4243</v>
      </c>
      <c r="B42" s="3037" t="s">
        <v>4245</v>
      </c>
      <c r="C42" s="3025" t="s">
        <v>427</v>
      </c>
      <c r="D42" s="3027">
        <v>3</v>
      </c>
      <c r="E42" s="3028">
        <v>1</v>
      </c>
      <c r="F42" s="3029">
        <v>2000000</v>
      </c>
      <c r="G42" s="3029"/>
      <c r="H42" s="3030">
        <f>J42/M2</f>
        <v>1.0291466606880792E-3</v>
      </c>
      <c r="I42" s="3030"/>
      <c r="J42" s="3031">
        <f t="shared" si="3"/>
        <v>6000000</v>
      </c>
      <c r="K42" s="3032">
        <f t="shared" si="4"/>
        <v>3.0874399820642376E-4</v>
      </c>
      <c r="L42" s="3033"/>
      <c r="M42" s="3033"/>
      <c r="N42" s="3038"/>
      <c r="O42" s="3038"/>
      <c r="P42" s="3038"/>
      <c r="Q42" s="3038"/>
      <c r="R42" s="3038"/>
    </row>
    <row r="43" spans="1:18">
      <c r="A43" s="916" t="s">
        <v>4244</v>
      </c>
      <c r="B43" s="917" t="s">
        <v>839</v>
      </c>
      <c r="C43" s="925" t="s">
        <v>772</v>
      </c>
      <c r="D43" s="926">
        <v>1</v>
      </c>
      <c r="E43" s="1402">
        <v>1</v>
      </c>
      <c r="F43" s="913">
        <v>4200000</v>
      </c>
      <c r="G43" s="913"/>
      <c r="H43" s="921">
        <f>J43/M2</f>
        <v>7.2040266248165545E-4</v>
      </c>
      <c r="I43" s="921"/>
      <c r="J43" s="915">
        <f t="shared" si="3"/>
        <v>4200000</v>
      </c>
      <c r="K43" s="425">
        <f t="shared" si="4"/>
        <v>1.4408053249633109E-4</v>
      </c>
      <c r="L43" s="2010"/>
      <c r="M43" s="2010"/>
    </row>
    <row r="44" spans="1:18" s="3036" customFormat="1">
      <c r="A44" s="3025" t="s">
        <v>6399</v>
      </c>
      <c r="B44" s="3026" t="s">
        <v>6344</v>
      </c>
      <c r="C44" s="3025" t="s">
        <v>427</v>
      </c>
      <c r="D44" s="3027">
        <v>2</v>
      </c>
      <c r="E44" s="3028">
        <v>1</v>
      </c>
      <c r="F44" s="3029">
        <v>11389452.5</v>
      </c>
      <c r="G44" s="3029"/>
      <c r="H44" s="3030">
        <f>J44/M2</f>
        <v>3.9071390024801658E-3</v>
      </c>
      <c r="I44" s="3030"/>
      <c r="J44" s="3031">
        <f t="shared" ref="J44:J45" si="10">+D44*E44*F44</f>
        <v>22778905</v>
      </c>
      <c r="K44" s="3032" t="e">
        <f t="shared" si="4"/>
        <v>#VALUE!</v>
      </c>
      <c r="L44" s="3038">
        <v>1500322539</v>
      </c>
      <c r="M44" s="3038"/>
      <c r="N44" s="3038"/>
      <c r="O44" s="3038"/>
      <c r="P44" s="3038"/>
      <c r="Q44" s="3038"/>
      <c r="R44" s="3038"/>
    </row>
    <row r="45" spans="1:18" ht="36">
      <c r="A45" s="916" t="s">
        <v>6400</v>
      </c>
      <c r="B45" s="2968" t="s">
        <v>8798</v>
      </c>
      <c r="C45" s="925" t="s">
        <v>772</v>
      </c>
      <c r="D45" s="926">
        <v>1</v>
      </c>
      <c r="E45" s="1402">
        <v>1</v>
      </c>
      <c r="F45" s="913">
        <v>10000000</v>
      </c>
      <c r="G45" s="913"/>
      <c r="H45" s="921">
        <f>J45/M2</f>
        <v>1.7152444344801321E-3</v>
      </c>
      <c r="I45" s="921"/>
      <c r="J45" s="915">
        <f t="shared" si="10"/>
        <v>10000000</v>
      </c>
      <c r="K45" s="425">
        <f t="shared" si="4"/>
        <v>1.7152444344801322E-4</v>
      </c>
      <c r="L45" s="425">
        <f>+H47*M2</f>
        <v>1070337243.5407048</v>
      </c>
      <c r="M45" s="939">
        <f>SUM(J11:J19)</f>
        <v>1070337243.5407051</v>
      </c>
    </row>
    <row r="46" spans="1:18">
      <c r="A46" s="916" t="s">
        <v>6401</v>
      </c>
      <c r="B46" s="917" t="s">
        <v>6343</v>
      </c>
      <c r="C46" s="925" t="s">
        <v>772</v>
      </c>
      <c r="D46" s="926">
        <v>1</v>
      </c>
      <c r="E46" s="1402">
        <v>1</v>
      </c>
      <c r="F46" s="913">
        <v>10000000</v>
      </c>
      <c r="G46" s="913"/>
      <c r="H46" s="921">
        <f>J46/M2</f>
        <v>1.7152444344801321E-3</v>
      </c>
      <c r="I46" s="921"/>
      <c r="J46" s="915">
        <f t="shared" ref="J46" si="11">+D46*E46*F46</f>
        <v>10000000</v>
      </c>
      <c r="K46" s="425">
        <f t="shared" si="4"/>
        <v>3.4304888689602644E-4</v>
      </c>
    </row>
    <row r="47" spans="1:18">
      <c r="A47" s="2655"/>
      <c r="B47" s="3238" t="s">
        <v>8783</v>
      </c>
      <c r="C47" s="3238"/>
      <c r="D47" s="3238"/>
      <c r="E47" s="3238"/>
      <c r="F47" s="3238"/>
      <c r="G47" s="2655"/>
      <c r="H47" s="1933">
        <f>+SUM(H11:H19)</f>
        <v>0.18358899999999997</v>
      </c>
      <c r="I47" s="1933"/>
      <c r="J47" s="1940">
        <f>SUM(I10:I20)+1</f>
        <v>1500322539</v>
      </c>
      <c r="L47" s="2963">
        <f>+CONSOLIDADO!F951</f>
        <v>1500322539</v>
      </c>
    </row>
    <row r="48" spans="1:18">
      <c r="A48" s="928"/>
      <c r="B48" s="3238" t="s">
        <v>8784</v>
      </c>
      <c r="C48" s="3238"/>
      <c r="D48" s="3238"/>
      <c r="E48" s="3238"/>
      <c r="F48" s="3238"/>
      <c r="G48" s="1933"/>
      <c r="H48" s="2972">
        <f>SUM(H11:H46)</f>
        <v>0.24572249606750993</v>
      </c>
      <c r="I48" s="1933"/>
      <c r="J48" s="1940">
        <f>ROUND(+SUM(J10:J46),0)</f>
        <v>1432580052</v>
      </c>
      <c r="K48" s="2973">
        <f>+ADMINISTRA*M2</f>
        <v>1432580051.7288089</v>
      </c>
      <c r="L48" s="2966">
        <v>0.25088900000000003</v>
      </c>
      <c r="M48" s="425">
        <f>+L48*M2</f>
        <v>1462701146.0092051</v>
      </c>
      <c r="N48" s="2963">
        <v>1462701146.0092101</v>
      </c>
    </row>
    <row r="49" spans="1:18">
      <c r="A49" s="3230"/>
      <c r="B49" s="3230"/>
      <c r="C49" s="3230"/>
      <c r="D49" s="3230"/>
      <c r="E49" s="3230"/>
      <c r="F49" s="3230"/>
      <c r="G49" s="3230"/>
      <c r="H49" s="3230"/>
      <c r="I49" s="3230"/>
      <c r="J49" s="3230"/>
      <c r="M49" s="425">
        <f>+L48*M2</f>
        <v>1462701146.0092051</v>
      </c>
    </row>
    <row r="50" spans="1:18">
      <c r="A50" s="909" t="s">
        <v>260</v>
      </c>
      <c r="B50" s="3234" t="s">
        <v>841</v>
      </c>
      <c r="C50" s="3235"/>
      <c r="D50" s="3235"/>
      <c r="E50" s="3235"/>
      <c r="F50" s="3235"/>
      <c r="G50" s="3235"/>
      <c r="H50" s="3235"/>
      <c r="I50" s="2917"/>
      <c r="J50" s="910"/>
      <c r="L50" s="2967">
        <f>+I47-L48</f>
        <v>-0.25088900000000003</v>
      </c>
    </row>
    <row r="51" spans="1:18">
      <c r="A51" s="916"/>
      <c r="B51" s="3236" t="s">
        <v>4246</v>
      </c>
      <c r="C51" s="3237"/>
      <c r="D51" s="3237"/>
      <c r="E51" s="3237"/>
      <c r="F51" s="3237"/>
      <c r="G51" s="1937"/>
      <c r="H51" s="929">
        <v>0.01</v>
      </c>
      <c r="I51" s="929"/>
      <c r="J51" s="930">
        <f>+$M$2*H51</f>
        <v>58300728.450000003</v>
      </c>
      <c r="L51" s="425"/>
    </row>
    <row r="52" spans="1:18">
      <c r="A52" s="928"/>
      <c r="B52" s="3238" t="s">
        <v>843</v>
      </c>
      <c r="C52" s="3238"/>
      <c r="D52" s="3238"/>
      <c r="E52" s="3238"/>
      <c r="F52" s="3238"/>
      <c r="G52" s="1938"/>
      <c r="H52" s="1933">
        <v>0.01</v>
      </c>
      <c r="I52" s="1933"/>
      <c r="J52" s="1940">
        <f>ROUND(+J51,0)</f>
        <v>58300728</v>
      </c>
      <c r="K52" s="418"/>
      <c r="L52" s="939"/>
      <c r="N52" s="418"/>
      <c r="O52" s="418"/>
      <c r="P52" s="418"/>
      <c r="Q52" s="418"/>
      <c r="R52" s="418"/>
    </row>
    <row r="53" spans="1:18">
      <c r="A53" s="3230"/>
      <c r="B53" s="3230"/>
      <c r="C53" s="3230"/>
      <c r="D53" s="3230"/>
      <c r="E53" s="3230"/>
      <c r="F53" s="3230"/>
      <c r="G53" s="3230"/>
      <c r="H53" s="3230"/>
      <c r="I53" s="3230"/>
      <c r="J53" s="3230"/>
      <c r="K53" s="418"/>
      <c r="L53" s="425"/>
      <c r="N53" s="418"/>
      <c r="O53" s="418"/>
      <c r="P53" s="418"/>
      <c r="Q53" s="418"/>
      <c r="R53" s="418"/>
    </row>
    <row r="54" spans="1:18">
      <c r="A54" s="931" t="s">
        <v>1449</v>
      </c>
      <c r="B54" s="3234" t="s">
        <v>845</v>
      </c>
      <c r="C54" s="3235"/>
      <c r="D54" s="3235"/>
      <c r="E54" s="3235"/>
      <c r="F54" s="3235"/>
      <c r="G54" s="3235"/>
      <c r="H54" s="3235"/>
      <c r="I54" s="2917"/>
      <c r="J54" s="910"/>
      <c r="L54" s="418"/>
      <c r="M54" s="418"/>
    </row>
    <row r="55" spans="1:18">
      <c r="A55" s="916"/>
      <c r="B55" s="3237" t="s">
        <v>846</v>
      </c>
      <c r="C55" s="3237"/>
      <c r="D55" s="3237"/>
      <c r="E55" s="3237"/>
      <c r="F55" s="3237"/>
      <c r="G55" s="1937"/>
      <c r="H55" s="1402">
        <v>0.04</v>
      </c>
      <c r="I55" s="929"/>
      <c r="J55" s="930" t="e">
        <f>+H55*CONSOLIDADO!F947</f>
        <v>#REF!</v>
      </c>
      <c r="L55" s="418"/>
      <c r="M55" s="2971">
        <f>+H47*M2</f>
        <v>1070337243.5407048</v>
      </c>
    </row>
    <row r="56" spans="1:18">
      <c r="A56" s="928"/>
      <c r="B56" s="3238" t="s">
        <v>847</v>
      </c>
      <c r="C56" s="3238"/>
      <c r="D56" s="3238"/>
      <c r="E56" s="3238"/>
      <c r="F56" s="3238"/>
      <c r="G56" s="1938"/>
      <c r="H56" s="1933">
        <f>+H55</f>
        <v>0.04</v>
      </c>
      <c r="I56" s="1933"/>
      <c r="J56" s="1940" t="e">
        <f>ROUND(+J55,0)</f>
        <v>#REF!</v>
      </c>
      <c r="K56" s="418"/>
      <c r="M56" s="939">
        <f>SUM(J11:J19)</f>
        <v>1070337243.5407051</v>
      </c>
      <c r="N56" s="418"/>
      <c r="O56" s="418"/>
      <c r="P56" s="418"/>
      <c r="Q56" s="418"/>
      <c r="R56" s="418"/>
    </row>
    <row r="57" spans="1:18">
      <c r="A57" s="3230" t="s">
        <v>6342</v>
      </c>
      <c r="B57" s="3230"/>
      <c r="C57" s="3230"/>
      <c r="D57" s="3230"/>
      <c r="E57" s="3230"/>
      <c r="F57" s="3230"/>
      <c r="G57" s="3230"/>
      <c r="H57" s="3230"/>
      <c r="I57" s="3230"/>
      <c r="J57" s="3230"/>
      <c r="K57" s="418"/>
      <c r="L57" s="2963"/>
      <c r="N57" s="418"/>
      <c r="O57" s="418"/>
      <c r="P57" s="418"/>
      <c r="Q57" s="418"/>
      <c r="R57" s="418"/>
    </row>
    <row r="58" spans="1:18">
      <c r="A58" s="3231" t="s">
        <v>848</v>
      </c>
      <c r="B58" s="3232"/>
      <c r="C58" s="3232"/>
      <c r="D58" s="3232"/>
      <c r="E58" s="3232"/>
      <c r="F58" s="3233"/>
      <c r="G58" s="1939"/>
      <c r="H58" s="1933">
        <f>+H48+H52+H56</f>
        <v>0.29572249606750989</v>
      </c>
      <c r="I58" s="1933"/>
      <c r="J58" s="1941" t="e">
        <f>ROUND(+J48+J52+J56,0)</f>
        <v>#REF!</v>
      </c>
      <c r="L58" s="2970">
        <v>0.32088900000000004</v>
      </c>
      <c r="M58" s="418"/>
    </row>
    <row r="59" spans="1:18" s="1125" customFormat="1">
      <c r="A59" s="1118"/>
      <c r="B59" s="1118"/>
      <c r="C59" s="1119"/>
      <c r="D59" s="1120"/>
      <c r="E59" s="1120"/>
      <c r="F59" s="1121"/>
      <c r="G59" s="1121"/>
      <c r="H59" s="1122"/>
      <c r="I59" s="1122"/>
      <c r="J59" s="1943"/>
      <c r="K59" s="1124"/>
      <c r="L59" s="418"/>
      <c r="M59" s="418"/>
      <c r="N59" s="1124"/>
      <c r="O59" s="1124"/>
      <c r="P59" s="1124"/>
      <c r="Q59" s="1124"/>
      <c r="R59" s="1124"/>
    </row>
    <row r="60" spans="1:18" s="1125" customFormat="1">
      <c r="A60" s="1118"/>
      <c r="B60" s="1118"/>
      <c r="C60" s="1119"/>
      <c r="D60" s="1120"/>
      <c r="E60" s="1120"/>
      <c r="F60" s="1121"/>
      <c r="G60" s="1121"/>
      <c r="H60" s="1122"/>
      <c r="I60" s="1122"/>
      <c r="J60" s="1123"/>
      <c r="K60" s="1120"/>
      <c r="L60" s="417"/>
      <c r="M60" s="417"/>
      <c r="N60" s="1120"/>
      <c r="O60" s="1120"/>
      <c r="P60" s="1120"/>
      <c r="Q60" s="1120"/>
      <c r="R60" s="1120"/>
    </row>
    <row r="61" spans="1:18" s="1125" customFormat="1">
      <c r="A61" s="1118"/>
      <c r="B61" s="1118"/>
      <c r="C61" s="1119"/>
      <c r="D61" s="1120"/>
      <c r="E61" s="1120"/>
      <c r="F61" s="1121"/>
      <c r="G61" s="1121"/>
      <c r="H61" s="1122"/>
      <c r="I61" s="1122"/>
      <c r="J61" s="1123"/>
      <c r="K61" s="1120"/>
      <c r="L61" s="417"/>
      <c r="M61" s="417"/>
      <c r="N61" s="1120"/>
      <c r="O61" s="1120"/>
      <c r="P61" s="1120"/>
      <c r="Q61" s="1120"/>
      <c r="R61" s="1120"/>
    </row>
    <row r="62" spans="1:18" s="1125" customFormat="1">
      <c r="A62" s="1118"/>
      <c r="B62" s="1118"/>
      <c r="C62" s="1119"/>
      <c r="D62" s="1120"/>
      <c r="E62" s="1120"/>
      <c r="F62" s="1121"/>
      <c r="G62" s="1121"/>
      <c r="H62" s="1122"/>
      <c r="I62" s="1122"/>
      <c r="J62" s="1123"/>
      <c r="K62" s="1120"/>
      <c r="L62" s="1120"/>
      <c r="M62" s="1120"/>
      <c r="N62" s="1120"/>
      <c r="O62" s="1120"/>
      <c r="P62" s="1120"/>
      <c r="Q62" s="1120"/>
      <c r="R62" s="1120"/>
    </row>
    <row r="63" spans="1:18" s="1125" customFormat="1">
      <c r="A63" s="1118"/>
      <c r="B63" s="1126"/>
      <c r="C63" s="1119"/>
      <c r="D63" s="1120"/>
      <c r="E63" s="1120"/>
      <c r="F63" s="1121"/>
      <c r="G63" s="1121"/>
      <c r="H63" s="1122"/>
      <c r="I63" s="1122"/>
      <c r="J63" s="1123"/>
      <c r="K63" s="1124"/>
      <c r="L63" s="1120"/>
      <c r="M63" s="1120"/>
      <c r="N63" s="1124"/>
      <c r="O63" s="1124"/>
      <c r="P63" s="1124"/>
      <c r="Q63" s="1124"/>
      <c r="R63" s="1124"/>
    </row>
    <row r="64" spans="1:18" s="1125" customFormat="1">
      <c r="A64" s="1127"/>
      <c r="B64" s="1118"/>
      <c r="C64" s="1119"/>
      <c r="D64" s="1120"/>
      <c r="E64" s="1120"/>
      <c r="F64" s="1121"/>
      <c r="G64" s="1121"/>
      <c r="H64" s="1122"/>
      <c r="I64" s="1122"/>
      <c r="J64" s="1123"/>
      <c r="K64" s="1120"/>
      <c r="L64" s="1120"/>
      <c r="M64" s="1120"/>
      <c r="N64" s="1120"/>
      <c r="O64" s="1120"/>
      <c r="P64" s="1120"/>
      <c r="Q64" s="1120"/>
      <c r="R64" s="1120"/>
    </row>
    <row r="65" spans="1:18" s="1125" customFormat="1">
      <c r="A65" s="1118"/>
      <c r="B65" s="1118"/>
      <c r="C65" s="1119"/>
      <c r="D65" s="1120"/>
      <c r="E65" s="1120"/>
      <c r="F65" s="1121"/>
      <c r="G65" s="1121"/>
      <c r="H65" s="1122"/>
      <c r="I65" s="1122"/>
      <c r="J65" s="1123"/>
      <c r="K65" s="1120"/>
      <c r="L65" s="1124"/>
      <c r="M65" s="1124"/>
      <c r="N65" s="1120"/>
      <c r="O65" s="1120"/>
      <c r="P65" s="1120"/>
      <c r="Q65" s="1120"/>
      <c r="R65" s="1120"/>
    </row>
    <row r="66" spans="1:18" s="1125" customFormat="1">
      <c r="A66" s="1118"/>
      <c r="B66" s="1118"/>
      <c r="C66" s="1119"/>
      <c r="D66" s="1120"/>
      <c r="E66" s="1120"/>
      <c r="F66" s="1121"/>
      <c r="G66" s="1121"/>
      <c r="H66" s="1122"/>
      <c r="I66" s="1122"/>
      <c r="J66" s="1123"/>
      <c r="K66" s="1120"/>
      <c r="L66" s="1120"/>
      <c r="M66" s="1120"/>
      <c r="N66" s="1120"/>
      <c r="O66" s="1120"/>
      <c r="P66" s="1120"/>
      <c r="Q66" s="1120"/>
      <c r="R66" s="1120"/>
    </row>
    <row r="67" spans="1:18" s="1125" customFormat="1">
      <c r="A67" s="1118"/>
      <c r="B67" s="1118"/>
      <c r="C67" s="1119"/>
      <c r="D67" s="1120"/>
      <c r="E67" s="1120"/>
      <c r="F67" s="1121"/>
      <c r="G67" s="1121"/>
      <c r="H67" s="1122"/>
      <c r="I67" s="1122"/>
      <c r="J67" s="1123"/>
      <c r="K67" s="1120"/>
      <c r="L67" s="1120"/>
      <c r="M67" s="1120"/>
      <c r="N67" s="1120"/>
      <c r="O67" s="1120"/>
      <c r="P67" s="1120"/>
      <c r="Q67" s="1120"/>
      <c r="R67" s="1120"/>
    </row>
    <row r="68" spans="1:18" s="1125" customFormat="1">
      <c r="A68" s="1118"/>
      <c r="B68" s="1118"/>
      <c r="C68" s="1119"/>
      <c r="D68" s="1120"/>
      <c r="E68" s="1120"/>
      <c r="F68" s="1121"/>
      <c r="G68" s="1121"/>
      <c r="H68" s="1122"/>
      <c r="I68" s="1122"/>
      <c r="J68" s="1123"/>
      <c r="K68" s="1120"/>
      <c r="L68" s="1120"/>
      <c r="M68" s="1120"/>
      <c r="N68" s="1120"/>
      <c r="O68" s="1120"/>
      <c r="P68" s="1120"/>
      <c r="Q68" s="1120"/>
      <c r="R68" s="1120"/>
    </row>
    <row r="69" spans="1:18" s="1125" customFormat="1">
      <c r="A69" s="1126"/>
      <c r="B69" s="1126"/>
      <c r="C69" s="1128"/>
      <c r="D69" s="1124"/>
      <c r="E69" s="1124"/>
      <c r="F69" s="1129"/>
      <c r="G69" s="1129"/>
      <c r="H69" s="1130"/>
      <c r="I69" s="1130"/>
      <c r="J69" s="1131"/>
      <c r="K69" s="1120"/>
      <c r="L69" s="1120"/>
      <c r="M69" s="1120"/>
      <c r="N69" s="1120"/>
      <c r="O69" s="1120"/>
      <c r="P69" s="1120"/>
      <c r="Q69" s="1120"/>
      <c r="R69" s="1120"/>
    </row>
    <row r="70" spans="1:18" s="1125" customFormat="1">
      <c r="A70" s="1132"/>
      <c r="B70" s="1126"/>
      <c r="C70" s="1128"/>
      <c r="D70" s="1124"/>
      <c r="E70" s="1124"/>
      <c r="F70" s="1129"/>
      <c r="G70" s="1129"/>
      <c r="H70" s="1130"/>
      <c r="I70" s="1130"/>
      <c r="J70" s="1131"/>
      <c r="K70" s="1120"/>
      <c r="L70" s="1120"/>
      <c r="M70" s="1120"/>
      <c r="N70" s="1120"/>
      <c r="O70" s="1120"/>
      <c r="P70" s="1120"/>
      <c r="Q70" s="1120"/>
      <c r="R70" s="1120"/>
    </row>
    <row r="71" spans="1:18" s="1125" customFormat="1">
      <c r="A71" s="1126"/>
      <c r="B71" s="1126"/>
      <c r="C71" s="1128"/>
      <c r="D71" s="1124"/>
      <c r="E71" s="1124"/>
      <c r="F71" s="1129"/>
      <c r="G71" s="1129"/>
      <c r="H71" s="1130"/>
      <c r="I71" s="1130"/>
      <c r="J71" s="1131"/>
      <c r="K71" s="1120"/>
      <c r="L71" s="1120"/>
      <c r="M71" s="1120"/>
      <c r="N71" s="1120"/>
      <c r="O71" s="1120"/>
      <c r="P71" s="1120"/>
      <c r="Q71" s="1120"/>
      <c r="R71" s="1120"/>
    </row>
    <row r="72" spans="1:18" s="1125" customFormat="1">
      <c r="A72" s="1126"/>
      <c r="B72" s="1126"/>
      <c r="C72" s="1128"/>
      <c r="D72" s="1124"/>
      <c r="E72" s="1124"/>
      <c r="F72" s="1129"/>
      <c r="G72" s="1129"/>
      <c r="H72" s="1130"/>
      <c r="I72" s="1130"/>
      <c r="J72" s="1131"/>
      <c r="K72" s="1120"/>
      <c r="L72" s="1120"/>
      <c r="M72" s="1120"/>
      <c r="N72" s="1120"/>
      <c r="O72" s="1120"/>
      <c r="P72" s="1120"/>
      <c r="Q72" s="1120"/>
      <c r="R72" s="1120"/>
    </row>
    <row r="73" spans="1:18" s="1125" customFormat="1">
      <c r="A73" s="1126"/>
      <c r="B73" s="1126"/>
      <c r="C73" s="1128"/>
      <c r="D73" s="1124"/>
      <c r="E73" s="1124"/>
      <c r="F73" s="1129"/>
      <c r="G73" s="1129"/>
      <c r="H73" s="1130"/>
      <c r="I73" s="1130"/>
      <c r="J73" s="1131"/>
      <c r="K73" s="1120"/>
      <c r="L73" s="1120"/>
      <c r="M73" s="1120"/>
      <c r="N73" s="1120"/>
      <c r="O73" s="1120"/>
      <c r="P73" s="1120"/>
      <c r="Q73" s="1120"/>
      <c r="R73" s="1120"/>
    </row>
    <row r="74" spans="1:18" s="1125" customFormat="1">
      <c r="A74" s="1126"/>
      <c r="B74" s="1126"/>
      <c r="C74" s="1128"/>
      <c r="D74" s="1124"/>
      <c r="E74" s="1124"/>
      <c r="F74" s="1129"/>
      <c r="G74" s="1129"/>
      <c r="H74" s="1130"/>
      <c r="I74" s="1130"/>
      <c r="J74" s="1131"/>
      <c r="K74" s="1124"/>
      <c r="L74" s="1120"/>
      <c r="M74" s="1120"/>
      <c r="N74" s="1124"/>
      <c r="O74" s="1124"/>
      <c r="P74" s="1124"/>
      <c r="Q74" s="1124"/>
      <c r="R74" s="1124"/>
    </row>
    <row r="75" spans="1:18" s="1125" customFormat="1">
      <c r="A75" s="1126"/>
      <c r="B75" s="1126"/>
      <c r="C75" s="1128"/>
      <c r="D75" s="1124"/>
      <c r="E75" s="1124"/>
      <c r="F75" s="1129"/>
      <c r="G75" s="1129"/>
      <c r="H75" s="1130"/>
      <c r="I75" s="1130"/>
      <c r="J75" s="1131"/>
      <c r="K75" s="1124"/>
      <c r="L75" s="1124"/>
      <c r="M75" s="1124"/>
      <c r="N75" s="1124"/>
      <c r="O75" s="1124"/>
      <c r="P75" s="1124"/>
      <c r="Q75" s="1124"/>
      <c r="R75" s="1124"/>
    </row>
    <row r="76" spans="1:18" s="1125" customFormat="1">
      <c r="A76" s="1126"/>
      <c r="B76" s="1126"/>
      <c r="C76" s="1128"/>
      <c r="D76" s="1124"/>
      <c r="E76" s="1124"/>
      <c r="F76" s="1129"/>
      <c r="G76" s="1129"/>
      <c r="H76" s="1130"/>
      <c r="I76" s="1130"/>
      <c r="J76" s="1131"/>
      <c r="K76" s="1124"/>
      <c r="L76" s="1124"/>
      <c r="M76" s="1124"/>
      <c r="N76" s="1124"/>
      <c r="O76" s="1124"/>
      <c r="P76" s="1124"/>
      <c r="Q76" s="1124"/>
      <c r="R76" s="1124"/>
    </row>
    <row r="77" spans="1:18" s="1125" customFormat="1">
      <c r="A77" s="1126"/>
      <c r="B77" s="1126"/>
      <c r="C77" s="1128"/>
      <c r="D77" s="1124"/>
      <c r="E77" s="1124"/>
      <c r="F77" s="1129"/>
      <c r="G77" s="1129"/>
      <c r="H77" s="1130"/>
      <c r="I77" s="1130"/>
      <c r="J77" s="1131"/>
      <c r="K77" s="1124"/>
      <c r="L77" s="1124"/>
      <c r="M77" s="1124"/>
      <c r="N77" s="1124"/>
      <c r="O77" s="1124"/>
      <c r="P77" s="1124"/>
      <c r="Q77" s="1124"/>
      <c r="R77" s="1124"/>
    </row>
    <row r="78" spans="1:18">
      <c r="L78" s="1124"/>
      <c r="M78" s="1124"/>
    </row>
    <row r="79" spans="1:18">
      <c r="L79" s="1124"/>
      <c r="M79" s="1124"/>
    </row>
    <row r="80" spans="1:18">
      <c r="L80" s="1124"/>
      <c r="M80" s="1124"/>
    </row>
  </sheetData>
  <mergeCells count="23">
    <mergeCell ref="A4:H4"/>
    <mergeCell ref="A5:J5"/>
    <mergeCell ref="A1:A3"/>
    <mergeCell ref="B1:H1"/>
    <mergeCell ref="J1:J3"/>
    <mergeCell ref="B2:H2"/>
    <mergeCell ref="C3:E3"/>
    <mergeCell ref="F3:H3"/>
    <mergeCell ref="L5:M5"/>
    <mergeCell ref="B7:H7"/>
    <mergeCell ref="B9:H9"/>
    <mergeCell ref="B55:F55"/>
    <mergeCell ref="B56:F56"/>
    <mergeCell ref="B48:F48"/>
    <mergeCell ref="B47:F47"/>
    <mergeCell ref="A57:J57"/>
    <mergeCell ref="A58:F58"/>
    <mergeCell ref="A49:J49"/>
    <mergeCell ref="B50:H50"/>
    <mergeCell ref="B51:F51"/>
    <mergeCell ref="B52:F52"/>
    <mergeCell ref="A53:J53"/>
    <mergeCell ref="B54:H54"/>
  </mergeCells>
  <printOptions horizontalCentered="1" verticalCentered="1"/>
  <pageMargins left="0.70866141732283472" right="0.70866141732283472" top="0.35433070866141736" bottom="0.35433070866141736" header="0.31496062992125984" footer="0.31496062992125984"/>
  <pageSetup paperSize="9" scale="48" orientation="portrait" r:id="rId1"/>
  <colBreaks count="1" manualBreakCount="1">
    <brk id="10" max="76" man="1"/>
  </colBreak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theme="3" tint="-0.249977111117893"/>
  </sheetPr>
  <dimension ref="A1:Q1397"/>
  <sheetViews>
    <sheetView view="pageBreakPreview" topLeftCell="A189" zoomScale="25" zoomScaleNormal="55" zoomScaleSheetLayoutView="25" zoomScalePageLayoutView="10" workbookViewId="0">
      <selection activeCell="B228" sqref="B228"/>
    </sheetView>
  </sheetViews>
  <sheetFormatPr baseColWidth="10" defaultColWidth="11.44140625" defaultRowHeight="16.8"/>
  <cols>
    <col min="1" max="1" width="17.6640625" style="287" customWidth="1"/>
    <col min="2" max="2" width="62.44140625" style="247" customWidth="1"/>
    <col min="3" max="3" width="6.88671875" style="73" customWidth="1"/>
    <col min="4" max="4" width="8.6640625" style="317" bestFit="1" customWidth="1"/>
    <col min="5" max="5" width="13.6640625" style="280" bestFit="1" customWidth="1"/>
    <col min="6" max="6" width="24.109375" style="280" bestFit="1" customWidth="1"/>
    <col min="7" max="7" width="16.6640625" style="255" customWidth="1"/>
    <col min="8" max="8" width="15.6640625" style="255" customWidth="1"/>
    <col min="9" max="9" width="49.6640625" style="255" customWidth="1"/>
    <col min="10" max="10" width="14.5546875" style="255" customWidth="1"/>
    <col min="11" max="16384" width="11.44140625" style="247"/>
  </cols>
  <sheetData>
    <row r="1" spans="1:17" ht="21.9" customHeight="1">
      <c r="A1" s="73"/>
      <c r="B1" s="249"/>
      <c r="C1" s="249"/>
      <c r="D1" s="249"/>
      <c r="E1" s="250"/>
      <c r="F1" s="73"/>
      <c r="G1" s="247"/>
      <c r="H1" s="247"/>
      <c r="I1" s="247"/>
      <c r="J1" s="247"/>
    </row>
    <row r="2" spans="1:17" s="492" customFormat="1" ht="12.75" customHeight="1" thickBot="1">
      <c r="A2" s="946"/>
      <c r="B2" s="947"/>
      <c r="C2" s="947"/>
      <c r="D2" s="947"/>
      <c r="E2" s="947"/>
      <c r="F2" s="947"/>
      <c r="G2" s="61"/>
      <c r="H2" s="61"/>
      <c r="I2" s="61"/>
      <c r="J2" s="61"/>
      <c r="K2" s="61"/>
    </row>
    <row r="3" spans="1:17" s="492" customFormat="1" ht="40.5" customHeight="1">
      <c r="A3" s="3507"/>
      <c r="B3" s="3511" t="s">
        <v>6313</v>
      </c>
      <c r="C3" s="3512"/>
      <c r="D3" s="3512"/>
      <c r="E3" s="3610"/>
      <c r="F3" s="3613"/>
      <c r="G3" s="502"/>
      <c r="H3" s="2173"/>
      <c r="I3" s="2173"/>
      <c r="J3" s="61"/>
      <c r="K3" s="61"/>
    </row>
    <row r="4" spans="1:17" s="492" customFormat="1" ht="19.2">
      <c r="A4" s="3508"/>
      <c r="B4" s="3516" t="s">
        <v>4260</v>
      </c>
      <c r="C4" s="3326"/>
      <c r="D4" s="3326"/>
      <c r="E4" s="3327"/>
      <c r="F4" s="3614"/>
      <c r="G4" s="502"/>
      <c r="H4" s="2173"/>
      <c r="I4" s="2173"/>
      <c r="J4" s="61"/>
      <c r="K4" s="61"/>
    </row>
    <row r="5" spans="1:17" s="492" customFormat="1" ht="19.8" thickBot="1">
      <c r="A5" s="3509"/>
      <c r="B5" s="1867" t="s">
        <v>3859</v>
      </c>
      <c r="C5" s="3514" t="s">
        <v>8577</v>
      </c>
      <c r="D5" s="3611"/>
      <c r="E5" s="3612"/>
      <c r="F5" s="3615"/>
      <c r="G5" s="247"/>
      <c r="H5" s="2173"/>
      <c r="I5" s="2173"/>
      <c r="J5" s="61"/>
      <c r="K5" s="61"/>
    </row>
    <row r="6" spans="1:17" s="492" customFormat="1">
      <c r="A6" s="178"/>
      <c r="B6" s="578"/>
      <c r="C6" s="666"/>
      <c r="D6" s="17"/>
      <c r="E6" s="581"/>
      <c r="F6" s="581"/>
      <c r="G6" s="580"/>
      <c r="H6" s="580"/>
      <c r="I6" s="580"/>
      <c r="J6" s="61"/>
      <c r="K6" s="61"/>
    </row>
    <row r="7" spans="1:17" s="19" customFormat="1" ht="15.75" customHeight="1">
      <c r="A7" s="251"/>
      <c r="B7" s="252"/>
      <c r="C7" s="13"/>
      <c r="D7" s="170"/>
      <c r="E7" s="170"/>
      <c r="F7" s="170"/>
      <c r="G7" s="170"/>
      <c r="H7" s="170"/>
    </row>
    <row r="8" spans="1:17" ht="24.75" customHeight="1">
      <c r="A8" s="3600" t="s">
        <v>7919</v>
      </c>
      <c r="B8" s="3600"/>
      <c r="C8" s="3600"/>
      <c r="D8" s="3600"/>
      <c r="E8" s="3600"/>
      <c r="F8" s="3600"/>
      <c r="G8" s="253"/>
      <c r="H8" s="253"/>
      <c r="I8" s="253"/>
      <c r="J8" s="253"/>
    </row>
    <row r="9" spans="1:17" s="19" customFormat="1" ht="15.75" customHeight="1">
      <c r="A9" s="251"/>
      <c r="B9" s="252"/>
      <c r="C9" s="13"/>
      <c r="D9" s="170"/>
      <c r="E9" s="170"/>
      <c r="F9" s="170"/>
      <c r="G9" s="170"/>
      <c r="H9" s="170"/>
    </row>
    <row r="10" spans="1:17" ht="35.25" customHeight="1">
      <c r="A10" s="244" t="s">
        <v>22</v>
      </c>
      <c r="B10" s="245" t="s">
        <v>23</v>
      </c>
      <c r="C10" s="245" t="s">
        <v>150</v>
      </c>
      <c r="D10" s="246" t="s">
        <v>539</v>
      </c>
      <c r="E10" s="245" t="s">
        <v>151</v>
      </c>
      <c r="F10" s="246" t="s">
        <v>540</v>
      </c>
      <c r="G10" s="254"/>
      <c r="K10" s="1706"/>
      <c r="L10" s="1706"/>
      <c r="M10" s="255"/>
      <c r="N10" s="255"/>
      <c r="O10" s="255"/>
      <c r="P10" s="255"/>
      <c r="Q10" s="255"/>
    </row>
    <row r="11" spans="1:17">
      <c r="A11" s="2234" t="s">
        <v>622</v>
      </c>
      <c r="B11" s="3601" t="s">
        <v>5782</v>
      </c>
      <c r="C11" s="3602"/>
      <c r="D11" s="3602"/>
      <c r="E11" s="3602"/>
      <c r="F11" s="3603"/>
      <c r="G11" s="254"/>
      <c r="K11" s="1706"/>
      <c r="L11" s="1706"/>
      <c r="M11" s="255"/>
      <c r="N11" s="255"/>
      <c r="O11" s="255"/>
      <c r="P11" s="255"/>
      <c r="Q11" s="255"/>
    </row>
    <row r="12" spans="1:17" s="1721" customFormat="1" ht="20.100000000000001" customHeight="1">
      <c r="A12" s="1718"/>
      <c r="B12" s="975" t="s">
        <v>1082</v>
      </c>
      <c r="C12" s="1719"/>
      <c r="D12" s="976"/>
      <c r="E12" s="1720"/>
      <c r="F12" s="977"/>
    </row>
    <row r="13" spans="1:17" s="1721" customFormat="1" ht="20.100000000000001" customHeight="1">
      <c r="A13" s="1722" t="s">
        <v>34</v>
      </c>
      <c r="B13" s="978" t="s">
        <v>1083</v>
      </c>
      <c r="C13" s="1723"/>
      <c r="D13" s="979"/>
      <c r="E13" s="1724"/>
      <c r="F13" s="2668">
        <f>F14</f>
        <v>24257376</v>
      </c>
    </row>
    <row r="14" spans="1:17">
      <c r="A14" s="1879" t="s">
        <v>805</v>
      </c>
      <c r="B14" s="320" t="s">
        <v>1086</v>
      </c>
      <c r="C14" s="321" t="s">
        <v>94</v>
      </c>
      <c r="D14" s="2657">
        <f>10296</f>
        <v>10296</v>
      </c>
      <c r="E14" s="322">
        <f>+'APU LINEAS IMPULSIÓN'!$B$17</f>
        <v>2356</v>
      </c>
      <c r="F14" s="2669">
        <f>+ROUND(E14*D14,0)</f>
        <v>24257376</v>
      </c>
      <c r="G14" s="1887"/>
      <c r="H14" s="247"/>
      <c r="I14" s="247"/>
      <c r="J14" s="247"/>
    </row>
    <row r="15" spans="1:17">
      <c r="A15" s="1722" t="s">
        <v>1443</v>
      </c>
      <c r="B15" s="978" t="s">
        <v>1087</v>
      </c>
      <c r="C15" s="1723"/>
      <c r="D15" s="979"/>
      <c r="E15" s="1724"/>
      <c r="F15" s="2668">
        <f>SUM(F16:F20)</f>
        <v>114229441</v>
      </c>
      <c r="G15" s="1888"/>
      <c r="H15" s="247"/>
      <c r="I15" s="247"/>
      <c r="J15" s="247"/>
    </row>
    <row r="16" spans="1:17">
      <c r="A16" s="1878" t="s">
        <v>4224</v>
      </c>
      <c r="B16" s="492" t="s">
        <v>6265</v>
      </c>
      <c r="C16" s="2193" t="s">
        <v>356</v>
      </c>
      <c r="D16" s="270">
        <v>65.8</v>
      </c>
      <c r="E16" s="260">
        <f>+'APU LINEAS IMPULSIÓN'!$B$27</f>
        <v>51559</v>
      </c>
      <c r="F16" s="2389">
        <f t="shared" ref="F16:F20" si="0">+ROUND(E16*D16,0)</f>
        <v>3392582</v>
      </c>
      <c r="G16" s="247"/>
      <c r="I16" s="247"/>
      <c r="J16" s="247"/>
    </row>
    <row r="17" spans="1:17">
      <c r="A17" s="1878" t="s">
        <v>5773</v>
      </c>
      <c r="B17" s="323" t="s">
        <v>1108</v>
      </c>
      <c r="C17" s="2193" t="s">
        <v>94</v>
      </c>
      <c r="D17" s="271">
        <v>10904.900000000001</v>
      </c>
      <c r="E17" s="260">
        <f>+'APU LINEAS IMPULSIÓN'!$B$34</f>
        <v>5176</v>
      </c>
      <c r="F17" s="2389">
        <f t="shared" si="0"/>
        <v>56443762</v>
      </c>
      <c r="G17" s="247"/>
      <c r="H17" s="247"/>
      <c r="I17" s="247"/>
      <c r="J17" s="247"/>
    </row>
    <row r="18" spans="1:17">
      <c r="A18" s="1878" t="s">
        <v>5774</v>
      </c>
      <c r="B18" s="323" t="s">
        <v>6254</v>
      </c>
      <c r="C18" s="2193" t="s">
        <v>94</v>
      </c>
      <c r="D18" s="259">
        <v>1369.1</v>
      </c>
      <c r="E18" s="260">
        <f>+'APU LINEAS IMPULSIÓN'!$B$42</f>
        <v>11371.692038071427</v>
      </c>
      <c r="F18" s="2389">
        <f t="shared" si="0"/>
        <v>15568984</v>
      </c>
      <c r="G18" s="247"/>
      <c r="H18" s="247"/>
      <c r="I18" s="247"/>
      <c r="J18" s="247"/>
    </row>
    <row r="19" spans="1:17">
      <c r="A19" s="2137" t="s">
        <v>5775</v>
      </c>
      <c r="B19" s="323" t="s">
        <v>6255</v>
      </c>
      <c r="C19" s="2193" t="s">
        <v>94</v>
      </c>
      <c r="D19" s="259">
        <v>3343.8</v>
      </c>
      <c r="E19" s="260">
        <f>+'APU LINEAS IMPULSIÓN'!$B$50</f>
        <v>9950.2305333125005</v>
      </c>
      <c r="F19" s="2389">
        <f t="shared" si="0"/>
        <v>33271581</v>
      </c>
      <c r="G19" s="247"/>
      <c r="H19" s="247"/>
      <c r="I19" s="247"/>
      <c r="J19" s="247"/>
    </row>
    <row r="20" spans="1:17">
      <c r="A20" s="2137" t="s">
        <v>5776</v>
      </c>
      <c r="B20" s="323" t="s">
        <v>6256</v>
      </c>
      <c r="C20" s="2193" t="s">
        <v>356</v>
      </c>
      <c r="D20" s="259">
        <v>109.5</v>
      </c>
      <c r="E20" s="260">
        <f>+'APU LINEAS IMPULSIÓN'!$B$58</f>
        <v>50708.052078235298</v>
      </c>
      <c r="F20" s="2389">
        <f t="shared" si="0"/>
        <v>5552532</v>
      </c>
      <c r="G20" s="247"/>
      <c r="H20" s="247"/>
      <c r="I20" s="247"/>
      <c r="J20" s="247"/>
    </row>
    <row r="21" spans="1:17">
      <c r="A21" s="1722" t="s">
        <v>1444</v>
      </c>
      <c r="B21" s="978" t="s">
        <v>1104</v>
      </c>
      <c r="C21" s="1723"/>
      <c r="D21" s="979"/>
      <c r="E21" s="1724"/>
      <c r="F21" s="980">
        <f>SUM(F22:F31)</f>
        <v>1185268163</v>
      </c>
      <c r="G21" s="247"/>
      <c r="H21" s="247"/>
      <c r="I21" s="247"/>
      <c r="J21" s="247"/>
    </row>
    <row r="22" spans="1:17" ht="21" customHeight="1">
      <c r="A22" s="1879" t="s">
        <v>4227</v>
      </c>
      <c r="B22" s="258" t="s">
        <v>6287</v>
      </c>
      <c r="C22" s="471" t="s">
        <v>1084</v>
      </c>
      <c r="D22" s="259">
        <f>12408.2*0.7</f>
        <v>8685.74</v>
      </c>
      <c r="E22" s="260">
        <f>+'APU LINEAS IMPULSIÓN'!$B$66</f>
        <v>10000</v>
      </c>
      <c r="F22" s="260">
        <f t="shared" ref="F22:F31" si="1">ROUND(+E22*D22,0)</f>
        <v>86857400</v>
      </c>
      <c r="G22" s="261"/>
      <c r="H22" s="262"/>
      <c r="I22" s="262"/>
      <c r="J22" s="247"/>
    </row>
    <row r="23" spans="1:17" ht="22.5" customHeight="1">
      <c r="A23" s="1879" t="s">
        <v>4229</v>
      </c>
      <c r="B23" s="263" t="s">
        <v>6261</v>
      </c>
      <c r="C23" s="471" t="s">
        <v>1084</v>
      </c>
      <c r="D23" s="259">
        <f>12408.2*0.29</f>
        <v>3598.3780000000002</v>
      </c>
      <c r="E23" s="265">
        <f>+'APU LINEAS IMPULSIÓN'!B73</f>
        <v>23473.224058666663</v>
      </c>
      <c r="F23" s="260">
        <f t="shared" si="1"/>
        <v>84465533</v>
      </c>
      <c r="H23" s="348"/>
      <c r="I23" s="262"/>
      <c r="J23" s="1868"/>
      <c r="L23" s="1868"/>
      <c r="M23" s="1868"/>
      <c r="N23" s="1868"/>
      <c r="O23" s="261"/>
    </row>
    <row r="24" spans="1:17" ht="17.399999999999999">
      <c r="A24" s="2188" t="s">
        <v>4230</v>
      </c>
      <c r="B24" s="263" t="s">
        <v>6292</v>
      </c>
      <c r="C24" s="248" t="s">
        <v>1084</v>
      </c>
      <c r="D24" s="266">
        <f>12408.2*0.01</f>
        <v>124.08200000000001</v>
      </c>
      <c r="E24" s="265">
        <f>+'APU LINEAS IMPULSIÓN'!$B$81</f>
        <v>75938.251377333334</v>
      </c>
      <c r="F24" s="260">
        <f t="shared" si="1"/>
        <v>9422570</v>
      </c>
      <c r="G24" s="267"/>
      <c r="H24" s="262"/>
      <c r="I24" s="262"/>
      <c r="J24" s="268"/>
      <c r="L24" s="255"/>
      <c r="M24" s="255"/>
      <c r="N24" s="255"/>
      <c r="O24" s="255"/>
      <c r="P24" s="255"/>
      <c r="Q24" s="255"/>
    </row>
    <row r="25" spans="1:17" ht="33.6">
      <c r="A25" s="2188" t="s">
        <v>4232</v>
      </c>
      <c r="B25" s="349" t="s">
        <v>6333</v>
      </c>
      <c r="C25" s="248" t="s">
        <v>8540</v>
      </c>
      <c r="D25" s="266">
        <v>6111.8479505816122</v>
      </c>
      <c r="E25" s="265">
        <f>+'APU LINEAS IMPULSIÓN'!B$88</f>
        <v>1826.1904761904761</v>
      </c>
      <c r="F25" s="260">
        <f t="shared" si="1"/>
        <v>11161399</v>
      </c>
      <c r="G25" s="267"/>
      <c r="H25" s="1109"/>
      <c r="I25" s="262"/>
      <c r="J25" s="268"/>
      <c r="L25" s="255"/>
      <c r="M25" s="255"/>
      <c r="N25" s="255"/>
      <c r="O25" s="255"/>
      <c r="P25" s="255"/>
      <c r="Q25" s="255"/>
    </row>
    <row r="26" spans="1:17" ht="50.4">
      <c r="A26" s="2188" t="s">
        <v>4233</v>
      </c>
      <c r="B26" s="263" t="s">
        <v>5063</v>
      </c>
      <c r="C26" s="248" t="s">
        <v>1085</v>
      </c>
      <c r="D26" s="266">
        <v>3844.0000000000005</v>
      </c>
      <c r="E26" s="265">
        <f>+'APU LINEAS IMPULSIÓN'!$B$97</f>
        <v>87012</v>
      </c>
      <c r="F26" s="260">
        <f t="shared" si="1"/>
        <v>334474128</v>
      </c>
      <c r="G26" s="267"/>
      <c r="H26" s="1996"/>
      <c r="J26" s="268"/>
      <c r="K26" s="255"/>
      <c r="L26" s="255"/>
      <c r="M26" s="255"/>
      <c r="N26" s="255"/>
      <c r="O26" s="255"/>
      <c r="P26" s="255"/>
      <c r="Q26" s="255"/>
    </row>
    <row r="27" spans="1:17" ht="50.4">
      <c r="A27" s="2188" t="s">
        <v>4234</v>
      </c>
      <c r="B27" s="263" t="s">
        <v>1102</v>
      </c>
      <c r="C27" s="471" t="s">
        <v>1085</v>
      </c>
      <c r="D27" s="264">
        <v>8968.7500000000018</v>
      </c>
      <c r="E27" s="265">
        <f>+'APU LINEAS IMPULSIÓN'!$B$105</f>
        <v>12212</v>
      </c>
      <c r="F27" s="260">
        <f t="shared" si="1"/>
        <v>109526375</v>
      </c>
      <c r="H27" s="2174"/>
      <c r="I27" s="2174"/>
      <c r="J27" s="2174"/>
      <c r="K27" s="2174"/>
      <c r="L27" s="2174"/>
      <c r="M27" s="2174"/>
      <c r="N27" s="2174"/>
      <c r="O27" s="261"/>
    </row>
    <row r="28" spans="1:17" ht="33.6">
      <c r="A28" s="2188" t="s">
        <v>5778</v>
      </c>
      <c r="B28" s="263" t="s">
        <v>6249</v>
      </c>
      <c r="C28" s="471" t="s">
        <v>1085</v>
      </c>
      <c r="D28" s="264">
        <v>1530.6</v>
      </c>
      <c r="E28" s="265">
        <f>+'APU LINEAS IMPULSIÓN'!$B$113</f>
        <v>88113</v>
      </c>
      <c r="F28" s="260">
        <f t="shared" si="1"/>
        <v>134865758</v>
      </c>
      <c r="H28" s="1868"/>
      <c r="I28" s="1868"/>
      <c r="J28" s="1868"/>
      <c r="K28" s="1868"/>
      <c r="L28" s="1868"/>
      <c r="M28" s="1868"/>
      <c r="N28" s="1868"/>
      <c r="O28" s="261"/>
    </row>
    <row r="29" spans="1:17" ht="50.4">
      <c r="A29" s="2188" t="s">
        <v>5779</v>
      </c>
      <c r="B29" s="323" t="s">
        <v>5741</v>
      </c>
      <c r="C29" s="471" t="s">
        <v>45</v>
      </c>
      <c r="D29" s="264">
        <v>60</v>
      </c>
      <c r="E29" s="265">
        <f>+'APU LINEAS IMPULSIÓN'!B119</f>
        <v>2454375</v>
      </c>
      <c r="F29" s="260">
        <f t="shared" si="1"/>
        <v>147262500</v>
      </c>
      <c r="H29" s="1868"/>
      <c r="I29" s="1868"/>
      <c r="J29" s="1868"/>
      <c r="K29" s="1868"/>
      <c r="L29" s="1868"/>
      <c r="M29" s="1868"/>
      <c r="N29" s="1868"/>
      <c r="O29" s="261"/>
    </row>
    <row r="30" spans="1:17" ht="50.4">
      <c r="A30" s="2188" t="s">
        <v>5780</v>
      </c>
      <c r="B30" s="323" t="s">
        <v>5742</v>
      </c>
      <c r="C30" s="471" t="s">
        <v>45</v>
      </c>
      <c r="D30" s="264">
        <v>60</v>
      </c>
      <c r="E30" s="265">
        <f>+'APU LINEAS IMPULSIÓN'!B119</f>
        <v>2454375</v>
      </c>
      <c r="F30" s="260">
        <f t="shared" si="1"/>
        <v>147262500</v>
      </c>
      <c r="H30" s="1868"/>
      <c r="I30" s="1868"/>
      <c r="J30" s="1868"/>
      <c r="K30" s="1868"/>
      <c r="L30" s="1868"/>
      <c r="M30" s="1868"/>
      <c r="N30" s="1868"/>
      <c r="O30" s="261"/>
    </row>
    <row r="31" spans="1:17" ht="41.25" customHeight="1">
      <c r="A31" s="2188" t="s">
        <v>5781</v>
      </c>
      <c r="B31" s="323" t="s">
        <v>5743</v>
      </c>
      <c r="C31" s="471" t="s">
        <v>94</v>
      </c>
      <c r="D31" s="471">
        <v>30</v>
      </c>
      <c r="E31" s="265">
        <f>+'APU LINEAS IMPULSIÓN'!B126</f>
        <v>3999000</v>
      </c>
      <c r="F31" s="260">
        <f t="shared" si="1"/>
        <v>119970000</v>
      </c>
      <c r="H31" s="1868"/>
      <c r="I31" s="1868"/>
      <c r="J31" s="1868"/>
      <c r="K31" s="1868"/>
      <c r="L31" s="1868"/>
      <c r="M31" s="1868"/>
      <c r="N31" s="1868"/>
      <c r="O31" s="261"/>
    </row>
    <row r="32" spans="1:17">
      <c r="A32" s="1877">
        <v>1.4</v>
      </c>
      <c r="B32" s="981" t="s">
        <v>1106</v>
      </c>
      <c r="C32" s="982"/>
      <c r="D32" s="982"/>
      <c r="E32" s="982"/>
      <c r="F32" s="980">
        <f>SUM(F33:F39)</f>
        <v>358528556</v>
      </c>
      <c r="H32" s="247"/>
      <c r="I32" s="273"/>
      <c r="J32" s="273"/>
      <c r="K32" s="1706"/>
      <c r="L32" s="275"/>
      <c r="M32" s="255"/>
      <c r="N32" s="255"/>
      <c r="O32" s="273"/>
      <c r="P32" s="276"/>
      <c r="Q32" s="276"/>
    </row>
    <row r="33" spans="1:17" ht="30.75" customHeight="1">
      <c r="A33" s="1878" t="s">
        <v>4235</v>
      </c>
      <c r="B33" s="323" t="s">
        <v>6294</v>
      </c>
      <c r="C33" s="2193" t="s">
        <v>1084</v>
      </c>
      <c r="D33" s="259">
        <v>17</v>
      </c>
      <c r="E33" s="2235">
        <f>+'APU LINEAS IMPULSIÓN'!B163</f>
        <v>508061.26403443597</v>
      </c>
      <c r="F33" s="272">
        <f t="shared" ref="F33:F41" si="2">ROUND((+E33*D33),0)</f>
        <v>8637041</v>
      </c>
      <c r="H33" s="247"/>
      <c r="I33" s="273"/>
      <c r="J33" s="273"/>
      <c r="K33" s="1706"/>
      <c r="L33" s="275"/>
      <c r="M33" s="255"/>
      <c r="N33" s="255"/>
      <c r="O33" s="273"/>
      <c r="P33" s="276"/>
      <c r="Q33" s="276"/>
    </row>
    <row r="34" spans="1:17" ht="33.75" customHeight="1">
      <c r="A34" s="1878" t="s">
        <v>4236</v>
      </c>
      <c r="B34" s="323" t="s">
        <v>6295</v>
      </c>
      <c r="C34" s="2193" t="s">
        <v>1084</v>
      </c>
      <c r="D34" s="259">
        <v>5</v>
      </c>
      <c r="E34" s="2235">
        <f>+'APU LINEAS IMPULSIÓN'!B173</f>
        <v>583833.86392370739</v>
      </c>
      <c r="F34" s="272">
        <f t="shared" si="2"/>
        <v>2919169</v>
      </c>
      <c r="H34" s="247"/>
      <c r="I34" s="273"/>
      <c r="J34" s="273"/>
      <c r="K34" s="1706"/>
      <c r="L34" s="275"/>
      <c r="M34" s="255"/>
      <c r="N34" s="255"/>
      <c r="O34" s="273"/>
      <c r="P34" s="276"/>
      <c r="Q34" s="276"/>
    </row>
    <row r="35" spans="1:17" ht="50.4">
      <c r="A35" s="2137" t="s">
        <v>4237</v>
      </c>
      <c r="B35" s="323" t="s">
        <v>6297</v>
      </c>
      <c r="C35" s="2193" t="s">
        <v>1084</v>
      </c>
      <c r="D35" s="259">
        <f>+D16</f>
        <v>65.8</v>
      </c>
      <c r="E35" s="2235">
        <f>+'APU LINEAS IMPULSIÓN'!$B$189</f>
        <v>721312.05156987999</v>
      </c>
      <c r="F35" s="272">
        <f>ROUND((+E35*D35),0)</f>
        <v>47462333</v>
      </c>
      <c r="H35" s="247"/>
      <c r="I35" s="273"/>
      <c r="J35" s="273"/>
      <c r="K35" s="1706"/>
      <c r="L35" s="275"/>
      <c r="M35" s="255"/>
      <c r="N35" s="255"/>
      <c r="O35" s="273"/>
      <c r="P35" s="276"/>
      <c r="Q35" s="276"/>
    </row>
    <row r="36" spans="1:17">
      <c r="A36" s="2137" t="s">
        <v>4238</v>
      </c>
      <c r="B36" s="323" t="s">
        <v>8709</v>
      </c>
      <c r="C36" s="2193" t="s">
        <v>94</v>
      </c>
      <c r="D36" s="259">
        <f>+D19</f>
        <v>3343.8</v>
      </c>
      <c r="E36" s="2235">
        <f>+'APU LINEAS IMPULSIÓN'!$B$199</f>
        <v>54299.213951898993</v>
      </c>
      <c r="F36" s="272">
        <f t="shared" si="2"/>
        <v>181565712</v>
      </c>
      <c r="H36" s="247"/>
      <c r="I36" s="273"/>
      <c r="J36" s="273"/>
      <c r="K36" s="1706"/>
      <c r="L36" s="275"/>
      <c r="M36" s="255"/>
      <c r="N36" s="255"/>
      <c r="O36" s="273"/>
      <c r="P36" s="276"/>
      <c r="Q36" s="276"/>
    </row>
    <row r="37" spans="1:17">
      <c r="A37" s="2137" t="s">
        <v>4239</v>
      </c>
      <c r="B37" s="323" t="s">
        <v>1122</v>
      </c>
      <c r="C37" s="2193" t="s">
        <v>94</v>
      </c>
      <c r="D37" s="259">
        <f>+D18</f>
        <v>1369.1</v>
      </c>
      <c r="E37" s="2235">
        <f>+'APU LINEAS IMPULSIÓN'!$B$210</f>
        <v>41838.174079316326</v>
      </c>
      <c r="F37" s="272">
        <f t="shared" si="2"/>
        <v>57280644</v>
      </c>
      <c r="H37" s="247"/>
      <c r="I37" s="273"/>
      <c r="J37" s="273"/>
      <c r="K37" s="1706"/>
      <c r="L37" s="275"/>
      <c r="M37" s="255"/>
      <c r="N37" s="255"/>
      <c r="O37" s="273"/>
      <c r="P37" s="276"/>
      <c r="Q37" s="276"/>
    </row>
    <row r="38" spans="1:17" ht="50.4">
      <c r="A38" s="2137" t="s">
        <v>4240</v>
      </c>
      <c r="B38" s="323" t="s">
        <v>6299</v>
      </c>
      <c r="C38" s="2193" t="s">
        <v>1084</v>
      </c>
      <c r="D38" s="259">
        <f>+D20</f>
        <v>109.5</v>
      </c>
      <c r="E38" s="2235">
        <f>+'APU LINEAS IMPULSIÓN'!$B$226</f>
        <v>444652.84510301804</v>
      </c>
      <c r="F38" s="272">
        <f t="shared" si="2"/>
        <v>48689487</v>
      </c>
      <c r="H38" s="247"/>
      <c r="I38" s="273"/>
      <c r="J38" s="273"/>
      <c r="K38" s="1706"/>
      <c r="L38" s="275"/>
      <c r="M38" s="255"/>
      <c r="N38" s="255"/>
      <c r="O38" s="273"/>
      <c r="P38" s="276"/>
      <c r="Q38" s="276"/>
    </row>
    <row r="39" spans="1:17" ht="50.4">
      <c r="A39" s="2137" t="s">
        <v>4241</v>
      </c>
      <c r="B39" s="258" t="s">
        <v>542</v>
      </c>
      <c r="C39" s="248" t="s">
        <v>133</v>
      </c>
      <c r="D39" s="259">
        <f>+SUM(D68:D69)</f>
        <v>17</v>
      </c>
      <c r="E39" s="2235">
        <f>+'APU LINEAS IMPULSIÓN'!$B$238</f>
        <v>704362.91278373147</v>
      </c>
      <c r="F39" s="272">
        <f t="shared" si="2"/>
        <v>11974170</v>
      </c>
      <c r="G39" s="278"/>
      <c r="K39" s="255"/>
    </row>
    <row r="40" spans="1:17">
      <c r="A40" s="2667"/>
      <c r="B40" s="258" t="s">
        <v>8556</v>
      </c>
      <c r="C40" s="248" t="s">
        <v>133</v>
      </c>
      <c r="D40" s="259">
        <v>1</v>
      </c>
      <c r="E40" s="2235">
        <f>+'APU LINEAS IMPULSIÓN'!B272</f>
        <v>46725677.187705025</v>
      </c>
      <c r="F40" s="272">
        <f>ROUND((+E40*D40),0)</f>
        <v>46725677</v>
      </c>
      <c r="G40" s="278"/>
      <c r="K40" s="255"/>
    </row>
    <row r="41" spans="1:17">
      <c r="A41" s="2137" t="s">
        <v>4242</v>
      </c>
      <c r="B41" s="258" t="s">
        <v>4707</v>
      </c>
      <c r="C41" s="248" t="s">
        <v>647</v>
      </c>
      <c r="D41" s="259">
        <v>18080</v>
      </c>
      <c r="E41" s="2235">
        <f>+'APU LINEAS IMPULSIÓN'!B282</f>
        <v>3938.5941163025</v>
      </c>
      <c r="F41" s="272">
        <f t="shared" si="2"/>
        <v>71209782</v>
      </c>
      <c r="G41" s="278"/>
      <c r="K41" s="255"/>
    </row>
    <row r="42" spans="1:17">
      <c r="A42" s="1877" t="s">
        <v>814</v>
      </c>
      <c r="B42" s="981" t="s">
        <v>1127</v>
      </c>
      <c r="C42" s="982"/>
      <c r="D42" s="982"/>
      <c r="E42" s="982" t="s">
        <v>1158</v>
      </c>
      <c r="F42" s="2811">
        <f>SUM(F43:F53)</f>
        <v>303994402</v>
      </c>
      <c r="G42" s="254"/>
      <c r="K42" s="1706"/>
      <c r="L42" s="1706"/>
      <c r="M42" s="255"/>
      <c r="N42" s="255"/>
      <c r="O42" s="255"/>
      <c r="P42" s="255"/>
      <c r="Q42" s="255"/>
    </row>
    <row r="43" spans="1:17">
      <c r="A43" s="1286" t="s">
        <v>816</v>
      </c>
      <c r="B43" s="1284" t="s">
        <v>6915</v>
      </c>
      <c r="C43" s="1287" t="s">
        <v>94</v>
      </c>
      <c r="D43" s="1288">
        <v>1031</v>
      </c>
      <c r="E43" s="2815">
        <f>+'APU LINEAS IMPULSIÓN'!$B$297</f>
        <v>30573</v>
      </c>
      <c r="F43" s="2815">
        <f>+ROUND(E43*D43,0)</f>
        <v>31520763</v>
      </c>
      <c r="G43" s="247"/>
    </row>
    <row r="44" spans="1:17">
      <c r="A44" s="1286" t="s">
        <v>817</v>
      </c>
      <c r="B44" s="1284" t="s">
        <v>8724</v>
      </c>
      <c r="C44" s="1287" t="s">
        <v>94</v>
      </c>
      <c r="D44" s="1288">
        <v>1057</v>
      </c>
      <c r="E44" s="2815">
        <f>+'APU LINEAS IMPULSIÓN'!B317</f>
        <v>30573</v>
      </c>
      <c r="F44" s="2815">
        <f t="shared" ref="F44:F45" si="3">+ROUND(E44*D44,0)</f>
        <v>32315661</v>
      </c>
      <c r="G44" s="247"/>
    </row>
    <row r="45" spans="1:17">
      <c r="A45" s="1286" t="s">
        <v>819</v>
      </c>
      <c r="B45" s="1284" t="s">
        <v>8725</v>
      </c>
      <c r="C45" s="1287" t="s">
        <v>94</v>
      </c>
      <c r="D45" s="1288">
        <v>504</v>
      </c>
      <c r="E45" s="2815">
        <f>+'APU LINEAS IMPULSIÓN'!B337</f>
        <v>30573</v>
      </c>
      <c r="F45" s="2815">
        <f t="shared" si="3"/>
        <v>15408792</v>
      </c>
      <c r="G45" s="247"/>
    </row>
    <row r="46" spans="1:17">
      <c r="A46" s="1286" t="s">
        <v>820</v>
      </c>
      <c r="B46" s="1284" t="s">
        <v>8726</v>
      </c>
      <c r="C46" s="1287" t="s">
        <v>94</v>
      </c>
      <c r="D46" s="1288">
        <v>2174</v>
      </c>
      <c r="E46" s="2815">
        <f>+'APU LINEAS IMPULSIÓN'!B357</f>
        <v>30573</v>
      </c>
      <c r="F46" s="2815">
        <f>+ROUND(E46*D46,0)</f>
        <v>66465702</v>
      </c>
      <c r="G46" s="247"/>
    </row>
    <row r="47" spans="1:17">
      <c r="A47" s="1286" t="s">
        <v>821</v>
      </c>
      <c r="B47" s="1290" t="s">
        <v>8769</v>
      </c>
      <c r="C47" s="1287" t="s">
        <v>94</v>
      </c>
      <c r="D47" s="2871">
        <v>2287</v>
      </c>
      <c r="E47" s="2872">
        <f>+'APU LINEAS IMPULSIÓN'!B378</f>
        <v>30573</v>
      </c>
      <c r="F47" s="2815">
        <f>+ROUND(E47*D47,0)</f>
        <v>69920451</v>
      </c>
      <c r="G47" s="247"/>
    </row>
    <row r="48" spans="1:17">
      <c r="A48" s="277" t="s">
        <v>822</v>
      </c>
      <c r="B48" s="258" t="s">
        <v>8548</v>
      </c>
      <c r="C48" s="471" t="s">
        <v>94</v>
      </c>
      <c r="D48" s="259">
        <v>2757</v>
      </c>
      <c r="E48" s="260">
        <f>+'APU LINEAS IMPULSIÓN'!B398</f>
        <v>20992</v>
      </c>
      <c r="F48" s="260">
        <f t="shared" ref="F48:F49" si="4">+ROUND(E48*D48,0)</f>
        <v>57874944</v>
      </c>
    </row>
    <row r="49" spans="1:17">
      <c r="A49" s="277" t="s">
        <v>823</v>
      </c>
      <c r="B49" s="258" t="s">
        <v>8553</v>
      </c>
      <c r="C49" s="471" t="s">
        <v>94</v>
      </c>
      <c r="D49" s="477">
        <v>500.73</v>
      </c>
      <c r="E49" s="260">
        <f>+'APU LINEAS IMPULSIÓN'!B418</f>
        <v>18692</v>
      </c>
      <c r="F49" s="260">
        <f t="shared" si="4"/>
        <v>9359645</v>
      </c>
      <c r="G49" s="247"/>
    </row>
    <row r="50" spans="1:17">
      <c r="A50" s="277" t="s">
        <v>824</v>
      </c>
      <c r="B50" s="258" t="s">
        <v>6511</v>
      </c>
      <c r="C50" s="471" t="s">
        <v>133</v>
      </c>
      <c r="D50" s="264">
        <v>4</v>
      </c>
      <c r="E50" s="272">
        <f>+'APU LINEAS IMPULSIÓN'!$B$438</f>
        <v>196516.08844343032</v>
      </c>
      <c r="F50" s="260">
        <f>+ROUND(E50*D50,0)</f>
        <v>786064</v>
      </c>
      <c r="G50" s="247"/>
    </row>
    <row r="51" spans="1:17" ht="67.2">
      <c r="A51" s="277" t="s">
        <v>1297</v>
      </c>
      <c r="B51" s="269" t="s">
        <v>6914</v>
      </c>
      <c r="C51" s="270" t="s">
        <v>133</v>
      </c>
      <c r="D51" s="271">
        <v>12</v>
      </c>
      <c r="E51" s="272">
        <f>+'APU LINEAS IMPULSIÓN'!$B$457</f>
        <v>169049</v>
      </c>
      <c r="F51" s="260">
        <f>+ROUND(E51*D51,0)</f>
        <v>2028588</v>
      </c>
      <c r="G51" s="279"/>
    </row>
    <row r="52" spans="1:17" ht="67.2">
      <c r="A52" s="277" t="s">
        <v>8723</v>
      </c>
      <c r="B52" s="269" t="s">
        <v>6916</v>
      </c>
      <c r="C52" s="270" t="s">
        <v>133</v>
      </c>
      <c r="D52" s="271">
        <v>5</v>
      </c>
      <c r="E52" s="272">
        <f>+'APU LINEAS IMPULSIÓN'!$B$477</f>
        <v>135453</v>
      </c>
      <c r="F52" s="260">
        <f>+ROUND(E52*D52,0)</f>
        <v>677265</v>
      </c>
      <c r="K52" s="1706"/>
      <c r="L52" s="275"/>
      <c r="M52" s="255"/>
      <c r="N52" s="255"/>
      <c r="O52" s="273"/>
      <c r="P52" s="276"/>
      <c r="Q52" s="276"/>
    </row>
    <row r="53" spans="1:17" ht="151.19999999999999">
      <c r="A53" s="277" t="s">
        <v>8768</v>
      </c>
      <c r="B53" s="269" t="s">
        <v>6952</v>
      </c>
      <c r="C53" s="270" t="s">
        <v>133</v>
      </c>
      <c r="D53" s="271">
        <v>2</v>
      </c>
      <c r="E53" s="272">
        <f>+'APU LINEAS IMPULSIÓN'!B497</f>
        <v>8818263.2557418458</v>
      </c>
      <c r="F53" s="260">
        <f>+ROUND(E53*D53,0)</f>
        <v>17636527</v>
      </c>
      <c r="K53" s="1706"/>
      <c r="L53" s="275"/>
      <c r="M53" s="255"/>
      <c r="N53" s="255"/>
      <c r="O53" s="273"/>
      <c r="P53" s="276"/>
      <c r="Q53" s="276"/>
    </row>
    <row r="54" spans="1:17" ht="15" customHeight="1">
      <c r="A54" s="3528" t="s">
        <v>4285</v>
      </c>
      <c r="B54" s="3529"/>
      <c r="C54" s="3529"/>
      <c r="D54" s="3529"/>
      <c r="E54" s="3530"/>
      <c r="F54" s="994">
        <f>SUM(F43:F53,F33:F41,F22:F31,F16:F20,F14)</f>
        <v>2104213397</v>
      </c>
      <c r="G54" s="2363">
        <f>+F54</f>
        <v>2104213397</v>
      </c>
      <c r="H54" s="247"/>
      <c r="I54" s="273"/>
      <c r="J54" s="273"/>
      <c r="K54" s="1706"/>
      <c r="L54" s="275"/>
      <c r="M54" s="255"/>
      <c r="N54" s="255"/>
      <c r="O54" s="273"/>
      <c r="P54" s="276"/>
      <c r="Q54" s="276"/>
    </row>
    <row r="55" spans="1:17">
      <c r="A55" s="3528" t="s">
        <v>139</v>
      </c>
      <c r="B55" s="3529"/>
      <c r="C55" s="3529"/>
      <c r="D55" s="3530"/>
      <c r="E55" s="2202">
        <f>+AIU</f>
        <v>0.29572249606750989</v>
      </c>
      <c r="F55" s="994">
        <f>ROUND(+F54*E55,0)</f>
        <v>622263238</v>
      </c>
      <c r="H55" s="247"/>
      <c r="I55" s="273"/>
      <c r="J55" s="273"/>
      <c r="K55" s="1706"/>
      <c r="L55" s="275"/>
      <c r="M55" s="255"/>
      <c r="N55" s="255"/>
      <c r="O55" s="273"/>
      <c r="P55" s="276"/>
      <c r="Q55" s="276"/>
    </row>
    <row r="56" spans="1:17" ht="15" customHeight="1">
      <c r="A56" s="3528" t="s">
        <v>8713</v>
      </c>
      <c r="B56" s="3529"/>
      <c r="C56" s="3529"/>
      <c r="D56" s="3530"/>
      <c r="E56" s="2386">
        <f>+'PRESUPUESTO-INTERV'!J50</f>
        <v>0.16163254000625432</v>
      </c>
      <c r="F56" s="994">
        <f>ROUND(E56*(F54+F55),0)</f>
        <v>440687344</v>
      </c>
      <c r="H56" s="247"/>
      <c r="I56" s="273"/>
      <c r="J56" s="273"/>
      <c r="K56" s="1706"/>
      <c r="L56" s="275"/>
      <c r="M56" s="255"/>
      <c r="N56" s="255"/>
      <c r="O56" s="273"/>
      <c r="P56" s="276"/>
      <c r="Q56" s="276"/>
    </row>
    <row r="57" spans="1:17" ht="15" customHeight="1">
      <c r="A57" s="3528" t="s">
        <v>8544</v>
      </c>
      <c r="B57" s="3529"/>
      <c r="C57" s="3529"/>
      <c r="D57" s="3530"/>
      <c r="E57" s="984">
        <v>0.02</v>
      </c>
      <c r="F57" s="994">
        <f>ROUND(E57*(F54+F55),0)</f>
        <v>54529533</v>
      </c>
      <c r="H57" s="247"/>
      <c r="I57" s="273"/>
      <c r="J57" s="273"/>
      <c r="K57" s="1706"/>
      <c r="L57" s="275"/>
      <c r="M57" s="255"/>
      <c r="N57" s="255"/>
      <c r="O57" s="273"/>
      <c r="P57" s="276"/>
      <c r="Q57" s="276"/>
    </row>
    <row r="58" spans="1:17" ht="33.75" customHeight="1">
      <c r="A58" s="3528" t="s">
        <v>5783</v>
      </c>
      <c r="B58" s="3529"/>
      <c r="C58" s="3529"/>
      <c r="D58" s="3529"/>
      <c r="E58" s="3530"/>
      <c r="F58" s="994">
        <f>SUM(F54:F57)</f>
        <v>3221693512</v>
      </c>
      <c r="H58" s="247"/>
      <c r="I58" s="273"/>
      <c r="J58" s="273"/>
      <c r="K58" s="1706"/>
      <c r="L58" s="275"/>
      <c r="M58" s="255"/>
      <c r="N58" s="255"/>
      <c r="O58" s="273"/>
      <c r="P58" s="276"/>
      <c r="Q58" s="276"/>
    </row>
    <row r="59" spans="1:17" s="986" customFormat="1">
      <c r="A59" s="1875" t="s">
        <v>826</v>
      </c>
      <c r="B59" s="3500" t="s">
        <v>1128</v>
      </c>
      <c r="C59" s="3500"/>
      <c r="D59" s="3500"/>
      <c r="E59" s="1835"/>
      <c r="F59" s="2841">
        <f>+SUM(F60:F70)</f>
        <v>3405599240</v>
      </c>
      <c r="G59" s="2381">
        <f>+F59</f>
        <v>3405599240</v>
      </c>
      <c r="H59" s="2363" t="s">
        <v>8225</v>
      </c>
      <c r="I59" s="255"/>
      <c r="J59" s="255"/>
      <c r="K59" s="1706"/>
      <c r="L59" s="987"/>
      <c r="M59" s="985"/>
      <c r="N59" s="985"/>
      <c r="O59" s="985"/>
      <c r="P59" s="985"/>
      <c r="Q59" s="985"/>
    </row>
    <row r="60" spans="1:17" s="986" customFormat="1">
      <c r="A60" s="277" t="s">
        <v>827</v>
      </c>
      <c r="B60" s="1284" t="s">
        <v>6435</v>
      </c>
      <c r="C60" s="1287" t="s">
        <v>94</v>
      </c>
      <c r="D60" s="1288">
        <v>1031</v>
      </c>
      <c r="E60" s="260">
        <f>+'APU LINEAS IMPULSIÓN'!$B$304</f>
        <v>424179</v>
      </c>
      <c r="F60" s="260">
        <f>ROUND(+E60*D60,0)</f>
        <v>437328549</v>
      </c>
      <c r="G60" s="2381"/>
      <c r="H60" s="2363"/>
      <c r="I60" s="255"/>
      <c r="J60" s="255"/>
      <c r="K60" s="1706"/>
      <c r="L60" s="987"/>
      <c r="M60" s="985"/>
      <c r="N60" s="985"/>
      <c r="O60" s="985"/>
      <c r="P60" s="985"/>
      <c r="Q60" s="985"/>
    </row>
    <row r="61" spans="1:17" ht="20.25" customHeight="1">
      <c r="A61" s="277" t="s">
        <v>828</v>
      </c>
      <c r="B61" s="1284" t="s">
        <v>8729</v>
      </c>
      <c r="C61" s="1287" t="s">
        <v>94</v>
      </c>
      <c r="D61" s="1288">
        <v>1057</v>
      </c>
      <c r="E61" s="260">
        <f>+'APU LINEAS IMPULSIÓN'!B324</f>
        <v>339831</v>
      </c>
      <c r="F61" s="260">
        <f t="shared" ref="F61:F64" si="5">ROUND(+E61*D61,0)</f>
        <v>359201367</v>
      </c>
      <c r="G61" s="247"/>
      <c r="H61" s="247"/>
      <c r="I61" s="247"/>
      <c r="J61" s="247"/>
    </row>
    <row r="62" spans="1:17" ht="20.25" customHeight="1">
      <c r="A62" s="277" t="s">
        <v>830</v>
      </c>
      <c r="B62" s="1284" t="s">
        <v>8730</v>
      </c>
      <c r="C62" s="1287" t="s">
        <v>94</v>
      </c>
      <c r="D62" s="1288">
        <v>504</v>
      </c>
      <c r="E62" s="260">
        <f>+'APU LINEAS IMPULSIÓN'!B344</f>
        <v>289333</v>
      </c>
      <c r="F62" s="260">
        <f t="shared" si="5"/>
        <v>145823832</v>
      </c>
      <c r="G62" s="247"/>
      <c r="H62" s="247"/>
      <c r="I62" s="247"/>
      <c r="J62" s="247"/>
    </row>
    <row r="63" spans="1:17" ht="20.25" customHeight="1">
      <c r="A63" s="277" t="s">
        <v>832</v>
      </c>
      <c r="B63" s="1284" t="s">
        <v>8731</v>
      </c>
      <c r="C63" s="1287" t="s">
        <v>94</v>
      </c>
      <c r="D63" s="1288">
        <v>2174</v>
      </c>
      <c r="E63" s="260">
        <f>+'APU LINEAS IMPULSIÓN'!B364</f>
        <v>230053</v>
      </c>
      <c r="F63" s="260">
        <f t="shared" si="5"/>
        <v>500135222</v>
      </c>
      <c r="G63" s="247"/>
      <c r="H63" s="247"/>
      <c r="I63" s="247"/>
      <c r="J63" s="247"/>
    </row>
    <row r="64" spans="1:17" ht="20.25" customHeight="1">
      <c r="A64" s="277" t="s">
        <v>834</v>
      </c>
      <c r="B64" s="2842" t="s">
        <v>8767</v>
      </c>
      <c r="C64" s="1287" t="s">
        <v>94</v>
      </c>
      <c r="D64" s="2871">
        <v>2287</v>
      </c>
      <c r="E64" s="260">
        <f>+'APU LINEAS IMPULSIÓN'!B385</f>
        <v>492026</v>
      </c>
      <c r="F64" s="260">
        <f t="shared" si="5"/>
        <v>1125263462</v>
      </c>
      <c r="G64" s="247"/>
      <c r="H64" s="247"/>
      <c r="I64" s="247"/>
      <c r="J64" s="247"/>
    </row>
    <row r="65" spans="1:17" ht="20.25" customHeight="1">
      <c r="A65" s="277" t="s">
        <v>836</v>
      </c>
      <c r="B65" s="258" t="s">
        <v>8546</v>
      </c>
      <c r="C65" s="471" t="s">
        <v>94</v>
      </c>
      <c r="D65" s="259">
        <v>2757</v>
      </c>
      <c r="E65" s="260">
        <f>+'APU LINEAS IMPULSIÓN'!B405</f>
        <v>227416</v>
      </c>
      <c r="F65" s="260">
        <f t="shared" ref="F65:F66" si="6">ROUND(+E65*D65,0)</f>
        <v>626985912</v>
      </c>
      <c r="G65" s="247"/>
      <c r="H65" s="247"/>
      <c r="I65" s="247"/>
      <c r="J65" s="247"/>
    </row>
    <row r="66" spans="1:17" ht="20.25" customHeight="1">
      <c r="A66" s="277" t="s">
        <v>1300</v>
      </c>
      <c r="B66" s="258" t="s">
        <v>8547</v>
      </c>
      <c r="C66" s="471" t="s">
        <v>94</v>
      </c>
      <c r="D66" s="477">
        <v>500.73</v>
      </c>
      <c r="E66" s="260">
        <f>+'APU LINEAS IMPULSIÓN'!B425</f>
        <v>146753</v>
      </c>
      <c r="F66" s="260">
        <f t="shared" si="6"/>
        <v>73483630</v>
      </c>
      <c r="G66" s="247"/>
      <c r="H66" s="247"/>
      <c r="I66" s="247"/>
      <c r="J66" s="247"/>
    </row>
    <row r="67" spans="1:17" ht="20.25" customHeight="1">
      <c r="A67" s="277" t="s">
        <v>8727</v>
      </c>
      <c r="B67" s="258" t="s">
        <v>6512</v>
      </c>
      <c r="C67" s="471" t="s">
        <v>133</v>
      </c>
      <c r="D67" s="264">
        <f>+D50</f>
        <v>4</v>
      </c>
      <c r="E67" s="272">
        <f>+'APU LINEAS IMPULSIÓN'!$B$444</f>
        <v>1212318.45</v>
      </c>
      <c r="F67" s="260">
        <f>ROUND(+E67*D67,0)</f>
        <v>4849274</v>
      </c>
      <c r="G67" s="247"/>
      <c r="H67" s="247"/>
      <c r="I67" s="247"/>
      <c r="J67" s="247"/>
    </row>
    <row r="68" spans="1:17" ht="20.25" customHeight="1">
      <c r="A68" s="277" t="s">
        <v>838</v>
      </c>
      <c r="B68" s="269" t="s">
        <v>6825</v>
      </c>
      <c r="C68" s="270" t="s">
        <v>133</v>
      </c>
      <c r="D68" s="264">
        <f>+D51</f>
        <v>12</v>
      </c>
      <c r="E68" s="272">
        <f>+'APU LINEAS IMPULSIÓN'!$B$464</f>
        <v>1046050</v>
      </c>
      <c r="F68" s="260">
        <f>ROUND(+E68*D68,0)</f>
        <v>12552600</v>
      </c>
      <c r="G68" s="279"/>
      <c r="I68" s="253"/>
      <c r="J68" s="253"/>
    </row>
    <row r="69" spans="1:17" ht="68.25" customHeight="1">
      <c r="A69" s="277" t="s">
        <v>8728</v>
      </c>
      <c r="B69" s="269" t="s">
        <v>6284</v>
      </c>
      <c r="C69" s="270" t="s">
        <v>133</v>
      </c>
      <c r="D69" s="264">
        <f>+D52</f>
        <v>5</v>
      </c>
      <c r="E69" s="272">
        <f>+'APU LINEAS IMPULSIÓN'!$B$484</f>
        <v>614440</v>
      </c>
      <c r="F69" s="260">
        <f>ROUND(+E69*D69,0)</f>
        <v>3072200</v>
      </c>
      <c r="H69" s="247"/>
      <c r="I69" s="273"/>
      <c r="J69" s="273"/>
      <c r="K69" s="1706"/>
      <c r="L69" s="275"/>
      <c r="M69" s="255"/>
      <c r="N69" s="255"/>
      <c r="O69" s="273"/>
      <c r="P69" s="276"/>
      <c r="Q69" s="276"/>
    </row>
    <row r="70" spans="1:17" ht="72.75" customHeight="1">
      <c r="A70" s="277" t="s">
        <v>8766</v>
      </c>
      <c r="B70" s="269" t="s">
        <v>6949</v>
      </c>
      <c r="C70" s="270" t="s">
        <v>133</v>
      </c>
      <c r="D70" s="271">
        <v>2</v>
      </c>
      <c r="E70" s="272">
        <f>+'APU LINEAS IMPULSIÓN'!B510</f>
        <v>58451595.829999998</v>
      </c>
      <c r="F70" s="2389">
        <f>ROUND(+E70*D70,0)</f>
        <v>116903192</v>
      </c>
      <c r="H70" s="247"/>
      <c r="I70" s="273"/>
      <c r="J70" s="273"/>
      <c r="K70" s="1706"/>
      <c r="L70" s="275"/>
      <c r="M70" s="255"/>
      <c r="N70" s="255"/>
      <c r="O70" s="273"/>
      <c r="P70" s="276"/>
      <c r="Q70" s="276"/>
    </row>
    <row r="71" spans="1:17" ht="15" customHeight="1">
      <c r="A71" s="3525" t="s">
        <v>5784</v>
      </c>
      <c r="B71" s="3526"/>
      <c r="C71" s="3526"/>
      <c r="D71" s="3526"/>
      <c r="E71" s="3527"/>
      <c r="F71" s="995">
        <f>SUM(F60:F70)</f>
        <v>3405599240</v>
      </c>
      <c r="H71" s="247"/>
      <c r="I71" s="273"/>
      <c r="J71" s="273"/>
      <c r="K71" s="1706"/>
      <c r="L71" s="275"/>
      <c r="M71" s="255"/>
      <c r="N71" s="255"/>
      <c r="O71" s="273"/>
      <c r="P71" s="276"/>
      <c r="Q71" s="276"/>
    </row>
    <row r="72" spans="1:17" ht="15" customHeight="1">
      <c r="A72" s="3525" t="s">
        <v>8715</v>
      </c>
      <c r="B72" s="3526"/>
      <c r="C72" s="3526"/>
      <c r="D72" s="3527"/>
      <c r="E72" s="2217">
        <f>+AIU!H47</f>
        <v>0.18358899999999997</v>
      </c>
      <c r="F72" s="995">
        <f>ROUND(+F71*E72,0)</f>
        <v>625230559</v>
      </c>
      <c r="H72" s="247"/>
      <c r="I72" s="273"/>
      <c r="J72" s="273"/>
      <c r="K72" s="1706"/>
      <c r="L72" s="275"/>
      <c r="M72" s="255"/>
      <c r="N72" s="255"/>
      <c r="O72" s="273"/>
      <c r="P72" s="276"/>
      <c r="Q72" s="276"/>
    </row>
    <row r="73" spans="1:17" ht="15" customHeight="1">
      <c r="A73" s="3525" t="s">
        <v>8714</v>
      </c>
      <c r="B73" s="3526"/>
      <c r="C73" s="3526"/>
      <c r="D73" s="3527"/>
      <c r="E73" s="989">
        <v>0.01</v>
      </c>
      <c r="F73" s="988">
        <f>ROUND(E73*(F71+F72),0)</f>
        <v>40308298</v>
      </c>
      <c r="H73" s="247"/>
      <c r="I73" s="273"/>
      <c r="J73" s="273"/>
      <c r="K73" s="1706"/>
      <c r="L73" s="275"/>
      <c r="M73" s="255"/>
      <c r="N73" s="255"/>
      <c r="O73" s="273"/>
      <c r="P73" s="276"/>
      <c r="Q73" s="276"/>
    </row>
    <row r="74" spans="1:17" ht="15" customHeight="1">
      <c r="A74" s="3525" t="s">
        <v>8544</v>
      </c>
      <c r="B74" s="3526"/>
      <c r="C74" s="3526"/>
      <c r="D74" s="3527"/>
      <c r="E74" s="989">
        <v>0.02</v>
      </c>
      <c r="F74" s="988">
        <f>ROUND(E74*(F71+F72),0)</f>
        <v>80616596</v>
      </c>
      <c r="H74" s="247"/>
      <c r="I74" s="273"/>
      <c r="J74" s="273"/>
      <c r="K74" s="1706"/>
      <c r="L74" s="275"/>
      <c r="M74" s="255"/>
      <c r="N74" s="255"/>
      <c r="O74" s="273"/>
      <c r="P74" s="276"/>
      <c r="Q74" s="276"/>
    </row>
    <row r="75" spans="1:17" ht="15" customHeight="1">
      <c r="A75" s="3525" t="s">
        <v>5785</v>
      </c>
      <c r="B75" s="3526"/>
      <c r="C75" s="3526"/>
      <c r="D75" s="3526"/>
      <c r="E75" s="3527"/>
      <c r="F75" s="995">
        <f>SUM(F71:F74)</f>
        <v>4151754693</v>
      </c>
      <c r="H75" s="247"/>
      <c r="I75" s="273"/>
      <c r="J75" s="273"/>
      <c r="K75" s="1706"/>
      <c r="L75" s="275"/>
      <c r="M75" s="255"/>
      <c r="N75" s="255"/>
      <c r="O75" s="273"/>
      <c r="P75" s="276"/>
      <c r="Q75" s="276"/>
    </row>
    <row r="76" spans="1:17">
      <c r="A76" s="3501" t="s">
        <v>5761</v>
      </c>
      <c r="B76" s="3502"/>
      <c r="C76" s="3502"/>
      <c r="D76" s="3502"/>
      <c r="E76" s="3503"/>
      <c r="F76" s="1256">
        <f>+F75+F58</f>
        <v>7373448205</v>
      </c>
      <c r="G76" s="276"/>
      <c r="H76" s="276"/>
      <c r="I76" s="247"/>
      <c r="J76" s="247"/>
    </row>
    <row r="77" spans="1:17">
      <c r="A77" s="471"/>
      <c r="B77" s="403"/>
      <c r="C77" s="403"/>
      <c r="D77" s="403"/>
      <c r="E77" s="404"/>
      <c r="F77" s="404"/>
      <c r="G77" s="280"/>
      <c r="J77" s="247"/>
    </row>
    <row r="78" spans="1:17" ht="15" customHeight="1">
      <c r="A78" s="2234" t="s">
        <v>260</v>
      </c>
      <c r="B78" s="3601" t="s">
        <v>5837</v>
      </c>
      <c r="C78" s="3602"/>
      <c r="D78" s="3602"/>
      <c r="E78" s="3602"/>
      <c r="F78" s="3603"/>
      <c r="G78" s="254"/>
      <c r="K78" s="1706"/>
      <c r="L78" s="1706"/>
      <c r="M78" s="255"/>
      <c r="N78" s="255"/>
      <c r="O78" s="255"/>
      <c r="P78" s="255"/>
      <c r="Q78" s="255"/>
    </row>
    <row r="79" spans="1:17" s="1721" customFormat="1" ht="20.100000000000001" customHeight="1">
      <c r="A79" s="1718"/>
      <c r="B79" s="990" t="s">
        <v>1082</v>
      </c>
      <c r="C79" s="991"/>
      <c r="D79" s="991"/>
      <c r="E79" s="991"/>
      <c r="F79" s="992"/>
    </row>
    <row r="80" spans="1:17" s="1721" customFormat="1" ht="20.100000000000001" customHeight="1">
      <c r="A80" s="1722" t="s">
        <v>35</v>
      </c>
      <c r="B80" s="978" t="s">
        <v>1083</v>
      </c>
      <c r="C80" s="1723"/>
      <c r="D80" s="979"/>
      <c r="E80" s="1724"/>
      <c r="F80" s="2244">
        <f>+F81</f>
        <v>24723110</v>
      </c>
    </row>
    <row r="81" spans="1:17">
      <c r="A81" s="1879" t="s">
        <v>5786</v>
      </c>
      <c r="B81" s="320" t="s">
        <v>1086</v>
      </c>
      <c r="C81" s="321" t="s">
        <v>1002</v>
      </c>
      <c r="D81" s="2657">
        <f>10493.68</f>
        <v>10493.68</v>
      </c>
      <c r="E81" s="322">
        <f>+'APU LINEAS IMPULSIÓN'!$B$17</f>
        <v>2356</v>
      </c>
      <c r="F81" s="322">
        <f>ROUND(+E81*D81,0)</f>
        <v>24723110</v>
      </c>
      <c r="G81" s="1887"/>
      <c r="H81" s="247"/>
      <c r="I81" s="247"/>
      <c r="J81" s="247"/>
    </row>
    <row r="82" spans="1:17">
      <c r="A82" s="1722" t="s">
        <v>1446</v>
      </c>
      <c r="B82" s="978" t="s">
        <v>1087</v>
      </c>
      <c r="C82" s="1723"/>
      <c r="D82" s="979"/>
      <c r="E82" s="1724"/>
      <c r="F82" s="2244">
        <f>SUM(F83:F88)</f>
        <v>25524375</v>
      </c>
      <c r="G82" s="1888"/>
      <c r="H82" s="247"/>
      <c r="I82" s="247"/>
      <c r="J82" s="247"/>
    </row>
    <row r="83" spans="1:17">
      <c r="A83" s="1878" t="s">
        <v>1096</v>
      </c>
      <c r="B83" s="258" t="s">
        <v>6266</v>
      </c>
      <c r="C83" s="1878" t="s">
        <v>356</v>
      </c>
      <c r="D83" s="270">
        <v>82.2</v>
      </c>
      <c r="E83" s="260">
        <f>+'APU LINEAS IMPULSIÓN'!$B$27</f>
        <v>51559</v>
      </c>
      <c r="F83" s="2389">
        <f t="shared" ref="F83:F87" si="7">+ROUND(E83*D83,0)</f>
        <v>4238150</v>
      </c>
      <c r="G83" s="247"/>
      <c r="H83" s="247"/>
      <c r="I83" s="247"/>
      <c r="J83" s="247"/>
    </row>
    <row r="84" spans="1:17">
      <c r="A84" s="1878" t="s">
        <v>1097</v>
      </c>
      <c r="B84" s="323" t="s">
        <v>1108</v>
      </c>
      <c r="C84" s="1878" t="s">
        <v>94</v>
      </c>
      <c r="D84" s="270">
        <v>1370.8</v>
      </c>
      <c r="E84" s="260">
        <f>+'APU LINEAS IMPULSIÓN'!$B$34</f>
        <v>5176</v>
      </c>
      <c r="F84" s="2389">
        <f t="shared" si="7"/>
        <v>7095261</v>
      </c>
      <c r="G84" s="247"/>
      <c r="H84" s="247"/>
      <c r="I84" s="247"/>
      <c r="J84" s="247"/>
    </row>
    <row r="85" spans="1:17">
      <c r="A85" s="2137" t="s">
        <v>1098</v>
      </c>
      <c r="B85" s="323" t="s">
        <v>6254</v>
      </c>
      <c r="C85" s="1878" t="s">
        <v>94</v>
      </c>
      <c r="D85" s="259">
        <v>92.3</v>
      </c>
      <c r="E85" s="260">
        <f>+'APU LINEAS IMPULSIÓN'!$B$42</f>
        <v>11371.692038071427</v>
      </c>
      <c r="F85" s="2389">
        <f t="shared" si="7"/>
        <v>1049607</v>
      </c>
      <c r="G85" s="247"/>
      <c r="H85" s="247"/>
      <c r="I85" s="247"/>
      <c r="J85" s="247"/>
    </row>
    <row r="86" spans="1:17">
      <c r="A86" s="2137" t="s">
        <v>1099</v>
      </c>
      <c r="B86" s="323" t="s">
        <v>6255</v>
      </c>
      <c r="C86" s="1878" t="s">
        <v>94</v>
      </c>
      <c r="D86" s="259">
        <v>1269.51</v>
      </c>
      <c r="E86" s="260">
        <f>+'APU LINEAS IMPULSIÓN'!$B$50</f>
        <v>9950.2305333125005</v>
      </c>
      <c r="F86" s="2389">
        <f t="shared" si="7"/>
        <v>12631917</v>
      </c>
      <c r="G86" s="247"/>
      <c r="H86" s="247"/>
      <c r="I86" s="247"/>
      <c r="J86" s="247"/>
    </row>
    <row r="87" spans="1:17">
      <c r="A87" s="2137" t="s">
        <v>1100</v>
      </c>
      <c r="B87" s="323" t="s">
        <v>6256</v>
      </c>
      <c r="C87" s="1878" t="s">
        <v>356</v>
      </c>
      <c r="D87" s="259">
        <f>150*0.6*0.1</f>
        <v>9</v>
      </c>
      <c r="E87" s="260">
        <f>+'APU LINEAS IMPULSIÓN'!$B$58</f>
        <v>50708.052078235298</v>
      </c>
      <c r="F87" s="2389">
        <f t="shared" si="7"/>
        <v>456372</v>
      </c>
      <c r="G87" s="247"/>
      <c r="H87" s="247"/>
      <c r="I87" s="247"/>
      <c r="J87" s="247"/>
    </row>
    <row r="88" spans="1:17">
      <c r="A88" s="2137" t="s">
        <v>1105</v>
      </c>
      <c r="B88" s="323" t="s">
        <v>6260</v>
      </c>
      <c r="C88" s="1878" t="s">
        <v>356</v>
      </c>
      <c r="D88" s="259">
        <v>1</v>
      </c>
      <c r="E88" s="260">
        <f>+'APU LINEAS IMPULSIÓN'!$B$523</f>
        <v>53068</v>
      </c>
      <c r="F88" s="2389">
        <f>+ROUND(E88*D88,0)</f>
        <v>53068</v>
      </c>
      <c r="G88" s="247"/>
      <c r="H88" s="247"/>
      <c r="I88" s="247"/>
      <c r="J88" s="247"/>
    </row>
    <row r="89" spans="1:17">
      <c r="A89" s="1722">
        <v>2.2999999999999998</v>
      </c>
      <c r="B89" s="978" t="s">
        <v>1104</v>
      </c>
      <c r="C89" s="1723"/>
      <c r="D89" s="979"/>
      <c r="E89" s="1724"/>
      <c r="F89" s="2244">
        <f>SUM(F90:F97)</f>
        <v>520938851</v>
      </c>
      <c r="G89" s="247"/>
      <c r="H89" s="247"/>
      <c r="I89" s="247"/>
      <c r="J89" s="247"/>
    </row>
    <row r="90" spans="1:17" ht="33.75" customHeight="1">
      <c r="A90" s="1879" t="s">
        <v>1139</v>
      </c>
      <c r="B90" s="258" t="s">
        <v>6288</v>
      </c>
      <c r="C90" s="471" t="s">
        <v>1084</v>
      </c>
      <c r="D90" s="259">
        <f>7885.3*0.895</f>
        <v>7057.3434999999999</v>
      </c>
      <c r="E90" s="260">
        <f>+'APU LINEAS IMPULSIÓN'!$B$66</f>
        <v>10000</v>
      </c>
      <c r="F90" s="2389">
        <f>+ROUND(E90*D90,0)</f>
        <v>70573435</v>
      </c>
      <c r="G90" s="261"/>
      <c r="H90" s="262"/>
      <c r="I90" s="262"/>
      <c r="J90" s="247"/>
    </row>
    <row r="91" spans="1:17" ht="17.399999999999999">
      <c r="A91" s="1879" t="s">
        <v>1140</v>
      </c>
      <c r="B91" s="263" t="s">
        <v>6303</v>
      </c>
      <c r="C91" s="471" t="s">
        <v>1084</v>
      </c>
      <c r="D91" s="259">
        <f>7885.3*0.1</f>
        <v>788.53000000000009</v>
      </c>
      <c r="E91" s="265">
        <f>+'APU LINEAS IMPULSIÓN'!B73</f>
        <v>23473.224058666663</v>
      </c>
      <c r="F91" s="2389">
        <f>ROUND(+E91*D91,0)</f>
        <v>18509341</v>
      </c>
      <c r="H91" s="348"/>
      <c r="I91" s="262"/>
      <c r="J91" s="1868"/>
      <c r="L91" s="1868"/>
      <c r="M91" s="1868"/>
      <c r="N91" s="1868"/>
      <c r="O91" s="261"/>
    </row>
    <row r="92" spans="1:17" ht="17.399999999999999">
      <c r="A92" s="1879" t="s">
        <v>1141</v>
      </c>
      <c r="B92" s="263" t="s">
        <v>6292</v>
      </c>
      <c r="C92" s="248" t="s">
        <v>1084</v>
      </c>
      <c r="D92" s="259">
        <f>7885.3*0.005</f>
        <v>39.426500000000004</v>
      </c>
      <c r="E92" s="265">
        <f>+'APU LINEAS IMPULSIÓN'!$B$81</f>
        <v>75938.251377333334</v>
      </c>
      <c r="F92" s="2389">
        <f t="shared" ref="F92:F97" si="8">+ROUND(E92*D92,0)</f>
        <v>2993979</v>
      </c>
      <c r="G92" s="267"/>
      <c r="H92" s="262"/>
      <c r="I92" s="262"/>
      <c r="J92" s="268"/>
      <c r="L92" s="255"/>
      <c r="M92" s="255"/>
      <c r="N92" s="255"/>
      <c r="O92" s="255"/>
      <c r="P92" s="255"/>
      <c r="Q92" s="255"/>
    </row>
    <row r="93" spans="1:17" ht="17.399999999999999">
      <c r="A93" s="2138" t="s">
        <v>1142</v>
      </c>
      <c r="B93" s="349" t="s">
        <v>6304</v>
      </c>
      <c r="C93" s="248" t="s">
        <v>8540</v>
      </c>
      <c r="D93" s="266">
        <v>2963.299439999998</v>
      </c>
      <c r="E93" s="265">
        <f>+'APU LINEAS IMPULSIÓN'!B$88</f>
        <v>1826.1904761904761</v>
      </c>
      <c r="F93" s="2389">
        <f t="shared" si="8"/>
        <v>5411549</v>
      </c>
      <c r="G93" s="267"/>
      <c r="H93" s="262"/>
      <c r="I93" s="262"/>
      <c r="J93" s="268"/>
      <c r="L93" s="255"/>
      <c r="M93" s="255"/>
      <c r="N93" s="255"/>
      <c r="O93" s="255"/>
      <c r="P93" s="255"/>
      <c r="Q93" s="255"/>
    </row>
    <row r="94" spans="1:17" ht="50.4">
      <c r="A94" s="2138" t="s">
        <v>1143</v>
      </c>
      <c r="B94" s="263" t="s">
        <v>6494</v>
      </c>
      <c r="C94" s="248" t="s">
        <v>1085</v>
      </c>
      <c r="D94" s="266">
        <v>2649.2499999999991</v>
      </c>
      <c r="E94" s="265">
        <f>+'APU LINEAS IMPULSIÓN'!$B$97</f>
        <v>87012</v>
      </c>
      <c r="F94" s="2389">
        <f t="shared" si="8"/>
        <v>230516541</v>
      </c>
      <c r="G94" s="267"/>
      <c r="H94" s="1868"/>
      <c r="J94" s="268"/>
      <c r="K94" s="255"/>
      <c r="L94" s="255"/>
      <c r="M94" s="255"/>
      <c r="N94" s="255"/>
      <c r="O94" s="255"/>
      <c r="P94" s="255"/>
      <c r="Q94" s="255"/>
    </row>
    <row r="95" spans="1:17" ht="42" customHeight="1">
      <c r="A95" s="2138" t="s">
        <v>1144</v>
      </c>
      <c r="B95" s="263" t="s">
        <v>1102</v>
      </c>
      <c r="C95" s="471" t="s">
        <v>1085</v>
      </c>
      <c r="D95" s="264">
        <v>6181.1250000000018</v>
      </c>
      <c r="E95" s="265">
        <f>+'APU LINEAS IMPULSIÓN'!$B$105</f>
        <v>12212</v>
      </c>
      <c r="F95" s="2389">
        <f t="shared" si="8"/>
        <v>75483899</v>
      </c>
      <c r="H95" s="2174"/>
      <c r="I95" s="2174"/>
      <c r="J95" s="2174"/>
      <c r="K95" s="2174"/>
      <c r="L95" s="2174"/>
      <c r="M95" s="2174"/>
      <c r="N95" s="2174"/>
      <c r="O95" s="261"/>
    </row>
    <row r="96" spans="1:17" ht="33.6">
      <c r="A96" s="2138" t="s">
        <v>4347</v>
      </c>
      <c r="B96" s="263" t="s">
        <v>6249</v>
      </c>
      <c r="C96" s="471" t="s">
        <v>1085</v>
      </c>
      <c r="D96" s="264">
        <v>794.97517000000005</v>
      </c>
      <c r="E96" s="265">
        <f>+'APU LINEAS IMPULSIÓN'!$B$113</f>
        <v>88113</v>
      </c>
      <c r="F96" s="2389">
        <f t="shared" si="8"/>
        <v>70047647</v>
      </c>
      <c r="H96" s="1868"/>
      <c r="I96" s="1868"/>
      <c r="J96" s="1868"/>
      <c r="K96" s="1868"/>
      <c r="L96" s="1868"/>
      <c r="M96" s="1868"/>
      <c r="N96" s="1868"/>
      <c r="O96" s="261"/>
    </row>
    <row r="97" spans="1:17" ht="48.75" customHeight="1">
      <c r="A97" s="2138" t="s">
        <v>4348</v>
      </c>
      <c r="B97" s="323" t="s">
        <v>5744</v>
      </c>
      <c r="C97" s="471" t="s">
        <v>94</v>
      </c>
      <c r="D97" s="264">
        <v>20</v>
      </c>
      <c r="E97" s="265">
        <f>+'APU LINEAS IMPULSIÓN'!B532</f>
        <v>2370123</v>
      </c>
      <c r="F97" s="2389">
        <f t="shared" si="8"/>
        <v>47402460</v>
      </c>
      <c r="H97" s="1868"/>
      <c r="I97" s="1868"/>
      <c r="J97" s="1868"/>
      <c r="K97" s="1868"/>
      <c r="L97" s="1868"/>
      <c r="M97" s="1868"/>
      <c r="N97" s="1868"/>
      <c r="O97" s="261"/>
    </row>
    <row r="98" spans="1:17">
      <c r="A98" s="1877">
        <v>2.4</v>
      </c>
      <c r="B98" s="981" t="s">
        <v>1106</v>
      </c>
      <c r="C98" s="982"/>
      <c r="D98" s="982"/>
      <c r="E98" s="982"/>
      <c r="F98" s="2244">
        <f>ROUND(+SUM(F99:F105),0)</f>
        <v>197103050</v>
      </c>
      <c r="H98" s="247"/>
      <c r="I98" s="273"/>
      <c r="J98" s="273"/>
      <c r="K98" s="1706"/>
      <c r="L98" s="275"/>
      <c r="M98" s="255"/>
      <c r="N98" s="255"/>
      <c r="O98" s="273"/>
      <c r="P98" s="276"/>
      <c r="Q98" s="276"/>
    </row>
    <row r="99" spans="1:17" ht="33.6">
      <c r="A99" s="1878" t="s">
        <v>1145</v>
      </c>
      <c r="B99" s="323" t="s">
        <v>6305</v>
      </c>
      <c r="C99" s="2193" t="s">
        <v>1084</v>
      </c>
      <c r="D99" s="259">
        <f>7+92.3</f>
        <v>99.3</v>
      </c>
      <c r="E99" s="2235">
        <f>+'APU LINEAS IMPULSIÓN'!$B$163</f>
        <v>508061.26403443597</v>
      </c>
      <c r="F99" s="272">
        <f t="shared" ref="F99:F104" si="9">ROUND((+E99*D99),0)</f>
        <v>50450484</v>
      </c>
      <c r="H99" s="247"/>
      <c r="I99" s="273"/>
      <c r="J99" s="273"/>
      <c r="K99" s="1706"/>
      <c r="L99" s="275"/>
      <c r="M99" s="255"/>
      <c r="N99" s="255"/>
      <c r="O99" s="273"/>
      <c r="P99" s="276"/>
      <c r="Q99" s="276"/>
    </row>
    <row r="100" spans="1:17" ht="50.4">
      <c r="A100" s="1878" t="s">
        <v>1146</v>
      </c>
      <c r="B100" s="323" t="s">
        <v>6298</v>
      </c>
      <c r="C100" s="2193" t="s">
        <v>1084</v>
      </c>
      <c r="D100" s="259">
        <f>+D83</f>
        <v>82.2</v>
      </c>
      <c r="E100" s="2235">
        <f>+'APU LINEAS IMPULSIÓN'!$B$189</f>
        <v>721312.05156987999</v>
      </c>
      <c r="F100" s="272">
        <f t="shared" si="9"/>
        <v>59291851</v>
      </c>
      <c r="H100" s="247"/>
      <c r="I100" s="273"/>
      <c r="J100" s="273"/>
      <c r="K100" s="1706"/>
      <c r="L100" s="275"/>
      <c r="M100" s="255"/>
      <c r="N100" s="255"/>
      <c r="O100" s="273"/>
      <c r="P100" s="276"/>
      <c r="Q100" s="276"/>
    </row>
    <row r="101" spans="1:17">
      <c r="A101" s="1878" t="s">
        <v>1147</v>
      </c>
      <c r="B101" s="323" t="s">
        <v>1120</v>
      </c>
      <c r="C101" s="2193" t="s">
        <v>94</v>
      </c>
      <c r="D101" s="259">
        <f>+D86</f>
        <v>1269.51</v>
      </c>
      <c r="E101" s="2235">
        <f>+'APU LINEAS IMPULSIÓN'!$B$199</f>
        <v>54299.213951898993</v>
      </c>
      <c r="F101" s="272">
        <f t="shared" si="9"/>
        <v>68933395</v>
      </c>
      <c r="H101" s="247"/>
      <c r="I101" s="273"/>
      <c r="J101" s="273"/>
      <c r="K101" s="1706"/>
      <c r="L101" s="275"/>
      <c r="M101" s="255"/>
      <c r="N101" s="255"/>
      <c r="O101" s="273"/>
      <c r="P101" s="276"/>
      <c r="Q101" s="276"/>
    </row>
    <row r="102" spans="1:17">
      <c r="A102" s="2137" t="s">
        <v>1148</v>
      </c>
      <c r="B102" s="323" t="s">
        <v>1121</v>
      </c>
      <c r="C102" s="2193" t="s">
        <v>94</v>
      </c>
      <c r="D102" s="259">
        <v>50</v>
      </c>
      <c r="E102" s="2235">
        <f>+'APU LINEAS IMPULSIÓN'!$B$210</f>
        <v>41838.174079316326</v>
      </c>
      <c r="F102" s="272">
        <f t="shared" si="9"/>
        <v>2091909</v>
      </c>
      <c r="H102" s="247"/>
      <c r="I102" s="273"/>
      <c r="J102" s="273"/>
      <c r="K102" s="1706"/>
      <c r="L102" s="275"/>
      <c r="M102" s="255"/>
      <c r="N102" s="255"/>
      <c r="O102" s="273"/>
      <c r="P102" s="276"/>
      <c r="Q102" s="276"/>
    </row>
    <row r="103" spans="1:17" ht="50.4">
      <c r="A103" s="2137" t="s">
        <v>1149</v>
      </c>
      <c r="B103" s="323" t="s">
        <v>6299</v>
      </c>
      <c r="C103" s="2193" t="s">
        <v>1084</v>
      </c>
      <c r="D103" s="259">
        <f>+D87*1*0.2</f>
        <v>1.8</v>
      </c>
      <c r="E103" s="2235">
        <f>+'APU LINEAS IMPULSIÓN'!$B$226</f>
        <v>444652.84510301804</v>
      </c>
      <c r="F103" s="272">
        <f t="shared" si="9"/>
        <v>800375</v>
      </c>
      <c r="H103" s="247"/>
      <c r="I103" s="273"/>
      <c r="J103" s="273"/>
      <c r="K103" s="1706"/>
      <c r="L103" s="275"/>
      <c r="M103" s="255"/>
      <c r="N103" s="255"/>
      <c r="O103" s="273"/>
      <c r="P103" s="276"/>
      <c r="Q103" s="276"/>
    </row>
    <row r="104" spans="1:17" ht="50.4">
      <c r="A104" s="2137" t="s">
        <v>1150</v>
      </c>
      <c r="B104" s="258" t="s">
        <v>542</v>
      </c>
      <c r="C104" s="248" t="s">
        <v>133</v>
      </c>
      <c r="D104" s="259">
        <v>21</v>
      </c>
      <c r="E104" s="2235">
        <f>+'APU LINEAS IMPULSIÓN'!$B$238</f>
        <v>704362.91278373147</v>
      </c>
      <c r="F104" s="272">
        <f t="shared" si="9"/>
        <v>14791621</v>
      </c>
      <c r="G104" s="278"/>
      <c r="K104" s="255"/>
    </row>
    <row r="105" spans="1:17" ht="33.6">
      <c r="A105" s="2137" t="s">
        <v>1151</v>
      </c>
      <c r="B105" s="258" t="s">
        <v>1130</v>
      </c>
      <c r="C105" s="2193" t="s">
        <v>1084</v>
      </c>
      <c r="D105" s="259">
        <v>1</v>
      </c>
      <c r="E105" s="260">
        <f>+'APU LINEAS IMPULSIÓN'!$B$547</f>
        <v>743415.25079918758</v>
      </c>
      <c r="F105" s="272">
        <f>ROUND((+E105*D105),0)</f>
        <v>743415</v>
      </c>
      <c r="G105" s="247"/>
      <c r="H105" s="247"/>
      <c r="I105" s="247"/>
      <c r="J105" s="247"/>
    </row>
    <row r="106" spans="1:17">
      <c r="A106" s="1877">
        <v>2.5</v>
      </c>
      <c r="B106" s="981" t="s">
        <v>5734</v>
      </c>
      <c r="C106" s="982"/>
      <c r="D106" s="982"/>
      <c r="E106" s="982" t="s">
        <v>1158</v>
      </c>
      <c r="F106" s="993"/>
      <c r="G106" s="254"/>
      <c r="K106" s="1706"/>
      <c r="L106" s="1706"/>
      <c r="M106" s="255"/>
      <c r="N106" s="255"/>
      <c r="O106" s="255"/>
      <c r="P106" s="255"/>
      <c r="Q106" s="255"/>
    </row>
    <row r="107" spans="1:17" ht="38.25" customHeight="1">
      <c r="A107" s="1878" t="s">
        <v>5766</v>
      </c>
      <c r="B107" s="2236" t="s">
        <v>8710</v>
      </c>
      <c r="C107" s="2193" t="s">
        <v>133</v>
      </c>
      <c r="D107" s="2193">
        <v>1300</v>
      </c>
      <c r="E107" s="2237">
        <f>+'APU LINEAS IMPULSIÓN'!B558</f>
        <v>185211</v>
      </c>
      <c r="F107" s="272">
        <f>ROUND((+E107*D107),0)</f>
        <v>240774300</v>
      </c>
      <c r="G107" s="254"/>
      <c r="K107" s="1706"/>
      <c r="L107" s="1706"/>
      <c r="M107" s="255"/>
      <c r="N107" s="255"/>
      <c r="O107" s="255"/>
      <c r="P107" s="255"/>
      <c r="Q107" s="255"/>
    </row>
    <row r="108" spans="1:17">
      <c r="A108" s="1877" t="s">
        <v>5731</v>
      </c>
      <c r="B108" s="981" t="s">
        <v>1127</v>
      </c>
      <c r="C108" s="982"/>
      <c r="D108" s="982"/>
      <c r="E108" s="982" t="s">
        <v>1158</v>
      </c>
      <c r="F108" s="2244">
        <f>SUM(F109:F122)</f>
        <v>137638197</v>
      </c>
      <c r="G108" s="254"/>
      <c r="K108" s="1706"/>
      <c r="L108" s="1706"/>
      <c r="M108" s="255"/>
      <c r="N108" s="255"/>
      <c r="O108" s="255"/>
      <c r="P108" s="255"/>
      <c r="Q108" s="255"/>
    </row>
    <row r="109" spans="1:17">
      <c r="A109" s="2812" t="s">
        <v>5767</v>
      </c>
      <c r="B109" s="1284" t="s">
        <v>8750</v>
      </c>
      <c r="C109" s="1287" t="s">
        <v>94</v>
      </c>
      <c r="D109" s="2889">
        <v>774</v>
      </c>
      <c r="E109" s="2815">
        <f>+'APU LINEAS IMPULSIÓN'!B593</f>
        <v>12525</v>
      </c>
      <c r="F109" s="2817">
        <f t="shared" ref="F109:F121" si="10">ROUND(+E109*D109,0)</f>
        <v>9694350</v>
      </c>
      <c r="G109" s="306"/>
      <c r="J109" s="247"/>
    </row>
    <row r="110" spans="1:17">
      <c r="A110" s="2813" t="s">
        <v>5768</v>
      </c>
      <c r="B110" s="1284" t="s">
        <v>8751</v>
      </c>
      <c r="C110" s="1287" t="s">
        <v>94</v>
      </c>
      <c r="D110" s="2889">
        <v>1441</v>
      </c>
      <c r="E110" s="2815">
        <f>+'APU LINEAS IMPULSIÓN'!B613</f>
        <v>12525</v>
      </c>
      <c r="F110" s="2817">
        <f t="shared" si="10"/>
        <v>18048525</v>
      </c>
      <c r="G110" s="306"/>
      <c r="J110" s="247"/>
    </row>
    <row r="111" spans="1:17">
      <c r="A111" s="2812" t="s">
        <v>5769</v>
      </c>
      <c r="B111" s="1284" t="s">
        <v>8752</v>
      </c>
      <c r="C111" s="1287" t="s">
        <v>94</v>
      </c>
      <c r="D111" s="2889">
        <v>3207</v>
      </c>
      <c r="E111" s="2815">
        <f>+'APU LINEAS IMPULSIÓN'!B633</f>
        <v>12525</v>
      </c>
      <c r="F111" s="2817">
        <f t="shared" si="10"/>
        <v>40167675</v>
      </c>
      <c r="G111" s="306"/>
      <c r="J111" s="247"/>
    </row>
    <row r="112" spans="1:17">
      <c r="A112" s="2812" t="s">
        <v>5770</v>
      </c>
      <c r="B112" s="1284" t="s">
        <v>8753</v>
      </c>
      <c r="C112" s="1287" t="s">
        <v>94</v>
      </c>
      <c r="D112" s="2889">
        <v>1178</v>
      </c>
      <c r="E112" s="2815">
        <f>+'APU LINEAS IMPULSIÓN'!B653</f>
        <v>12525</v>
      </c>
      <c r="F112" s="2817">
        <f t="shared" si="10"/>
        <v>14754450</v>
      </c>
      <c r="G112" s="306"/>
      <c r="J112" s="247"/>
    </row>
    <row r="113" spans="1:17">
      <c r="A113" s="2813" t="s">
        <v>5771</v>
      </c>
      <c r="B113" s="1284" t="s">
        <v>8754</v>
      </c>
      <c r="C113" s="1287" t="s">
        <v>94</v>
      </c>
      <c r="D113" s="2889">
        <v>643</v>
      </c>
      <c r="E113" s="2815">
        <f>+'APU LINEAS IMPULSIÓN'!B673</f>
        <v>12525</v>
      </c>
      <c r="F113" s="2817">
        <f t="shared" si="10"/>
        <v>8053575</v>
      </c>
      <c r="G113" s="306"/>
      <c r="J113" s="247"/>
    </row>
    <row r="114" spans="1:17">
      <c r="A114" s="2812" t="s">
        <v>5787</v>
      </c>
      <c r="B114" s="1284" t="s">
        <v>8755</v>
      </c>
      <c r="C114" s="1287" t="s">
        <v>94</v>
      </c>
      <c r="D114" s="2889">
        <v>1130</v>
      </c>
      <c r="E114" s="2815">
        <f>+'APU LINEAS IMPULSIÓN'!B713</f>
        <v>12525</v>
      </c>
      <c r="F114" s="2817">
        <f>ROUND(+E114*D114,0)</f>
        <v>14153250</v>
      </c>
      <c r="G114" s="306"/>
      <c r="J114" s="247"/>
    </row>
    <row r="115" spans="1:17">
      <c r="A115" s="2812" t="s">
        <v>5788</v>
      </c>
      <c r="B115" s="1284" t="s">
        <v>8774</v>
      </c>
      <c r="C115" s="1287" t="s">
        <v>94</v>
      </c>
      <c r="D115" s="2893">
        <v>2130</v>
      </c>
      <c r="E115" s="2815">
        <f>+'APU LINEAS IMPULSIÓN'!B693</f>
        <v>12525</v>
      </c>
      <c r="F115" s="2817">
        <f t="shared" si="10"/>
        <v>26678250</v>
      </c>
      <c r="G115" s="306"/>
      <c r="J115" s="247"/>
    </row>
    <row r="116" spans="1:17">
      <c r="A116" s="2138" t="s">
        <v>5789</v>
      </c>
      <c r="B116" s="258" t="s">
        <v>6923</v>
      </c>
      <c r="C116" s="471" t="s">
        <v>427</v>
      </c>
      <c r="D116" s="264">
        <v>9</v>
      </c>
      <c r="E116" s="272">
        <f>+'APU LINEAS IMPULSIÓN'!$B$732</f>
        <v>88893.861667976977</v>
      </c>
      <c r="F116" s="2389">
        <f t="shared" si="10"/>
        <v>800045</v>
      </c>
      <c r="G116" s="306"/>
      <c r="J116" s="253"/>
    </row>
    <row r="117" spans="1:17">
      <c r="A117" s="2146" t="s">
        <v>5790</v>
      </c>
      <c r="B117" s="258" t="s">
        <v>6922</v>
      </c>
      <c r="C117" s="471" t="s">
        <v>427</v>
      </c>
      <c r="D117" s="264">
        <v>8</v>
      </c>
      <c r="E117" s="272">
        <f>+'APU LINEAS IMPULSIÓN'!$B$732</f>
        <v>88893.861667976977</v>
      </c>
      <c r="F117" s="2389">
        <f t="shared" si="10"/>
        <v>711151</v>
      </c>
      <c r="G117" s="306"/>
      <c r="J117" s="253"/>
    </row>
    <row r="118" spans="1:17" ht="15.75" customHeight="1">
      <c r="A118" s="2146" t="s">
        <v>5791</v>
      </c>
      <c r="B118" s="258" t="s">
        <v>6921</v>
      </c>
      <c r="C118" s="471" t="s">
        <v>427</v>
      </c>
      <c r="D118" s="264">
        <v>8</v>
      </c>
      <c r="E118" s="272">
        <f>+'APU LINEAS IMPULSIÓN'!$B$732</f>
        <v>88893.861667976977</v>
      </c>
      <c r="F118" s="2389">
        <f t="shared" si="10"/>
        <v>711151</v>
      </c>
      <c r="G118" s="306"/>
      <c r="J118" s="253"/>
    </row>
    <row r="119" spans="1:17" ht="84">
      <c r="A119" s="2146" t="s">
        <v>8122</v>
      </c>
      <c r="B119" s="269" t="s">
        <v>6920</v>
      </c>
      <c r="C119" s="471" t="s">
        <v>427</v>
      </c>
      <c r="D119" s="271">
        <v>10</v>
      </c>
      <c r="E119" s="272">
        <f>+'APU LINEAS IMPULSIÓN'!$B$763</f>
        <v>110366</v>
      </c>
      <c r="F119" s="2389">
        <f t="shared" si="10"/>
        <v>1103660</v>
      </c>
      <c r="G119" s="306"/>
      <c r="H119" s="247"/>
      <c r="J119" s="273"/>
      <c r="K119" s="1706"/>
      <c r="L119" s="275"/>
      <c r="M119" s="255"/>
      <c r="N119" s="255"/>
      <c r="O119" s="273"/>
      <c r="P119" s="276"/>
      <c r="Q119" s="276"/>
    </row>
    <row r="120" spans="1:17" ht="67.2">
      <c r="A120" s="2808" t="s">
        <v>8123</v>
      </c>
      <c r="B120" s="269" t="s">
        <v>6925</v>
      </c>
      <c r="C120" s="471" t="s">
        <v>427</v>
      </c>
      <c r="D120" s="271">
        <v>9</v>
      </c>
      <c r="E120" s="272">
        <f>+'APU LINEAS IMPULSIÓN'!B$783</f>
        <v>98014</v>
      </c>
      <c r="F120" s="2389">
        <f t="shared" si="10"/>
        <v>882126</v>
      </c>
      <c r="G120" s="306"/>
      <c r="H120" s="247"/>
      <c r="J120" s="273"/>
      <c r="K120" s="1706"/>
      <c r="L120" s="275"/>
      <c r="M120" s="255"/>
      <c r="N120" s="255"/>
      <c r="O120" s="273"/>
      <c r="P120" s="276"/>
      <c r="Q120" s="276"/>
    </row>
    <row r="121" spans="1:17" ht="50.4">
      <c r="A121" s="2146" t="s">
        <v>8124</v>
      </c>
      <c r="B121" s="269" t="s">
        <v>6927</v>
      </c>
      <c r="C121" s="471" t="s">
        <v>427</v>
      </c>
      <c r="D121" s="271">
        <v>1</v>
      </c>
      <c r="E121" s="272">
        <f>+'APU PTAP'!B1277</f>
        <v>157916</v>
      </c>
      <c r="F121" s="2389">
        <f t="shared" si="10"/>
        <v>157916</v>
      </c>
      <c r="G121" s="306"/>
      <c r="H121" s="247"/>
      <c r="J121" s="273"/>
      <c r="K121" s="1706"/>
      <c r="L121" s="275"/>
      <c r="M121" s="255"/>
      <c r="N121" s="255"/>
      <c r="O121" s="273"/>
      <c r="P121" s="276"/>
      <c r="Q121" s="276"/>
    </row>
    <row r="122" spans="1:17" ht="151.19999999999999">
      <c r="A122" s="2146" t="s">
        <v>8125</v>
      </c>
      <c r="B122" s="269" t="s">
        <v>6944</v>
      </c>
      <c r="C122" s="471" t="s">
        <v>427</v>
      </c>
      <c r="D122" s="271">
        <v>2</v>
      </c>
      <c r="E122" s="272">
        <f>+'APU LINEAS IMPULSIÓN'!B803</f>
        <v>861036.31183025776</v>
      </c>
      <c r="F122" s="2389">
        <f>ROUND(+E122*D122,0)</f>
        <v>1722073</v>
      </c>
      <c r="G122" s="306"/>
      <c r="H122" s="247"/>
      <c r="J122" s="273"/>
      <c r="K122" s="1706"/>
      <c r="L122" s="275"/>
      <c r="M122" s="255"/>
      <c r="N122" s="255"/>
      <c r="O122" s="273"/>
      <c r="P122" s="276"/>
      <c r="Q122" s="276"/>
    </row>
    <row r="123" spans="1:17" ht="30" customHeight="1">
      <c r="A123" s="3604" t="s">
        <v>4288</v>
      </c>
      <c r="B123" s="3605"/>
      <c r="C123" s="3605"/>
      <c r="D123" s="3605"/>
      <c r="E123" s="3606"/>
      <c r="F123" s="994">
        <f>SUM(F109:F122,F107,F99:F105,F90:F97,F83:F88,F81)</f>
        <v>1146701883</v>
      </c>
      <c r="G123" s="2372">
        <f>+F123</f>
        <v>1146701883</v>
      </c>
      <c r="H123" s="1290" t="s">
        <v>8225</v>
      </c>
      <c r="I123" s="273"/>
      <c r="J123" s="273"/>
      <c r="K123" s="1706"/>
      <c r="L123" s="275"/>
      <c r="M123" s="255"/>
      <c r="N123" s="255"/>
      <c r="O123" s="273"/>
      <c r="P123" s="276"/>
      <c r="Q123" s="276"/>
    </row>
    <row r="124" spans="1:17">
      <c r="A124" s="3528" t="s">
        <v>139</v>
      </c>
      <c r="B124" s="3529"/>
      <c r="C124" s="3529"/>
      <c r="D124" s="3530"/>
      <c r="E124" s="2202">
        <f>+AIU</f>
        <v>0.29572249606750989</v>
      </c>
      <c r="F124" s="994">
        <f>ROUND(+F123*E124,0)</f>
        <v>339105543</v>
      </c>
      <c r="H124" s="247"/>
      <c r="I124" s="273"/>
      <c r="J124" s="273"/>
      <c r="K124" s="1706"/>
      <c r="L124" s="275"/>
      <c r="M124" s="255"/>
      <c r="N124" s="255"/>
      <c r="O124" s="273"/>
      <c r="P124" s="276"/>
      <c r="Q124" s="276"/>
    </row>
    <row r="125" spans="1:17" ht="15" customHeight="1">
      <c r="A125" s="3528" t="str">
        <f>+A56</f>
        <v>INTERVENTORIA OBRA CIVIL</v>
      </c>
      <c r="B125" s="3529"/>
      <c r="C125" s="3529"/>
      <c r="D125" s="3530"/>
      <c r="E125" s="2386">
        <f>+'PRESUPUESTO-INTERV'!J50</f>
        <v>0.16163254000625432</v>
      </c>
      <c r="F125" s="994">
        <f>ROUND(E125*(F123+F124),0)</f>
        <v>240154828</v>
      </c>
      <c r="H125" s="247"/>
      <c r="I125" s="273"/>
      <c r="J125" s="273"/>
      <c r="K125" s="1706"/>
      <c r="L125" s="275"/>
      <c r="M125" s="255"/>
      <c r="N125" s="255"/>
      <c r="O125" s="273"/>
      <c r="P125" s="276"/>
      <c r="Q125" s="276"/>
    </row>
    <row r="126" spans="1:17" ht="15" customHeight="1">
      <c r="A126" s="3528" t="s">
        <v>8544</v>
      </c>
      <c r="B126" s="3529"/>
      <c r="C126" s="3529"/>
      <c r="D126" s="3530"/>
      <c r="E126" s="2239">
        <v>0.02</v>
      </c>
      <c r="F126" s="994">
        <f>ROUND(E126*(F123+F124),0)</f>
        <v>29716149</v>
      </c>
      <c r="H126" s="247"/>
      <c r="I126" s="273"/>
      <c r="J126" s="273"/>
      <c r="K126" s="1706"/>
      <c r="L126" s="275"/>
      <c r="M126" s="255"/>
      <c r="N126" s="255"/>
      <c r="O126" s="273"/>
      <c r="P126" s="276"/>
      <c r="Q126" s="276"/>
    </row>
    <row r="127" spans="1:17" ht="27.75" customHeight="1">
      <c r="A127" s="3604" t="s">
        <v>4289</v>
      </c>
      <c r="B127" s="3605"/>
      <c r="C127" s="3605"/>
      <c r="D127" s="3605"/>
      <c r="E127" s="3606"/>
      <c r="F127" s="994">
        <f>SUM(F123:F126)</f>
        <v>1755678403</v>
      </c>
      <c r="H127" s="247"/>
      <c r="I127" s="273"/>
      <c r="J127" s="273"/>
      <c r="K127" s="1706"/>
      <c r="L127" s="275"/>
      <c r="M127" s="255"/>
      <c r="N127" s="255"/>
      <c r="O127" s="273"/>
      <c r="P127" s="276"/>
      <c r="Q127" s="276"/>
    </row>
    <row r="128" spans="1:17">
      <c r="A128" s="1875" t="s">
        <v>5732</v>
      </c>
      <c r="B128" s="3521" t="s">
        <v>1128</v>
      </c>
      <c r="C128" s="3522"/>
      <c r="D128" s="3522"/>
      <c r="E128" s="974"/>
      <c r="F128" s="2247">
        <f>+SUM(F129:F142)</f>
        <v>745534458</v>
      </c>
      <c r="G128" s="2381">
        <f>+F128</f>
        <v>745534458</v>
      </c>
      <c r="H128" s="2363" t="s">
        <v>8225</v>
      </c>
      <c r="K128" s="1706"/>
      <c r="L128" s="1706"/>
      <c r="M128" s="255"/>
      <c r="N128" s="255"/>
      <c r="O128" s="255"/>
      <c r="P128" s="255"/>
      <c r="Q128" s="255"/>
    </row>
    <row r="129" spans="1:17">
      <c r="A129" s="2813" t="s">
        <v>5792</v>
      </c>
      <c r="B129" s="1284" t="s">
        <v>8741</v>
      </c>
      <c r="C129" s="1287" t="s">
        <v>94</v>
      </c>
      <c r="D129" s="2889">
        <v>774</v>
      </c>
      <c r="E129" s="2830">
        <f>+'APU LINEAS IMPULSIÓN'!B600</f>
        <v>149428</v>
      </c>
      <c r="F129" s="2815">
        <f>ROUND(+E129*D129,0)</f>
        <v>115657272</v>
      </c>
      <c r="G129" s="2381"/>
      <c r="H129" s="2363"/>
      <c r="K129" s="1706"/>
      <c r="L129" s="1706"/>
      <c r="M129" s="255"/>
      <c r="N129" s="255"/>
      <c r="O129" s="255"/>
      <c r="P129" s="255"/>
      <c r="Q129" s="255"/>
    </row>
    <row r="130" spans="1:17">
      <c r="A130" s="2813" t="s">
        <v>5793</v>
      </c>
      <c r="B130" s="1284" t="s">
        <v>8742</v>
      </c>
      <c r="C130" s="1287" t="s">
        <v>94</v>
      </c>
      <c r="D130" s="2889">
        <v>1441</v>
      </c>
      <c r="E130" s="2830">
        <f>+'APU LINEAS IMPULSIÓN'!B620</f>
        <v>80327</v>
      </c>
      <c r="F130" s="2815">
        <f>ROUND(+E130*D130,0)</f>
        <v>115751207</v>
      </c>
      <c r="G130" s="2381"/>
      <c r="H130" s="2363"/>
      <c r="K130" s="1706"/>
      <c r="L130" s="1706"/>
      <c r="M130" s="255"/>
      <c r="N130" s="255"/>
      <c r="O130" s="255"/>
      <c r="P130" s="255"/>
      <c r="Q130" s="255"/>
    </row>
    <row r="131" spans="1:17">
      <c r="A131" s="2813" t="s">
        <v>5794</v>
      </c>
      <c r="B131" s="1284" t="s">
        <v>8743</v>
      </c>
      <c r="C131" s="1287" t="s">
        <v>94</v>
      </c>
      <c r="D131" s="2889">
        <v>3207</v>
      </c>
      <c r="E131" s="2830">
        <f>+'APU LINEAS IMPULSIÓN'!B640</f>
        <v>71493</v>
      </c>
      <c r="F131" s="2815">
        <f>ROUND(+E131*D131,0)</f>
        <v>229278051</v>
      </c>
      <c r="G131" s="2381"/>
      <c r="H131" s="2363"/>
      <c r="K131" s="1706"/>
      <c r="L131" s="1706"/>
      <c r="M131" s="255"/>
      <c r="N131" s="255"/>
      <c r="O131" s="255"/>
      <c r="P131" s="255"/>
      <c r="Q131" s="255"/>
    </row>
    <row r="132" spans="1:17">
      <c r="A132" s="2813" t="s">
        <v>5795</v>
      </c>
      <c r="B132" s="2816" t="s">
        <v>8744</v>
      </c>
      <c r="C132" s="1287" t="s">
        <v>94</v>
      </c>
      <c r="D132" s="2889">
        <v>1178</v>
      </c>
      <c r="E132" s="2831">
        <f>+'APU LINEAS IMPULSIÓN'!B660</f>
        <v>55834</v>
      </c>
      <c r="F132" s="2815">
        <f t="shared" ref="F132:F135" si="11">ROUND(+E132*D132,0)</f>
        <v>65772452</v>
      </c>
      <c r="G132" s="306"/>
      <c r="H132" s="247"/>
      <c r="J132" s="247"/>
    </row>
    <row r="133" spans="1:17">
      <c r="A133" s="2813" t="s">
        <v>5796</v>
      </c>
      <c r="B133" s="2816" t="s">
        <v>8745</v>
      </c>
      <c r="C133" s="1287" t="s">
        <v>94</v>
      </c>
      <c r="D133" s="2889">
        <v>643</v>
      </c>
      <c r="E133" s="2831">
        <f>+'APU LINEAS IMPULSIÓN'!B680</f>
        <v>49624</v>
      </c>
      <c r="F133" s="2815">
        <f t="shared" si="11"/>
        <v>31908232</v>
      </c>
      <c r="G133" s="306"/>
      <c r="H133" s="247"/>
      <c r="J133" s="247"/>
    </row>
    <row r="134" spans="1:17">
      <c r="A134" s="2813" t="s">
        <v>5797</v>
      </c>
      <c r="B134" s="2816" t="s">
        <v>8746</v>
      </c>
      <c r="C134" s="1287" t="s">
        <v>94</v>
      </c>
      <c r="D134" s="2889">
        <v>1130</v>
      </c>
      <c r="E134" s="2831">
        <f>+'APU LINEAS IMPULSIÓN'!B720</f>
        <v>41579</v>
      </c>
      <c r="F134" s="2815">
        <f t="shared" si="11"/>
        <v>46984270</v>
      </c>
      <c r="G134" s="306"/>
      <c r="H134" s="280"/>
      <c r="J134" s="247"/>
    </row>
    <row r="135" spans="1:17">
      <c r="A135" s="2813" t="s">
        <v>5798</v>
      </c>
      <c r="B135" s="2816" t="s">
        <v>8775</v>
      </c>
      <c r="C135" s="1287" t="s">
        <v>94</v>
      </c>
      <c r="D135" s="2889">
        <v>2130</v>
      </c>
      <c r="E135" s="2831">
        <f>+'APU LINEAS IMPULSIÓN'!B700</f>
        <v>53451</v>
      </c>
      <c r="F135" s="2815">
        <f t="shared" si="11"/>
        <v>113850630</v>
      </c>
      <c r="G135" s="306"/>
      <c r="H135" s="280"/>
      <c r="J135" s="247"/>
    </row>
    <row r="136" spans="1:17" ht="20.25" customHeight="1">
      <c r="A136" s="2138" t="s">
        <v>5799</v>
      </c>
      <c r="B136" s="258" t="s">
        <v>6516</v>
      </c>
      <c r="C136" s="471" t="s">
        <v>427</v>
      </c>
      <c r="D136" s="264">
        <f>+D116</f>
        <v>9</v>
      </c>
      <c r="E136" s="272">
        <f>+'APU LINEAS IMPULSIÓN'!B738</f>
        <v>128159.43</v>
      </c>
      <c r="F136" s="260">
        <f t="shared" ref="F136:F140" si="12">ROUND(+E136*D136,0)</f>
        <v>1153435</v>
      </c>
      <c r="G136" s="306"/>
      <c r="J136" s="253"/>
    </row>
    <row r="137" spans="1:17">
      <c r="A137" s="2138" t="s">
        <v>5800</v>
      </c>
      <c r="B137" s="258" t="s">
        <v>6518</v>
      </c>
      <c r="C137" s="471" t="s">
        <v>427</v>
      </c>
      <c r="D137" s="264">
        <v>8</v>
      </c>
      <c r="E137" s="272">
        <f>+'APU LINEAS IMPULSIÓN'!B744</f>
        <v>184345.28</v>
      </c>
      <c r="F137" s="260">
        <f>ROUND(+E137*D137,0)</f>
        <v>1474762</v>
      </c>
      <c r="G137" s="306"/>
      <c r="J137" s="253"/>
    </row>
    <row r="138" spans="1:17" ht="15.75" customHeight="1">
      <c r="A138" s="2138" t="s">
        <v>5801</v>
      </c>
      <c r="B138" s="258" t="s">
        <v>6519</v>
      </c>
      <c r="C138" s="471" t="s">
        <v>427</v>
      </c>
      <c r="D138" s="264">
        <v>8</v>
      </c>
      <c r="E138" s="272">
        <f>+'APU LINEAS IMPULSIÓN'!B750</f>
        <v>184345.28</v>
      </c>
      <c r="F138" s="260">
        <f>ROUND(+E138*D138,0)</f>
        <v>1474762</v>
      </c>
      <c r="G138" s="306"/>
      <c r="J138" s="253"/>
    </row>
    <row r="139" spans="1:17" ht="61.5" customHeight="1">
      <c r="A139" s="2808" t="s">
        <v>8747</v>
      </c>
      <c r="B139" s="269" t="s">
        <v>6918</v>
      </c>
      <c r="C139" s="270" t="s">
        <v>133</v>
      </c>
      <c r="D139" s="264">
        <f>+D119</f>
        <v>10</v>
      </c>
      <c r="E139" s="272">
        <f>+'APU LINEAS IMPULSIÓN'!$B$770</f>
        <v>565450</v>
      </c>
      <c r="F139" s="260">
        <f t="shared" si="12"/>
        <v>5654500</v>
      </c>
      <c r="G139" s="306"/>
      <c r="H139" s="247"/>
      <c r="I139" s="273"/>
      <c r="J139" s="273"/>
      <c r="K139" s="1706"/>
      <c r="L139" s="275"/>
      <c r="M139" s="255"/>
      <c r="N139" s="255"/>
      <c r="O139" s="273"/>
      <c r="P139" s="276"/>
      <c r="Q139" s="276"/>
    </row>
    <row r="140" spans="1:17" ht="54.75" customHeight="1">
      <c r="A140" s="2808" t="s">
        <v>8748</v>
      </c>
      <c r="B140" s="269" t="s">
        <v>6924</v>
      </c>
      <c r="C140" s="270" t="s">
        <v>133</v>
      </c>
      <c r="D140" s="264">
        <f>+D120</f>
        <v>9</v>
      </c>
      <c r="E140" s="272">
        <f>+'APU LINEAS IMPULSIÓN'!$B$790</f>
        <v>442220</v>
      </c>
      <c r="F140" s="260">
        <f t="shared" si="12"/>
        <v>3979980</v>
      </c>
      <c r="G140" s="306"/>
      <c r="H140" s="247"/>
      <c r="I140" s="273"/>
      <c r="J140" s="273"/>
      <c r="K140" s="1706"/>
      <c r="L140" s="275"/>
      <c r="M140" s="255"/>
      <c r="N140" s="255"/>
      <c r="O140" s="273"/>
      <c r="P140" s="276"/>
      <c r="Q140" s="276"/>
    </row>
    <row r="141" spans="1:17" ht="50.4">
      <c r="A141" s="2808" t="s">
        <v>8749</v>
      </c>
      <c r="B141" s="269" t="s">
        <v>6926</v>
      </c>
      <c r="C141" s="270" t="s">
        <v>133</v>
      </c>
      <c r="D141" s="264">
        <f>+D121</f>
        <v>1</v>
      </c>
      <c r="E141" s="272">
        <f>+'APU PTAP'!B1285</f>
        <v>1063925</v>
      </c>
      <c r="F141" s="260">
        <f>ROUND(+E141*D141,0)</f>
        <v>1063925</v>
      </c>
      <c r="G141" s="306"/>
      <c r="H141" s="247"/>
      <c r="I141" s="273"/>
      <c r="J141" s="273"/>
      <c r="K141" s="1706"/>
      <c r="L141" s="275"/>
      <c r="M141" s="255"/>
      <c r="N141" s="255"/>
      <c r="O141" s="273"/>
      <c r="P141" s="276"/>
      <c r="Q141" s="276"/>
    </row>
    <row r="142" spans="1:17" ht="151.19999999999999">
      <c r="A142" s="2833" t="s">
        <v>8778</v>
      </c>
      <c r="B142" s="269" t="s">
        <v>6940</v>
      </c>
      <c r="C142" s="270" t="s">
        <v>133</v>
      </c>
      <c r="D142" s="271">
        <v>2</v>
      </c>
      <c r="E142" s="272">
        <f>+'APU LINEAS IMPULSIÓN'!B812</f>
        <v>5765490.1099999994</v>
      </c>
      <c r="F142" s="2389">
        <f>ROUND(+E142*D142,0)</f>
        <v>11530980</v>
      </c>
      <c r="G142" s="306"/>
      <c r="H142" s="247"/>
      <c r="I142" s="273"/>
      <c r="J142" s="273"/>
      <c r="K142" s="1706"/>
      <c r="L142" s="275"/>
      <c r="M142" s="255"/>
      <c r="N142" s="255"/>
      <c r="O142" s="273"/>
      <c r="P142" s="276"/>
      <c r="Q142" s="276"/>
    </row>
    <row r="143" spans="1:17" ht="33.75" customHeight="1">
      <c r="A143" s="3607" t="s">
        <v>4286</v>
      </c>
      <c r="B143" s="3608"/>
      <c r="C143" s="3608"/>
      <c r="D143" s="3608"/>
      <c r="E143" s="3609"/>
      <c r="F143" s="995">
        <f>SUM(F129:F142)</f>
        <v>745534458</v>
      </c>
      <c r="H143" s="247"/>
      <c r="I143" s="273"/>
      <c r="J143" s="273"/>
      <c r="K143" s="1706"/>
      <c r="L143" s="275"/>
      <c r="M143" s="255"/>
      <c r="N143" s="255"/>
      <c r="O143" s="273"/>
      <c r="P143" s="276"/>
      <c r="Q143" s="276"/>
    </row>
    <row r="144" spans="1:17" ht="15" customHeight="1">
      <c r="A144" s="3525" t="str">
        <f>+A72</f>
        <v>ADMINISTRACIÓN SUMINISTRO</v>
      </c>
      <c r="B144" s="3526"/>
      <c r="C144" s="3526"/>
      <c r="D144" s="3527"/>
      <c r="E144" s="2217">
        <f>+AIU!H47</f>
        <v>0.18358899999999997</v>
      </c>
      <c r="F144" s="995">
        <f>ROUND(+F143*E144,0)</f>
        <v>136871926</v>
      </c>
      <c r="H144" s="247"/>
      <c r="I144" s="273"/>
      <c r="J144" s="273"/>
      <c r="K144" s="1706"/>
      <c r="L144" s="275"/>
      <c r="M144" s="255"/>
      <c r="N144" s="255"/>
      <c r="O144" s="273"/>
      <c r="P144" s="276"/>
      <c r="Q144" s="276"/>
    </row>
    <row r="145" spans="1:17" ht="15" customHeight="1">
      <c r="A145" s="3525" t="str">
        <f>+A73</f>
        <v>INTERVENTORIA SUMINISTRO</v>
      </c>
      <c r="B145" s="3526"/>
      <c r="C145" s="3526"/>
      <c r="D145" s="3527"/>
      <c r="E145" s="989">
        <v>0.01</v>
      </c>
      <c r="F145" s="995">
        <f>ROUND(E145*(F143+F144),0)</f>
        <v>8824064</v>
      </c>
      <c r="H145" s="247"/>
      <c r="I145" s="273"/>
      <c r="J145" s="273"/>
      <c r="K145" s="1706"/>
      <c r="L145" s="275"/>
      <c r="M145" s="255"/>
      <c r="N145" s="255"/>
      <c r="O145" s="273"/>
      <c r="P145" s="276"/>
      <c r="Q145" s="276"/>
    </row>
    <row r="146" spans="1:17" ht="15" customHeight="1">
      <c r="A146" s="3525" t="s">
        <v>8544</v>
      </c>
      <c r="B146" s="3526"/>
      <c r="C146" s="3526"/>
      <c r="D146" s="3527"/>
      <c r="E146" s="989">
        <v>0.02</v>
      </c>
      <c r="F146" s="995">
        <f>ROUND(E146*(F143+F144),0)</f>
        <v>17648128</v>
      </c>
      <c r="H146" s="247"/>
      <c r="I146" s="273"/>
      <c r="J146" s="273"/>
      <c r="K146" s="1706"/>
      <c r="L146" s="275"/>
      <c r="M146" s="255"/>
      <c r="N146" s="255"/>
      <c r="O146" s="273"/>
      <c r="P146" s="276"/>
      <c r="Q146" s="276"/>
    </row>
    <row r="147" spans="1:17" ht="29.25" customHeight="1">
      <c r="A147" s="3525" t="s">
        <v>4287</v>
      </c>
      <c r="B147" s="3526"/>
      <c r="C147" s="3526"/>
      <c r="D147" s="3526"/>
      <c r="E147" s="3527"/>
      <c r="F147" s="995">
        <f>SUM(F143:F146)</f>
        <v>908878576</v>
      </c>
      <c r="H147" s="247"/>
      <c r="I147" s="273"/>
      <c r="J147" s="273"/>
      <c r="K147" s="1706"/>
      <c r="L147" s="275"/>
      <c r="M147" s="255"/>
      <c r="N147" s="255"/>
      <c r="O147" s="273"/>
      <c r="P147" s="276"/>
      <c r="Q147" s="276"/>
    </row>
    <row r="148" spans="1:17" ht="33.75" customHeight="1">
      <c r="A148" s="3601" t="s">
        <v>1200</v>
      </c>
      <c r="B148" s="3602"/>
      <c r="C148" s="3602"/>
      <c r="D148" s="3602"/>
      <c r="E148" s="3603"/>
      <c r="F148" s="1256">
        <f>+F147+F127</f>
        <v>2664556979</v>
      </c>
      <c r="G148" s="276"/>
      <c r="H148" s="276"/>
      <c r="I148" s="247"/>
      <c r="J148" s="247"/>
    </row>
    <row r="149" spans="1:17" s="282" customFormat="1">
      <c r="A149" s="281"/>
      <c r="B149" s="405"/>
      <c r="C149" s="405"/>
      <c r="D149" s="405"/>
      <c r="E149" s="405"/>
      <c r="G149" s="1889"/>
    </row>
    <row r="150" spans="1:17">
      <c r="A150" s="2234" t="s">
        <v>1449</v>
      </c>
      <c r="B150" s="3601" t="s">
        <v>5762</v>
      </c>
      <c r="C150" s="3602"/>
      <c r="D150" s="3602"/>
      <c r="E150" s="3602"/>
      <c r="F150" s="3603"/>
      <c r="G150" s="254"/>
      <c r="K150" s="1706"/>
      <c r="L150" s="1706"/>
      <c r="M150" s="255"/>
      <c r="N150" s="255"/>
      <c r="O150" s="255"/>
      <c r="P150" s="255"/>
      <c r="Q150" s="255"/>
    </row>
    <row r="151" spans="1:17" s="1721" customFormat="1" ht="20.100000000000001" customHeight="1">
      <c r="A151" s="1718"/>
      <c r="B151" s="975" t="s">
        <v>1082</v>
      </c>
      <c r="C151" s="1719"/>
      <c r="D151" s="976"/>
      <c r="E151" s="1720"/>
      <c r="F151" s="977"/>
    </row>
    <row r="152" spans="1:17" s="1721" customFormat="1" ht="20.100000000000001" customHeight="1">
      <c r="A152" s="1722" t="s">
        <v>36</v>
      </c>
      <c r="B152" s="978" t="s">
        <v>1083</v>
      </c>
      <c r="C152" s="1723"/>
      <c r="D152" s="979"/>
      <c r="E152" s="1724"/>
      <c r="F152" s="2244">
        <f>+F153</f>
        <v>17810182</v>
      </c>
    </row>
    <row r="153" spans="1:17">
      <c r="A153" s="1879" t="s">
        <v>5802</v>
      </c>
      <c r="B153" s="320" t="s">
        <v>1086</v>
      </c>
      <c r="C153" s="321" t="s">
        <v>1002</v>
      </c>
      <c r="D153" s="2657">
        <f>7559.5</f>
        <v>7559.5</v>
      </c>
      <c r="E153" s="322">
        <f>+'APU LINEAS IMPULSIÓN'!$B$17</f>
        <v>2356</v>
      </c>
      <c r="F153" s="322">
        <f>+ROUND(E153*D153,0)</f>
        <v>17810182</v>
      </c>
      <c r="G153" s="247"/>
      <c r="H153" s="247"/>
      <c r="I153" s="247"/>
      <c r="J153" s="247"/>
    </row>
    <row r="154" spans="1:17">
      <c r="A154" s="1722" t="s">
        <v>1451</v>
      </c>
      <c r="B154" s="978" t="s">
        <v>1087</v>
      </c>
      <c r="C154" s="1723"/>
      <c r="D154" s="979"/>
      <c r="E154" s="1724"/>
      <c r="F154" s="2244">
        <f>SUM(F155:F159)</f>
        <v>12435278</v>
      </c>
      <c r="G154" s="1890"/>
      <c r="H154" s="247"/>
      <c r="I154" s="247"/>
      <c r="J154" s="247"/>
    </row>
    <row r="155" spans="1:17">
      <c r="A155" s="1878" t="s">
        <v>5803</v>
      </c>
      <c r="B155" s="258" t="s">
        <v>6267</v>
      </c>
      <c r="C155" s="1878" t="s">
        <v>356</v>
      </c>
      <c r="D155" s="270">
        <v>57.2</v>
      </c>
      <c r="E155" s="260">
        <f>+'APU LINEAS IMPULSIÓN'!$B$27</f>
        <v>51559</v>
      </c>
      <c r="F155" s="2389">
        <f>+ROUND(E155*D155,0)</f>
        <v>2949175</v>
      </c>
      <c r="G155" s="247"/>
      <c r="H155" s="247"/>
      <c r="I155" s="247"/>
      <c r="J155" s="247"/>
    </row>
    <row r="156" spans="1:17">
      <c r="A156" s="1878" t="s">
        <v>5804</v>
      </c>
      <c r="B156" s="323" t="s">
        <v>1108</v>
      </c>
      <c r="C156" s="1878" t="s">
        <v>94</v>
      </c>
      <c r="D156" s="270">
        <v>952.58000000000015</v>
      </c>
      <c r="E156" s="260">
        <f>+'APU LINEAS IMPULSIÓN'!$B$34</f>
        <v>5176</v>
      </c>
      <c r="F156" s="2389">
        <f t="shared" ref="F156:F159" si="13">+ROUND(E156*D156,0)</f>
        <v>4930554</v>
      </c>
      <c r="G156" s="247"/>
      <c r="H156" s="247"/>
      <c r="I156" s="247"/>
      <c r="J156" s="247"/>
    </row>
    <row r="157" spans="1:17">
      <c r="A157" s="1878" t="s">
        <v>5805</v>
      </c>
      <c r="B157" s="323" t="s">
        <v>6254</v>
      </c>
      <c r="C157" s="1878" t="s">
        <v>94</v>
      </c>
      <c r="D157" s="259">
        <v>150</v>
      </c>
      <c r="E157" s="260">
        <f>+'APU LINEAS IMPULSIÓN'!$B$42</f>
        <v>11371.692038071427</v>
      </c>
      <c r="F157" s="2389">
        <f t="shared" si="13"/>
        <v>1705754</v>
      </c>
      <c r="G157" s="247"/>
      <c r="H157" s="247"/>
      <c r="I157" s="247"/>
      <c r="J157" s="247"/>
    </row>
    <row r="158" spans="1:17">
      <c r="A158" s="1878" t="s">
        <v>5806</v>
      </c>
      <c r="B158" s="323" t="s">
        <v>6255</v>
      </c>
      <c r="C158" s="1878" t="s">
        <v>94</v>
      </c>
      <c r="D158" s="259">
        <v>75.423600000000008</v>
      </c>
      <c r="E158" s="260">
        <f>+'APU LINEAS IMPULSIÓN'!$B$50</f>
        <v>9950.2305333125005</v>
      </c>
      <c r="F158" s="2389">
        <f t="shared" si="13"/>
        <v>750482</v>
      </c>
      <c r="G158" s="247"/>
      <c r="H158" s="247"/>
      <c r="I158" s="247"/>
      <c r="J158" s="247"/>
    </row>
    <row r="159" spans="1:17">
      <c r="A159" s="1878" t="s">
        <v>5807</v>
      </c>
      <c r="B159" s="323" t="s">
        <v>6256</v>
      </c>
      <c r="C159" s="1878" t="s">
        <v>356</v>
      </c>
      <c r="D159" s="259">
        <f>(0.8*0.1*(150))+29.4</f>
        <v>41.4</v>
      </c>
      <c r="E159" s="260">
        <f>+'APU LINEAS IMPULSIÓN'!$B$58</f>
        <v>50708.052078235298</v>
      </c>
      <c r="F159" s="2389">
        <f t="shared" si="13"/>
        <v>2099313</v>
      </c>
      <c r="G159" s="247"/>
      <c r="H159" s="247"/>
      <c r="I159" s="247"/>
      <c r="J159" s="247"/>
    </row>
    <row r="160" spans="1:17">
      <c r="A160" s="1722" t="s">
        <v>5723</v>
      </c>
      <c r="B160" s="978" t="s">
        <v>1104</v>
      </c>
      <c r="C160" s="1723"/>
      <c r="D160" s="979"/>
      <c r="E160" s="1724"/>
      <c r="F160" s="2244">
        <f>SUM(F161:F167)</f>
        <v>434179792</v>
      </c>
      <c r="G160" s="247"/>
      <c r="H160" s="247"/>
      <c r="I160" s="247"/>
      <c r="J160" s="247"/>
    </row>
    <row r="161" spans="1:17" ht="37.5" customHeight="1">
      <c r="A161" s="1879" t="s">
        <v>5808</v>
      </c>
      <c r="B161" s="258" t="s">
        <v>6327</v>
      </c>
      <c r="C161" s="471" t="s">
        <v>1084</v>
      </c>
      <c r="D161" s="259">
        <f>(5911.1*0.99)</f>
        <v>5851.9890000000005</v>
      </c>
      <c r="E161" s="260">
        <f>+'APU LINEAS IMPULSIÓN'!$B$66</f>
        <v>10000</v>
      </c>
      <c r="F161" s="2389">
        <f>+ROUND(E161*D161,0)</f>
        <v>58519890</v>
      </c>
      <c r="G161" s="261"/>
      <c r="H161" s="262"/>
      <c r="I161" s="262"/>
      <c r="J161" s="247"/>
    </row>
    <row r="162" spans="1:17" ht="17.399999999999999">
      <c r="A162" s="1879" t="s">
        <v>5809</v>
      </c>
      <c r="B162" s="263" t="s">
        <v>6292</v>
      </c>
      <c r="C162" s="248" t="s">
        <v>1084</v>
      </c>
      <c r="D162" s="259">
        <f>5911.1*0.01</f>
        <v>59.111000000000004</v>
      </c>
      <c r="E162" s="265">
        <f>+'APU LINEAS IMPULSIÓN'!$B$81</f>
        <v>75938.251377333334</v>
      </c>
      <c r="F162" s="2389">
        <f t="shared" ref="F162:F167" si="14">+ROUND(E162*D162,0)</f>
        <v>4488786</v>
      </c>
      <c r="G162" s="267"/>
      <c r="H162" s="262"/>
      <c r="I162" s="262"/>
      <c r="J162" s="268"/>
      <c r="L162" s="255"/>
      <c r="M162" s="255"/>
      <c r="N162" s="255"/>
      <c r="O162" s="255"/>
      <c r="P162" s="255"/>
      <c r="Q162" s="255"/>
    </row>
    <row r="163" spans="1:17" ht="33.6">
      <c r="A163" s="1879" t="s">
        <v>5810</v>
      </c>
      <c r="B163" s="349" t="s">
        <v>6293</v>
      </c>
      <c r="C163" s="248" t="s">
        <v>8540</v>
      </c>
      <c r="D163" s="266">
        <v>3036.7540800000011</v>
      </c>
      <c r="E163" s="265">
        <f>+'APU LINEAS IMPULSIÓN'!B$88</f>
        <v>1826.1904761904761</v>
      </c>
      <c r="F163" s="2389">
        <f t="shared" si="14"/>
        <v>5545691</v>
      </c>
      <c r="G163" s="267"/>
      <c r="H163" s="262"/>
      <c r="I163" s="262"/>
      <c r="J163" s="268"/>
      <c r="L163" s="255"/>
      <c r="M163" s="255"/>
      <c r="N163" s="255"/>
      <c r="O163" s="255"/>
      <c r="P163" s="255"/>
      <c r="Q163" s="255"/>
    </row>
    <row r="164" spans="1:17" ht="50.4">
      <c r="A164" s="1879" t="s">
        <v>5811</v>
      </c>
      <c r="B164" s="263" t="s">
        <v>5064</v>
      </c>
      <c r="C164" s="248" t="s">
        <v>1085</v>
      </c>
      <c r="D164" s="266">
        <v>2648.875</v>
      </c>
      <c r="E164" s="265">
        <f>+'APU LINEAS IMPULSIÓN'!$B$97</f>
        <v>87012</v>
      </c>
      <c r="F164" s="2389">
        <f t="shared" si="14"/>
        <v>230483912</v>
      </c>
      <c r="G164" s="267"/>
      <c r="H164" s="1868"/>
      <c r="J164" s="268"/>
      <c r="K164" s="255"/>
      <c r="L164" s="255"/>
      <c r="M164" s="255"/>
      <c r="N164" s="255"/>
      <c r="O164" s="255"/>
      <c r="P164" s="255"/>
      <c r="Q164" s="255"/>
    </row>
    <row r="165" spans="1:17" ht="50.4">
      <c r="A165" s="1879" t="s">
        <v>5812</v>
      </c>
      <c r="B165" s="263" t="s">
        <v>1102</v>
      </c>
      <c r="C165" s="471" t="s">
        <v>1085</v>
      </c>
      <c r="D165" s="264">
        <v>4433.4999999999982</v>
      </c>
      <c r="E165" s="265">
        <f>+'APU LINEAS IMPULSIÓN'!$B$105</f>
        <v>12212</v>
      </c>
      <c r="F165" s="2389">
        <f t="shared" si="14"/>
        <v>54141902</v>
      </c>
      <c r="H165" s="2174"/>
      <c r="I165" s="2174"/>
      <c r="J165" s="2174"/>
      <c r="K165" s="2174"/>
      <c r="L165" s="2174"/>
      <c r="M165" s="2174"/>
      <c r="N165" s="2174"/>
      <c r="O165" s="261"/>
    </row>
    <row r="166" spans="1:17" ht="33.6">
      <c r="A166" s="1879" t="s">
        <v>5813</v>
      </c>
      <c r="B166" s="263" t="s">
        <v>6249</v>
      </c>
      <c r="C166" s="471" t="s">
        <v>1085</v>
      </c>
      <c r="D166" s="264">
        <v>104.17629999999997</v>
      </c>
      <c r="E166" s="265">
        <f>+'APU LINEAS IMPULSIÓN'!$B$113</f>
        <v>88113</v>
      </c>
      <c r="F166" s="2389">
        <f t="shared" si="14"/>
        <v>9179286</v>
      </c>
      <c r="H166" s="1868"/>
      <c r="I166" s="1868"/>
      <c r="J166" s="1868"/>
      <c r="K166" s="1868"/>
      <c r="L166" s="1868"/>
      <c r="M166" s="1868"/>
      <c r="N166" s="1868"/>
      <c r="O166" s="261"/>
    </row>
    <row r="167" spans="1:17" ht="50.25" customHeight="1">
      <c r="A167" s="1879" t="s">
        <v>5814</v>
      </c>
      <c r="B167" s="323" t="s">
        <v>6328</v>
      </c>
      <c r="C167" s="471" t="s">
        <v>94</v>
      </c>
      <c r="D167" s="264">
        <v>25</v>
      </c>
      <c r="E167" s="265">
        <f>+'APU LINEAS IMPULSIÓN'!B824</f>
        <v>2872813</v>
      </c>
      <c r="F167" s="2389">
        <f t="shared" si="14"/>
        <v>71820325</v>
      </c>
      <c r="H167" s="1868"/>
      <c r="I167" s="1868"/>
      <c r="J167" s="1868"/>
      <c r="K167" s="1868"/>
      <c r="L167" s="1868"/>
      <c r="M167" s="1868"/>
      <c r="N167" s="1868"/>
      <c r="O167" s="261"/>
    </row>
    <row r="168" spans="1:17">
      <c r="A168" s="1877">
        <v>3.4</v>
      </c>
      <c r="B168" s="981" t="s">
        <v>1106</v>
      </c>
      <c r="C168" s="982"/>
      <c r="D168" s="982"/>
      <c r="E168" s="982"/>
      <c r="F168" s="2244">
        <f>SUM(F169:F174)</f>
        <v>257705176</v>
      </c>
      <c r="H168" s="247"/>
      <c r="I168" s="273"/>
      <c r="J168" s="273"/>
      <c r="K168" s="1706"/>
      <c r="L168" s="275"/>
      <c r="M168" s="255"/>
      <c r="N168" s="255"/>
      <c r="O168" s="273"/>
      <c r="P168" s="276"/>
      <c r="Q168" s="276"/>
    </row>
    <row r="169" spans="1:17" ht="33.6">
      <c r="A169" s="1878" t="s">
        <v>5815</v>
      </c>
      <c r="B169" s="323" t="s">
        <v>6294</v>
      </c>
      <c r="C169" s="1878" t="s">
        <v>1084</v>
      </c>
      <c r="D169" s="259">
        <f>10+346.9</f>
        <v>356.9</v>
      </c>
      <c r="E169" s="2235">
        <f>+'APU LINEAS IMPULSIÓN'!$B$163</f>
        <v>508061.26403443597</v>
      </c>
      <c r="F169" s="2670">
        <f>ROUND((+E169*D169),0)</f>
        <v>181327065</v>
      </c>
      <c r="H169" s="247"/>
      <c r="I169" s="273"/>
      <c r="J169" s="273"/>
      <c r="K169" s="1706"/>
      <c r="L169" s="275"/>
      <c r="M169" s="255"/>
      <c r="N169" s="255"/>
      <c r="O169" s="273"/>
      <c r="P169" s="276"/>
      <c r="Q169" s="276"/>
    </row>
    <row r="170" spans="1:17" ht="50.4">
      <c r="A170" s="1878" t="s">
        <v>5816</v>
      </c>
      <c r="B170" s="323" t="s">
        <v>6298</v>
      </c>
      <c r="C170" s="1878" t="s">
        <v>1084</v>
      </c>
      <c r="D170" s="259">
        <f>+D155</f>
        <v>57.2</v>
      </c>
      <c r="E170" s="2235">
        <f>+'APU LINEAS IMPULSIÓN'!$B$189</f>
        <v>721312.05156987999</v>
      </c>
      <c r="F170" s="2670">
        <f t="shared" ref="F170:F174" si="15">ROUND((+E170*D170),0)</f>
        <v>41259049</v>
      </c>
      <c r="H170" s="247"/>
      <c r="I170" s="273"/>
      <c r="J170" s="273"/>
      <c r="K170" s="1706"/>
      <c r="L170" s="275"/>
      <c r="M170" s="255"/>
      <c r="N170" s="255"/>
      <c r="O170" s="273"/>
      <c r="P170" s="276"/>
      <c r="Q170" s="276"/>
    </row>
    <row r="171" spans="1:17">
      <c r="A171" s="1878" t="s">
        <v>5817</v>
      </c>
      <c r="B171" s="323" t="s">
        <v>1120</v>
      </c>
      <c r="C171" s="1878" t="s">
        <v>94</v>
      </c>
      <c r="D171" s="259">
        <f>+D158</f>
        <v>75.423600000000008</v>
      </c>
      <c r="E171" s="2235">
        <f>+'APU LINEAS IMPULSIÓN'!$B$199</f>
        <v>54299.213951898993</v>
      </c>
      <c r="F171" s="2670">
        <f t="shared" si="15"/>
        <v>4095442</v>
      </c>
      <c r="H171" s="247"/>
      <c r="I171" s="273"/>
      <c r="J171" s="273"/>
      <c r="K171" s="1706"/>
      <c r="L171" s="275"/>
      <c r="M171" s="255"/>
      <c r="N171" s="255"/>
      <c r="O171" s="273"/>
      <c r="P171" s="276"/>
      <c r="Q171" s="276"/>
    </row>
    <row r="172" spans="1:17">
      <c r="A172" s="1878" t="s">
        <v>5818</v>
      </c>
      <c r="B172" s="323" t="s">
        <v>1121</v>
      </c>
      <c r="C172" s="1878" t="s">
        <v>94</v>
      </c>
      <c r="D172" s="259">
        <f>+D157</f>
        <v>150</v>
      </c>
      <c r="E172" s="2235">
        <f>+'APU LINEAS IMPULSIÓN'!$B$210</f>
        <v>41838.174079316326</v>
      </c>
      <c r="F172" s="2670">
        <f t="shared" si="15"/>
        <v>6275726</v>
      </c>
      <c r="H172" s="247"/>
      <c r="I172" s="273"/>
      <c r="J172" s="273"/>
      <c r="K172" s="1706"/>
      <c r="L172" s="275"/>
      <c r="M172" s="255"/>
      <c r="N172" s="255"/>
      <c r="O172" s="273"/>
      <c r="P172" s="276"/>
      <c r="Q172" s="276"/>
    </row>
    <row r="173" spans="1:17" ht="50.4">
      <c r="A173" s="1878" t="s">
        <v>5819</v>
      </c>
      <c r="B173" s="323" t="s">
        <v>6307</v>
      </c>
      <c r="C173" s="1878" t="s">
        <v>1084</v>
      </c>
      <c r="D173" s="259">
        <f>+D159</f>
        <v>41.4</v>
      </c>
      <c r="E173" s="2235">
        <f>+'APU LINEAS IMPULSIÓN'!$B$226</f>
        <v>444652.84510301804</v>
      </c>
      <c r="F173" s="2670">
        <f t="shared" si="15"/>
        <v>18408628</v>
      </c>
      <c r="H173" s="247"/>
      <c r="I173" s="273"/>
      <c r="J173" s="273"/>
      <c r="K173" s="1706"/>
      <c r="L173" s="275"/>
      <c r="M173" s="255"/>
      <c r="N173" s="255"/>
      <c r="O173" s="273"/>
      <c r="P173" s="276"/>
      <c r="Q173" s="276"/>
    </row>
    <row r="174" spans="1:17" ht="50.4">
      <c r="A174" s="1878" t="s">
        <v>5820</v>
      </c>
      <c r="B174" s="1415" t="s">
        <v>542</v>
      </c>
      <c r="C174" s="248" t="s">
        <v>133</v>
      </c>
      <c r="D174" s="259">
        <v>9</v>
      </c>
      <c r="E174" s="2235">
        <f>+'APU LINEAS IMPULSIÓN'!$B$238</f>
        <v>704362.91278373147</v>
      </c>
      <c r="F174" s="2670">
        <f t="shared" si="15"/>
        <v>6339266</v>
      </c>
      <c r="G174" s="278"/>
      <c r="K174" s="255"/>
    </row>
    <row r="175" spans="1:17">
      <c r="A175" s="1877" t="s">
        <v>5725</v>
      </c>
      <c r="B175" s="981" t="s">
        <v>5734</v>
      </c>
      <c r="C175" s="982"/>
      <c r="D175" s="982"/>
      <c r="E175" s="982" t="s">
        <v>1158</v>
      </c>
      <c r="F175" s="993"/>
      <c r="G175" s="254"/>
      <c r="K175" s="1706"/>
      <c r="L175" s="1706"/>
      <c r="M175" s="255"/>
      <c r="N175" s="255"/>
      <c r="O175" s="255"/>
      <c r="P175" s="255"/>
      <c r="Q175" s="255"/>
    </row>
    <row r="176" spans="1:17" ht="28.5" customHeight="1">
      <c r="A176" s="2137" t="s">
        <v>5821</v>
      </c>
      <c r="B176" s="2236" t="s">
        <v>8541</v>
      </c>
      <c r="C176" s="2130" t="s">
        <v>363</v>
      </c>
      <c r="D176" s="2130">
        <v>700</v>
      </c>
      <c r="E176" s="2238">
        <f>+'APU LINEAS IMPULSIÓN'!B558</f>
        <v>185211</v>
      </c>
      <c r="F176" s="2377">
        <f>ROUND((+E176*D176),0)</f>
        <v>129647700</v>
      </c>
      <c r="G176" s="254"/>
      <c r="K176" s="1706"/>
      <c r="L176" s="1706"/>
      <c r="M176" s="255"/>
      <c r="N176" s="255"/>
      <c r="O176" s="255"/>
      <c r="P176" s="255"/>
      <c r="Q176" s="255"/>
    </row>
    <row r="177" spans="1:17">
      <c r="A177" s="1877" t="s">
        <v>5726</v>
      </c>
      <c r="B177" s="981" t="s">
        <v>1127</v>
      </c>
      <c r="C177" s="982"/>
      <c r="D177" s="982"/>
      <c r="E177" s="982"/>
      <c r="F177" s="2244">
        <f>SUM(F178:F192)</f>
        <v>83586327</v>
      </c>
      <c r="G177" s="254"/>
      <c r="K177" s="1706"/>
      <c r="L177" s="1706"/>
      <c r="M177" s="255"/>
      <c r="N177" s="255"/>
      <c r="O177" s="255"/>
      <c r="P177" s="255"/>
      <c r="Q177" s="255"/>
    </row>
    <row r="178" spans="1:17">
      <c r="A178" s="1879" t="s">
        <v>5822</v>
      </c>
      <c r="B178" s="258" t="s">
        <v>6509</v>
      </c>
      <c r="C178" s="471" t="s">
        <v>94</v>
      </c>
      <c r="D178" s="259">
        <v>5515.8</v>
      </c>
      <c r="E178" s="260">
        <f>+'APU LINEAS IMPULSIÓN'!$B$840</f>
        <v>12525</v>
      </c>
      <c r="F178" s="2389">
        <f>ROUND(+E178*D178,0)</f>
        <v>69085395</v>
      </c>
      <c r="G178" s="247"/>
      <c r="H178" s="247"/>
      <c r="I178" s="247"/>
      <c r="J178" s="247"/>
    </row>
    <row r="179" spans="1:17">
      <c r="A179" s="1879" t="s">
        <v>5823</v>
      </c>
      <c r="B179" s="258" t="s">
        <v>1288</v>
      </c>
      <c r="C179" s="471" t="s">
        <v>94</v>
      </c>
      <c r="D179" s="259">
        <v>1609.8</v>
      </c>
      <c r="E179" s="260">
        <f>+'APU LINEAS IMPULSIÓN'!B856</f>
        <v>3354</v>
      </c>
      <c r="F179" s="2389">
        <f t="shared" ref="F179:F192" si="16">ROUND(+E179*D179,0)</f>
        <v>5399269</v>
      </c>
      <c r="G179" s="247"/>
      <c r="H179" s="247"/>
      <c r="I179" s="247"/>
      <c r="J179" s="247"/>
    </row>
    <row r="180" spans="1:17">
      <c r="A180" s="1879" t="s">
        <v>5824</v>
      </c>
      <c r="B180" s="258" t="s">
        <v>1290</v>
      </c>
      <c r="C180" s="471" t="s">
        <v>94</v>
      </c>
      <c r="D180" s="259">
        <v>443.9</v>
      </c>
      <c r="E180" s="260">
        <f>+'APU LINEAS IMPULSIÓN'!B872</f>
        <v>3354</v>
      </c>
      <c r="F180" s="2389">
        <f t="shared" si="16"/>
        <v>1488841</v>
      </c>
      <c r="G180" s="247"/>
      <c r="H180" s="247"/>
      <c r="I180" s="247"/>
      <c r="J180" s="247"/>
    </row>
    <row r="181" spans="1:17">
      <c r="A181" s="1879" t="s">
        <v>5825</v>
      </c>
      <c r="B181" s="258" t="s">
        <v>6522</v>
      </c>
      <c r="C181" s="471" t="s">
        <v>133</v>
      </c>
      <c r="D181" s="259">
        <v>8</v>
      </c>
      <c r="E181" s="260">
        <f>+'APU LINEAS IMPULSIÓN'!B891</f>
        <v>98609.139227045103</v>
      </c>
      <c r="F181" s="2389">
        <f t="shared" si="16"/>
        <v>788873</v>
      </c>
      <c r="G181" s="247"/>
      <c r="H181" s="247"/>
      <c r="I181" s="247"/>
      <c r="J181" s="247"/>
    </row>
    <row r="182" spans="1:17">
      <c r="A182" s="1879" t="s">
        <v>5826</v>
      </c>
      <c r="B182" s="258" t="s">
        <v>6526</v>
      </c>
      <c r="C182" s="471" t="s">
        <v>133</v>
      </c>
      <c r="D182" s="271">
        <v>3</v>
      </c>
      <c r="E182" s="272">
        <f>+'APU LINEAS IMPULSIÓN'!B905</f>
        <v>48246.277899581997</v>
      </c>
      <c r="F182" s="2389">
        <f t="shared" si="16"/>
        <v>144739</v>
      </c>
      <c r="H182" s="247"/>
      <c r="I182" s="273"/>
      <c r="J182" s="273"/>
      <c r="K182" s="1706"/>
      <c r="L182" s="275"/>
      <c r="M182" s="255"/>
      <c r="N182" s="255"/>
      <c r="O182" s="273"/>
      <c r="P182" s="276"/>
      <c r="Q182" s="276"/>
    </row>
    <row r="183" spans="1:17">
      <c r="A183" s="1879" t="s">
        <v>5827</v>
      </c>
      <c r="B183" s="258" t="s">
        <v>6529</v>
      </c>
      <c r="C183" s="270" t="s">
        <v>133</v>
      </c>
      <c r="D183" s="271">
        <v>1</v>
      </c>
      <c r="E183" s="272">
        <f>+'APU LINEAS IMPULSIÓN'!B920</f>
        <v>52075.347574152001</v>
      </c>
      <c r="F183" s="2389">
        <f t="shared" si="16"/>
        <v>52075</v>
      </c>
      <c r="H183" s="247"/>
      <c r="I183" s="273"/>
      <c r="J183" s="273"/>
      <c r="K183" s="1706"/>
      <c r="L183" s="275"/>
      <c r="M183" s="255"/>
      <c r="N183" s="255"/>
      <c r="O183" s="273"/>
      <c r="P183" s="276"/>
      <c r="Q183" s="276"/>
    </row>
    <row r="184" spans="1:17">
      <c r="A184" s="1879" t="s">
        <v>5828</v>
      </c>
      <c r="B184" s="258" t="s">
        <v>6532</v>
      </c>
      <c r="C184" s="270" t="s">
        <v>133</v>
      </c>
      <c r="D184" s="271">
        <v>5</v>
      </c>
      <c r="E184" s="272">
        <f>+'APU LINEAS IMPULSIÓN'!$B$935</f>
        <v>55138.603313807995</v>
      </c>
      <c r="F184" s="2389">
        <f t="shared" si="16"/>
        <v>275693</v>
      </c>
      <c r="H184" s="247"/>
      <c r="I184" s="273"/>
      <c r="J184" s="273"/>
      <c r="K184" s="1706"/>
      <c r="L184" s="275"/>
      <c r="M184" s="255"/>
      <c r="N184" s="255"/>
      <c r="O184" s="273"/>
      <c r="P184" s="276"/>
      <c r="Q184" s="276"/>
    </row>
    <row r="185" spans="1:17">
      <c r="A185" s="1879" t="s">
        <v>5829</v>
      </c>
      <c r="B185" s="258" t="s">
        <v>6536</v>
      </c>
      <c r="C185" s="270" t="s">
        <v>133</v>
      </c>
      <c r="D185" s="271">
        <v>1</v>
      </c>
      <c r="E185" s="272">
        <f>+'APU LINEAS IMPULSIÓN'!B950</f>
        <v>58201.859053464002</v>
      </c>
      <c r="F185" s="2389">
        <f t="shared" si="16"/>
        <v>58202</v>
      </c>
      <c r="H185" s="247"/>
      <c r="I185" s="273"/>
      <c r="J185" s="273"/>
      <c r="K185" s="1706"/>
      <c r="L185" s="275"/>
      <c r="M185" s="255"/>
      <c r="N185" s="255"/>
      <c r="O185" s="273"/>
      <c r="P185" s="276"/>
      <c r="Q185" s="276"/>
    </row>
    <row r="186" spans="1:17" ht="67.2">
      <c r="A186" s="1879" t="s">
        <v>5830</v>
      </c>
      <c r="B186" s="269" t="s">
        <v>6930</v>
      </c>
      <c r="C186" s="270" t="s">
        <v>133</v>
      </c>
      <c r="D186" s="271">
        <v>5</v>
      </c>
      <c r="E186" s="272">
        <f>+'APU LINEAS IMPULSIÓN'!B982</f>
        <v>87303</v>
      </c>
      <c r="F186" s="2389">
        <f t="shared" ref="F186" si="17">ROUND(+E186*D186,0)</f>
        <v>436515</v>
      </c>
      <c r="H186" s="247"/>
      <c r="I186" s="273"/>
      <c r="J186" s="273"/>
      <c r="K186" s="1706"/>
      <c r="L186" s="275"/>
      <c r="M186" s="255"/>
      <c r="N186" s="255"/>
      <c r="O186" s="273"/>
      <c r="P186" s="276"/>
      <c r="Q186" s="276"/>
    </row>
    <row r="187" spans="1:17" ht="67.2">
      <c r="A187" s="1879" t="s">
        <v>5831</v>
      </c>
      <c r="B187" s="269" t="s">
        <v>6932</v>
      </c>
      <c r="C187" s="270" t="s">
        <v>133</v>
      </c>
      <c r="D187" s="271">
        <v>3</v>
      </c>
      <c r="E187" s="272">
        <f>+'APU LINEAS IMPULSIÓN'!$B$997</f>
        <v>96493</v>
      </c>
      <c r="F187" s="2389">
        <f t="shared" si="16"/>
        <v>289479</v>
      </c>
      <c r="H187" s="247"/>
      <c r="I187" s="273"/>
      <c r="J187" s="273"/>
      <c r="K187" s="1706"/>
      <c r="L187" s="275"/>
      <c r="M187" s="255"/>
      <c r="N187" s="255"/>
      <c r="O187" s="273"/>
      <c r="P187" s="276"/>
      <c r="Q187" s="276"/>
    </row>
    <row r="188" spans="1:17" ht="48.75" customHeight="1">
      <c r="A188" s="1879" t="s">
        <v>5832</v>
      </c>
      <c r="B188" s="269" t="s">
        <v>6934</v>
      </c>
      <c r="C188" s="270" t="s">
        <v>133</v>
      </c>
      <c r="D188" s="271">
        <v>1</v>
      </c>
      <c r="E188" s="272">
        <f>+'APU LINEAS IMPULSIÓN'!B783</f>
        <v>98014</v>
      </c>
      <c r="F188" s="2389">
        <f t="shared" si="16"/>
        <v>98014</v>
      </c>
      <c r="H188" s="247"/>
      <c r="I188" s="273"/>
      <c r="J188" s="273"/>
      <c r="K188" s="1706"/>
      <c r="L188" s="275"/>
      <c r="M188" s="255"/>
      <c r="N188" s="255"/>
      <c r="O188" s="273"/>
      <c r="P188" s="276"/>
      <c r="Q188" s="276"/>
    </row>
    <row r="189" spans="1:17" ht="33.6">
      <c r="A189" s="1879" t="s">
        <v>5833</v>
      </c>
      <c r="B189" s="269" t="s">
        <v>6936</v>
      </c>
      <c r="C189" s="270" t="s">
        <v>133</v>
      </c>
      <c r="D189" s="271">
        <v>1</v>
      </c>
      <c r="E189" s="272">
        <f>+'APU LINEAS IMPULSIÓN'!B1012</f>
        <v>202175</v>
      </c>
      <c r="F189" s="2389">
        <f t="shared" si="16"/>
        <v>202175</v>
      </c>
      <c r="H189" s="247"/>
      <c r="I189" s="273"/>
      <c r="J189" s="273"/>
      <c r="K189" s="1706"/>
      <c r="L189" s="275"/>
      <c r="M189" s="255"/>
      <c r="N189" s="255"/>
      <c r="O189" s="273"/>
      <c r="P189" s="276"/>
      <c r="Q189" s="276"/>
    </row>
    <row r="190" spans="1:17" ht="33.6">
      <c r="A190" s="1879" t="s">
        <v>5834</v>
      </c>
      <c r="B190" s="269" t="s">
        <v>6939</v>
      </c>
      <c r="C190" s="270" t="s">
        <v>133</v>
      </c>
      <c r="D190" s="271">
        <v>1</v>
      </c>
      <c r="E190" s="272">
        <f>+'APU LINEAS IMPULSIÓN'!B1027</f>
        <v>255095</v>
      </c>
      <c r="F190" s="2389">
        <f t="shared" ref="F190:F191" si="18">ROUND(+E190*D190,0)</f>
        <v>255095</v>
      </c>
      <c r="H190" s="247"/>
      <c r="I190" s="273"/>
      <c r="J190" s="273"/>
      <c r="K190" s="1706"/>
      <c r="L190" s="275"/>
      <c r="M190" s="255"/>
      <c r="N190" s="255"/>
      <c r="O190" s="273"/>
      <c r="P190" s="276"/>
      <c r="Q190" s="276"/>
    </row>
    <row r="191" spans="1:17" ht="151.19999999999999">
      <c r="A191" s="1879" t="s">
        <v>5835</v>
      </c>
      <c r="B191" s="269" t="s">
        <v>6944</v>
      </c>
      <c r="C191" s="270" t="s">
        <v>133</v>
      </c>
      <c r="D191" s="271">
        <v>1</v>
      </c>
      <c r="E191" s="272">
        <f>+'APU LINEAS IMPULSIÓN'!B803</f>
        <v>861036.31183025776</v>
      </c>
      <c r="F191" s="2389">
        <f t="shared" si="18"/>
        <v>861036</v>
      </c>
      <c r="H191" s="247"/>
      <c r="I191" s="273"/>
      <c r="J191" s="273"/>
      <c r="K191" s="1706"/>
      <c r="L191" s="275"/>
      <c r="M191" s="255"/>
      <c r="N191" s="255"/>
      <c r="O191" s="273"/>
      <c r="P191" s="276"/>
      <c r="Q191" s="276"/>
    </row>
    <row r="192" spans="1:17" ht="184.8">
      <c r="A192" s="1879" t="s">
        <v>5836</v>
      </c>
      <c r="B192" s="269" t="s">
        <v>6948</v>
      </c>
      <c r="C192" s="270" t="s">
        <v>133</v>
      </c>
      <c r="D192" s="271">
        <v>2</v>
      </c>
      <c r="E192" s="272">
        <f>+'APU LINEAS IMPULSIÓN'!B1047</f>
        <v>2075463.0987915022</v>
      </c>
      <c r="F192" s="2389">
        <f t="shared" si="16"/>
        <v>4150926</v>
      </c>
      <c r="H192" s="247"/>
      <c r="I192" s="273"/>
      <c r="J192" s="273"/>
      <c r="K192" s="1706"/>
      <c r="L192" s="275"/>
      <c r="M192" s="255"/>
      <c r="N192" s="255"/>
      <c r="O192" s="273"/>
      <c r="P192" s="276"/>
      <c r="Q192" s="276"/>
    </row>
    <row r="193" spans="1:17" ht="27" customHeight="1">
      <c r="A193" s="3604" t="s">
        <v>4290</v>
      </c>
      <c r="B193" s="3605"/>
      <c r="C193" s="3605"/>
      <c r="D193" s="3605"/>
      <c r="E193" s="3606"/>
      <c r="F193" s="994">
        <f>(SUM(F178:F192,F176,F169:F174,F161:F167,F155:F159,F153))</f>
        <v>935364455</v>
      </c>
      <c r="G193" s="2363">
        <f>+F193</f>
        <v>935364455</v>
      </c>
      <c r="H193" s="1290" t="s">
        <v>8225</v>
      </c>
      <c r="I193" s="273"/>
      <c r="J193" s="273"/>
      <c r="K193" s="1706"/>
      <c r="L193" s="275"/>
      <c r="M193" s="255"/>
      <c r="N193" s="255"/>
      <c r="O193" s="273"/>
      <c r="P193" s="276"/>
      <c r="Q193" s="276"/>
    </row>
    <row r="194" spans="1:17">
      <c r="A194" s="3528" t="s">
        <v>139</v>
      </c>
      <c r="B194" s="3529"/>
      <c r="C194" s="3529"/>
      <c r="D194" s="3530"/>
      <c r="E194" s="2202">
        <f>+AIU</f>
        <v>0.29572249606750989</v>
      </c>
      <c r="F194" s="983">
        <f>ROUND(+F193*E194,0)</f>
        <v>276608311</v>
      </c>
      <c r="H194" s="247"/>
      <c r="I194" s="273"/>
      <c r="J194" s="273"/>
      <c r="K194" s="1706"/>
      <c r="L194" s="275"/>
      <c r="M194" s="255"/>
      <c r="N194" s="255"/>
      <c r="O194" s="273"/>
      <c r="P194" s="276"/>
      <c r="Q194" s="276"/>
    </row>
    <row r="195" spans="1:17" ht="15" customHeight="1">
      <c r="A195" s="3528" t="str">
        <f>+A56</f>
        <v>INTERVENTORIA OBRA CIVIL</v>
      </c>
      <c r="B195" s="3529"/>
      <c r="C195" s="3529"/>
      <c r="D195" s="3530"/>
      <c r="E195" s="2386">
        <f>+'PRESUPUESTO-INTERV'!J50</f>
        <v>0.16163254000625432</v>
      </c>
      <c r="F195" s="983">
        <f>ROUND(E195*(F193+F194),0)</f>
        <v>195894237</v>
      </c>
      <c r="H195" s="247"/>
      <c r="I195" s="273"/>
      <c r="J195" s="273"/>
      <c r="K195" s="1706"/>
      <c r="L195" s="275"/>
      <c r="M195" s="255"/>
      <c r="N195" s="255"/>
      <c r="O195" s="273"/>
      <c r="P195" s="276"/>
      <c r="Q195" s="276"/>
    </row>
    <row r="196" spans="1:17" ht="15" customHeight="1">
      <c r="A196" s="3528" t="s">
        <v>8544</v>
      </c>
      <c r="B196" s="3529"/>
      <c r="C196" s="3529"/>
      <c r="D196" s="3530"/>
      <c r="E196" s="984">
        <v>0.02</v>
      </c>
      <c r="F196" s="983">
        <f>ROUND(E196*(F193+F194),0)</f>
        <v>24239455</v>
      </c>
      <c r="H196" s="247"/>
      <c r="I196" s="273"/>
      <c r="J196" s="273"/>
      <c r="K196" s="1706"/>
      <c r="L196" s="275"/>
      <c r="M196" s="255"/>
      <c r="N196" s="255"/>
      <c r="O196" s="273"/>
      <c r="P196" s="276"/>
      <c r="Q196" s="276"/>
    </row>
    <row r="197" spans="1:17" ht="28.5" customHeight="1">
      <c r="A197" s="3604" t="s">
        <v>4291</v>
      </c>
      <c r="B197" s="3605"/>
      <c r="C197" s="3605"/>
      <c r="D197" s="3605"/>
      <c r="E197" s="3606"/>
      <c r="F197" s="994">
        <f>SUM(F193:F196)</f>
        <v>1432106458</v>
      </c>
      <c r="H197" s="247"/>
      <c r="I197" s="273"/>
      <c r="J197" s="273"/>
      <c r="K197" s="1706"/>
      <c r="L197" s="275"/>
      <c r="M197" s="255"/>
      <c r="N197" s="255"/>
      <c r="O197" s="273"/>
      <c r="P197" s="276"/>
      <c r="Q197" s="276"/>
    </row>
    <row r="198" spans="1:17">
      <c r="A198" s="1875" t="s">
        <v>5727</v>
      </c>
      <c r="B198" s="3521" t="s">
        <v>1128</v>
      </c>
      <c r="C198" s="3522"/>
      <c r="D198" s="3522"/>
      <c r="E198" s="974"/>
      <c r="F198" s="2247">
        <f>+SUM(F199:F213)</f>
        <v>666637294</v>
      </c>
      <c r="G198" s="2381">
        <f>+F198</f>
        <v>666637294</v>
      </c>
      <c r="H198" s="2363" t="s">
        <v>8225</v>
      </c>
      <c r="K198" s="1706"/>
      <c r="L198" s="1706"/>
      <c r="M198" s="255"/>
      <c r="N198" s="255"/>
      <c r="O198" s="255"/>
      <c r="P198" s="255"/>
      <c r="Q198" s="255"/>
    </row>
    <row r="199" spans="1:17" ht="20.25" customHeight="1">
      <c r="A199" s="1879" t="s">
        <v>6058</v>
      </c>
      <c r="B199" s="258" t="s">
        <v>6508</v>
      </c>
      <c r="C199" s="471" t="s">
        <v>94</v>
      </c>
      <c r="D199" s="259">
        <f t="shared" ref="D199:D206" si="19">+D178</f>
        <v>5515.8</v>
      </c>
      <c r="E199" s="260">
        <f>+'APU LINEAS IMPULSIÓN'!$B$847</f>
        <v>74100</v>
      </c>
      <c r="F199" s="260">
        <f>+ROUND(E199*D199,0)</f>
        <v>408720780</v>
      </c>
      <c r="G199" s="247"/>
      <c r="H199" s="247"/>
      <c r="I199" s="247"/>
      <c r="J199" s="247"/>
    </row>
    <row r="200" spans="1:17">
      <c r="A200" s="1879" t="s">
        <v>6270</v>
      </c>
      <c r="B200" s="258" t="s">
        <v>1289</v>
      </c>
      <c r="C200" s="471" t="s">
        <v>94</v>
      </c>
      <c r="D200" s="259">
        <f t="shared" si="19"/>
        <v>1609.8</v>
      </c>
      <c r="E200" s="260">
        <f>+'APU LINEAS IMPULSIÓN'!B863</f>
        <v>112861</v>
      </c>
      <c r="F200" s="260">
        <f t="shared" ref="F200:F210" si="20">+ROUND(E200*D200,0)</f>
        <v>181683638</v>
      </c>
      <c r="G200" s="247"/>
      <c r="H200" s="247"/>
      <c r="I200" s="247"/>
      <c r="J200" s="247"/>
    </row>
    <row r="201" spans="1:17">
      <c r="A201" s="1879" t="s">
        <v>6271</v>
      </c>
      <c r="B201" s="258" t="s">
        <v>1291</v>
      </c>
      <c r="C201" s="471" t="s">
        <v>94</v>
      </c>
      <c r="D201" s="259">
        <f t="shared" si="19"/>
        <v>443.9</v>
      </c>
      <c r="E201" s="260">
        <f>+'APU LINEAS IMPULSIÓN'!$B$879</f>
        <v>66629</v>
      </c>
      <c r="F201" s="260">
        <f t="shared" si="20"/>
        <v>29576613</v>
      </c>
      <c r="G201" s="247"/>
      <c r="H201" s="247"/>
      <c r="I201" s="247"/>
      <c r="J201" s="247"/>
    </row>
    <row r="202" spans="1:17">
      <c r="A202" s="1879" t="s">
        <v>6272</v>
      </c>
      <c r="B202" s="258" t="s">
        <v>6953</v>
      </c>
      <c r="C202" s="471" t="s">
        <v>133</v>
      </c>
      <c r="D202" s="259">
        <f t="shared" si="19"/>
        <v>8</v>
      </c>
      <c r="E202" s="260">
        <f>+'APU LINEAS IMPULSIÓN'!$B$897</f>
        <v>220095.25999999998</v>
      </c>
      <c r="F202" s="260">
        <f t="shared" si="20"/>
        <v>1760762</v>
      </c>
      <c r="G202" s="247"/>
      <c r="H202" s="247"/>
      <c r="I202" s="247"/>
      <c r="J202" s="247"/>
    </row>
    <row r="203" spans="1:17">
      <c r="A203" s="2138" t="s">
        <v>6273</v>
      </c>
      <c r="B203" s="258" t="s">
        <v>6525</v>
      </c>
      <c r="C203" s="471" t="s">
        <v>133</v>
      </c>
      <c r="D203" s="259">
        <f t="shared" si="19"/>
        <v>3</v>
      </c>
      <c r="E203" s="272">
        <f>+'APU LINEAS IMPULSIÓN'!B912</f>
        <v>326546</v>
      </c>
      <c r="F203" s="260">
        <f t="shared" si="20"/>
        <v>979638</v>
      </c>
      <c r="G203" s="279"/>
      <c r="I203" s="253"/>
      <c r="J203" s="253"/>
    </row>
    <row r="204" spans="1:17">
      <c r="A204" s="2138" t="s">
        <v>6274</v>
      </c>
      <c r="B204" s="258" t="s">
        <v>6528</v>
      </c>
      <c r="C204" s="270" t="s">
        <v>133</v>
      </c>
      <c r="D204" s="259">
        <f t="shared" si="19"/>
        <v>1</v>
      </c>
      <c r="E204" s="272">
        <f>+'APU LINEAS IMPULSIÓN'!B927</f>
        <v>351628</v>
      </c>
      <c r="F204" s="260">
        <f t="shared" si="20"/>
        <v>351628</v>
      </c>
      <c r="G204" s="279"/>
      <c r="I204" s="253"/>
      <c r="J204" s="253"/>
    </row>
    <row r="205" spans="1:17">
      <c r="A205" s="2138" t="s">
        <v>6275</v>
      </c>
      <c r="B205" s="258" t="s">
        <v>6531</v>
      </c>
      <c r="C205" s="270" t="s">
        <v>133</v>
      </c>
      <c r="D205" s="259">
        <f t="shared" si="19"/>
        <v>5</v>
      </c>
      <c r="E205" s="272">
        <f>+'APU LINEAS IMPULSIÓN'!$B$942</f>
        <v>371912</v>
      </c>
      <c r="F205" s="260">
        <f t="shared" si="20"/>
        <v>1859560</v>
      </c>
      <c r="G205" s="279"/>
      <c r="I205" s="253"/>
      <c r="J205" s="253"/>
    </row>
    <row r="206" spans="1:17">
      <c r="A206" s="2138" t="s">
        <v>6276</v>
      </c>
      <c r="B206" s="258" t="s">
        <v>6535</v>
      </c>
      <c r="C206" s="270" t="s">
        <v>133</v>
      </c>
      <c r="D206" s="259">
        <f t="shared" si="19"/>
        <v>1</v>
      </c>
      <c r="E206" s="272">
        <f>+'APU LINEAS IMPULSIÓN'!B957</f>
        <v>391144.54545454547</v>
      </c>
      <c r="F206" s="260">
        <f t="shared" si="20"/>
        <v>391145</v>
      </c>
      <c r="H206" s="247"/>
      <c r="I206" s="273"/>
      <c r="J206" s="273"/>
      <c r="K206" s="1706"/>
      <c r="L206" s="275"/>
      <c r="M206" s="255"/>
      <c r="N206" s="255"/>
      <c r="O206" s="273"/>
      <c r="P206" s="276"/>
      <c r="Q206" s="276"/>
    </row>
    <row r="207" spans="1:17" ht="67.2">
      <c r="A207" s="2138" t="s">
        <v>6277</v>
      </c>
      <c r="B207" s="269" t="s">
        <v>1311</v>
      </c>
      <c r="C207" s="270" t="s">
        <v>133</v>
      </c>
      <c r="D207" s="271">
        <v>5</v>
      </c>
      <c r="E207" s="272">
        <f>+'APU LINEAS IMPULSIÓN'!B989</f>
        <v>575736</v>
      </c>
      <c r="F207" s="260">
        <f t="shared" ref="F207" si="21">ROUND(+E207*D207,0)</f>
        <v>2878680</v>
      </c>
      <c r="H207" s="247"/>
      <c r="I207" s="273"/>
      <c r="J207" s="273"/>
      <c r="K207" s="1706"/>
      <c r="L207" s="275"/>
      <c r="M207" s="255"/>
      <c r="N207" s="255"/>
      <c r="O207" s="273"/>
      <c r="P207" s="276"/>
      <c r="Q207" s="276"/>
    </row>
    <row r="208" spans="1:17" ht="67.2">
      <c r="A208" s="2138" t="s">
        <v>6278</v>
      </c>
      <c r="B208" s="269" t="s">
        <v>6931</v>
      </c>
      <c r="C208" s="270" t="s">
        <v>133</v>
      </c>
      <c r="D208" s="259">
        <f>+D187</f>
        <v>3</v>
      </c>
      <c r="E208" s="272">
        <f>+'APU LINEAS IMPULSIÓN'!B1004</f>
        <v>635071</v>
      </c>
      <c r="F208" s="260">
        <f t="shared" si="20"/>
        <v>1905213</v>
      </c>
      <c r="H208" s="247"/>
      <c r="I208" s="273"/>
      <c r="J208" s="273"/>
      <c r="K208" s="1706"/>
      <c r="L208" s="275"/>
      <c r="M208" s="255"/>
      <c r="N208" s="255"/>
      <c r="O208" s="273"/>
      <c r="P208" s="276"/>
      <c r="Q208" s="276"/>
    </row>
    <row r="209" spans="1:17" ht="57.75" customHeight="1">
      <c r="A209" s="2138" t="s">
        <v>6279</v>
      </c>
      <c r="B209" s="269" t="s">
        <v>6933</v>
      </c>
      <c r="C209" s="270" t="s">
        <v>133</v>
      </c>
      <c r="D209" s="259">
        <f>+D188</f>
        <v>1</v>
      </c>
      <c r="E209" s="272">
        <f>+'APU LINEAS IMPULSIÓN'!B790</f>
        <v>442220</v>
      </c>
      <c r="F209" s="260">
        <f t="shared" si="20"/>
        <v>442220</v>
      </c>
      <c r="H209" s="247"/>
      <c r="I209" s="273"/>
      <c r="J209" s="273"/>
      <c r="K209" s="1706"/>
      <c r="L209" s="275"/>
      <c r="M209" s="255"/>
      <c r="N209" s="255"/>
      <c r="O209" s="273"/>
      <c r="P209" s="276"/>
      <c r="Q209" s="276"/>
    </row>
    <row r="210" spans="1:17" ht="27.75" customHeight="1">
      <c r="A210" s="2138" t="s">
        <v>6280</v>
      </c>
      <c r="B210" s="269" t="s">
        <v>6935</v>
      </c>
      <c r="C210" s="270" t="s">
        <v>133</v>
      </c>
      <c r="D210" s="259">
        <f>+D189</f>
        <v>1</v>
      </c>
      <c r="E210" s="272">
        <f>+'APU LINEAS IMPULSIÓN'!B1019</f>
        <v>1358591</v>
      </c>
      <c r="F210" s="260">
        <f t="shared" si="20"/>
        <v>1358591</v>
      </c>
      <c r="H210" s="247"/>
      <c r="I210" s="273"/>
      <c r="J210" s="273"/>
      <c r="K210" s="1706"/>
      <c r="L210" s="275"/>
      <c r="M210" s="255"/>
      <c r="N210" s="255"/>
      <c r="O210" s="273"/>
      <c r="P210" s="276"/>
      <c r="Q210" s="276"/>
    </row>
    <row r="211" spans="1:17" ht="27.75" customHeight="1">
      <c r="A211" s="2138" t="s">
        <v>6281</v>
      </c>
      <c r="B211" s="269" t="s">
        <v>6937</v>
      </c>
      <c r="C211" s="270" t="s">
        <v>133</v>
      </c>
      <c r="D211" s="259">
        <f>+D190</f>
        <v>1</v>
      </c>
      <c r="E211" s="272">
        <f>+'APU LINEAS IMPULSIÓN'!B1034</f>
        <v>1694766</v>
      </c>
      <c r="F211" s="260">
        <f t="shared" ref="F211:F213" si="22">+ROUND(E211*D211,0)</f>
        <v>1694766</v>
      </c>
      <c r="H211" s="247"/>
      <c r="I211" s="273"/>
      <c r="J211" s="273"/>
      <c r="K211" s="1706"/>
      <c r="L211" s="275"/>
      <c r="M211" s="255"/>
      <c r="N211" s="255"/>
      <c r="O211" s="273"/>
      <c r="P211" s="276"/>
      <c r="Q211" s="276"/>
    </row>
    <row r="212" spans="1:17" ht="151.19999999999999">
      <c r="A212" s="2138" t="s">
        <v>6282</v>
      </c>
      <c r="B212" s="269" t="s">
        <v>6940</v>
      </c>
      <c r="C212" s="270" t="s">
        <v>133</v>
      </c>
      <c r="D212" s="271">
        <v>1</v>
      </c>
      <c r="E212" s="272">
        <f>+'APU LINEAS IMPULSIÓN'!B812</f>
        <v>5765490.1099999994</v>
      </c>
      <c r="F212" s="260">
        <f t="shared" si="22"/>
        <v>5765490</v>
      </c>
      <c r="H212" s="247"/>
      <c r="I212" s="273"/>
      <c r="J212" s="273"/>
      <c r="K212" s="1706"/>
      <c r="L212" s="275"/>
      <c r="M212" s="255"/>
      <c r="N212" s="255"/>
      <c r="O212" s="273"/>
      <c r="P212" s="276"/>
      <c r="Q212" s="276"/>
    </row>
    <row r="213" spans="1:17" ht="156" customHeight="1">
      <c r="A213" s="2138" t="s">
        <v>6283</v>
      </c>
      <c r="B213" s="269" t="s">
        <v>6945</v>
      </c>
      <c r="C213" s="270" t="s">
        <v>133</v>
      </c>
      <c r="D213" s="271">
        <v>2</v>
      </c>
      <c r="E213" s="272">
        <f>+'APU LINEAS IMPULSIÓN'!B1056</f>
        <v>13634284.99</v>
      </c>
      <c r="F213" s="260">
        <f t="shared" si="22"/>
        <v>27268570</v>
      </c>
      <c r="H213" s="247"/>
      <c r="I213" s="273"/>
      <c r="J213" s="273"/>
      <c r="K213" s="1706"/>
      <c r="L213" s="275"/>
      <c r="M213" s="255"/>
      <c r="N213" s="255"/>
      <c r="O213" s="273"/>
      <c r="P213" s="276"/>
      <c r="Q213" s="276"/>
    </row>
    <row r="214" spans="1:17" ht="30" customHeight="1">
      <c r="A214" s="3525" t="s">
        <v>4292</v>
      </c>
      <c r="B214" s="3526"/>
      <c r="C214" s="3526"/>
      <c r="D214" s="3526"/>
      <c r="E214" s="3527"/>
      <c r="F214" s="995">
        <f>SUM(F199:F213)</f>
        <v>666637294</v>
      </c>
      <c r="H214" s="247"/>
      <c r="I214" s="273"/>
      <c r="J214" s="273"/>
      <c r="K214" s="1706"/>
      <c r="L214" s="275"/>
      <c r="M214" s="255"/>
      <c r="N214" s="255"/>
      <c r="O214" s="273"/>
      <c r="P214" s="276"/>
      <c r="Q214" s="276"/>
    </row>
    <row r="215" spans="1:17" ht="15" customHeight="1">
      <c r="A215" s="3525" t="str">
        <f>+A72</f>
        <v>ADMINISTRACIÓN SUMINISTRO</v>
      </c>
      <c r="B215" s="3526"/>
      <c r="C215" s="3526"/>
      <c r="D215" s="3527"/>
      <c r="E215" s="2217">
        <f>+AIU!H47</f>
        <v>0.18358899999999997</v>
      </c>
      <c r="F215" s="995">
        <f>+ROUND(F214*E215,0)</f>
        <v>122387274</v>
      </c>
      <c r="H215" s="247"/>
      <c r="I215" s="273"/>
      <c r="J215" s="273"/>
      <c r="K215" s="1706"/>
      <c r="L215" s="275"/>
      <c r="M215" s="255"/>
      <c r="N215" s="255"/>
      <c r="O215" s="273"/>
      <c r="P215" s="276"/>
      <c r="Q215" s="276"/>
    </row>
    <row r="216" spans="1:17" ht="15" customHeight="1">
      <c r="A216" s="3525" t="str">
        <f>+A73</f>
        <v>INTERVENTORIA SUMINISTRO</v>
      </c>
      <c r="B216" s="3526"/>
      <c r="C216" s="3526"/>
      <c r="D216" s="3527"/>
      <c r="E216" s="989">
        <v>0.01</v>
      </c>
      <c r="F216" s="988">
        <f>ROUND(E216*(F214+F215),0)</f>
        <v>7890246</v>
      </c>
      <c r="H216" s="247"/>
      <c r="I216" s="273"/>
      <c r="J216" s="273"/>
      <c r="K216" s="1706"/>
      <c r="L216" s="275"/>
      <c r="M216" s="255"/>
      <c r="N216" s="255"/>
      <c r="O216" s="273"/>
      <c r="P216" s="276"/>
      <c r="Q216" s="276"/>
    </row>
    <row r="217" spans="1:17" ht="15" customHeight="1">
      <c r="A217" s="3525" t="s">
        <v>8544</v>
      </c>
      <c r="B217" s="3526"/>
      <c r="C217" s="3526"/>
      <c r="D217" s="3527"/>
      <c r="E217" s="989">
        <v>0.02</v>
      </c>
      <c r="F217" s="988">
        <f>ROUND(E217*(F214+F215),0)</f>
        <v>15780491</v>
      </c>
      <c r="H217" s="247"/>
      <c r="I217" s="273"/>
      <c r="J217" s="273"/>
      <c r="K217" s="1706"/>
      <c r="L217" s="275"/>
      <c r="M217" s="255"/>
      <c r="N217" s="255"/>
      <c r="O217" s="273"/>
      <c r="P217" s="276"/>
      <c r="Q217" s="276"/>
    </row>
    <row r="218" spans="1:17" ht="33" customHeight="1">
      <c r="A218" s="3525" t="s">
        <v>4293</v>
      </c>
      <c r="B218" s="3526"/>
      <c r="C218" s="3526"/>
      <c r="D218" s="3526"/>
      <c r="E218" s="3527"/>
      <c r="F218" s="995">
        <f>SUM(F214:F217)</f>
        <v>812695305</v>
      </c>
      <c r="H218" s="247"/>
      <c r="I218" s="273"/>
      <c r="J218" s="273"/>
      <c r="K218" s="1706"/>
      <c r="L218" s="275"/>
      <c r="M218" s="255"/>
      <c r="N218" s="255"/>
      <c r="O218" s="273"/>
      <c r="P218" s="276"/>
      <c r="Q218" s="276"/>
    </row>
    <row r="219" spans="1:17">
      <c r="A219" s="973"/>
      <c r="B219" s="3597" t="s">
        <v>1237</v>
      </c>
      <c r="C219" s="3598"/>
      <c r="D219" s="3598"/>
      <c r="E219" s="3599"/>
      <c r="F219" s="1256">
        <f>+F218+F197</f>
        <v>2244801763</v>
      </c>
      <c r="G219" s="276"/>
      <c r="H219" s="276"/>
      <c r="I219" s="247"/>
      <c r="J219" s="247"/>
    </row>
    <row r="220" spans="1:17" s="282" customFormat="1">
      <c r="A220" s="286"/>
      <c r="B220" s="286"/>
      <c r="C220" s="286"/>
      <c r="D220" s="286"/>
      <c r="E220" s="286"/>
      <c r="F220" s="286"/>
      <c r="G220" s="1889"/>
    </row>
    <row r="221" spans="1:17" ht="33.75" customHeight="1">
      <c r="A221" s="3597" t="s">
        <v>7216</v>
      </c>
      <c r="B221" s="3598"/>
      <c r="C221" s="3598"/>
      <c r="D221" s="3598"/>
      <c r="E221" s="3599"/>
      <c r="F221" s="1256">
        <f>+F76+F148+F219</f>
        <v>12282806947</v>
      </c>
      <c r="G221" s="254"/>
      <c r="K221" s="1706"/>
      <c r="L221" s="1706"/>
      <c r="M221" s="255"/>
      <c r="N221" s="255"/>
      <c r="O221" s="255"/>
      <c r="P221" s="255"/>
      <c r="Q221" s="255"/>
    </row>
    <row r="222" spans="1:17">
      <c r="B222" s="288"/>
      <c r="D222" s="268"/>
      <c r="E222" s="289"/>
      <c r="F222" s="289">
        <v>12253135303</v>
      </c>
      <c r="G222" s="254"/>
      <c r="K222" s="1706"/>
      <c r="L222" s="1706"/>
      <c r="M222" s="255"/>
      <c r="N222" s="255"/>
      <c r="O222" s="255"/>
      <c r="P222" s="255"/>
      <c r="Q222" s="255"/>
    </row>
    <row r="223" spans="1:17">
      <c r="B223" s="288"/>
      <c r="D223" s="268"/>
      <c r="E223" s="289"/>
      <c r="F223" s="254"/>
      <c r="J223" s="1706"/>
      <c r="K223" s="1706"/>
      <c r="L223" s="255"/>
      <c r="M223" s="255"/>
      <c r="N223" s="255"/>
      <c r="O223" s="255"/>
      <c r="P223" s="255"/>
    </row>
    <row r="224" spans="1:17">
      <c r="B224" s="288"/>
      <c r="D224" s="268"/>
      <c r="E224" s="289"/>
      <c r="F224" s="289"/>
      <c r="G224" s="254"/>
      <c r="K224" s="1706"/>
      <c r="L224" s="1706"/>
      <c r="M224" s="255"/>
      <c r="N224" s="255"/>
      <c r="O224" s="255"/>
      <c r="P224" s="255"/>
      <c r="Q224" s="255"/>
    </row>
    <row r="225" spans="1:17">
      <c r="B225" s="288"/>
      <c r="D225" s="268"/>
      <c r="E225" s="289"/>
      <c r="F225" s="289"/>
      <c r="G225" s="1891"/>
      <c r="K225" s="1706"/>
      <c r="L225" s="1706"/>
      <c r="M225" s="255"/>
      <c r="N225" s="255"/>
      <c r="O225" s="255"/>
      <c r="P225" s="255"/>
      <c r="Q225" s="255"/>
    </row>
    <row r="226" spans="1:17">
      <c r="B226" s="288"/>
      <c r="D226" s="268"/>
      <c r="E226" s="289"/>
      <c r="F226" s="289"/>
      <c r="G226" s="254"/>
      <c r="K226" s="1706"/>
      <c r="L226" s="1706"/>
      <c r="M226" s="255"/>
      <c r="N226" s="255"/>
      <c r="O226" s="255"/>
      <c r="P226" s="255"/>
      <c r="Q226" s="255"/>
    </row>
    <row r="227" spans="1:17" ht="19.2">
      <c r="A227" s="1116"/>
      <c r="B227" s="932"/>
      <c r="D227" s="268"/>
      <c r="E227" s="289"/>
      <c r="F227" s="289"/>
      <c r="G227" s="254"/>
      <c r="K227" s="1706"/>
      <c r="L227" s="1706"/>
      <c r="M227" s="255"/>
      <c r="N227" s="255"/>
      <c r="O227" s="255"/>
      <c r="P227" s="255"/>
      <c r="Q227" s="255"/>
    </row>
    <row r="228" spans="1:17" ht="19.2">
      <c r="A228" s="932"/>
      <c r="B228" s="932"/>
      <c r="D228" s="268"/>
      <c r="E228" s="289"/>
      <c r="F228" s="289"/>
      <c r="G228" s="254"/>
      <c r="K228" s="1706"/>
      <c r="L228" s="1706"/>
      <c r="M228" s="255"/>
      <c r="N228" s="255"/>
      <c r="O228" s="255"/>
      <c r="P228" s="255"/>
      <c r="Q228" s="255"/>
    </row>
    <row r="229" spans="1:17" ht="19.2">
      <c r="A229" s="932"/>
      <c r="B229" s="932"/>
      <c r="D229" s="268"/>
      <c r="E229" s="289"/>
      <c r="F229" s="289"/>
      <c r="G229" s="254"/>
      <c r="K229" s="1706"/>
      <c r="L229" s="1706"/>
      <c r="M229" s="255"/>
      <c r="N229" s="255"/>
      <c r="O229" s="255"/>
      <c r="P229" s="255"/>
      <c r="Q229" s="255"/>
    </row>
    <row r="230" spans="1:17" ht="19.2">
      <c r="A230" s="932"/>
      <c r="B230" s="932"/>
      <c r="C230" s="249"/>
      <c r="D230" s="268"/>
      <c r="E230" s="289"/>
      <c r="F230" s="289"/>
      <c r="G230" s="254"/>
      <c r="K230" s="1706"/>
      <c r="L230" s="1706"/>
      <c r="M230" s="255"/>
      <c r="N230" s="255"/>
      <c r="O230" s="255"/>
      <c r="P230" s="255"/>
      <c r="Q230" s="255"/>
    </row>
    <row r="231" spans="1:17" ht="19.2">
      <c r="A231" s="932"/>
      <c r="B231" s="932"/>
      <c r="C231" s="249"/>
      <c r="D231" s="268"/>
      <c r="E231" s="289"/>
      <c r="F231" s="289"/>
      <c r="G231" s="254"/>
      <c r="K231" s="1706"/>
      <c r="L231" s="1706"/>
      <c r="M231" s="255"/>
      <c r="N231" s="255"/>
      <c r="O231" s="255"/>
      <c r="P231" s="255"/>
      <c r="Q231" s="255"/>
    </row>
    <row r="232" spans="1:17" ht="19.2">
      <c r="A232" s="933"/>
      <c r="B232" s="933"/>
      <c r="C232" s="249"/>
      <c r="D232" s="268"/>
      <c r="E232" s="289"/>
      <c r="F232" s="289"/>
      <c r="G232" s="254"/>
      <c r="K232" s="1706"/>
      <c r="L232" s="1706"/>
      <c r="M232" s="255"/>
      <c r="N232" s="255"/>
      <c r="O232" s="255"/>
      <c r="P232" s="255"/>
      <c r="Q232" s="255"/>
    </row>
    <row r="233" spans="1:17" ht="19.2">
      <c r="A233" s="1117"/>
      <c r="B233" s="933"/>
      <c r="C233" s="249"/>
      <c r="D233" s="268"/>
      <c r="E233" s="289"/>
      <c r="F233" s="289"/>
      <c r="G233" s="254"/>
      <c r="K233" s="1706"/>
      <c r="L233" s="1706"/>
      <c r="M233" s="255"/>
      <c r="N233" s="255"/>
      <c r="O233" s="255"/>
      <c r="P233" s="255"/>
      <c r="Q233" s="255"/>
    </row>
    <row r="234" spans="1:17" ht="19.2">
      <c r="A234" s="933"/>
      <c r="B234" s="933"/>
      <c r="D234" s="268"/>
      <c r="E234" s="289"/>
      <c r="F234" s="289"/>
      <c r="G234" s="254"/>
      <c r="K234" s="1706"/>
      <c r="L234" s="1706"/>
      <c r="M234" s="255"/>
      <c r="N234" s="255"/>
      <c r="O234" s="255"/>
      <c r="P234" s="255"/>
      <c r="Q234" s="255"/>
    </row>
    <row r="235" spans="1:17" ht="19.2">
      <c r="A235" s="933"/>
      <c r="B235" s="933"/>
      <c r="D235" s="268"/>
      <c r="E235" s="289"/>
      <c r="F235" s="289"/>
      <c r="G235" s="254"/>
      <c r="K235" s="1706"/>
      <c r="L235" s="1706"/>
      <c r="M235" s="255"/>
      <c r="N235" s="255"/>
      <c r="O235" s="255"/>
      <c r="P235" s="255"/>
      <c r="Q235" s="255"/>
    </row>
    <row r="236" spans="1:17" ht="19.2">
      <c r="A236" s="933"/>
      <c r="B236" s="933"/>
      <c r="D236" s="268"/>
      <c r="E236" s="289"/>
      <c r="F236" s="289"/>
      <c r="G236" s="254"/>
      <c r="K236" s="1706"/>
      <c r="L236" s="1706"/>
      <c r="M236" s="255"/>
      <c r="N236" s="255"/>
      <c r="O236" s="255"/>
      <c r="P236" s="255"/>
      <c r="Q236" s="255"/>
    </row>
    <row r="237" spans="1:17" ht="19.2">
      <c r="A237" s="933"/>
      <c r="B237" s="933"/>
      <c r="D237" s="268"/>
      <c r="E237" s="289"/>
      <c r="F237" s="291"/>
      <c r="G237" s="254"/>
      <c r="K237" s="1706"/>
      <c r="L237" s="1706"/>
      <c r="M237" s="255"/>
      <c r="N237" s="255"/>
      <c r="O237" s="255"/>
      <c r="P237" s="255"/>
      <c r="Q237" s="255"/>
    </row>
    <row r="238" spans="1:17" ht="19.2">
      <c r="A238" s="933"/>
      <c r="B238" s="933"/>
      <c r="D238" s="268"/>
      <c r="E238" s="289"/>
      <c r="F238" s="289"/>
      <c r="G238" s="1892"/>
      <c r="K238" s="1706"/>
      <c r="L238" s="1706"/>
      <c r="M238" s="255"/>
      <c r="N238" s="255"/>
      <c r="O238" s="255"/>
      <c r="P238" s="255"/>
      <c r="Q238" s="255"/>
    </row>
    <row r="239" spans="1:17" ht="19.2">
      <c r="A239" s="933"/>
      <c r="B239" s="933"/>
      <c r="C239" s="268"/>
      <c r="D239" s="268"/>
      <c r="E239" s="289"/>
      <c r="F239" s="289"/>
      <c r="G239" s="254"/>
      <c r="K239" s="1706"/>
      <c r="L239" s="1706"/>
      <c r="M239" s="255"/>
      <c r="N239" s="255"/>
      <c r="O239" s="255"/>
      <c r="P239" s="255"/>
      <c r="Q239" s="255"/>
    </row>
    <row r="240" spans="1:17" ht="19.2">
      <c r="A240" s="933"/>
      <c r="B240" s="933"/>
      <c r="C240" s="249"/>
      <c r="D240" s="268"/>
      <c r="E240" s="289"/>
      <c r="F240" s="289"/>
      <c r="G240" s="278"/>
      <c r="H240" s="278"/>
      <c r="K240" s="1706"/>
      <c r="L240" s="1706"/>
      <c r="M240" s="255"/>
      <c r="N240" s="255"/>
      <c r="O240" s="255"/>
      <c r="P240" s="255"/>
      <c r="Q240" s="255"/>
    </row>
    <row r="241" spans="1:17">
      <c r="A241" s="95"/>
      <c r="B241" s="61"/>
      <c r="C241" s="249"/>
      <c r="D241" s="268"/>
      <c r="E241" s="289"/>
      <c r="F241" s="289"/>
      <c r="G241" s="278"/>
      <c r="H241" s="278"/>
      <c r="K241" s="1706"/>
      <c r="L241" s="1706"/>
      <c r="M241" s="255"/>
      <c r="N241" s="255"/>
      <c r="O241" s="255"/>
      <c r="P241" s="255"/>
      <c r="Q241" s="255"/>
    </row>
    <row r="242" spans="1:17">
      <c r="B242" s="294"/>
      <c r="C242" s="249"/>
      <c r="D242" s="268"/>
      <c r="E242" s="289"/>
      <c r="F242" s="289"/>
      <c r="G242" s="254"/>
      <c r="H242" s="278"/>
      <c r="K242" s="1706"/>
      <c r="L242" s="1706"/>
      <c r="M242" s="255"/>
      <c r="N242" s="255"/>
      <c r="O242" s="255"/>
      <c r="P242" s="255"/>
      <c r="Q242" s="255"/>
    </row>
    <row r="243" spans="1:17">
      <c r="A243" s="247"/>
      <c r="B243" s="294"/>
      <c r="C243" s="249"/>
      <c r="D243" s="268"/>
      <c r="E243" s="289"/>
      <c r="F243" s="289"/>
      <c r="G243" s="254"/>
      <c r="K243" s="1706"/>
      <c r="L243" s="1706"/>
      <c r="M243" s="255"/>
      <c r="N243" s="255"/>
      <c r="O243" s="255"/>
      <c r="P243" s="255"/>
      <c r="Q243" s="255"/>
    </row>
    <row r="244" spans="1:17">
      <c r="A244" s="247"/>
      <c r="B244" s="288"/>
      <c r="C244" s="249"/>
      <c r="D244" s="268"/>
      <c r="E244" s="289"/>
      <c r="F244" s="289"/>
      <c r="G244" s="254"/>
      <c r="K244" s="1706"/>
      <c r="L244" s="1706"/>
      <c r="M244" s="255"/>
      <c r="N244" s="255"/>
      <c r="O244" s="255"/>
      <c r="P244" s="255"/>
      <c r="Q244" s="255"/>
    </row>
    <row r="245" spans="1:17">
      <c r="A245" s="247"/>
      <c r="B245" s="288"/>
      <c r="C245" s="249"/>
      <c r="D245" s="268"/>
      <c r="E245" s="289"/>
      <c r="F245" s="289"/>
      <c r="G245" s="254"/>
      <c r="K245" s="1706"/>
      <c r="L245" s="1706"/>
      <c r="M245" s="255"/>
      <c r="N245" s="255"/>
      <c r="O245" s="255"/>
      <c r="P245" s="255"/>
      <c r="Q245" s="255"/>
    </row>
    <row r="246" spans="1:17">
      <c r="A246" s="247"/>
      <c r="B246" s="288"/>
      <c r="C246" s="249"/>
      <c r="D246" s="268"/>
      <c r="E246" s="289"/>
      <c r="F246" s="289"/>
      <c r="G246" s="254"/>
      <c r="K246" s="1706"/>
      <c r="L246" s="1706"/>
      <c r="M246" s="255"/>
      <c r="N246" s="255"/>
      <c r="O246" s="255"/>
      <c r="P246" s="255"/>
      <c r="Q246" s="255"/>
    </row>
    <row r="247" spans="1:17">
      <c r="A247" s="247"/>
      <c r="B247" s="288"/>
      <c r="D247" s="268"/>
      <c r="E247" s="289"/>
      <c r="F247" s="289"/>
      <c r="G247" s="254"/>
      <c r="K247" s="1706"/>
      <c r="L247" s="1706"/>
      <c r="M247" s="255"/>
      <c r="N247" s="255"/>
      <c r="O247" s="255"/>
      <c r="P247" s="255"/>
      <c r="Q247" s="255"/>
    </row>
    <row r="248" spans="1:17">
      <c r="A248" s="247"/>
      <c r="B248" s="288"/>
      <c r="D248" s="268"/>
      <c r="E248" s="289"/>
      <c r="F248" s="289"/>
      <c r="G248" s="254"/>
      <c r="K248" s="1706"/>
      <c r="L248" s="1706"/>
      <c r="M248" s="255"/>
      <c r="N248" s="255"/>
      <c r="O248" s="255"/>
      <c r="P248" s="255"/>
      <c r="Q248" s="255"/>
    </row>
    <row r="249" spans="1:17">
      <c r="A249" s="247"/>
      <c r="B249" s="288"/>
      <c r="D249" s="268"/>
      <c r="E249" s="289"/>
      <c r="F249" s="289"/>
      <c r="G249" s="254"/>
      <c r="K249" s="1706"/>
      <c r="L249" s="1706"/>
      <c r="M249" s="255"/>
      <c r="N249" s="255"/>
      <c r="O249" s="255"/>
      <c r="P249" s="255"/>
      <c r="Q249" s="255"/>
    </row>
    <row r="250" spans="1:17">
      <c r="A250" s="247"/>
      <c r="B250" s="288"/>
      <c r="D250" s="268"/>
      <c r="E250" s="289"/>
      <c r="F250" s="289"/>
      <c r="G250" s="254"/>
      <c r="K250" s="1706"/>
      <c r="L250" s="1706"/>
      <c r="M250" s="255"/>
      <c r="N250" s="255"/>
      <c r="O250" s="255"/>
      <c r="P250" s="255"/>
      <c r="Q250" s="255"/>
    </row>
    <row r="251" spans="1:17">
      <c r="A251" s="247"/>
      <c r="B251" s="288"/>
      <c r="D251" s="268"/>
      <c r="E251" s="289"/>
      <c r="F251" s="289"/>
      <c r="G251" s="254"/>
      <c r="K251" s="1706"/>
      <c r="L251" s="1706"/>
      <c r="M251" s="255"/>
      <c r="N251" s="255"/>
      <c r="O251" s="255"/>
      <c r="P251" s="255"/>
      <c r="Q251" s="255"/>
    </row>
    <row r="252" spans="1:17">
      <c r="A252" s="247"/>
      <c r="B252" s="288"/>
      <c r="D252" s="268"/>
      <c r="E252" s="289"/>
      <c r="F252" s="289"/>
      <c r="G252" s="254"/>
      <c r="K252" s="1706"/>
      <c r="L252" s="1706"/>
      <c r="M252" s="255"/>
      <c r="N252" s="255"/>
      <c r="O252" s="255"/>
      <c r="P252" s="255"/>
      <c r="Q252" s="255"/>
    </row>
    <row r="253" spans="1:17">
      <c r="A253" s="247"/>
      <c r="B253" s="288"/>
      <c r="C253" s="249"/>
      <c r="D253" s="268"/>
      <c r="E253" s="289"/>
      <c r="F253" s="289"/>
      <c r="G253" s="254"/>
      <c r="K253" s="1706"/>
      <c r="L253" s="1706"/>
      <c r="M253" s="255"/>
      <c r="N253" s="255"/>
      <c r="O253" s="255"/>
      <c r="P253" s="255"/>
      <c r="Q253" s="255"/>
    </row>
    <row r="254" spans="1:17">
      <c r="A254" s="247"/>
      <c r="B254" s="288"/>
      <c r="C254" s="249"/>
      <c r="D254" s="268"/>
      <c r="E254" s="289"/>
      <c r="F254" s="289"/>
      <c r="G254" s="254"/>
      <c r="K254" s="1706"/>
      <c r="L254" s="1706"/>
      <c r="M254" s="255"/>
      <c r="N254" s="255"/>
      <c r="O254" s="255"/>
      <c r="P254" s="255"/>
      <c r="Q254" s="255"/>
    </row>
    <row r="255" spans="1:17">
      <c r="A255" s="247"/>
      <c r="B255" s="288"/>
      <c r="C255" s="249"/>
      <c r="D255" s="268"/>
      <c r="E255" s="289"/>
      <c r="F255" s="289"/>
      <c r="G255" s="254"/>
      <c r="K255" s="1706"/>
      <c r="L255" s="1706"/>
      <c r="M255" s="255"/>
      <c r="N255" s="255"/>
      <c r="O255" s="255"/>
      <c r="P255" s="255"/>
      <c r="Q255" s="255"/>
    </row>
    <row r="256" spans="1:17">
      <c r="A256" s="247"/>
      <c r="B256" s="288"/>
      <c r="C256" s="249"/>
      <c r="D256" s="268"/>
      <c r="E256" s="289"/>
      <c r="F256" s="289"/>
      <c r="G256" s="254"/>
      <c r="K256" s="1706"/>
      <c r="L256" s="1706"/>
      <c r="M256" s="255"/>
      <c r="N256" s="255"/>
      <c r="O256" s="255"/>
      <c r="P256" s="255"/>
      <c r="Q256" s="255"/>
    </row>
    <row r="257" spans="1:17">
      <c r="A257" s="247"/>
      <c r="B257" s="288"/>
      <c r="C257" s="249"/>
      <c r="D257" s="268"/>
      <c r="E257" s="289"/>
      <c r="F257" s="289"/>
      <c r="G257" s="254"/>
      <c r="K257" s="1706"/>
      <c r="L257" s="1706"/>
      <c r="M257" s="255"/>
      <c r="N257" s="255"/>
      <c r="O257" s="255"/>
      <c r="P257" s="255"/>
      <c r="Q257" s="255"/>
    </row>
    <row r="258" spans="1:17">
      <c r="A258" s="247"/>
      <c r="B258" s="288"/>
      <c r="C258" s="249"/>
      <c r="D258" s="268"/>
      <c r="E258" s="289"/>
      <c r="F258" s="289"/>
      <c r="G258" s="254"/>
      <c r="I258" s="267"/>
      <c r="K258" s="1706"/>
      <c r="L258" s="1706"/>
      <c r="M258" s="255"/>
      <c r="N258" s="255"/>
      <c r="O258" s="255"/>
      <c r="P258" s="255"/>
      <c r="Q258" s="255"/>
    </row>
    <row r="259" spans="1:17">
      <c r="B259" s="288"/>
      <c r="C259" s="249"/>
      <c r="D259" s="268"/>
      <c r="E259" s="289"/>
      <c r="F259" s="289"/>
      <c r="G259" s="254"/>
      <c r="K259" s="1706"/>
      <c r="L259" s="1706"/>
      <c r="M259" s="255"/>
      <c r="N259" s="255"/>
      <c r="O259" s="255"/>
      <c r="P259" s="255"/>
      <c r="Q259" s="255"/>
    </row>
    <row r="260" spans="1:17">
      <c r="B260" s="288"/>
      <c r="D260" s="268"/>
      <c r="E260" s="289"/>
      <c r="F260" s="289"/>
      <c r="G260" s="254"/>
      <c r="K260" s="1706"/>
      <c r="L260" s="1706"/>
      <c r="M260" s="255"/>
      <c r="N260" s="255"/>
      <c r="O260" s="255"/>
      <c r="P260" s="255"/>
      <c r="Q260" s="255"/>
    </row>
    <row r="261" spans="1:17">
      <c r="B261" s="288"/>
      <c r="D261" s="268"/>
      <c r="E261" s="289"/>
      <c r="F261" s="289"/>
      <c r="G261" s="254"/>
      <c r="K261" s="1706"/>
      <c r="L261" s="1706"/>
      <c r="M261" s="255"/>
      <c r="N261" s="255"/>
      <c r="O261" s="255"/>
      <c r="P261" s="255"/>
      <c r="Q261" s="255"/>
    </row>
    <row r="262" spans="1:17">
      <c r="B262" s="288"/>
      <c r="C262" s="249"/>
      <c r="D262" s="268"/>
      <c r="E262" s="289"/>
      <c r="F262" s="289"/>
      <c r="G262" s="254"/>
      <c r="K262" s="1706"/>
      <c r="L262" s="1706"/>
      <c r="M262" s="255"/>
      <c r="N262" s="255"/>
      <c r="O262" s="255"/>
      <c r="P262" s="255"/>
      <c r="Q262" s="255"/>
    </row>
    <row r="263" spans="1:17">
      <c r="B263" s="290"/>
      <c r="D263" s="268"/>
      <c r="E263" s="289"/>
      <c r="F263" s="291"/>
      <c r="G263" s="254"/>
      <c r="K263" s="1706"/>
      <c r="L263" s="1706"/>
      <c r="M263" s="255"/>
      <c r="N263" s="255"/>
      <c r="O263" s="255"/>
      <c r="P263" s="255"/>
      <c r="Q263" s="255"/>
    </row>
    <row r="264" spans="1:17">
      <c r="A264" s="292"/>
      <c r="B264" s="293"/>
      <c r="D264" s="268"/>
      <c r="E264" s="289"/>
      <c r="F264" s="289"/>
      <c r="G264" s="1892"/>
      <c r="K264" s="1706"/>
      <c r="L264" s="1706"/>
      <c r="M264" s="255"/>
      <c r="N264" s="255"/>
      <c r="O264" s="255"/>
      <c r="P264" s="255"/>
      <c r="Q264" s="255"/>
    </row>
    <row r="265" spans="1:17">
      <c r="B265" s="294"/>
      <c r="C265" s="268"/>
      <c r="D265" s="268"/>
      <c r="E265" s="289"/>
      <c r="F265" s="289"/>
      <c r="G265" s="254"/>
      <c r="K265" s="1706"/>
      <c r="L265" s="1706"/>
      <c r="M265" s="255"/>
      <c r="N265" s="255"/>
      <c r="O265" s="255"/>
      <c r="P265" s="255"/>
      <c r="Q265" s="255"/>
    </row>
    <row r="266" spans="1:17">
      <c r="B266" s="294"/>
      <c r="C266" s="249"/>
      <c r="D266" s="268"/>
      <c r="E266" s="289"/>
      <c r="F266" s="289"/>
      <c r="G266" s="254"/>
      <c r="K266" s="1706"/>
      <c r="L266" s="1706"/>
      <c r="M266" s="255"/>
      <c r="N266" s="255"/>
      <c r="O266" s="255"/>
      <c r="P266" s="255"/>
      <c r="Q266" s="255"/>
    </row>
    <row r="267" spans="1:17">
      <c r="B267" s="294"/>
      <c r="C267" s="249"/>
      <c r="D267" s="268"/>
      <c r="E267" s="289"/>
      <c r="F267" s="289"/>
      <c r="G267" s="254"/>
      <c r="H267" s="278"/>
      <c r="K267" s="1706"/>
      <c r="L267" s="1706"/>
      <c r="M267" s="255"/>
      <c r="N267" s="255"/>
      <c r="O267" s="255"/>
      <c r="P267" s="255"/>
      <c r="Q267" s="255"/>
    </row>
    <row r="268" spans="1:17">
      <c r="B268" s="294"/>
      <c r="C268" s="249"/>
      <c r="D268" s="268"/>
      <c r="E268" s="289"/>
      <c r="F268" s="289"/>
      <c r="G268" s="254"/>
      <c r="H268" s="278"/>
      <c r="K268" s="1706"/>
      <c r="L268" s="1706"/>
      <c r="M268" s="255"/>
      <c r="N268" s="255"/>
      <c r="O268" s="255"/>
      <c r="P268" s="255"/>
      <c r="Q268" s="255"/>
    </row>
    <row r="269" spans="1:17">
      <c r="B269" s="294"/>
      <c r="C269" s="249"/>
      <c r="D269" s="268"/>
      <c r="E269" s="289"/>
      <c r="F269" s="289"/>
      <c r="G269" s="254"/>
      <c r="K269" s="1706"/>
      <c r="L269" s="1706"/>
      <c r="M269" s="255"/>
      <c r="N269" s="255"/>
      <c r="O269" s="255"/>
      <c r="P269" s="255"/>
      <c r="Q269" s="255"/>
    </row>
    <row r="270" spans="1:17">
      <c r="B270" s="288"/>
      <c r="C270" s="249"/>
      <c r="D270" s="268"/>
      <c r="E270" s="289"/>
      <c r="F270" s="289"/>
      <c r="G270" s="254"/>
      <c r="K270" s="1706"/>
      <c r="L270" s="1706"/>
      <c r="M270" s="255"/>
      <c r="N270" s="255"/>
      <c r="O270" s="255"/>
      <c r="P270" s="255"/>
      <c r="Q270" s="255"/>
    </row>
    <row r="271" spans="1:17">
      <c r="B271" s="288"/>
      <c r="C271" s="249"/>
      <c r="D271" s="268"/>
      <c r="E271" s="289"/>
      <c r="F271" s="289"/>
      <c r="G271" s="254"/>
      <c r="K271" s="1706"/>
      <c r="L271" s="1706"/>
      <c r="M271" s="255"/>
      <c r="N271" s="255"/>
      <c r="O271" s="255"/>
      <c r="P271" s="255"/>
      <c r="Q271" s="255"/>
    </row>
    <row r="272" spans="1:17">
      <c r="B272" s="288"/>
      <c r="C272" s="249"/>
      <c r="D272" s="268"/>
      <c r="E272" s="289"/>
      <c r="F272" s="289"/>
      <c r="G272" s="254"/>
      <c r="K272" s="1706"/>
      <c r="L272" s="1706"/>
      <c r="M272" s="255"/>
      <c r="N272" s="255"/>
      <c r="O272" s="255"/>
      <c r="P272" s="255"/>
      <c r="Q272" s="255"/>
    </row>
    <row r="273" spans="1:17">
      <c r="B273" s="288"/>
      <c r="C273" s="249"/>
      <c r="D273" s="268"/>
      <c r="E273" s="289"/>
      <c r="F273" s="289"/>
      <c r="G273" s="254"/>
      <c r="K273" s="1706"/>
      <c r="L273" s="1706"/>
      <c r="M273" s="255"/>
      <c r="N273" s="255"/>
      <c r="O273" s="255"/>
      <c r="P273" s="255"/>
      <c r="Q273" s="255"/>
    </row>
    <row r="274" spans="1:17">
      <c r="B274" s="288"/>
      <c r="D274" s="268"/>
      <c r="E274" s="289"/>
      <c r="F274" s="289"/>
      <c r="G274" s="254"/>
      <c r="K274" s="1706"/>
      <c r="L274" s="1706"/>
      <c r="M274" s="255"/>
      <c r="N274" s="255"/>
      <c r="O274" s="255"/>
      <c r="P274" s="255"/>
      <c r="Q274" s="255"/>
    </row>
    <row r="275" spans="1:17">
      <c r="B275" s="288"/>
      <c r="D275" s="268"/>
      <c r="E275" s="289"/>
      <c r="F275" s="289"/>
      <c r="G275" s="254"/>
      <c r="K275" s="1706"/>
      <c r="L275" s="1706"/>
      <c r="M275" s="255"/>
      <c r="N275" s="255"/>
      <c r="O275" s="255"/>
      <c r="P275" s="255"/>
      <c r="Q275" s="255"/>
    </row>
    <row r="276" spans="1:17">
      <c r="B276" s="288"/>
      <c r="D276" s="268"/>
      <c r="E276" s="289"/>
      <c r="F276" s="289"/>
      <c r="G276" s="254"/>
      <c r="K276" s="1706"/>
      <c r="L276" s="1706"/>
      <c r="M276" s="255"/>
      <c r="N276" s="255"/>
      <c r="O276" s="255"/>
      <c r="P276" s="255"/>
      <c r="Q276" s="255"/>
    </row>
    <row r="277" spans="1:17">
      <c r="B277" s="288"/>
      <c r="D277" s="268"/>
      <c r="E277" s="289"/>
      <c r="F277" s="289"/>
      <c r="G277" s="254"/>
      <c r="K277" s="1706"/>
      <c r="L277" s="1706"/>
      <c r="M277" s="255"/>
      <c r="N277" s="255"/>
      <c r="O277" s="255"/>
      <c r="P277" s="255"/>
      <c r="Q277" s="255"/>
    </row>
    <row r="278" spans="1:17">
      <c r="B278" s="288"/>
      <c r="D278" s="268"/>
      <c r="E278" s="289"/>
      <c r="F278" s="289"/>
      <c r="G278" s="254"/>
      <c r="K278" s="1706"/>
      <c r="L278" s="1706"/>
      <c r="M278" s="255"/>
      <c r="N278" s="255"/>
      <c r="O278" s="255"/>
      <c r="P278" s="255"/>
      <c r="Q278" s="255"/>
    </row>
    <row r="279" spans="1:17">
      <c r="B279" s="288"/>
      <c r="D279" s="268"/>
      <c r="E279" s="289"/>
      <c r="F279" s="289"/>
      <c r="G279" s="254"/>
      <c r="K279" s="1706"/>
      <c r="L279" s="1706"/>
      <c r="M279" s="255"/>
      <c r="N279" s="255"/>
      <c r="O279" s="255"/>
      <c r="P279" s="255"/>
      <c r="Q279" s="255"/>
    </row>
    <row r="280" spans="1:17">
      <c r="B280" s="288"/>
      <c r="D280" s="268"/>
      <c r="E280" s="289"/>
      <c r="F280" s="289"/>
      <c r="G280" s="254"/>
      <c r="K280" s="1706"/>
      <c r="L280" s="1706"/>
      <c r="M280" s="255"/>
      <c r="N280" s="255"/>
      <c r="O280" s="255"/>
      <c r="P280" s="255"/>
      <c r="Q280" s="255"/>
    </row>
    <row r="281" spans="1:17">
      <c r="B281" s="290"/>
      <c r="D281" s="268"/>
      <c r="E281" s="289"/>
      <c r="F281" s="291"/>
      <c r="G281" s="254"/>
      <c r="K281" s="1706"/>
      <c r="L281" s="1706"/>
      <c r="M281" s="255"/>
      <c r="N281" s="255"/>
      <c r="O281" s="255"/>
      <c r="P281" s="255"/>
      <c r="Q281" s="255"/>
    </row>
    <row r="282" spans="1:17">
      <c r="A282" s="292"/>
      <c r="B282" s="293"/>
      <c r="D282" s="268"/>
      <c r="E282" s="289"/>
      <c r="F282" s="289"/>
      <c r="G282" s="1892"/>
      <c r="K282" s="1706"/>
      <c r="L282" s="1706"/>
      <c r="M282" s="255"/>
      <c r="N282" s="255"/>
      <c r="O282" s="255"/>
      <c r="P282" s="255"/>
      <c r="Q282" s="255"/>
    </row>
    <row r="283" spans="1:17">
      <c r="A283" s="295"/>
      <c r="B283" s="296"/>
      <c r="D283" s="297"/>
      <c r="E283" s="289"/>
      <c r="F283" s="289"/>
      <c r="G283" s="298"/>
      <c r="H283" s="298"/>
      <c r="J283" s="247"/>
    </row>
    <row r="284" spans="1:17">
      <c r="A284" s="295"/>
      <c r="B284" s="296"/>
      <c r="D284" s="297"/>
      <c r="E284" s="289"/>
      <c r="F284" s="289"/>
      <c r="J284" s="247"/>
    </row>
    <row r="285" spans="1:17">
      <c r="A285" s="295"/>
      <c r="B285" s="296"/>
      <c r="D285" s="297"/>
      <c r="E285" s="289"/>
      <c r="F285" s="289"/>
      <c r="G285" s="298"/>
      <c r="H285" s="298"/>
      <c r="J285" s="247"/>
    </row>
    <row r="286" spans="1:17">
      <c r="A286" s="295"/>
      <c r="D286" s="297"/>
      <c r="E286" s="289"/>
      <c r="F286" s="289"/>
      <c r="G286" s="298"/>
      <c r="H286" s="298"/>
      <c r="J286" s="247"/>
    </row>
    <row r="287" spans="1:17">
      <c r="A287" s="295"/>
      <c r="B287" s="296"/>
      <c r="D287" s="297"/>
      <c r="E287" s="289"/>
      <c r="F287" s="289"/>
      <c r="J287" s="247"/>
    </row>
    <row r="288" spans="1:17">
      <c r="A288" s="295"/>
      <c r="B288" s="296"/>
      <c r="D288" s="297"/>
      <c r="E288" s="289"/>
      <c r="F288" s="289"/>
      <c r="J288" s="247"/>
    </row>
    <row r="289" spans="1:17">
      <c r="A289" s="295"/>
      <c r="B289" s="296"/>
      <c r="D289" s="297"/>
      <c r="E289" s="289"/>
      <c r="F289" s="289"/>
      <c r="J289" s="247"/>
    </row>
    <row r="290" spans="1:17">
      <c r="A290" s="295"/>
      <c r="B290" s="296"/>
      <c r="D290" s="297"/>
      <c r="E290" s="289"/>
      <c r="F290" s="289"/>
      <c r="J290" s="247"/>
    </row>
    <row r="291" spans="1:17">
      <c r="B291" s="290"/>
      <c r="D291" s="268"/>
      <c r="E291" s="289"/>
      <c r="F291" s="291"/>
      <c r="G291" s="254"/>
      <c r="K291" s="1706"/>
      <c r="L291" s="1706"/>
      <c r="M291" s="255"/>
      <c r="N291" s="255"/>
      <c r="O291" s="255"/>
      <c r="P291" s="255"/>
      <c r="Q291" s="255"/>
    </row>
    <row r="292" spans="1:17">
      <c r="A292" s="292"/>
      <c r="B292" s="293"/>
      <c r="D292" s="268"/>
      <c r="E292" s="289"/>
      <c r="F292" s="289"/>
      <c r="G292" s="1892"/>
      <c r="K292" s="1706"/>
      <c r="L292" s="1706"/>
      <c r="M292" s="255"/>
      <c r="N292" s="255"/>
      <c r="O292" s="255"/>
      <c r="P292" s="255"/>
      <c r="Q292" s="255"/>
    </row>
    <row r="293" spans="1:17">
      <c r="A293" s="299"/>
      <c r="B293" s="288"/>
      <c r="C293" s="249"/>
      <c r="D293" s="268"/>
      <c r="E293" s="289"/>
      <c r="F293" s="289"/>
      <c r="G293" s="254"/>
      <c r="K293" s="1706"/>
      <c r="L293" s="1706"/>
      <c r="M293" s="255"/>
      <c r="N293" s="255"/>
      <c r="O293" s="255"/>
      <c r="P293" s="255"/>
      <c r="Q293" s="255"/>
    </row>
    <row r="294" spans="1:17">
      <c r="A294" s="299"/>
      <c r="B294" s="294"/>
      <c r="C294" s="249"/>
      <c r="D294" s="268"/>
      <c r="E294" s="289"/>
      <c r="F294" s="289"/>
      <c r="G294" s="278"/>
      <c r="H294" s="278"/>
      <c r="K294" s="1706"/>
      <c r="L294" s="1706"/>
      <c r="M294" s="255"/>
      <c r="N294" s="255"/>
      <c r="O294" s="255"/>
      <c r="P294" s="255"/>
      <c r="Q294" s="255"/>
    </row>
    <row r="295" spans="1:17">
      <c r="A295" s="299"/>
      <c r="B295" s="288"/>
      <c r="C295" s="249"/>
      <c r="D295" s="268"/>
      <c r="E295" s="289"/>
      <c r="F295" s="289"/>
      <c r="G295" s="254"/>
      <c r="K295" s="1706"/>
      <c r="L295" s="1706"/>
      <c r="M295" s="255"/>
      <c r="N295" s="255"/>
      <c r="O295" s="255"/>
      <c r="P295" s="255"/>
      <c r="Q295" s="255"/>
    </row>
    <row r="296" spans="1:17">
      <c r="A296" s="299"/>
      <c r="B296" s="288"/>
      <c r="C296" s="249"/>
      <c r="D296" s="268"/>
      <c r="E296" s="289"/>
      <c r="F296" s="289"/>
      <c r="G296" s="254"/>
      <c r="K296" s="1706"/>
      <c r="L296" s="1706"/>
      <c r="M296" s="255"/>
      <c r="N296" s="255"/>
      <c r="O296" s="255"/>
      <c r="P296" s="255"/>
      <c r="Q296" s="255"/>
    </row>
    <row r="297" spans="1:17">
      <c r="A297" s="299"/>
      <c r="B297" s="288"/>
      <c r="C297" s="249"/>
      <c r="D297" s="268"/>
      <c r="E297" s="289"/>
      <c r="F297" s="289"/>
    </row>
    <row r="298" spans="1:17">
      <c r="A298" s="299"/>
      <c r="B298" s="294"/>
      <c r="C298" s="249"/>
      <c r="D298" s="268"/>
      <c r="E298" s="289"/>
      <c r="F298" s="289"/>
    </row>
    <row r="299" spans="1:17">
      <c r="A299" s="299"/>
      <c r="B299" s="294"/>
      <c r="C299" s="249"/>
      <c r="D299" s="268"/>
      <c r="E299" s="289"/>
      <c r="F299" s="289"/>
    </row>
    <row r="300" spans="1:17">
      <c r="A300" s="299"/>
      <c r="B300" s="294"/>
      <c r="C300" s="249"/>
      <c r="D300" s="268"/>
      <c r="E300" s="289"/>
      <c r="F300" s="289"/>
    </row>
    <row r="301" spans="1:17">
      <c r="A301" s="299"/>
      <c r="B301" s="288"/>
      <c r="C301" s="249"/>
      <c r="D301" s="268"/>
      <c r="E301" s="289"/>
      <c r="F301" s="289"/>
      <c r="G301" s="254"/>
      <c r="K301" s="1706"/>
      <c r="L301" s="1706"/>
      <c r="M301" s="255"/>
      <c r="N301" s="255"/>
      <c r="O301" s="255"/>
      <c r="P301" s="255"/>
      <c r="Q301" s="255"/>
    </row>
    <row r="302" spans="1:17">
      <c r="A302" s="299"/>
      <c r="B302" s="288"/>
      <c r="C302" s="249"/>
      <c r="D302" s="268"/>
      <c r="E302" s="289"/>
      <c r="F302" s="289"/>
      <c r="G302" s="254"/>
      <c r="K302" s="1706"/>
      <c r="L302" s="1706"/>
      <c r="M302" s="255"/>
      <c r="N302" s="255"/>
      <c r="O302" s="255"/>
      <c r="P302" s="255"/>
      <c r="Q302" s="255"/>
    </row>
    <row r="303" spans="1:17">
      <c r="A303" s="299"/>
      <c r="B303" s="288"/>
      <c r="C303" s="249"/>
      <c r="D303" s="268"/>
      <c r="E303" s="289"/>
      <c r="F303" s="289"/>
      <c r="G303" s="254"/>
      <c r="K303" s="1706"/>
      <c r="L303" s="1706"/>
      <c r="M303" s="255"/>
      <c r="N303" s="255"/>
      <c r="O303" s="255"/>
      <c r="P303" s="255"/>
      <c r="Q303" s="255"/>
    </row>
    <row r="304" spans="1:17">
      <c r="A304" s="299"/>
      <c r="B304" s="288"/>
      <c r="C304" s="249"/>
      <c r="D304" s="268"/>
      <c r="E304" s="289"/>
      <c r="F304" s="289"/>
      <c r="G304" s="254"/>
      <c r="K304" s="1706"/>
      <c r="L304" s="1706"/>
      <c r="M304" s="255"/>
      <c r="N304" s="255"/>
      <c r="O304" s="255"/>
      <c r="P304" s="255"/>
      <c r="Q304" s="255"/>
    </row>
    <row r="305" spans="1:17">
      <c r="A305" s="299"/>
      <c r="B305" s="288"/>
      <c r="C305" s="249"/>
      <c r="D305" s="268"/>
      <c r="E305" s="289"/>
      <c r="F305" s="289"/>
      <c r="G305" s="254"/>
      <c r="K305" s="1706"/>
      <c r="L305" s="1706"/>
      <c r="M305" s="255"/>
      <c r="N305" s="255"/>
      <c r="O305" s="255"/>
      <c r="P305" s="255"/>
      <c r="Q305" s="255"/>
    </row>
    <row r="306" spans="1:17">
      <c r="A306" s="299"/>
      <c r="B306" s="288"/>
      <c r="C306" s="249"/>
      <c r="D306" s="268"/>
      <c r="E306" s="289"/>
      <c r="F306" s="289"/>
      <c r="G306" s="254"/>
      <c r="K306" s="1706"/>
      <c r="L306" s="1706"/>
      <c r="M306" s="255"/>
      <c r="N306" s="255"/>
      <c r="O306" s="255"/>
      <c r="P306" s="255"/>
      <c r="Q306" s="255"/>
    </row>
    <row r="307" spans="1:17">
      <c r="A307" s="299"/>
      <c r="B307" s="288"/>
      <c r="C307" s="249"/>
      <c r="D307" s="268"/>
      <c r="E307" s="289"/>
      <c r="F307" s="289"/>
      <c r="G307" s="254"/>
      <c r="K307" s="1706"/>
      <c r="L307" s="1706"/>
      <c r="M307" s="255"/>
      <c r="N307" s="255"/>
      <c r="O307" s="255"/>
      <c r="P307" s="255"/>
      <c r="Q307" s="255"/>
    </row>
    <row r="308" spans="1:17">
      <c r="A308" s="299"/>
      <c r="B308" s="288"/>
      <c r="C308" s="249"/>
      <c r="D308" s="268"/>
      <c r="E308" s="289"/>
      <c r="F308" s="289"/>
      <c r="G308" s="254"/>
      <c r="K308" s="1706"/>
      <c r="L308" s="1706"/>
      <c r="M308" s="255"/>
      <c r="N308" s="255"/>
      <c r="O308" s="255"/>
      <c r="P308" s="255"/>
      <c r="Q308" s="255"/>
    </row>
    <row r="309" spans="1:17">
      <c r="A309" s="299"/>
      <c r="B309" s="288"/>
      <c r="C309" s="249"/>
      <c r="D309" s="268"/>
      <c r="E309" s="289"/>
      <c r="F309" s="289"/>
      <c r="G309" s="254"/>
      <c r="K309" s="1706"/>
      <c r="L309" s="1706"/>
      <c r="M309" s="255"/>
      <c r="N309" s="255"/>
      <c r="O309" s="255"/>
      <c r="P309" s="255"/>
      <c r="Q309" s="255"/>
    </row>
    <row r="310" spans="1:17">
      <c r="A310" s="299"/>
      <c r="B310" s="288"/>
      <c r="C310" s="249"/>
      <c r="D310" s="268"/>
      <c r="E310" s="289"/>
      <c r="F310" s="289"/>
      <c r="G310" s="254"/>
      <c r="K310" s="1706"/>
      <c r="L310" s="1706"/>
      <c r="M310" s="255"/>
      <c r="N310" s="255"/>
      <c r="O310" s="255"/>
      <c r="P310" s="255"/>
      <c r="Q310" s="255"/>
    </row>
    <row r="311" spans="1:17">
      <c r="A311" s="299"/>
      <c r="B311" s="288"/>
      <c r="C311" s="249"/>
      <c r="D311" s="268"/>
      <c r="E311" s="289"/>
      <c r="F311" s="289"/>
      <c r="G311" s="254"/>
      <c r="K311" s="1706"/>
      <c r="L311" s="1706"/>
      <c r="M311" s="255"/>
      <c r="N311" s="255"/>
      <c r="O311" s="255"/>
      <c r="P311" s="255"/>
      <c r="Q311" s="255"/>
    </row>
    <row r="312" spans="1:17">
      <c r="A312" s="299"/>
      <c r="B312" s="288"/>
      <c r="C312" s="249"/>
      <c r="D312" s="268"/>
      <c r="E312" s="289"/>
      <c r="F312" s="289"/>
      <c r="G312" s="254"/>
      <c r="K312" s="1706"/>
      <c r="L312" s="1706"/>
      <c r="M312" s="255"/>
      <c r="N312" s="255"/>
      <c r="O312" s="255"/>
      <c r="P312" s="255"/>
      <c r="Q312" s="255"/>
    </row>
    <row r="313" spans="1:17">
      <c r="B313" s="290"/>
      <c r="D313" s="268"/>
      <c r="E313" s="289"/>
      <c r="F313" s="291"/>
      <c r="G313" s="254"/>
      <c r="K313" s="1706"/>
      <c r="L313" s="1706"/>
      <c r="M313" s="255"/>
      <c r="N313" s="255"/>
      <c r="O313" s="255"/>
      <c r="P313" s="255"/>
      <c r="Q313" s="255"/>
    </row>
    <row r="314" spans="1:17">
      <c r="A314" s="292"/>
      <c r="B314" s="293"/>
      <c r="D314" s="268"/>
      <c r="E314" s="289"/>
      <c r="F314" s="289"/>
      <c r="G314" s="1892"/>
      <c r="K314" s="1706"/>
      <c r="L314" s="1706"/>
      <c r="M314" s="255"/>
      <c r="N314" s="255"/>
      <c r="O314" s="255"/>
      <c r="P314" s="255"/>
      <c r="Q314" s="255"/>
    </row>
    <row r="315" spans="1:17">
      <c r="A315" s="299"/>
      <c r="B315" s="288"/>
      <c r="C315" s="300"/>
      <c r="D315" s="300"/>
      <c r="E315" s="289"/>
      <c r="F315" s="289"/>
      <c r="G315" s="1706"/>
      <c r="H315" s="1706"/>
      <c r="I315" s="1706"/>
      <c r="K315" s="1706"/>
      <c r="L315" s="1706"/>
      <c r="M315" s="255"/>
      <c r="N315" s="255"/>
      <c r="O315" s="255"/>
      <c r="P315" s="255"/>
      <c r="Q315" s="255"/>
    </row>
    <row r="316" spans="1:17">
      <c r="A316" s="299"/>
      <c r="B316" s="288"/>
      <c r="C316" s="300"/>
      <c r="D316" s="300"/>
      <c r="E316" s="289"/>
      <c r="F316" s="289"/>
      <c r="G316" s="1706"/>
      <c r="H316" s="1706"/>
      <c r="I316" s="1706"/>
      <c r="K316" s="1706"/>
      <c r="L316" s="1706"/>
      <c r="M316" s="255"/>
      <c r="N316" s="255"/>
      <c r="O316" s="255"/>
      <c r="P316" s="255"/>
      <c r="Q316" s="255"/>
    </row>
    <row r="317" spans="1:17">
      <c r="A317" s="299"/>
      <c r="B317" s="288"/>
      <c r="C317" s="300"/>
      <c r="D317" s="300"/>
      <c r="E317" s="289"/>
      <c r="F317" s="289"/>
      <c r="G317" s="1706"/>
      <c r="H317" s="1706"/>
      <c r="I317" s="1706"/>
      <c r="K317" s="1706"/>
      <c r="L317" s="1706"/>
      <c r="M317" s="255"/>
      <c r="N317" s="255"/>
      <c r="O317" s="255"/>
      <c r="P317" s="255"/>
      <c r="Q317" s="255"/>
    </row>
    <row r="318" spans="1:17">
      <c r="A318" s="299"/>
      <c r="B318" s="288"/>
      <c r="C318" s="300"/>
      <c r="D318" s="300"/>
      <c r="E318" s="289"/>
      <c r="F318" s="289"/>
      <c r="G318" s="1706"/>
      <c r="H318" s="1706"/>
      <c r="I318" s="1706"/>
      <c r="K318" s="1706"/>
      <c r="L318" s="1706"/>
      <c r="M318" s="255"/>
      <c r="N318" s="255"/>
      <c r="O318" s="255"/>
      <c r="P318" s="255"/>
      <c r="Q318" s="255"/>
    </row>
    <row r="319" spans="1:17">
      <c r="A319" s="299"/>
      <c r="B319" s="288"/>
      <c r="C319" s="300"/>
      <c r="D319" s="300"/>
      <c r="E319" s="289"/>
      <c r="F319" s="289"/>
      <c r="G319" s="1706"/>
      <c r="H319" s="1706"/>
      <c r="I319" s="1706"/>
      <c r="K319" s="1706"/>
      <c r="L319" s="1706"/>
      <c r="M319" s="255"/>
      <c r="N319" s="255"/>
      <c r="O319" s="255"/>
      <c r="P319" s="255"/>
      <c r="Q319" s="255"/>
    </row>
    <row r="320" spans="1:17">
      <c r="A320" s="299"/>
      <c r="B320" s="288"/>
      <c r="C320" s="300"/>
      <c r="D320" s="300"/>
      <c r="E320" s="289"/>
      <c r="F320" s="289"/>
      <c r="G320" s="1706"/>
      <c r="H320" s="1706"/>
      <c r="I320" s="1706"/>
      <c r="K320" s="1706"/>
      <c r="L320" s="1706"/>
      <c r="M320" s="255"/>
      <c r="N320" s="255"/>
      <c r="O320" s="255"/>
      <c r="P320" s="255"/>
      <c r="Q320" s="255"/>
    </row>
    <row r="321" spans="1:17">
      <c r="A321" s="299"/>
      <c r="B321" s="288"/>
      <c r="C321" s="300"/>
      <c r="D321" s="300"/>
      <c r="E321" s="289"/>
      <c r="F321" s="289"/>
      <c r="G321" s="1706"/>
      <c r="H321" s="1706"/>
      <c r="I321" s="1706"/>
      <c r="K321" s="1706"/>
      <c r="L321" s="1706"/>
      <c r="M321" s="255"/>
      <c r="N321" s="255"/>
      <c r="O321" s="255"/>
      <c r="P321" s="255"/>
      <c r="Q321" s="255"/>
    </row>
    <row r="322" spans="1:17">
      <c r="A322" s="299"/>
      <c r="B322" s="288"/>
      <c r="C322" s="300"/>
      <c r="D322" s="300"/>
      <c r="E322" s="289"/>
      <c r="F322" s="289"/>
      <c r="G322" s="1706"/>
      <c r="H322" s="1706"/>
      <c r="I322" s="1706"/>
      <c r="K322" s="1706"/>
      <c r="L322" s="1706"/>
      <c r="M322" s="255"/>
      <c r="N322" s="255"/>
      <c r="O322" s="255"/>
      <c r="P322" s="255"/>
      <c r="Q322" s="255"/>
    </row>
    <row r="323" spans="1:17">
      <c r="A323" s="299"/>
      <c r="B323" s="288"/>
      <c r="C323" s="300"/>
      <c r="D323" s="300"/>
      <c r="E323" s="289"/>
      <c r="F323" s="289"/>
      <c r="G323" s="1706"/>
      <c r="H323" s="1706"/>
      <c r="I323" s="1706"/>
      <c r="K323" s="1706"/>
      <c r="L323" s="1706"/>
      <c r="M323" s="255"/>
      <c r="N323" s="255"/>
      <c r="O323" s="255"/>
      <c r="P323" s="255"/>
      <c r="Q323" s="255"/>
    </row>
    <row r="324" spans="1:17">
      <c r="A324" s="299"/>
      <c r="B324" s="288"/>
      <c r="C324" s="300"/>
      <c r="D324" s="300"/>
      <c r="E324" s="289"/>
      <c r="F324" s="289"/>
      <c r="G324" s="1706"/>
      <c r="H324" s="1706"/>
      <c r="I324" s="1706"/>
      <c r="K324" s="1706"/>
      <c r="L324" s="1706"/>
      <c r="M324" s="255"/>
      <c r="N324" s="255"/>
      <c r="O324" s="255"/>
      <c r="P324" s="255"/>
      <c r="Q324" s="255"/>
    </row>
    <row r="325" spans="1:17">
      <c r="A325" s="299"/>
      <c r="B325" s="288"/>
      <c r="C325" s="300"/>
      <c r="D325" s="300"/>
      <c r="E325" s="289"/>
      <c r="F325" s="289"/>
      <c r="G325" s="1706"/>
      <c r="H325" s="1706"/>
      <c r="I325" s="1706"/>
      <c r="K325" s="1706"/>
      <c r="L325" s="1706"/>
      <c r="M325" s="255"/>
      <c r="N325" s="255"/>
      <c r="O325" s="255"/>
      <c r="P325" s="255"/>
      <c r="Q325" s="255"/>
    </row>
    <row r="326" spans="1:17">
      <c r="A326" s="299"/>
      <c r="B326" s="288"/>
      <c r="C326" s="300"/>
      <c r="D326" s="300"/>
      <c r="E326" s="289"/>
      <c r="F326" s="289"/>
      <c r="G326" s="1706"/>
      <c r="H326" s="1706"/>
      <c r="I326" s="1706"/>
      <c r="K326" s="1706"/>
      <c r="L326" s="1706"/>
      <c r="M326" s="255"/>
      <c r="N326" s="255"/>
      <c r="O326" s="255"/>
      <c r="P326" s="255"/>
      <c r="Q326" s="255"/>
    </row>
    <row r="327" spans="1:17">
      <c r="A327" s="299"/>
      <c r="B327" s="288"/>
      <c r="C327" s="300"/>
      <c r="D327" s="300"/>
      <c r="E327" s="289"/>
      <c r="F327" s="289"/>
      <c r="G327" s="1706"/>
      <c r="H327" s="1706"/>
      <c r="I327" s="1706"/>
      <c r="K327" s="1706"/>
      <c r="L327" s="1706"/>
      <c r="M327" s="255"/>
      <c r="N327" s="255"/>
      <c r="O327" s="255"/>
      <c r="P327" s="255"/>
      <c r="Q327" s="255"/>
    </row>
    <row r="328" spans="1:17">
      <c r="A328" s="299"/>
      <c r="B328" s="288"/>
      <c r="C328" s="300"/>
      <c r="D328" s="300"/>
      <c r="E328" s="289"/>
      <c r="F328" s="289"/>
      <c r="G328" s="1706"/>
      <c r="H328" s="1706"/>
      <c r="I328" s="1706"/>
      <c r="K328" s="1706"/>
      <c r="L328" s="1706"/>
      <c r="M328" s="255"/>
      <c r="N328" s="255"/>
      <c r="O328" s="255"/>
      <c r="P328" s="255"/>
      <c r="Q328" s="255"/>
    </row>
    <row r="329" spans="1:17">
      <c r="A329" s="299"/>
      <c r="B329" s="288"/>
      <c r="C329" s="300"/>
      <c r="D329" s="300"/>
      <c r="E329" s="289"/>
      <c r="F329" s="289"/>
      <c r="G329" s="1706"/>
      <c r="H329" s="1706"/>
      <c r="I329" s="1706"/>
      <c r="K329" s="1706"/>
      <c r="L329" s="1706"/>
      <c r="M329" s="255"/>
      <c r="N329" s="255"/>
      <c r="O329" s="255"/>
      <c r="P329" s="255"/>
      <c r="Q329" s="255"/>
    </row>
    <row r="330" spans="1:17">
      <c r="A330" s="299"/>
      <c r="B330" s="288"/>
      <c r="C330" s="300"/>
      <c r="D330" s="300"/>
      <c r="E330" s="289"/>
      <c r="F330" s="289"/>
      <c r="G330" s="1706"/>
      <c r="H330" s="1706"/>
      <c r="I330" s="1706"/>
      <c r="K330" s="1706"/>
      <c r="L330" s="1706"/>
      <c r="M330" s="255"/>
      <c r="N330" s="255"/>
      <c r="O330" s="255"/>
      <c r="P330" s="255"/>
      <c r="Q330" s="255"/>
    </row>
    <row r="331" spans="1:17">
      <c r="A331" s="299"/>
      <c r="B331" s="288"/>
      <c r="C331" s="300"/>
      <c r="D331" s="300"/>
      <c r="E331" s="289"/>
      <c r="F331" s="289"/>
      <c r="G331" s="1706"/>
      <c r="H331" s="1706"/>
      <c r="I331" s="1706"/>
      <c r="K331" s="1706"/>
      <c r="L331" s="1706"/>
      <c r="M331" s="255"/>
      <c r="N331" s="255"/>
      <c r="O331" s="255"/>
      <c r="P331" s="255"/>
      <c r="Q331" s="255"/>
    </row>
    <row r="332" spans="1:17">
      <c r="A332" s="299"/>
      <c r="B332" s="288"/>
      <c r="C332" s="300"/>
      <c r="D332" s="300"/>
      <c r="E332" s="289"/>
      <c r="F332" s="289"/>
      <c r="G332" s="1706"/>
      <c r="H332" s="1706"/>
      <c r="I332" s="1706"/>
      <c r="K332" s="1706"/>
      <c r="L332" s="1706"/>
      <c r="M332" s="255"/>
      <c r="N332" s="255"/>
      <c r="O332" s="255"/>
      <c r="P332" s="255"/>
      <c r="Q332" s="255"/>
    </row>
    <row r="333" spans="1:17">
      <c r="A333" s="299"/>
      <c r="B333" s="288"/>
      <c r="C333" s="300"/>
      <c r="D333" s="300"/>
      <c r="E333" s="289"/>
      <c r="F333" s="289"/>
      <c r="G333" s="1706"/>
      <c r="H333" s="1706"/>
      <c r="I333" s="1706"/>
      <c r="K333" s="1706"/>
      <c r="L333" s="1706"/>
      <c r="M333" s="255"/>
      <c r="N333" s="255"/>
      <c r="O333" s="255"/>
      <c r="P333" s="255"/>
      <c r="Q333" s="255"/>
    </row>
    <row r="334" spans="1:17">
      <c r="B334" s="290"/>
      <c r="D334" s="268"/>
      <c r="E334" s="289"/>
      <c r="F334" s="291"/>
      <c r="G334" s="254"/>
      <c r="K334" s="1706"/>
      <c r="L334" s="1706"/>
      <c r="M334" s="255"/>
      <c r="N334" s="255"/>
      <c r="O334" s="255"/>
      <c r="P334" s="255"/>
      <c r="Q334" s="255"/>
    </row>
    <row r="335" spans="1:17">
      <c r="A335" s="292"/>
      <c r="B335" s="293"/>
      <c r="D335" s="268"/>
      <c r="E335" s="289"/>
      <c r="F335" s="289"/>
      <c r="G335" s="1892"/>
      <c r="K335" s="1706"/>
      <c r="L335" s="1706"/>
      <c r="M335" s="255"/>
      <c r="N335" s="255"/>
      <c r="O335" s="255"/>
      <c r="P335" s="255"/>
      <c r="Q335" s="255"/>
    </row>
    <row r="336" spans="1:17">
      <c r="A336" s="299"/>
      <c r="B336" s="288"/>
      <c r="C336" s="249"/>
      <c r="D336" s="268"/>
      <c r="E336" s="289"/>
      <c r="F336" s="289"/>
      <c r="G336" s="254"/>
      <c r="K336" s="1706"/>
      <c r="L336" s="1706"/>
      <c r="M336" s="255"/>
      <c r="N336" s="255"/>
      <c r="O336" s="255"/>
      <c r="P336" s="255"/>
      <c r="Q336" s="255"/>
    </row>
    <row r="337" spans="1:17">
      <c r="A337" s="299"/>
      <c r="B337" s="288"/>
      <c r="C337" s="249"/>
      <c r="D337" s="268"/>
      <c r="E337" s="289"/>
      <c r="F337" s="289"/>
      <c r="G337" s="254"/>
      <c r="K337" s="1706"/>
      <c r="L337" s="1706"/>
      <c r="M337" s="255"/>
      <c r="N337" s="255"/>
      <c r="O337" s="255"/>
      <c r="P337" s="255"/>
      <c r="Q337" s="255"/>
    </row>
    <row r="338" spans="1:17">
      <c r="A338" s="299"/>
      <c r="B338" s="288"/>
      <c r="C338" s="249"/>
      <c r="D338" s="268"/>
      <c r="E338" s="289"/>
      <c r="F338" s="289"/>
      <c r="G338" s="254"/>
      <c r="K338" s="1706"/>
      <c r="L338" s="1706"/>
      <c r="M338" s="255"/>
      <c r="N338" s="255"/>
      <c r="O338" s="255"/>
      <c r="P338" s="255"/>
      <c r="Q338" s="255"/>
    </row>
    <row r="339" spans="1:17">
      <c r="A339" s="299"/>
      <c r="B339" s="288"/>
      <c r="C339" s="249"/>
      <c r="D339" s="268"/>
      <c r="E339" s="289"/>
      <c r="F339" s="289"/>
      <c r="G339" s="254"/>
      <c r="K339" s="1706"/>
      <c r="L339" s="1706"/>
      <c r="M339" s="255"/>
      <c r="N339" s="255"/>
      <c r="O339" s="255"/>
      <c r="P339" s="255"/>
      <c r="Q339" s="255"/>
    </row>
    <row r="340" spans="1:17">
      <c r="A340" s="299"/>
      <c r="B340" s="288"/>
      <c r="C340" s="249"/>
      <c r="D340" s="268"/>
      <c r="E340" s="289"/>
      <c r="F340" s="289"/>
      <c r="G340" s="254"/>
      <c r="K340" s="1706"/>
      <c r="L340" s="1706"/>
      <c r="M340" s="255"/>
      <c r="N340" s="255"/>
      <c r="O340" s="255"/>
      <c r="P340" s="255"/>
      <c r="Q340" s="255"/>
    </row>
    <row r="341" spans="1:17">
      <c r="A341" s="299"/>
      <c r="B341" s="288"/>
      <c r="C341" s="249"/>
      <c r="D341" s="268"/>
      <c r="E341" s="289"/>
      <c r="F341" s="289"/>
      <c r="G341" s="254"/>
      <c r="K341" s="1706"/>
      <c r="L341" s="1706"/>
      <c r="M341" s="255"/>
      <c r="N341" s="255"/>
      <c r="O341" s="255"/>
      <c r="P341" s="255"/>
      <c r="Q341" s="255"/>
    </row>
    <row r="342" spans="1:17">
      <c r="A342" s="299"/>
      <c r="B342" s="288"/>
      <c r="C342" s="249"/>
      <c r="D342" s="268"/>
      <c r="E342" s="289"/>
      <c r="F342" s="289"/>
      <c r="G342" s="254"/>
      <c r="K342" s="1706"/>
      <c r="L342" s="1706"/>
      <c r="M342" s="255"/>
      <c r="N342" s="255"/>
      <c r="O342" s="255"/>
      <c r="P342" s="255"/>
      <c r="Q342" s="255"/>
    </row>
    <row r="343" spans="1:17">
      <c r="A343" s="299"/>
      <c r="B343" s="288"/>
      <c r="C343" s="249"/>
      <c r="D343" s="268"/>
      <c r="E343" s="289"/>
      <c r="F343" s="289"/>
      <c r="G343" s="254"/>
      <c r="K343" s="1706"/>
      <c r="L343" s="1706"/>
      <c r="M343" s="255"/>
      <c r="N343" s="255"/>
      <c r="O343" s="255"/>
      <c r="P343" s="255"/>
      <c r="Q343" s="255"/>
    </row>
    <row r="344" spans="1:17">
      <c r="A344" s="299"/>
      <c r="B344" s="288"/>
      <c r="C344" s="249"/>
      <c r="D344" s="268"/>
      <c r="E344" s="289"/>
      <c r="F344" s="289"/>
      <c r="G344" s="254"/>
      <c r="K344" s="1706"/>
      <c r="L344" s="1706"/>
      <c r="M344" s="255"/>
      <c r="N344" s="255"/>
      <c r="O344" s="255"/>
      <c r="P344" s="255"/>
      <c r="Q344" s="255"/>
    </row>
    <row r="345" spans="1:17">
      <c r="A345" s="299"/>
      <c r="B345" s="288"/>
      <c r="C345" s="249"/>
      <c r="D345" s="268"/>
      <c r="E345" s="289"/>
      <c r="F345" s="289"/>
      <c r="G345" s="254"/>
      <c r="K345" s="1706"/>
      <c r="L345" s="1706"/>
      <c r="M345" s="255"/>
      <c r="N345" s="255"/>
      <c r="O345" s="255"/>
      <c r="P345" s="255"/>
      <c r="Q345" s="255"/>
    </row>
    <row r="346" spans="1:17">
      <c r="A346" s="299"/>
      <c r="B346" s="288"/>
      <c r="C346" s="249"/>
      <c r="D346" s="268"/>
      <c r="E346" s="289"/>
      <c r="F346" s="289"/>
      <c r="G346" s="254"/>
      <c r="K346" s="1706"/>
      <c r="L346" s="1706"/>
      <c r="M346" s="255"/>
      <c r="N346" s="255"/>
      <c r="O346" s="255"/>
      <c r="P346" s="255"/>
      <c r="Q346" s="255"/>
    </row>
    <row r="347" spans="1:17">
      <c r="A347" s="299"/>
      <c r="B347" s="288"/>
      <c r="C347" s="249"/>
      <c r="D347" s="268"/>
      <c r="E347" s="289"/>
      <c r="F347" s="289"/>
      <c r="G347" s="254"/>
      <c r="K347" s="1706"/>
      <c r="L347" s="1706"/>
      <c r="M347" s="255"/>
      <c r="N347" s="255"/>
      <c r="O347" s="255"/>
      <c r="P347" s="255"/>
      <c r="Q347" s="255"/>
    </row>
    <row r="348" spans="1:17">
      <c r="A348" s="299"/>
      <c r="B348" s="288"/>
      <c r="C348" s="249"/>
      <c r="D348" s="268"/>
      <c r="E348" s="289"/>
      <c r="F348" s="289"/>
      <c r="G348" s="254"/>
      <c r="K348" s="1706"/>
      <c r="L348" s="1706"/>
      <c r="M348" s="255"/>
      <c r="N348" s="255"/>
      <c r="O348" s="255"/>
      <c r="P348" s="255"/>
      <c r="Q348" s="255"/>
    </row>
    <row r="349" spans="1:17">
      <c r="B349" s="290"/>
      <c r="D349" s="268"/>
      <c r="E349" s="289"/>
      <c r="F349" s="291"/>
      <c r="G349" s="254"/>
      <c r="K349" s="1706"/>
      <c r="L349" s="1706"/>
      <c r="M349" s="255"/>
      <c r="N349" s="255"/>
      <c r="O349" s="255"/>
      <c r="P349" s="255"/>
      <c r="Q349" s="255"/>
    </row>
    <row r="350" spans="1:17">
      <c r="A350" s="301"/>
      <c r="B350" s="293"/>
      <c r="D350" s="268"/>
      <c r="E350" s="289"/>
      <c r="F350" s="289"/>
      <c r="G350" s="1892"/>
      <c r="K350" s="1706"/>
      <c r="L350" s="1706"/>
      <c r="M350" s="255"/>
      <c r="N350" s="255"/>
      <c r="O350" s="255"/>
      <c r="P350" s="255"/>
      <c r="Q350" s="255"/>
    </row>
    <row r="351" spans="1:17">
      <c r="A351" s="299"/>
      <c r="B351" s="288"/>
      <c r="C351" s="249"/>
      <c r="D351" s="268"/>
      <c r="E351" s="289"/>
      <c r="F351" s="289"/>
      <c r="G351" s="254"/>
      <c r="K351" s="1706"/>
      <c r="L351" s="1706"/>
      <c r="M351" s="255"/>
      <c r="N351" s="255"/>
      <c r="O351" s="255"/>
      <c r="P351" s="255"/>
      <c r="Q351" s="255"/>
    </row>
    <row r="352" spans="1:17">
      <c r="A352" s="299"/>
      <c r="B352" s="288"/>
      <c r="C352" s="249"/>
      <c r="D352" s="268"/>
      <c r="E352" s="289"/>
      <c r="F352" s="289"/>
      <c r="G352" s="254"/>
      <c r="K352" s="1706"/>
      <c r="L352" s="1706"/>
      <c r="M352" s="255"/>
      <c r="N352" s="255"/>
      <c r="O352" s="255"/>
      <c r="P352" s="255"/>
      <c r="Q352" s="255"/>
    </row>
    <row r="353" spans="1:17">
      <c r="A353" s="299"/>
      <c r="B353" s="288"/>
      <c r="C353" s="249"/>
      <c r="D353" s="268"/>
      <c r="E353" s="289"/>
      <c r="F353" s="289"/>
      <c r="G353" s="254"/>
      <c r="K353" s="1706"/>
      <c r="L353" s="1706"/>
      <c r="M353" s="255"/>
      <c r="N353" s="255"/>
      <c r="O353" s="255"/>
      <c r="P353" s="255"/>
      <c r="Q353" s="255"/>
    </row>
    <row r="354" spans="1:17">
      <c r="A354" s="299"/>
      <c r="B354" s="288"/>
      <c r="C354" s="249"/>
      <c r="D354" s="302"/>
      <c r="E354" s="289"/>
      <c r="F354" s="289"/>
      <c r="G354" s="254"/>
      <c r="K354" s="1706"/>
      <c r="L354" s="1706"/>
      <c r="M354" s="255"/>
      <c r="N354" s="255"/>
      <c r="O354" s="255"/>
      <c r="P354" s="255"/>
      <c r="Q354" s="255"/>
    </row>
    <row r="355" spans="1:17">
      <c r="A355" s="299"/>
      <c r="B355" s="288"/>
      <c r="C355" s="249"/>
      <c r="D355" s="268"/>
      <c r="E355" s="289"/>
      <c r="F355" s="289"/>
      <c r="G355" s="254"/>
      <c r="K355" s="1706"/>
      <c r="L355" s="1706"/>
      <c r="M355" s="255"/>
      <c r="N355" s="255"/>
      <c r="O355" s="255"/>
      <c r="P355" s="255"/>
      <c r="Q355" s="255"/>
    </row>
    <row r="356" spans="1:17">
      <c r="A356" s="299"/>
      <c r="B356" s="288"/>
      <c r="C356" s="249"/>
      <c r="D356" s="268"/>
      <c r="E356" s="289"/>
      <c r="F356" s="289"/>
      <c r="G356" s="254"/>
      <c r="K356" s="1706"/>
      <c r="L356" s="1706"/>
      <c r="M356" s="255"/>
      <c r="N356" s="255"/>
      <c r="O356" s="255"/>
      <c r="P356" s="255"/>
      <c r="Q356" s="255"/>
    </row>
    <row r="357" spans="1:17">
      <c r="A357" s="299"/>
      <c r="B357" s="288"/>
      <c r="C357" s="249"/>
      <c r="D357" s="268"/>
      <c r="E357" s="289"/>
      <c r="F357" s="289"/>
      <c r="G357" s="254"/>
      <c r="K357" s="1706"/>
      <c r="L357" s="1706"/>
      <c r="M357" s="255"/>
      <c r="N357" s="255"/>
      <c r="O357" s="255"/>
      <c r="P357" s="255"/>
      <c r="Q357" s="255"/>
    </row>
    <row r="358" spans="1:17">
      <c r="A358" s="299"/>
      <c r="B358" s="288"/>
      <c r="C358" s="249"/>
      <c r="D358" s="268"/>
      <c r="E358" s="289"/>
      <c r="F358" s="289"/>
      <c r="G358" s="254"/>
      <c r="K358" s="1706"/>
      <c r="L358" s="1706"/>
      <c r="M358" s="255"/>
      <c r="N358" s="255"/>
      <c r="O358" s="255"/>
      <c r="P358" s="255"/>
      <c r="Q358" s="255"/>
    </row>
    <row r="359" spans="1:17">
      <c r="A359" s="299"/>
      <c r="B359" s="288"/>
      <c r="C359" s="249"/>
      <c r="D359" s="268"/>
      <c r="E359" s="289"/>
      <c r="F359" s="289"/>
      <c r="G359" s="254"/>
      <c r="K359" s="1706"/>
      <c r="L359" s="1706"/>
      <c r="M359" s="255"/>
      <c r="N359" s="255"/>
      <c r="O359" s="255"/>
      <c r="P359" s="255"/>
      <c r="Q359" s="255"/>
    </row>
    <row r="360" spans="1:17">
      <c r="A360" s="299"/>
      <c r="B360" s="288"/>
      <c r="C360" s="249"/>
      <c r="D360" s="268"/>
      <c r="E360" s="289"/>
      <c r="F360" s="289"/>
      <c r="G360" s="254"/>
      <c r="K360" s="1706"/>
      <c r="L360" s="1706"/>
      <c r="M360" s="255"/>
      <c r="N360" s="255"/>
      <c r="O360" s="255"/>
      <c r="P360" s="255"/>
      <c r="Q360" s="255"/>
    </row>
    <row r="361" spans="1:17">
      <c r="A361" s="299"/>
      <c r="B361" s="288"/>
      <c r="C361" s="249"/>
      <c r="D361" s="268"/>
      <c r="E361" s="289"/>
      <c r="F361" s="289"/>
      <c r="G361" s="254"/>
      <c r="K361" s="1706"/>
      <c r="L361" s="1706"/>
      <c r="M361" s="255"/>
      <c r="N361" s="255"/>
      <c r="O361" s="255"/>
      <c r="P361" s="255"/>
      <c r="Q361" s="255"/>
    </row>
    <row r="362" spans="1:17">
      <c r="B362" s="290"/>
      <c r="D362" s="268"/>
      <c r="E362" s="289"/>
      <c r="F362" s="291"/>
      <c r="G362" s="254"/>
      <c r="K362" s="1706"/>
      <c r="L362" s="1706"/>
      <c r="M362" s="255"/>
      <c r="N362" s="255"/>
      <c r="O362" s="255"/>
      <c r="P362" s="255"/>
      <c r="Q362" s="255"/>
    </row>
    <row r="363" spans="1:17" s="284" customFormat="1">
      <c r="A363" s="292"/>
      <c r="B363" s="293"/>
      <c r="C363" s="303"/>
      <c r="D363" s="304"/>
      <c r="E363" s="305"/>
      <c r="F363" s="280"/>
      <c r="G363" s="298"/>
      <c r="H363" s="298"/>
      <c r="I363" s="298"/>
      <c r="J363" s="298"/>
    </row>
    <row r="364" spans="1:17">
      <c r="B364" s="288"/>
      <c r="C364" s="249"/>
      <c r="D364" s="268"/>
      <c r="E364" s="289"/>
      <c r="F364" s="289"/>
    </row>
    <row r="365" spans="1:17">
      <c r="B365" s="288"/>
      <c r="C365" s="249"/>
      <c r="D365" s="268"/>
      <c r="E365" s="289"/>
      <c r="F365" s="289"/>
    </row>
    <row r="366" spans="1:17">
      <c r="B366" s="288"/>
      <c r="C366" s="249"/>
      <c r="D366" s="268"/>
      <c r="E366" s="289"/>
      <c r="F366" s="289"/>
    </row>
    <row r="367" spans="1:17">
      <c r="B367" s="288"/>
      <c r="C367" s="249"/>
      <c r="D367" s="268"/>
      <c r="E367" s="289"/>
      <c r="F367" s="289"/>
    </row>
    <row r="368" spans="1:17">
      <c r="B368" s="290"/>
      <c r="D368" s="268"/>
      <c r="E368" s="289"/>
      <c r="F368" s="291"/>
      <c r="G368" s="254"/>
      <c r="K368" s="1706"/>
      <c r="L368" s="1706"/>
      <c r="M368" s="255"/>
      <c r="N368" s="255"/>
      <c r="O368" s="255"/>
      <c r="P368" s="255"/>
      <c r="Q368" s="255"/>
    </row>
    <row r="369" spans="1:11">
      <c r="A369" s="306"/>
      <c r="B369" s="307"/>
      <c r="C369" s="307"/>
      <c r="D369" s="307"/>
      <c r="E369" s="307"/>
      <c r="F369" s="291"/>
      <c r="J369" s="247"/>
    </row>
    <row r="370" spans="1:11">
      <c r="A370" s="247"/>
      <c r="D370" s="73"/>
      <c r="J370" s="247"/>
    </row>
    <row r="371" spans="1:11">
      <c r="A371" s="308"/>
      <c r="B371" s="307"/>
      <c r="C371" s="307"/>
      <c r="D371" s="307"/>
      <c r="E371" s="307"/>
      <c r="F371" s="291"/>
      <c r="J371" s="247"/>
    </row>
    <row r="372" spans="1:11">
      <c r="A372" s="308"/>
      <c r="B372" s="307"/>
      <c r="C372" s="307"/>
      <c r="D372" s="307"/>
      <c r="E372" s="307"/>
      <c r="F372" s="291"/>
      <c r="J372" s="247"/>
    </row>
    <row r="373" spans="1:11">
      <c r="A373" s="283"/>
      <c r="B373" s="307"/>
      <c r="C373" s="307"/>
      <c r="D373" s="307"/>
      <c r="E373" s="307"/>
      <c r="F373" s="291"/>
      <c r="J373" s="247"/>
    </row>
    <row r="374" spans="1:11">
      <c r="A374" s="308"/>
      <c r="B374" s="307"/>
      <c r="C374" s="307"/>
      <c r="D374" s="307"/>
      <c r="E374" s="307"/>
      <c r="F374" s="291"/>
    </row>
    <row r="375" spans="1:11">
      <c r="A375" s="308"/>
      <c r="D375" s="276"/>
      <c r="E375" s="309"/>
      <c r="G375" s="1893"/>
      <c r="I375" s="276"/>
      <c r="J375" s="276"/>
    </row>
    <row r="376" spans="1:11">
      <c r="A376" s="283"/>
      <c r="D376" s="310"/>
      <c r="E376" s="311"/>
      <c r="G376" s="1893"/>
      <c r="I376" s="276"/>
      <c r="J376" s="276"/>
    </row>
    <row r="377" spans="1:11">
      <c r="A377" s="283"/>
      <c r="B377" s="285"/>
      <c r="D377" s="249"/>
      <c r="E377" s="311"/>
      <c r="G377" s="273"/>
      <c r="I377" s="276"/>
      <c r="J377" s="276"/>
    </row>
    <row r="378" spans="1:11">
      <c r="A378" s="283"/>
      <c r="D378" s="312"/>
      <c r="E378" s="309"/>
      <c r="G378" s="273"/>
      <c r="I378" s="276"/>
      <c r="J378" s="276"/>
    </row>
    <row r="379" spans="1:11">
      <c r="A379" s="283"/>
      <c r="D379" s="312"/>
      <c r="E379" s="311"/>
      <c r="G379" s="1894"/>
      <c r="I379" s="313"/>
      <c r="J379" s="314"/>
    </row>
    <row r="380" spans="1:11">
      <c r="A380" s="308"/>
      <c r="D380" s="315"/>
      <c r="E380" s="311"/>
      <c r="G380" s="273"/>
      <c r="I380" s="273"/>
      <c r="J380" s="279"/>
    </row>
    <row r="381" spans="1:11">
      <c r="A381" s="308"/>
      <c r="D381" s="276"/>
      <c r="E381" s="311"/>
      <c r="K381" s="255"/>
    </row>
    <row r="382" spans="1:11">
      <c r="A382" s="283"/>
      <c r="B382" s="316"/>
      <c r="D382" s="310"/>
      <c r="E382" s="311"/>
      <c r="K382" s="255"/>
    </row>
    <row r="383" spans="1:11">
      <c r="A383" s="283"/>
      <c r="B383" s="267"/>
      <c r="D383" s="312"/>
      <c r="E383" s="309"/>
      <c r="K383" s="255"/>
    </row>
    <row r="384" spans="1:11">
      <c r="A384" s="283"/>
      <c r="B384" s="267"/>
      <c r="D384" s="312"/>
      <c r="E384" s="309"/>
      <c r="K384" s="255"/>
    </row>
    <row r="385" spans="1:11">
      <c r="A385" s="283"/>
      <c r="B385" s="267"/>
      <c r="D385" s="276"/>
      <c r="E385" s="309"/>
      <c r="G385" s="1895"/>
      <c r="K385" s="255"/>
    </row>
    <row r="386" spans="1:11">
      <c r="A386" s="283"/>
      <c r="B386" s="267"/>
      <c r="D386" s="276"/>
      <c r="E386" s="309"/>
      <c r="G386" s="1895"/>
      <c r="K386" s="255"/>
    </row>
    <row r="387" spans="1:11">
      <c r="A387" s="283"/>
      <c r="D387" s="312"/>
      <c r="E387" s="309"/>
      <c r="K387" s="255"/>
    </row>
    <row r="388" spans="1:11">
      <c r="A388" s="283"/>
      <c r="B388" s="255"/>
      <c r="D388" s="249"/>
      <c r="E388" s="311"/>
      <c r="K388" s="255"/>
    </row>
    <row r="389" spans="1:11">
      <c r="A389" s="283"/>
      <c r="B389" s="298"/>
      <c r="D389" s="253"/>
      <c r="E389" s="311"/>
      <c r="K389" s="255"/>
    </row>
    <row r="390" spans="1:11">
      <c r="A390" s="283"/>
      <c r="B390" s="298"/>
      <c r="D390" s="253"/>
      <c r="E390" s="311"/>
      <c r="K390" s="255"/>
    </row>
    <row r="391" spans="1:11">
      <c r="A391" s="283"/>
      <c r="B391" s="298"/>
      <c r="D391" s="253"/>
      <c r="E391" s="311"/>
      <c r="K391" s="255"/>
    </row>
    <row r="392" spans="1:11">
      <c r="A392" s="283"/>
      <c r="B392" s="255"/>
      <c r="D392" s="249"/>
      <c r="K392" s="255"/>
    </row>
    <row r="393" spans="1:11">
      <c r="A393" s="283"/>
      <c r="K393" s="255"/>
    </row>
    <row r="394" spans="1:11">
      <c r="A394" s="283"/>
      <c r="E394" s="311"/>
      <c r="K394" s="255"/>
    </row>
    <row r="395" spans="1:11">
      <c r="A395" s="283"/>
      <c r="B395" s="294"/>
      <c r="D395" s="318"/>
      <c r="E395" s="289"/>
    </row>
    <row r="396" spans="1:11">
      <c r="A396" s="283"/>
      <c r="B396" s="294"/>
      <c r="D396" s="318"/>
      <c r="E396" s="319"/>
      <c r="F396" s="291"/>
      <c r="G396" s="1896"/>
    </row>
    <row r="397" spans="1:11">
      <c r="A397" s="283"/>
      <c r="B397" s="294"/>
      <c r="D397" s="318"/>
      <c r="E397" s="319"/>
      <c r="F397" s="319"/>
    </row>
    <row r="398" spans="1:11">
      <c r="A398" s="283"/>
      <c r="B398" s="294"/>
      <c r="D398" s="318"/>
      <c r="E398" s="319"/>
      <c r="F398" s="319"/>
    </row>
    <row r="399" spans="1:11">
      <c r="A399" s="283"/>
      <c r="B399" s="294"/>
      <c r="D399" s="318"/>
      <c r="E399" s="319"/>
      <c r="F399" s="319"/>
    </row>
    <row r="400" spans="1:11">
      <c r="A400" s="283"/>
      <c r="B400" s="294"/>
      <c r="D400" s="318"/>
      <c r="E400" s="319"/>
      <c r="F400" s="319"/>
    </row>
    <row r="401" spans="1:10">
      <c r="A401" s="283"/>
      <c r="B401" s="294"/>
      <c r="D401" s="318"/>
      <c r="E401" s="319"/>
      <c r="F401" s="319"/>
    </row>
    <row r="402" spans="1:10">
      <c r="A402" s="283"/>
      <c r="B402" s="294"/>
      <c r="D402" s="318"/>
      <c r="E402" s="319"/>
      <c r="F402" s="319"/>
    </row>
    <row r="403" spans="1:10">
      <c r="A403" s="283"/>
      <c r="B403" s="294"/>
      <c r="D403" s="318"/>
      <c r="E403" s="319"/>
      <c r="F403" s="319"/>
      <c r="G403" s="247"/>
      <c r="H403" s="247"/>
      <c r="I403" s="247"/>
      <c r="J403" s="247"/>
    </row>
    <row r="404" spans="1:10">
      <c r="B404" s="294"/>
      <c r="D404" s="318"/>
      <c r="E404" s="319"/>
      <c r="F404" s="319"/>
      <c r="G404" s="247"/>
      <c r="H404" s="247"/>
      <c r="I404" s="247"/>
      <c r="J404" s="247"/>
    </row>
    <row r="405" spans="1:10">
      <c r="B405" s="294"/>
      <c r="D405" s="318"/>
      <c r="E405" s="319"/>
      <c r="F405" s="319"/>
      <c r="G405" s="247"/>
      <c r="H405" s="247"/>
      <c r="I405" s="247"/>
      <c r="J405" s="247"/>
    </row>
    <row r="406" spans="1:10">
      <c r="B406" s="294"/>
      <c r="D406" s="318"/>
      <c r="E406" s="319"/>
      <c r="F406" s="319"/>
      <c r="G406" s="247"/>
      <c r="H406" s="247"/>
      <c r="I406" s="247"/>
      <c r="J406" s="247"/>
    </row>
    <row r="407" spans="1:10">
      <c r="B407" s="294"/>
      <c r="D407" s="318"/>
      <c r="E407" s="319"/>
      <c r="F407" s="319"/>
      <c r="G407" s="247"/>
      <c r="H407" s="247"/>
      <c r="I407" s="247"/>
      <c r="J407" s="247"/>
    </row>
    <row r="408" spans="1:10">
      <c r="B408" s="294"/>
      <c r="D408" s="318"/>
      <c r="E408" s="319"/>
      <c r="F408" s="319"/>
      <c r="G408" s="247"/>
      <c r="H408" s="247"/>
      <c r="I408" s="247"/>
      <c r="J408" s="247"/>
    </row>
    <row r="409" spans="1:10">
      <c r="B409" s="294"/>
      <c r="D409" s="318"/>
      <c r="E409" s="319"/>
      <c r="F409" s="319"/>
      <c r="G409" s="247"/>
      <c r="H409" s="247"/>
      <c r="I409" s="247"/>
      <c r="J409" s="247"/>
    </row>
    <row r="410" spans="1:10">
      <c r="B410" s="294"/>
      <c r="D410" s="318"/>
      <c r="E410" s="319"/>
      <c r="F410" s="319"/>
      <c r="G410" s="247"/>
      <c r="H410" s="247"/>
      <c r="I410" s="247"/>
      <c r="J410" s="247"/>
    </row>
    <row r="411" spans="1:10">
      <c r="B411" s="294"/>
      <c r="D411" s="318"/>
      <c r="E411" s="319"/>
      <c r="F411" s="319"/>
      <c r="G411" s="247"/>
      <c r="H411" s="247"/>
      <c r="I411" s="247"/>
      <c r="J411" s="247"/>
    </row>
    <row r="412" spans="1:10">
      <c r="B412" s="294"/>
      <c r="D412" s="318"/>
      <c r="E412" s="319"/>
      <c r="F412" s="319"/>
      <c r="G412" s="247"/>
      <c r="H412" s="247"/>
      <c r="I412" s="247"/>
      <c r="J412" s="247"/>
    </row>
    <row r="413" spans="1:10">
      <c r="B413" s="294"/>
      <c r="D413" s="318"/>
      <c r="E413" s="319"/>
      <c r="F413" s="319"/>
      <c r="G413" s="247"/>
      <c r="H413" s="247"/>
      <c r="I413" s="247"/>
      <c r="J413" s="247"/>
    </row>
    <row r="414" spans="1:10">
      <c r="B414" s="294"/>
      <c r="D414" s="318"/>
      <c r="E414" s="319"/>
      <c r="F414" s="319"/>
      <c r="G414" s="247"/>
      <c r="H414" s="247"/>
      <c r="I414" s="247"/>
      <c r="J414" s="247"/>
    </row>
    <row r="415" spans="1:10">
      <c r="B415" s="294"/>
      <c r="D415" s="318"/>
      <c r="E415" s="319"/>
      <c r="F415" s="319"/>
      <c r="G415" s="247"/>
      <c r="H415" s="247"/>
      <c r="I415" s="247"/>
      <c r="J415" s="247"/>
    </row>
    <row r="416" spans="1:10">
      <c r="B416" s="294"/>
      <c r="D416" s="318"/>
      <c r="E416" s="319"/>
      <c r="F416" s="319"/>
      <c r="G416" s="247"/>
      <c r="H416" s="247"/>
      <c r="I416" s="247"/>
      <c r="J416" s="247"/>
    </row>
    <row r="417" spans="1:10">
      <c r="B417" s="294"/>
      <c r="G417" s="247"/>
      <c r="H417" s="247"/>
      <c r="I417" s="247"/>
      <c r="J417" s="247"/>
    </row>
    <row r="418" spans="1:10">
      <c r="B418" s="294"/>
      <c r="G418" s="247"/>
      <c r="H418" s="247"/>
      <c r="I418" s="247"/>
      <c r="J418" s="247"/>
    </row>
    <row r="419" spans="1:10">
      <c r="A419" s="247"/>
      <c r="B419" s="294"/>
      <c r="C419" s="247"/>
      <c r="D419" s="247"/>
      <c r="E419" s="247"/>
      <c r="F419" s="247"/>
      <c r="G419" s="247"/>
      <c r="H419" s="247"/>
      <c r="I419" s="247"/>
      <c r="J419" s="247"/>
    </row>
    <row r="420" spans="1:10">
      <c r="A420" s="247"/>
      <c r="B420" s="294"/>
      <c r="C420" s="247"/>
      <c r="D420" s="247"/>
      <c r="E420" s="247"/>
      <c r="F420" s="247"/>
      <c r="G420" s="247"/>
      <c r="H420" s="247"/>
      <c r="I420" s="247"/>
      <c r="J420" s="247"/>
    </row>
    <row r="421" spans="1:10">
      <c r="A421" s="247"/>
      <c r="B421" s="294"/>
      <c r="C421" s="247"/>
      <c r="D421" s="247"/>
      <c r="E421" s="247"/>
      <c r="F421" s="247"/>
      <c r="G421" s="247"/>
      <c r="H421" s="247"/>
      <c r="I421" s="247"/>
      <c r="J421" s="247"/>
    </row>
    <row r="422" spans="1:10">
      <c r="A422" s="247"/>
      <c r="B422" s="294"/>
      <c r="C422" s="247"/>
      <c r="D422" s="247"/>
      <c r="E422" s="247"/>
      <c r="F422" s="247"/>
      <c r="G422" s="247"/>
      <c r="H422" s="247"/>
      <c r="I422" s="247"/>
      <c r="J422" s="247"/>
    </row>
    <row r="423" spans="1:10">
      <c r="A423" s="247"/>
      <c r="B423" s="294"/>
      <c r="C423" s="247"/>
      <c r="D423" s="247"/>
      <c r="E423" s="247"/>
      <c r="F423" s="247"/>
      <c r="G423" s="247"/>
      <c r="H423" s="247"/>
      <c r="I423" s="247"/>
      <c r="J423" s="247"/>
    </row>
    <row r="424" spans="1:10">
      <c r="A424" s="247"/>
      <c r="B424" s="294"/>
      <c r="C424" s="247"/>
      <c r="D424" s="247"/>
      <c r="E424" s="247"/>
      <c r="F424" s="247"/>
      <c r="G424" s="247"/>
      <c r="H424" s="247"/>
      <c r="I424" s="247"/>
      <c r="J424" s="247"/>
    </row>
    <row r="425" spans="1:10">
      <c r="A425" s="247"/>
      <c r="B425" s="294"/>
      <c r="C425" s="247"/>
      <c r="D425" s="247"/>
      <c r="E425" s="247"/>
      <c r="F425" s="247"/>
      <c r="G425" s="247"/>
      <c r="H425" s="247"/>
      <c r="I425" s="247"/>
      <c r="J425" s="247"/>
    </row>
    <row r="426" spans="1:10">
      <c r="A426" s="247"/>
      <c r="B426" s="294"/>
      <c r="C426" s="247"/>
      <c r="D426" s="247"/>
      <c r="E426" s="247"/>
      <c r="F426" s="247"/>
      <c r="G426" s="247"/>
      <c r="H426" s="247"/>
      <c r="I426" s="247"/>
      <c r="J426" s="247"/>
    </row>
    <row r="427" spans="1:10">
      <c r="A427" s="247"/>
      <c r="B427" s="294"/>
      <c r="C427" s="247"/>
      <c r="D427" s="247"/>
      <c r="E427" s="247"/>
      <c r="F427" s="247"/>
      <c r="G427" s="247"/>
      <c r="H427" s="247"/>
      <c r="I427" s="247"/>
      <c r="J427" s="247"/>
    </row>
    <row r="428" spans="1:10">
      <c r="A428" s="247"/>
      <c r="B428" s="294"/>
      <c r="C428" s="247"/>
      <c r="D428" s="247"/>
      <c r="E428" s="247"/>
      <c r="F428" s="247"/>
      <c r="G428" s="247"/>
      <c r="H428" s="247"/>
      <c r="I428" s="247"/>
      <c r="J428" s="247"/>
    </row>
    <row r="429" spans="1:10">
      <c r="A429" s="247"/>
      <c r="B429" s="294"/>
      <c r="C429" s="247"/>
      <c r="D429" s="247"/>
      <c r="E429" s="247"/>
      <c r="F429" s="247"/>
      <c r="G429" s="247"/>
      <c r="H429" s="247"/>
      <c r="I429" s="247"/>
      <c r="J429" s="247"/>
    </row>
    <row r="430" spans="1:10">
      <c r="A430" s="247"/>
      <c r="B430" s="294"/>
      <c r="C430" s="247"/>
      <c r="D430" s="247"/>
      <c r="E430" s="247"/>
      <c r="F430" s="247"/>
      <c r="G430" s="247"/>
      <c r="H430" s="247"/>
      <c r="I430" s="247"/>
      <c r="J430" s="247"/>
    </row>
    <row r="431" spans="1:10">
      <c r="A431" s="247"/>
      <c r="B431" s="294"/>
      <c r="C431" s="247"/>
      <c r="D431" s="247"/>
      <c r="E431" s="247"/>
      <c r="F431" s="247"/>
      <c r="G431" s="247"/>
      <c r="H431" s="247"/>
      <c r="I431" s="247"/>
      <c r="J431" s="247"/>
    </row>
    <row r="432" spans="1:10">
      <c r="A432" s="247"/>
      <c r="B432" s="294"/>
      <c r="C432" s="247"/>
      <c r="D432" s="247"/>
      <c r="E432" s="247"/>
      <c r="F432" s="247"/>
      <c r="G432" s="247"/>
      <c r="H432" s="247"/>
      <c r="I432" s="247"/>
      <c r="J432" s="247"/>
    </row>
    <row r="433" spans="2:2" s="247" customFormat="1">
      <c r="B433" s="294"/>
    </row>
    <row r="434" spans="2:2" s="247" customFormat="1">
      <c r="B434" s="294"/>
    </row>
    <row r="435" spans="2:2" s="247" customFormat="1">
      <c r="B435" s="294"/>
    </row>
    <row r="436" spans="2:2" s="247" customFormat="1">
      <c r="B436" s="294"/>
    </row>
    <row r="437" spans="2:2" s="247" customFormat="1">
      <c r="B437" s="294"/>
    </row>
    <row r="438" spans="2:2" s="247" customFormat="1">
      <c r="B438" s="294"/>
    </row>
    <row r="439" spans="2:2" s="247" customFormat="1">
      <c r="B439" s="294"/>
    </row>
    <row r="440" spans="2:2" s="247" customFormat="1">
      <c r="B440" s="294"/>
    </row>
    <row r="441" spans="2:2" s="247" customFormat="1">
      <c r="B441" s="294"/>
    </row>
    <row r="442" spans="2:2" s="247" customFormat="1">
      <c r="B442" s="294"/>
    </row>
    <row r="443" spans="2:2" s="247" customFormat="1">
      <c r="B443" s="294"/>
    </row>
    <row r="444" spans="2:2" s="247" customFormat="1">
      <c r="B444" s="294"/>
    </row>
    <row r="445" spans="2:2" s="247" customFormat="1">
      <c r="B445" s="294"/>
    </row>
    <row r="446" spans="2:2" s="247" customFormat="1">
      <c r="B446" s="294"/>
    </row>
    <row r="447" spans="2:2" s="247" customFormat="1">
      <c r="B447" s="294"/>
    </row>
    <row r="448" spans="2:2" s="247" customFormat="1">
      <c r="B448" s="294"/>
    </row>
    <row r="449" spans="2:2" s="247" customFormat="1">
      <c r="B449" s="294"/>
    </row>
    <row r="450" spans="2:2" s="247" customFormat="1">
      <c r="B450" s="294"/>
    </row>
    <row r="451" spans="2:2" s="247" customFormat="1">
      <c r="B451" s="294"/>
    </row>
    <row r="452" spans="2:2" s="247" customFormat="1">
      <c r="B452" s="294"/>
    </row>
    <row r="453" spans="2:2" s="247" customFormat="1">
      <c r="B453" s="294"/>
    </row>
    <row r="454" spans="2:2" s="247" customFormat="1">
      <c r="B454" s="294"/>
    </row>
    <row r="455" spans="2:2" s="247" customFormat="1">
      <c r="B455" s="294"/>
    </row>
    <row r="456" spans="2:2" s="247" customFormat="1">
      <c r="B456" s="294"/>
    </row>
    <row r="457" spans="2:2" s="247" customFormat="1">
      <c r="B457" s="294"/>
    </row>
    <row r="458" spans="2:2" s="247" customFormat="1">
      <c r="B458" s="294"/>
    </row>
    <row r="459" spans="2:2" s="247" customFormat="1">
      <c r="B459" s="294"/>
    </row>
    <row r="460" spans="2:2" s="247" customFormat="1">
      <c r="B460" s="294"/>
    </row>
    <row r="461" spans="2:2" s="247" customFormat="1">
      <c r="B461" s="294"/>
    </row>
    <row r="462" spans="2:2" s="247" customFormat="1">
      <c r="B462" s="294"/>
    </row>
    <row r="463" spans="2:2" s="247" customFormat="1">
      <c r="B463" s="294"/>
    </row>
    <row r="464" spans="2:2" s="247" customFormat="1">
      <c r="B464" s="294"/>
    </row>
    <row r="465" spans="2:2" s="247" customFormat="1">
      <c r="B465" s="294"/>
    </row>
    <row r="466" spans="2:2" s="247" customFormat="1">
      <c r="B466" s="294"/>
    </row>
    <row r="467" spans="2:2" s="247" customFormat="1">
      <c r="B467" s="294"/>
    </row>
    <row r="468" spans="2:2" s="247" customFormat="1">
      <c r="B468" s="294"/>
    </row>
    <row r="469" spans="2:2" s="247" customFormat="1">
      <c r="B469" s="294"/>
    </row>
    <row r="470" spans="2:2" s="247" customFormat="1">
      <c r="B470" s="294"/>
    </row>
    <row r="471" spans="2:2" s="247" customFormat="1">
      <c r="B471" s="294"/>
    </row>
    <row r="472" spans="2:2" s="247" customFormat="1">
      <c r="B472" s="294"/>
    </row>
    <row r="473" spans="2:2" s="247" customFormat="1">
      <c r="B473" s="294"/>
    </row>
    <row r="474" spans="2:2" s="247" customFormat="1">
      <c r="B474" s="294"/>
    </row>
    <row r="475" spans="2:2" s="247" customFormat="1">
      <c r="B475" s="294"/>
    </row>
    <row r="476" spans="2:2" s="247" customFormat="1">
      <c r="B476" s="294"/>
    </row>
    <row r="477" spans="2:2" s="247" customFormat="1">
      <c r="B477" s="294"/>
    </row>
    <row r="478" spans="2:2" s="247" customFormat="1">
      <c r="B478" s="294"/>
    </row>
    <row r="479" spans="2:2" s="247" customFormat="1">
      <c r="B479" s="294"/>
    </row>
    <row r="480" spans="2:2" s="247" customFormat="1">
      <c r="B480" s="294"/>
    </row>
    <row r="481" spans="2:2" s="247" customFormat="1">
      <c r="B481" s="294"/>
    </row>
    <row r="482" spans="2:2" s="247" customFormat="1">
      <c r="B482" s="294"/>
    </row>
    <row r="483" spans="2:2" s="247" customFormat="1">
      <c r="B483" s="294"/>
    </row>
    <row r="484" spans="2:2" s="247" customFormat="1">
      <c r="B484" s="294"/>
    </row>
    <row r="485" spans="2:2" s="247" customFormat="1">
      <c r="B485" s="294"/>
    </row>
    <row r="486" spans="2:2" s="247" customFormat="1">
      <c r="B486" s="294"/>
    </row>
    <row r="487" spans="2:2" s="247" customFormat="1">
      <c r="B487" s="294"/>
    </row>
    <row r="488" spans="2:2" s="247" customFormat="1">
      <c r="B488" s="294"/>
    </row>
    <row r="489" spans="2:2" s="247" customFormat="1">
      <c r="B489" s="294"/>
    </row>
    <row r="490" spans="2:2" s="247" customFormat="1">
      <c r="B490" s="294"/>
    </row>
    <row r="491" spans="2:2" s="247" customFormat="1">
      <c r="B491" s="294"/>
    </row>
    <row r="492" spans="2:2" s="247" customFormat="1">
      <c r="B492" s="294"/>
    </row>
    <row r="493" spans="2:2" s="247" customFormat="1">
      <c r="B493" s="294"/>
    </row>
    <row r="494" spans="2:2" s="247" customFormat="1">
      <c r="B494" s="294"/>
    </row>
    <row r="495" spans="2:2" s="247" customFormat="1">
      <c r="B495" s="294"/>
    </row>
    <row r="496" spans="2:2" s="247" customFormat="1">
      <c r="B496" s="294"/>
    </row>
    <row r="497" spans="2:2" s="247" customFormat="1">
      <c r="B497" s="294"/>
    </row>
    <row r="498" spans="2:2" s="247" customFormat="1">
      <c r="B498" s="294"/>
    </row>
    <row r="499" spans="2:2" s="247" customFormat="1">
      <c r="B499" s="294"/>
    </row>
    <row r="500" spans="2:2" s="247" customFormat="1">
      <c r="B500" s="294"/>
    </row>
    <row r="501" spans="2:2" s="247" customFormat="1">
      <c r="B501" s="294"/>
    </row>
    <row r="502" spans="2:2" s="247" customFormat="1">
      <c r="B502" s="294"/>
    </row>
    <row r="503" spans="2:2" s="247" customFormat="1">
      <c r="B503" s="294"/>
    </row>
    <row r="504" spans="2:2" s="247" customFormat="1">
      <c r="B504" s="294"/>
    </row>
    <row r="505" spans="2:2" s="247" customFormat="1">
      <c r="B505" s="294"/>
    </row>
    <row r="506" spans="2:2" s="247" customFormat="1">
      <c r="B506" s="294"/>
    </row>
    <row r="507" spans="2:2" s="247" customFormat="1">
      <c r="B507" s="294"/>
    </row>
    <row r="508" spans="2:2" s="247" customFormat="1">
      <c r="B508" s="294"/>
    </row>
    <row r="509" spans="2:2" s="247" customFormat="1">
      <c r="B509" s="294"/>
    </row>
    <row r="510" spans="2:2" s="247" customFormat="1">
      <c r="B510" s="294"/>
    </row>
    <row r="511" spans="2:2" s="247" customFormat="1">
      <c r="B511" s="294"/>
    </row>
    <row r="512" spans="2:2" s="247" customFormat="1">
      <c r="B512" s="294"/>
    </row>
    <row r="513" spans="2:2" s="247" customFormat="1">
      <c r="B513" s="294"/>
    </row>
    <row r="514" spans="2:2" s="247" customFormat="1">
      <c r="B514" s="294"/>
    </row>
    <row r="515" spans="2:2" s="247" customFormat="1">
      <c r="B515" s="294"/>
    </row>
    <row r="516" spans="2:2" s="247" customFormat="1">
      <c r="B516" s="294"/>
    </row>
    <row r="517" spans="2:2" s="247" customFormat="1">
      <c r="B517" s="294"/>
    </row>
    <row r="518" spans="2:2" s="247" customFormat="1">
      <c r="B518" s="294"/>
    </row>
    <row r="519" spans="2:2" s="247" customFormat="1">
      <c r="B519" s="294"/>
    </row>
    <row r="520" spans="2:2" s="247" customFormat="1">
      <c r="B520" s="294"/>
    </row>
    <row r="521" spans="2:2" s="247" customFormat="1">
      <c r="B521" s="294"/>
    </row>
    <row r="522" spans="2:2" s="247" customFormat="1">
      <c r="B522" s="294"/>
    </row>
    <row r="523" spans="2:2" s="247" customFormat="1">
      <c r="B523" s="294"/>
    </row>
    <row r="524" spans="2:2" s="247" customFormat="1">
      <c r="B524" s="294"/>
    </row>
    <row r="525" spans="2:2" s="247" customFormat="1">
      <c r="B525" s="294"/>
    </row>
    <row r="526" spans="2:2" s="247" customFormat="1">
      <c r="B526" s="294"/>
    </row>
    <row r="527" spans="2:2" s="247" customFormat="1">
      <c r="B527" s="294"/>
    </row>
    <row r="528" spans="2:2" s="247" customFormat="1">
      <c r="B528" s="294"/>
    </row>
    <row r="529" spans="2:2" s="247" customFormat="1">
      <c r="B529" s="294"/>
    </row>
    <row r="530" spans="2:2" s="247" customFormat="1">
      <c r="B530" s="294"/>
    </row>
    <row r="531" spans="2:2" s="247" customFormat="1">
      <c r="B531" s="294"/>
    </row>
    <row r="532" spans="2:2" s="247" customFormat="1">
      <c r="B532" s="294"/>
    </row>
    <row r="533" spans="2:2" s="247" customFormat="1">
      <c r="B533" s="294"/>
    </row>
    <row r="534" spans="2:2" s="247" customFormat="1">
      <c r="B534" s="294"/>
    </row>
    <row r="535" spans="2:2" s="247" customFormat="1">
      <c r="B535" s="294"/>
    </row>
    <row r="536" spans="2:2" s="247" customFormat="1">
      <c r="B536" s="294"/>
    </row>
    <row r="537" spans="2:2" s="247" customFormat="1">
      <c r="B537" s="294"/>
    </row>
    <row r="538" spans="2:2" s="247" customFormat="1">
      <c r="B538" s="294"/>
    </row>
    <row r="539" spans="2:2" s="247" customFormat="1">
      <c r="B539" s="294"/>
    </row>
    <row r="540" spans="2:2" s="247" customFormat="1">
      <c r="B540" s="294"/>
    </row>
    <row r="541" spans="2:2" s="247" customFormat="1">
      <c r="B541" s="294"/>
    </row>
    <row r="542" spans="2:2" s="247" customFormat="1">
      <c r="B542" s="294"/>
    </row>
    <row r="543" spans="2:2" s="247" customFormat="1">
      <c r="B543" s="294"/>
    </row>
    <row r="544" spans="2:2" s="247" customFormat="1">
      <c r="B544" s="294"/>
    </row>
    <row r="545" spans="2:2" s="247" customFormat="1">
      <c r="B545" s="294"/>
    </row>
    <row r="546" spans="2:2" s="247" customFormat="1">
      <c r="B546" s="294"/>
    </row>
    <row r="547" spans="2:2" s="247" customFormat="1">
      <c r="B547" s="294"/>
    </row>
    <row r="548" spans="2:2" s="247" customFormat="1">
      <c r="B548" s="294"/>
    </row>
    <row r="549" spans="2:2" s="247" customFormat="1">
      <c r="B549" s="294"/>
    </row>
    <row r="550" spans="2:2" s="247" customFormat="1">
      <c r="B550" s="294"/>
    </row>
    <row r="551" spans="2:2" s="247" customFormat="1">
      <c r="B551" s="294"/>
    </row>
    <row r="552" spans="2:2" s="247" customFormat="1">
      <c r="B552" s="294"/>
    </row>
    <row r="553" spans="2:2" s="247" customFormat="1">
      <c r="B553" s="294"/>
    </row>
    <row r="554" spans="2:2" s="247" customFormat="1">
      <c r="B554" s="294"/>
    </row>
    <row r="555" spans="2:2" s="247" customFormat="1">
      <c r="B555" s="294"/>
    </row>
    <row r="556" spans="2:2" s="247" customFormat="1">
      <c r="B556" s="294"/>
    </row>
    <row r="557" spans="2:2" s="247" customFormat="1">
      <c r="B557" s="294"/>
    </row>
    <row r="558" spans="2:2" s="247" customFormat="1">
      <c r="B558" s="294"/>
    </row>
    <row r="559" spans="2:2" s="247" customFormat="1">
      <c r="B559" s="294"/>
    </row>
    <row r="560" spans="2:2" s="247" customFormat="1">
      <c r="B560" s="294"/>
    </row>
    <row r="561" spans="2:2" s="247" customFormat="1">
      <c r="B561" s="294"/>
    </row>
    <row r="562" spans="2:2" s="247" customFormat="1">
      <c r="B562" s="294"/>
    </row>
    <row r="563" spans="2:2" s="247" customFormat="1">
      <c r="B563" s="294"/>
    </row>
    <row r="564" spans="2:2" s="247" customFormat="1">
      <c r="B564" s="294"/>
    </row>
    <row r="565" spans="2:2" s="247" customFormat="1">
      <c r="B565" s="294"/>
    </row>
    <row r="566" spans="2:2" s="247" customFormat="1">
      <c r="B566" s="294"/>
    </row>
    <row r="567" spans="2:2" s="247" customFormat="1">
      <c r="B567" s="294"/>
    </row>
    <row r="568" spans="2:2" s="247" customFormat="1">
      <c r="B568" s="294"/>
    </row>
    <row r="569" spans="2:2" s="247" customFormat="1">
      <c r="B569" s="294"/>
    </row>
    <row r="570" spans="2:2" s="247" customFormat="1">
      <c r="B570" s="294"/>
    </row>
    <row r="571" spans="2:2" s="247" customFormat="1">
      <c r="B571" s="294"/>
    </row>
    <row r="572" spans="2:2" s="247" customFormat="1">
      <c r="B572" s="294"/>
    </row>
    <row r="573" spans="2:2" s="247" customFormat="1">
      <c r="B573" s="294"/>
    </row>
    <row r="574" spans="2:2" s="247" customFormat="1">
      <c r="B574" s="294"/>
    </row>
    <row r="575" spans="2:2" s="247" customFormat="1">
      <c r="B575" s="294"/>
    </row>
    <row r="576" spans="2:2" s="247" customFormat="1">
      <c r="B576" s="294"/>
    </row>
    <row r="577" spans="2:2" s="247" customFormat="1">
      <c r="B577" s="294"/>
    </row>
    <row r="578" spans="2:2" s="247" customFormat="1">
      <c r="B578" s="294"/>
    </row>
    <row r="579" spans="2:2" s="247" customFormat="1">
      <c r="B579" s="294"/>
    </row>
    <row r="580" spans="2:2" s="247" customFormat="1">
      <c r="B580" s="294"/>
    </row>
    <row r="581" spans="2:2" s="247" customFormat="1">
      <c r="B581" s="294"/>
    </row>
    <row r="582" spans="2:2" s="247" customFormat="1">
      <c r="B582" s="294"/>
    </row>
    <row r="583" spans="2:2" s="247" customFormat="1">
      <c r="B583" s="294"/>
    </row>
    <row r="584" spans="2:2" s="247" customFormat="1">
      <c r="B584" s="294"/>
    </row>
    <row r="585" spans="2:2" s="247" customFormat="1">
      <c r="B585" s="294"/>
    </row>
    <row r="586" spans="2:2" s="247" customFormat="1">
      <c r="B586" s="294"/>
    </row>
    <row r="587" spans="2:2" s="247" customFormat="1">
      <c r="B587" s="294"/>
    </row>
    <row r="588" spans="2:2" s="247" customFormat="1">
      <c r="B588" s="294"/>
    </row>
    <row r="589" spans="2:2" s="247" customFormat="1">
      <c r="B589" s="294"/>
    </row>
    <row r="590" spans="2:2" s="247" customFormat="1">
      <c r="B590" s="294"/>
    </row>
    <row r="591" spans="2:2" s="247" customFormat="1">
      <c r="B591" s="294"/>
    </row>
    <row r="592" spans="2:2" s="247" customFormat="1">
      <c r="B592" s="294"/>
    </row>
    <row r="593" spans="2:2" s="247" customFormat="1">
      <c r="B593" s="294"/>
    </row>
    <row r="594" spans="2:2" s="247" customFormat="1">
      <c r="B594" s="294"/>
    </row>
    <row r="595" spans="2:2" s="247" customFormat="1">
      <c r="B595" s="294"/>
    </row>
    <row r="596" spans="2:2" s="247" customFormat="1">
      <c r="B596" s="294"/>
    </row>
    <row r="597" spans="2:2" s="247" customFormat="1">
      <c r="B597" s="294"/>
    </row>
    <row r="598" spans="2:2" s="247" customFormat="1">
      <c r="B598" s="294"/>
    </row>
    <row r="599" spans="2:2" s="247" customFormat="1">
      <c r="B599" s="294"/>
    </row>
    <row r="600" spans="2:2" s="247" customFormat="1">
      <c r="B600" s="294"/>
    </row>
    <row r="601" spans="2:2" s="247" customFormat="1">
      <c r="B601" s="294"/>
    </row>
    <row r="602" spans="2:2" s="247" customFormat="1">
      <c r="B602" s="294"/>
    </row>
    <row r="603" spans="2:2" s="247" customFormat="1">
      <c r="B603" s="294"/>
    </row>
    <row r="604" spans="2:2" s="247" customFormat="1">
      <c r="B604" s="294"/>
    </row>
    <row r="605" spans="2:2" s="247" customFormat="1">
      <c r="B605" s="294"/>
    </row>
    <row r="606" spans="2:2" s="247" customFormat="1">
      <c r="B606" s="294"/>
    </row>
    <row r="607" spans="2:2" s="247" customFormat="1">
      <c r="B607" s="294"/>
    </row>
    <row r="608" spans="2:2" s="247" customFormat="1">
      <c r="B608" s="294"/>
    </row>
    <row r="609" spans="2:2" s="247" customFormat="1">
      <c r="B609" s="294"/>
    </row>
    <row r="610" spans="2:2" s="247" customFormat="1">
      <c r="B610" s="294"/>
    </row>
    <row r="611" spans="2:2" s="247" customFormat="1">
      <c r="B611" s="294"/>
    </row>
    <row r="612" spans="2:2" s="247" customFormat="1">
      <c r="B612" s="294"/>
    </row>
    <row r="613" spans="2:2" s="247" customFormat="1">
      <c r="B613" s="294"/>
    </row>
    <row r="614" spans="2:2" s="247" customFormat="1">
      <c r="B614" s="294"/>
    </row>
    <row r="615" spans="2:2" s="247" customFormat="1">
      <c r="B615" s="294"/>
    </row>
    <row r="616" spans="2:2" s="247" customFormat="1">
      <c r="B616" s="294"/>
    </row>
    <row r="617" spans="2:2" s="247" customFormat="1">
      <c r="B617" s="294"/>
    </row>
    <row r="618" spans="2:2" s="247" customFormat="1">
      <c r="B618" s="294"/>
    </row>
    <row r="619" spans="2:2" s="247" customFormat="1">
      <c r="B619" s="294"/>
    </row>
    <row r="620" spans="2:2" s="247" customFormat="1">
      <c r="B620" s="294"/>
    </row>
    <row r="621" spans="2:2" s="247" customFormat="1">
      <c r="B621" s="294"/>
    </row>
    <row r="622" spans="2:2" s="247" customFormat="1">
      <c r="B622" s="294"/>
    </row>
    <row r="623" spans="2:2" s="247" customFormat="1">
      <c r="B623" s="294"/>
    </row>
    <row r="624" spans="2:2" s="247" customFormat="1">
      <c r="B624" s="294"/>
    </row>
    <row r="625" spans="2:2" s="247" customFormat="1">
      <c r="B625" s="294"/>
    </row>
    <row r="626" spans="2:2" s="247" customFormat="1">
      <c r="B626" s="294"/>
    </row>
    <row r="627" spans="2:2" s="247" customFormat="1">
      <c r="B627" s="294"/>
    </row>
    <row r="628" spans="2:2" s="247" customFormat="1">
      <c r="B628" s="294"/>
    </row>
    <row r="629" spans="2:2" s="247" customFormat="1">
      <c r="B629" s="294"/>
    </row>
    <row r="630" spans="2:2" s="247" customFormat="1">
      <c r="B630" s="294"/>
    </row>
    <row r="631" spans="2:2" s="247" customFormat="1">
      <c r="B631" s="294"/>
    </row>
    <row r="632" spans="2:2" s="247" customFormat="1">
      <c r="B632" s="294"/>
    </row>
    <row r="633" spans="2:2" s="247" customFormat="1">
      <c r="B633" s="294"/>
    </row>
    <row r="634" spans="2:2" s="247" customFormat="1">
      <c r="B634" s="294"/>
    </row>
    <row r="635" spans="2:2" s="247" customFormat="1">
      <c r="B635" s="294"/>
    </row>
    <row r="636" spans="2:2" s="247" customFormat="1">
      <c r="B636" s="294"/>
    </row>
    <row r="637" spans="2:2" s="247" customFormat="1">
      <c r="B637" s="294"/>
    </row>
    <row r="638" spans="2:2" s="247" customFormat="1">
      <c r="B638" s="294"/>
    </row>
    <row r="639" spans="2:2" s="247" customFormat="1">
      <c r="B639" s="294"/>
    </row>
    <row r="640" spans="2:2" s="247" customFormat="1">
      <c r="B640" s="294"/>
    </row>
    <row r="641" spans="2:2" s="247" customFormat="1">
      <c r="B641" s="294"/>
    </row>
    <row r="642" spans="2:2" s="247" customFormat="1">
      <c r="B642" s="294"/>
    </row>
    <row r="643" spans="2:2" s="247" customFormat="1">
      <c r="B643" s="294"/>
    </row>
    <row r="644" spans="2:2" s="247" customFormat="1">
      <c r="B644" s="294"/>
    </row>
    <row r="645" spans="2:2" s="247" customFormat="1">
      <c r="B645" s="294"/>
    </row>
    <row r="646" spans="2:2" s="247" customFormat="1">
      <c r="B646" s="294"/>
    </row>
    <row r="647" spans="2:2" s="247" customFormat="1">
      <c r="B647" s="294"/>
    </row>
    <row r="648" spans="2:2" s="247" customFormat="1">
      <c r="B648" s="294"/>
    </row>
    <row r="649" spans="2:2" s="247" customFormat="1">
      <c r="B649" s="294"/>
    </row>
    <row r="650" spans="2:2" s="247" customFormat="1">
      <c r="B650" s="294"/>
    </row>
    <row r="651" spans="2:2" s="247" customFormat="1">
      <c r="B651" s="294"/>
    </row>
    <row r="652" spans="2:2" s="247" customFormat="1">
      <c r="B652" s="294"/>
    </row>
    <row r="653" spans="2:2" s="247" customFormat="1">
      <c r="B653" s="294"/>
    </row>
    <row r="654" spans="2:2" s="247" customFormat="1">
      <c r="B654" s="294"/>
    </row>
    <row r="655" spans="2:2" s="247" customFormat="1">
      <c r="B655" s="294"/>
    </row>
    <row r="656" spans="2:2" s="247" customFormat="1">
      <c r="B656" s="294"/>
    </row>
    <row r="657" spans="2:2" s="247" customFormat="1">
      <c r="B657" s="294"/>
    </row>
    <row r="658" spans="2:2" s="247" customFormat="1">
      <c r="B658" s="294"/>
    </row>
    <row r="659" spans="2:2" s="247" customFormat="1">
      <c r="B659" s="294"/>
    </row>
    <row r="660" spans="2:2" s="247" customFormat="1">
      <c r="B660" s="294"/>
    </row>
    <row r="661" spans="2:2" s="247" customFormat="1">
      <c r="B661" s="294"/>
    </row>
    <row r="662" spans="2:2" s="247" customFormat="1">
      <c r="B662" s="294"/>
    </row>
    <row r="663" spans="2:2" s="247" customFormat="1">
      <c r="B663" s="294"/>
    </row>
    <row r="664" spans="2:2" s="247" customFormat="1">
      <c r="B664" s="294"/>
    </row>
    <row r="665" spans="2:2" s="247" customFormat="1">
      <c r="B665" s="294"/>
    </row>
    <row r="666" spans="2:2" s="247" customFormat="1">
      <c r="B666" s="294"/>
    </row>
    <row r="667" spans="2:2" s="247" customFormat="1">
      <c r="B667" s="294"/>
    </row>
    <row r="668" spans="2:2" s="247" customFormat="1">
      <c r="B668" s="294"/>
    </row>
    <row r="669" spans="2:2" s="247" customFormat="1">
      <c r="B669" s="294"/>
    </row>
    <row r="670" spans="2:2" s="247" customFormat="1">
      <c r="B670" s="294"/>
    </row>
    <row r="671" spans="2:2" s="247" customFormat="1">
      <c r="B671" s="294"/>
    </row>
    <row r="672" spans="2:2" s="247" customFormat="1">
      <c r="B672" s="294"/>
    </row>
    <row r="673" spans="1:10">
      <c r="A673" s="247"/>
      <c r="B673" s="294"/>
      <c r="C673" s="247"/>
      <c r="D673" s="247"/>
      <c r="E673" s="247"/>
      <c r="F673" s="247"/>
      <c r="G673" s="247"/>
      <c r="H673" s="247"/>
      <c r="I673" s="247"/>
      <c r="J673" s="247"/>
    </row>
    <row r="674" spans="1:10">
      <c r="A674" s="247"/>
      <c r="B674" s="294"/>
      <c r="C674" s="247"/>
      <c r="D674" s="247"/>
      <c r="E674" s="247"/>
      <c r="F674" s="247"/>
      <c r="G674" s="247"/>
      <c r="H674" s="247"/>
      <c r="I674" s="247"/>
      <c r="J674" s="247"/>
    </row>
    <row r="675" spans="1:10">
      <c r="A675" s="247"/>
      <c r="B675" s="294"/>
      <c r="J675" s="247"/>
    </row>
    <row r="676" spans="1:10">
      <c r="A676" s="247"/>
      <c r="B676" s="294"/>
      <c r="I676" s="255">
        <f>+'LINEAS IMPULSIÓN-CONDUCCIÓN'!F18</f>
        <v>15568984</v>
      </c>
      <c r="J676" s="247"/>
    </row>
    <row r="677" spans="1:10">
      <c r="A677" s="247"/>
      <c r="B677" s="294"/>
      <c r="J677" s="247"/>
    </row>
    <row r="678" spans="1:10">
      <c r="A678" s="247"/>
      <c r="B678" s="294"/>
      <c r="J678" s="247"/>
    </row>
    <row r="679" spans="1:10">
      <c r="A679" s="247"/>
      <c r="B679" s="294"/>
      <c r="J679" s="247"/>
    </row>
    <row r="680" spans="1:10">
      <c r="A680" s="247"/>
      <c r="B680" s="294"/>
      <c r="J680" s="247"/>
    </row>
    <row r="681" spans="1:10">
      <c r="A681" s="247"/>
      <c r="B681" s="294"/>
      <c r="J681" s="247"/>
    </row>
    <row r="682" spans="1:10">
      <c r="A682" s="247"/>
      <c r="B682" s="294"/>
      <c r="J682" s="247"/>
    </row>
    <row r="683" spans="1:10">
      <c r="A683" s="247"/>
      <c r="B683" s="294"/>
      <c r="J683" s="247"/>
    </row>
    <row r="684" spans="1:10">
      <c r="A684" s="247"/>
      <c r="B684" s="294"/>
      <c r="J684" s="247"/>
    </row>
    <row r="685" spans="1:10">
      <c r="A685" s="247"/>
      <c r="B685" s="294"/>
      <c r="J685" s="247"/>
    </row>
    <row r="686" spans="1:10">
      <c r="A686" s="247"/>
      <c r="B686" s="294"/>
      <c r="J686" s="247"/>
    </row>
    <row r="687" spans="1:10">
      <c r="A687" s="247"/>
      <c r="B687" s="294"/>
      <c r="J687" s="247"/>
    </row>
    <row r="688" spans="1:10">
      <c r="A688" s="247"/>
      <c r="B688" s="294"/>
      <c r="J688" s="247"/>
    </row>
    <row r="689" spans="1:10">
      <c r="A689" s="247"/>
      <c r="B689" s="294"/>
      <c r="J689" s="247"/>
    </row>
    <row r="690" spans="1:10">
      <c r="A690" s="247"/>
      <c r="B690" s="294"/>
      <c r="J690" s="247"/>
    </row>
    <row r="691" spans="1:10">
      <c r="A691" s="247"/>
      <c r="B691" s="294"/>
      <c r="C691" s="247"/>
      <c r="D691" s="247"/>
      <c r="E691" s="247"/>
      <c r="F691" s="247"/>
      <c r="G691" s="247"/>
      <c r="H691" s="247"/>
      <c r="I691" s="247"/>
      <c r="J691" s="247"/>
    </row>
    <row r="692" spans="1:10">
      <c r="A692" s="247"/>
      <c r="B692" s="294"/>
      <c r="C692" s="247"/>
      <c r="D692" s="247"/>
      <c r="E692" s="247"/>
      <c r="F692" s="247"/>
      <c r="G692" s="247"/>
      <c r="H692" s="247"/>
      <c r="I692" s="247"/>
      <c r="J692" s="247"/>
    </row>
    <row r="693" spans="1:10">
      <c r="A693" s="247"/>
      <c r="B693" s="294"/>
      <c r="C693" s="247"/>
      <c r="D693" s="247"/>
      <c r="E693" s="247"/>
      <c r="F693" s="247"/>
      <c r="G693" s="247"/>
      <c r="H693" s="247"/>
      <c r="I693" s="247"/>
      <c r="J693" s="247"/>
    </row>
    <row r="694" spans="1:10">
      <c r="A694" s="247"/>
      <c r="B694" s="294"/>
      <c r="C694" s="247"/>
      <c r="D694" s="247"/>
      <c r="E694" s="247"/>
      <c r="F694" s="247"/>
      <c r="G694" s="247"/>
      <c r="H694" s="247"/>
      <c r="I694" s="247"/>
      <c r="J694" s="247"/>
    </row>
    <row r="695" spans="1:10">
      <c r="A695" s="247"/>
      <c r="B695" s="294"/>
      <c r="C695" s="247"/>
      <c r="D695" s="247"/>
      <c r="E695" s="247"/>
      <c r="F695" s="247"/>
      <c r="G695" s="247"/>
      <c r="H695" s="247"/>
      <c r="I695" s="247"/>
      <c r="J695" s="247"/>
    </row>
    <row r="696" spans="1:10">
      <c r="A696" s="247"/>
      <c r="B696" s="294"/>
      <c r="C696" s="247"/>
      <c r="D696" s="247"/>
      <c r="E696" s="247"/>
      <c r="F696" s="247"/>
      <c r="G696" s="247"/>
      <c r="H696" s="247"/>
      <c r="I696" s="247"/>
      <c r="J696" s="247"/>
    </row>
    <row r="697" spans="1:10">
      <c r="A697" s="247"/>
      <c r="B697" s="294"/>
      <c r="C697" s="247"/>
      <c r="D697" s="247"/>
      <c r="E697" s="247"/>
      <c r="F697" s="247"/>
      <c r="G697" s="247"/>
      <c r="H697" s="247"/>
      <c r="I697" s="247"/>
      <c r="J697" s="247"/>
    </row>
    <row r="698" spans="1:10">
      <c r="A698" s="247"/>
      <c r="B698" s="294"/>
      <c r="C698" s="247"/>
      <c r="D698" s="247"/>
      <c r="E698" s="247"/>
      <c r="F698" s="247"/>
      <c r="G698" s="247"/>
      <c r="H698" s="247"/>
      <c r="I698" s="247"/>
      <c r="J698" s="247"/>
    </row>
    <row r="699" spans="1:10">
      <c r="A699" s="247"/>
      <c r="B699" s="294"/>
      <c r="C699" s="247"/>
      <c r="D699" s="247"/>
      <c r="E699" s="247"/>
      <c r="F699" s="247"/>
      <c r="G699" s="247"/>
      <c r="H699" s="247"/>
      <c r="I699" s="247"/>
      <c r="J699" s="247"/>
    </row>
    <row r="700" spans="1:10">
      <c r="A700" s="247"/>
      <c r="B700" s="294"/>
      <c r="C700" s="247"/>
      <c r="D700" s="247"/>
      <c r="E700" s="247"/>
      <c r="F700" s="247"/>
      <c r="G700" s="247"/>
      <c r="H700" s="247"/>
      <c r="I700" s="247"/>
      <c r="J700" s="247"/>
    </row>
    <row r="701" spans="1:10">
      <c r="A701" s="247"/>
      <c r="B701" s="294"/>
      <c r="C701" s="247"/>
      <c r="D701" s="247"/>
      <c r="E701" s="247"/>
      <c r="F701" s="247"/>
      <c r="G701" s="247"/>
      <c r="H701" s="247"/>
      <c r="I701" s="247"/>
      <c r="J701" s="247"/>
    </row>
    <row r="702" spans="1:10">
      <c r="A702" s="247"/>
      <c r="B702" s="294"/>
      <c r="C702" s="247"/>
      <c r="D702" s="247"/>
      <c r="E702" s="247"/>
      <c r="F702" s="247"/>
      <c r="G702" s="247"/>
      <c r="H702" s="247"/>
      <c r="I702" s="247"/>
      <c r="J702" s="247"/>
    </row>
    <row r="703" spans="1:10">
      <c r="A703" s="247"/>
      <c r="B703" s="294"/>
      <c r="C703" s="247"/>
      <c r="D703" s="247"/>
      <c r="E703" s="247"/>
      <c r="F703" s="247"/>
      <c r="G703" s="247"/>
      <c r="H703" s="247"/>
      <c r="I703" s="247"/>
      <c r="J703" s="247"/>
    </row>
    <row r="704" spans="1:10">
      <c r="A704" s="247"/>
      <c r="B704" s="294"/>
      <c r="C704" s="247"/>
      <c r="D704" s="247"/>
      <c r="E704" s="247"/>
      <c r="F704" s="247"/>
      <c r="G704" s="247"/>
      <c r="H704" s="247"/>
      <c r="I704" s="247"/>
      <c r="J704" s="247"/>
    </row>
    <row r="705" spans="2:2" s="247" customFormat="1">
      <c r="B705" s="294"/>
    </row>
    <row r="706" spans="2:2" s="247" customFormat="1">
      <c r="B706" s="294"/>
    </row>
    <row r="707" spans="2:2" s="247" customFormat="1">
      <c r="B707" s="294"/>
    </row>
    <row r="708" spans="2:2" s="247" customFormat="1">
      <c r="B708" s="294"/>
    </row>
    <row r="709" spans="2:2" s="247" customFormat="1">
      <c r="B709" s="294"/>
    </row>
    <row r="710" spans="2:2" s="247" customFormat="1">
      <c r="B710" s="294"/>
    </row>
    <row r="711" spans="2:2" s="247" customFormat="1">
      <c r="B711" s="294"/>
    </row>
    <row r="712" spans="2:2" s="247" customFormat="1">
      <c r="B712" s="294"/>
    </row>
    <row r="713" spans="2:2" s="247" customFormat="1">
      <c r="B713" s="294"/>
    </row>
    <row r="714" spans="2:2" s="247" customFormat="1">
      <c r="B714" s="294"/>
    </row>
    <row r="715" spans="2:2" s="247" customFormat="1">
      <c r="B715" s="294"/>
    </row>
    <row r="716" spans="2:2" s="247" customFormat="1">
      <c r="B716" s="294"/>
    </row>
    <row r="717" spans="2:2" s="247" customFormat="1">
      <c r="B717" s="294"/>
    </row>
    <row r="718" spans="2:2" s="247" customFormat="1">
      <c r="B718" s="294"/>
    </row>
    <row r="719" spans="2:2" s="247" customFormat="1">
      <c r="B719" s="294"/>
    </row>
    <row r="720" spans="2:2" s="247" customFormat="1">
      <c r="B720" s="294"/>
    </row>
    <row r="721" spans="2:2" s="247" customFormat="1">
      <c r="B721" s="294"/>
    </row>
    <row r="722" spans="2:2" s="247" customFormat="1">
      <c r="B722" s="294"/>
    </row>
    <row r="723" spans="2:2" s="247" customFormat="1">
      <c r="B723" s="294"/>
    </row>
    <row r="724" spans="2:2" s="247" customFormat="1">
      <c r="B724" s="294"/>
    </row>
    <row r="725" spans="2:2" s="247" customFormat="1">
      <c r="B725" s="294"/>
    </row>
    <row r="726" spans="2:2" s="247" customFormat="1">
      <c r="B726" s="294"/>
    </row>
    <row r="727" spans="2:2" s="247" customFormat="1">
      <c r="B727" s="294"/>
    </row>
    <row r="728" spans="2:2" s="247" customFormat="1">
      <c r="B728" s="294"/>
    </row>
    <row r="729" spans="2:2" s="247" customFormat="1">
      <c r="B729" s="294"/>
    </row>
    <row r="730" spans="2:2" s="247" customFormat="1">
      <c r="B730" s="294"/>
    </row>
    <row r="731" spans="2:2" s="247" customFormat="1">
      <c r="B731" s="294"/>
    </row>
    <row r="732" spans="2:2" s="247" customFormat="1">
      <c r="B732" s="294"/>
    </row>
    <row r="733" spans="2:2" s="247" customFormat="1">
      <c r="B733" s="294"/>
    </row>
    <row r="734" spans="2:2" s="247" customFormat="1">
      <c r="B734" s="294"/>
    </row>
    <row r="735" spans="2:2" s="247" customFormat="1">
      <c r="B735" s="294"/>
    </row>
    <row r="736" spans="2:2" s="247" customFormat="1">
      <c r="B736" s="294"/>
    </row>
    <row r="737" spans="2:2" s="247" customFormat="1">
      <c r="B737" s="294"/>
    </row>
    <row r="738" spans="2:2" s="247" customFormat="1">
      <c r="B738" s="294"/>
    </row>
    <row r="739" spans="2:2" s="247" customFormat="1">
      <c r="B739" s="294"/>
    </row>
    <row r="740" spans="2:2" s="247" customFormat="1">
      <c r="B740" s="294"/>
    </row>
    <row r="741" spans="2:2" s="247" customFormat="1">
      <c r="B741" s="294"/>
    </row>
    <row r="742" spans="2:2" s="247" customFormat="1">
      <c r="B742" s="294"/>
    </row>
    <row r="743" spans="2:2" s="247" customFormat="1">
      <c r="B743" s="294"/>
    </row>
    <row r="744" spans="2:2" s="247" customFormat="1">
      <c r="B744" s="294"/>
    </row>
    <row r="745" spans="2:2" s="247" customFormat="1">
      <c r="B745" s="294"/>
    </row>
    <row r="746" spans="2:2" s="247" customFormat="1">
      <c r="B746" s="294"/>
    </row>
    <row r="747" spans="2:2" s="247" customFormat="1">
      <c r="B747" s="294"/>
    </row>
    <row r="748" spans="2:2" s="247" customFormat="1">
      <c r="B748" s="294"/>
    </row>
    <row r="749" spans="2:2" s="247" customFormat="1">
      <c r="B749" s="294"/>
    </row>
    <row r="750" spans="2:2" s="247" customFormat="1">
      <c r="B750" s="294"/>
    </row>
    <row r="751" spans="2:2" s="247" customFormat="1">
      <c r="B751" s="294"/>
    </row>
    <row r="752" spans="2:2" s="247" customFormat="1">
      <c r="B752" s="294"/>
    </row>
    <row r="753" spans="2:2" s="247" customFormat="1">
      <c r="B753" s="294"/>
    </row>
    <row r="754" spans="2:2" s="247" customFormat="1">
      <c r="B754" s="294"/>
    </row>
    <row r="755" spans="2:2" s="247" customFormat="1">
      <c r="B755" s="294"/>
    </row>
    <row r="756" spans="2:2" s="247" customFormat="1">
      <c r="B756" s="294"/>
    </row>
    <row r="757" spans="2:2" s="247" customFormat="1">
      <c r="B757" s="294"/>
    </row>
    <row r="758" spans="2:2" s="247" customFormat="1">
      <c r="B758" s="294"/>
    </row>
    <row r="759" spans="2:2" s="247" customFormat="1">
      <c r="B759" s="294"/>
    </row>
    <row r="760" spans="2:2" s="247" customFormat="1">
      <c r="B760" s="294"/>
    </row>
    <row r="761" spans="2:2" s="247" customFormat="1">
      <c r="B761" s="294"/>
    </row>
    <row r="762" spans="2:2" s="247" customFormat="1">
      <c r="B762" s="294"/>
    </row>
    <row r="763" spans="2:2" s="247" customFormat="1">
      <c r="B763" s="294"/>
    </row>
    <row r="764" spans="2:2" s="247" customFormat="1">
      <c r="B764" s="294"/>
    </row>
    <row r="765" spans="2:2" s="247" customFormat="1">
      <c r="B765" s="294"/>
    </row>
    <row r="766" spans="2:2" s="247" customFormat="1">
      <c r="B766" s="294"/>
    </row>
    <row r="767" spans="2:2" s="247" customFormat="1">
      <c r="B767" s="294"/>
    </row>
    <row r="768" spans="2:2" s="247" customFormat="1">
      <c r="B768" s="294"/>
    </row>
    <row r="769" spans="2:2" s="247" customFormat="1">
      <c r="B769" s="294"/>
    </row>
    <row r="770" spans="2:2" s="247" customFormat="1">
      <c r="B770" s="294"/>
    </row>
    <row r="771" spans="2:2" s="247" customFormat="1">
      <c r="B771" s="294"/>
    </row>
    <row r="772" spans="2:2" s="247" customFormat="1">
      <c r="B772" s="294"/>
    </row>
    <row r="773" spans="2:2" s="247" customFormat="1">
      <c r="B773" s="294"/>
    </row>
    <row r="774" spans="2:2" s="247" customFormat="1">
      <c r="B774" s="294"/>
    </row>
    <row r="775" spans="2:2" s="247" customFormat="1">
      <c r="B775" s="294"/>
    </row>
    <row r="776" spans="2:2" s="247" customFormat="1">
      <c r="B776" s="294"/>
    </row>
    <row r="777" spans="2:2" s="247" customFormat="1">
      <c r="B777" s="294"/>
    </row>
    <row r="778" spans="2:2" s="247" customFormat="1">
      <c r="B778" s="294"/>
    </row>
    <row r="779" spans="2:2" s="247" customFormat="1">
      <c r="B779" s="294"/>
    </row>
    <row r="780" spans="2:2" s="247" customFormat="1">
      <c r="B780" s="294"/>
    </row>
    <row r="781" spans="2:2" s="247" customFormat="1">
      <c r="B781" s="294"/>
    </row>
    <row r="782" spans="2:2" s="247" customFormat="1">
      <c r="B782" s="294"/>
    </row>
    <row r="783" spans="2:2" s="247" customFormat="1">
      <c r="B783" s="294"/>
    </row>
    <row r="784" spans="2:2" s="247" customFormat="1">
      <c r="B784" s="294"/>
    </row>
    <row r="785" spans="2:2" s="247" customFormat="1">
      <c r="B785" s="294"/>
    </row>
    <row r="786" spans="2:2" s="247" customFormat="1">
      <c r="B786" s="294"/>
    </row>
    <row r="787" spans="2:2" s="247" customFormat="1">
      <c r="B787" s="294"/>
    </row>
    <row r="788" spans="2:2" s="247" customFormat="1">
      <c r="B788" s="294"/>
    </row>
    <row r="789" spans="2:2" s="247" customFormat="1">
      <c r="B789" s="294"/>
    </row>
    <row r="790" spans="2:2" s="247" customFormat="1">
      <c r="B790" s="294"/>
    </row>
    <row r="791" spans="2:2" s="247" customFormat="1">
      <c r="B791" s="294"/>
    </row>
    <row r="792" spans="2:2" s="247" customFormat="1">
      <c r="B792" s="294"/>
    </row>
    <row r="793" spans="2:2" s="247" customFormat="1">
      <c r="B793" s="294"/>
    </row>
    <row r="794" spans="2:2" s="247" customFormat="1">
      <c r="B794" s="294"/>
    </row>
    <row r="795" spans="2:2" s="247" customFormat="1">
      <c r="B795" s="294"/>
    </row>
    <row r="796" spans="2:2" s="247" customFormat="1">
      <c r="B796" s="294"/>
    </row>
    <row r="797" spans="2:2" s="247" customFormat="1">
      <c r="B797" s="294"/>
    </row>
    <row r="798" spans="2:2" s="247" customFormat="1">
      <c r="B798" s="294"/>
    </row>
    <row r="799" spans="2:2" s="247" customFormat="1">
      <c r="B799" s="294"/>
    </row>
    <row r="800" spans="2:2" s="247" customFormat="1">
      <c r="B800" s="294"/>
    </row>
    <row r="801" spans="2:2" s="247" customFormat="1">
      <c r="B801" s="294"/>
    </row>
    <row r="802" spans="2:2" s="247" customFormat="1">
      <c r="B802" s="294"/>
    </row>
    <row r="803" spans="2:2" s="247" customFormat="1">
      <c r="B803" s="294"/>
    </row>
    <row r="804" spans="2:2" s="247" customFormat="1">
      <c r="B804" s="294"/>
    </row>
    <row r="805" spans="2:2" s="247" customFormat="1">
      <c r="B805" s="294"/>
    </row>
    <row r="806" spans="2:2" s="247" customFormat="1">
      <c r="B806" s="294"/>
    </row>
    <row r="807" spans="2:2" s="247" customFormat="1">
      <c r="B807" s="294"/>
    </row>
    <row r="808" spans="2:2" s="247" customFormat="1">
      <c r="B808" s="294"/>
    </row>
    <row r="809" spans="2:2" s="247" customFormat="1">
      <c r="B809" s="294"/>
    </row>
    <row r="810" spans="2:2" s="247" customFormat="1">
      <c r="B810" s="294"/>
    </row>
    <row r="811" spans="2:2" s="247" customFormat="1">
      <c r="B811" s="294"/>
    </row>
    <row r="812" spans="2:2" s="247" customFormat="1">
      <c r="B812" s="294"/>
    </row>
    <row r="813" spans="2:2" s="247" customFormat="1">
      <c r="B813" s="294"/>
    </row>
    <row r="814" spans="2:2" s="247" customFormat="1">
      <c r="B814" s="294"/>
    </row>
    <row r="815" spans="2:2" s="247" customFormat="1">
      <c r="B815" s="294"/>
    </row>
    <row r="816" spans="2:2" s="247" customFormat="1">
      <c r="B816" s="294"/>
    </row>
    <row r="817" spans="2:2" s="247" customFormat="1">
      <c r="B817" s="294"/>
    </row>
    <row r="818" spans="2:2" s="247" customFormat="1">
      <c r="B818" s="294"/>
    </row>
    <row r="819" spans="2:2" s="247" customFormat="1">
      <c r="B819" s="294"/>
    </row>
    <row r="820" spans="2:2" s="247" customFormat="1">
      <c r="B820" s="294"/>
    </row>
    <row r="821" spans="2:2" s="247" customFormat="1">
      <c r="B821" s="294"/>
    </row>
    <row r="822" spans="2:2" s="247" customFormat="1">
      <c r="B822" s="294"/>
    </row>
    <row r="823" spans="2:2" s="247" customFormat="1">
      <c r="B823" s="294"/>
    </row>
    <row r="824" spans="2:2" s="247" customFormat="1">
      <c r="B824" s="294"/>
    </row>
    <row r="825" spans="2:2" s="247" customFormat="1">
      <c r="B825" s="294"/>
    </row>
    <row r="826" spans="2:2" s="247" customFormat="1">
      <c r="B826" s="294"/>
    </row>
    <row r="827" spans="2:2" s="247" customFormat="1">
      <c r="B827" s="294"/>
    </row>
    <row r="828" spans="2:2" s="247" customFormat="1">
      <c r="B828" s="294"/>
    </row>
    <row r="829" spans="2:2" s="247" customFormat="1">
      <c r="B829" s="294"/>
    </row>
    <row r="830" spans="2:2" s="247" customFormat="1">
      <c r="B830" s="294"/>
    </row>
    <row r="831" spans="2:2" s="247" customFormat="1">
      <c r="B831" s="294"/>
    </row>
    <row r="832" spans="2:2" s="247" customFormat="1">
      <c r="B832" s="294"/>
    </row>
    <row r="833" spans="2:2" s="247" customFormat="1">
      <c r="B833" s="294"/>
    </row>
    <row r="834" spans="2:2" s="247" customFormat="1">
      <c r="B834" s="294"/>
    </row>
    <row r="835" spans="2:2" s="247" customFormat="1">
      <c r="B835" s="294"/>
    </row>
    <row r="836" spans="2:2" s="247" customFormat="1">
      <c r="B836" s="294"/>
    </row>
    <row r="837" spans="2:2" s="247" customFormat="1">
      <c r="B837" s="294"/>
    </row>
    <row r="838" spans="2:2" s="247" customFormat="1">
      <c r="B838" s="294"/>
    </row>
    <row r="839" spans="2:2" s="247" customFormat="1">
      <c r="B839" s="294"/>
    </row>
    <row r="840" spans="2:2" s="247" customFormat="1">
      <c r="B840" s="294"/>
    </row>
    <row r="841" spans="2:2" s="247" customFormat="1">
      <c r="B841" s="294"/>
    </row>
    <row r="842" spans="2:2" s="247" customFormat="1">
      <c r="B842" s="294"/>
    </row>
    <row r="843" spans="2:2" s="247" customFormat="1">
      <c r="B843" s="294"/>
    </row>
    <row r="844" spans="2:2" s="247" customFormat="1">
      <c r="B844" s="294"/>
    </row>
    <row r="845" spans="2:2" s="247" customFormat="1">
      <c r="B845" s="294"/>
    </row>
    <row r="846" spans="2:2" s="247" customFormat="1">
      <c r="B846" s="294"/>
    </row>
    <row r="847" spans="2:2" s="247" customFormat="1">
      <c r="B847" s="294"/>
    </row>
    <row r="848" spans="2:2" s="247" customFormat="1">
      <c r="B848" s="294"/>
    </row>
    <row r="849" spans="2:2" s="247" customFormat="1">
      <c r="B849" s="294"/>
    </row>
    <row r="850" spans="2:2" s="247" customFormat="1">
      <c r="B850" s="294"/>
    </row>
    <row r="851" spans="2:2" s="247" customFormat="1">
      <c r="B851" s="294"/>
    </row>
    <row r="852" spans="2:2" s="247" customFormat="1">
      <c r="B852" s="294"/>
    </row>
    <row r="853" spans="2:2" s="247" customFormat="1">
      <c r="B853" s="294"/>
    </row>
    <row r="854" spans="2:2" s="247" customFormat="1">
      <c r="B854" s="294"/>
    </row>
    <row r="855" spans="2:2" s="247" customFormat="1">
      <c r="B855" s="294"/>
    </row>
    <row r="856" spans="2:2" s="247" customFormat="1">
      <c r="B856" s="294"/>
    </row>
    <row r="857" spans="2:2" s="247" customFormat="1">
      <c r="B857" s="294"/>
    </row>
    <row r="858" spans="2:2" s="247" customFormat="1">
      <c r="B858" s="294"/>
    </row>
    <row r="859" spans="2:2" s="247" customFormat="1">
      <c r="B859" s="294"/>
    </row>
    <row r="860" spans="2:2" s="247" customFormat="1">
      <c r="B860" s="294"/>
    </row>
    <row r="861" spans="2:2" s="247" customFormat="1">
      <c r="B861" s="294"/>
    </row>
    <row r="862" spans="2:2" s="247" customFormat="1">
      <c r="B862" s="294"/>
    </row>
    <row r="863" spans="2:2" s="247" customFormat="1">
      <c r="B863" s="294"/>
    </row>
    <row r="864" spans="2:2" s="247" customFormat="1">
      <c r="B864" s="294"/>
    </row>
    <row r="865" spans="2:2" s="247" customFormat="1">
      <c r="B865" s="294"/>
    </row>
    <row r="866" spans="2:2" s="247" customFormat="1">
      <c r="B866" s="294"/>
    </row>
    <row r="867" spans="2:2" s="247" customFormat="1">
      <c r="B867" s="294"/>
    </row>
    <row r="868" spans="2:2" s="247" customFormat="1">
      <c r="B868" s="294"/>
    </row>
    <row r="869" spans="2:2" s="247" customFormat="1">
      <c r="B869" s="294"/>
    </row>
    <row r="870" spans="2:2" s="247" customFormat="1">
      <c r="B870" s="294"/>
    </row>
    <row r="871" spans="2:2" s="247" customFormat="1">
      <c r="B871" s="294"/>
    </row>
    <row r="872" spans="2:2" s="247" customFormat="1">
      <c r="B872" s="294"/>
    </row>
    <row r="873" spans="2:2" s="247" customFormat="1">
      <c r="B873" s="294"/>
    </row>
    <row r="874" spans="2:2" s="247" customFormat="1">
      <c r="B874" s="294"/>
    </row>
    <row r="875" spans="2:2" s="247" customFormat="1">
      <c r="B875" s="294"/>
    </row>
    <row r="876" spans="2:2" s="247" customFormat="1">
      <c r="B876" s="294"/>
    </row>
    <row r="877" spans="2:2" s="247" customFormat="1">
      <c r="B877" s="294"/>
    </row>
    <row r="878" spans="2:2" s="247" customFormat="1">
      <c r="B878" s="294"/>
    </row>
    <row r="879" spans="2:2" s="247" customFormat="1">
      <c r="B879" s="294"/>
    </row>
    <row r="880" spans="2:2" s="247" customFormat="1">
      <c r="B880" s="294"/>
    </row>
    <row r="881" spans="2:2" s="247" customFormat="1">
      <c r="B881" s="294"/>
    </row>
    <row r="882" spans="2:2" s="247" customFormat="1">
      <c r="B882" s="294"/>
    </row>
    <row r="883" spans="2:2" s="247" customFormat="1">
      <c r="B883" s="294"/>
    </row>
    <row r="884" spans="2:2" s="247" customFormat="1">
      <c r="B884" s="294"/>
    </row>
    <row r="885" spans="2:2" s="247" customFormat="1">
      <c r="B885" s="294"/>
    </row>
    <row r="886" spans="2:2" s="247" customFormat="1">
      <c r="B886" s="294"/>
    </row>
    <row r="887" spans="2:2" s="247" customFormat="1">
      <c r="B887" s="294"/>
    </row>
    <row r="888" spans="2:2" s="247" customFormat="1">
      <c r="B888" s="294"/>
    </row>
    <row r="889" spans="2:2" s="247" customFormat="1">
      <c r="B889" s="294"/>
    </row>
    <row r="890" spans="2:2" s="247" customFormat="1">
      <c r="B890" s="294"/>
    </row>
    <row r="891" spans="2:2" s="247" customFormat="1">
      <c r="B891" s="294"/>
    </row>
    <row r="892" spans="2:2" s="247" customFormat="1">
      <c r="B892" s="294"/>
    </row>
    <row r="893" spans="2:2" s="247" customFormat="1">
      <c r="B893" s="294"/>
    </row>
    <row r="894" spans="2:2" s="247" customFormat="1">
      <c r="B894" s="294"/>
    </row>
    <row r="895" spans="2:2" s="247" customFormat="1">
      <c r="B895" s="294"/>
    </row>
    <row r="896" spans="2:2" s="247" customFormat="1">
      <c r="B896" s="294"/>
    </row>
    <row r="897" spans="2:2" s="247" customFormat="1">
      <c r="B897" s="294"/>
    </row>
    <row r="898" spans="2:2" s="247" customFormat="1">
      <c r="B898" s="294"/>
    </row>
    <row r="899" spans="2:2" s="247" customFormat="1">
      <c r="B899" s="294"/>
    </row>
    <row r="900" spans="2:2" s="247" customFormat="1">
      <c r="B900" s="294"/>
    </row>
    <row r="901" spans="2:2" s="247" customFormat="1">
      <c r="B901" s="294"/>
    </row>
    <row r="902" spans="2:2" s="247" customFormat="1">
      <c r="B902" s="294"/>
    </row>
    <row r="903" spans="2:2" s="247" customFormat="1">
      <c r="B903" s="294"/>
    </row>
    <row r="904" spans="2:2" s="247" customFormat="1">
      <c r="B904" s="294"/>
    </row>
    <row r="905" spans="2:2" s="247" customFormat="1">
      <c r="B905" s="294"/>
    </row>
    <row r="906" spans="2:2" s="247" customFormat="1">
      <c r="B906" s="294"/>
    </row>
    <row r="907" spans="2:2" s="247" customFormat="1">
      <c r="B907" s="294"/>
    </row>
    <row r="908" spans="2:2" s="247" customFormat="1">
      <c r="B908" s="294"/>
    </row>
    <row r="909" spans="2:2" s="247" customFormat="1">
      <c r="B909" s="294"/>
    </row>
    <row r="910" spans="2:2" s="247" customFormat="1">
      <c r="B910" s="294"/>
    </row>
    <row r="911" spans="2:2" s="247" customFormat="1">
      <c r="B911" s="294"/>
    </row>
    <row r="912" spans="2:2" s="247" customFormat="1">
      <c r="B912" s="294"/>
    </row>
    <row r="913" spans="2:2" s="247" customFormat="1">
      <c r="B913" s="294"/>
    </row>
    <row r="914" spans="2:2" s="247" customFormat="1">
      <c r="B914" s="294"/>
    </row>
    <row r="915" spans="2:2" s="247" customFormat="1">
      <c r="B915" s="294"/>
    </row>
    <row r="916" spans="2:2" s="247" customFormat="1">
      <c r="B916" s="294"/>
    </row>
    <row r="917" spans="2:2" s="247" customFormat="1">
      <c r="B917" s="294"/>
    </row>
    <row r="918" spans="2:2" s="247" customFormat="1">
      <c r="B918" s="294"/>
    </row>
    <row r="919" spans="2:2" s="247" customFormat="1">
      <c r="B919" s="294"/>
    </row>
    <row r="920" spans="2:2" s="247" customFormat="1">
      <c r="B920" s="294"/>
    </row>
    <row r="921" spans="2:2" s="247" customFormat="1">
      <c r="B921" s="294"/>
    </row>
    <row r="922" spans="2:2" s="247" customFormat="1">
      <c r="B922" s="294"/>
    </row>
    <row r="923" spans="2:2" s="247" customFormat="1">
      <c r="B923" s="294"/>
    </row>
    <row r="924" spans="2:2" s="247" customFormat="1">
      <c r="B924" s="294"/>
    </row>
    <row r="925" spans="2:2" s="247" customFormat="1">
      <c r="B925" s="294"/>
    </row>
    <row r="926" spans="2:2" s="247" customFormat="1">
      <c r="B926" s="294"/>
    </row>
    <row r="927" spans="2:2" s="247" customFormat="1">
      <c r="B927" s="294"/>
    </row>
    <row r="928" spans="2:2" s="247" customFormat="1">
      <c r="B928" s="294"/>
    </row>
    <row r="929" spans="2:2" s="247" customFormat="1">
      <c r="B929" s="294"/>
    </row>
    <row r="930" spans="2:2" s="247" customFormat="1">
      <c r="B930" s="294"/>
    </row>
    <row r="931" spans="2:2" s="247" customFormat="1">
      <c r="B931" s="294"/>
    </row>
    <row r="932" spans="2:2" s="247" customFormat="1">
      <c r="B932" s="294"/>
    </row>
    <row r="933" spans="2:2" s="247" customFormat="1">
      <c r="B933" s="294"/>
    </row>
    <row r="934" spans="2:2" s="247" customFormat="1">
      <c r="B934" s="294"/>
    </row>
    <row r="935" spans="2:2" s="247" customFormat="1">
      <c r="B935" s="294"/>
    </row>
    <row r="936" spans="2:2" s="247" customFormat="1">
      <c r="B936" s="294"/>
    </row>
    <row r="937" spans="2:2" s="247" customFormat="1">
      <c r="B937" s="294"/>
    </row>
    <row r="938" spans="2:2" s="247" customFormat="1">
      <c r="B938" s="294"/>
    </row>
    <row r="939" spans="2:2" s="247" customFormat="1">
      <c r="B939" s="294"/>
    </row>
    <row r="940" spans="2:2" s="247" customFormat="1">
      <c r="B940" s="294"/>
    </row>
    <row r="941" spans="2:2" s="247" customFormat="1">
      <c r="B941" s="294"/>
    </row>
    <row r="942" spans="2:2" s="247" customFormat="1">
      <c r="B942" s="294"/>
    </row>
    <row r="943" spans="2:2" s="247" customFormat="1">
      <c r="B943" s="294"/>
    </row>
    <row r="944" spans="2:2" s="247" customFormat="1">
      <c r="B944" s="294"/>
    </row>
    <row r="945" spans="2:2" s="247" customFormat="1">
      <c r="B945" s="294"/>
    </row>
    <row r="946" spans="2:2" s="247" customFormat="1">
      <c r="B946" s="294"/>
    </row>
    <row r="947" spans="2:2" s="247" customFormat="1">
      <c r="B947" s="294"/>
    </row>
    <row r="948" spans="2:2" s="247" customFormat="1">
      <c r="B948" s="294"/>
    </row>
    <row r="949" spans="2:2" s="247" customFormat="1">
      <c r="B949" s="294"/>
    </row>
    <row r="950" spans="2:2" s="247" customFormat="1">
      <c r="B950" s="294"/>
    </row>
    <row r="951" spans="2:2" s="247" customFormat="1">
      <c r="B951" s="294"/>
    </row>
    <row r="952" spans="2:2" s="247" customFormat="1">
      <c r="B952" s="294"/>
    </row>
    <row r="953" spans="2:2" s="247" customFormat="1">
      <c r="B953" s="294"/>
    </row>
    <row r="954" spans="2:2" s="247" customFormat="1">
      <c r="B954" s="294"/>
    </row>
    <row r="955" spans="2:2" s="247" customFormat="1">
      <c r="B955" s="294"/>
    </row>
    <row r="956" spans="2:2" s="247" customFormat="1">
      <c r="B956" s="294"/>
    </row>
    <row r="957" spans="2:2" s="247" customFormat="1">
      <c r="B957" s="294"/>
    </row>
    <row r="958" spans="2:2" s="247" customFormat="1">
      <c r="B958" s="294"/>
    </row>
    <row r="959" spans="2:2" s="247" customFormat="1">
      <c r="B959" s="294"/>
    </row>
    <row r="960" spans="2:2" s="247" customFormat="1">
      <c r="B960" s="294"/>
    </row>
    <row r="961" spans="2:2" s="247" customFormat="1">
      <c r="B961" s="294"/>
    </row>
    <row r="962" spans="2:2" s="247" customFormat="1">
      <c r="B962" s="294"/>
    </row>
    <row r="963" spans="2:2" s="247" customFormat="1">
      <c r="B963" s="294"/>
    </row>
    <row r="964" spans="2:2" s="247" customFormat="1">
      <c r="B964" s="294"/>
    </row>
    <row r="965" spans="2:2" s="247" customFormat="1">
      <c r="B965" s="294"/>
    </row>
    <row r="966" spans="2:2" s="247" customFormat="1">
      <c r="B966" s="294"/>
    </row>
    <row r="967" spans="2:2" s="247" customFormat="1">
      <c r="B967" s="294"/>
    </row>
    <row r="968" spans="2:2" s="247" customFormat="1">
      <c r="B968" s="294"/>
    </row>
    <row r="969" spans="2:2" s="247" customFormat="1">
      <c r="B969" s="294"/>
    </row>
    <row r="970" spans="2:2" s="247" customFormat="1">
      <c r="B970" s="294"/>
    </row>
    <row r="971" spans="2:2" s="247" customFormat="1">
      <c r="B971" s="294"/>
    </row>
    <row r="972" spans="2:2" s="247" customFormat="1">
      <c r="B972" s="294"/>
    </row>
    <row r="973" spans="2:2" s="247" customFormat="1">
      <c r="B973" s="294"/>
    </row>
    <row r="974" spans="2:2" s="247" customFormat="1">
      <c r="B974" s="294"/>
    </row>
    <row r="975" spans="2:2" s="247" customFormat="1">
      <c r="B975" s="294"/>
    </row>
    <row r="976" spans="2:2" s="247" customFormat="1">
      <c r="B976" s="294"/>
    </row>
    <row r="977" spans="2:2" s="247" customFormat="1">
      <c r="B977" s="294"/>
    </row>
    <row r="978" spans="2:2" s="247" customFormat="1">
      <c r="B978" s="294"/>
    </row>
    <row r="979" spans="2:2" s="247" customFormat="1">
      <c r="B979" s="294"/>
    </row>
    <row r="980" spans="2:2" s="247" customFormat="1">
      <c r="B980" s="294"/>
    </row>
    <row r="981" spans="2:2" s="247" customFormat="1">
      <c r="B981" s="294"/>
    </row>
    <row r="982" spans="2:2" s="247" customFormat="1">
      <c r="B982" s="294"/>
    </row>
    <row r="983" spans="2:2" s="247" customFormat="1">
      <c r="B983" s="294"/>
    </row>
    <row r="984" spans="2:2" s="247" customFormat="1">
      <c r="B984" s="294"/>
    </row>
    <row r="985" spans="2:2" s="247" customFormat="1">
      <c r="B985" s="294"/>
    </row>
    <row r="986" spans="2:2" s="247" customFormat="1">
      <c r="B986" s="294"/>
    </row>
    <row r="987" spans="2:2" s="247" customFormat="1">
      <c r="B987" s="294"/>
    </row>
    <row r="988" spans="2:2" s="247" customFormat="1">
      <c r="B988" s="294"/>
    </row>
    <row r="989" spans="2:2" s="247" customFormat="1">
      <c r="B989" s="294"/>
    </row>
    <row r="990" spans="2:2" s="247" customFormat="1">
      <c r="B990" s="294"/>
    </row>
    <row r="991" spans="2:2" s="247" customFormat="1">
      <c r="B991" s="294"/>
    </row>
    <row r="992" spans="2:2" s="247" customFormat="1">
      <c r="B992" s="294"/>
    </row>
    <row r="993" spans="2:2" s="247" customFormat="1">
      <c r="B993" s="294"/>
    </row>
    <row r="994" spans="2:2" s="247" customFormat="1">
      <c r="B994" s="294"/>
    </row>
    <row r="995" spans="2:2" s="247" customFormat="1">
      <c r="B995" s="294"/>
    </row>
    <row r="996" spans="2:2" s="247" customFormat="1">
      <c r="B996" s="294"/>
    </row>
    <row r="997" spans="2:2" s="247" customFormat="1">
      <c r="B997" s="294"/>
    </row>
    <row r="998" spans="2:2" s="247" customFormat="1">
      <c r="B998" s="294"/>
    </row>
    <row r="999" spans="2:2" s="247" customFormat="1">
      <c r="B999" s="294"/>
    </row>
    <row r="1000" spans="2:2" s="247" customFormat="1">
      <c r="B1000" s="294"/>
    </row>
    <row r="1001" spans="2:2" s="247" customFormat="1">
      <c r="B1001" s="294"/>
    </row>
    <row r="1002" spans="2:2" s="247" customFormat="1">
      <c r="B1002" s="294"/>
    </row>
    <row r="1003" spans="2:2" s="247" customFormat="1">
      <c r="B1003" s="294"/>
    </row>
    <row r="1004" spans="2:2" s="247" customFormat="1">
      <c r="B1004" s="294"/>
    </row>
    <row r="1005" spans="2:2" s="247" customFormat="1">
      <c r="B1005" s="294"/>
    </row>
    <row r="1006" spans="2:2" s="247" customFormat="1">
      <c r="B1006" s="294"/>
    </row>
    <row r="1007" spans="2:2" s="247" customFormat="1">
      <c r="B1007" s="294"/>
    </row>
    <row r="1008" spans="2:2" s="247" customFormat="1">
      <c r="B1008" s="294"/>
    </row>
    <row r="1009" spans="2:2" s="247" customFormat="1">
      <c r="B1009" s="294"/>
    </row>
    <row r="1010" spans="2:2" s="247" customFormat="1">
      <c r="B1010" s="294"/>
    </row>
    <row r="1011" spans="2:2" s="247" customFormat="1">
      <c r="B1011" s="294"/>
    </row>
    <row r="1012" spans="2:2" s="247" customFormat="1">
      <c r="B1012" s="294"/>
    </row>
    <row r="1013" spans="2:2" s="247" customFormat="1">
      <c r="B1013" s="294"/>
    </row>
    <row r="1014" spans="2:2" s="247" customFormat="1">
      <c r="B1014" s="294"/>
    </row>
    <row r="1015" spans="2:2" s="247" customFormat="1">
      <c r="B1015" s="294"/>
    </row>
    <row r="1016" spans="2:2" s="247" customFormat="1">
      <c r="B1016" s="294"/>
    </row>
    <row r="1017" spans="2:2" s="247" customFormat="1">
      <c r="B1017" s="294"/>
    </row>
    <row r="1018" spans="2:2" s="247" customFormat="1">
      <c r="B1018" s="294"/>
    </row>
    <row r="1019" spans="2:2" s="247" customFormat="1">
      <c r="B1019" s="294"/>
    </row>
    <row r="1020" spans="2:2" s="247" customFormat="1">
      <c r="B1020" s="294"/>
    </row>
    <row r="1021" spans="2:2" s="247" customFormat="1">
      <c r="B1021" s="294"/>
    </row>
    <row r="1022" spans="2:2" s="247" customFormat="1">
      <c r="B1022" s="294"/>
    </row>
    <row r="1023" spans="2:2" s="247" customFormat="1">
      <c r="B1023" s="294"/>
    </row>
    <row r="1024" spans="2:2" s="247" customFormat="1">
      <c r="B1024" s="294"/>
    </row>
    <row r="1025" spans="2:2" s="247" customFormat="1">
      <c r="B1025" s="294"/>
    </row>
    <row r="1026" spans="2:2" s="247" customFormat="1">
      <c r="B1026" s="294"/>
    </row>
    <row r="1027" spans="2:2" s="247" customFormat="1">
      <c r="B1027" s="294"/>
    </row>
    <row r="1028" spans="2:2" s="247" customFormat="1">
      <c r="B1028" s="294"/>
    </row>
    <row r="1029" spans="2:2" s="247" customFormat="1">
      <c r="B1029" s="294"/>
    </row>
    <row r="1030" spans="2:2" s="247" customFormat="1">
      <c r="B1030" s="294"/>
    </row>
    <row r="1031" spans="2:2" s="247" customFormat="1">
      <c r="B1031" s="294"/>
    </row>
    <row r="1032" spans="2:2" s="247" customFormat="1">
      <c r="B1032" s="294"/>
    </row>
    <row r="1033" spans="2:2" s="247" customFormat="1">
      <c r="B1033" s="294"/>
    </row>
    <row r="1034" spans="2:2" s="247" customFormat="1">
      <c r="B1034" s="294"/>
    </row>
    <row r="1035" spans="2:2" s="247" customFormat="1">
      <c r="B1035" s="294"/>
    </row>
    <row r="1036" spans="2:2" s="247" customFormat="1">
      <c r="B1036" s="294"/>
    </row>
    <row r="1037" spans="2:2" s="247" customFormat="1">
      <c r="B1037" s="294"/>
    </row>
    <row r="1038" spans="2:2" s="247" customFormat="1">
      <c r="B1038" s="294"/>
    </row>
    <row r="1039" spans="2:2" s="247" customFormat="1">
      <c r="B1039" s="294"/>
    </row>
    <row r="1040" spans="2:2" s="247" customFormat="1">
      <c r="B1040" s="294"/>
    </row>
    <row r="1041" spans="2:2" s="247" customFormat="1">
      <c r="B1041" s="294"/>
    </row>
    <row r="1042" spans="2:2" s="247" customFormat="1">
      <c r="B1042" s="294"/>
    </row>
    <row r="1043" spans="2:2" s="247" customFormat="1">
      <c r="B1043" s="294"/>
    </row>
    <row r="1044" spans="2:2" s="247" customFormat="1">
      <c r="B1044" s="294"/>
    </row>
    <row r="1045" spans="2:2" s="247" customFormat="1">
      <c r="B1045" s="294"/>
    </row>
    <row r="1046" spans="2:2" s="247" customFormat="1">
      <c r="B1046" s="294"/>
    </row>
    <row r="1047" spans="2:2" s="247" customFormat="1">
      <c r="B1047" s="294"/>
    </row>
    <row r="1048" spans="2:2" s="247" customFormat="1">
      <c r="B1048" s="294"/>
    </row>
    <row r="1049" spans="2:2" s="247" customFormat="1">
      <c r="B1049" s="294"/>
    </row>
    <row r="1050" spans="2:2" s="247" customFormat="1">
      <c r="B1050" s="294"/>
    </row>
    <row r="1051" spans="2:2" s="247" customFormat="1">
      <c r="B1051" s="294"/>
    </row>
    <row r="1052" spans="2:2" s="247" customFormat="1">
      <c r="B1052" s="294"/>
    </row>
    <row r="1053" spans="2:2" s="247" customFormat="1">
      <c r="B1053" s="294"/>
    </row>
    <row r="1054" spans="2:2" s="247" customFormat="1">
      <c r="B1054" s="294"/>
    </row>
    <row r="1055" spans="2:2" s="247" customFormat="1">
      <c r="B1055" s="294"/>
    </row>
    <row r="1056" spans="2:2" s="247" customFormat="1">
      <c r="B1056" s="294"/>
    </row>
    <row r="1057" spans="2:2" s="247" customFormat="1">
      <c r="B1057" s="294"/>
    </row>
    <row r="1058" spans="2:2" s="247" customFormat="1">
      <c r="B1058" s="294"/>
    </row>
    <row r="1059" spans="2:2" s="247" customFormat="1">
      <c r="B1059" s="294"/>
    </row>
    <row r="1060" spans="2:2" s="247" customFormat="1">
      <c r="B1060" s="294"/>
    </row>
    <row r="1061" spans="2:2" s="247" customFormat="1">
      <c r="B1061" s="294"/>
    </row>
    <row r="1062" spans="2:2" s="247" customFormat="1">
      <c r="B1062" s="294"/>
    </row>
    <row r="1063" spans="2:2" s="247" customFormat="1">
      <c r="B1063" s="294"/>
    </row>
    <row r="1064" spans="2:2" s="247" customFormat="1">
      <c r="B1064" s="294"/>
    </row>
    <row r="1065" spans="2:2" s="247" customFormat="1">
      <c r="B1065" s="294"/>
    </row>
    <row r="1066" spans="2:2" s="247" customFormat="1">
      <c r="B1066" s="294"/>
    </row>
    <row r="1067" spans="2:2" s="247" customFormat="1">
      <c r="B1067" s="294"/>
    </row>
    <row r="1068" spans="2:2" s="247" customFormat="1">
      <c r="B1068" s="294"/>
    </row>
    <row r="1069" spans="2:2" s="247" customFormat="1">
      <c r="B1069" s="294"/>
    </row>
    <row r="1070" spans="2:2" s="247" customFormat="1">
      <c r="B1070" s="294"/>
    </row>
    <row r="1071" spans="2:2" s="247" customFormat="1">
      <c r="B1071" s="294"/>
    </row>
    <row r="1072" spans="2:2" s="247" customFormat="1">
      <c r="B1072" s="294"/>
    </row>
    <row r="1073" spans="2:2" s="247" customFormat="1">
      <c r="B1073" s="294"/>
    </row>
    <row r="1074" spans="2:2" s="247" customFormat="1">
      <c r="B1074" s="294"/>
    </row>
    <row r="1075" spans="2:2" s="247" customFormat="1">
      <c r="B1075" s="294"/>
    </row>
    <row r="1076" spans="2:2" s="247" customFormat="1">
      <c r="B1076" s="294"/>
    </row>
    <row r="1077" spans="2:2" s="247" customFormat="1">
      <c r="B1077" s="294"/>
    </row>
    <row r="1078" spans="2:2" s="247" customFormat="1">
      <c r="B1078" s="294"/>
    </row>
    <row r="1079" spans="2:2" s="247" customFormat="1">
      <c r="B1079" s="294"/>
    </row>
    <row r="1080" spans="2:2" s="247" customFormat="1">
      <c r="B1080" s="294"/>
    </row>
    <row r="1081" spans="2:2" s="247" customFormat="1">
      <c r="B1081" s="294"/>
    </row>
    <row r="1082" spans="2:2" s="247" customFormat="1">
      <c r="B1082" s="294"/>
    </row>
    <row r="1083" spans="2:2" s="247" customFormat="1">
      <c r="B1083" s="294"/>
    </row>
    <row r="1084" spans="2:2" s="247" customFormat="1">
      <c r="B1084" s="294"/>
    </row>
    <row r="1085" spans="2:2" s="247" customFormat="1">
      <c r="B1085" s="294"/>
    </row>
    <row r="1086" spans="2:2" s="247" customFormat="1">
      <c r="B1086" s="294"/>
    </row>
    <row r="1087" spans="2:2" s="247" customFormat="1">
      <c r="B1087" s="294"/>
    </row>
    <row r="1088" spans="2:2" s="247" customFormat="1">
      <c r="B1088" s="294"/>
    </row>
    <row r="1089" spans="2:2" s="247" customFormat="1">
      <c r="B1089" s="294"/>
    </row>
    <row r="1090" spans="2:2" s="247" customFormat="1">
      <c r="B1090" s="294"/>
    </row>
    <row r="1091" spans="2:2" s="247" customFormat="1">
      <c r="B1091" s="294"/>
    </row>
    <row r="1092" spans="2:2" s="247" customFormat="1">
      <c r="B1092" s="294"/>
    </row>
    <row r="1093" spans="2:2" s="247" customFormat="1">
      <c r="B1093" s="294"/>
    </row>
    <row r="1094" spans="2:2" s="247" customFormat="1">
      <c r="B1094" s="294"/>
    </row>
    <row r="1095" spans="2:2" s="247" customFormat="1">
      <c r="B1095" s="294"/>
    </row>
    <row r="1096" spans="2:2" s="247" customFormat="1">
      <c r="B1096" s="294"/>
    </row>
    <row r="1097" spans="2:2" s="247" customFormat="1">
      <c r="B1097" s="294"/>
    </row>
    <row r="1098" spans="2:2" s="247" customFormat="1">
      <c r="B1098" s="294"/>
    </row>
    <row r="1099" spans="2:2" s="247" customFormat="1">
      <c r="B1099" s="294"/>
    </row>
    <row r="1100" spans="2:2" s="247" customFormat="1">
      <c r="B1100" s="294"/>
    </row>
    <row r="1101" spans="2:2" s="247" customFormat="1">
      <c r="B1101" s="294"/>
    </row>
    <row r="1102" spans="2:2" s="247" customFormat="1">
      <c r="B1102" s="294"/>
    </row>
    <row r="1103" spans="2:2" s="247" customFormat="1">
      <c r="B1103" s="294"/>
    </row>
    <row r="1104" spans="2:2" s="247" customFormat="1">
      <c r="B1104" s="294"/>
    </row>
    <row r="1105" spans="2:2" s="247" customFormat="1">
      <c r="B1105" s="294"/>
    </row>
    <row r="1106" spans="2:2" s="247" customFormat="1">
      <c r="B1106" s="294"/>
    </row>
    <row r="1107" spans="2:2" s="247" customFormat="1">
      <c r="B1107" s="294"/>
    </row>
    <row r="1108" spans="2:2" s="247" customFormat="1">
      <c r="B1108" s="294"/>
    </row>
    <row r="1109" spans="2:2" s="247" customFormat="1">
      <c r="B1109" s="294"/>
    </row>
    <row r="1110" spans="2:2" s="247" customFormat="1">
      <c r="B1110" s="294"/>
    </row>
    <row r="1111" spans="2:2" s="247" customFormat="1">
      <c r="B1111" s="294"/>
    </row>
    <row r="1112" spans="2:2" s="247" customFormat="1">
      <c r="B1112" s="294"/>
    </row>
    <row r="1113" spans="2:2" s="247" customFormat="1">
      <c r="B1113" s="294"/>
    </row>
    <row r="1114" spans="2:2" s="247" customFormat="1">
      <c r="B1114" s="294"/>
    </row>
    <row r="1115" spans="2:2" s="247" customFormat="1">
      <c r="B1115" s="294"/>
    </row>
    <row r="1116" spans="2:2" s="247" customFormat="1">
      <c r="B1116" s="294"/>
    </row>
    <row r="1117" spans="2:2" s="247" customFormat="1">
      <c r="B1117" s="294"/>
    </row>
    <row r="1118" spans="2:2" s="247" customFormat="1">
      <c r="B1118" s="294"/>
    </row>
    <row r="1119" spans="2:2" s="247" customFormat="1">
      <c r="B1119" s="294"/>
    </row>
    <row r="1120" spans="2:2" s="247" customFormat="1">
      <c r="B1120" s="294"/>
    </row>
    <row r="1121" spans="2:2" s="247" customFormat="1">
      <c r="B1121" s="294"/>
    </row>
    <row r="1122" spans="2:2" s="247" customFormat="1">
      <c r="B1122" s="294"/>
    </row>
    <row r="1123" spans="2:2" s="247" customFormat="1">
      <c r="B1123" s="294"/>
    </row>
    <row r="1124" spans="2:2" s="247" customFormat="1">
      <c r="B1124" s="294"/>
    </row>
    <row r="1125" spans="2:2" s="247" customFormat="1">
      <c r="B1125" s="294"/>
    </row>
    <row r="1126" spans="2:2" s="247" customFormat="1">
      <c r="B1126" s="294"/>
    </row>
    <row r="1127" spans="2:2" s="247" customFormat="1">
      <c r="B1127" s="294"/>
    </row>
    <row r="1128" spans="2:2" s="247" customFormat="1">
      <c r="B1128" s="294"/>
    </row>
    <row r="1129" spans="2:2" s="247" customFormat="1">
      <c r="B1129" s="294"/>
    </row>
    <row r="1130" spans="2:2" s="247" customFormat="1">
      <c r="B1130" s="294"/>
    </row>
    <row r="1131" spans="2:2" s="247" customFormat="1">
      <c r="B1131" s="294"/>
    </row>
    <row r="1132" spans="2:2" s="247" customFormat="1">
      <c r="B1132" s="294"/>
    </row>
    <row r="1133" spans="2:2" s="247" customFormat="1">
      <c r="B1133" s="294"/>
    </row>
    <row r="1134" spans="2:2" s="247" customFormat="1">
      <c r="B1134" s="294"/>
    </row>
    <row r="1135" spans="2:2" s="247" customFormat="1">
      <c r="B1135" s="294"/>
    </row>
    <row r="1136" spans="2:2" s="247" customFormat="1">
      <c r="B1136" s="294"/>
    </row>
    <row r="1137" spans="2:2" s="247" customFormat="1">
      <c r="B1137" s="294"/>
    </row>
    <row r="1138" spans="2:2" s="247" customFormat="1">
      <c r="B1138" s="294"/>
    </row>
    <row r="1139" spans="2:2" s="247" customFormat="1">
      <c r="B1139" s="294"/>
    </row>
    <row r="1140" spans="2:2" s="247" customFormat="1">
      <c r="B1140" s="294"/>
    </row>
    <row r="1141" spans="2:2" s="247" customFormat="1">
      <c r="B1141" s="294"/>
    </row>
    <row r="1142" spans="2:2" s="247" customFormat="1">
      <c r="B1142" s="294"/>
    </row>
    <row r="1143" spans="2:2" s="247" customFormat="1">
      <c r="B1143" s="294"/>
    </row>
    <row r="1144" spans="2:2" s="247" customFormat="1">
      <c r="B1144" s="294"/>
    </row>
    <row r="1145" spans="2:2" s="247" customFormat="1">
      <c r="B1145" s="294"/>
    </row>
    <row r="1146" spans="2:2" s="247" customFormat="1">
      <c r="B1146" s="294"/>
    </row>
    <row r="1147" spans="2:2" s="247" customFormat="1">
      <c r="B1147" s="294"/>
    </row>
    <row r="1148" spans="2:2" s="247" customFormat="1">
      <c r="B1148" s="294"/>
    </row>
    <row r="1149" spans="2:2" s="247" customFormat="1">
      <c r="B1149" s="294"/>
    </row>
    <row r="1150" spans="2:2" s="247" customFormat="1">
      <c r="B1150" s="294"/>
    </row>
    <row r="1151" spans="2:2" s="247" customFormat="1">
      <c r="B1151" s="294"/>
    </row>
    <row r="1152" spans="2:2" s="247" customFormat="1">
      <c r="B1152" s="294"/>
    </row>
    <row r="1153" spans="2:2" s="247" customFormat="1">
      <c r="B1153" s="294"/>
    </row>
    <row r="1154" spans="2:2" s="247" customFormat="1">
      <c r="B1154" s="294"/>
    </row>
    <row r="1155" spans="2:2" s="247" customFormat="1">
      <c r="B1155" s="294"/>
    </row>
    <row r="1156" spans="2:2" s="247" customFormat="1">
      <c r="B1156" s="294"/>
    </row>
    <row r="1157" spans="2:2" s="247" customFormat="1">
      <c r="B1157" s="294"/>
    </row>
    <row r="1158" spans="2:2" s="247" customFormat="1">
      <c r="B1158" s="294"/>
    </row>
    <row r="1159" spans="2:2" s="247" customFormat="1">
      <c r="B1159" s="294"/>
    </row>
    <row r="1160" spans="2:2" s="247" customFormat="1">
      <c r="B1160" s="294"/>
    </row>
    <row r="1161" spans="2:2" s="247" customFormat="1">
      <c r="B1161" s="294"/>
    </row>
    <row r="1162" spans="2:2" s="247" customFormat="1">
      <c r="B1162" s="294"/>
    </row>
    <row r="1163" spans="2:2" s="247" customFormat="1">
      <c r="B1163" s="294"/>
    </row>
    <row r="1164" spans="2:2" s="247" customFormat="1">
      <c r="B1164" s="294"/>
    </row>
    <row r="1165" spans="2:2" s="247" customFormat="1">
      <c r="B1165" s="294"/>
    </row>
    <row r="1166" spans="2:2" s="247" customFormat="1">
      <c r="B1166" s="294"/>
    </row>
    <row r="1167" spans="2:2" s="247" customFormat="1">
      <c r="B1167" s="294"/>
    </row>
    <row r="1168" spans="2:2" s="247" customFormat="1">
      <c r="B1168" s="294"/>
    </row>
    <row r="1169" spans="2:2" s="247" customFormat="1">
      <c r="B1169" s="294"/>
    </row>
    <row r="1170" spans="2:2" s="247" customFormat="1">
      <c r="B1170" s="294"/>
    </row>
    <row r="1171" spans="2:2" s="247" customFormat="1">
      <c r="B1171" s="294"/>
    </row>
    <row r="1172" spans="2:2" s="247" customFormat="1">
      <c r="B1172" s="294"/>
    </row>
    <row r="1173" spans="2:2" s="247" customFormat="1">
      <c r="B1173" s="294"/>
    </row>
    <row r="1174" spans="2:2" s="247" customFormat="1">
      <c r="B1174" s="294"/>
    </row>
    <row r="1175" spans="2:2" s="247" customFormat="1">
      <c r="B1175" s="294"/>
    </row>
    <row r="1176" spans="2:2" s="247" customFormat="1">
      <c r="B1176" s="294"/>
    </row>
    <row r="1177" spans="2:2" s="247" customFormat="1">
      <c r="B1177" s="294"/>
    </row>
    <row r="1178" spans="2:2" s="247" customFormat="1">
      <c r="B1178" s="294"/>
    </row>
    <row r="1179" spans="2:2" s="247" customFormat="1">
      <c r="B1179" s="294"/>
    </row>
    <row r="1180" spans="2:2" s="247" customFormat="1">
      <c r="B1180" s="294"/>
    </row>
    <row r="1181" spans="2:2" s="247" customFormat="1">
      <c r="B1181" s="294"/>
    </row>
    <row r="1182" spans="2:2" s="247" customFormat="1">
      <c r="B1182" s="294"/>
    </row>
    <row r="1183" spans="2:2" s="247" customFormat="1">
      <c r="B1183" s="294"/>
    </row>
    <row r="1184" spans="2:2" s="247" customFormat="1">
      <c r="B1184" s="294"/>
    </row>
    <row r="1185" spans="2:2" s="247" customFormat="1">
      <c r="B1185" s="294"/>
    </row>
    <row r="1186" spans="2:2" s="247" customFormat="1">
      <c r="B1186" s="294"/>
    </row>
    <row r="1187" spans="2:2" s="247" customFormat="1">
      <c r="B1187" s="294"/>
    </row>
    <row r="1188" spans="2:2" s="247" customFormat="1">
      <c r="B1188" s="294"/>
    </row>
    <row r="1189" spans="2:2" s="247" customFormat="1">
      <c r="B1189" s="294"/>
    </row>
    <row r="1190" spans="2:2" s="247" customFormat="1">
      <c r="B1190" s="294"/>
    </row>
    <row r="1191" spans="2:2" s="247" customFormat="1">
      <c r="B1191" s="294"/>
    </row>
    <row r="1192" spans="2:2" s="247" customFormat="1">
      <c r="B1192" s="294"/>
    </row>
    <row r="1193" spans="2:2" s="247" customFormat="1">
      <c r="B1193" s="294"/>
    </row>
    <row r="1194" spans="2:2" s="247" customFormat="1">
      <c r="B1194" s="294"/>
    </row>
    <row r="1195" spans="2:2" s="247" customFormat="1">
      <c r="B1195" s="294"/>
    </row>
    <row r="1196" spans="2:2" s="247" customFormat="1">
      <c r="B1196" s="294"/>
    </row>
    <row r="1197" spans="2:2" s="247" customFormat="1">
      <c r="B1197" s="294"/>
    </row>
    <row r="1198" spans="2:2" s="247" customFormat="1">
      <c r="B1198" s="294"/>
    </row>
    <row r="1199" spans="2:2" s="247" customFormat="1">
      <c r="B1199" s="294"/>
    </row>
    <row r="1200" spans="2:2" s="247" customFormat="1">
      <c r="B1200" s="294"/>
    </row>
    <row r="1201" spans="2:2" s="247" customFormat="1">
      <c r="B1201" s="294"/>
    </row>
    <row r="1202" spans="2:2" s="247" customFormat="1">
      <c r="B1202" s="294"/>
    </row>
    <row r="1203" spans="2:2" s="247" customFormat="1">
      <c r="B1203" s="294"/>
    </row>
    <row r="1204" spans="2:2" s="247" customFormat="1">
      <c r="B1204" s="294"/>
    </row>
    <row r="1205" spans="2:2" s="247" customFormat="1">
      <c r="B1205" s="294"/>
    </row>
    <row r="1206" spans="2:2" s="247" customFormat="1">
      <c r="B1206" s="294"/>
    </row>
    <row r="1207" spans="2:2" s="247" customFormat="1">
      <c r="B1207" s="294"/>
    </row>
    <row r="1208" spans="2:2" s="247" customFormat="1">
      <c r="B1208" s="294"/>
    </row>
    <row r="1209" spans="2:2" s="247" customFormat="1">
      <c r="B1209" s="294"/>
    </row>
    <row r="1210" spans="2:2" s="247" customFormat="1">
      <c r="B1210" s="294"/>
    </row>
    <row r="1211" spans="2:2" s="247" customFormat="1">
      <c r="B1211" s="294"/>
    </row>
    <row r="1212" spans="2:2" s="247" customFormat="1">
      <c r="B1212" s="294"/>
    </row>
    <row r="1213" spans="2:2" s="247" customFormat="1">
      <c r="B1213" s="294"/>
    </row>
    <row r="1214" spans="2:2" s="247" customFormat="1">
      <c r="B1214" s="294"/>
    </row>
    <row r="1215" spans="2:2" s="247" customFormat="1">
      <c r="B1215" s="294"/>
    </row>
    <row r="1216" spans="2:2" s="247" customFormat="1">
      <c r="B1216" s="294"/>
    </row>
    <row r="1217" spans="2:2" s="247" customFormat="1">
      <c r="B1217" s="294"/>
    </row>
    <row r="1218" spans="2:2" s="247" customFormat="1">
      <c r="B1218" s="294"/>
    </row>
    <row r="1219" spans="2:2" s="247" customFormat="1">
      <c r="B1219" s="294"/>
    </row>
    <row r="1220" spans="2:2" s="247" customFormat="1">
      <c r="B1220" s="294"/>
    </row>
    <row r="1221" spans="2:2" s="247" customFormat="1">
      <c r="B1221" s="294"/>
    </row>
    <row r="1222" spans="2:2" s="247" customFormat="1">
      <c r="B1222" s="294"/>
    </row>
    <row r="1223" spans="2:2" s="247" customFormat="1">
      <c r="B1223" s="294"/>
    </row>
    <row r="1224" spans="2:2" s="247" customFormat="1">
      <c r="B1224" s="294"/>
    </row>
    <row r="1225" spans="2:2" s="247" customFormat="1">
      <c r="B1225" s="294"/>
    </row>
    <row r="1226" spans="2:2" s="247" customFormat="1">
      <c r="B1226" s="294"/>
    </row>
    <row r="1227" spans="2:2" s="247" customFormat="1">
      <c r="B1227" s="294"/>
    </row>
    <row r="1228" spans="2:2" s="247" customFormat="1">
      <c r="B1228" s="294"/>
    </row>
    <row r="1229" spans="2:2" s="247" customFormat="1">
      <c r="B1229" s="294"/>
    </row>
    <row r="1230" spans="2:2" s="247" customFormat="1">
      <c r="B1230" s="294"/>
    </row>
    <row r="1231" spans="2:2" s="247" customFormat="1">
      <c r="B1231" s="294"/>
    </row>
    <row r="1232" spans="2:2" s="247" customFormat="1">
      <c r="B1232" s="294"/>
    </row>
    <row r="1233" spans="2:2" s="247" customFormat="1">
      <c r="B1233" s="294"/>
    </row>
    <row r="1234" spans="2:2" s="247" customFormat="1">
      <c r="B1234" s="294"/>
    </row>
    <row r="1235" spans="2:2" s="247" customFormat="1">
      <c r="B1235" s="294"/>
    </row>
    <row r="1236" spans="2:2" s="247" customFormat="1">
      <c r="B1236" s="294"/>
    </row>
    <row r="1237" spans="2:2" s="247" customFormat="1">
      <c r="B1237" s="294"/>
    </row>
    <row r="1238" spans="2:2" s="247" customFormat="1">
      <c r="B1238" s="294"/>
    </row>
    <row r="1239" spans="2:2" s="247" customFormat="1">
      <c r="B1239" s="294"/>
    </row>
    <row r="1240" spans="2:2" s="247" customFormat="1">
      <c r="B1240" s="294"/>
    </row>
    <row r="1241" spans="2:2" s="247" customFormat="1">
      <c r="B1241" s="294"/>
    </row>
    <row r="1242" spans="2:2" s="247" customFormat="1">
      <c r="B1242" s="294"/>
    </row>
    <row r="1243" spans="2:2" s="247" customFormat="1">
      <c r="B1243" s="294"/>
    </row>
    <row r="1244" spans="2:2" s="247" customFormat="1">
      <c r="B1244" s="294"/>
    </row>
    <row r="1245" spans="2:2" s="247" customFormat="1">
      <c r="B1245" s="294"/>
    </row>
    <row r="1246" spans="2:2" s="247" customFormat="1">
      <c r="B1246" s="294"/>
    </row>
    <row r="1247" spans="2:2" s="247" customFormat="1">
      <c r="B1247" s="294"/>
    </row>
    <row r="1248" spans="2:2" s="247" customFormat="1">
      <c r="B1248" s="294"/>
    </row>
    <row r="1249" spans="2:2" s="247" customFormat="1">
      <c r="B1249" s="294"/>
    </row>
    <row r="1250" spans="2:2" s="247" customFormat="1">
      <c r="B1250" s="294"/>
    </row>
    <row r="1251" spans="2:2" s="247" customFormat="1">
      <c r="B1251" s="294"/>
    </row>
    <row r="1252" spans="2:2" s="247" customFormat="1">
      <c r="B1252" s="294"/>
    </row>
    <row r="1253" spans="2:2" s="247" customFormat="1">
      <c r="B1253" s="294"/>
    </row>
    <row r="1254" spans="2:2" s="247" customFormat="1">
      <c r="B1254" s="294"/>
    </row>
    <row r="1255" spans="2:2" s="247" customFormat="1">
      <c r="B1255" s="294"/>
    </row>
    <row r="1256" spans="2:2" s="247" customFormat="1">
      <c r="B1256" s="294"/>
    </row>
    <row r="1257" spans="2:2" s="247" customFormat="1">
      <c r="B1257" s="294"/>
    </row>
    <row r="1258" spans="2:2" s="247" customFormat="1">
      <c r="B1258" s="294"/>
    </row>
    <row r="1259" spans="2:2" s="247" customFormat="1">
      <c r="B1259" s="294"/>
    </row>
    <row r="1260" spans="2:2" s="247" customFormat="1">
      <c r="B1260" s="294"/>
    </row>
    <row r="1261" spans="2:2" s="247" customFormat="1">
      <c r="B1261" s="294"/>
    </row>
    <row r="1262" spans="2:2" s="247" customFormat="1">
      <c r="B1262" s="294"/>
    </row>
    <row r="1263" spans="2:2" s="247" customFormat="1">
      <c r="B1263" s="294"/>
    </row>
    <row r="1264" spans="2:2" s="247" customFormat="1">
      <c r="B1264" s="294"/>
    </row>
    <row r="1265" spans="2:2" s="247" customFormat="1">
      <c r="B1265" s="294"/>
    </row>
    <row r="1266" spans="2:2" s="247" customFormat="1">
      <c r="B1266" s="294"/>
    </row>
    <row r="1267" spans="2:2" s="247" customFormat="1">
      <c r="B1267" s="294"/>
    </row>
    <row r="1268" spans="2:2" s="247" customFormat="1">
      <c r="B1268" s="294"/>
    </row>
    <row r="1269" spans="2:2" s="247" customFormat="1">
      <c r="B1269" s="294"/>
    </row>
    <row r="1270" spans="2:2" s="247" customFormat="1">
      <c r="B1270" s="294"/>
    </row>
    <row r="1271" spans="2:2" s="247" customFormat="1">
      <c r="B1271" s="294"/>
    </row>
    <row r="1272" spans="2:2" s="247" customFormat="1">
      <c r="B1272" s="294"/>
    </row>
    <row r="1273" spans="2:2" s="247" customFormat="1">
      <c r="B1273" s="294"/>
    </row>
    <row r="1274" spans="2:2" s="247" customFormat="1">
      <c r="B1274" s="294"/>
    </row>
    <row r="1275" spans="2:2" s="247" customFormat="1">
      <c r="B1275" s="294"/>
    </row>
    <row r="1276" spans="2:2" s="247" customFormat="1">
      <c r="B1276" s="294"/>
    </row>
    <row r="1277" spans="2:2" s="247" customFormat="1">
      <c r="B1277" s="294"/>
    </row>
    <row r="1278" spans="2:2" s="247" customFormat="1">
      <c r="B1278" s="294"/>
    </row>
    <row r="1279" spans="2:2" s="247" customFormat="1">
      <c r="B1279" s="294"/>
    </row>
    <row r="1280" spans="2:2" s="247" customFormat="1">
      <c r="B1280" s="294"/>
    </row>
    <row r="1281" spans="2:2" s="247" customFormat="1">
      <c r="B1281" s="294"/>
    </row>
    <row r="1282" spans="2:2" s="247" customFormat="1">
      <c r="B1282" s="294"/>
    </row>
    <row r="1283" spans="2:2" s="247" customFormat="1">
      <c r="B1283" s="294"/>
    </row>
    <row r="1284" spans="2:2" s="247" customFormat="1">
      <c r="B1284" s="294"/>
    </row>
    <row r="1285" spans="2:2" s="247" customFormat="1">
      <c r="B1285" s="294"/>
    </row>
    <row r="1286" spans="2:2" s="247" customFormat="1">
      <c r="B1286" s="294"/>
    </row>
    <row r="1287" spans="2:2" s="247" customFormat="1">
      <c r="B1287" s="294"/>
    </row>
    <row r="1288" spans="2:2" s="247" customFormat="1">
      <c r="B1288" s="294"/>
    </row>
    <row r="1289" spans="2:2" s="247" customFormat="1">
      <c r="B1289" s="294"/>
    </row>
    <row r="1290" spans="2:2" s="247" customFormat="1">
      <c r="B1290" s="294"/>
    </row>
    <row r="1291" spans="2:2" s="247" customFormat="1">
      <c r="B1291" s="294"/>
    </row>
    <row r="1292" spans="2:2" s="247" customFormat="1">
      <c r="B1292" s="294"/>
    </row>
    <row r="1293" spans="2:2" s="247" customFormat="1">
      <c r="B1293" s="294"/>
    </row>
    <row r="1294" spans="2:2" s="247" customFormat="1">
      <c r="B1294" s="294"/>
    </row>
    <row r="1295" spans="2:2" s="247" customFormat="1">
      <c r="B1295" s="294"/>
    </row>
    <row r="1296" spans="2:2" s="247" customFormat="1">
      <c r="B1296" s="294"/>
    </row>
    <row r="1297" spans="2:2" s="247" customFormat="1">
      <c r="B1297" s="294"/>
    </row>
    <row r="1298" spans="2:2" s="247" customFormat="1">
      <c r="B1298" s="294"/>
    </row>
    <row r="1299" spans="2:2" s="247" customFormat="1">
      <c r="B1299" s="294"/>
    </row>
    <row r="1300" spans="2:2" s="247" customFormat="1">
      <c r="B1300" s="294"/>
    </row>
    <row r="1301" spans="2:2" s="247" customFormat="1">
      <c r="B1301" s="294"/>
    </row>
    <row r="1302" spans="2:2" s="247" customFormat="1">
      <c r="B1302" s="294"/>
    </row>
    <row r="1303" spans="2:2" s="247" customFormat="1">
      <c r="B1303" s="294"/>
    </row>
    <row r="1304" spans="2:2" s="247" customFormat="1">
      <c r="B1304" s="294"/>
    </row>
    <row r="1305" spans="2:2" s="247" customFormat="1">
      <c r="B1305" s="294"/>
    </row>
    <row r="1306" spans="2:2" s="247" customFormat="1">
      <c r="B1306" s="294"/>
    </row>
    <row r="1307" spans="2:2" s="247" customFormat="1">
      <c r="B1307" s="294"/>
    </row>
    <row r="1308" spans="2:2" s="247" customFormat="1">
      <c r="B1308" s="294"/>
    </row>
    <row r="1309" spans="2:2" s="247" customFormat="1">
      <c r="B1309" s="294"/>
    </row>
    <row r="1310" spans="2:2" s="247" customFormat="1">
      <c r="B1310" s="294"/>
    </row>
    <row r="1311" spans="2:2" s="247" customFormat="1">
      <c r="B1311" s="294"/>
    </row>
    <row r="1312" spans="2:2" s="247" customFormat="1">
      <c r="B1312" s="294"/>
    </row>
    <row r="1313" spans="2:2" s="247" customFormat="1">
      <c r="B1313" s="294"/>
    </row>
    <row r="1314" spans="2:2" s="247" customFormat="1">
      <c r="B1314" s="294"/>
    </row>
    <row r="1315" spans="2:2" s="247" customFormat="1">
      <c r="B1315" s="294"/>
    </row>
    <row r="1316" spans="2:2" s="247" customFormat="1">
      <c r="B1316" s="294"/>
    </row>
    <row r="1317" spans="2:2" s="247" customFormat="1">
      <c r="B1317" s="294"/>
    </row>
    <row r="1318" spans="2:2" s="247" customFormat="1">
      <c r="B1318" s="294"/>
    </row>
    <row r="1319" spans="2:2" s="247" customFormat="1">
      <c r="B1319" s="294"/>
    </row>
    <row r="1320" spans="2:2" s="247" customFormat="1">
      <c r="B1320" s="294"/>
    </row>
    <row r="1321" spans="2:2" s="247" customFormat="1">
      <c r="B1321" s="294"/>
    </row>
    <row r="1322" spans="2:2" s="247" customFormat="1">
      <c r="B1322" s="294"/>
    </row>
    <row r="1323" spans="2:2" s="247" customFormat="1">
      <c r="B1323" s="294"/>
    </row>
    <row r="1324" spans="2:2" s="247" customFormat="1">
      <c r="B1324" s="294"/>
    </row>
    <row r="1325" spans="2:2" s="247" customFormat="1">
      <c r="B1325" s="294"/>
    </row>
    <row r="1326" spans="2:2" s="247" customFormat="1">
      <c r="B1326" s="294"/>
    </row>
    <row r="1327" spans="2:2" s="247" customFormat="1">
      <c r="B1327" s="294"/>
    </row>
    <row r="1328" spans="2:2" s="247" customFormat="1">
      <c r="B1328" s="294"/>
    </row>
    <row r="1329" spans="2:2" s="247" customFormat="1">
      <c r="B1329" s="294"/>
    </row>
    <row r="1330" spans="2:2" s="247" customFormat="1">
      <c r="B1330" s="294"/>
    </row>
    <row r="1331" spans="2:2" s="247" customFormat="1">
      <c r="B1331" s="294"/>
    </row>
    <row r="1332" spans="2:2" s="247" customFormat="1">
      <c r="B1332" s="294"/>
    </row>
    <row r="1333" spans="2:2" s="247" customFormat="1">
      <c r="B1333" s="294"/>
    </row>
    <row r="1334" spans="2:2" s="247" customFormat="1">
      <c r="B1334" s="294"/>
    </row>
    <row r="1335" spans="2:2" s="247" customFormat="1">
      <c r="B1335" s="294"/>
    </row>
    <row r="1336" spans="2:2" s="247" customFormat="1">
      <c r="B1336" s="294"/>
    </row>
    <row r="1337" spans="2:2" s="247" customFormat="1">
      <c r="B1337" s="294"/>
    </row>
    <row r="1338" spans="2:2" s="247" customFormat="1">
      <c r="B1338" s="294"/>
    </row>
    <row r="1339" spans="2:2" s="247" customFormat="1">
      <c r="B1339" s="294"/>
    </row>
    <row r="1340" spans="2:2" s="247" customFormat="1">
      <c r="B1340" s="294"/>
    </row>
    <row r="1341" spans="2:2" s="247" customFormat="1">
      <c r="B1341" s="294"/>
    </row>
    <row r="1342" spans="2:2" s="247" customFormat="1">
      <c r="B1342" s="294"/>
    </row>
    <row r="1343" spans="2:2" s="247" customFormat="1">
      <c r="B1343" s="294"/>
    </row>
    <row r="1344" spans="2:2" s="247" customFormat="1">
      <c r="B1344" s="294"/>
    </row>
    <row r="1345" spans="2:2" s="247" customFormat="1">
      <c r="B1345" s="294"/>
    </row>
    <row r="1346" spans="2:2" s="247" customFormat="1">
      <c r="B1346" s="294"/>
    </row>
    <row r="1347" spans="2:2" s="247" customFormat="1">
      <c r="B1347" s="294"/>
    </row>
    <row r="1348" spans="2:2" s="247" customFormat="1">
      <c r="B1348" s="294"/>
    </row>
    <row r="1349" spans="2:2" s="247" customFormat="1">
      <c r="B1349" s="294"/>
    </row>
    <row r="1350" spans="2:2" s="247" customFormat="1">
      <c r="B1350" s="294"/>
    </row>
    <row r="1351" spans="2:2" s="247" customFormat="1">
      <c r="B1351" s="294"/>
    </row>
    <row r="1352" spans="2:2" s="247" customFormat="1">
      <c r="B1352" s="294"/>
    </row>
    <row r="1353" spans="2:2" s="247" customFormat="1">
      <c r="B1353" s="294"/>
    </row>
    <row r="1354" spans="2:2" s="247" customFormat="1">
      <c r="B1354" s="294"/>
    </row>
    <row r="1355" spans="2:2" s="247" customFormat="1">
      <c r="B1355" s="294"/>
    </row>
    <row r="1356" spans="2:2" s="247" customFormat="1">
      <c r="B1356" s="294"/>
    </row>
    <row r="1357" spans="2:2" s="247" customFormat="1">
      <c r="B1357" s="294"/>
    </row>
    <row r="1358" spans="2:2" s="247" customFormat="1">
      <c r="B1358" s="294"/>
    </row>
    <row r="1359" spans="2:2" s="247" customFormat="1">
      <c r="B1359" s="294"/>
    </row>
    <row r="1360" spans="2:2" s="247" customFormat="1">
      <c r="B1360" s="294"/>
    </row>
    <row r="1361" spans="2:2" s="247" customFormat="1">
      <c r="B1361" s="294"/>
    </row>
    <row r="1362" spans="2:2" s="247" customFormat="1">
      <c r="B1362" s="294"/>
    </row>
    <row r="1363" spans="2:2" s="247" customFormat="1">
      <c r="B1363" s="294"/>
    </row>
    <row r="1364" spans="2:2" s="247" customFormat="1">
      <c r="B1364" s="294"/>
    </row>
    <row r="1365" spans="2:2" s="247" customFormat="1">
      <c r="B1365" s="294"/>
    </row>
    <row r="1366" spans="2:2" s="247" customFormat="1">
      <c r="B1366" s="294"/>
    </row>
    <row r="1367" spans="2:2" s="247" customFormat="1">
      <c r="B1367" s="294"/>
    </row>
    <row r="1368" spans="2:2" s="247" customFormat="1">
      <c r="B1368" s="294"/>
    </row>
    <row r="1369" spans="2:2" s="247" customFormat="1">
      <c r="B1369" s="294"/>
    </row>
    <row r="1370" spans="2:2" s="247" customFormat="1">
      <c r="B1370" s="294"/>
    </row>
    <row r="1371" spans="2:2" s="247" customFormat="1">
      <c r="B1371" s="294"/>
    </row>
    <row r="1372" spans="2:2" s="247" customFormat="1">
      <c r="B1372" s="294"/>
    </row>
    <row r="1373" spans="2:2" s="247" customFormat="1">
      <c r="B1373" s="294"/>
    </row>
    <row r="1374" spans="2:2" s="247" customFormat="1">
      <c r="B1374" s="294"/>
    </row>
    <row r="1375" spans="2:2" s="247" customFormat="1">
      <c r="B1375" s="294"/>
    </row>
    <row r="1376" spans="2:2" s="247" customFormat="1">
      <c r="B1376" s="294"/>
    </row>
    <row r="1377" spans="2:2" s="247" customFormat="1">
      <c r="B1377" s="294"/>
    </row>
    <row r="1378" spans="2:2" s="247" customFormat="1">
      <c r="B1378" s="294"/>
    </row>
    <row r="1379" spans="2:2" s="247" customFormat="1">
      <c r="B1379" s="294"/>
    </row>
    <row r="1380" spans="2:2" s="247" customFormat="1">
      <c r="B1380" s="294"/>
    </row>
    <row r="1381" spans="2:2" s="247" customFormat="1">
      <c r="B1381" s="294"/>
    </row>
    <row r="1382" spans="2:2" s="247" customFormat="1">
      <c r="B1382" s="294"/>
    </row>
    <row r="1383" spans="2:2" s="247" customFormat="1">
      <c r="B1383" s="294"/>
    </row>
    <row r="1384" spans="2:2" s="247" customFormat="1">
      <c r="B1384" s="294"/>
    </row>
    <row r="1385" spans="2:2" s="247" customFormat="1">
      <c r="B1385" s="294"/>
    </row>
    <row r="1386" spans="2:2" s="247" customFormat="1">
      <c r="B1386" s="294"/>
    </row>
    <row r="1387" spans="2:2" s="247" customFormat="1">
      <c r="B1387" s="294"/>
    </row>
    <row r="1388" spans="2:2" s="247" customFormat="1">
      <c r="B1388" s="294"/>
    </row>
    <row r="1389" spans="2:2" s="247" customFormat="1">
      <c r="B1389" s="294"/>
    </row>
    <row r="1390" spans="2:2" s="247" customFormat="1">
      <c r="B1390" s="294"/>
    </row>
    <row r="1391" spans="2:2" s="247" customFormat="1">
      <c r="B1391" s="294"/>
    </row>
    <row r="1392" spans="2:2" s="247" customFormat="1">
      <c r="B1392" s="294"/>
    </row>
    <row r="1393" spans="2:2" s="247" customFormat="1">
      <c r="B1393" s="294"/>
    </row>
    <row r="1394" spans="2:2" s="247" customFormat="1">
      <c r="B1394" s="294"/>
    </row>
    <row r="1395" spans="2:2" s="247" customFormat="1">
      <c r="B1395" s="294"/>
    </row>
    <row r="1396" spans="2:2" s="247" customFormat="1">
      <c r="B1396" s="294"/>
    </row>
    <row r="1397" spans="2:2" s="247" customFormat="1">
      <c r="B1397" s="294"/>
    </row>
  </sheetData>
  <autoFilter ref="A9:F336"/>
  <mergeCells count="46">
    <mergeCell ref="A123:E123"/>
    <mergeCell ref="A54:E54"/>
    <mergeCell ref="A55:D55"/>
    <mergeCell ref="A56:D56"/>
    <mergeCell ref="A58:E58"/>
    <mergeCell ref="A71:E71"/>
    <mergeCell ref="A72:D72"/>
    <mergeCell ref="A73:D73"/>
    <mergeCell ref="A75:E75"/>
    <mergeCell ref="A57:D57"/>
    <mergeCell ref="A74:D74"/>
    <mergeCell ref="A126:D126"/>
    <mergeCell ref="A146:D146"/>
    <mergeCell ref="B198:D198"/>
    <mergeCell ref="B219:E219"/>
    <mergeCell ref="A214:E214"/>
    <mergeCell ref="A215:D215"/>
    <mergeCell ref="A216:D216"/>
    <mergeCell ref="A218:E218"/>
    <mergeCell ref="A217:D217"/>
    <mergeCell ref="A197:E197"/>
    <mergeCell ref="A196:D196"/>
    <mergeCell ref="A195:D195"/>
    <mergeCell ref="A194:D194"/>
    <mergeCell ref="A193:E193"/>
    <mergeCell ref="A3:A5"/>
    <mergeCell ref="B3:E3"/>
    <mergeCell ref="B4:E4"/>
    <mergeCell ref="C5:E5"/>
    <mergeCell ref="F3:F5"/>
    <mergeCell ref="A221:E221"/>
    <mergeCell ref="A124:D124"/>
    <mergeCell ref="A125:D125"/>
    <mergeCell ref="A8:F8"/>
    <mergeCell ref="B11:F11"/>
    <mergeCell ref="B59:D59"/>
    <mergeCell ref="B78:F78"/>
    <mergeCell ref="A127:E127"/>
    <mergeCell ref="B128:D128"/>
    <mergeCell ref="A145:D145"/>
    <mergeCell ref="A147:E147"/>
    <mergeCell ref="A148:E148"/>
    <mergeCell ref="B150:F150"/>
    <mergeCell ref="A143:E143"/>
    <mergeCell ref="A144:D144"/>
    <mergeCell ref="A76:E76"/>
  </mergeCells>
  <phoneticPr fontId="0" type="noConversion"/>
  <printOptions horizontalCentered="1"/>
  <pageMargins left="0.23622047244094491" right="0.23622047244094491" top="0.74803149606299213" bottom="0.74803149606299213" header="0.31496062992125984" footer="0.31496062992125984"/>
  <pageSetup scale="52" fitToHeight="0" orientation="portrait" horizontalDpi="360" verticalDpi="360" r:id="rId1"/>
  <headerFooter alignWithMargins="0">
    <oddFooter>&amp;C&amp;"Gill Sans MT,Normal"&amp;P de &amp;N</oddFooter>
  </headerFooter>
  <rowBreaks count="2" manualBreakCount="2">
    <brk id="191" max="5" man="1"/>
    <brk id="212" max="5"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3" tint="-0.249977111117893"/>
  </sheetPr>
  <dimension ref="A1:IV1095"/>
  <sheetViews>
    <sheetView view="pageBreakPreview" zoomScale="85" zoomScaleNormal="70" zoomScaleSheetLayoutView="85" zoomScalePageLayoutView="10" workbookViewId="0">
      <selection activeCell="E10" sqref="E10"/>
    </sheetView>
  </sheetViews>
  <sheetFormatPr baseColWidth="10" defaultColWidth="11.44140625" defaultRowHeight="15" customHeight="1"/>
  <cols>
    <col min="1" max="1" width="33" style="1277" customWidth="1"/>
    <col min="2" max="2" width="65.5546875" style="1278" customWidth="1"/>
    <col min="3" max="3" width="12" style="1279" bestFit="1" customWidth="1"/>
    <col min="4" max="4" width="8.109375" style="402" customWidth="1"/>
    <col min="5" max="5" width="13.88671875" style="1280" customWidth="1"/>
    <col min="6" max="6" width="20.6640625" style="1280" customWidth="1"/>
    <col min="7" max="7" width="15.33203125" style="1280" customWidth="1"/>
    <col min="8" max="8" width="18.33203125" style="1280" bestFit="1" customWidth="1"/>
    <col min="9" max="9" width="11.5546875" style="1280" bestFit="1" customWidth="1"/>
    <col min="10" max="10" width="6.88671875" style="402" customWidth="1"/>
    <col min="11" max="11" width="13.6640625" style="402" bestFit="1" customWidth="1"/>
    <col min="12" max="12" width="20.6640625" style="402" customWidth="1"/>
    <col min="13" max="16384" width="11.44140625" style="402"/>
  </cols>
  <sheetData>
    <row r="1" spans="1:12" s="492" customFormat="1" ht="12.75" customHeight="1" thickBot="1">
      <c r="A1" s="946"/>
      <c r="B1" s="947"/>
      <c r="C1" s="947"/>
      <c r="D1" s="947"/>
      <c r="E1" s="947"/>
      <c r="F1" s="948"/>
    </row>
    <row r="2" spans="1:12" s="492" customFormat="1" ht="34.5" customHeight="1">
      <c r="A2" s="3493"/>
      <c r="B2" s="3626" t="s">
        <v>6313</v>
      </c>
      <c r="C2" s="3627"/>
      <c r="D2" s="3627"/>
      <c r="E2" s="3627"/>
      <c r="F2" s="3627"/>
      <c r="G2" s="3627"/>
      <c r="H2" s="3302"/>
      <c r="I2" s="3303"/>
    </row>
    <row r="3" spans="1:12" s="492" customFormat="1" ht="19.2">
      <c r="A3" s="3494"/>
      <c r="B3" s="3628" t="s">
        <v>4260</v>
      </c>
      <c r="C3" s="3629"/>
      <c r="D3" s="3629"/>
      <c r="E3" s="3629"/>
      <c r="F3" s="3629"/>
      <c r="G3" s="3629"/>
      <c r="H3" s="3304"/>
      <c r="I3" s="3305"/>
    </row>
    <row r="4" spans="1:12" s="492" customFormat="1" ht="19.8" thickBot="1">
      <c r="A4" s="3495"/>
      <c r="B4" s="3311" t="s">
        <v>3859</v>
      </c>
      <c r="C4" s="3311"/>
      <c r="D4" s="3497" t="s">
        <v>8577</v>
      </c>
      <c r="E4" s="3497"/>
      <c r="F4" s="3497"/>
      <c r="G4" s="3497"/>
      <c r="H4" s="3306"/>
      <c r="I4" s="3307"/>
    </row>
    <row r="5" spans="1:12" s="492" customFormat="1" ht="16.8">
      <c r="A5" s="178"/>
      <c r="B5" s="578"/>
      <c r="C5" s="666"/>
      <c r="D5" s="17"/>
      <c r="E5" s="581"/>
      <c r="F5" s="581"/>
      <c r="G5" s="581"/>
      <c r="H5" s="581"/>
      <c r="I5" s="581"/>
    </row>
    <row r="6" spans="1:12" ht="15" customHeight="1">
      <c r="A6" s="1270"/>
      <c r="D6" s="1789"/>
      <c r="E6" s="1789"/>
      <c r="F6" s="1789"/>
      <c r="G6" s="1789"/>
      <c r="H6" s="1790"/>
      <c r="I6" s="1790"/>
      <c r="L6" s="1791"/>
    </row>
    <row r="7" spans="1:12" ht="15" customHeight="1">
      <c r="A7" s="3632" t="s">
        <v>6956</v>
      </c>
      <c r="B7" s="3632"/>
      <c r="C7" s="3632"/>
      <c r="D7" s="3632"/>
      <c r="E7" s="3632"/>
      <c r="F7" s="3632"/>
      <c r="G7" s="3632"/>
      <c r="H7" s="3632"/>
      <c r="I7" s="3632"/>
      <c r="L7" s="1791"/>
    </row>
    <row r="8" spans="1:12" ht="15" customHeight="1">
      <c r="A8" s="1270"/>
      <c r="D8" s="1789"/>
      <c r="E8" s="1789"/>
      <c r="F8" s="1789"/>
      <c r="G8" s="1789"/>
      <c r="H8" s="1790"/>
      <c r="I8" s="1790"/>
      <c r="L8" s="1791"/>
    </row>
    <row r="9" spans="1:12" s="507" customFormat="1" ht="15" customHeight="1">
      <c r="A9" s="3616" t="s">
        <v>8025</v>
      </c>
      <c r="B9" s="3617"/>
      <c r="C9" s="3617"/>
      <c r="D9" s="3617"/>
      <c r="E9" s="3617"/>
      <c r="F9" s="3617"/>
      <c r="G9" s="3617"/>
      <c r="H9" s="3617"/>
      <c r="I9" s="3618"/>
      <c r="K9" s="507">
        <v>148.84021799091829</v>
      </c>
    </row>
    <row r="10" spans="1:12" s="507" customFormat="1" ht="15" customHeight="1">
      <c r="A10" s="1270"/>
      <c r="B10" s="1792"/>
      <c r="C10" s="862"/>
      <c r="D10" s="863"/>
      <c r="E10" s="864"/>
      <c r="F10" s="864"/>
      <c r="G10" s="864"/>
      <c r="H10" s="864"/>
      <c r="I10" s="864"/>
    </row>
    <row r="11" spans="1:12" ht="15" customHeight="1">
      <c r="A11" s="434" t="str">
        <f>+CONCATENATE('LINEAS IMPULSIÓN-CONDUCCIÓN'!A14," ",'LINEAS IMPULSIÓN-CONDUCCIÓN'!A81," ",'LINEAS IMPULSIÓN-CONDUCCIÓN'!A153," ",'PTAP TIJERETAS'!A10," ",'PTAP TIJERETAS'!A48," ",'PTAP TIJERETAS'!A163," ",' TANQUE PATAGONIA'!B10)</f>
        <v>1.1.1 2.1.1 3.1.1 1.1.1 1.8.1 2.1.1 1.1</v>
      </c>
      <c r="B11" s="3631" t="s">
        <v>1028</v>
      </c>
      <c r="C11" s="3631"/>
      <c r="D11" s="3631"/>
      <c r="E11" s="3631"/>
      <c r="F11" s="3631"/>
      <c r="G11" s="3631"/>
      <c r="H11" s="3631"/>
      <c r="I11" s="3631"/>
    </row>
    <row r="12" spans="1:12" ht="15" customHeight="1">
      <c r="A12" s="1261"/>
      <c r="B12" s="1262"/>
      <c r="C12" s="1299" t="s">
        <v>140</v>
      </c>
      <c r="D12" s="1580" t="s">
        <v>343</v>
      </c>
      <c r="E12" s="1581" t="s">
        <v>344</v>
      </c>
      <c r="F12" s="1581" t="s">
        <v>482</v>
      </c>
      <c r="G12" s="1581" t="s">
        <v>483</v>
      </c>
      <c r="H12" s="1581" t="s">
        <v>232</v>
      </c>
      <c r="I12" s="1581" t="s">
        <v>171</v>
      </c>
    </row>
    <row r="13" spans="1:12" ht="15" customHeight="1">
      <c r="A13" s="1261" t="s">
        <v>172</v>
      </c>
      <c r="B13" s="1262" t="s">
        <v>189</v>
      </c>
      <c r="C13" s="1299">
        <v>1</v>
      </c>
      <c r="D13" s="1229" t="s">
        <v>583</v>
      </c>
      <c r="E13" s="1581">
        <f>+H16*0.05</f>
        <v>110</v>
      </c>
      <c r="F13" s="1585"/>
      <c r="G13" s="1585"/>
      <c r="H13" s="1585"/>
      <c r="I13" s="1585">
        <f>+E13*C13</f>
        <v>110</v>
      </c>
    </row>
    <row r="14" spans="1:12" ht="15" customHeight="1">
      <c r="A14" s="1261" t="s">
        <v>372</v>
      </c>
      <c r="B14" s="1262" t="s">
        <v>621</v>
      </c>
      <c r="C14" s="182">
        <f>1/50</f>
        <v>0.02</v>
      </c>
      <c r="D14" s="1229" t="s">
        <v>374</v>
      </c>
      <c r="E14" s="1581">
        <f>+CLAVO</f>
        <v>2300</v>
      </c>
      <c r="F14" s="1585"/>
      <c r="G14" s="1585">
        <f>+E14*C14</f>
        <v>46</v>
      </c>
      <c r="H14" s="1585"/>
      <c r="I14" s="1585"/>
    </row>
    <row r="15" spans="1:12" ht="15" customHeight="1">
      <c r="A15" s="1261" t="s">
        <v>349</v>
      </c>
      <c r="B15" s="1262" t="s">
        <v>350</v>
      </c>
      <c r="C15" s="183">
        <f>1/250</f>
        <v>4.0000000000000001E-3</v>
      </c>
      <c r="D15" s="1229" t="s">
        <v>1002</v>
      </c>
      <c r="E15" s="1581">
        <f>+MOTOP</f>
        <v>550000</v>
      </c>
      <c r="F15" s="1585"/>
      <c r="G15" s="1585"/>
      <c r="H15" s="1585">
        <f>+E15*C15</f>
        <v>2200</v>
      </c>
      <c r="I15" s="1585"/>
    </row>
    <row r="16" spans="1:12" ht="15" customHeight="1">
      <c r="A16" s="1265" t="s">
        <v>190</v>
      </c>
      <c r="B16" s="1587">
        <f>SUM(F16:I16)</f>
        <v>2356</v>
      </c>
      <c r="C16" s="687"/>
      <c r="D16" s="1229"/>
      <c r="E16" s="1581"/>
      <c r="F16" s="1585">
        <f>SUM(F13:F15)</f>
        <v>0</v>
      </c>
      <c r="G16" s="1585">
        <f>SUM(G13:G15)</f>
        <v>46</v>
      </c>
      <c r="H16" s="1585">
        <f>SUM(H13:H15)</f>
        <v>2200</v>
      </c>
      <c r="I16" s="1585">
        <f>SUM(I13:I15)</f>
        <v>110</v>
      </c>
    </row>
    <row r="17" spans="1:9" ht="15" customHeight="1">
      <c r="A17" s="1265" t="s">
        <v>191</v>
      </c>
      <c r="B17" s="1587">
        <f>+ROUND(B16,0)</f>
        <v>2356</v>
      </c>
      <c r="C17" s="1228" t="s">
        <v>1002</v>
      </c>
      <c r="E17" s="1588"/>
    </row>
    <row r="18" spans="1:9" ht="15" customHeight="1">
      <c r="A18" s="1793"/>
      <c r="B18" s="1280"/>
      <c r="C18" s="1280"/>
      <c r="D18" s="1280"/>
      <c r="E18" s="1588"/>
    </row>
    <row r="19" spans="1:9" s="507" customFormat="1" ht="15" customHeight="1">
      <c r="A19" s="3616" t="s">
        <v>8026</v>
      </c>
      <c r="B19" s="3617"/>
      <c r="C19" s="3617"/>
      <c r="D19" s="3617"/>
      <c r="E19" s="3617"/>
      <c r="F19" s="3617"/>
      <c r="G19" s="3617"/>
      <c r="H19" s="3617"/>
      <c r="I19" s="3618"/>
    </row>
    <row r="20" spans="1:9" ht="15" customHeight="1">
      <c r="A20" s="1793"/>
      <c r="B20" s="1280"/>
      <c r="C20" s="1280"/>
      <c r="D20" s="1280"/>
      <c r="E20" s="1588"/>
    </row>
    <row r="21" spans="1:9" s="19" customFormat="1" ht="15" customHeight="1">
      <c r="A21" s="434" t="str">
        <f>+CONCATENATE('LINEAS IMPULSIÓN-CONDUCCIÓN'!A16," ",'LINEAS IMPULSIÓN-CONDUCCIÓN'!A83," ",'LINEAS IMPULSIÓN-CONDUCCIÓN'!A155)</f>
        <v>1.2.1 2.2.1 3.2.1</v>
      </c>
      <c r="B21" s="3631" t="s">
        <v>6268</v>
      </c>
      <c r="C21" s="3631"/>
      <c r="D21" s="3631"/>
      <c r="E21" s="3631"/>
      <c r="F21" s="3631"/>
      <c r="G21" s="3631"/>
      <c r="H21" s="3631"/>
      <c r="I21" s="3631"/>
    </row>
    <row r="22" spans="1:9" s="19" customFormat="1" ht="15" customHeight="1">
      <c r="A22" s="435"/>
      <c r="B22" s="180"/>
      <c r="C22" s="2682" t="s">
        <v>140</v>
      </c>
      <c r="D22" s="2682" t="s">
        <v>343</v>
      </c>
      <c r="E22" s="2682" t="s">
        <v>344</v>
      </c>
      <c r="F22" s="347" t="s">
        <v>482</v>
      </c>
      <c r="G22" s="347" t="s">
        <v>483</v>
      </c>
      <c r="H22" s="347" t="s">
        <v>170</v>
      </c>
      <c r="I22" s="347" t="s">
        <v>171</v>
      </c>
    </row>
    <row r="23" spans="1:9" s="19" customFormat="1" ht="15" customHeight="1">
      <c r="A23" s="436" t="s">
        <v>733</v>
      </c>
      <c r="B23" s="3" t="s">
        <v>6269</v>
      </c>
      <c r="C23" s="346">
        <f>1/1.8</f>
        <v>0.55555555555555558</v>
      </c>
      <c r="D23" s="160" t="s">
        <v>735</v>
      </c>
      <c r="E23" s="350">
        <f>+COMPR</f>
        <v>73000</v>
      </c>
      <c r="F23" s="350">
        <f>+C23*E23</f>
        <v>40555.555555555555</v>
      </c>
      <c r="G23" s="350"/>
      <c r="H23" s="350"/>
      <c r="I23" s="350"/>
    </row>
    <row r="24" spans="1:9" s="19" customFormat="1" ht="15" customHeight="1">
      <c r="A24" s="436" t="s">
        <v>172</v>
      </c>
      <c r="B24" s="3" t="s">
        <v>189</v>
      </c>
      <c r="C24" s="346">
        <v>1</v>
      </c>
      <c r="D24" s="160" t="s">
        <v>583</v>
      </c>
      <c r="E24" s="350">
        <f>+H26*0.05</f>
        <v>523.95589416666667</v>
      </c>
      <c r="F24" s="350"/>
      <c r="G24" s="350"/>
      <c r="H24" s="350"/>
      <c r="I24" s="350">
        <f>+E24*C24</f>
        <v>523.95589416666667</v>
      </c>
    </row>
    <row r="25" spans="1:9" s="19" customFormat="1" ht="15" customHeight="1">
      <c r="A25" s="436" t="s">
        <v>348</v>
      </c>
      <c r="B25" s="3" t="s">
        <v>6579</v>
      </c>
      <c r="C25" s="346">
        <f>1/(1.8*8)</f>
        <v>6.9444444444444448E-2</v>
      </c>
      <c r="D25" s="160" t="s">
        <v>346</v>
      </c>
      <c r="E25" s="350">
        <f>+AYUDR*3</f>
        <v>150899.29751999999</v>
      </c>
      <c r="F25" s="350"/>
      <c r="G25" s="350"/>
      <c r="H25" s="350">
        <f>+E25*C25</f>
        <v>10479.117883333332</v>
      </c>
      <c r="I25" s="350"/>
    </row>
    <row r="26" spans="1:9" s="19" customFormat="1" ht="15" customHeight="1">
      <c r="A26" s="437" t="s">
        <v>190</v>
      </c>
      <c r="B26" s="351">
        <f>SUM(F26:I26)</f>
        <v>51558.629333055556</v>
      </c>
      <c r="C26" s="2687"/>
      <c r="D26" s="169"/>
      <c r="E26" s="2682"/>
      <c r="F26" s="350">
        <f>SUM(F23:F25)</f>
        <v>40555.555555555555</v>
      </c>
      <c r="G26" s="350">
        <f>SUM(G24:G25)</f>
        <v>0</v>
      </c>
      <c r="H26" s="350">
        <f>SUM(H24:H25)</f>
        <v>10479.117883333332</v>
      </c>
      <c r="I26" s="350">
        <f>SUM(I24:I25)</f>
        <v>523.95589416666667</v>
      </c>
    </row>
    <row r="27" spans="1:9" s="19" customFormat="1" ht="15" customHeight="1">
      <c r="A27" s="437" t="s">
        <v>191</v>
      </c>
      <c r="B27" s="353">
        <f>+ROUNDUP(B26,0)</f>
        <v>51559</v>
      </c>
      <c r="C27" s="354" t="s">
        <v>356</v>
      </c>
      <c r="D27" s="13"/>
      <c r="E27" s="13"/>
      <c r="F27" s="13"/>
      <c r="G27" s="13"/>
      <c r="H27" s="13"/>
      <c r="I27" s="13"/>
    </row>
    <row r="28" spans="1:9" s="19" customFormat="1" ht="15" customHeight="1">
      <c r="A28" s="438"/>
      <c r="B28" s="17"/>
      <c r="C28" s="17"/>
      <c r="D28" s="17"/>
      <c r="E28" s="17"/>
      <c r="F28" s="17"/>
      <c r="G28" s="17"/>
      <c r="H28" s="17"/>
      <c r="I28" s="17"/>
    </row>
    <row r="29" spans="1:9" s="19" customFormat="1" ht="15" customHeight="1">
      <c r="A29" s="439" t="str">
        <f>+CONCATENATE('LINEAS IMPULSIÓN-CONDUCCIÓN'!A17,"  ",'LINEAS IMPULSIÓN-CONDUCCIÓN'!A84,"  ",'LINEAS IMPULSIÓN-CONDUCCIÓN'!A156)</f>
        <v>1.2.2  2.2.2  3.2.2</v>
      </c>
      <c r="B29" s="3631" t="s">
        <v>1108</v>
      </c>
      <c r="C29" s="3631"/>
      <c r="D29" s="3631"/>
      <c r="E29" s="3631"/>
      <c r="F29" s="3631"/>
      <c r="G29" s="3631"/>
      <c r="H29" s="3631"/>
      <c r="I29" s="3631"/>
    </row>
    <row r="30" spans="1:9" s="19" customFormat="1" ht="15" customHeight="1">
      <c r="A30" s="440"/>
      <c r="B30" s="180"/>
      <c r="C30" s="2682" t="s">
        <v>140</v>
      </c>
      <c r="D30" s="2682" t="s">
        <v>343</v>
      </c>
      <c r="E30" s="2682" t="s">
        <v>344</v>
      </c>
      <c r="F30" s="347" t="s">
        <v>482</v>
      </c>
      <c r="G30" s="347" t="s">
        <v>483</v>
      </c>
      <c r="H30" s="347" t="s">
        <v>170</v>
      </c>
      <c r="I30" s="347" t="s">
        <v>171</v>
      </c>
    </row>
    <row r="31" spans="1:9" s="19" customFormat="1" ht="15" customHeight="1">
      <c r="A31" s="441" t="s">
        <v>733</v>
      </c>
      <c r="B31" s="3" t="s">
        <v>6264</v>
      </c>
      <c r="C31" s="346">
        <v>1</v>
      </c>
      <c r="D31" s="160" t="s">
        <v>45</v>
      </c>
      <c r="E31" s="350">
        <f>+CORTA</f>
        <v>4900</v>
      </c>
      <c r="F31" s="350">
        <f>+C31*E31</f>
        <v>4900</v>
      </c>
      <c r="G31" s="350"/>
      <c r="H31" s="350"/>
      <c r="I31" s="350"/>
    </row>
    <row r="32" spans="1:9" s="19" customFormat="1" ht="15" customHeight="1">
      <c r="A32" s="441"/>
      <c r="B32" s="3" t="s">
        <v>6252</v>
      </c>
      <c r="C32" s="346">
        <v>0.03</v>
      </c>
      <c r="D32" s="160" t="s">
        <v>6253</v>
      </c>
      <c r="E32" s="350">
        <v>9200</v>
      </c>
      <c r="F32" s="350"/>
      <c r="G32" s="350">
        <f>+E32*C32</f>
        <v>276</v>
      </c>
      <c r="H32" s="350"/>
      <c r="I32" s="350"/>
    </row>
    <row r="33" spans="1:11" s="19" customFormat="1" ht="15" customHeight="1">
      <c r="A33" s="442" t="s">
        <v>190</v>
      </c>
      <c r="B33" s="351">
        <f>SUM(F33:I33)</f>
        <v>5176</v>
      </c>
      <c r="C33" s="2687"/>
      <c r="D33" s="169"/>
      <c r="E33" s="350"/>
      <c r="F33" s="350">
        <f>SUM(F31:F32)</f>
        <v>4900</v>
      </c>
      <c r="G33" s="350">
        <f>SUM(G31:G32)</f>
        <v>276</v>
      </c>
      <c r="H33" s="350">
        <f>SUM(H31:H32)</f>
        <v>0</v>
      </c>
      <c r="I33" s="350"/>
    </row>
    <row r="34" spans="1:11" s="19" customFormat="1" ht="15" customHeight="1">
      <c r="A34" s="442" t="s">
        <v>191</v>
      </c>
      <c r="B34" s="353">
        <f>+ROUNDUP(B33,0)</f>
        <v>5176</v>
      </c>
      <c r="C34" s="356" t="s">
        <v>94</v>
      </c>
      <c r="D34" s="13"/>
      <c r="E34" s="13"/>
      <c r="F34" s="13"/>
      <c r="G34" s="13"/>
      <c r="H34" s="13"/>
      <c r="I34" s="13"/>
    </row>
    <row r="35" spans="1:11" s="19" customFormat="1" ht="15" customHeight="1">
      <c r="A35" s="443"/>
      <c r="B35" s="17"/>
      <c r="C35" s="17"/>
      <c r="D35" s="17"/>
      <c r="E35" s="17"/>
      <c r="F35" s="17"/>
      <c r="G35" s="17"/>
      <c r="H35" s="17"/>
      <c r="I35" s="17"/>
    </row>
    <row r="36" spans="1:11" s="19" customFormat="1" ht="15" customHeight="1">
      <c r="A36" s="439" t="str">
        <f>+CONCATENATE('LINEAS IMPULSIÓN-CONDUCCIÓN'!A18,"  ",'LINEAS IMPULSIÓN-CONDUCCIÓN'!A85,"  ",'LINEAS IMPULSIÓN-CONDUCCIÓN'!A157)</f>
        <v>1.2.3  2.2.3  3.2.3</v>
      </c>
      <c r="B36" s="3622" t="s">
        <v>6254</v>
      </c>
      <c r="C36" s="3623"/>
      <c r="D36" s="3623"/>
      <c r="E36" s="3623"/>
      <c r="F36" s="3623"/>
      <c r="G36" s="3623"/>
      <c r="H36" s="3623"/>
      <c r="I36" s="3624"/>
      <c r="K36" s="23"/>
    </row>
    <row r="37" spans="1:11" s="19" customFormat="1" ht="15" customHeight="1">
      <c r="A37" s="444"/>
      <c r="B37" s="325"/>
      <c r="C37" s="326" t="s">
        <v>140</v>
      </c>
      <c r="D37" s="327" t="s">
        <v>343</v>
      </c>
      <c r="E37" s="328" t="s">
        <v>344</v>
      </c>
      <c r="F37" s="328" t="s">
        <v>482</v>
      </c>
      <c r="G37" s="328" t="s">
        <v>483</v>
      </c>
      <c r="H37" s="328" t="s">
        <v>232</v>
      </c>
      <c r="I37" s="328" t="s">
        <v>171</v>
      </c>
      <c r="K37" s="23"/>
    </row>
    <row r="38" spans="1:11" s="19" customFormat="1" ht="15" customHeight="1">
      <c r="A38" s="436" t="s">
        <v>78</v>
      </c>
      <c r="B38" s="3" t="s">
        <v>6269</v>
      </c>
      <c r="C38" s="330">
        <f>1/7</f>
        <v>0.14285714285714285</v>
      </c>
      <c r="D38" s="331" t="s">
        <v>735</v>
      </c>
      <c r="E38" s="332">
        <f>+COMPR</f>
        <v>73000</v>
      </c>
      <c r="F38" s="332">
        <f>+C38*E38</f>
        <v>10428.571428571428</v>
      </c>
      <c r="G38" s="328"/>
      <c r="H38" s="328"/>
      <c r="I38" s="328"/>
      <c r="K38" s="23"/>
    </row>
    <row r="39" spans="1:11" s="19" customFormat="1" ht="15" customHeight="1">
      <c r="A39" s="436" t="s">
        <v>172</v>
      </c>
      <c r="B39" s="334" t="s">
        <v>189</v>
      </c>
      <c r="C39" s="330">
        <v>1</v>
      </c>
      <c r="D39" s="331" t="s">
        <v>583</v>
      </c>
      <c r="E39" s="332">
        <f>+H41*0.05</f>
        <v>44.910505214285713</v>
      </c>
      <c r="F39" s="332"/>
      <c r="G39" s="332"/>
      <c r="H39" s="332"/>
      <c r="I39" s="332">
        <f>+E39*C39</f>
        <v>44.910505214285713</v>
      </c>
      <c r="K39" s="23"/>
    </row>
    <row r="40" spans="1:11" s="19" customFormat="1" ht="15" customHeight="1">
      <c r="A40" s="436" t="s">
        <v>348</v>
      </c>
      <c r="B40" s="334" t="s">
        <v>6954</v>
      </c>
      <c r="C40" s="330">
        <f>1/(7*8)</f>
        <v>1.7857142857142856E-2</v>
      </c>
      <c r="D40" s="331" t="s">
        <v>346</v>
      </c>
      <c r="E40" s="332">
        <f>+AYUDR</f>
        <v>50299.76584</v>
      </c>
      <c r="F40" s="332"/>
      <c r="G40" s="332"/>
      <c r="H40" s="332">
        <f>+E40*C40</f>
        <v>898.21010428571424</v>
      </c>
      <c r="I40" s="332"/>
      <c r="K40" s="23"/>
    </row>
    <row r="41" spans="1:11" s="19" customFormat="1" ht="15" customHeight="1">
      <c r="A41" s="437" t="s">
        <v>190</v>
      </c>
      <c r="B41" s="338">
        <f>(SUM(F41:I41))</f>
        <v>11371.692038071427</v>
      </c>
      <c r="C41" s="232"/>
      <c r="D41" s="339"/>
      <c r="E41" s="332"/>
      <c r="F41" s="332">
        <f>SUM(F38:F40)</f>
        <v>10428.571428571428</v>
      </c>
      <c r="G41" s="332">
        <f>SUM(G38:G40)</f>
        <v>0</v>
      </c>
      <c r="H41" s="332">
        <f>SUM(H38:H40)</f>
        <v>898.21010428571424</v>
      </c>
      <c r="I41" s="332">
        <f>SUM(I38:I40)</f>
        <v>44.910505214285713</v>
      </c>
      <c r="K41" s="23"/>
    </row>
    <row r="42" spans="1:11" s="19" customFormat="1" ht="15" customHeight="1">
      <c r="A42" s="437" t="s">
        <v>191</v>
      </c>
      <c r="B42" s="338">
        <f>+B41</f>
        <v>11371.692038071427</v>
      </c>
      <c r="C42" s="337" t="s">
        <v>94</v>
      </c>
      <c r="D42" s="340"/>
      <c r="E42" s="341"/>
      <c r="F42" s="341"/>
      <c r="G42" s="342"/>
      <c r="H42" s="342"/>
      <c r="I42" s="342"/>
      <c r="K42" s="23"/>
    </row>
    <row r="43" spans="1:11" s="19" customFormat="1" ht="15" customHeight="1">
      <c r="A43" s="438"/>
      <c r="B43" s="17"/>
      <c r="C43" s="17"/>
      <c r="D43" s="17"/>
      <c r="E43" s="17"/>
      <c r="F43" s="17"/>
      <c r="G43" s="17"/>
      <c r="H43" s="17"/>
      <c r="I43" s="17"/>
      <c r="K43" s="23"/>
    </row>
    <row r="44" spans="1:11" s="19" customFormat="1" ht="15" customHeight="1">
      <c r="A44" s="434" t="str">
        <f>+CONCATENATE('LINEAS IMPULSIÓN-CONDUCCIÓN'!A19,"  ",'LINEAS IMPULSIÓN-CONDUCCIÓN'!A86,"  ",'LINEAS IMPULSIÓN-CONDUCCIÓN'!A158)</f>
        <v>1.2.4  2.2.4  3.2.4</v>
      </c>
      <c r="B44" s="3622" t="s">
        <v>6255</v>
      </c>
      <c r="C44" s="3623"/>
      <c r="D44" s="3623"/>
      <c r="E44" s="3623"/>
      <c r="F44" s="3623"/>
      <c r="G44" s="3623"/>
      <c r="H44" s="3623"/>
      <c r="I44" s="3624"/>
      <c r="K44" s="23"/>
    </row>
    <row r="45" spans="1:11" s="19" customFormat="1" ht="15" customHeight="1">
      <c r="A45" s="444"/>
      <c r="B45" s="325"/>
      <c r="C45" s="326" t="s">
        <v>140</v>
      </c>
      <c r="D45" s="327" t="s">
        <v>343</v>
      </c>
      <c r="E45" s="328" t="s">
        <v>344</v>
      </c>
      <c r="F45" s="328" t="s">
        <v>482</v>
      </c>
      <c r="G45" s="328" t="s">
        <v>483</v>
      </c>
      <c r="H45" s="328" t="s">
        <v>232</v>
      </c>
      <c r="I45" s="328" t="s">
        <v>171</v>
      </c>
      <c r="K45" s="23"/>
    </row>
    <row r="46" spans="1:11" s="19" customFormat="1" ht="15" customHeight="1">
      <c r="A46" s="436" t="s">
        <v>78</v>
      </c>
      <c r="B46" s="329" t="s">
        <v>6269</v>
      </c>
      <c r="C46" s="330">
        <f>1/8</f>
        <v>0.125</v>
      </c>
      <c r="D46" s="331" t="s">
        <v>735</v>
      </c>
      <c r="E46" s="332">
        <f>+COMPR</f>
        <v>73000</v>
      </c>
      <c r="F46" s="332">
        <f>+E46*C46</f>
        <v>9125</v>
      </c>
      <c r="G46" s="332"/>
      <c r="H46" s="332"/>
      <c r="I46" s="332"/>
      <c r="K46" s="23"/>
    </row>
    <row r="47" spans="1:11" s="19" customFormat="1" ht="15" customHeight="1">
      <c r="A47" s="436" t="s">
        <v>172</v>
      </c>
      <c r="B47" s="334" t="s">
        <v>189</v>
      </c>
      <c r="C47" s="330">
        <v>1</v>
      </c>
      <c r="D47" s="331" t="s">
        <v>583</v>
      </c>
      <c r="E47" s="332">
        <f>+H49*0.05</f>
        <v>39.2966920625</v>
      </c>
      <c r="F47" s="332"/>
      <c r="G47" s="332"/>
      <c r="H47" s="332"/>
      <c r="I47" s="332">
        <f>+E47*C47</f>
        <v>39.2966920625</v>
      </c>
      <c r="K47" s="23"/>
    </row>
    <row r="48" spans="1:11" s="19" customFormat="1" ht="15" customHeight="1">
      <c r="A48" s="436" t="s">
        <v>348</v>
      </c>
      <c r="B48" s="334" t="s">
        <v>6954</v>
      </c>
      <c r="C48" s="330">
        <f>1/(8*8)</f>
        <v>1.5625E-2</v>
      </c>
      <c r="D48" s="331" t="s">
        <v>346</v>
      </c>
      <c r="E48" s="332">
        <f>+AYUDR</f>
        <v>50299.76584</v>
      </c>
      <c r="F48" s="332"/>
      <c r="G48" s="332"/>
      <c r="H48" s="332">
        <f>+E48*C48</f>
        <v>785.93384125</v>
      </c>
      <c r="I48" s="332"/>
      <c r="K48" s="23"/>
    </row>
    <row r="49" spans="1:11" s="19" customFormat="1" ht="15" customHeight="1">
      <c r="A49" s="437" t="s">
        <v>190</v>
      </c>
      <c r="B49" s="338">
        <f>SUM(F49:I49)</f>
        <v>9950.2305333125005</v>
      </c>
      <c r="C49" s="232"/>
      <c r="D49" s="339"/>
      <c r="E49" s="332"/>
      <c r="F49" s="332">
        <f>SUM(F46:F48)</f>
        <v>9125</v>
      </c>
      <c r="G49" s="332">
        <f>SUM(G46:G48)</f>
        <v>0</v>
      </c>
      <c r="H49" s="332">
        <f>SUM(H46:H48)</f>
        <v>785.93384125</v>
      </c>
      <c r="I49" s="332">
        <f>SUM(I46:I48)</f>
        <v>39.2966920625</v>
      </c>
      <c r="K49" s="23"/>
    </row>
    <row r="50" spans="1:11" s="19" customFormat="1" ht="15" customHeight="1">
      <c r="A50" s="437" t="s">
        <v>191</v>
      </c>
      <c r="B50" s="338">
        <f>+B49</f>
        <v>9950.2305333125005</v>
      </c>
      <c r="C50" s="337" t="s">
        <v>94</v>
      </c>
      <c r="D50" s="340"/>
      <c r="E50" s="342"/>
      <c r="F50" s="342"/>
      <c r="G50" s="342"/>
      <c r="H50" s="342"/>
      <c r="I50" s="342"/>
      <c r="K50" s="344"/>
    </row>
    <row r="51" spans="1:11" s="19" customFormat="1" ht="15" customHeight="1">
      <c r="A51" s="438"/>
      <c r="B51" s="17"/>
      <c r="C51" s="17"/>
      <c r="D51" s="17">
        <f>1/C54</f>
        <v>1.7</v>
      </c>
      <c r="E51" s="17"/>
      <c r="F51" s="17"/>
      <c r="G51" s="17"/>
      <c r="H51" s="17"/>
      <c r="I51" s="17"/>
      <c r="K51" s="23"/>
    </row>
    <row r="52" spans="1:11" s="19" customFormat="1" ht="15" customHeight="1">
      <c r="A52" s="434" t="str">
        <f>+CONCATENATE('LINEAS IMPULSIÓN-CONDUCCIÓN'!A20,"  ",'LINEAS IMPULSIÓN-CONDUCCIÓN'!A87,"  ",'LINEAS IMPULSIÓN-CONDUCCIÓN'!A159)</f>
        <v>1.2.5  2.2.5  3.2.5</v>
      </c>
      <c r="B52" s="3622" t="s">
        <v>6256</v>
      </c>
      <c r="C52" s="3623"/>
      <c r="D52" s="3623"/>
      <c r="E52" s="3623"/>
      <c r="F52" s="3623"/>
      <c r="G52" s="3623"/>
      <c r="H52" s="3623"/>
      <c r="I52" s="3624"/>
      <c r="K52" s="23"/>
    </row>
    <row r="53" spans="1:11" s="19" customFormat="1" ht="15" customHeight="1">
      <c r="A53" s="444"/>
      <c r="B53" s="325"/>
      <c r="C53" s="326" t="s">
        <v>140</v>
      </c>
      <c r="D53" s="327" t="s">
        <v>343</v>
      </c>
      <c r="E53" s="328" t="s">
        <v>344</v>
      </c>
      <c r="F53" s="328" t="s">
        <v>482</v>
      </c>
      <c r="G53" s="328" t="s">
        <v>483</v>
      </c>
      <c r="H53" s="328" t="s">
        <v>232</v>
      </c>
      <c r="I53" s="328" t="s">
        <v>171</v>
      </c>
      <c r="K53" s="23"/>
    </row>
    <row r="54" spans="1:11" s="19" customFormat="1" ht="15" customHeight="1">
      <c r="A54" s="436" t="s">
        <v>78</v>
      </c>
      <c r="B54" s="329" t="s">
        <v>6269</v>
      </c>
      <c r="C54" s="345">
        <f>1/1.7</f>
        <v>0.58823529411764708</v>
      </c>
      <c r="D54" s="331" t="s">
        <v>735</v>
      </c>
      <c r="E54" s="332">
        <f>COMPR</f>
        <v>73000</v>
      </c>
      <c r="F54" s="332">
        <f>+C54*E54</f>
        <v>42941.176470588238</v>
      </c>
      <c r="G54" s="328"/>
      <c r="H54" s="328"/>
      <c r="I54" s="328"/>
      <c r="K54" s="23"/>
    </row>
    <row r="55" spans="1:11" s="19" customFormat="1" ht="15" customHeight="1">
      <c r="A55" s="436" t="s">
        <v>172</v>
      </c>
      <c r="B55" s="334" t="s">
        <v>189</v>
      </c>
      <c r="C55" s="345">
        <v>1</v>
      </c>
      <c r="D55" s="331" t="s">
        <v>583</v>
      </c>
      <c r="E55" s="332">
        <f>+H57*0.05</f>
        <v>369.85121941176476</v>
      </c>
      <c r="F55" s="332"/>
      <c r="G55" s="332"/>
      <c r="H55" s="332"/>
      <c r="I55" s="332">
        <f>+E55*C55</f>
        <v>369.85121941176476</v>
      </c>
      <c r="K55" s="23"/>
    </row>
    <row r="56" spans="1:11" s="19" customFormat="1" ht="15" customHeight="1">
      <c r="A56" s="436" t="s">
        <v>348</v>
      </c>
      <c r="B56" s="334" t="s">
        <v>6954</v>
      </c>
      <c r="C56" s="345">
        <f>1/(1.7*8)*2</f>
        <v>0.14705882352941177</v>
      </c>
      <c r="D56" s="331" t="s">
        <v>346</v>
      </c>
      <c r="E56" s="332">
        <f>+AYUDR</f>
        <v>50299.76584</v>
      </c>
      <c r="F56" s="332"/>
      <c r="G56" s="332"/>
      <c r="H56" s="332">
        <f>+E56*C56</f>
        <v>7397.0243882352943</v>
      </c>
      <c r="I56" s="332"/>
      <c r="K56" s="23"/>
    </row>
    <row r="57" spans="1:11" s="19" customFormat="1" ht="15" customHeight="1">
      <c r="A57" s="437" t="s">
        <v>190</v>
      </c>
      <c r="B57" s="338">
        <f>(SUM(F57:I57))</f>
        <v>50708.052078235298</v>
      </c>
      <c r="C57" s="232"/>
      <c r="D57" s="339"/>
      <c r="E57" s="332"/>
      <c r="F57" s="332">
        <f>SUM(F54:F56)</f>
        <v>42941.176470588238</v>
      </c>
      <c r="G57" s="332">
        <f>SUM(G54:G56)</f>
        <v>0</v>
      </c>
      <c r="H57" s="332">
        <f>SUM(H54:H56)</f>
        <v>7397.0243882352943</v>
      </c>
      <c r="I57" s="332">
        <f>SUM(I54:I56)</f>
        <v>369.85121941176476</v>
      </c>
      <c r="K57" s="23"/>
    </row>
    <row r="58" spans="1:11" s="19" customFormat="1" ht="15" customHeight="1">
      <c r="A58" s="437" t="s">
        <v>191</v>
      </c>
      <c r="B58" s="338">
        <f>+B57</f>
        <v>50708.052078235298</v>
      </c>
      <c r="C58" s="337" t="s">
        <v>356</v>
      </c>
      <c r="D58" s="340"/>
      <c r="E58" s="341"/>
      <c r="F58" s="342"/>
      <c r="G58" s="342"/>
      <c r="H58" s="342"/>
      <c r="I58" s="342"/>
      <c r="K58" s="344"/>
    </row>
    <row r="59" spans="1:11" s="19" customFormat="1" ht="15" customHeight="1">
      <c r="A59" s="438"/>
      <c r="B59" s="17"/>
      <c r="C59" s="17"/>
      <c r="D59" s="17"/>
      <c r="E59" s="17"/>
      <c r="F59" s="17"/>
      <c r="G59" s="17"/>
      <c r="H59" s="17"/>
      <c r="I59" s="17"/>
      <c r="K59" s="23"/>
    </row>
    <row r="60" spans="1:11" s="507" customFormat="1" ht="15" customHeight="1">
      <c r="A60" s="3616" t="s">
        <v>8027</v>
      </c>
      <c r="B60" s="3617"/>
      <c r="C60" s="3617"/>
      <c r="D60" s="3617"/>
      <c r="E60" s="3617"/>
      <c r="F60" s="3617"/>
      <c r="G60" s="3617"/>
      <c r="H60" s="3617"/>
      <c r="I60" s="3618"/>
    </row>
    <row r="61" spans="1:11" s="19" customFormat="1" ht="15" customHeight="1">
      <c r="A61" s="438"/>
      <c r="B61" s="17"/>
      <c r="C61" s="17"/>
      <c r="D61" s="17"/>
      <c r="E61" s="17"/>
      <c r="F61" s="17"/>
      <c r="G61" s="17"/>
      <c r="H61" s="17"/>
      <c r="I61" s="17"/>
      <c r="K61" s="23"/>
    </row>
    <row r="62" spans="1:11" s="19" customFormat="1" ht="15" customHeight="1">
      <c r="A62" s="433" t="str">
        <f>+CONCATENATE('LINEAS IMPULSIÓN-CONDUCCIÓN'!A22," ",'LINEAS IMPULSIÓN-CONDUCCIÓN'!A90," ",'LINEAS IMPULSIÓN-CONDUCCIÓN'!A161," ",'PTAP TIJERETAS'!A166," ",' TANQUE PATAGONIA'!B16)</f>
        <v>1.3.1 2.3.1 3.3.1 2.2.1 2.1</v>
      </c>
      <c r="B62" s="3563" t="s">
        <v>6290</v>
      </c>
      <c r="C62" s="3564"/>
      <c r="D62" s="3564"/>
      <c r="E62" s="3564"/>
      <c r="F62" s="3564"/>
      <c r="G62" s="3564"/>
      <c r="H62" s="3564"/>
      <c r="I62" s="3565"/>
      <c r="K62" s="23"/>
    </row>
    <row r="63" spans="1:11" s="19" customFormat="1" ht="15" customHeight="1">
      <c r="A63" s="1261"/>
      <c r="B63" s="1262"/>
      <c r="C63" s="1299" t="s">
        <v>140</v>
      </c>
      <c r="D63" s="1580" t="s">
        <v>343</v>
      </c>
      <c r="E63" s="1255" t="s">
        <v>344</v>
      </c>
      <c r="F63" s="1255" t="s">
        <v>482</v>
      </c>
      <c r="G63" s="1255" t="s">
        <v>483</v>
      </c>
      <c r="H63" s="1255" t="s">
        <v>232</v>
      </c>
      <c r="I63" s="1255" t="s">
        <v>171</v>
      </c>
      <c r="K63" s="23"/>
    </row>
    <row r="64" spans="1:11" s="19" customFormat="1" ht="15" customHeight="1">
      <c r="A64" s="435" t="s">
        <v>736</v>
      </c>
      <c r="B64" s="167" t="s">
        <v>6410</v>
      </c>
      <c r="C64" s="182">
        <f>1/15</f>
        <v>6.6666666666666666E-2</v>
      </c>
      <c r="D64" s="2688" t="s">
        <v>735</v>
      </c>
      <c r="E64" s="497">
        <f>+RETRO</f>
        <v>150000</v>
      </c>
      <c r="F64" s="1585">
        <f>+E64*C64</f>
        <v>10000</v>
      </c>
      <c r="G64" s="1585"/>
      <c r="H64" s="1585"/>
      <c r="I64" s="184"/>
      <c r="K64" s="23"/>
    </row>
    <row r="65" spans="1:11" s="19" customFormat="1" ht="15" customHeight="1">
      <c r="A65" s="1265" t="s">
        <v>190</v>
      </c>
      <c r="B65" s="1587">
        <f>SUM(F65:I65)</f>
        <v>10000</v>
      </c>
      <c r="C65" s="687"/>
      <c r="D65" s="1229"/>
      <c r="E65" s="2683"/>
      <c r="F65" s="2683">
        <f>+SUM(F64:F64)</f>
        <v>10000</v>
      </c>
      <c r="G65" s="2683">
        <f>+SUM(G64:G64)</f>
        <v>0</v>
      </c>
      <c r="H65" s="2683">
        <f>+SUM(H64:H64)</f>
        <v>0</v>
      </c>
      <c r="I65" s="2683">
        <f>+SUM(I64:I64)</f>
        <v>0</v>
      </c>
      <c r="K65" s="23"/>
    </row>
    <row r="66" spans="1:11" s="19" customFormat="1" ht="15" customHeight="1">
      <c r="A66" s="1265" t="s">
        <v>191</v>
      </c>
      <c r="B66" s="1587">
        <f>+B65</f>
        <v>10000</v>
      </c>
      <c r="C66" s="1228" t="s">
        <v>356</v>
      </c>
      <c r="D66" s="873"/>
      <c r="E66" s="1794"/>
      <c r="F66" s="1794"/>
      <c r="G66" s="1794"/>
      <c r="H66" s="1794"/>
      <c r="I66" s="1794"/>
      <c r="K66" s="23"/>
    </row>
    <row r="67" spans="1:11" s="19" customFormat="1" ht="15" customHeight="1">
      <c r="A67" s="438"/>
      <c r="B67" s="17"/>
      <c r="C67" s="17"/>
      <c r="D67" s="17"/>
      <c r="E67" s="17"/>
      <c r="F67" s="17"/>
      <c r="G67" s="17"/>
      <c r="H67" s="17"/>
      <c r="I67" s="17"/>
      <c r="K67" s="23"/>
    </row>
    <row r="68" spans="1:11" ht="15" customHeight="1">
      <c r="A68" s="433" t="str">
        <f>+CONCATENATE('LINEAS IMPULSIÓN-CONDUCCIÓN'!A23," ",'LINEAS IMPULSIÓN-CONDUCCIÓN'!A91," ",'PTAP TIJERETAS'!A50," ",'PTAP TIJERETAS'!A64)</f>
        <v>1.3.2 2.3.2 1.8.3 1.8.16</v>
      </c>
      <c r="B68" s="3563" t="s">
        <v>6289</v>
      </c>
      <c r="C68" s="3564"/>
      <c r="D68" s="3564"/>
      <c r="E68" s="3564"/>
      <c r="F68" s="3564"/>
      <c r="G68" s="3564"/>
      <c r="H68" s="3564"/>
      <c r="I68" s="3565"/>
    </row>
    <row r="69" spans="1:11" ht="15" customHeight="1">
      <c r="A69" s="1261"/>
      <c r="B69" s="1262"/>
      <c r="C69" s="1299" t="s">
        <v>140</v>
      </c>
      <c r="D69" s="1580" t="s">
        <v>343</v>
      </c>
      <c r="E69" s="1255" t="s">
        <v>344</v>
      </c>
      <c r="F69" s="1255" t="s">
        <v>482</v>
      </c>
      <c r="G69" s="1255" t="s">
        <v>483</v>
      </c>
      <c r="H69" s="1255" t="s">
        <v>232</v>
      </c>
      <c r="I69" s="1255" t="s">
        <v>171</v>
      </c>
    </row>
    <row r="70" spans="1:11" ht="15" customHeight="1">
      <c r="A70" s="435" t="s">
        <v>172</v>
      </c>
      <c r="B70" s="167" t="s">
        <v>189</v>
      </c>
      <c r="C70" s="168">
        <v>1</v>
      </c>
      <c r="D70" s="2688" t="s">
        <v>583</v>
      </c>
      <c r="E70" s="497">
        <f>+H72*0.05</f>
        <v>1117.7725742222221</v>
      </c>
      <c r="F70" s="1585"/>
      <c r="G70" s="1585"/>
      <c r="H70" s="1585"/>
      <c r="I70" s="1585">
        <f>+C70*E70</f>
        <v>1117.7725742222221</v>
      </c>
    </row>
    <row r="71" spans="1:11" ht="15" customHeight="1">
      <c r="A71" s="435" t="s">
        <v>348</v>
      </c>
      <c r="B71" s="167" t="str">
        <f>IF(PRESTA&gt;0,"AYUD. RASO (INCLUYE "&amp;""&amp;PRESTA*100&amp;"% PRESTACIONES)",0)</f>
        <v>AYUD. RASO (INCLUYE 82,22% PRESTACIONES)</v>
      </c>
      <c r="C71" s="182">
        <f>1/2.25</f>
        <v>0.44444444444444442</v>
      </c>
      <c r="D71" s="2688" t="s">
        <v>346</v>
      </c>
      <c r="E71" s="497">
        <f>+AYUDR</f>
        <v>50299.76584</v>
      </c>
      <c r="F71" s="1585"/>
      <c r="G71" s="1585"/>
      <c r="H71" s="1585">
        <f>+E71*C71</f>
        <v>22355.451484444442</v>
      </c>
      <c r="I71" s="1585"/>
    </row>
    <row r="72" spans="1:11" ht="15" customHeight="1">
      <c r="A72" s="1265" t="s">
        <v>190</v>
      </c>
      <c r="B72" s="1587">
        <f>SUM(F72:I72)</f>
        <v>23473.224058666663</v>
      </c>
      <c r="C72" s="687"/>
      <c r="D72" s="1229"/>
      <c r="E72" s="2683"/>
      <c r="F72" s="2683">
        <f>+SUM(F70:F70)</f>
        <v>0</v>
      </c>
      <c r="G72" s="2683">
        <f>+SUM(G70:G70)</f>
        <v>0</v>
      </c>
      <c r="H72" s="2683">
        <f>+SUM(H70:H71)</f>
        <v>22355.451484444442</v>
      </c>
      <c r="I72" s="2683">
        <f>+SUM(I70:I70)</f>
        <v>1117.7725742222221</v>
      </c>
    </row>
    <row r="73" spans="1:11" ht="15" customHeight="1">
      <c r="A73" s="1265" t="s">
        <v>191</v>
      </c>
      <c r="B73" s="1587">
        <f>+B72</f>
        <v>23473.224058666663</v>
      </c>
      <c r="C73" s="1228" t="s">
        <v>356</v>
      </c>
      <c r="D73" s="873"/>
      <c r="E73" s="1794"/>
      <c r="F73" s="1794"/>
      <c r="G73" s="1794"/>
      <c r="H73" s="1794"/>
      <c r="I73" s="1794"/>
    </row>
    <row r="75" spans="1:11" s="19" customFormat="1" ht="15" customHeight="1">
      <c r="A75" s="433" t="str">
        <f>+CONCATENATE('LINEAS IMPULSIÓN-CONDUCCIÓN'!A24," ",'LINEAS IMPULSIÓN-CONDUCCIÓN'!A92," ",'LINEAS IMPULSIÓN-CONDUCCIÓN'!A162," ",' TANQUE PATAGONIA'!B18)</f>
        <v>1.3.3 2.3.3 3.3.2 2.3</v>
      </c>
      <c r="B75" s="3633" t="s">
        <v>6292</v>
      </c>
      <c r="C75" s="3633"/>
      <c r="D75" s="3633"/>
      <c r="E75" s="3633"/>
      <c r="F75" s="3633"/>
      <c r="G75" s="3633"/>
      <c r="H75" s="3633"/>
      <c r="I75" s="3633"/>
      <c r="J75" s="55"/>
      <c r="K75" s="23"/>
    </row>
    <row r="76" spans="1:11" ht="15" customHeight="1">
      <c r="A76" s="1261"/>
      <c r="B76" s="1259"/>
      <c r="C76" s="1796" t="s">
        <v>140</v>
      </c>
      <c r="D76" s="2681" t="s">
        <v>343</v>
      </c>
      <c r="E76" s="1797" t="s">
        <v>344</v>
      </c>
      <c r="F76" s="1797" t="s">
        <v>482</v>
      </c>
      <c r="G76" s="1797" t="s">
        <v>483</v>
      </c>
      <c r="H76" s="1797" t="s">
        <v>232</v>
      </c>
      <c r="I76" s="1797" t="s">
        <v>171</v>
      </c>
    </row>
    <row r="77" spans="1:11" ht="15" customHeight="1">
      <c r="A77" s="1261" t="s">
        <v>172</v>
      </c>
      <c r="B77" s="1259" t="s">
        <v>189</v>
      </c>
      <c r="C77" s="182">
        <v>1</v>
      </c>
      <c r="D77" s="509" t="s">
        <v>583</v>
      </c>
      <c r="E77" s="1797">
        <f>+H80*0.05</f>
        <v>838.32943066666667</v>
      </c>
      <c r="F77" s="497"/>
      <c r="G77" s="497"/>
      <c r="H77" s="497"/>
      <c r="I77" s="497">
        <f>+E77*C77</f>
        <v>838.32943066666667</v>
      </c>
    </row>
    <row r="78" spans="1:11" ht="15" customHeight="1">
      <c r="A78" s="1261"/>
      <c r="B78" s="1817" t="s">
        <v>6291</v>
      </c>
      <c r="C78" s="182">
        <f>1/0.6</f>
        <v>1.6666666666666667</v>
      </c>
      <c r="D78" s="509" t="s">
        <v>735</v>
      </c>
      <c r="E78" s="1797">
        <f>+'BASE 2'!D704</f>
        <v>35000</v>
      </c>
      <c r="F78" s="497"/>
      <c r="G78" s="497">
        <f>+E78*C78</f>
        <v>58333.333333333336</v>
      </c>
      <c r="H78" s="497"/>
      <c r="I78" s="497"/>
    </row>
    <row r="79" spans="1:11" ht="15" customHeight="1">
      <c r="A79" s="1261"/>
      <c r="B79" s="1259" t="s">
        <v>1110</v>
      </c>
      <c r="C79" s="2699">
        <f>1/(0.6*8)</f>
        <v>0.20833333333333334</v>
      </c>
      <c r="D79" s="454" t="s">
        <v>346</v>
      </c>
      <c r="E79" s="456">
        <f>+OFICI</f>
        <v>80479.625344</v>
      </c>
      <c r="F79" s="497"/>
      <c r="G79" s="497"/>
      <c r="H79" s="497">
        <f>+E79*C79</f>
        <v>16766.588613333333</v>
      </c>
      <c r="I79" s="497"/>
    </row>
    <row r="80" spans="1:11" ht="15" customHeight="1">
      <c r="A80" s="1265" t="s">
        <v>190</v>
      </c>
      <c r="B80" s="1801">
        <f>SUM(F80:I80)</f>
        <v>75938.251377333334</v>
      </c>
      <c r="C80" s="182"/>
      <c r="D80" s="509"/>
      <c r="E80" s="1797"/>
      <c r="F80" s="497">
        <f>+SUM(F77:F79)</f>
        <v>0</v>
      </c>
      <c r="G80" s="497">
        <f>+SUM(G77:G79)</f>
        <v>58333.333333333336</v>
      </c>
      <c r="H80" s="497">
        <f>+SUM(H77:H79)</f>
        <v>16766.588613333333</v>
      </c>
      <c r="I80" s="497">
        <f>+SUM(I77:I79)</f>
        <v>838.32943066666667</v>
      </c>
    </row>
    <row r="81" spans="1:11" ht="15" customHeight="1">
      <c r="A81" s="1265" t="s">
        <v>191</v>
      </c>
      <c r="B81" s="2700">
        <f>+B80</f>
        <v>75938.251377333334</v>
      </c>
      <c r="C81" s="1714" t="s">
        <v>356</v>
      </c>
      <c r="D81" s="1798"/>
      <c r="E81" s="1799"/>
      <c r="F81" s="1800"/>
      <c r="G81" s="1800"/>
      <c r="H81" s="1800"/>
      <c r="I81" s="1800"/>
    </row>
    <row r="83" spans="1:11" s="154" customFormat="1" ht="15" customHeight="1">
      <c r="A83" s="433" t="str">
        <f>+CONCATENATE('LINEAS IMPULSIÓN-CONDUCCIÓN'!A25," ",'LINEAS IMPULSIÓN-CONDUCCIÓN'!A93," ",'LINEAS IMPULSIÓN-CONDUCCIÓN'!A163," ",'PTAP TIJERETAS'!A69," ",' TANQUE PATAGONIA'!B27)</f>
        <v>1.3.4 2.3.4 3.3.3 1.8.21 5.1</v>
      </c>
      <c r="B83" s="3569" t="s">
        <v>6333</v>
      </c>
      <c r="C83" s="3569"/>
      <c r="D83" s="3569"/>
      <c r="E83" s="3569"/>
      <c r="F83" s="3569"/>
      <c r="G83" s="3569"/>
      <c r="H83" s="3569"/>
      <c r="I83" s="3569"/>
    </row>
    <row r="84" spans="1:11" ht="15" customHeight="1">
      <c r="A84" s="954"/>
      <c r="B84" s="185"/>
      <c r="C84" s="1580" t="s">
        <v>140</v>
      </c>
      <c r="D84" s="1580" t="s">
        <v>343</v>
      </c>
      <c r="E84" s="1581" t="s">
        <v>344</v>
      </c>
      <c r="F84" s="1581" t="s">
        <v>482</v>
      </c>
      <c r="G84" s="1581" t="s">
        <v>483</v>
      </c>
      <c r="H84" s="1581" t="s">
        <v>232</v>
      </c>
      <c r="I84" s="1581" t="s">
        <v>171</v>
      </c>
    </row>
    <row r="85" spans="1:11" ht="15" customHeight="1">
      <c r="A85" s="954" t="s">
        <v>490</v>
      </c>
      <c r="B85" s="1817" t="s">
        <v>6411</v>
      </c>
      <c r="C85" s="183">
        <f>1/(28*6)</f>
        <v>5.9523809523809521E-3</v>
      </c>
      <c r="D85" s="2684" t="s">
        <v>735</v>
      </c>
      <c r="E85" s="1804">
        <f>+CARGAD</f>
        <v>80000</v>
      </c>
      <c r="F85" s="1804">
        <f>+E85*C85</f>
        <v>476.19047619047615</v>
      </c>
      <c r="G85" s="1804"/>
      <c r="H85" s="1804"/>
      <c r="I85" s="1804"/>
      <c r="K85" s="402">
        <f>1/C85</f>
        <v>168</v>
      </c>
    </row>
    <row r="86" spans="1:11" ht="15" customHeight="1">
      <c r="A86" s="954" t="s">
        <v>719</v>
      </c>
      <c r="B86" s="1817" t="s">
        <v>6258</v>
      </c>
      <c r="C86" s="838">
        <v>1</v>
      </c>
      <c r="D86" s="2684" t="s">
        <v>6251</v>
      </c>
      <c r="E86" s="1804">
        <f>+TRANS</f>
        <v>1350</v>
      </c>
      <c r="F86" s="1804"/>
      <c r="G86" s="1804"/>
      <c r="H86" s="1804"/>
      <c r="I86" s="1804">
        <f>+E86*C86</f>
        <v>1350</v>
      </c>
    </row>
    <row r="87" spans="1:11" ht="15" customHeight="1">
      <c r="A87" s="1265" t="s">
        <v>190</v>
      </c>
      <c r="B87" s="1587">
        <f>SUM(F87:I87)</f>
        <v>1826.1904761904761</v>
      </c>
      <c r="C87" s="1274"/>
      <c r="D87" s="1274"/>
      <c r="E87" s="1581"/>
      <c r="F87" s="1581">
        <f>SUM(F85:F86)</f>
        <v>476.19047619047615</v>
      </c>
      <c r="G87" s="1581">
        <f>SUM(G85:G86)</f>
        <v>0</v>
      </c>
      <c r="H87" s="1581">
        <f>SUM(H85:H86)</f>
        <v>0</v>
      </c>
      <c r="I87" s="1581">
        <f>SUM(I85:I86)</f>
        <v>1350</v>
      </c>
      <c r="J87" s="507"/>
    </row>
    <row r="88" spans="1:11" ht="15" customHeight="1">
      <c r="A88" s="1265" t="s">
        <v>191</v>
      </c>
      <c r="B88" s="1587">
        <f>+B87</f>
        <v>1826.1904761904761</v>
      </c>
      <c r="C88" s="1818" t="s">
        <v>356</v>
      </c>
      <c r="D88" s="1819"/>
      <c r="E88" s="864"/>
      <c r="F88" s="1820"/>
      <c r="G88" s="864"/>
      <c r="H88" s="864"/>
      <c r="I88" s="864"/>
    </row>
    <row r="90" spans="1:11" s="502" customFormat="1" ht="15" customHeight="1">
      <c r="A90" s="445" t="str">
        <f>+CONCATENATE('LINEAS IMPULSIÓN-CONDUCCIÓN'!A26," ",'LINEAS IMPULSIÓN-CONDUCCIÓN'!A94," ",'LINEAS IMPULSIÓN-CONDUCCIÓN'!A164," ",'PTAP TIJERETAS'!A167," ",' TANQUE PATAGONIA'!B24)</f>
        <v>1.3.5 2.3.5 3.3.4 2.2.2 4.2</v>
      </c>
      <c r="B90" s="3619" t="s">
        <v>5063</v>
      </c>
      <c r="C90" s="3620"/>
      <c r="D90" s="3620"/>
      <c r="E90" s="3620"/>
      <c r="F90" s="3620"/>
      <c r="G90" s="3620"/>
      <c r="H90" s="3620"/>
      <c r="I90" s="3621"/>
    </row>
    <row r="91" spans="1:11" ht="15" customHeight="1">
      <c r="A91" s="446"/>
      <c r="B91" s="156"/>
      <c r="C91" s="2681" t="s">
        <v>140</v>
      </c>
      <c r="D91" s="2681" t="s">
        <v>343</v>
      </c>
      <c r="E91" s="1804" t="s">
        <v>344</v>
      </c>
      <c r="F91" s="1804" t="s">
        <v>482</v>
      </c>
      <c r="G91" s="1804" t="s">
        <v>483</v>
      </c>
      <c r="H91" s="1804" t="s">
        <v>232</v>
      </c>
      <c r="I91" s="1804" t="s">
        <v>171</v>
      </c>
    </row>
    <row r="92" spans="1:11" ht="15" customHeight="1">
      <c r="A92" s="232" t="s">
        <v>738</v>
      </c>
      <c r="B92" s="41" t="s">
        <v>6412</v>
      </c>
      <c r="C92" s="182">
        <v>0.67</v>
      </c>
      <c r="D92" s="6" t="s">
        <v>735</v>
      </c>
      <c r="E92" s="65">
        <f>+CANGU</f>
        <v>11625</v>
      </c>
      <c r="F92" s="585">
        <f>+E92*C92</f>
        <v>7788.7500000000009</v>
      </c>
      <c r="G92" s="585"/>
      <c r="H92" s="585"/>
      <c r="I92" s="585"/>
    </row>
    <row r="93" spans="1:11" ht="15" customHeight="1">
      <c r="A93" s="232" t="s">
        <v>172</v>
      </c>
      <c r="B93" s="760" t="s">
        <v>189</v>
      </c>
      <c r="C93" s="837">
        <v>1</v>
      </c>
      <c r="D93" s="6" t="s">
        <v>583</v>
      </c>
      <c r="E93" s="65">
        <f>H96*0.05</f>
        <v>210.63026945500002</v>
      </c>
      <c r="F93" s="762"/>
      <c r="G93" s="762"/>
      <c r="H93" s="762"/>
      <c r="I93" s="762">
        <f>+E93*C93</f>
        <v>210.63026945500002</v>
      </c>
    </row>
    <row r="94" spans="1:11" ht="15" customHeight="1">
      <c r="A94" s="232" t="s">
        <v>354</v>
      </c>
      <c r="B94" s="41" t="s">
        <v>6413</v>
      </c>
      <c r="C94" s="838">
        <v>1.1000000000000001</v>
      </c>
      <c r="D94" s="6" t="s">
        <v>356</v>
      </c>
      <c r="E94" s="585">
        <f>+BASEG</f>
        <v>68000</v>
      </c>
      <c r="F94" s="585"/>
      <c r="G94" s="585">
        <f>+E94*C94</f>
        <v>74800</v>
      </c>
      <c r="H94" s="585"/>
      <c r="I94" s="585"/>
    </row>
    <row r="95" spans="1:11" ht="15" customHeight="1">
      <c r="A95" s="232" t="s">
        <v>347</v>
      </c>
      <c r="B95" s="41" t="s">
        <v>966</v>
      </c>
      <c r="C95" s="182">
        <f>+C92/8</f>
        <v>8.3750000000000005E-2</v>
      </c>
      <c r="D95" s="6" t="s">
        <v>346</v>
      </c>
      <c r="E95" s="585">
        <f>+AYUDR</f>
        <v>50299.76584</v>
      </c>
      <c r="F95" s="585"/>
      <c r="G95" s="585"/>
      <c r="H95" s="585">
        <f>+E95*C95</f>
        <v>4212.6053891000001</v>
      </c>
      <c r="I95" s="585"/>
    </row>
    <row r="96" spans="1:11" ht="15" customHeight="1">
      <c r="A96" s="1265" t="s">
        <v>190</v>
      </c>
      <c r="B96" s="1266">
        <f>ROUND(SUM(F96:I96),0)</f>
        <v>87012</v>
      </c>
      <c r="C96" s="2681"/>
      <c r="D96" s="1805"/>
      <c r="E96" s="1804"/>
      <c r="F96" s="1806">
        <f>SUM(F92:F95)</f>
        <v>7788.7500000000009</v>
      </c>
      <c r="G96" s="1806">
        <f>SUM(G92:G95)</f>
        <v>74800</v>
      </c>
      <c r="H96" s="1806">
        <f>SUM(H92:H95)</f>
        <v>4212.6053891000001</v>
      </c>
      <c r="I96" s="1806">
        <f>SUM(I92:I95)</f>
        <v>210.63026945500002</v>
      </c>
    </row>
    <row r="97" spans="1:11" ht="15" customHeight="1">
      <c r="A97" s="1265" t="s">
        <v>191</v>
      </c>
      <c r="B97" s="1266">
        <f>+B96</f>
        <v>87012</v>
      </c>
      <c r="C97" s="1807" t="s">
        <v>356</v>
      </c>
      <c r="D97" s="1808"/>
      <c r="E97" s="1809"/>
      <c r="F97" s="1810"/>
      <c r="G97" s="1809"/>
      <c r="H97" s="1810"/>
      <c r="I97" s="1809"/>
    </row>
    <row r="98" spans="1:11" s="507" customFormat="1" ht="15" customHeight="1">
      <c r="A98" s="1270"/>
      <c r="B98" s="861"/>
      <c r="C98" s="862"/>
      <c r="D98" s="504"/>
      <c r="E98" s="1795"/>
      <c r="F98" s="1795"/>
      <c r="G98" s="1795"/>
      <c r="H98" s="1795"/>
      <c r="I98" s="1795"/>
    </row>
    <row r="99" spans="1:11" ht="36" customHeight="1">
      <c r="A99" s="445" t="str">
        <f>+CONCATENATE('LINEAS IMPULSIÓN-CONDUCCIÓN'!A27," ",'LINEAS IMPULSIÓN-CONDUCCIÓN'!A95," ",'LINEAS IMPULSIÓN-CONDUCCIÓN'!A165," ",' TANQUE PATAGONIA'!B23)</f>
        <v>1.3.6 2.3.6 3.3.5 4.1</v>
      </c>
      <c r="B99" s="3570" t="s">
        <v>1102</v>
      </c>
      <c r="C99" s="3571"/>
      <c r="D99" s="3571"/>
      <c r="E99" s="3571"/>
      <c r="F99" s="3571"/>
      <c r="G99" s="3571"/>
      <c r="H99" s="3571"/>
      <c r="I99" s="3572"/>
    </row>
    <row r="100" spans="1:11" ht="15" customHeight="1">
      <c r="A100" s="1261"/>
      <c r="B100" s="1262"/>
      <c r="C100" s="1299" t="s">
        <v>140</v>
      </c>
      <c r="D100" s="1580" t="s">
        <v>343</v>
      </c>
      <c r="E100" s="1581" t="s">
        <v>344</v>
      </c>
      <c r="F100" s="1581" t="s">
        <v>482</v>
      </c>
      <c r="G100" s="1581" t="s">
        <v>483</v>
      </c>
      <c r="H100" s="1581" t="s">
        <v>232</v>
      </c>
      <c r="I100" s="1581" t="s">
        <v>171</v>
      </c>
    </row>
    <row r="101" spans="1:11" ht="15" customHeight="1">
      <c r="A101" s="1261" t="s">
        <v>738</v>
      </c>
      <c r="B101" s="41" t="s">
        <v>6412</v>
      </c>
      <c r="C101" s="182">
        <f>+C92</f>
        <v>0.67</v>
      </c>
      <c r="D101" s="1229" t="s">
        <v>735</v>
      </c>
      <c r="E101" s="1814">
        <f>+CANGU</f>
        <v>11625</v>
      </c>
      <c r="F101" s="1814">
        <f>+E101*C101</f>
        <v>7788.7500000000009</v>
      </c>
      <c r="G101" s="1814"/>
      <c r="H101" s="1814"/>
      <c r="I101" s="1814"/>
    </row>
    <row r="102" spans="1:11" ht="15" customHeight="1">
      <c r="A102" s="1261" t="s">
        <v>172</v>
      </c>
      <c r="B102" s="1262" t="s">
        <v>189</v>
      </c>
      <c r="C102" s="687">
        <v>1</v>
      </c>
      <c r="D102" s="1229" t="s">
        <v>583</v>
      </c>
      <c r="E102" s="1814">
        <f>+H104*0.05</f>
        <v>210.63026945500002</v>
      </c>
      <c r="F102" s="1814"/>
      <c r="G102" s="1814"/>
      <c r="H102" s="1814"/>
      <c r="I102" s="1814">
        <f>+E102*C102</f>
        <v>210.63026945500002</v>
      </c>
    </row>
    <row r="103" spans="1:11" s="154" customFormat="1" ht="15" customHeight="1">
      <c r="A103" s="1261" t="s">
        <v>348</v>
      </c>
      <c r="B103" s="185" t="str">
        <f>+B95</f>
        <v>AYUDANTE RASO</v>
      </c>
      <c r="C103" s="182">
        <f>C101/8</f>
        <v>8.3750000000000005E-2</v>
      </c>
      <c r="D103" s="1229" t="s">
        <v>346</v>
      </c>
      <c r="E103" s="1814">
        <f>+E95</f>
        <v>50299.76584</v>
      </c>
      <c r="F103" s="1814"/>
      <c r="G103" s="1814"/>
      <c r="H103" s="1814">
        <f>+E103*C103</f>
        <v>4212.6053891000001</v>
      </c>
      <c r="I103" s="1814"/>
    </row>
    <row r="104" spans="1:11" ht="15" customHeight="1">
      <c r="A104" s="1265" t="s">
        <v>190</v>
      </c>
      <c r="B104" s="1266">
        <f>ROUND(SUM(F104:I104),0)</f>
        <v>12212</v>
      </c>
      <c r="C104" s="687"/>
      <c r="D104" s="1229"/>
      <c r="E104" s="1814"/>
      <c r="F104" s="1814">
        <f>+SUM(F101:F103)</f>
        <v>7788.7500000000009</v>
      </c>
      <c r="G104" s="1814">
        <f>+SUM(G101:G103)</f>
        <v>0</v>
      </c>
      <c r="H104" s="1814">
        <f>+SUM(H101:H103)</f>
        <v>4212.6053891000001</v>
      </c>
      <c r="I104" s="1814">
        <f>+SUM(I101:I103)</f>
        <v>210.63026945500002</v>
      </c>
    </row>
    <row r="105" spans="1:11" ht="15" customHeight="1">
      <c r="A105" s="1265" t="s">
        <v>191</v>
      </c>
      <c r="B105" s="1587">
        <f>+B104</f>
        <v>12212</v>
      </c>
      <c r="C105" s="1228" t="s">
        <v>356</v>
      </c>
      <c r="D105" s="873"/>
      <c r="E105" s="874"/>
      <c r="F105" s="874"/>
      <c r="G105" s="874"/>
      <c r="H105" s="874"/>
      <c r="I105" s="874"/>
      <c r="J105" s="507"/>
    </row>
    <row r="106" spans="1:11" s="499" customFormat="1" ht="18" customHeight="1"/>
    <row r="107" spans="1:11" s="1343" customFormat="1" ht="18">
      <c r="A107" s="445" t="str">
        <f>+CONCATENATE('LINEAS IMPULSIÓN-CONDUCCIÓN'!A28," ",'LINEAS IMPULSIÓN-CONDUCCIÓN'!A96:A96," ",'LINEAS IMPULSIÓN-CONDUCCIÓN'!A166)</f>
        <v>1.3.7 2.3.7 3.3.6</v>
      </c>
      <c r="B107" s="3641" t="s">
        <v>6249</v>
      </c>
      <c r="C107" s="3642"/>
      <c r="D107" s="3642"/>
      <c r="E107" s="3642"/>
      <c r="F107" s="3642"/>
      <c r="G107" s="3642"/>
      <c r="H107" s="3642"/>
      <c r="I107" s="3643"/>
    </row>
    <row r="108" spans="1:11" s="1853" customFormat="1" ht="13.8">
      <c r="A108" s="1850"/>
      <c r="B108" s="1851"/>
      <c r="C108" s="1852" t="s">
        <v>140</v>
      </c>
      <c r="D108" s="1434" t="s">
        <v>343</v>
      </c>
      <c r="E108" s="1346" t="s">
        <v>344</v>
      </c>
      <c r="F108" s="1346" t="s">
        <v>482</v>
      </c>
      <c r="G108" s="1346" t="s">
        <v>483</v>
      </c>
      <c r="H108" s="1346" t="s">
        <v>232</v>
      </c>
      <c r="I108" s="1346" t="s">
        <v>171</v>
      </c>
    </row>
    <row r="109" spans="1:11" s="1853" customFormat="1" ht="18">
      <c r="A109" s="1854" t="s">
        <v>172</v>
      </c>
      <c r="B109" s="1262" t="s">
        <v>189</v>
      </c>
      <c r="C109" s="1855">
        <v>1</v>
      </c>
      <c r="D109" s="1856" t="s">
        <v>583</v>
      </c>
      <c r="E109" s="877">
        <f>+H112*0.05</f>
        <v>502.99765840000003</v>
      </c>
      <c r="F109" s="1857"/>
      <c r="G109" s="1857"/>
      <c r="H109" s="1857"/>
      <c r="I109" s="1857">
        <f>+E109*C109</f>
        <v>502.99765840000003</v>
      </c>
    </row>
    <row r="110" spans="1:11" s="1853" customFormat="1" ht="18">
      <c r="A110" s="1854" t="s">
        <v>354</v>
      </c>
      <c r="B110" s="185" t="s">
        <v>6415</v>
      </c>
      <c r="C110" s="2024">
        <v>1.1000000000000001</v>
      </c>
      <c r="D110" s="1856" t="s">
        <v>356</v>
      </c>
      <c r="E110" s="1346">
        <f>+ARENP</f>
        <v>70500</v>
      </c>
      <c r="F110" s="1346"/>
      <c r="G110" s="1346">
        <f>+E110*C110</f>
        <v>77550</v>
      </c>
      <c r="H110" s="1346"/>
      <c r="I110" s="1346"/>
    </row>
    <row r="111" spans="1:11" s="2701" customFormat="1" ht="18">
      <c r="A111" s="1858"/>
      <c r="B111" s="1262" t="s">
        <v>6250</v>
      </c>
      <c r="C111" s="1855">
        <v>0.2</v>
      </c>
      <c r="D111" s="1859" t="s">
        <v>346</v>
      </c>
      <c r="E111" s="1860">
        <f>+AYUDR</f>
        <v>50299.76584</v>
      </c>
      <c r="F111" s="1860"/>
      <c r="G111" s="1860"/>
      <c r="H111" s="1861">
        <f>+E111*C111</f>
        <v>10059.953168</v>
      </c>
      <c r="I111" s="1861"/>
      <c r="K111" s="2701">
        <f>1350*14</f>
        <v>18900</v>
      </c>
    </row>
    <row r="112" spans="1:11" s="1853" customFormat="1" ht="13.8">
      <c r="A112" s="878" t="s">
        <v>190</v>
      </c>
      <c r="B112" s="1352">
        <f>SUM(F112:I112)</f>
        <v>88112.950826400003</v>
      </c>
      <c r="C112" s="1852"/>
      <c r="D112" s="1862"/>
      <c r="E112" s="1346"/>
      <c r="F112" s="1863">
        <f>SUM(F109:F111)</f>
        <v>0</v>
      </c>
      <c r="G112" s="1346">
        <f>SUM(G109:G111)</f>
        <v>77550</v>
      </c>
      <c r="H112" s="1863">
        <f>SUM(H109:H111)</f>
        <v>10059.953168</v>
      </c>
      <c r="I112" s="1346">
        <f>SUM(I109:I111)</f>
        <v>502.99765840000003</v>
      </c>
    </row>
    <row r="113" spans="1:9" s="1853" customFormat="1" ht="13.8">
      <c r="A113" s="878" t="s">
        <v>191</v>
      </c>
      <c r="B113" s="1352">
        <f>+ROUND(B112,0)</f>
        <v>88113</v>
      </c>
      <c r="C113" s="1864" t="s">
        <v>356</v>
      </c>
      <c r="D113" s="1865"/>
      <c r="E113" s="824"/>
      <c r="F113" s="1866"/>
      <c r="G113" s="824"/>
      <c r="H113" s="1866"/>
      <c r="I113" s="824"/>
    </row>
    <row r="114" spans="1:9" s="1260" customFormat="1" ht="15" customHeight="1">
      <c r="A114" s="1811"/>
      <c r="B114" s="1812"/>
      <c r="C114" s="862"/>
      <c r="D114" s="863"/>
      <c r="E114" s="864"/>
      <c r="F114" s="1813"/>
      <c r="G114" s="1813"/>
      <c r="H114" s="1813"/>
      <c r="I114" s="1813"/>
    </row>
    <row r="115" spans="1:9" s="499" customFormat="1" ht="40.5" customHeight="1">
      <c r="A115" s="433" t="str">
        <f>+CONCATENATE('LINEAS IMPULSIÓN-CONDUCCIÓN'!A29," ",'LINEAS IMPULSIÓN-CONDUCCIÓN'!A30)</f>
        <v>1.3.8 1.3.9</v>
      </c>
      <c r="B115" s="3619" t="s">
        <v>6416</v>
      </c>
      <c r="C115" s="3620"/>
      <c r="D115" s="3620"/>
      <c r="E115" s="3620"/>
      <c r="F115" s="3620"/>
      <c r="G115" s="3620"/>
      <c r="H115" s="3620"/>
      <c r="I115" s="3621"/>
    </row>
    <row r="116" spans="1:9" s="499" customFormat="1" ht="15" customHeight="1">
      <c r="A116" s="1261"/>
      <c r="B116" s="407"/>
      <c r="C116" s="1796" t="s">
        <v>140</v>
      </c>
      <c r="D116" s="2681" t="s">
        <v>343</v>
      </c>
      <c r="E116" s="1797" t="s">
        <v>344</v>
      </c>
      <c r="F116" s="509" t="s">
        <v>482</v>
      </c>
      <c r="G116" s="509" t="s">
        <v>483</v>
      </c>
      <c r="H116" s="509" t="s">
        <v>232</v>
      </c>
      <c r="I116" s="509" t="s">
        <v>171</v>
      </c>
    </row>
    <row r="117" spans="1:9" s="499" customFormat="1" ht="55.5" customHeight="1">
      <c r="A117" s="1261" t="s">
        <v>736</v>
      </c>
      <c r="B117" s="1713" t="s">
        <v>6418</v>
      </c>
      <c r="C117" s="182">
        <v>1</v>
      </c>
      <c r="D117" s="509" t="s">
        <v>45</v>
      </c>
      <c r="E117" s="1412">
        <f>2062500*1.19</f>
        <v>2454375</v>
      </c>
      <c r="F117" s="1412">
        <f>+E117*C117</f>
        <v>2454375</v>
      </c>
      <c r="G117" s="1412"/>
      <c r="H117" s="1412"/>
      <c r="I117" s="1412"/>
    </row>
    <row r="118" spans="1:9" s="499" customFormat="1" ht="15" customHeight="1">
      <c r="A118" s="1265" t="s">
        <v>190</v>
      </c>
      <c r="B118" s="1266">
        <f>ROUND(SUM(F118:I118),0)</f>
        <v>2454375</v>
      </c>
      <c r="C118" s="1796"/>
      <c r="D118" s="509"/>
      <c r="E118" s="1412"/>
      <c r="F118" s="1412">
        <f>+SUM(F117:F117)</f>
        <v>2454375</v>
      </c>
      <c r="G118" s="1412">
        <f>+SUM(G117:G117)</f>
        <v>0</v>
      </c>
      <c r="H118" s="1412">
        <f>+SUM(H117:H117)</f>
        <v>0</v>
      </c>
      <c r="I118" s="1412">
        <f>+SUM(I117:I117)</f>
        <v>0</v>
      </c>
    </row>
    <row r="119" spans="1:9" s="499" customFormat="1" ht="15" customHeight="1">
      <c r="A119" s="1265" t="s">
        <v>191</v>
      </c>
      <c r="B119" s="1587">
        <f>+B118</f>
        <v>2454375</v>
      </c>
      <c r="C119" s="1714" t="s">
        <v>45</v>
      </c>
      <c r="D119" s="1798"/>
      <c r="E119" s="1798"/>
      <c r="F119" s="1798"/>
      <c r="G119" s="1798"/>
      <c r="H119" s="1798"/>
      <c r="I119" s="1798"/>
    </row>
    <row r="121" spans="1:9" s="499" customFormat="1" ht="40.5" customHeight="1">
      <c r="A121" s="449" t="str">
        <f>+'LINEAS IMPULSIÓN-CONDUCCIÓN'!A31</f>
        <v>1.3.10</v>
      </c>
      <c r="B121" s="3619" t="s">
        <v>5743</v>
      </c>
      <c r="C121" s="3620"/>
      <c r="D121" s="3620"/>
      <c r="E121" s="3620"/>
      <c r="F121" s="3620"/>
      <c r="G121" s="3620"/>
      <c r="H121" s="3620"/>
      <c r="I121" s="3621"/>
    </row>
    <row r="122" spans="1:9" s="499" customFormat="1" ht="15" customHeight="1">
      <c r="A122" s="1261"/>
      <c r="B122" s="407"/>
      <c r="C122" s="1796" t="s">
        <v>140</v>
      </c>
      <c r="D122" s="2681" t="s">
        <v>343</v>
      </c>
      <c r="E122" s="1797" t="s">
        <v>344</v>
      </c>
      <c r="F122" s="509" t="s">
        <v>482</v>
      </c>
      <c r="G122" s="509" t="s">
        <v>483</v>
      </c>
      <c r="H122" s="509" t="s">
        <v>232</v>
      </c>
      <c r="I122" s="509" t="s">
        <v>171</v>
      </c>
    </row>
    <row r="123" spans="1:9" s="499" customFormat="1" ht="63.75" customHeight="1">
      <c r="A123" s="1261" t="s">
        <v>736</v>
      </c>
      <c r="B123" s="952" t="s">
        <v>6417</v>
      </c>
      <c r="C123" s="1796">
        <v>1</v>
      </c>
      <c r="D123" s="2681" t="s">
        <v>45</v>
      </c>
      <c r="E123" s="2702">
        <f>2100000*1.19</f>
        <v>2499000</v>
      </c>
      <c r="F123" s="1412">
        <f>+E123*C123</f>
        <v>2499000</v>
      </c>
      <c r="G123" s="1412"/>
      <c r="H123" s="1412"/>
      <c r="I123" s="1412"/>
    </row>
    <row r="124" spans="1:9" s="499" customFormat="1" ht="18.75" customHeight="1">
      <c r="A124" s="1261"/>
      <c r="B124" s="1713" t="s">
        <v>6310</v>
      </c>
      <c r="C124" s="182">
        <v>1</v>
      </c>
      <c r="D124" s="509" t="s">
        <v>45</v>
      </c>
      <c r="E124" s="1412">
        <v>1500000</v>
      </c>
      <c r="F124" s="1412"/>
      <c r="G124" s="1412">
        <f>+E124*C124</f>
        <v>1500000</v>
      </c>
      <c r="H124" s="1412"/>
      <c r="I124" s="1412"/>
    </row>
    <row r="125" spans="1:9" s="499" customFormat="1" ht="15" customHeight="1">
      <c r="A125" s="1265" t="s">
        <v>190</v>
      </c>
      <c r="B125" s="1266">
        <f>ROUND(SUM(F125:I125),0)</f>
        <v>3999000</v>
      </c>
      <c r="C125" s="1796"/>
      <c r="D125" s="509"/>
      <c r="E125" s="1412"/>
      <c r="F125" s="1412">
        <f>+SUM(F123:F123)</f>
        <v>2499000</v>
      </c>
      <c r="G125" s="1412">
        <f>+SUM(G123:G124)</f>
        <v>1500000</v>
      </c>
      <c r="H125" s="1412">
        <f>+SUM(H123:H123)</f>
        <v>0</v>
      </c>
      <c r="I125" s="1412">
        <f>+SUM(I123:I123)</f>
        <v>0</v>
      </c>
    </row>
    <row r="126" spans="1:9" s="499" customFormat="1" ht="15" customHeight="1">
      <c r="A126" s="1265" t="s">
        <v>191</v>
      </c>
      <c r="B126" s="1266">
        <f>+B125</f>
        <v>3999000</v>
      </c>
      <c r="C126" s="1714" t="s">
        <v>45</v>
      </c>
      <c r="D126" s="1798"/>
      <c r="E126" s="1798"/>
      <c r="F126" s="1798"/>
      <c r="G126" s="1798"/>
      <c r="H126" s="1798"/>
      <c r="I126" s="1798"/>
    </row>
    <row r="127" spans="1:9" ht="15" hidden="1" customHeight="1">
      <c r="B127" s="1802"/>
      <c r="C127" s="1803"/>
      <c r="D127" s="873"/>
      <c r="E127" s="874"/>
      <c r="F127" s="874"/>
      <c r="G127" s="874"/>
      <c r="H127" s="874"/>
      <c r="I127" s="874"/>
    </row>
    <row r="128" spans="1:9" ht="15" hidden="1" customHeight="1">
      <c r="A128" s="433" t="s">
        <v>714</v>
      </c>
      <c r="B128" s="3566" t="s">
        <v>192</v>
      </c>
      <c r="C128" s="3567"/>
      <c r="D128" s="3567"/>
      <c r="E128" s="3567"/>
      <c r="F128" s="3567"/>
      <c r="G128" s="3567"/>
      <c r="H128" s="3567"/>
      <c r="I128" s="3568"/>
    </row>
    <row r="129" spans="1:9" ht="15" hidden="1" customHeight="1">
      <c r="A129" s="1261"/>
      <c r="B129" s="184"/>
      <c r="C129" s="1229" t="s">
        <v>140</v>
      </c>
      <c r="D129" s="1229" t="s">
        <v>343</v>
      </c>
      <c r="E129" s="1814" t="s">
        <v>344</v>
      </c>
      <c r="F129" s="1814" t="s">
        <v>482</v>
      </c>
      <c r="G129" s="1814" t="s">
        <v>483</v>
      </c>
      <c r="H129" s="1814" t="s">
        <v>232</v>
      </c>
      <c r="I129" s="1814" t="s">
        <v>171</v>
      </c>
    </row>
    <row r="130" spans="1:9" ht="15" hidden="1" customHeight="1">
      <c r="A130" s="1261" t="s">
        <v>357</v>
      </c>
      <c r="B130" s="407" t="s">
        <v>358</v>
      </c>
      <c r="C130" s="183">
        <v>1</v>
      </c>
      <c r="D130" s="509" t="s">
        <v>356</v>
      </c>
      <c r="E130" s="1412">
        <v>25000</v>
      </c>
      <c r="F130" s="1412"/>
      <c r="G130" s="1412">
        <f>+E130*C130</f>
        <v>25000</v>
      </c>
      <c r="H130" s="1412"/>
      <c r="I130" s="1412"/>
    </row>
    <row r="131" spans="1:9" ht="15" hidden="1" customHeight="1">
      <c r="A131" s="1261" t="s">
        <v>172</v>
      </c>
      <c r="B131" s="407" t="s">
        <v>189</v>
      </c>
      <c r="C131" s="183">
        <v>1</v>
      </c>
      <c r="D131" s="509" t="s">
        <v>583</v>
      </c>
      <c r="E131" s="1412">
        <f>+H135*0.05</f>
        <v>1634.7423898000002</v>
      </c>
      <c r="F131" s="1412"/>
      <c r="G131" s="1412"/>
      <c r="H131" s="1412"/>
      <c r="I131" s="1412">
        <f>+E131*C131</f>
        <v>1634.7423898000002</v>
      </c>
    </row>
    <row r="132" spans="1:9" ht="15" hidden="1" customHeight="1">
      <c r="A132" s="1261" t="s">
        <v>738</v>
      </c>
      <c r="B132" s="407" t="s">
        <v>93</v>
      </c>
      <c r="C132" s="183">
        <v>0.5</v>
      </c>
      <c r="D132" s="509" t="s">
        <v>735</v>
      </c>
      <c r="E132" s="1412">
        <f>+CANGU</f>
        <v>11625</v>
      </c>
      <c r="F132" s="1412">
        <f>+E132*C132</f>
        <v>5812.5</v>
      </c>
      <c r="G132" s="1412"/>
      <c r="H132" s="1412"/>
      <c r="I132" s="1412"/>
    </row>
    <row r="133" spans="1:9" ht="15" hidden="1" customHeight="1">
      <c r="A133" s="1261" t="s">
        <v>1015</v>
      </c>
      <c r="B133" s="407" t="s">
        <v>653</v>
      </c>
      <c r="C133" s="183">
        <v>0.5</v>
      </c>
      <c r="D133" s="509" t="s">
        <v>356</v>
      </c>
      <c r="E133" s="1412">
        <f>+TRANAG</f>
        <v>30600</v>
      </c>
      <c r="F133" s="1412"/>
      <c r="G133" s="1412"/>
      <c r="H133" s="1412"/>
      <c r="I133" s="1412">
        <f>+E133*C133</f>
        <v>15300</v>
      </c>
    </row>
    <row r="134" spans="1:9" ht="15" hidden="1" customHeight="1">
      <c r="A134" s="1261" t="s">
        <v>347</v>
      </c>
      <c r="B134" s="407" t="s">
        <v>753</v>
      </c>
      <c r="C134" s="183">
        <v>0.5</v>
      </c>
      <c r="D134" s="509" t="s">
        <v>346</v>
      </c>
      <c r="E134" s="1412">
        <f>+AYUDA</f>
        <v>65389.695592000004</v>
      </c>
      <c r="F134" s="1412"/>
      <c r="G134" s="1412"/>
      <c r="H134" s="1412">
        <f>+E134*C134</f>
        <v>32694.847796000002</v>
      </c>
      <c r="I134" s="1412"/>
    </row>
    <row r="135" spans="1:9" ht="15" hidden="1" customHeight="1">
      <c r="A135" s="1265" t="s">
        <v>190</v>
      </c>
      <c r="B135" s="1266">
        <f>SUM(F135:I135)</f>
        <v>80442.0901858</v>
      </c>
      <c r="C135" s="401"/>
      <c r="D135" s="1229"/>
      <c r="E135" s="1814"/>
      <c r="F135" s="1814">
        <f>+SUM(F130:F134)</f>
        <v>5812.5</v>
      </c>
      <c r="G135" s="1814">
        <f>+SUM(G130:G134)</f>
        <v>25000</v>
      </c>
      <c r="H135" s="1814">
        <f>+SUM(H130:H134)</f>
        <v>32694.847796000002</v>
      </c>
      <c r="I135" s="1814">
        <f>+SUM(I130:I134)</f>
        <v>16934.742389800002</v>
      </c>
    </row>
    <row r="136" spans="1:9" ht="15" hidden="1" customHeight="1">
      <c r="A136" s="1265" t="str">
        <f>IF(AIU&gt;0,"+"&amp;""&amp;AIU*100&amp;"% AIU:",0)</f>
        <v>+29,572249606751% AIU:</v>
      </c>
      <c r="B136" s="1587">
        <f>+B135*AIU</f>
        <v>23788.535698632517</v>
      </c>
      <c r="C136" s="1282"/>
      <c r="D136" s="873"/>
      <c r="E136" s="874"/>
      <c r="F136" s="874"/>
      <c r="G136" s="874"/>
      <c r="H136" s="874"/>
      <c r="I136" s="874"/>
    </row>
    <row r="137" spans="1:9" ht="15" hidden="1" customHeight="1">
      <c r="A137" s="1265" t="s">
        <v>191</v>
      </c>
      <c r="B137" s="1587">
        <f>INT(+B135+B136)</f>
        <v>104230</v>
      </c>
      <c r="C137" s="1269" t="s">
        <v>356</v>
      </c>
      <c r="D137" s="873"/>
      <c r="E137" s="874"/>
      <c r="F137" s="874"/>
      <c r="G137" s="874"/>
      <c r="H137" s="874"/>
      <c r="I137" s="874"/>
    </row>
    <row r="138" spans="1:9" ht="15" hidden="1" customHeight="1">
      <c r="B138" s="1802"/>
      <c r="C138" s="1803"/>
      <c r="D138" s="873"/>
      <c r="E138" s="874"/>
      <c r="F138" s="874"/>
      <c r="G138" s="874"/>
      <c r="H138" s="874"/>
      <c r="I138" s="874"/>
    </row>
    <row r="139" spans="1:9" ht="15" hidden="1" customHeight="1">
      <c r="A139" s="433"/>
      <c r="B139" s="3566" t="s">
        <v>252</v>
      </c>
      <c r="C139" s="3567"/>
      <c r="D139" s="3567"/>
      <c r="E139" s="3567"/>
      <c r="F139" s="3567"/>
      <c r="G139" s="3567"/>
      <c r="H139" s="3567"/>
      <c r="I139" s="3568"/>
    </row>
    <row r="140" spans="1:9" ht="15" hidden="1" customHeight="1">
      <c r="A140" s="1261"/>
      <c r="B140" s="1815"/>
      <c r="C140" s="1229" t="s">
        <v>140</v>
      </c>
      <c r="D140" s="1229" t="s">
        <v>343</v>
      </c>
      <c r="E140" s="1814" t="s">
        <v>344</v>
      </c>
      <c r="F140" s="1814" t="s">
        <v>482</v>
      </c>
      <c r="G140" s="1814" t="s">
        <v>483</v>
      </c>
      <c r="H140" s="1814" t="s">
        <v>232</v>
      </c>
      <c r="I140" s="1814" t="s">
        <v>171</v>
      </c>
    </row>
    <row r="141" spans="1:9" ht="15" hidden="1" customHeight="1">
      <c r="A141" s="1261" t="s">
        <v>172</v>
      </c>
      <c r="B141" s="1262" t="s">
        <v>189</v>
      </c>
      <c r="C141" s="1264">
        <v>1</v>
      </c>
      <c r="D141" s="1229" t="s">
        <v>583</v>
      </c>
      <c r="E141" s="1814">
        <f>+H148*0.05</f>
        <v>739.40655784800003</v>
      </c>
      <c r="F141" s="1814"/>
      <c r="G141" s="1814"/>
      <c r="H141" s="1814"/>
      <c r="I141" s="1814">
        <f>+E141*C141</f>
        <v>739.40655784800003</v>
      </c>
    </row>
    <row r="142" spans="1:9" ht="15" hidden="1" customHeight="1">
      <c r="A142" s="1261" t="s">
        <v>361</v>
      </c>
      <c r="B142" s="1262" t="s">
        <v>362</v>
      </c>
      <c r="C142" s="1263">
        <v>1.2</v>
      </c>
      <c r="D142" s="1229" t="s">
        <v>363</v>
      </c>
      <c r="E142" s="1814">
        <f>+_CAN28</f>
        <v>8670</v>
      </c>
      <c r="F142" s="1814"/>
      <c r="G142" s="1814">
        <f>+E142*C142</f>
        <v>10404</v>
      </c>
      <c r="H142" s="1814"/>
      <c r="I142" s="1814"/>
    </row>
    <row r="143" spans="1:9" ht="15" hidden="1" customHeight="1">
      <c r="A143" s="954" t="s">
        <v>245</v>
      </c>
      <c r="B143" s="231" t="s">
        <v>146</v>
      </c>
      <c r="C143" s="1263">
        <v>2.1</v>
      </c>
      <c r="D143" s="1229" t="s">
        <v>363</v>
      </c>
      <c r="E143" s="1814">
        <f>+TABLA</f>
        <v>2958</v>
      </c>
      <c r="F143" s="1814"/>
      <c r="G143" s="1814">
        <f>+E143*C143</f>
        <v>6211.8</v>
      </c>
      <c r="H143" s="1814"/>
      <c r="I143" s="1814"/>
    </row>
    <row r="144" spans="1:9" ht="15" hidden="1" customHeight="1">
      <c r="A144" s="1261" t="s">
        <v>261</v>
      </c>
      <c r="B144" s="1262" t="s">
        <v>262</v>
      </c>
      <c r="C144" s="1263">
        <v>0.25</v>
      </c>
      <c r="D144" s="1229" t="s">
        <v>363</v>
      </c>
      <c r="E144" s="1814">
        <f>+TACOR</f>
        <v>3366</v>
      </c>
      <c r="F144" s="1814"/>
      <c r="G144" s="1814">
        <f>+E144*C144</f>
        <v>841.5</v>
      </c>
      <c r="H144" s="1814"/>
      <c r="I144" s="1814"/>
    </row>
    <row r="145" spans="1:11" ht="15" hidden="1" customHeight="1">
      <c r="A145" s="1261" t="s">
        <v>372</v>
      </c>
      <c r="B145" s="1262" t="s">
        <v>621</v>
      </c>
      <c r="C145" s="1263">
        <v>0.15</v>
      </c>
      <c r="D145" s="1229" t="s">
        <v>374</v>
      </c>
      <c r="E145" s="1814">
        <f>+CLAVO</f>
        <v>2300</v>
      </c>
      <c r="F145" s="1814"/>
      <c r="G145" s="1814">
        <f>+E145*C145</f>
        <v>345</v>
      </c>
      <c r="H145" s="1814"/>
      <c r="I145" s="1814"/>
    </row>
    <row r="146" spans="1:11" ht="15" hidden="1" customHeight="1">
      <c r="A146" s="1261" t="s">
        <v>345</v>
      </c>
      <c r="B146" s="1262" t="str">
        <f>IF(PRESTA&gt;0,"OFICIAL (INCLUYE "&amp;""&amp;PRESTA*100&amp;"% PRESTACIONES)",0)</f>
        <v>OFICIAL (INCLUYE 82,22% PRESTACIONES)</v>
      </c>
      <c r="C146" s="1264">
        <v>7.0000000000000007E-2</v>
      </c>
      <c r="D146" s="1229" t="s">
        <v>346</v>
      </c>
      <c r="E146" s="1814">
        <f>+OFICI</f>
        <v>80479.625344</v>
      </c>
      <c r="F146" s="1814"/>
      <c r="G146" s="1814"/>
      <c r="H146" s="1814">
        <f>+E146*C146</f>
        <v>5633.5737740800005</v>
      </c>
      <c r="I146" s="1814"/>
    </row>
    <row r="147" spans="1:11" ht="15" hidden="1" customHeight="1">
      <c r="A147" s="1261" t="s">
        <v>347</v>
      </c>
      <c r="B147" s="1262" t="str">
        <f>IF(PRESTA&gt;0,"AYUD. ENTENDIDO (INCLUYE "&amp;""&amp;PRESTA*100&amp;"% PRESTACIONES)",0)</f>
        <v>AYUD. ENTENDIDO (INCLUYE 82,22% PRESTACIONES)</v>
      </c>
      <c r="C147" s="1264">
        <v>0.14000000000000001</v>
      </c>
      <c r="D147" s="1229" t="s">
        <v>346</v>
      </c>
      <c r="E147" s="1814">
        <f>+AYUDA</f>
        <v>65389.695592000004</v>
      </c>
      <c r="F147" s="1814"/>
      <c r="G147" s="1814"/>
      <c r="H147" s="1814">
        <f>+E147*C147</f>
        <v>9154.5573828800007</v>
      </c>
      <c r="I147" s="1814"/>
    </row>
    <row r="148" spans="1:11" ht="15" hidden="1" customHeight="1">
      <c r="A148" s="1265" t="s">
        <v>190</v>
      </c>
      <c r="B148" s="1266">
        <f>ROUND(SUM(F148:I148),0)</f>
        <v>33330</v>
      </c>
      <c r="C148" s="1299"/>
      <c r="D148" s="1229"/>
      <c r="E148" s="1814"/>
      <c r="F148" s="1814">
        <f>+SUM(F141:F147)</f>
        <v>0</v>
      </c>
      <c r="G148" s="1814">
        <f>+SUM(G141:G147)</f>
        <v>17802.3</v>
      </c>
      <c r="H148" s="1814">
        <f>+SUM(H141:H147)</f>
        <v>14788.13115696</v>
      </c>
      <c r="I148" s="1814">
        <f>+SUM(I141:I147)</f>
        <v>739.40655784800003</v>
      </c>
    </row>
    <row r="149" spans="1:11" ht="15" hidden="1" customHeight="1">
      <c r="A149" s="1265" t="str">
        <f>IF(AIU&gt;-1,"+"&amp;""&amp;AIU*100&amp;"% AIU:",0)</f>
        <v>+29,572249606751% AIU:</v>
      </c>
      <c r="B149" s="1587">
        <f>+B148*AIU</f>
        <v>9856.4307939301052</v>
      </c>
      <c r="C149" s="1816"/>
      <c r="D149" s="873"/>
      <c r="E149" s="874"/>
      <c r="F149" s="874"/>
      <c r="G149" s="874"/>
      <c r="H149" s="874"/>
      <c r="I149" s="874"/>
    </row>
    <row r="150" spans="1:11" ht="15" hidden="1" customHeight="1">
      <c r="A150" s="1265" t="s">
        <v>191</v>
      </c>
      <c r="B150" s="1587">
        <f>ROUND((B148+B149),0)</f>
        <v>43186</v>
      </c>
      <c r="C150" s="1228" t="s">
        <v>623</v>
      </c>
      <c r="D150" s="873"/>
      <c r="E150" s="874"/>
      <c r="F150" s="874"/>
      <c r="G150" s="874"/>
      <c r="H150" s="874"/>
      <c r="I150" s="874"/>
    </row>
    <row r="151" spans="1:11" ht="15" hidden="1" customHeight="1"/>
    <row r="153" spans="1:11" s="1260" customFormat="1" ht="15" customHeight="1">
      <c r="A153" s="3636" t="s">
        <v>8028</v>
      </c>
      <c r="B153" s="3636"/>
      <c r="C153" s="3636"/>
      <c r="D153" s="3636"/>
      <c r="E153" s="3636"/>
      <c r="F153" s="3636"/>
      <c r="G153" s="3636"/>
      <c r="H153" s="3636"/>
      <c r="I153" s="3636"/>
    </row>
    <row r="155" spans="1:11" s="357" customFormat="1" ht="15" customHeight="1">
      <c r="A155" s="434" t="str">
        <f>+CONCATENATE('LINEAS IMPULSIÓN-CONDUCCIÓN'!A33,"  ",'LINEAS IMPULSIÓN-CONDUCCIÓN'!A99,"  ",'LINEAS IMPULSIÓN-CONDUCCIÓN'!A169)</f>
        <v>1.4.1  2.4.1  3.4.1</v>
      </c>
      <c r="B155" s="3637" t="s">
        <v>6294</v>
      </c>
      <c r="C155" s="3637"/>
      <c r="D155" s="3637"/>
      <c r="E155" s="3637"/>
      <c r="F155" s="3637"/>
      <c r="G155" s="3637"/>
      <c r="H155" s="3637"/>
      <c r="I155" s="3637"/>
    </row>
    <row r="156" spans="1:11" s="19" customFormat="1" ht="15" customHeight="1">
      <c r="A156" s="436"/>
      <c r="B156" s="359"/>
      <c r="C156" s="358" t="s">
        <v>140</v>
      </c>
      <c r="D156" s="358" t="s">
        <v>343</v>
      </c>
      <c r="E156" s="360" t="s">
        <v>344</v>
      </c>
      <c r="F156" s="360" t="s">
        <v>482</v>
      </c>
      <c r="G156" s="360" t="s">
        <v>483</v>
      </c>
      <c r="H156" s="360" t="s">
        <v>232</v>
      </c>
      <c r="I156" s="360" t="s">
        <v>171</v>
      </c>
    </row>
    <row r="157" spans="1:11" s="19" customFormat="1" ht="15" customHeight="1">
      <c r="A157" s="436" t="s">
        <v>308</v>
      </c>
      <c r="B157" s="361" t="s">
        <v>18</v>
      </c>
      <c r="C157" s="362">
        <v>1</v>
      </c>
      <c r="D157" s="363" t="s">
        <v>356</v>
      </c>
      <c r="E157" s="360">
        <f>+'BASE CTOS'!B107</f>
        <v>419022.54922489997</v>
      </c>
      <c r="F157" s="360"/>
      <c r="G157" s="360">
        <f>C157*E157</f>
        <v>419022.54922489997</v>
      </c>
      <c r="H157" s="360"/>
      <c r="I157" s="360"/>
    </row>
    <row r="158" spans="1:11" s="19" customFormat="1" ht="15" customHeight="1">
      <c r="A158" s="436" t="s">
        <v>654</v>
      </c>
      <c r="B158" s="329" t="s">
        <v>6420</v>
      </c>
      <c r="C158" s="380">
        <f>3*0.3</f>
        <v>0.89999999999999991</v>
      </c>
      <c r="D158" s="2026" t="s">
        <v>1002</v>
      </c>
      <c r="E158" s="343">
        <f>+FORMA</f>
        <v>2222.2222222222222</v>
      </c>
      <c r="F158" s="343"/>
      <c r="G158" s="360">
        <f>C158*E158</f>
        <v>1999.9999999999998</v>
      </c>
      <c r="H158" s="343"/>
      <c r="I158" s="343"/>
      <c r="K158" s="23"/>
    </row>
    <row r="159" spans="1:11" s="19" customFormat="1" ht="15" customHeight="1">
      <c r="A159" s="436" t="s">
        <v>172</v>
      </c>
      <c r="B159" s="361" t="s">
        <v>189</v>
      </c>
      <c r="C159" s="362">
        <v>1</v>
      </c>
      <c r="D159" s="363" t="s">
        <v>583</v>
      </c>
      <c r="E159" s="360">
        <f>0.03*H162</f>
        <v>2535.108198336</v>
      </c>
      <c r="F159" s="360"/>
      <c r="G159" s="360"/>
      <c r="H159" s="360"/>
      <c r="I159" s="360">
        <f>E159</f>
        <v>2535.108198336</v>
      </c>
    </row>
    <row r="160" spans="1:11" s="30" customFormat="1" ht="15" customHeight="1">
      <c r="A160" s="436" t="s">
        <v>345</v>
      </c>
      <c r="B160" s="379" t="s">
        <v>6439</v>
      </c>
      <c r="C160" s="34">
        <v>0.3</v>
      </c>
      <c r="D160" s="372" t="s">
        <v>346</v>
      </c>
      <c r="E160" s="368">
        <f>+OFICI</f>
        <v>80479.625344</v>
      </c>
      <c r="F160" s="368"/>
      <c r="G160" s="368"/>
      <c r="H160" s="368">
        <f>+E160*C160</f>
        <v>24143.887603200001</v>
      </c>
      <c r="I160" s="368"/>
      <c r="K160" s="25"/>
    </row>
    <row r="161" spans="1:11" s="19" customFormat="1" ht="15" customHeight="1">
      <c r="A161" s="436" t="s">
        <v>348</v>
      </c>
      <c r="B161" s="361" t="s">
        <v>6954</v>
      </c>
      <c r="C161" s="362">
        <v>0.3</v>
      </c>
      <c r="D161" s="358" t="s">
        <v>346</v>
      </c>
      <c r="E161" s="360">
        <f>+AYUDR*4</f>
        <v>201199.06336</v>
      </c>
      <c r="F161" s="360"/>
      <c r="G161" s="360"/>
      <c r="H161" s="360">
        <f>+E161*C161</f>
        <v>60359.719008</v>
      </c>
      <c r="I161" s="360"/>
    </row>
    <row r="162" spans="1:11" s="19" customFormat="1" ht="15" customHeight="1">
      <c r="A162" s="437" t="s">
        <v>190</v>
      </c>
      <c r="B162" s="365">
        <f>SUM(F162:I162)</f>
        <v>508061.26403443597</v>
      </c>
      <c r="C162" s="160"/>
      <c r="D162" s="363"/>
      <c r="E162" s="360"/>
      <c r="F162" s="360">
        <v>0</v>
      </c>
      <c r="G162" s="360">
        <f>SUM(G157:G161)</f>
        <v>421022.54922489997</v>
      </c>
      <c r="H162" s="360">
        <f>SUM(H157:H161)</f>
        <v>84503.606611199997</v>
      </c>
      <c r="I162" s="360">
        <f>SUM(I157:I161)</f>
        <v>2535.108198336</v>
      </c>
    </row>
    <row r="163" spans="1:11" s="19" customFormat="1" ht="15" customHeight="1">
      <c r="A163" s="437" t="s">
        <v>191</v>
      </c>
      <c r="B163" s="365">
        <f>B162</f>
        <v>508061.26403443597</v>
      </c>
      <c r="C163" s="366" t="s">
        <v>356</v>
      </c>
      <c r="D163" s="363"/>
      <c r="E163" s="360"/>
      <c r="F163" s="360"/>
      <c r="G163" s="360"/>
      <c r="H163" s="360"/>
      <c r="I163" s="360"/>
    </row>
    <row r="165" spans="1:11" s="357" customFormat="1" ht="15" customHeight="1">
      <c r="A165" s="434" t="str">
        <f>+'LINEAS IMPULSIÓN-CONDUCCIÓN'!A34</f>
        <v>1.4.2</v>
      </c>
      <c r="B165" s="3637" t="s">
        <v>6421</v>
      </c>
      <c r="C165" s="3637"/>
      <c r="D165" s="3637"/>
      <c r="E165" s="3637"/>
      <c r="F165" s="3637"/>
      <c r="G165" s="3637"/>
      <c r="H165" s="3637"/>
      <c r="I165" s="3637"/>
    </row>
    <row r="166" spans="1:11" s="19" customFormat="1" ht="15" customHeight="1">
      <c r="A166" s="436"/>
      <c r="B166" s="359"/>
      <c r="C166" s="358" t="s">
        <v>140</v>
      </c>
      <c r="D166" s="358" t="s">
        <v>343</v>
      </c>
      <c r="E166" s="360" t="s">
        <v>344</v>
      </c>
      <c r="F166" s="360" t="s">
        <v>482</v>
      </c>
      <c r="G166" s="360" t="s">
        <v>483</v>
      </c>
      <c r="H166" s="360" t="s">
        <v>232</v>
      </c>
      <c r="I166" s="360" t="s">
        <v>171</v>
      </c>
    </row>
    <row r="167" spans="1:11" s="19" customFormat="1" ht="15" customHeight="1">
      <c r="A167" s="436" t="s">
        <v>308</v>
      </c>
      <c r="B167" s="361" t="s">
        <v>6296</v>
      </c>
      <c r="C167" s="362">
        <v>1</v>
      </c>
      <c r="D167" s="363" t="s">
        <v>356</v>
      </c>
      <c r="E167" s="360">
        <f>+'BASE CTOS'!B135</f>
        <v>488795.14911417139</v>
      </c>
      <c r="F167" s="360"/>
      <c r="G167" s="360">
        <f>C167*E167</f>
        <v>488795.14911417139</v>
      </c>
      <c r="H167" s="360"/>
      <c r="I167" s="360"/>
    </row>
    <row r="168" spans="1:11" s="19" customFormat="1" ht="15" customHeight="1">
      <c r="A168" s="436" t="s">
        <v>654</v>
      </c>
      <c r="B168" s="329" t="s">
        <v>6420</v>
      </c>
      <c r="C168" s="380">
        <f>(3*0.3)*4</f>
        <v>3.5999999999999996</v>
      </c>
      <c r="D168" s="2026" t="s">
        <v>1002</v>
      </c>
      <c r="E168" s="343">
        <f>+FORMA</f>
        <v>2222.2222222222222</v>
      </c>
      <c r="F168" s="343"/>
      <c r="G168" s="360">
        <f>C168*E168</f>
        <v>7999.9999999999991</v>
      </c>
      <c r="H168" s="343"/>
      <c r="I168" s="343"/>
      <c r="K168" s="23"/>
    </row>
    <row r="169" spans="1:11" s="19" customFormat="1" ht="15" customHeight="1">
      <c r="A169" s="436" t="s">
        <v>172</v>
      </c>
      <c r="B169" s="361" t="s">
        <v>189</v>
      </c>
      <c r="C169" s="362">
        <v>1</v>
      </c>
      <c r="D169" s="363" t="s">
        <v>583</v>
      </c>
      <c r="E169" s="360">
        <f>0.03*H172</f>
        <v>2535.108198336</v>
      </c>
      <c r="F169" s="360"/>
      <c r="G169" s="360"/>
      <c r="H169" s="360"/>
      <c r="I169" s="360">
        <f>E169</f>
        <v>2535.108198336</v>
      </c>
    </row>
    <row r="170" spans="1:11" s="30" customFormat="1" ht="15" customHeight="1">
      <c r="A170" s="436" t="s">
        <v>345</v>
      </c>
      <c r="B170" s="379" t="s">
        <v>6439</v>
      </c>
      <c r="C170" s="34">
        <v>0.3</v>
      </c>
      <c r="D170" s="372" t="s">
        <v>346</v>
      </c>
      <c r="E170" s="368">
        <f>+OFICI</f>
        <v>80479.625344</v>
      </c>
      <c r="F170" s="368"/>
      <c r="G170" s="368"/>
      <c r="H170" s="368">
        <f>+E170*C170</f>
        <v>24143.887603200001</v>
      </c>
      <c r="I170" s="368"/>
      <c r="K170" s="25"/>
    </row>
    <row r="171" spans="1:11" s="19" customFormat="1" ht="15" customHeight="1">
      <c r="A171" s="436" t="s">
        <v>348</v>
      </c>
      <c r="B171" s="361" t="s">
        <v>6954</v>
      </c>
      <c r="C171" s="362">
        <v>0.3</v>
      </c>
      <c r="D171" s="358" t="s">
        <v>346</v>
      </c>
      <c r="E171" s="360">
        <f>+AYUDR*4</f>
        <v>201199.06336</v>
      </c>
      <c r="F171" s="360"/>
      <c r="G171" s="360"/>
      <c r="H171" s="360">
        <f>+E171*C171</f>
        <v>60359.719008</v>
      </c>
      <c r="I171" s="360"/>
    </row>
    <row r="172" spans="1:11" s="19" customFormat="1" ht="15" customHeight="1">
      <c r="A172" s="437" t="s">
        <v>190</v>
      </c>
      <c r="B172" s="365">
        <f>SUM(F172:I172)</f>
        <v>583833.86392370739</v>
      </c>
      <c r="C172" s="160"/>
      <c r="D172" s="363"/>
      <c r="E172" s="360"/>
      <c r="F172" s="360">
        <v>0</v>
      </c>
      <c r="G172" s="360">
        <f>SUM(G167:G171)</f>
        <v>496795.14911417139</v>
      </c>
      <c r="H172" s="360">
        <f>SUM(H167:H171)</f>
        <v>84503.606611199997</v>
      </c>
      <c r="I172" s="360">
        <f>SUM(I167:I171)</f>
        <v>2535.108198336</v>
      </c>
    </row>
    <row r="173" spans="1:11" s="19" customFormat="1" ht="15" customHeight="1">
      <c r="A173" s="437" t="s">
        <v>191</v>
      </c>
      <c r="B173" s="365">
        <f>B172</f>
        <v>583833.86392370739</v>
      </c>
      <c r="C173" s="366" t="s">
        <v>356</v>
      </c>
      <c r="D173" s="363"/>
      <c r="E173" s="360"/>
      <c r="F173" s="360"/>
      <c r="G173" s="360"/>
      <c r="H173" s="360"/>
      <c r="I173" s="360"/>
    </row>
    <row r="174" spans="1:11" s="19" customFormat="1" ht="15" customHeight="1">
      <c r="A174" s="2315"/>
      <c r="B174" s="2703"/>
      <c r="C174" s="765"/>
      <c r="D174" s="2316"/>
      <c r="E174" s="2317"/>
      <c r="F174" s="2317"/>
      <c r="G174" s="2317"/>
      <c r="H174" s="2317"/>
      <c r="I174" s="2317"/>
    </row>
    <row r="175" spans="1:11" s="367" customFormat="1" ht="30" customHeight="1">
      <c r="A175" s="434" t="str">
        <f>+CONCATENATE('LINEAS IMPULSIÓN-CONDUCCIÓN'!A35,"  ",'LINEAS IMPULSIÓN-CONDUCCIÓN'!A100,"  ",'LINEAS IMPULSIÓN-CONDUCCIÓN'!A170)</f>
        <v>1.4.3  2.4.2  3.4.2</v>
      </c>
      <c r="B175" s="3638" t="s">
        <v>6298</v>
      </c>
      <c r="C175" s="3639"/>
      <c r="D175" s="3639"/>
      <c r="E175" s="3639"/>
      <c r="F175" s="3639"/>
      <c r="G175" s="3639"/>
      <c r="H175" s="3639"/>
      <c r="I175" s="3640"/>
      <c r="K175" s="247"/>
    </row>
    <row r="176" spans="1:11" s="367" customFormat="1" ht="15" customHeight="1">
      <c r="A176" s="435"/>
      <c r="B176" s="167"/>
      <c r="C176" s="168" t="s">
        <v>140</v>
      </c>
      <c r="D176" s="2688" t="s">
        <v>343</v>
      </c>
      <c r="E176" s="368" t="s">
        <v>344</v>
      </c>
      <c r="F176" s="369" t="s">
        <v>482</v>
      </c>
      <c r="G176" s="369" t="s">
        <v>483</v>
      </c>
      <c r="H176" s="369" t="s">
        <v>232</v>
      </c>
      <c r="I176" s="369" t="s">
        <v>171</v>
      </c>
      <c r="K176" s="247"/>
    </row>
    <row r="177" spans="1:11" s="367" customFormat="1" ht="15" customHeight="1">
      <c r="A177" s="435" t="s">
        <v>172</v>
      </c>
      <c r="B177" s="379" t="s">
        <v>189</v>
      </c>
      <c r="C177" s="370">
        <v>1</v>
      </c>
      <c r="D177" s="371" t="s">
        <v>583</v>
      </c>
      <c r="E177" s="368">
        <f>+H188*0.05</f>
        <v>7647.4999999999991</v>
      </c>
      <c r="F177" s="369"/>
      <c r="G177" s="369"/>
      <c r="H177" s="369"/>
      <c r="I177" s="369">
        <f>+E177*C177</f>
        <v>7647.4999999999991</v>
      </c>
      <c r="K177" s="247"/>
    </row>
    <row r="178" spans="1:11" s="30" customFormat="1" ht="15" customHeight="1">
      <c r="A178" s="436" t="s">
        <v>345</v>
      </c>
      <c r="B178" s="379" t="s">
        <v>6439</v>
      </c>
      <c r="C178" s="362">
        <v>0.40010126615730579</v>
      </c>
      <c r="D178" s="372" t="s">
        <v>346</v>
      </c>
      <c r="E178" s="368">
        <f>+OFICI</f>
        <v>80479.625344</v>
      </c>
      <c r="F178" s="368"/>
      <c r="G178" s="368"/>
      <c r="H178" s="368">
        <f>+E178*C178</f>
        <v>32199.999999999996</v>
      </c>
      <c r="I178" s="368"/>
      <c r="K178" s="25"/>
    </row>
    <row r="179" spans="1:11" s="19" customFormat="1" ht="15" customHeight="1">
      <c r="A179" s="436" t="s">
        <v>348</v>
      </c>
      <c r="B179" s="361" t="s">
        <v>6954</v>
      </c>
      <c r="C179" s="362">
        <v>0.40010126615730579</v>
      </c>
      <c r="D179" s="358" t="s">
        <v>346</v>
      </c>
      <c r="E179" s="360">
        <f>+AYUDR*6</f>
        <v>301798.59503999999</v>
      </c>
      <c r="F179" s="360"/>
      <c r="G179" s="360"/>
      <c r="H179" s="360">
        <f>+E179*C179</f>
        <v>120749.99999999999</v>
      </c>
      <c r="I179" s="360"/>
    </row>
    <row r="180" spans="1:11" s="19" customFormat="1" ht="15" customHeight="1">
      <c r="A180" s="436" t="s">
        <v>246</v>
      </c>
      <c r="B180" s="379" t="s">
        <v>247</v>
      </c>
      <c r="C180" s="370">
        <v>0.3</v>
      </c>
      <c r="D180" s="471" t="s">
        <v>717</v>
      </c>
      <c r="E180" s="368">
        <f>+VIBGA</f>
        <v>47000</v>
      </c>
      <c r="F180" s="369">
        <f>+E180*C180</f>
        <v>14100</v>
      </c>
      <c r="G180" s="369"/>
      <c r="H180" s="369"/>
      <c r="I180" s="369"/>
      <c r="K180" s="23"/>
    </row>
    <row r="181" spans="1:11" s="19" customFormat="1" ht="15" customHeight="1">
      <c r="A181" s="436" t="s">
        <v>1112</v>
      </c>
      <c r="B181" s="379" t="s">
        <v>7947</v>
      </c>
      <c r="C181" s="34">
        <v>1.05</v>
      </c>
      <c r="D181" s="372" t="s">
        <v>356</v>
      </c>
      <c r="E181" s="368">
        <f>+'BASE CTOS'!B135</f>
        <v>488795.14911417139</v>
      </c>
      <c r="F181" s="368"/>
      <c r="G181" s="368">
        <f>+E181*C181</f>
        <v>513234.90656987997</v>
      </c>
      <c r="H181" s="368"/>
      <c r="I181" s="368"/>
      <c r="K181" s="23"/>
    </row>
    <row r="182" spans="1:11" s="247" customFormat="1" ht="15" customHeight="1">
      <c r="A182" s="435" t="s">
        <v>1092</v>
      </c>
      <c r="B182" s="379" t="s">
        <v>6263</v>
      </c>
      <c r="C182" s="370">
        <v>1</v>
      </c>
      <c r="D182" s="372" t="s">
        <v>735</v>
      </c>
      <c r="E182" s="368">
        <f>+CORTA</f>
        <v>4900</v>
      </c>
      <c r="F182" s="369">
        <f>+E182*C182</f>
        <v>4900</v>
      </c>
      <c r="G182" s="369"/>
      <c r="H182" s="369"/>
      <c r="I182" s="369"/>
    </row>
    <row r="183" spans="1:11" s="247" customFormat="1" ht="15" customHeight="1">
      <c r="A183" s="435"/>
      <c r="B183" s="379" t="s">
        <v>1113</v>
      </c>
      <c r="C183" s="370">
        <v>0.35</v>
      </c>
      <c r="D183" s="372" t="s">
        <v>1114</v>
      </c>
      <c r="E183" s="368">
        <v>13804</v>
      </c>
      <c r="F183" s="369"/>
      <c r="G183" s="369">
        <f>+E183*C183</f>
        <v>4831.3999999999996</v>
      </c>
      <c r="H183" s="369"/>
      <c r="I183" s="369"/>
    </row>
    <row r="184" spans="1:11" s="247" customFormat="1" ht="15" customHeight="1">
      <c r="A184" s="435" t="s">
        <v>663</v>
      </c>
      <c r="B184" s="379" t="s">
        <v>1115</v>
      </c>
      <c r="C184" s="370">
        <v>5</v>
      </c>
      <c r="D184" s="372" t="s">
        <v>647</v>
      </c>
      <c r="E184" s="368">
        <f>+A40LI</f>
        <v>3199.7400000000002</v>
      </c>
      <c r="F184" s="369"/>
      <c r="G184" s="369">
        <f>+E184*C184</f>
        <v>15998.7</v>
      </c>
      <c r="H184" s="369"/>
      <c r="I184" s="369"/>
    </row>
    <row r="185" spans="1:11" s="247" customFormat="1" ht="15" customHeight="1">
      <c r="A185" s="435" t="s">
        <v>663</v>
      </c>
      <c r="B185" s="379" t="s">
        <v>1116</v>
      </c>
      <c r="C185" s="370">
        <v>1.75</v>
      </c>
      <c r="D185" s="372" t="s">
        <v>647</v>
      </c>
      <c r="E185" s="368">
        <f>+A40LI</f>
        <v>3199.7400000000002</v>
      </c>
      <c r="F185" s="369"/>
      <c r="G185" s="369">
        <f>+E185*C185</f>
        <v>5599.5450000000001</v>
      </c>
      <c r="H185" s="369"/>
      <c r="I185" s="369"/>
    </row>
    <row r="186" spans="1:11" s="247" customFormat="1" ht="15" customHeight="1">
      <c r="A186" s="435"/>
      <c r="B186" s="379" t="s">
        <v>1117</v>
      </c>
      <c r="C186" s="370">
        <v>0.4</v>
      </c>
      <c r="D186" s="372" t="s">
        <v>1118</v>
      </c>
      <c r="E186" s="368">
        <v>2500</v>
      </c>
      <c r="F186" s="369"/>
      <c r="G186" s="369">
        <f>+E186*C186</f>
        <v>1000</v>
      </c>
      <c r="H186" s="369"/>
      <c r="I186" s="369"/>
    </row>
    <row r="187" spans="1:11" s="247" customFormat="1" ht="15" customHeight="1">
      <c r="A187" s="435"/>
      <c r="B187" s="379" t="s">
        <v>1119</v>
      </c>
      <c r="C187" s="370">
        <v>1.4</v>
      </c>
      <c r="D187" s="372" t="s">
        <v>94</v>
      </c>
      <c r="E187" s="368">
        <v>750</v>
      </c>
      <c r="F187" s="369"/>
      <c r="G187" s="369">
        <f>+E187*C187</f>
        <v>1050</v>
      </c>
      <c r="H187" s="369"/>
      <c r="I187" s="369"/>
    </row>
    <row r="188" spans="1:11" s="247" customFormat="1" ht="15" customHeight="1">
      <c r="A188" s="437" t="s">
        <v>190</v>
      </c>
      <c r="B188" s="351">
        <f>+SUM(F188:I188)</f>
        <v>721312.05156987999</v>
      </c>
      <c r="C188" s="373"/>
      <c r="D188" s="371"/>
      <c r="E188" s="368"/>
      <c r="F188" s="369">
        <f>SUM(F177:F187)</f>
        <v>19000</v>
      </c>
      <c r="G188" s="369">
        <f>SUM(G177:G187)</f>
        <v>541714.55156987999</v>
      </c>
      <c r="H188" s="369">
        <f>SUM(H177:H187)</f>
        <v>152949.99999999997</v>
      </c>
      <c r="I188" s="369">
        <f>SUM(I177:I187)</f>
        <v>7647.4999999999991</v>
      </c>
    </row>
    <row r="189" spans="1:11" s="247" customFormat="1" ht="15" customHeight="1">
      <c r="A189" s="437" t="s">
        <v>191</v>
      </c>
      <c r="B189" s="351">
        <f>+B188</f>
        <v>721312.05156987999</v>
      </c>
      <c r="C189" s="356" t="s">
        <v>356</v>
      </c>
      <c r="D189" s="73"/>
      <c r="E189" s="374"/>
      <c r="F189" s="374"/>
      <c r="G189" s="374"/>
      <c r="H189" s="374"/>
      <c r="I189" s="374"/>
    </row>
    <row r="190" spans="1:11" s="247" customFormat="1" ht="15" customHeight="1">
      <c r="A190" s="447"/>
      <c r="B190" s="375"/>
      <c r="C190" s="376"/>
      <c r="D190" s="178"/>
      <c r="E190" s="377"/>
      <c r="F190" s="377"/>
      <c r="G190" s="377"/>
      <c r="H190" s="377"/>
      <c r="I190" s="377"/>
    </row>
    <row r="191" spans="1:11" s="19" customFormat="1" ht="15" customHeight="1">
      <c r="A191" s="434" t="str">
        <f>+CONCATENATE('LINEAS IMPULSIÓN-CONDUCCIÓN'!A36,"  ",'LINEAS IMPULSIÓN-CONDUCCIÓN'!A101,"  ",'LINEAS IMPULSIÓN-CONDUCCIÓN'!A171)</f>
        <v>1.4.4  2.4.3  3.4.3</v>
      </c>
      <c r="B191" s="3622" t="s">
        <v>1120</v>
      </c>
      <c r="C191" s="3623"/>
      <c r="D191" s="3623"/>
      <c r="E191" s="3623"/>
      <c r="F191" s="3623"/>
      <c r="G191" s="3623"/>
      <c r="H191" s="3623"/>
      <c r="I191" s="3624"/>
      <c r="K191" s="23"/>
    </row>
    <row r="192" spans="1:11" s="19" customFormat="1" ht="15" customHeight="1">
      <c r="A192" s="435"/>
      <c r="B192" s="378"/>
      <c r="C192" s="330" t="s">
        <v>140</v>
      </c>
      <c r="D192" s="335" t="s">
        <v>343</v>
      </c>
      <c r="E192" s="332" t="s">
        <v>344</v>
      </c>
      <c r="F192" s="332" t="s">
        <v>482</v>
      </c>
      <c r="G192" s="332" t="s">
        <v>483</v>
      </c>
      <c r="H192" s="332" t="s">
        <v>232</v>
      </c>
      <c r="I192" s="332" t="s">
        <v>171</v>
      </c>
      <c r="K192" s="23"/>
    </row>
    <row r="193" spans="1:11" s="19" customFormat="1" ht="15" customHeight="1">
      <c r="A193" s="435" t="s">
        <v>172</v>
      </c>
      <c r="B193" s="378" t="s">
        <v>189</v>
      </c>
      <c r="C193" s="330">
        <v>1</v>
      </c>
      <c r="D193" s="335" t="s">
        <v>583</v>
      </c>
      <c r="E193" s="332">
        <f>+H198*0.05</f>
        <v>326.94847796000005</v>
      </c>
      <c r="F193" s="332"/>
      <c r="G193" s="332"/>
      <c r="H193" s="332"/>
      <c r="I193" s="332">
        <f>+E193*C193</f>
        <v>326.94847796000005</v>
      </c>
      <c r="K193" s="344"/>
    </row>
    <row r="194" spans="1:11" s="19" customFormat="1" ht="15" customHeight="1">
      <c r="A194" s="436" t="s">
        <v>654</v>
      </c>
      <c r="B194" s="329" t="s">
        <v>296</v>
      </c>
      <c r="C194" s="380">
        <f>15.7743/30</f>
        <v>0.52581</v>
      </c>
      <c r="D194" s="2026" t="s">
        <v>717</v>
      </c>
      <c r="E194" s="343">
        <f>FORMM</f>
        <v>2550</v>
      </c>
      <c r="G194" s="343">
        <f>+E194*C194</f>
        <v>1340.8154999999999</v>
      </c>
      <c r="H194" s="343"/>
      <c r="I194" s="343"/>
      <c r="K194" s="23"/>
    </row>
    <row r="195" spans="1:11" s="19" customFormat="1" ht="15" customHeight="1">
      <c r="A195" s="435" t="s">
        <v>345</v>
      </c>
      <c r="B195" s="378" t="s">
        <v>6439</v>
      </c>
      <c r="C195" s="380">
        <f>1/20</f>
        <v>0.05</v>
      </c>
      <c r="D195" s="335" t="s">
        <v>346</v>
      </c>
      <c r="E195" s="332">
        <f>+OFICI</f>
        <v>80479.625344</v>
      </c>
      <c r="F195" s="332"/>
      <c r="G195" s="332"/>
      <c r="H195" s="332">
        <f>+E195*C195</f>
        <v>4023.9812672000003</v>
      </c>
      <c r="I195" s="332"/>
      <c r="K195" s="23"/>
    </row>
    <row r="196" spans="1:11" s="19" customFormat="1" ht="15" customHeight="1">
      <c r="A196" s="435" t="s">
        <v>347</v>
      </c>
      <c r="B196" s="378" t="s">
        <v>6955</v>
      </c>
      <c r="C196" s="380">
        <f>1/20</f>
        <v>0.05</v>
      </c>
      <c r="D196" s="335" t="s">
        <v>346</v>
      </c>
      <c r="E196" s="332">
        <f>+AYUDR</f>
        <v>50299.76584</v>
      </c>
      <c r="F196" s="332"/>
      <c r="G196" s="332"/>
      <c r="H196" s="332">
        <f>+E196*C196</f>
        <v>2514.988292</v>
      </c>
      <c r="I196" s="332"/>
      <c r="K196" s="23"/>
    </row>
    <row r="197" spans="1:11" s="19" customFormat="1" ht="15" customHeight="1">
      <c r="A197" s="435" t="s">
        <v>308</v>
      </c>
      <c r="B197" s="379" t="s">
        <v>18</v>
      </c>
      <c r="C197" s="330">
        <v>0.11</v>
      </c>
      <c r="D197" s="335" t="s">
        <v>356</v>
      </c>
      <c r="E197" s="332">
        <f>+'BASE CTOS'!B107</f>
        <v>419022.54922489997</v>
      </c>
      <c r="F197" s="332"/>
      <c r="G197" s="332">
        <f>+E197*C197</f>
        <v>46092.480414738995</v>
      </c>
      <c r="H197" s="332"/>
      <c r="I197" s="332"/>
      <c r="K197" s="23"/>
    </row>
    <row r="198" spans="1:11" s="19" customFormat="1" ht="15" customHeight="1">
      <c r="A198" s="437" t="s">
        <v>190</v>
      </c>
      <c r="B198" s="351">
        <f>SUM(F198:I198)</f>
        <v>54299.213951898993</v>
      </c>
      <c r="C198" s="373"/>
      <c r="D198" s="335"/>
      <c r="E198" s="332"/>
      <c r="F198" s="332">
        <f>+SUM(F193:F197)</f>
        <v>0</v>
      </c>
      <c r="G198" s="332">
        <f>+SUM(G193:G197)</f>
        <v>47433.295914738992</v>
      </c>
      <c r="H198" s="332">
        <f>+SUM(H193:H197)</f>
        <v>6538.9695592000007</v>
      </c>
      <c r="I198" s="332">
        <f>+SUM(I193:I197)</f>
        <v>326.94847796000005</v>
      </c>
      <c r="K198" s="23"/>
    </row>
    <row r="199" spans="1:11" s="19" customFormat="1" ht="15" customHeight="1">
      <c r="A199" s="437" t="s">
        <v>191</v>
      </c>
      <c r="B199" s="351">
        <f>+B198</f>
        <v>54299.213951898993</v>
      </c>
      <c r="C199" s="356" t="s">
        <v>94</v>
      </c>
      <c r="D199" s="382"/>
      <c r="E199" s="383"/>
      <c r="F199" s="383"/>
      <c r="G199" s="383"/>
      <c r="H199" s="384"/>
      <c r="I199" s="383"/>
      <c r="K199" s="23"/>
    </row>
    <row r="200" spans="1:11" s="19" customFormat="1" ht="15" customHeight="1">
      <c r="A200" s="2315"/>
      <c r="B200" s="2703"/>
      <c r="C200" s="765"/>
      <c r="D200" s="2316"/>
      <c r="E200" s="2317"/>
      <c r="F200" s="2317"/>
      <c r="G200" s="2317"/>
      <c r="H200" s="2317"/>
      <c r="I200" s="2317"/>
    </row>
    <row r="201" spans="1:11" s="19" customFormat="1" ht="15" customHeight="1">
      <c r="A201" s="434" t="str">
        <f>+CONCATENATE('LINEAS IMPULSIÓN-CONDUCCIÓN'!A37,"  ",'LINEAS IMPULSIÓN-CONDUCCIÓN'!A102,"  ",'LINEAS IMPULSIÓN-CONDUCCIÓN'!A172)</f>
        <v>1.4.5  2.4.4  3.4.4</v>
      </c>
      <c r="B201" s="3622" t="s">
        <v>1122</v>
      </c>
      <c r="C201" s="3623"/>
      <c r="D201" s="3623"/>
      <c r="E201" s="3623"/>
      <c r="F201" s="3623"/>
      <c r="G201" s="3623"/>
      <c r="H201" s="3623"/>
      <c r="I201" s="3624"/>
      <c r="K201" s="23"/>
    </row>
    <row r="202" spans="1:11" s="19" customFormat="1" ht="15" customHeight="1">
      <c r="A202" s="435"/>
      <c r="B202" s="378"/>
      <c r="C202" s="330" t="s">
        <v>140</v>
      </c>
      <c r="D202" s="335" t="s">
        <v>343</v>
      </c>
      <c r="E202" s="332" t="s">
        <v>344</v>
      </c>
      <c r="F202" s="332" t="s">
        <v>482</v>
      </c>
      <c r="G202" s="332" t="s">
        <v>483</v>
      </c>
      <c r="H202" s="332" t="s">
        <v>232</v>
      </c>
      <c r="I202" s="332" t="s">
        <v>171</v>
      </c>
      <c r="K202" s="344"/>
    </row>
    <row r="203" spans="1:11" s="19" customFormat="1" ht="15" customHeight="1">
      <c r="A203" s="436" t="s">
        <v>246</v>
      </c>
      <c r="B203" s="378" t="s">
        <v>247</v>
      </c>
      <c r="C203" s="380">
        <f>1/15</f>
        <v>6.6666666666666666E-2</v>
      </c>
      <c r="D203" s="335" t="s">
        <v>717</v>
      </c>
      <c r="E203" s="332">
        <f>+VIBGA</f>
        <v>47000</v>
      </c>
      <c r="F203" s="332">
        <f>+E203*C203</f>
        <v>3133.3333333333335</v>
      </c>
      <c r="G203" s="332"/>
      <c r="H203" s="332"/>
      <c r="I203" s="332"/>
      <c r="K203" s="23"/>
    </row>
    <row r="204" spans="1:11" s="367" customFormat="1" ht="15" customHeight="1">
      <c r="A204" s="436" t="s">
        <v>172</v>
      </c>
      <c r="B204" s="378" t="s">
        <v>189</v>
      </c>
      <c r="C204" s="330">
        <v>1</v>
      </c>
      <c r="D204" s="335" t="s">
        <v>583</v>
      </c>
      <c r="E204" s="332">
        <f>+H209*0.05</f>
        <v>385.63153810666671</v>
      </c>
      <c r="F204" s="332"/>
      <c r="G204" s="332"/>
      <c r="H204" s="332"/>
      <c r="I204" s="332">
        <f>+E204*C204</f>
        <v>385.63153810666671</v>
      </c>
    </row>
    <row r="205" spans="1:11" s="367" customFormat="1" ht="15" customHeight="1">
      <c r="A205" s="436" t="s">
        <v>654</v>
      </c>
      <c r="B205" s="329" t="s">
        <v>296</v>
      </c>
      <c r="C205" s="330">
        <v>0.5</v>
      </c>
      <c r="D205" s="335" t="s">
        <v>717</v>
      </c>
      <c r="E205" s="332">
        <f>FORMM</f>
        <v>2550</v>
      </c>
      <c r="F205" s="332">
        <f>+E205*C205</f>
        <v>1275</v>
      </c>
      <c r="G205" s="332"/>
      <c r="H205" s="332"/>
      <c r="I205" s="332"/>
    </row>
    <row r="206" spans="1:11" s="367" customFormat="1" ht="15" customHeight="1">
      <c r="A206" s="436" t="s">
        <v>347</v>
      </c>
      <c r="B206" s="378" t="s">
        <v>6941</v>
      </c>
      <c r="C206" s="380">
        <f>1/15</f>
        <v>6.6666666666666666E-2</v>
      </c>
      <c r="D206" s="335" t="s">
        <v>346</v>
      </c>
      <c r="E206" s="332">
        <f>+AYUDA</f>
        <v>65389.695592000004</v>
      </c>
      <c r="F206" s="332"/>
      <c r="G206" s="332"/>
      <c r="H206" s="332">
        <f>+E206*C206</f>
        <v>4359.3130394666669</v>
      </c>
      <c r="I206" s="332"/>
    </row>
    <row r="207" spans="1:11" s="367" customFormat="1" ht="15" customHeight="1">
      <c r="A207" s="436" t="s">
        <v>348</v>
      </c>
      <c r="B207" s="334" t="s">
        <v>6954</v>
      </c>
      <c r="C207" s="380">
        <f>1/15</f>
        <v>6.6666666666666666E-2</v>
      </c>
      <c r="D207" s="339" t="s">
        <v>346</v>
      </c>
      <c r="E207" s="332">
        <f>+AYUDR</f>
        <v>50299.76584</v>
      </c>
      <c r="F207" s="332"/>
      <c r="G207" s="332"/>
      <c r="H207" s="332">
        <f>+E207*C207</f>
        <v>3353.3177226666667</v>
      </c>
      <c r="I207" s="332"/>
    </row>
    <row r="208" spans="1:11" s="367" customFormat="1" ht="15" customHeight="1">
      <c r="A208" s="436" t="s">
        <v>308</v>
      </c>
      <c r="B208" s="379" t="s">
        <v>18</v>
      </c>
      <c r="C208" s="380">
        <f>1*0.35*0.2</f>
        <v>6.9999999999999993E-2</v>
      </c>
      <c r="D208" s="335" t="s">
        <v>356</v>
      </c>
      <c r="E208" s="332">
        <f>+CT210KG</f>
        <v>419022.54922489997</v>
      </c>
      <c r="F208" s="332"/>
      <c r="G208" s="332">
        <f>+E208*C208</f>
        <v>29331.578445742995</v>
      </c>
      <c r="H208" s="332"/>
      <c r="I208" s="332"/>
      <c r="K208" s="367">
        <f>0.15*0.4</f>
        <v>0.06</v>
      </c>
    </row>
    <row r="209" spans="1:11" s="367" customFormat="1" ht="15" customHeight="1">
      <c r="A209" s="437" t="s">
        <v>190</v>
      </c>
      <c r="B209" s="351">
        <f>SUM(F209:I209)</f>
        <v>41838.174079316326</v>
      </c>
      <c r="C209" s="373"/>
      <c r="D209" s="335"/>
      <c r="E209" s="332"/>
      <c r="F209" s="332">
        <f>+SUM(F203:F208)</f>
        <v>4408.3333333333339</v>
      </c>
      <c r="G209" s="332">
        <f>+SUM(G203:G208)</f>
        <v>29331.578445742995</v>
      </c>
      <c r="H209" s="332">
        <f>+SUM(H203:H208)</f>
        <v>7712.6307621333335</v>
      </c>
      <c r="I209" s="332">
        <f>+SUM(I203:I208)</f>
        <v>385.63153810666671</v>
      </c>
    </row>
    <row r="210" spans="1:11" s="367" customFormat="1" ht="15" customHeight="1">
      <c r="A210" s="437" t="s">
        <v>191</v>
      </c>
      <c r="B210" s="351">
        <f>+B209</f>
        <v>41838.174079316326</v>
      </c>
      <c r="C210" s="356" t="s">
        <v>94</v>
      </c>
      <c r="D210" s="382"/>
      <c r="E210" s="383"/>
      <c r="F210" s="384"/>
      <c r="G210" s="383"/>
      <c r="H210" s="383"/>
      <c r="I210" s="383"/>
    </row>
    <row r="212" spans="1:11" s="19" customFormat="1" ht="15" customHeight="1">
      <c r="A212" s="434" t="str">
        <f>+CONCATENATE('LINEAS IMPULSIÓN-CONDUCCIÓN'!A38,"  ",'LINEAS IMPULSIÓN-CONDUCCIÓN'!A103,"  ",'LINEAS IMPULSIÓN-CONDUCCIÓN'!A173)</f>
        <v>1.4.6  2.4.5  3.4.5</v>
      </c>
      <c r="B212" s="3638" t="s">
        <v>6300</v>
      </c>
      <c r="C212" s="3639"/>
      <c r="D212" s="3639"/>
      <c r="E212" s="3639"/>
      <c r="F212" s="3639"/>
      <c r="G212" s="3639"/>
      <c r="H212" s="3639"/>
      <c r="I212" s="3640"/>
      <c r="K212" s="23"/>
    </row>
    <row r="213" spans="1:11" s="19" customFormat="1" ht="15" customHeight="1">
      <c r="A213" s="435"/>
      <c r="B213" s="385"/>
      <c r="C213" s="330" t="s">
        <v>140</v>
      </c>
      <c r="D213" s="335" t="s">
        <v>343</v>
      </c>
      <c r="E213" s="332" t="s">
        <v>344</v>
      </c>
      <c r="F213" s="332" t="s">
        <v>482</v>
      </c>
      <c r="G213" s="332" t="s">
        <v>483</v>
      </c>
      <c r="H213" s="332" t="s">
        <v>232</v>
      </c>
      <c r="I213" s="332" t="s">
        <v>171</v>
      </c>
      <c r="K213" s="23"/>
    </row>
    <row r="214" spans="1:11" s="19" customFormat="1" ht="15" customHeight="1">
      <c r="A214" s="435" t="s">
        <v>172</v>
      </c>
      <c r="B214" s="334" t="s">
        <v>189</v>
      </c>
      <c r="C214" s="330">
        <v>1</v>
      </c>
      <c r="D214" s="339" t="s">
        <v>583</v>
      </c>
      <c r="E214" s="332">
        <f>+H225*0.05</f>
        <v>692.72837514848004</v>
      </c>
      <c r="F214" s="332"/>
      <c r="G214" s="332"/>
      <c r="H214" s="332"/>
      <c r="I214" s="332">
        <f>+E214*C214</f>
        <v>692.72837514848004</v>
      </c>
      <c r="K214" s="23"/>
    </row>
    <row r="215" spans="1:11" s="19" customFormat="1" ht="15" customHeight="1">
      <c r="A215" s="436" t="s">
        <v>357</v>
      </c>
      <c r="B215" s="334" t="s">
        <v>358</v>
      </c>
      <c r="C215" s="380">
        <v>0.1</v>
      </c>
      <c r="D215" s="381" t="s">
        <v>356</v>
      </c>
      <c r="E215" s="343">
        <v>16200</v>
      </c>
      <c r="F215" s="343"/>
      <c r="G215" s="343">
        <f t="shared" ref="G215:G220" si="0">+E215*C215</f>
        <v>1620</v>
      </c>
      <c r="H215" s="343"/>
      <c r="I215" s="343"/>
      <c r="K215" s="23"/>
    </row>
    <row r="216" spans="1:11" s="19" customFormat="1" ht="15" customHeight="1">
      <c r="A216" s="436" t="s">
        <v>176</v>
      </c>
      <c r="B216" s="379" t="s">
        <v>175</v>
      </c>
      <c r="C216" s="380">
        <v>7.0000000000000007E-2</v>
      </c>
      <c r="D216" s="381" t="s">
        <v>356</v>
      </c>
      <c r="E216" s="343">
        <v>45000</v>
      </c>
      <c r="F216" s="343"/>
      <c r="G216" s="343">
        <f t="shared" si="0"/>
        <v>3150.0000000000005</v>
      </c>
      <c r="H216" s="343"/>
      <c r="I216" s="343"/>
      <c r="K216" s="23"/>
    </row>
    <row r="217" spans="1:11" s="19" customFormat="1" ht="15" customHeight="1">
      <c r="A217" s="435" t="s">
        <v>361</v>
      </c>
      <c r="B217" s="334" t="s">
        <v>362</v>
      </c>
      <c r="C217" s="330">
        <f>1/(2*3)</f>
        <v>0.16666666666666666</v>
      </c>
      <c r="D217" s="339" t="s">
        <v>363</v>
      </c>
      <c r="E217" s="332">
        <f>+_CAN28</f>
        <v>8670</v>
      </c>
      <c r="F217" s="332"/>
      <c r="G217" s="343">
        <f>+E217*C217</f>
        <v>1445</v>
      </c>
      <c r="H217" s="332"/>
      <c r="I217" s="332"/>
      <c r="K217" s="23"/>
    </row>
    <row r="218" spans="1:11" s="19" customFormat="1" ht="15" customHeight="1">
      <c r="A218" s="436" t="s">
        <v>243</v>
      </c>
      <c r="B218" s="379" t="s">
        <v>244</v>
      </c>
      <c r="C218" s="330">
        <f>1/(2*3)</f>
        <v>0.16666666666666666</v>
      </c>
      <c r="D218" s="335" t="s">
        <v>363</v>
      </c>
      <c r="E218" s="332">
        <f>_CUA44</f>
        <v>6528</v>
      </c>
      <c r="F218" s="332"/>
      <c r="G218" s="343">
        <f t="shared" si="0"/>
        <v>1088</v>
      </c>
      <c r="H218" s="332"/>
      <c r="I218" s="332"/>
      <c r="K218" s="23"/>
    </row>
    <row r="219" spans="1:11" s="19" customFormat="1" ht="15" customHeight="1">
      <c r="A219" s="435" t="s">
        <v>261</v>
      </c>
      <c r="B219" s="336" t="s">
        <v>262</v>
      </c>
      <c r="C219" s="330">
        <f>1/(2*3)</f>
        <v>0.16666666666666666</v>
      </c>
      <c r="D219" s="335" t="s">
        <v>363</v>
      </c>
      <c r="E219" s="332">
        <v>3300</v>
      </c>
      <c r="F219" s="332"/>
      <c r="G219" s="343">
        <f t="shared" si="0"/>
        <v>550</v>
      </c>
      <c r="H219" s="332"/>
      <c r="I219" s="332"/>
      <c r="K219" s="23"/>
    </row>
    <row r="220" spans="1:11" s="19" customFormat="1" ht="15" customHeight="1">
      <c r="A220" s="435" t="s">
        <v>372</v>
      </c>
      <c r="B220" s="336" t="s">
        <v>621</v>
      </c>
      <c r="C220" s="330">
        <v>0.1</v>
      </c>
      <c r="D220" s="335" t="s">
        <v>374</v>
      </c>
      <c r="E220" s="332">
        <f>+CLAVO</f>
        <v>2300</v>
      </c>
      <c r="F220" s="332"/>
      <c r="G220" s="343">
        <f t="shared" si="0"/>
        <v>230</v>
      </c>
      <c r="H220" s="332"/>
      <c r="I220" s="332"/>
      <c r="K220" s="23"/>
    </row>
    <row r="221" spans="1:11" s="19" customFormat="1" ht="15" customHeight="1">
      <c r="A221" s="436" t="s">
        <v>308</v>
      </c>
      <c r="B221" s="379" t="s">
        <v>18</v>
      </c>
      <c r="C221" s="380">
        <v>1</v>
      </c>
      <c r="D221" s="381" t="s">
        <v>356</v>
      </c>
      <c r="E221" s="343">
        <f>+'BASE CTOS'!B107</f>
        <v>419022.54922489997</v>
      </c>
      <c r="F221" s="332"/>
      <c r="G221" s="343">
        <f>+E221*C221</f>
        <v>419022.54922489997</v>
      </c>
      <c r="H221" s="332"/>
      <c r="I221" s="332"/>
      <c r="K221" s="23"/>
    </row>
    <row r="222" spans="1:11" s="19" customFormat="1" ht="15" customHeight="1">
      <c r="A222" s="436"/>
      <c r="B222" s="386" t="s">
        <v>1124</v>
      </c>
      <c r="C222" s="380">
        <v>2</v>
      </c>
      <c r="D222" s="381" t="s">
        <v>94</v>
      </c>
      <c r="E222" s="343">
        <v>1500</v>
      </c>
      <c r="F222" s="332"/>
      <c r="G222" s="343">
        <f>+E222*C222</f>
        <v>3000</v>
      </c>
      <c r="H222" s="332"/>
      <c r="I222" s="332"/>
      <c r="K222" s="23"/>
    </row>
    <row r="223" spans="1:11" s="19" customFormat="1" ht="15" customHeight="1">
      <c r="A223" s="435" t="s">
        <v>345</v>
      </c>
      <c r="B223" s="334" t="s">
        <v>6439</v>
      </c>
      <c r="C223" s="330">
        <v>0.1</v>
      </c>
      <c r="D223" s="339" t="s">
        <v>346</v>
      </c>
      <c r="E223" s="332">
        <f>+OFICI</f>
        <v>80479.625344</v>
      </c>
      <c r="F223" s="332"/>
      <c r="G223" s="332"/>
      <c r="H223" s="332">
        <f>+E223*C223</f>
        <v>8047.9625344000005</v>
      </c>
      <c r="I223" s="332"/>
      <c r="K223" s="23"/>
    </row>
    <row r="224" spans="1:11" s="19" customFormat="1" ht="15" customHeight="1">
      <c r="A224" s="435" t="s">
        <v>348</v>
      </c>
      <c r="B224" s="334" t="s">
        <v>6955</v>
      </c>
      <c r="C224" s="330">
        <v>0.11544</v>
      </c>
      <c r="D224" s="339" t="s">
        <v>346</v>
      </c>
      <c r="E224" s="332">
        <f>+AYUDR</f>
        <v>50299.76584</v>
      </c>
      <c r="F224" s="332"/>
      <c r="G224" s="332"/>
      <c r="H224" s="332">
        <f>+E224*C224</f>
        <v>5806.6049685695998</v>
      </c>
      <c r="I224" s="332"/>
      <c r="K224" s="23"/>
    </row>
    <row r="225" spans="1:11" s="19" customFormat="1" ht="15" customHeight="1">
      <c r="A225" s="437" t="s">
        <v>190</v>
      </c>
      <c r="B225" s="351">
        <f>SUM(F225:I225)</f>
        <v>444652.84510301804</v>
      </c>
      <c r="C225" s="373"/>
      <c r="D225" s="339"/>
      <c r="E225" s="332"/>
      <c r="F225" s="332">
        <f>SUM(F214:F224)</f>
        <v>0</v>
      </c>
      <c r="G225" s="332">
        <f>SUM(G214:G224)</f>
        <v>430105.54922489997</v>
      </c>
      <c r="H225" s="332">
        <f>SUM(H214:H224)</f>
        <v>13854.567502969599</v>
      </c>
      <c r="I225" s="332">
        <f>SUM(I214:I224)</f>
        <v>692.72837514848004</v>
      </c>
      <c r="K225" s="23"/>
    </row>
    <row r="226" spans="1:11" s="19" customFormat="1" ht="15" customHeight="1">
      <c r="A226" s="437" t="s">
        <v>191</v>
      </c>
      <c r="B226" s="351">
        <f>+B225</f>
        <v>444652.84510301804</v>
      </c>
      <c r="C226" s="356" t="s">
        <v>1292</v>
      </c>
      <c r="D226" s="340"/>
      <c r="E226" s="342"/>
      <c r="F226" s="342"/>
      <c r="G226" s="342"/>
      <c r="H226" s="342"/>
      <c r="I226" s="342"/>
      <c r="K226" s="23"/>
    </row>
    <row r="228" spans="1:11" ht="18">
      <c r="A228" s="433" t="str">
        <f>+CONCATENATE('LINEAS IMPULSIÓN-CONDUCCIÓN'!A39,"  ",'LINEAS IMPULSIÓN-CONDUCCIÓN'!A104,"  ",'LINEAS IMPULSIÓN-CONDUCCIÓN'!A174)</f>
        <v>1.4.7  2.4.6  3.4.6</v>
      </c>
      <c r="B228" s="3573" t="s">
        <v>7215</v>
      </c>
      <c r="C228" s="3573"/>
      <c r="D228" s="3573"/>
      <c r="E228" s="3573"/>
      <c r="F228" s="3573"/>
      <c r="G228" s="3573"/>
      <c r="H228" s="3573"/>
      <c r="I228" s="3573"/>
    </row>
    <row r="229" spans="1:11" ht="15" customHeight="1">
      <c r="A229" s="1261"/>
      <c r="B229" s="407"/>
      <c r="C229" s="509" t="s">
        <v>140</v>
      </c>
      <c r="D229" s="509" t="s">
        <v>343</v>
      </c>
      <c r="E229" s="509" t="s">
        <v>344</v>
      </c>
      <c r="F229" s="509" t="s">
        <v>482</v>
      </c>
      <c r="G229" s="509" t="s">
        <v>483</v>
      </c>
      <c r="H229" s="509" t="s">
        <v>232</v>
      </c>
      <c r="I229" s="509" t="s">
        <v>171</v>
      </c>
    </row>
    <row r="230" spans="1:11" ht="15" customHeight="1">
      <c r="A230" s="436" t="s">
        <v>308</v>
      </c>
      <c r="B230" s="1258" t="s">
        <v>18</v>
      </c>
      <c r="C230" s="838">
        <v>0.63</v>
      </c>
      <c r="D230" s="501" t="s">
        <v>356</v>
      </c>
      <c r="E230" s="1412">
        <f>+'BASE CTOS'!B107</f>
        <v>419022.54922489997</v>
      </c>
      <c r="F230" s="1412"/>
      <c r="G230" s="1412">
        <f>+E230*C230</f>
        <v>263984.206011687</v>
      </c>
      <c r="H230" s="1412"/>
      <c r="I230" s="1412"/>
    </row>
    <row r="231" spans="1:11" s="1260" customFormat="1" ht="15" customHeight="1">
      <c r="A231" s="1261" t="s">
        <v>867</v>
      </c>
      <c r="B231" s="1815" t="s">
        <v>637</v>
      </c>
      <c r="C231" s="1580">
        <v>70.900000000000006</v>
      </c>
      <c r="D231" s="1821" t="s">
        <v>426</v>
      </c>
      <c r="E231" s="1814">
        <f>+A60FI</f>
        <v>3200</v>
      </c>
      <c r="F231" s="1814"/>
      <c r="G231" s="1814">
        <f>+E231*C231</f>
        <v>226880.00000000003</v>
      </c>
      <c r="H231" s="1814"/>
      <c r="I231" s="1814"/>
    </row>
    <row r="232" spans="1:11" ht="15" customHeight="1">
      <c r="A232" s="1261"/>
      <c r="B232" s="1815" t="s">
        <v>92</v>
      </c>
      <c r="C232" s="838">
        <v>1</v>
      </c>
      <c r="D232" s="501" t="s">
        <v>363</v>
      </c>
      <c r="E232" s="1412">
        <v>150000</v>
      </c>
      <c r="F232" s="1412"/>
      <c r="G232" s="1412">
        <f>+E232*C232</f>
        <v>150000</v>
      </c>
      <c r="H232" s="1412"/>
      <c r="I232" s="1412"/>
    </row>
    <row r="233" spans="1:11" ht="15" customHeight="1">
      <c r="A233" s="954"/>
      <c r="B233" s="1575" t="s">
        <v>1875</v>
      </c>
      <c r="C233" s="1408">
        <v>5.6</v>
      </c>
      <c r="D233" s="1580" t="s">
        <v>1002</v>
      </c>
      <c r="E233" s="1814">
        <f>+FORMA</f>
        <v>2222.2222222222222</v>
      </c>
      <c r="F233" s="1581"/>
      <c r="G233" s="1412">
        <f>+E233*C233</f>
        <v>12444.444444444443</v>
      </c>
      <c r="H233" s="231"/>
      <c r="I233" s="1814"/>
    </row>
    <row r="234" spans="1:11" ht="15" customHeight="1">
      <c r="A234" s="1261" t="s">
        <v>347</v>
      </c>
      <c r="B234" s="1258" t="s">
        <v>266</v>
      </c>
      <c r="C234" s="182">
        <f>1/3</f>
        <v>0.33333333333333331</v>
      </c>
      <c r="D234" s="501" t="s">
        <v>346</v>
      </c>
      <c r="E234" s="1411">
        <f>+AYUDA</f>
        <v>65389.695592000004</v>
      </c>
      <c r="F234" s="1412"/>
      <c r="G234" s="1412"/>
      <c r="H234" s="1412">
        <f>+E234*C234</f>
        <v>21796.565197333333</v>
      </c>
      <c r="I234" s="1412"/>
    </row>
    <row r="235" spans="1:11" ht="15" customHeight="1">
      <c r="A235" s="1261" t="s">
        <v>345</v>
      </c>
      <c r="B235" s="1258" t="s">
        <v>965</v>
      </c>
      <c r="C235" s="182">
        <f>1/3</f>
        <v>0.33333333333333331</v>
      </c>
      <c r="D235" s="501" t="s">
        <v>346</v>
      </c>
      <c r="E235" s="1411">
        <f>+OFICI</f>
        <v>80479.625344</v>
      </c>
      <c r="F235" s="1412"/>
      <c r="G235" s="1412"/>
      <c r="H235" s="1412">
        <f>+E235*C235</f>
        <v>26826.541781333333</v>
      </c>
      <c r="I235" s="1412"/>
    </row>
    <row r="236" spans="1:11" ht="15" customHeight="1">
      <c r="A236" s="1261" t="s">
        <v>172</v>
      </c>
      <c r="B236" s="1413" t="s">
        <v>189</v>
      </c>
      <c r="C236" s="183">
        <v>1</v>
      </c>
      <c r="D236" s="501" t="s">
        <v>583</v>
      </c>
      <c r="E236" s="1412">
        <f>+H237*0.05</f>
        <v>2431.1553489333332</v>
      </c>
      <c r="F236" s="1412"/>
      <c r="G236" s="1412"/>
      <c r="H236" s="1412"/>
      <c r="I236" s="1412">
        <f>+E236*C236</f>
        <v>2431.1553489333332</v>
      </c>
    </row>
    <row r="237" spans="1:11" ht="15" customHeight="1">
      <c r="A237" s="1265" t="s">
        <v>190</v>
      </c>
      <c r="B237" s="1801">
        <f>SUM(F237:I237)</f>
        <v>704362.91278373147</v>
      </c>
      <c r="C237" s="501"/>
      <c r="D237" s="1822"/>
      <c r="E237" s="1412"/>
      <c r="F237" s="1412">
        <f>SUM(F229:F236)</f>
        <v>0</v>
      </c>
      <c r="G237" s="1412">
        <f>SUM(G230:G236)</f>
        <v>653308.65045613155</v>
      </c>
      <c r="H237" s="1412">
        <f>SUM(H229:H236)</f>
        <v>48623.106978666663</v>
      </c>
      <c r="I237" s="1412">
        <f>SUM(I229:I236)</f>
        <v>2431.1553489333332</v>
      </c>
    </row>
    <row r="238" spans="1:11" ht="15" customHeight="1">
      <c r="A238" s="1265" t="s">
        <v>191</v>
      </c>
      <c r="B238" s="1587">
        <f>+B237</f>
        <v>704362.91278373147</v>
      </c>
      <c r="C238" s="1823" t="s">
        <v>363</v>
      </c>
      <c r="D238" s="1273"/>
      <c r="E238" s="1273"/>
      <c r="F238" s="1273"/>
      <c r="G238" s="1273"/>
      <c r="H238" s="1273"/>
      <c r="I238" s="1273"/>
    </row>
    <row r="239" spans="1:11" ht="15" customHeight="1">
      <c r="A239" s="1270"/>
      <c r="B239" s="861"/>
      <c r="C239" s="863"/>
      <c r="D239" s="863"/>
      <c r="E239" s="882"/>
      <c r="F239" s="882"/>
      <c r="G239" s="882"/>
      <c r="H239" s="882"/>
      <c r="I239" s="882"/>
    </row>
    <row r="240" spans="1:11" ht="18">
      <c r="A240" s="433" t="str">
        <f>+CONCATENATE('LINEAS IMPULSIÓN-CONDUCCIÓN'!A55,"  ",'LINEAS IMPULSIÓN-CONDUCCIÓN'!A116,"  ",'LINEAS IMPULSIÓN-CONDUCCIÓN'!A186)</f>
        <v>AIU  2.6.8  3.6.9</v>
      </c>
      <c r="B240" s="3573" t="s">
        <v>8556</v>
      </c>
      <c r="C240" s="3573"/>
      <c r="D240" s="3573"/>
      <c r="E240" s="3573"/>
      <c r="F240" s="3573"/>
      <c r="G240" s="3573"/>
      <c r="H240" s="3573"/>
      <c r="I240" s="3573"/>
    </row>
    <row r="241" spans="1:11" ht="15" customHeight="1">
      <c r="A241" s="1261"/>
      <c r="B241" s="407"/>
      <c r="C241" s="509" t="s">
        <v>140</v>
      </c>
      <c r="D241" s="509" t="s">
        <v>343</v>
      </c>
      <c r="E241" s="509" t="s">
        <v>344</v>
      </c>
      <c r="F241" s="509" t="s">
        <v>482</v>
      </c>
      <c r="G241" s="509" t="s">
        <v>483</v>
      </c>
      <c r="H241" s="509" t="s">
        <v>232</v>
      </c>
      <c r="I241" s="509" t="s">
        <v>171</v>
      </c>
    </row>
    <row r="242" spans="1:11" ht="15" customHeight="1">
      <c r="A242" s="436" t="s">
        <v>308</v>
      </c>
      <c r="B242" s="1258" t="s">
        <v>18</v>
      </c>
      <c r="C242" s="838">
        <v>2.1</v>
      </c>
      <c r="D242" s="501" t="s">
        <v>356</v>
      </c>
      <c r="E242" s="1412">
        <f>+'BASE CTOS'!B107</f>
        <v>419022.54922489997</v>
      </c>
      <c r="F242" s="1412"/>
      <c r="G242" s="1412">
        <f>+E242*C242</f>
        <v>879947.35337228992</v>
      </c>
      <c r="H242" s="1412"/>
      <c r="I242" s="1412"/>
    </row>
    <row r="243" spans="1:11" s="1260" customFormat="1" ht="15" customHeight="1">
      <c r="A243" s="1261" t="s">
        <v>867</v>
      </c>
      <c r="B243" s="1815" t="s">
        <v>637</v>
      </c>
      <c r="C243" s="1580">
        <v>70.900000000000006</v>
      </c>
      <c r="D243" s="1821" t="s">
        <v>426</v>
      </c>
      <c r="E243" s="1814">
        <f>+A60FI</f>
        <v>3200</v>
      </c>
      <c r="F243" s="1814"/>
      <c r="G243" s="1814">
        <f>+E243*C243</f>
        <v>226880.00000000003</v>
      </c>
      <c r="H243" s="1814"/>
      <c r="I243" s="1814"/>
    </row>
    <row r="244" spans="1:11" ht="15" customHeight="1">
      <c r="A244" s="954"/>
      <c r="B244" s="1575" t="s">
        <v>1875</v>
      </c>
      <c r="C244" s="1408">
        <v>8.5</v>
      </c>
      <c r="D244" s="1580" t="s">
        <v>1002</v>
      </c>
      <c r="E244" s="1814">
        <f>+FORMA</f>
        <v>2222.2222222222222</v>
      </c>
      <c r="F244" s="1581"/>
      <c r="G244" s="1412">
        <f>+E244*C244</f>
        <v>18888.888888888887</v>
      </c>
      <c r="H244" s="231"/>
      <c r="I244" s="1814"/>
      <c r="K244" s="402">
        <f>+C242*2</f>
        <v>4.2</v>
      </c>
    </row>
    <row r="245" spans="1:11" ht="15" customHeight="1">
      <c r="A245" s="954"/>
      <c r="B245" s="1575" t="s">
        <v>8575</v>
      </c>
      <c r="C245" s="1408">
        <v>1</v>
      </c>
      <c r="D245" s="1580" t="s">
        <v>363</v>
      </c>
      <c r="E245" s="1814">
        <v>150000</v>
      </c>
      <c r="F245" s="1581"/>
      <c r="G245" s="1412">
        <f t="shared" ref="G245:G246" si="1">+E245*C245</f>
        <v>150000</v>
      </c>
      <c r="H245" s="231"/>
      <c r="I245" s="1814"/>
    </row>
    <row r="246" spans="1:11" ht="15" customHeight="1">
      <c r="A246" s="954"/>
      <c r="B246" s="1575" t="s">
        <v>8576</v>
      </c>
      <c r="C246" s="1408">
        <v>1</v>
      </c>
      <c r="D246" s="1580" t="s">
        <v>363</v>
      </c>
      <c r="E246" s="1814">
        <v>130000</v>
      </c>
      <c r="F246" s="1581"/>
      <c r="G246" s="1412">
        <f t="shared" si="1"/>
        <v>130000</v>
      </c>
      <c r="H246" s="231"/>
      <c r="I246" s="1814"/>
    </row>
    <row r="247" spans="1:11" ht="15" customHeight="1">
      <c r="A247" s="954"/>
      <c r="B247" s="1575" t="s">
        <v>8557</v>
      </c>
      <c r="C247" s="1408">
        <v>1</v>
      </c>
      <c r="D247" s="1580" t="s">
        <v>363</v>
      </c>
      <c r="E247" s="1814">
        <f>+'BASE 2'!D502</f>
        <v>6128976</v>
      </c>
      <c r="F247" s="1581"/>
      <c r="G247" s="1412">
        <f t="shared" ref="G247:G267" si="2">+E247*C247</f>
        <v>6128976</v>
      </c>
      <c r="H247" s="231"/>
      <c r="I247" s="1814"/>
    </row>
    <row r="248" spans="1:11" ht="15" customHeight="1">
      <c r="A248" s="954"/>
      <c r="B248" s="1575" t="s">
        <v>8558</v>
      </c>
      <c r="C248" s="1408">
        <v>2</v>
      </c>
      <c r="D248" s="1580" t="s">
        <v>363</v>
      </c>
      <c r="E248" s="1814">
        <v>941200</v>
      </c>
      <c r="F248" s="1581"/>
      <c r="G248" s="1814">
        <f t="shared" si="2"/>
        <v>1882400</v>
      </c>
      <c r="H248" s="231"/>
      <c r="I248" s="1814"/>
    </row>
    <row r="249" spans="1:11" ht="15" customHeight="1">
      <c r="A249" s="954"/>
      <c r="B249" s="1575" t="s">
        <v>8559</v>
      </c>
      <c r="C249" s="1408">
        <v>1</v>
      </c>
      <c r="D249" s="1580" t="s">
        <v>363</v>
      </c>
      <c r="E249" s="1581">
        <f>1325000*1.19</f>
        <v>1576750</v>
      </c>
      <c r="F249" s="1581"/>
      <c r="G249" s="1412">
        <f t="shared" si="2"/>
        <v>1576750</v>
      </c>
      <c r="H249" s="231"/>
      <c r="I249" s="1814"/>
    </row>
    <row r="250" spans="1:11" ht="15" customHeight="1">
      <c r="A250" s="954"/>
      <c r="B250" s="1575" t="s">
        <v>8560</v>
      </c>
      <c r="C250" s="1408">
        <v>1</v>
      </c>
      <c r="D250" s="1580" t="s">
        <v>363</v>
      </c>
      <c r="E250" s="1581">
        <f>1230000*1.19</f>
        <v>1463700</v>
      </c>
      <c r="F250" s="1581"/>
      <c r="G250" s="1412">
        <f t="shared" si="2"/>
        <v>1463700</v>
      </c>
      <c r="H250" s="231"/>
      <c r="I250" s="1814"/>
    </row>
    <row r="251" spans="1:11" ht="15" customHeight="1">
      <c r="A251" s="954"/>
      <c r="B251" s="1575" t="s">
        <v>8574</v>
      </c>
      <c r="C251" s="1408">
        <v>3</v>
      </c>
      <c r="D251" s="1580" t="s">
        <v>363</v>
      </c>
      <c r="E251" s="1581">
        <f>+'BASE 2'!D639</f>
        <v>3647350</v>
      </c>
      <c r="F251" s="1581"/>
      <c r="G251" s="1814">
        <f t="shared" si="2"/>
        <v>10942050</v>
      </c>
      <c r="H251" s="231"/>
      <c r="I251" s="1814"/>
    </row>
    <row r="252" spans="1:11" ht="15" customHeight="1">
      <c r="A252" s="954"/>
      <c r="B252" s="1575" t="s">
        <v>8571</v>
      </c>
      <c r="C252" s="1408">
        <v>1</v>
      </c>
      <c r="D252" s="1580" t="s">
        <v>363</v>
      </c>
      <c r="E252" s="1581">
        <f>675000*1.19</f>
        <v>803250</v>
      </c>
      <c r="F252" s="1581"/>
      <c r="G252" s="1412">
        <f t="shared" si="2"/>
        <v>803250</v>
      </c>
      <c r="H252" s="231"/>
      <c r="I252" s="1814"/>
    </row>
    <row r="253" spans="1:11" ht="15" customHeight="1">
      <c r="A253" s="954"/>
      <c r="B253" s="1575" t="s">
        <v>8572</v>
      </c>
      <c r="C253" s="1408">
        <v>1</v>
      </c>
      <c r="D253" s="1580" t="s">
        <v>363</v>
      </c>
      <c r="E253" s="1581">
        <f>+'BASE 2'!D492</f>
        <v>792837.5</v>
      </c>
      <c r="F253" s="1581"/>
      <c r="G253" s="1412">
        <f t="shared" si="2"/>
        <v>792837.5</v>
      </c>
      <c r="H253" s="231"/>
      <c r="I253" s="1814"/>
    </row>
    <row r="254" spans="1:11" ht="15" customHeight="1">
      <c r="A254" s="954"/>
      <c r="B254" s="1575" t="s">
        <v>8573</v>
      </c>
      <c r="C254" s="1408">
        <v>1</v>
      </c>
      <c r="D254" s="1580" t="s">
        <v>363</v>
      </c>
      <c r="E254" s="1581">
        <f>1171000*1.19</f>
        <v>1393490</v>
      </c>
      <c r="F254" s="1581"/>
      <c r="G254" s="1814">
        <f t="shared" si="2"/>
        <v>1393490</v>
      </c>
      <c r="H254" s="231"/>
      <c r="I254" s="1814"/>
    </row>
    <row r="255" spans="1:11" ht="15" customHeight="1">
      <c r="A255" s="954"/>
      <c r="B255" s="1575" t="s">
        <v>8561</v>
      </c>
      <c r="C255" s="1408">
        <v>1</v>
      </c>
      <c r="D255" s="1580" t="s">
        <v>363</v>
      </c>
      <c r="E255" s="1581">
        <f>775500*1.19</f>
        <v>922845</v>
      </c>
      <c r="F255" s="1581"/>
      <c r="G255" s="1412">
        <f t="shared" si="2"/>
        <v>922845</v>
      </c>
      <c r="H255" s="231"/>
      <c r="I255" s="1814"/>
    </row>
    <row r="256" spans="1:11" ht="15" customHeight="1">
      <c r="A256" s="954"/>
      <c r="B256" s="1575" t="s">
        <v>8562</v>
      </c>
      <c r="C256" s="1408">
        <v>1</v>
      </c>
      <c r="D256" s="1580" t="s">
        <v>363</v>
      </c>
      <c r="E256" s="1581">
        <f>+'BASE 2'!D501</f>
        <v>4679794</v>
      </c>
      <c r="F256" s="1581"/>
      <c r="G256" s="1412">
        <f t="shared" si="2"/>
        <v>4679794</v>
      </c>
      <c r="H256" s="231"/>
      <c r="I256" s="1814"/>
    </row>
    <row r="257" spans="1:9" ht="15" customHeight="1">
      <c r="A257" s="954"/>
      <c r="B257" s="1575" t="s">
        <v>8563</v>
      </c>
      <c r="C257" s="1408">
        <v>1</v>
      </c>
      <c r="D257" s="1580" t="s">
        <v>363</v>
      </c>
      <c r="E257" s="1581">
        <f>+'BASE 2'!D648</f>
        <v>358190</v>
      </c>
      <c r="F257" s="1581"/>
      <c r="G257" s="1814">
        <f t="shared" si="2"/>
        <v>358190</v>
      </c>
      <c r="H257" s="231"/>
      <c r="I257" s="1814"/>
    </row>
    <row r="258" spans="1:9" ht="15" customHeight="1">
      <c r="A258" s="954"/>
      <c r="B258" s="1575" t="s">
        <v>8565</v>
      </c>
      <c r="C258" s="1408">
        <v>1</v>
      </c>
      <c r="D258" s="1580" t="s">
        <v>363</v>
      </c>
      <c r="E258" s="1581">
        <f>4150000*1.19</f>
        <v>4938500</v>
      </c>
      <c r="F258" s="1581"/>
      <c r="G258" s="1412">
        <f t="shared" si="2"/>
        <v>4938500</v>
      </c>
      <c r="H258" s="231"/>
      <c r="I258" s="1814"/>
    </row>
    <row r="259" spans="1:9" ht="15" customHeight="1">
      <c r="A259" s="954"/>
      <c r="B259" s="1575" t="s">
        <v>8564</v>
      </c>
      <c r="C259" s="1408">
        <v>1</v>
      </c>
      <c r="D259" s="1580" t="s">
        <v>363</v>
      </c>
      <c r="E259" s="1581">
        <f>+'BASE 2'!D643</f>
        <v>1523200</v>
      </c>
      <c r="F259" s="1581"/>
      <c r="G259" s="1412">
        <f t="shared" si="2"/>
        <v>1523200</v>
      </c>
      <c r="H259" s="231"/>
      <c r="I259" s="1814"/>
    </row>
    <row r="260" spans="1:9" ht="15" customHeight="1">
      <c r="A260" s="954"/>
      <c r="B260" s="1575" t="s">
        <v>8566</v>
      </c>
      <c r="C260" s="1408">
        <v>1</v>
      </c>
      <c r="D260" s="1580" t="s">
        <v>363</v>
      </c>
      <c r="E260" s="1581">
        <f>+'BASE 2'!D658</f>
        <v>1194948.02</v>
      </c>
      <c r="F260" s="1581"/>
      <c r="G260" s="1814">
        <f t="shared" si="2"/>
        <v>1194948.02</v>
      </c>
      <c r="H260" s="231"/>
      <c r="I260" s="1814"/>
    </row>
    <row r="261" spans="1:9" ht="15" customHeight="1">
      <c r="A261" s="954"/>
      <c r="B261" s="1575" t="s">
        <v>8567</v>
      </c>
      <c r="C261" s="1408">
        <v>1</v>
      </c>
      <c r="D261" s="1580" t="s">
        <v>363</v>
      </c>
      <c r="E261" s="1581">
        <f>1110100*1.19</f>
        <v>1321019</v>
      </c>
      <c r="F261" s="1581"/>
      <c r="G261" s="1412">
        <f t="shared" si="2"/>
        <v>1321019</v>
      </c>
      <c r="H261" s="231"/>
      <c r="I261" s="1814"/>
    </row>
    <row r="262" spans="1:9" ht="15" customHeight="1">
      <c r="A262" s="954"/>
      <c r="B262" s="1575" t="s">
        <v>8568</v>
      </c>
      <c r="C262" s="1408">
        <v>1</v>
      </c>
      <c r="D262" s="1580" t="s">
        <v>363</v>
      </c>
      <c r="E262" s="1581">
        <f>1550000*1.19</f>
        <v>1844500</v>
      </c>
      <c r="F262" s="1581"/>
      <c r="G262" s="1412">
        <f t="shared" si="2"/>
        <v>1844500</v>
      </c>
      <c r="H262" s="231"/>
      <c r="I262" s="1814"/>
    </row>
    <row r="263" spans="1:9" ht="15" customHeight="1">
      <c r="A263" s="954"/>
      <c r="B263" s="1575" t="s">
        <v>8569</v>
      </c>
      <c r="C263" s="1408">
        <v>1</v>
      </c>
      <c r="D263" s="1580" t="s">
        <v>363</v>
      </c>
      <c r="E263" s="1814">
        <v>350000</v>
      </c>
      <c r="F263" s="1581"/>
      <c r="G263" s="1814">
        <f t="shared" si="2"/>
        <v>350000</v>
      </c>
      <c r="H263" s="231"/>
      <c r="I263" s="1814"/>
    </row>
    <row r="264" spans="1:9" ht="15" customHeight="1">
      <c r="A264" s="954"/>
      <c r="B264" s="1575" t="s">
        <v>8570</v>
      </c>
      <c r="C264" s="1408">
        <v>2</v>
      </c>
      <c r="D264" s="1580" t="s">
        <v>363</v>
      </c>
      <c r="E264" s="1814">
        <v>246300</v>
      </c>
      <c r="F264" s="1581"/>
      <c r="G264" s="1412">
        <f t="shared" si="2"/>
        <v>492600</v>
      </c>
      <c r="H264" s="231"/>
      <c r="I264" s="1814"/>
    </row>
    <row r="265" spans="1:9" ht="15" customHeight="1">
      <c r="A265" s="954"/>
      <c r="B265" s="1575" t="s">
        <v>6426</v>
      </c>
      <c r="C265" s="1408">
        <v>2.2999999999999998</v>
      </c>
      <c r="D265" s="1580" t="s">
        <v>346</v>
      </c>
      <c r="E265" s="1814">
        <f>+'BASE 2'!D736</f>
        <v>18500</v>
      </c>
      <c r="F265" s="1581">
        <f>+E265*C265</f>
        <v>42550</v>
      </c>
      <c r="G265" s="1412"/>
      <c r="H265" s="231"/>
      <c r="I265" s="1814"/>
    </row>
    <row r="266" spans="1:9" ht="15" customHeight="1">
      <c r="A266" s="954"/>
      <c r="B266" s="1575" t="s">
        <v>6410</v>
      </c>
      <c r="C266" s="1408">
        <v>1.5</v>
      </c>
      <c r="D266" s="1580" t="s">
        <v>735</v>
      </c>
      <c r="E266" s="1814">
        <f>+RETRO</f>
        <v>150000</v>
      </c>
      <c r="F266" s="1581">
        <f>+E266*C266</f>
        <v>225000</v>
      </c>
      <c r="G266" s="1412"/>
      <c r="H266" s="231"/>
      <c r="I266" s="1814"/>
    </row>
    <row r="267" spans="1:9" ht="15" customHeight="1">
      <c r="A267" s="954"/>
      <c r="B267" s="1575" t="s">
        <v>966</v>
      </c>
      <c r="C267" s="1408">
        <v>2.2999999999999998</v>
      </c>
      <c r="D267" s="501" t="s">
        <v>346</v>
      </c>
      <c r="E267" s="1814">
        <f>+PRESTA!F7*6</f>
        <v>301798.59503999999</v>
      </c>
      <c r="F267" s="1581"/>
      <c r="G267" s="1412">
        <f t="shared" si="2"/>
        <v>694136.76859199989</v>
      </c>
      <c r="H267" s="1412">
        <f>+E267*C267</f>
        <v>694136.76859199989</v>
      </c>
      <c r="I267" s="1814"/>
    </row>
    <row r="268" spans="1:9" ht="15" customHeight="1">
      <c r="A268" s="1261" t="s">
        <v>347</v>
      </c>
      <c r="B268" s="1258" t="s">
        <v>266</v>
      </c>
      <c r="C268" s="1408">
        <v>2.2999999999999998</v>
      </c>
      <c r="D268" s="501" t="s">
        <v>346</v>
      </c>
      <c r="E268" s="1411">
        <f>+AYUDA*4</f>
        <v>261558.78236800001</v>
      </c>
      <c r="F268" s="1412"/>
      <c r="G268" s="1412"/>
      <c r="H268" s="1412">
        <f t="shared" ref="H268:H269" si="3">+E268*C268</f>
        <v>601585.19944640005</v>
      </c>
      <c r="I268" s="1412"/>
    </row>
    <row r="269" spans="1:9" ht="15" customHeight="1">
      <c r="A269" s="1261" t="s">
        <v>345</v>
      </c>
      <c r="B269" s="1258" t="s">
        <v>965</v>
      </c>
      <c r="C269" s="1408">
        <v>2.2999999999999998</v>
      </c>
      <c r="D269" s="501" t="s">
        <v>346</v>
      </c>
      <c r="E269" s="1411">
        <f>+OFICI*2</f>
        <v>160959.250688</v>
      </c>
      <c r="F269" s="1412"/>
      <c r="G269" s="1412"/>
      <c r="H269" s="1412">
        <f t="shared" si="3"/>
        <v>370206.27658239997</v>
      </c>
      <c r="I269" s="1412"/>
    </row>
    <row r="270" spans="1:9" ht="15" customHeight="1">
      <c r="A270" s="1261" t="s">
        <v>172</v>
      </c>
      <c r="B270" s="1413" t="s">
        <v>189</v>
      </c>
      <c r="C270" s="183">
        <v>1</v>
      </c>
      <c r="D270" s="501" t="s">
        <v>583</v>
      </c>
      <c r="E270" s="1412">
        <f>+H271*0.05</f>
        <v>83296.412231040013</v>
      </c>
      <c r="F270" s="1412"/>
      <c r="G270" s="1412"/>
      <c r="H270" s="1412"/>
      <c r="I270" s="1412">
        <f>+E270*C270</f>
        <v>83296.412231040013</v>
      </c>
    </row>
    <row r="271" spans="1:9" ht="15" customHeight="1">
      <c r="A271" s="1265" t="s">
        <v>190</v>
      </c>
      <c r="B271" s="1801">
        <f>SUM(F271:I271)</f>
        <v>46725677.187705025</v>
      </c>
      <c r="C271" s="501"/>
      <c r="D271" s="1822"/>
      <c r="E271" s="1412"/>
      <c r="F271" s="1412">
        <f>SUM(F242:F270)</f>
        <v>267550</v>
      </c>
      <c r="G271" s="1412">
        <f t="shared" ref="G271:I271" si="4">SUM(G242:G270)</f>
        <v>44708902.530853182</v>
      </c>
      <c r="H271" s="1412">
        <f>SUM(H242:H270)</f>
        <v>1665928.2446208</v>
      </c>
      <c r="I271" s="1412">
        <f t="shared" si="4"/>
        <v>83296.412231040013</v>
      </c>
    </row>
    <row r="272" spans="1:9" ht="15" customHeight="1">
      <c r="A272" s="1265" t="s">
        <v>191</v>
      </c>
      <c r="B272" s="1587">
        <f>+B271</f>
        <v>46725677.187705025</v>
      </c>
      <c r="C272" s="1823" t="s">
        <v>363</v>
      </c>
      <c r="D272" s="1273"/>
      <c r="E272" s="1273"/>
      <c r="F272" s="1273"/>
      <c r="G272" s="1273"/>
      <c r="H272" s="1273"/>
      <c r="I272" s="1273"/>
    </row>
    <row r="273" spans="1:12" ht="15" customHeight="1">
      <c r="A273" s="1270"/>
      <c r="B273" s="861"/>
      <c r="C273" s="863"/>
      <c r="D273" s="863"/>
      <c r="E273" s="882"/>
      <c r="F273" s="882"/>
      <c r="G273" s="882"/>
      <c r="H273" s="882"/>
      <c r="I273" s="882"/>
    </row>
    <row r="274" spans="1:12" s="1918" customFormat="1" ht="16.8">
      <c r="A274" s="1300" t="str">
        <f>+CONCATENATE('LINEAS IMPULSIÓN-CONDUCCIÓN'!A41," ",'PTAP TIJERETAS'!A36," ",'PTAP TIJERETAS'!A173,"  ",' TANQUE PATAGONIA'!B37)</f>
        <v>1.4.8 1.6.1 2.3.5  7.1</v>
      </c>
      <c r="B274" s="3630" t="s">
        <v>4707</v>
      </c>
      <c r="C274" s="3630"/>
      <c r="D274" s="3630"/>
      <c r="E274" s="3630"/>
      <c r="F274" s="3630"/>
      <c r="G274" s="3630"/>
      <c r="H274" s="3630"/>
      <c r="I274" s="3630"/>
    </row>
    <row r="275" spans="1:12" s="1918" customFormat="1" ht="16.8">
      <c r="A275" s="1301"/>
      <c r="B275" s="1302"/>
      <c r="C275" s="1303" t="s">
        <v>140</v>
      </c>
      <c r="D275" s="1304" t="s">
        <v>343</v>
      </c>
      <c r="E275" s="1305" t="s">
        <v>344</v>
      </c>
      <c r="F275" s="1305" t="s">
        <v>482</v>
      </c>
      <c r="G275" s="1305" t="s">
        <v>483</v>
      </c>
      <c r="H275" s="1305" t="s">
        <v>232</v>
      </c>
      <c r="I275" s="1305" t="s">
        <v>171</v>
      </c>
    </row>
    <row r="276" spans="1:12" s="1918" customFormat="1" ht="16.8">
      <c r="A276" s="1301" t="s">
        <v>172</v>
      </c>
      <c r="B276" s="1302" t="s">
        <v>189</v>
      </c>
      <c r="C276" s="1306">
        <v>1</v>
      </c>
      <c r="D276" s="1307" t="s">
        <v>583</v>
      </c>
      <c r="E276" s="1308">
        <v>50</v>
      </c>
      <c r="F276" s="1308"/>
      <c r="G276" s="1308"/>
      <c r="H276" s="1308"/>
      <c r="I276" s="1308">
        <f>+E276*C276</f>
        <v>50</v>
      </c>
    </row>
    <row r="277" spans="1:12" s="1918" customFormat="1" ht="16.8">
      <c r="A277" s="1301" t="s">
        <v>865</v>
      </c>
      <c r="B277" s="1302" t="s">
        <v>866</v>
      </c>
      <c r="C277" s="1306">
        <v>3.2000000000000001E-2</v>
      </c>
      <c r="D277" s="1307" t="s">
        <v>647</v>
      </c>
      <c r="E277" s="1308">
        <f>+ALANR</f>
        <v>3000</v>
      </c>
      <c r="F277" s="1308"/>
      <c r="G277" s="1308">
        <f>+E277*C277</f>
        <v>96</v>
      </c>
      <c r="H277" s="1308"/>
      <c r="I277" s="1308"/>
    </row>
    <row r="278" spans="1:12" s="1918" customFormat="1" ht="16.8">
      <c r="A278" s="1301" t="s">
        <v>867</v>
      </c>
      <c r="B278" s="1302" t="s">
        <v>96</v>
      </c>
      <c r="C278" s="1306">
        <v>1</v>
      </c>
      <c r="D278" s="1307" t="s">
        <v>647</v>
      </c>
      <c r="E278" s="1308">
        <f>+A60FI</f>
        <v>3200</v>
      </c>
      <c r="F278" s="1308"/>
      <c r="G278" s="1308">
        <f>+E278*C278</f>
        <v>3200</v>
      </c>
      <c r="H278" s="1308"/>
      <c r="I278" s="1308"/>
    </row>
    <row r="279" spans="1:12" s="1918" customFormat="1" ht="16.8">
      <c r="A279" s="1309" t="s">
        <v>345</v>
      </c>
      <c r="B279" s="379" t="s">
        <v>965</v>
      </c>
      <c r="C279" s="1306">
        <f>0.065/16</f>
        <v>4.0625000000000001E-3</v>
      </c>
      <c r="D279" s="1307" t="s">
        <v>346</v>
      </c>
      <c r="E279" s="1308">
        <f>+OFICI</f>
        <v>80479.625344</v>
      </c>
      <c r="F279" s="1308"/>
      <c r="G279" s="1308"/>
      <c r="H279" s="1308">
        <f>+E279*C279</f>
        <v>326.94847795999999</v>
      </c>
      <c r="I279" s="1308"/>
    </row>
    <row r="280" spans="1:12" s="1918" customFormat="1" ht="16.8">
      <c r="A280" s="1309" t="s">
        <v>347</v>
      </c>
      <c r="B280" s="379" t="s">
        <v>266</v>
      </c>
      <c r="C280" s="1306">
        <f>0.065/16</f>
        <v>4.0625000000000001E-3</v>
      </c>
      <c r="D280" s="1307" t="s">
        <v>346</v>
      </c>
      <c r="E280" s="1308">
        <f>+AYUDA</f>
        <v>65389.695592000004</v>
      </c>
      <c r="F280" s="1308"/>
      <c r="G280" s="1308"/>
      <c r="H280" s="1308">
        <f>+E280*C280</f>
        <v>265.64563834250004</v>
      </c>
      <c r="I280" s="1308"/>
    </row>
    <row r="281" spans="1:12" s="1918" customFormat="1" ht="16.8">
      <c r="A281" s="1312" t="s">
        <v>190</v>
      </c>
      <c r="B281" s="1313">
        <f>SUM(F281:I281)</f>
        <v>3938.5941163025</v>
      </c>
      <c r="C281" s="1303"/>
      <c r="D281" s="1307"/>
      <c r="E281" s="1308"/>
      <c r="F281" s="1308">
        <f>+SUM(F276:F280)</f>
        <v>0</v>
      </c>
      <c r="G281" s="1308">
        <f>+SUM(G276:G280)</f>
        <v>3296</v>
      </c>
      <c r="H281" s="1308">
        <f>+SUM(H276:H280)</f>
        <v>592.59411630249997</v>
      </c>
      <c r="I281" s="1308">
        <f>+SUM(I276:I280)</f>
        <v>50</v>
      </c>
    </row>
    <row r="282" spans="1:12" s="1918" customFormat="1" ht="16.8">
      <c r="A282" s="1312" t="s">
        <v>191</v>
      </c>
      <c r="B282" s="1313">
        <f>+B281</f>
        <v>3938.5941163025</v>
      </c>
      <c r="C282" s="1314" t="s">
        <v>647</v>
      </c>
      <c r="D282" s="1315"/>
      <c r="E282" s="1316"/>
      <c r="F282" s="1316"/>
      <c r="G282" s="1316"/>
      <c r="H282" s="1316"/>
      <c r="I282" s="1316"/>
    </row>
    <row r="284" spans="1:12" s="1260" customFormat="1" ht="15" customHeight="1">
      <c r="A284" s="3636" t="s">
        <v>8029</v>
      </c>
      <c r="B284" s="3636"/>
      <c r="C284" s="3636"/>
      <c r="D284" s="3636"/>
      <c r="E284" s="3636"/>
      <c r="F284" s="3636"/>
      <c r="G284" s="3636"/>
      <c r="H284" s="3636"/>
      <c r="I284" s="3636"/>
    </row>
    <row r="286" spans="1:12" ht="15" customHeight="1">
      <c r="A286" s="433" t="str">
        <f>+'LINEAS IMPULSIÓN-CONDUCCIÓN'!A43</f>
        <v>1.5.1</v>
      </c>
      <c r="B286" s="3644" t="s">
        <v>6506</v>
      </c>
      <c r="C286" s="3645"/>
      <c r="D286" s="3645"/>
      <c r="E286" s="3645"/>
      <c r="F286" s="3645"/>
      <c r="G286" s="3645"/>
      <c r="H286" s="3645"/>
      <c r="I286" s="3646"/>
      <c r="J286" s="1260"/>
    </row>
    <row r="287" spans="1:12" ht="15" customHeight="1">
      <c r="A287" s="1261"/>
      <c r="B287" s="184"/>
      <c r="C287" s="1900" t="s">
        <v>140</v>
      </c>
      <c r="D287" s="1229" t="s">
        <v>343</v>
      </c>
      <c r="E287" s="1229" t="s">
        <v>344</v>
      </c>
      <c r="F287" s="1229" t="s">
        <v>482</v>
      </c>
      <c r="G287" s="1229" t="s">
        <v>483</v>
      </c>
      <c r="H287" s="1229" t="s">
        <v>232</v>
      </c>
      <c r="I287" s="1229" t="s">
        <v>171</v>
      </c>
      <c r="J287" s="1260"/>
      <c r="K287" s="402">
        <f>+K288/8</f>
        <v>148833.99416666667</v>
      </c>
      <c r="L287" s="2704">
        <f>16575+6875</f>
        <v>23450</v>
      </c>
    </row>
    <row r="288" spans="1:12" ht="15" customHeight="1">
      <c r="A288" s="954" t="s">
        <v>53</v>
      </c>
      <c r="B288" s="231" t="s">
        <v>6500</v>
      </c>
      <c r="C288" s="1299">
        <f>1/(12*7)</f>
        <v>1.1904761904761904E-2</v>
      </c>
      <c r="D288" s="401" t="s">
        <v>346</v>
      </c>
      <c r="E288" s="1255">
        <f>+PLAELE</f>
        <v>204223.83333333331</v>
      </c>
      <c r="F288" s="2683">
        <f>+E288*C288</f>
        <v>2431.2361111111109</v>
      </c>
      <c r="G288" s="2683"/>
      <c r="H288" s="2683"/>
      <c r="I288" s="2683"/>
      <c r="J288" s="507"/>
      <c r="K288" s="2032">
        <f>+E288+E289</f>
        <v>1190671.9533333334</v>
      </c>
      <c r="L288" s="2704">
        <f>+L287*1.25</f>
        <v>29312.5</v>
      </c>
    </row>
    <row r="289" spans="1:256" ht="15" customHeight="1">
      <c r="A289" s="954" t="s">
        <v>47</v>
      </c>
      <c r="B289" s="231" t="s">
        <v>6422</v>
      </c>
      <c r="C289" s="1299">
        <f>1/(12*7)</f>
        <v>1.1904761904761904E-2</v>
      </c>
      <c r="D289" s="401" t="s">
        <v>346</v>
      </c>
      <c r="E289" s="1255">
        <f>+ETF315_</f>
        <v>986448.12</v>
      </c>
      <c r="F289" s="2683">
        <f>+E289*C289</f>
        <v>11743.429999999998</v>
      </c>
      <c r="G289" s="2683"/>
      <c r="H289" s="2683"/>
      <c r="I289" s="2683"/>
      <c r="J289" s="507"/>
      <c r="K289" s="402">
        <f>1/C289</f>
        <v>84</v>
      </c>
      <c r="L289" s="2705">
        <f>+L288/6</f>
        <v>4885.416666666667</v>
      </c>
    </row>
    <row r="290" spans="1:256" ht="15" customHeight="1">
      <c r="A290" s="435" t="s">
        <v>736</v>
      </c>
      <c r="B290" s="231" t="s">
        <v>6410</v>
      </c>
      <c r="C290" s="182">
        <f>+C288*8</f>
        <v>9.5238095238095233E-2</v>
      </c>
      <c r="D290" s="2688" t="s">
        <v>735</v>
      </c>
      <c r="E290" s="497">
        <f>+RETRO</f>
        <v>150000</v>
      </c>
      <c r="F290" s="1585">
        <f>+E290*C290</f>
        <v>14285.714285714284</v>
      </c>
      <c r="G290" s="1585"/>
      <c r="H290" s="1585"/>
      <c r="I290" s="184"/>
      <c r="K290" s="402">
        <f>1/18</f>
        <v>5.5555555555555552E-2</v>
      </c>
    </row>
    <row r="291" spans="1:256" ht="15" customHeight="1">
      <c r="A291" s="954" t="s">
        <v>380</v>
      </c>
      <c r="B291" s="184" t="s">
        <v>378</v>
      </c>
      <c r="C291" s="1900">
        <v>1.9E-2</v>
      </c>
      <c r="D291" s="401" t="s">
        <v>238</v>
      </c>
      <c r="E291" s="2683">
        <f>+GASO</f>
        <v>8800</v>
      </c>
      <c r="F291" s="2683"/>
      <c r="G291" s="2683"/>
      <c r="H291" s="2683"/>
      <c r="I291" s="2683">
        <f>+E291*C291</f>
        <v>167.2</v>
      </c>
      <c r="J291" s="507"/>
    </row>
    <row r="292" spans="1:256" ht="15" customHeight="1">
      <c r="A292" s="954" t="s">
        <v>382</v>
      </c>
      <c r="B292" s="184" t="s">
        <v>381</v>
      </c>
      <c r="C292" s="1900">
        <v>0.03</v>
      </c>
      <c r="D292" s="401" t="s">
        <v>426</v>
      </c>
      <c r="E292" s="2683">
        <f>+ESTOP</f>
        <v>4080</v>
      </c>
      <c r="F292" s="2683"/>
      <c r="G292" s="2683"/>
      <c r="H292" s="2683"/>
      <c r="I292" s="2683">
        <f>+E292*C292</f>
        <v>122.39999999999999</v>
      </c>
      <c r="J292" s="507"/>
      <c r="K292" s="402">
        <f>27*6</f>
        <v>162</v>
      </c>
    </row>
    <row r="293" spans="1:256" ht="15" customHeight="1">
      <c r="A293" s="1261" t="s">
        <v>345</v>
      </c>
      <c r="B293" s="184" t="s">
        <v>965</v>
      </c>
      <c r="C293" s="1299">
        <f t="shared" ref="C293:C294" si="5">1/(12*7)</f>
        <v>1.1904761904761904E-2</v>
      </c>
      <c r="D293" s="1229" t="s">
        <v>346</v>
      </c>
      <c r="E293" s="2683">
        <f>+OFICI</f>
        <v>80479.625344</v>
      </c>
      <c r="F293" s="2683"/>
      <c r="G293" s="2683"/>
      <c r="H293" s="2683">
        <f>+E293*C293</f>
        <v>958.09077790476181</v>
      </c>
      <c r="I293" s="2683"/>
      <c r="J293" s="159"/>
    </row>
    <row r="294" spans="1:256" ht="15" customHeight="1">
      <c r="A294" s="1261" t="s">
        <v>347</v>
      </c>
      <c r="B294" s="184" t="s">
        <v>266</v>
      </c>
      <c r="C294" s="1299">
        <f t="shared" si="5"/>
        <v>1.1904761904761904E-2</v>
      </c>
      <c r="D294" s="1229" t="s">
        <v>346</v>
      </c>
      <c r="E294" s="2683">
        <f>+AYUDA</f>
        <v>65389.695592000004</v>
      </c>
      <c r="F294" s="2683"/>
      <c r="G294" s="2683"/>
      <c r="H294" s="2683">
        <f>+E294*C294</f>
        <v>778.4487570476191</v>
      </c>
      <c r="I294" s="2683"/>
      <c r="J294" s="1260"/>
    </row>
    <row r="295" spans="1:256" ht="15" customHeight="1">
      <c r="A295" s="1261" t="s">
        <v>172</v>
      </c>
      <c r="B295" s="184" t="s">
        <v>189</v>
      </c>
      <c r="C295" s="1900">
        <v>1</v>
      </c>
      <c r="D295" s="1229" t="s">
        <v>583</v>
      </c>
      <c r="E295" s="2683">
        <f>+H296*0.05</f>
        <v>86.826976747619057</v>
      </c>
      <c r="F295" s="2683"/>
      <c r="G295" s="2683"/>
      <c r="H295" s="2683"/>
      <c r="I295" s="2683">
        <f>+E295*C295</f>
        <v>86.826976747619057</v>
      </c>
      <c r="J295" s="1260"/>
    </row>
    <row r="296" spans="1:256" ht="15" customHeight="1">
      <c r="A296" s="1265" t="s">
        <v>190</v>
      </c>
      <c r="B296" s="1266">
        <f>ROUND(SUM(F296:I296),0)</f>
        <v>30573</v>
      </c>
      <c r="C296" s="1264"/>
      <c r="D296" s="1229"/>
      <c r="E296" s="2683"/>
      <c r="F296" s="2683">
        <f>+SUM(F288:F295)</f>
        <v>28460.380396825392</v>
      </c>
      <c r="G296" s="2683">
        <f>+SUM(G288:G295)</f>
        <v>0</v>
      </c>
      <c r="H296" s="1255">
        <f>+SUM(H288:H295)</f>
        <v>1736.539534952381</v>
      </c>
      <c r="I296" s="1255">
        <f>+SUM(I288:I295)</f>
        <v>376.42697674761905</v>
      </c>
      <c r="J296" s="1260"/>
    </row>
    <row r="297" spans="1:256" ht="15" customHeight="1">
      <c r="A297" s="1265" t="s">
        <v>191</v>
      </c>
      <c r="B297" s="1414">
        <f>+B296</f>
        <v>30573</v>
      </c>
      <c r="C297" s="1901" t="s">
        <v>94</v>
      </c>
      <c r="D297" s="873"/>
      <c r="E297" s="2102"/>
      <c r="F297" s="873"/>
      <c r="G297" s="873"/>
      <c r="H297" s="873"/>
      <c r="I297" s="873"/>
      <c r="J297" s="1260"/>
    </row>
    <row r="298" spans="1:256" s="2659" customFormat="1" ht="15" customHeight="1">
      <c r="A298" s="1902"/>
      <c r="B298" s="1903"/>
      <c r="C298" s="1903"/>
      <c r="D298" s="1903"/>
      <c r="E298" s="1903"/>
      <c r="F298" s="1903"/>
      <c r="G298" s="1903"/>
      <c r="H298" s="1903"/>
      <c r="I298" s="1903"/>
      <c r="J298" s="1903"/>
      <c r="K298" s="1903"/>
      <c r="L298" s="1903"/>
      <c r="M298" s="1903"/>
      <c r="N298" s="1903"/>
      <c r="O298" s="1903"/>
      <c r="P298" s="1903"/>
      <c r="Q298" s="1903"/>
      <c r="R298" s="1903"/>
      <c r="S298" s="1903"/>
      <c r="T298" s="1903"/>
      <c r="U298" s="1903"/>
      <c r="V298" s="1903"/>
      <c r="W298" s="1903"/>
      <c r="X298" s="1903"/>
      <c r="Y298" s="1903"/>
      <c r="Z298" s="1903"/>
      <c r="AA298" s="1903"/>
      <c r="AB298" s="1903"/>
      <c r="AC298" s="1903"/>
      <c r="AD298" s="1903"/>
      <c r="AE298" s="1903"/>
      <c r="AF298" s="1903"/>
      <c r="AG298" s="1903"/>
      <c r="AH298" s="1903"/>
      <c r="AI298" s="1903"/>
      <c r="AJ298" s="1903"/>
      <c r="AK298" s="1903"/>
      <c r="AL298" s="1903"/>
      <c r="AM298" s="1903"/>
      <c r="AN298" s="1903"/>
      <c r="AO298" s="1903"/>
      <c r="AP298" s="1903"/>
      <c r="AQ298" s="1903"/>
      <c r="AR298" s="1903"/>
      <c r="AS298" s="1903"/>
      <c r="AT298" s="1903"/>
      <c r="AU298" s="1903"/>
      <c r="AV298" s="1903"/>
      <c r="AW298" s="1903"/>
      <c r="AX298" s="1903"/>
      <c r="AY298" s="1903"/>
      <c r="AZ298" s="1903"/>
      <c r="BA298" s="1903"/>
      <c r="BB298" s="1903"/>
      <c r="BC298" s="1903"/>
      <c r="BD298" s="1903"/>
      <c r="BE298" s="1903"/>
      <c r="BF298" s="1903"/>
      <c r="BG298" s="1903"/>
      <c r="BH298" s="1903"/>
      <c r="BI298" s="1903"/>
      <c r="BJ298" s="1903"/>
      <c r="BK298" s="1903"/>
      <c r="BL298" s="1903"/>
      <c r="BM298" s="1903"/>
      <c r="BN298" s="1903"/>
      <c r="BO298" s="1903"/>
      <c r="BP298" s="1903"/>
      <c r="BQ298" s="1903"/>
      <c r="BR298" s="1903"/>
      <c r="BS298" s="1903"/>
      <c r="BT298" s="1903"/>
      <c r="BU298" s="1903"/>
      <c r="BV298" s="1903"/>
      <c r="BW298" s="1903"/>
      <c r="BX298" s="1903"/>
      <c r="BY298" s="1903"/>
      <c r="BZ298" s="1903"/>
      <c r="CA298" s="1903"/>
      <c r="CB298" s="1903"/>
      <c r="CC298" s="1903"/>
      <c r="CD298" s="1903"/>
      <c r="CE298" s="1903"/>
      <c r="CF298" s="1903"/>
      <c r="CG298" s="1903"/>
      <c r="CH298" s="1903"/>
      <c r="CI298" s="1903"/>
      <c r="CJ298" s="1903"/>
      <c r="CK298" s="1903"/>
      <c r="CL298" s="1903"/>
      <c r="CM298" s="1903"/>
      <c r="CN298" s="1903"/>
      <c r="CO298" s="1903"/>
      <c r="CP298" s="1903"/>
      <c r="CQ298" s="1903"/>
      <c r="CR298" s="1903"/>
      <c r="CS298" s="1903"/>
      <c r="CT298" s="1903"/>
      <c r="CU298" s="1903"/>
      <c r="CV298" s="1903"/>
      <c r="CW298" s="1903"/>
      <c r="CX298" s="1903"/>
      <c r="CY298" s="1903"/>
      <c r="CZ298" s="1903"/>
      <c r="DA298" s="1903"/>
      <c r="DB298" s="1903"/>
      <c r="DC298" s="1903"/>
      <c r="DD298" s="1903"/>
      <c r="DE298" s="1903"/>
      <c r="DF298" s="1903"/>
      <c r="DG298" s="1903"/>
      <c r="DH298" s="1903"/>
      <c r="DI298" s="1903"/>
      <c r="DJ298" s="1903"/>
      <c r="DK298" s="1903"/>
      <c r="DL298" s="1903"/>
      <c r="DM298" s="1903"/>
      <c r="DN298" s="1903"/>
      <c r="DO298" s="1903"/>
      <c r="DP298" s="1903"/>
      <c r="DQ298" s="1903"/>
      <c r="DR298" s="1903"/>
      <c r="DS298" s="1903"/>
      <c r="DT298" s="1903"/>
      <c r="DU298" s="1903"/>
      <c r="DV298" s="1903"/>
      <c r="DW298" s="1903"/>
      <c r="DX298" s="1903"/>
      <c r="DY298" s="1903"/>
      <c r="DZ298" s="1903"/>
      <c r="EA298" s="1903"/>
      <c r="EB298" s="1903"/>
      <c r="EC298" s="1903"/>
      <c r="ED298" s="1903"/>
      <c r="EE298" s="1903"/>
      <c r="EF298" s="1903"/>
      <c r="EG298" s="1903"/>
      <c r="EH298" s="1903"/>
      <c r="EI298" s="1903"/>
      <c r="EJ298" s="1903"/>
      <c r="EK298" s="1903"/>
      <c r="EL298" s="1903"/>
      <c r="EM298" s="1903"/>
      <c r="EN298" s="1903"/>
      <c r="EO298" s="1903"/>
      <c r="EP298" s="1903"/>
      <c r="EQ298" s="1903"/>
      <c r="ER298" s="1903"/>
      <c r="ES298" s="1903"/>
      <c r="ET298" s="1903"/>
      <c r="EU298" s="1903"/>
      <c r="EV298" s="1903"/>
      <c r="EW298" s="1903"/>
      <c r="EX298" s="1903"/>
      <c r="EY298" s="1903"/>
      <c r="EZ298" s="1903"/>
      <c r="FA298" s="1903"/>
      <c r="FB298" s="1903"/>
      <c r="FC298" s="1903"/>
      <c r="FD298" s="1903"/>
      <c r="FE298" s="1903"/>
      <c r="FF298" s="1903"/>
      <c r="FG298" s="1903"/>
      <c r="FH298" s="1903"/>
      <c r="FI298" s="1903"/>
      <c r="FJ298" s="1903"/>
      <c r="FK298" s="1903"/>
      <c r="FL298" s="1903"/>
      <c r="FM298" s="1903"/>
      <c r="FN298" s="1903"/>
      <c r="FO298" s="1903"/>
      <c r="FP298" s="1903"/>
      <c r="FQ298" s="1903"/>
      <c r="FR298" s="1903"/>
      <c r="FS298" s="1903"/>
      <c r="FT298" s="1903"/>
      <c r="FU298" s="1903"/>
      <c r="FV298" s="1903"/>
      <c r="FW298" s="1903"/>
      <c r="FX298" s="1903"/>
      <c r="FY298" s="1903"/>
      <c r="FZ298" s="1903"/>
      <c r="GA298" s="1903"/>
      <c r="GB298" s="1903"/>
      <c r="GC298" s="1903"/>
      <c r="GD298" s="1903"/>
      <c r="GE298" s="1903"/>
      <c r="GF298" s="1903"/>
      <c r="GG298" s="1903"/>
      <c r="GH298" s="1903"/>
      <c r="GI298" s="1903"/>
      <c r="GJ298" s="1903"/>
      <c r="GK298" s="1903"/>
      <c r="GL298" s="1903"/>
      <c r="GM298" s="1903"/>
      <c r="GN298" s="1903"/>
      <c r="GO298" s="1903"/>
      <c r="GP298" s="1903"/>
      <c r="GQ298" s="1903"/>
      <c r="GR298" s="1903"/>
      <c r="GS298" s="1903"/>
      <c r="GT298" s="1903"/>
      <c r="GU298" s="1903"/>
      <c r="GV298" s="1903"/>
      <c r="GW298" s="1903"/>
      <c r="GX298" s="1903"/>
      <c r="GY298" s="1903"/>
      <c r="GZ298" s="1903"/>
      <c r="HA298" s="1903"/>
      <c r="HB298" s="1903"/>
      <c r="HC298" s="1903"/>
      <c r="HD298" s="1903"/>
      <c r="HE298" s="1903"/>
      <c r="HF298" s="1903"/>
      <c r="HG298" s="1903"/>
      <c r="HH298" s="1903"/>
      <c r="HI298" s="1903"/>
      <c r="HJ298" s="1903"/>
      <c r="HK298" s="1903"/>
      <c r="HL298" s="1903"/>
      <c r="HM298" s="1903"/>
      <c r="HN298" s="1903"/>
      <c r="HO298" s="1903"/>
      <c r="HP298" s="1903"/>
      <c r="HQ298" s="1903"/>
      <c r="HR298" s="1903"/>
      <c r="HS298" s="1903"/>
      <c r="HT298" s="1903"/>
      <c r="HU298" s="1903"/>
      <c r="HV298" s="1903"/>
      <c r="HW298" s="1903"/>
      <c r="HX298" s="1903"/>
      <c r="HY298" s="1903"/>
      <c r="HZ298" s="1903"/>
      <c r="IA298" s="1903"/>
      <c r="IB298" s="1903"/>
      <c r="IC298" s="1903"/>
      <c r="ID298" s="1903"/>
      <c r="IE298" s="1903"/>
      <c r="IF298" s="1903"/>
      <c r="IG298" s="1903"/>
      <c r="IH298" s="1903"/>
      <c r="II298" s="1903"/>
      <c r="IJ298" s="1903"/>
      <c r="IK298" s="1903"/>
      <c r="IL298" s="1903"/>
      <c r="IM298" s="1903"/>
      <c r="IN298" s="1903"/>
      <c r="IO298" s="1903"/>
      <c r="IP298" s="1903"/>
      <c r="IQ298" s="1903"/>
      <c r="IR298" s="1903"/>
      <c r="IS298" s="1903"/>
      <c r="IT298" s="1903"/>
      <c r="IU298" s="1903"/>
      <c r="IV298" s="1903"/>
    </row>
    <row r="299" spans="1:256" ht="15" customHeight="1">
      <c r="A299" s="433" t="str">
        <f>+'LINEAS IMPULSIÓN-CONDUCCIÓN'!A60</f>
        <v>1.6.1</v>
      </c>
      <c r="B299" s="3647" t="s">
        <v>6435</v>
      </c>
      <c r="C299" s="3647"/>
      <c r="D299" s="3647"/>
      <c r="E299" s="3647"/>
      <c r="F299" s="3647"/>
      <c r="G299" s="3647"/>
      <c r="H299" s="3647"/>
      <c r="I299" s="3647"/>
      <c r="J299" s="1260"/>
    </row>
    <row r="300" spans="1:256" ht="15" customHeight="1">
      <c r="A300" s="1261"/>
      <c r="B300" s="184"/>
      <c r="C300" s="1264" t="s">
        <v>140</v>
      </c>
      <c r="D300" s="1229" t="s">
        <v>343</v>
      </c>
      <c r="E300" s="1229" t="s">
        <v>344</v>
      </c>
      <c r="F300" s="1229" t="s">
        <v>482</v>
      </c>
      <c r="G300" s="1229" t="s">
        <v>483</v>
      </c>
      <c r="H300" s="1229" t="s">
        <v>232</v>
      </c>
      <c r="I300" s="1229" t="s">
        <v>171</v>
      </c>
      <c r="J300" s="1260"/>
    </row>
    <row r="301" spans="1:256" ht="15" customHeight="1">
      <c r="A301" s="954" t="s">
        <v>286</v>
      </c>
      <c r="B301" s="231" t="s">
        <v>6434</v>
      </c>
      <c r="C301" s="1264">
        <v>1</v>
      </c>
      <c r="D301" s="1229" t="s">
        <v>94</v>
      </c>
      <c r="E301" s="1255">
        <f>+'BASE 2'!D174</f>
        <v>418179.08999999997</v>
      </c>
      <c r="F301" s="2683"/>
      <c r="G301" s="2683">
        <f>+E301*C301</f>
        <v>418179.08999999997</v>
      </c>
      <c r="H301" s="2683"/>
      <c r="I301" s="2683"/>
      <c r="J301" s="1260"/>
    </row>
    <row r="302" spans="1:256" ht="15" customHeight="1">
      <c r="A302" s="1261" t="s">
        <v>584</v>
      </c>
      <c r="B302" s="1275" t="s">
        <v>134</v>
      </c>
      <c r="C302" s="183">
        <f>1/200</f>
        <v>5.0000000000000001E-3</v>
      </c>
      <c r="D302" s="401" t="s">
        <v>476</v>
      </c>
      <c r="E302" s="1276">
        <f>+VIAJE</f>
        <v>1200000</v>
      </c>
      <c r="F302" s="2683"/>
      <c r="G302" s="2683"/>
      <c r="H302" s="2683"/>
      <c r="I302" s="2683">
        <f>+E302*C302</f>
        <v>6000</v>
      </c>
      <c r="J302" s="1260"/>
    </row>
    <row r="303" spans="1:256" ht="15" customHeight="1">
      <c r="A303" s="1265" t="s">
        <v>190</v>
      </c>
      <c r="B303" s="1266">
        <f>ROUND(SUM(F303:I303),0)</f>
        <v>424179</v>
      </c>
      <c r="C303" s="1264"/>
      <c r="D303" s="1229"/>
      <c r="E303" s="2683"/>
      <c r="F303" s="2683">
        <f>+SUM(F301:F302)</f>
        <v>0</v>
      </c>
      <c r="G303" s="2683">
        <f>+SUM(G301:G302)</f>
        <v>418179.08999999997</v>
      </c>
      <c r="H303" s="2683">
        <f>+SUM(H301:H302)</f>
        <v>0</v>
      </c>
      <c r="I303" s="2683">
        <f>+SUM(I301:I302)</f>
        <v>6000</v>
      </c>
      <c r="J303" s="1260"/>
    </row>
    <row r="304" spans="1:256" ht="15" customHeight="1">
      <c r="A304" s="1265" t="s">
        <v>191</v>
      </c>
      <c r="B304" s="1414">
        <f>+B303</f>
        <v>424179</v>
      </c>
      <c r="C304" s="1901" t="s">
        <v>94</v>
      </c>
      <c r="D304" s="873"/>
      <c r="E304" s="873"/>
      <c r="F304" s="873"/>
      <c r="G304" s="873"/>
      <c r="H304" s="873"/>
      <c r="I304" s="873"/>
      <c r="J304" s="1260"/>
    </row>
    <row r="305" spans="1:10" s="507" customFormat="1" ht="15" customHeight="1">
      <c r="A305" s="1270"/>
      <c r="B305" s="861"/>
      <c r="C305" s="2810"/>
      <c r="D305" s="504"/>
      <c r="E305" s="504"/>
      <c r="F305" s="504"/>
      <c r="G305" s="504"/>
      <c r="H305" s="504"/>
      <c r="I305" s="504"/>
      <c r="J305" s="1260"/>
    </row>
    <row r="306" spans="1:10" s="507" customFormat="1" ht="15" customHeight="1">
      <c r="A306" s="433" t="str">
        <f>+'LINEAS IMPULSIÓN-CONDUCCIÓN'!A44</f>
        <v>1.5.2</v>
      </c>
      <c r="B306" s="3644" t="str">
        <f>+'LINEAS IMPULSIÓN-CONDUCCIÓN'!B44</f>
        <v>Instalación Tubería PEAD Ø 400mm (16") PN 10 RDE 17</v>
      </c>
      <c r="C306" s="3645"/>
      <c r="D306" s="3645"/>
      <c r="E306" s="3645"/>
      <c r="F306" s="3645"/>
      <c r="G306" s="3645"/>
      <c r="H306" s="3645"/>
      <c r="I306" s="3646"/>
      <c r="J306" s="1260"/>
    </row>
    <row r="307" spans="1:10" s="507" customFormat="1" ht="15" customHeight="1">
      <c r="A307" s="1261"/>
      <c r="B307" s="184"/>
      <c r="C307" s="1900" t="s">
        <v>140</v>
      </c>
      <c r="D307" s="1229" t="s">
        <v>343</v>
      </c>
      <c r="E307" s="1229" t="s">
        <v>344</v>
      </c>
      <c r="F307" s="1229" t="s">
        <v>482</v>
      </c>
      <c r="G307" s="1229" t="s">
        <v>483</v>
      </c>
      <c r="H307" s="1229" t="s">
        <v>232</v>
      </c>
      <c r="I307" s="1229" t="s">
        <v>171</v>
      </c>
      <c r="J307" s="1260"/>
    </row>
    <row r="308" spans="1:10" s="507" customFormat="1" ht="15" customHeight="1">
      <c r="A308" s="954" t="s">
        <v>53</v>
      </c>
      <c r="B308" s="231" t="s">
        <v>6500</v>
      </c>
      <c r="C308" s="1299">
        <f>1/(12*7)</f>
        <v>1.1904761904761904E-2</v>
      </c>
      <c r="D308" s="401" t="s">
        <v>346</v>
      </c>
      <c r="E308" s="1255">
        <f>+PLAELE</f>
        <v>204223.83333333331</v>
      </c>
      <c r="F308" s="2807">
        <f>+E308*C308</f>
        <v>2431.2361111111109</v>
      </c>
      <c r="G308" s="2807"/>
      <c r="H308" s="2807"/>
      <c r="I308" s="2807"/>
      <c r="J308" s="1260"/>
    </row>
    <row r="309" spans="1:10" s="507" customFormat="1" ht="15" customHeight="1">
      <c r="A309" s="954" t="s">
        <v>47</v>
      </c>
      <c r="B309" s="231" t="s">
        <v>6422</v>
      </c>
      <c r="C309" s="1299">
        <f>1/(12*7)</f>
        <v>1.1904761904761904E-2</v>
      </c>
      <c r="D309" s="401" t="s">
        <v>346</v>
      </c>
      <c r="E309" s="1255">
        <f>+ETF315_</f>
        <v>986448.12</v>
      </c>
      <c r="F309" s="2807">
        <f>+E309*C309</f>
        <v>11743.429999999998</v>
      </c>
      <c r="G309" s="2807"/>
      <c r="H309" s="2807"/>
      <c r="I309" s="2807"/>
      <c r="J309" s="1260"/>
    </row>
    <row r="310" spans="1:10" s="507" customFormat="1" ht="15" customHeight="1">
      <c r="A310" s="435" t="s">
        <v>736</v>
      </c>
      <c r="B310" s="231" t="s">
        <v>6410</v>
      </c>
      <c r="C310" s="182">
        <f>+C308*8</f>
        <v>9.5238095238095233E-2</v>
      </c>
      <c r="D310" s="2809" t="s">
        <v>735</v>
      </c>
      <c r="E310" s="497">
        <f>+RETRO</f>
        <v>150000</v>
      </c>
      <c r="F310" s="1585">
        <f>+E310*C310</f>
        <v>14285.714285714284</v>
      </c>
      <c r="G310" s="1585"/>
      <c r="H310" s="1585"/>
      <c r="I310" s="184"/>
      <c r="J310" s="1260"/>
    </row>
    <row r="311" spans="1:10" s="507" customFormat="1" ht="15" customHeight="1">
      <c r="A311" s="954" t="s">
        <v>380</v>
      </c>
      <c r="B311" s="184" t="s">
        <v>378</v>
      </c>
      <c r="C311" s="1900">
        <v>1.9E-2</v>
      </c>
      <c r="D311" s="401" t="s">
        <v>238</v>
      </c>
      <c r="E311" s="2807">
        <f>+GASO</f>
        <v>8800</v>
      </c>
      <c r="F311" s="2807"/>
      <c r="G311" s="2807"/>
      <c r="H311" s="2807"/>
      <c r="I311" s="2807">
        <f>+E311*C311</f>
        <v>167.2</v>
      </c>
      <c r="J311" s="1260"/>
    </row>
    <row r="312" spans="1:10" s="507" customFormat="1" ht="15" customHeight="1">
      <c r="A312" s="954" t="s">
        <v>382</v>
      </c>
      <c r="B312" s="184" t="s">
        <v>381</v>
      </c>
      <c r="C312" s="1900">
        <v>0.03</v>
      </c>
      <c r="D312" s="401" t="s">
        <v>426</v>
      </c>
      <c r="E312" s="2807">
        <f>+ESTOP</f>
        <v>4080</v>
      </c>
      <c r="F312" s="2807"/>
      <c r="G312" s="2807"/>
      <c r="H312" s="2807"/>
      <c r="I312" s="2807">
        <f>+E312*C312</f>
        <v>122.39999999999999</v>
      </c>
      <c r="J312" s="1260"/>
    </row>
    <row r="313" spans="1:10" s="507" customFormat="1" ht="15" customHeight="1">
      <c r="A313" s="1261" t="s">
        <v>345</v>
      </c>
      <c r="B313" s="184" t="s">
        <v>965</v>
      </c>
      <c r="C313" s="1299">
        <f t="shared" ref="C313:C314" si="6">1/(12*7)</f>
        <v>1.1904761904761904E-2</v>
      </c>
      <c r="D313" s="1229" t="s">
        <v>346</v>
      </c>
      <c r="E313" s="2807">
        <f>+OFICI</f>
        <v>80479.625344</v>
      </c>
      <c r="F313" s="2807"/>
      <c r="G313" s="2807"/>
      <c r="H313" s="2807">
        <f>+E313*C313</f>
        <v>958.09077790476181</v>
      </c>
      <c r="I313" s="2807"/>
      <c r="J313" s="1260"/>
    </row>
    <row r="314" spans="1:10" s="507" customFormat="1" ht="15" customHeight="1">
      <c r="A314" s="1261" t="s">
        <v>347</v>
      </c>
      <c r="B314" s="184" t="s">
        <v>266</v>
      </c>
      <c r="C314" s="1299">
        <f t="shared" si="6"/>
        <v>1.1904761904761904E-2</v>
      </c>
      <c r="D314" s="1229" t="s">
        <v>346</v>
      </c>
      <c r="E314" s="2807">
        <f>+AYUDA</f>
        <v>65389.695592000004</v>
      </c>
      <c r="F314" s="2807"/>
      <c r="G314" s="2807"/>
      <c r="H314" s="2807">
        <f>+E314*C314</f>
        <v>778.4487570476191</v>
      </c>
      <c r="I314" s="2807"/>
      <c r="J314" s="1260"/>
    </row>
    <row r="315" spans="1:10" s="507" customFormat="1" ht="15" customHeight="1">
      <c r="A315" s="1261" t="s">
        <v>172</v>
      </c>
      <c r="B315" s="184" t="s">
        <v>189</v>
      </c>
      <c r="C315" s="1900">
        <v>1</v>
      </c>
      <c r="D315" s="1229" t="s">
        <v>583</v>
      </c>
      <c r="E315" s="2807">
        <f>+H316*0.05</f>
        <v>86.826976747619057</v>
      </c>
      <c r="F315" s="2807"/>
      <c r="G315" s="2807"/>
      <c r="H315" s="2807"/>
      <c r="I315" s="2807">
        <f>+E315*C315</f>
        <v>86.826976747619057</v>
      </c>
      <c r="J315" s="1260"/>
    </row>
    <row r="316" spans="1:10" s="507" customFormat="1" ht="15" customHeight="1">
      <c r="A316" s="1265" t="s">
        <v>190</v>
      </c>
      <c r="B316" s="1266">
        <f>ROUND(SUM(F316:I316),0)</f>
        <v>30573</v>
      </c>
      <c r="C316" s="1264"/>
      <c r="D316" s="1229"/>
      <c r="E316" s="2807"/>
      <c r="F316" s="2807">
        <f>+SUM(F308:F315)</f>
        <v>28460.380396825392</v>
      </c>
      <c r="G316" s="2807">
        <f>+SUM(G308:G315)</f>
        <v>0</v>
      </c>
      <c r="H316" s="1255">
        <f>+SUM(H308:H315)</f>
        <v>1736.539534952381</v>
      </c>
      <c r="I316" s="1255">
        <f>+SUM(I308:I315)</f>
        <v>376.42697674761905</v>
      </c>
      <c r="J316" s="1260"/>
    </row>
    <row r="317" spans="1:10" s="507" customFormat="1" ht="15" customHeight="1">
      <c r="A317" s="1265" t="s">
        <v>191</v>
      </c>
      <c r="B317" s="1414">
        <f>+B316</f>
        <v>30573</v>
      </c>
      <c r="C317" s="1901" t="s">
        <v>94</v>
      </c>
      <c r="D317" s="873"/>
      <c r="E317" s="2102"/>
      <c r="F317" s="873"/>
      <c r="G317" s="873"/>
      <c r="H317" s="873"/>
      <c r="I317" s="873"/>
      <c r="J317" s="1260"/>
    </row>
    <row r="318" spans="1:10" s="507" customFormat="1" ht="15" customHeight="1">
      <c r="A318" s="1902"/>
      <c r="B318" s="1903"/>
      <c r="C318" s="1903"/>
      <c r="D318" s="1903"/>
      <c r="E318" s="1903"/>
      <c r="F318" s="1903"/>
      <c r="G318" s="1903"/>
      <c r="H318" s="1903"/>
      <c r="I318" s="1903"/>
      <c r="J318" s="1260"/>
    </row>
    <row r="319" spans="1:10" s="507" customFormat="1" ht="15" customHeight="1">
      <c r="A319" s="433" t="str">
        <f>+'LINEAS IMPULSIÓN-CONDUCCIÓN'!A61</f>
        <v>1.6.2</v>
      </c>
      <c r="B319" s="3647" t="str">
        <f>+'LINEAS IMPULSIÓN-CONDUCCIÓN'!B61</f>
        <v>Suministro Tubería PEAD Ø 400mm (16") PN 10 RDE 17</v>
      </c>
      <c r="C319" s="3647"/>
      <c r="D319" s="3647"/>
      <c r="E319" s="3647"/>
      <c r="F319" s="3647"/>
      <c r="G319" s="3647"/>
      <c r="H319" s="3647"/>
      <c r="I319" s="3647"/>
      <c r="J319" s="1260"/>
    </row>
    <row r="320" spans="1:10" s="507" customFormat="1" ht="15" customHeight="1">
      <c r="A320" s="1261"/>
      <c r="B320" s="184"/>
      <c r="C320" s="1264" t="s">
        <v>140</v>
      </c>
      <c r="D320" s="1229" t="s">
        <v>343</v>
      </c>
      <c r="E320" s="1229" t="s">
        <v>344</v>
      </c>
      <c r="F320" s="1229" t="s">
        <v>482</v>
      </c>
      <c r="G320" s="1229" t="s">
        <v>483</v>
      </c>
      <c r="H320" s="1229" t="s">
        <v>232</v>
      </c>
      <c r="I320" s="1229" t="s">
        <v>171</v>
      </c>
      <c r="J320" s="1260"/>
    </row>
    <row r="321" spans="1:10" s="507" customFormat="1" ht="15" customHeight="1">
      <c r="A321" s="954" t="s">
        <v>286</v>
      </c>
      <c r="B321" s="231" t="s">
        <v>8732</v>
      </c>
      <c r="C321" s="1264">
        <v>1</v>
      </c>
      <c r="D321" s="1229" t="s">
        <v>94</v>
      </c>
      <c r="E321" s="1255">
        <f>+'BASE 2'!D175</f>
        <v>333830.7</v>
      </c>
      <c r="F321" s="2807"/>
      <c r="G321" s="2807">
        <f>+E321*C321</f>
        <v>333830.7</v>
      </c>
      <c r="H321" s="2807"/>
      <c r="I321" s="2807"/>
      <c r="J321" s="1260"/>
    </row>
    <row r="322" spans="1:10" s="507" customFormat="1" ht="15" customHeight="1">
      <c r="A322" s="1261" t="s">
        <v>584</v>
      </c>
      <c r="B322" s="1275" t="s">
        <v>134</v>
      </c>
      <c r="C322" s="183">
        <f>1/200</f>
        <v>5.0000000000000001E-3</v>
      </c>
      <c r="D322" s="401" t="s">
        <v>476</v>
      </c>
      <c r="E322" s="1276">
        <f>+VIAJE</f>
        <v>1200000</v>
      </c>
      <c r="F322" s="2807"/>
      <c r="G322" s="2807"/>
      <c r="H322" s="2807"/>
      <c r="I322" s="2807">
        <f>+E322*C322</f>
        <v>6000</v>
      </c>
      <c r="J322" s="1260"/>
    </row>
    <row r="323" spans="1:10" s="507" customFormat="1" ht="15" customHeight="1">
      <c r="A323" s="1265" t="s">
        <v>190</v>
      </c>
      <c r="B323" s="1266">
        <f>ROUND(SUM(F323:I323),0)</f>
        <v>339831</v>
      </c>
      <c r="C323" s="1264"/>
      <c r="D323" s="1229"/>
      <c r="E323" s="2807"/>
      <c r="F323" s="2807">
        <f>+SUM(F321:F322)</f>
        <v>0</v>
      </c>
      <c r="G323" s="2807">
        <f>+SUM(G321:G322)</f>
        <v>333830.7</v>
      </c>
      <c r="H323" s="2807">
        <f>+SUM(H321:H322)</f>
        <v>0</v>
      </c>
      <c r="I323" s="2807">
        <f>+SUM(I321:I322)</f>
        <v>6000</v>
      </c>
      <c r="J323" s="1260"/>
    </row>
    <row r="324" spans="1:10" s="507" customFormat="1" ht="15" customHeight="1">
      <c r="A324" s="1265" t="s">
        <v>191</v>
      </c>
      <c r="B324" s="1414">
        <f>+B323</f>
        <v>339831</v>
      </c>
      <c r="C324" s="1901" t="s">
        <v>94</v>
      </c>
      <c r="D324" s="873"/>
      <c r="E324" s="873"/>
      <c r="F324" s="873"/>
      <c r="G324" s="873"/>
      <c r="H324" s="873"/>
      <c r="I324" s="873"/>
      <c r="J324" s="1260"/>
    </row>
    <row r="325" spans="1:10" s="507" customFormat="1" ht="15" customHeight="1">
      <c r="A325" s="1270"/>
      <c r="B325" s="861"/>
      <c r="C325" s="2810"/>
      <c r="D325" s="504"/>
      <c r="E325" s="504"/>
      <c r="F325" s="504"/>
      <c r="G325" s="504"/>
      <c r="H325" s="504"/>
      <c r="I325" s="504"/>
      <c r="J325" s="1260"/>
    </row>
    <row r="326" spans="1:10" s="507" customFormat="1" ht="15" customHeight="1">
      <c r="A326" s="433" t="str">
        <f>+'LINEAS IMPULSIÓN-CONDUCCIÓN'!A45</f>
        <v>1.5.3</v>
      </c>
      <c r="B326" s="3644" t="str">
        <f>+'LINEAS IMPULSIÓN-CONDUCCIÓN'!B45</f>
        <v>Instalación Tubería PEAD Ø 400mm (16") PN 8 RDE 21</v>
      </c>
      <c r="C326" s="3645"/>
      <c r="D326" s="3645"/>
      <c r="E326" s="3645"/>
      <c r="F326" s="3645"/>
      <c r="G326" s="3645"/>
      <c r="H326" s="3645"/>
      <c r="I326" s="3646"/>
      <c r="J326" s="1260"/>
    </row>
    <row r="327" spans="1:10" s="507" customFormat="1" ht="15" customHeight="1">
      <c r="A327" s="1261"/>
      <c r="B327" s="184"/>
      <c r="C327" s="1900" t="s">
        <v>140</v>
      </c>
      <c r="D327" s="1229" t="s">
        <v>343</v>
      </c>
      <c r="E327" s="1229" t="s">
        <v>344</v>
      </c>
      <c r="F327" s="1229" t="s">
        <v>482</v>
      </c>
      <c r="G327" s="1229" t="s">
        <v>483</v>
      </c>
      <c r="H327" s="1229" t="s">
        <v>232</v>
      </c>
      <c r="I327" s="1229" t="s">
        <v>171</v>
      </c>
      <c r="J327" s="1260"/>
    </row>
    <row r="328" spans="1:10" s="507" customFormat="1" ht="15" customHeight="1">
      <c r="A328" s="954" t="s">
        <v>53</v>
      </c>
      <c r="B328" s="231" t="s">
        <v>6500</v>
      </c>
      <c r="C328" s="1299">
        <f>1/(12*7)</f>
        <v>1.1904761904761904E-2</v>
      </c>
      <c r="D328" s="401" t="s">
        <v>346</v>
      </c>
      <c r="E328" s="1255">
        <f>+PLAELE</f>
        <v>204223.83333333331</v>
      </c>
      <c r="F328" s="2807">
        <f>+E328*C328</f>
        <v>2431.2361111111109</v>
      </c>
      <c r="G328" s="2807"/>
      <c r="H328" s="2807"/>
      <c r="I328" s="2807"/>
      <c r="J328" s="1260"/>
    </row>
    <row r="329" spans="1:10" s="507" customFormat="1" ht="15" customHeight="1">
      <c r="A329" s="954" t="s">
        <v>47</v>
      </c>
      <c r="B329" s="231" t="s">
        <v>6422</v>
      </c>
      <c r="C329" s="1299">
        <f>1/(12*7)</f>
        <v>1.1904761904761904E-2</v>
      </c>
      <c r="D329" s="401" t="s">
        <v>346</v>
      </c>
      <c r="E329" s="1255">
        <f>+ETF315_</f>
        <v>986448.12</v>
      </c>
      <c r="F329" s="2807">
        <f>+E329*C329</f>
        <v>11743.429999999998</v>
      </c>
      <c r="G329" s="2807"/>
      <c r="H329" s="2807"/>
      <c r="I329" s="2807"/>
      <c r="J329" s="1260"/>
    </row>
    <row r="330" spans="1:10" s="507" customFormat="1" ht="15" customHeight="1">
      <c r="A330" s="435" t="s">
        <v>736</v>
      </c>
      <c r="B330" s="231" t="s">
        <v>6410</v>
      </c>
      <c r="C330" s="182">
        <f>+C328*8</f>
        <v>9.5238095238095233E-2</v>
      </c>
      <c r="D330" s="2809" t="s">
        <v>735</v>
      </c>
      <c r="E330" s="497">
        <f>+RETRO</f>
        <v>150000</v>
      </c>
      <c r="F330" s="1585">
        <f>+E330*C330</f>
        <v>14285.714285714284</v>
      </c>
      <c r="G330" s="1585"/>
      <c r="H330" s="1585"/>
      <c r="I330" s="184"/>
      <c r="J330" s="1260"/>
    </row>
    <row r="331" spans="1:10" s="507" customFormat="1" ht="15" customHeight="1">
      <c r="A331" s="954" t="s">
        <v>380</v>
      </c>
      <c r="B331" s="184" t="s">
        <v>378</v>
      </c>
      <c r="C331" s="1900">
        <v>1.9E-2</v>
      </c>
      <c r="D331" s="401" t="s">
        <v>238</v>
      </c>
      <c r="E331" s="2807">
        <f>+GASO</f>
        <v>8800</v>
      </c>
      <c r="F331" s="2807"/>
      <c r="G331" s="2807"/>
      <c r="H331" s="2807"/>
      <c r="I331" s="2807">
        <f>+E331*C331</f>
        <v>167.2</v>
      </c>
      <c r="J331" s="1260"/>
    </row>
    <row r="332" spans="1:10" s="507" customFormat="1" ht="15" customHeight="1">
      <c r="A332" s="954" t="s">
        <v>382</v>
      </c>
      <c r="B332" s="184" t="s">
        <v>381</v>
      </c>
      <c r="C332" s="1900">
        <v>0.03</v>
      </c>
      <c r="D332" s="401" t="s">
        <v>426</v>
      </c>
      <c r="E332" s="2807">
        <f>+ESTOP</f>
        <v>4080</v>
      </c>
      <c r="F332" s="2807"/>
      <c r="G332" s="2807"/>
      <c r="H332" s="2807"/>
      <c r="I332" s="2807">
        <f>+E332*C332</f>
        <v>122.39999999999999</v>
      </c>
      <c r="J332" s="1260"/>
    </row>
    <row r="333" spans="1:10" s="507" customFormat="1" ht="15" customHeight="1">
      <c r="A333" s="1261" t="s">
        <v>345</v>
      </c>
      <c r="B333" s="184" t="s">
        <v>965</v>
      </c>
      <c r="C333" s="1299">
        <f t="shared" ref="C333:C334" si="7">1/(12*7)</f>
        <v>1.1904761904761904E-2</v>
      </c>
      <c r="D333" s="1229" t="s">
        <v>346</v>
      </c>
      <c r="E333" s="2807">
        <f>+OFICI</f>
        <v>80479.625344</v>
      </c>
      <c r="F333" s="2807"/>
      <c r="G333" s="2807"/>
      <c r="H333" s="2807">
        <f>+E333*C333</f>
        <v>958.09077790476181</v>
      </c>
      <c r="I333" s="2807"/>
      <c r="J333" s="1260"/>
    </row>
    <row r="334" spans="1:10" s="507" customFormat="1" ht="15" customHeight="1">
      <c r="A334" s="1261" t="s">
        <v>347</v>
      </c>
      <c r="B334" s="184" t="s">
        <v>266</v>
      </c>
      <c r="C334" s="1299">
        <f t="shared" si="7"/>
        <v>1.1904761904761904E-2</v>
      </c>
      <c r="D334" s="1229" t="s">
        <v>346</v>
      </c>
      <c r="E334" s="2807">
        <f>+AYUDA</f>
        <v>65389.695592000004</v>
      </c>
      <c r="F334" s="2807"/>
      <c r="G334" s="2807"/>
      <c r="H334" s="2807">
        <f>+E334*C334</f>
        <v>778.4487570476191</v>
      </c>
      <c r="I334" s="2807"/>
      <c r="J334" s="1260"/>
    </row>
    <row r="335" spans="1:10" s="507" customFormat="1" ht="15" customHeight="1">
      <c r="A335" s="1261" t="s">
        <v>172</v>
      </c>
      <c r="B335" s="184" t="s">
        <v>189</v>
      </c>
      <c r="C335" s="1900">
        <v>1</v>
      </c>
      <c r="D335" s="1229" t="s">
        <v>583</v>
      </c>
      <c r="E335" s="2807">
        <f>+H336*0.05</f>
        <v>86.826976747619057</v>
      </c>
      <c r="F335" s="2807"/>
      <c r="G335" s="2807"/>
      <c r="H335" s="2807"/>
      <c r="I335" s="2807">
        <f>+E335*C335</f>
        <v>86.826976747619057</v>
      </c>
      <c r="J335" s="1260"/>
    </row>
    <row r="336" spans="1:10" s="507" customFormat="1" ht="15" customHeight="1">
      <c r="A336" s="1265" t="s">
        <v>190</v>
      </c>
      <c r="B336" s="1266">
        <f>ROUND(SUM(F336:I336),0)</f>
        <v>30573</v>
      </c>
      <c r="C336" s="1264"/>
      <c r="D336" s="1229"/>
      <c r="E336" s="2807"/>
      <c r="F336" s="2807">
        <f>+SUM(F328:F335)</f>
        <v>28460.380396825392</v>
      </c>
      <c r="G336" s="2807">
        <f>+SUM(G328:G335)</f>
        <v>0</v>
      </c>
      <c r="H336" s="1255">
        <f>+SUM(H328:H335)</f>
        <v>1736.539534952381</v>
      </c>
      <c r="I336" s="1255">
        <f>+SUM(I328:I335)</f>
        <v>376.42697674761905</v>
      </c>
      <c r="J336" s="1260"/>
    </row>
    <row r="337" spans="1:10" s="507" customFormat="1" ht="15" customHeight="1">
      <c r="A337" s="1265" t="s">
        <v>191</v>
      </c>
      <c r="B337" s="1414">
        <f>+B336</f>
        <v>30573</v>
      </c>
      <c r="C337" s="1901" t="s">
        <v>94</v>
      </c>
      <c r="D337" s="873"/>
      <c r="E337" s="2102"/>
      <c r="F337" s="873"/>
      <c r="G337" s="873"/>
      <c r="H337" s="873"/>
      <c r="I337" s="873"/>
      <c r="J337" s="1260"/>
    </row>
    <row r="338" spans="1:10" s="507" customFormat="1" ht="15" customHeight="1">
      <c r="A338" s="1902"/>
      <c r="B338" s="1903"/>
      <c r="C338" s="1903"/>
      <c r="D338" s="1903"/>
      <c r="E338" s="1903"/>
      <c r="F338" s="1903"/>
      <c r="G338" s="1903"/>
      <c r="H338" s="1903"/>
      <c r="I338" s="1903"/>
      <c r="J338" s="1260"/>
    </row>
    <row r="339" spans="1:10" s="507" customFormat="1" ht="15" customHeight="1">
      <c r="A339" s="433" t="str">
        <f>+'LINEAS IMPULSIÓN-CONDUCCIÓN'!A62</f>
        <v>1.6.3</v>
      </c>
      <c r="B339" s="3647" t="str">
        <f>+'LINEAS IMPULSIÓN-CONDUCCIÓN'!B62</f>
        <v>Suministro Tubería PEAD Ø 400mm (16") PN 8 RDE 21</v>
      </c>
      <c r="C339" s="3647"/>
      <c r="D339" s="3647"/>
      <c r="E339" s="3647"/>
      <c r="F339" s="3647"/>
      <c r="G339" s="3647"/>
      <c r="H339" s="3647"/>
      <c r="I339" s="3647"/>
      <c r="J339" s="1260"/>
    </row>
    <row r="340" spans="1:10" s="507" customFormat="1" ht="15" customHeight="1">
      <c r="A340" s="1261"/>
      <c r="B340" s="184"/>
      <c r="C340" s="1264" t="s">
        <v>140</v>
      </c>
      <c r="D340" s="1229" t="s">
        <v>343</v>
      </c>
      <c r="E340" s="1229" t="s">
        <v>344</v>
      </c>
      <c r="F340" s="1229" t="s">
        <v>482</v>
      </c>
      <c r="G340" s="1229" t="s">
        <v>483</v>
      </c>
      <c r="H340" s="1229" t="s">
        <v>232</v>
      </c>
      <c r="I340" s="1229" t="s">
        <v>171</v>
      </c>
      <c r="J340" s="1260"/>
    </row>
    <row r="341" spans="1:10" s="507" customFormat="1" ht="15" customHeight="1">
      <c r="A341" s="954" t="s">
        <v>286</v>
      </c>
      <c r="B341" s="231" t="s">
        <v>8733</v>
      </c>
      <c r="C341" s="1264">
        <v>1</v>
      </c>
      <c r="D341" s="1229" t="s">
        <v>94</v>
      </c>
      <c r="E341" s="1255">
        <f>+'BASE 2'!D176</f>
        <v>283333.05</v>
      </c>
      <c r="F341" s="2807"/>
      <c r="G341" s="2807">
        <f>+E341*C341</f>
        <v>283333.05</v>
      </c>
      <c r="H341" s="2807"/>
      <c r="I341" s="2807"/>
      <c r="J341" s="1260"/>
    </row>
    <row r="342" spans="1:10" s="507" customFormat="1" ht="15" customHeight="1">
      <c r="A342" s="1261" t="s">
        <v>584</v>
      </c>
      <c r="B342" s="1275" t="s">
        <v>134</v>
      </c>
      <c r="C342" s="183">
        <f>1/200</f>
        <v>5.0000000000000001E-3</v>
      </c>
      <c r="D342" s="401" t="s">
        <v>476</v>
      </c>
      <c r="E342" s="1276">
        <f>+VIAJE</f>
        <v>1200000</v>
      </c>
      <c r="F342" s="2807"/>
      <c r="G342" s="2807"/>
      <c r="H342" s="2807"/>
      <c r="I342" s="2807">
        <f>+E342*C342</f>
        <v>6000</v>
      </c>
      <c r="J342" s="1260"/>
    </row>
    <row r="343" spans="1:10" s="507" customFormat="1" ht="15" customHeight="1">
      <c r="A343" s="1265" t="s">
        <v>190</v>
      </c>
      <c r="B343" s="1266">
        <f>ROUND(SUM(F343:I343),0)</f>
        <v>289333</v>
      </c>
      <c r="C343" s="1264"/>
      <c r="D343" s="1229"/>
      <c r="E343" s="2807"/>
      <c r="F343" s="2807">
        <f>+SUM(F341:F342)</f>
        <v>0</v>
      </c>
      <c r="G343" s="2807">
        <f>+SUM(G341:G342)</f>
        <v>283333.05</v>
      </c>
      <c r="H343" s="2807">
        <f>+SUM(H341:H342)</f>
        <v>0</v>
      </c>
      <c r="I343" s="2807">
        <f>+SUM(I341:I342)</f>
        <v>6000</v>
      </c>
      <c r="J343" s="1260"/>
    </row>
    <row r="344" spans="1:10" s="507" customFormat="1" ht="15" customHeight="1">
      <c r="A344" s="1265" t="s">
        <v>191</v>
      </c>
      <c r="B344" s="1414">
        <f>+B343</f>
        <v>289333</v>
      </c>
      <c r="C344" s="1901" t="s">
        <v>94</v>
      </c>
      <c r="D344" s="873"/>
      <c r="E344" s="873"/>
      <c r="F344" s="873"/>
      <c r="G344" s="873"/>
      <c r="H344" s="873"/>
      <c r="I344" s="873"/>
      <c r="J344" s="1260"/>
    </row>
    <row r="345" spans="1:10" s="507" customFormat="1" ht="15" customHeight="1">
      <c r="A345" s="1270"/>
      <c r="B345" s="861"/>
      <c r="C345" s="2810"/>
      <c r="D345" s="504"/>
      <c r="E345" s="504"/>
      <c r="F345" s="504"/>
      <c r="G345" s="504"/>
      <c r="H345" s="504"/>
      <c r="I345" s="504"/>
      <c r="J345" s="1260"/>
    </row>
    <row r="346" spans="1:10" s="507" customFormat="1" ht="15" customHeight="1">
      <c r="A346" s="433" t="str">
        <f>+'LINEAS IMPULSIÓN-CONDUCCIÓN'!A46</f>
        <v>1.5.4</v>
      </c>
      <c r="B346" s="3644" t="str">
        <f>+'LINEAS IMPULSIÓN-CONDUCCIÓN'!B46</f>
        <v>Instalación Tubería PEAD Ø 400mm (16") PN 6 RDE 26</v>
      </c>
      <c r="C346" s="3645"/>
      <c r="D346" s="3645"/>
      <c r="E346" s="3645"/>
      <c r="F346" s="3645"/>
      <c r="G346" s="3645"/>
      <c r="H346" s="3645"/>
      <c r="I346" s="3646"/>
      <c r="J346" s="1260"/>
    </row>
    <row r="347" spans="1:10" s="507" customFormat="1" ht="15" customHeight="1">
      <c r="A347" s="1261"/>
      <c r="B347" s="184"/>
      <c r="C347" s="1900" t="s">
        <v>140</v>
      </c>
      <c r="D347" s="1229" t="s">
        <v>343</v>
      </c>
      <c r="E347" s="1229" t="s">
        <v>344</v>
      </c>
      <c r="F347" s="1229" t="s">
        <v>482</v>
      </c>
      <c r="G347" s="1229" t="s">
        <v>483</v>
      </c>
      <c r="H347" s="1229" t="s">
        <v>232</v>
      </c>
      <c r="I347" s="1229" t="s">
        <v>171</v>
      </c>
      <c r="J347" s="1260"/>
    </row>
    <row r="348" spans="1:10" s="507" customFormat="1" ht="15" customHeight="1">
      <c r="A348" s="954" t="s">
        <v>53</v>
      </c>
      <c r="B348" s="231" t="s">
        <v>6500</v>
      </c>
      <c r="C348" s="1299">
        <f>1/(12*7)</f>
        <v>1.1904761904761904E-2</v>
      </c>
      <c r="D348" s="401" t="s">
        <v>346</v>
      </c>
      <c r="E348" s="1255">
        <f>+PLAELE</f>
        <v>204223.83333333331</v>
      </c>
      <c r="F348" s="2807">
        <f>+E348*C348</f>
        <v>2431.2361111111109</v>
      </c>
      <c r="G348" s="2807"/>
      <c r="H348" s="2807"/>
      <c r="I348" s="2807"/>
      <c r="J348" s="1260"/>
    </row>
    <row r="349" spans="1:10" s="507" customFormat="1" ht="15" customHeight="1">
      <c r="A349" s="954" t="s">
        <v>47</v>
      </c>
      <c r="B349" s="231" t="s">
        <v>6422</v>
      </c>
      <c r="C349" s="1299">
        <f>1/(12*7)</f>
        <v>1.1904761904761904E-2</v>
      </c>
      <c r="D349" s="401" t="s">
        <v>346</v>
      </c>
      <c r="E349" s="1255">
        <f>+ETF315_</f>
        <v>986448.12</v>
      </c>
      <c r="F349" s="2807">
        <f>+E349*C349</f>
        <v>11743.429999999998</v>
      </c>
      <c r="G349" s="2807"/>
      <c r="H349" s="2807"/>
      <c r="I349" s="2807"/>
      <c r="J349" s="1260"/>
    </row>
    <row r="350" spans="1:10" s="507" customFormat="1" ht="15" customHeight="1">
      <c r="A350" s="435" t="s">
        <v>736</v>
      </c>
      <c r="B350" s="231" t="s">
        <v>6410</v>
      </c>
      <c r="C350" s="182">
        <f>+C348*8</f>
        <v>9.5238095238095233E-2</v>
      </c>
      <c r="D350" s="2809" t="s">
        <v>735</v>
      </c>
      <c r="E350" s="497">
        <f>+RETRO</f>
        <v>150000</v>
      </c>
      <c r="F350" s="1585">
        <f>+E350*C350</f>
        <v>14285.714285714284</v>
      </c>
      <c r="G350" s="1585"/>
      <c r="H350" s="1585"/>
      <c r="I350" s="184"/>
      <c r="J350" s="1260"/>
    </row>
    <row r="351" spans="1:10" s="507" customFormat="1" ht="15" customHeight="1">
      <c r="A351" s="954" t="s">
        <v>380</v>
      </c>
      <c r="B351" s="184" t="s">
        <v>378</v>
      </c>
      <c r="C351" s="1900">
        <v>1.9E-2</v>
      </c>
      <c r="D351" s="401" t="s">
        <v>238</v>
      </c>
      <c r="E351" s="2807">
        <f>+GASO</f>
        <v>8800</v>
      </c>
      <c r="F351" s="2807"/>
      <c r="G351" s="2807"/>
      <c r="H351" s="2807"/>
      <c r="I351" s="2807">
        <f>+E351*C351</f>
        <v>167.2</v>
      </c>
      <c r="J351" s="1260"/>
    </row>
    <row r="352" spans="1:10" s="507" customFormat="1" ht="15" customHeight="1">
      <c r="A352" s="954" t="s">
        <v>382</v>
      </c>
      <c r="B352" s="184" t="s">
        <v>381</v>
      </c>
      <c r="C352" s="1900">
        <v>0.03</v>
      </c>
      <c r="D352" s="401" t="s">
        <v>426</v>
      </c>
      <c r="E352" s="2807">
        <f>+ESTOP</f>
        <v>4080</v>
      </c>
      <c r="F352" s="2807"/>
      <c r="G352" s="2807"/>
      <c r="H352" s="2807"/>
      <c r="I352" s="2807">
        <f>+E352*C352</f>
        <v>122.39999999999999</v>
      </c>
      <c r="J352" s="1260"/>
    </row>
    <row r="353" spans="1:10" s="507" customFormat="1" ht="15" customHeight="1">
      <c r="A353" s="1261" t="s">
        <v>345</v>
      </c>
      <c r="B353" s="184" t="s">
        <v>965</v>
      </c>
      <c r="C353" s="1299">
        <f t="shared" ref="C353:C354" si="8">1/(12*7)</f>
        <v>1.1904761904761904E-2</v>
      </c>
      <c r="D353" s="1229" t="s">
        <v>346</v>
      </c>
      <c r="E353" s="2807">
        <f>+OFICI</f>
        <v>80479.625344</v>
      </c>
      <c r="F353" s="2807"/>
      <c r="G353" s="2807"/>
      <c r="H353" s="2807">
        <f>+E353*C353</f>
        <v>958.09077790476181</v>
      </c>
      <c r="I353" s="2807"/>
      <c r="J353" s="1260"/>
    </row>
    <row r="354" spans="1:10" s="507" customFormat="1" ht="15" customHeight="1">
      <c r="A354" s="1261" t="s">
        <v>347</v>
      </c>
      <c r="B354" s="184" t="s">
        <v>266</v>
      </c>
      <c r="C354" s="1299">
        <f t="shared" si="8"/>
        <v>1.1904761904761904E-2</v>
      </c>
      <c r="D354" s="1229" t="s">
        <v>346</v>
      </c>
      <c r="E354" s="2807">
        <f>+AYUDA</f>
        <v>65389.695592000004</v>
      </c>
      <c r="F354" s="2807"/>
      <c r="G354" s="2807"/>
      <c r="H354" s="2807">
        <f>+E354*C354</f>
        <v>778.4487570476191</v>
      </c>
      <c r="I354" s="2807"/>
      <c r="J354" s="1260"/>
    </row>
    <row r="355" spans="1:10" s="507" customFormat="1" ht="15" customHeight="1">
      <c r="A355" s="1261" t="s">
        <v>172</v>
      </c>
      <c r="B355" s="184" t="s">
        <v>189</v>
      </c>
      <c r="C355" s="1900">
        <v>1</v>
      </c>
      <c r="D355" s="1229" t="s">
        <v>583</v>
      </c>
      <c r="E355" s="2807">
        <f>+H356*0.05</f>
        <v>86.826976747619057</v>
      </c>
      <c r="F355" s="2807"/>
      <c r="G355" s="2807"/>
      <c r="H355" s="2807"/>
      <c r="I355" s="2807">
        <f>+E355*C355</f>
        <v>86.826976747619057</v>
      </c>
      <c r="J355" s="1260"/>
    </row>
    <row r="356" spans="1:10" s="507" customFormat="1" ht="15" customHeight="1">
      <c r="A356" s="1265" t="s">
        <v>190</v>
      </c>
      <c r="B356" s="1266">
        <f>ROUND(SUM(F356:I356),0)</f>
        <v>30573</v>
      </c>
      <c r="C356" s="1264"/>
      <c r="D356" s="1229"/>
      <c r="E356" s="2807"/>
      <c r="F356" s="2807">
        <f>+SUM(F348:F355)</f>
        <v>28460.380396825392</v>
      </c>
      <c r="G356" s="2807">
        <f>+SUM(G348:G355)</f>
        <v>0</v>
      </c>
      <c r="H356" s="1255">
        <f>+SUM(H348:H355)</f>
        <v>1736.539534952381</v>
      </c>
      <c r="I356" s="1255">
        <f>+SUM(I348:I355)</f>
        <v>376.42697674761905</v>
      </c>
      <c r="J356" s="1260"/>
    </row>
    <row r="357" spans="1:10" s="507" customFormat="1" ht="15" customHeight="1">
      <c r="A357" s="1265" t="s">
        <v>191</v>
      </c>
      <c r="B357" s="1414">
        <f>+B356</f>
        <v>30573</v>
      </c>
      <c r="C357" s="1901" t="s">
        <v>94</v>
      </c>
      <c r="D357" s="873"/>
      <c r="E357" s="2102"/>
      <c r="F357" s="873"/>
      <c r="G357" s="873"/>
      <c r="H357" s="873"/>
      <c r="I357" s="873"/>
      <c r="J357" s="1260"/>
    </row>
    <row r="358" spans="1:10" s="507" customFormat="1" ht="15" customHeight="1">
      <c r="A358" s="1902"/>
      <c r="B358" s="1903"/>
      <c r="C358" s="1903"/>
      <c r="D358" s="1903"/>
      <c r="E358" s="1903"/>
      <c r="F358" s="1903"/>
      <c r="G358" s="1903"/>
      <c r="H358" s="1903"/>
      <c r="I358" s="1903"/>
      <c r="J358" s="1260"/>
    </row>
    <row r="359" spans="1:10" s="507" customFormat="1" ht="15" customHeight="1">
      <c r="A359" s="433" t="str">
        <f>+'LINEAS IMPULSIÓN-CONDUCCIÓN'!A63</f>
        <v>1.6.4</v>
      </c>
      <c r="B359" s="3647" t="str">
        <f>+'LINEAS IMPULSIÓN-CONDUCCIÓN'!B63</f>
        <v>Suministro Tubería PEAD Ø 400mm (16") PN 6 RDE 26</v>
      </c>
      <c r="C359" s="3647"/>
      <c r="D359" s="3647"/>
      <c r="E359" s="3647"/>
      <c r="F359" s="3647"/>
      <c r="G359" s="3647"/>
      <c r="H359" s="3647"/>
      <c r="I359" s="3647"/>
      <c r="J359" s="1260"/>
    </row>
    <row r="360" spans="1:10" s="507" customFormat="1" ht="15" customHeight="1">
      <c r="A360" s="1261"/>
      <c r="B360" s="184"/>
      <c r="C360" s="1264" t="s">
        <v>140</v>
      </c>
      <c r="D360" s="1229" t="s">
        <v>343</v>
      </c>
      <c r="E360" s="1229" t="s">
        <v>344</v>
      </c>
      <c r="F360" s="1229" t="s">
        <v>482</v>
      </c>
      <c r="G360" s="1229" t="s">
        <v>483</v>
      </c>
      <c r="H360" s="1229" t="s">
        <v>232</v>
      </c>
      <c r="I360" s="1229" t="s">
        <v>171</v>
      </c>
      <c r="J360" s="1260"/>
    </row>
    <row r="361" spans="1:10" s="507" customFormat="1" ht="15" customHeight="1">
      <c r="A361" s="954" t="s">
        <v>286</v>
      </c>
      <c r="B361" s="231" t="s">
        <v>8734</v>
      </c>
      <c r="C361" s="1264">
        <v>1</v>
      </c>
      <c r="D361" s="1229" t="s">
        <v>94</v>
      </c>
      <c r="E361" s="1255">
        <f>+'BASE 2'!D177</f>
        <v>224053.19999999998</v>
      </c>
      <c r="F361" s="2807"/>
      <c r="G361" s="2807">
        <f>+E361*C361</f>
        <v>224053.19999999998</v>
      </c>
      <c r="H361" s="2807"/>
      <c r="I361" s="2807"/>
      <c r="J361" s="1260"/>
    </row>
    <row r="362" spans="1:10" s="507" customFormat="1" ht="15" customHeight="1">
      <c r="A362" s="1261" t="s">
        <v>584</v>
      </c>
      <c r="B362" s="1275" t="s">
        <v>134</v>
      </c>
      <c r="C362" s="183">
        <f>1/200</f>
        <v>5.0000000000000001E-3</v>
      </c>
      <c r="D362" s="401" t="s">
        <v>476</v>
      </c>
      <c r="E362" s="1276">
        <f>+VIAJE</f>
        <v>1200000</v>
      </c>
      <c r="F362" s="2807"/>
      <c r="G362" s="2807"/>
      <c r="H362" s="2807"/>
      <c r="I362" s="2807">
        <f>+E362*C362</f>
        <v>6000</v>
      </c>
      <c r="J362" s="1260"/>
    </row>
    <row r="363" spans="1:10" s="507" customFormat="1" ht="15" customHeight="1">
      <c r="A363" s="1265" t="s">
        <v>190</v>
      </c>
      <c r="B363" s="1266">
        <f>ROUND(SUM(F363:I363),0)</f>
        <v>230053</v>
      </c>
      <c r="C363" s="1264"/>
      <c r="D363" s="1229"/>
      <c r="E363" s="2807"/>
      <c r="F363" s="2807">
        <f>+SUM(F361:F362)</f>
        <v>0</v>
      </c>
      <c r="G363" s="2807">
        <f>+SUM(G361:G362)</f>
        <v>224053.19999999998</v>
      </c>
      <c r="H363" s="2807">
        <f>+SUM(H361:H362)</f>
        <v>0</v>
      </c>
      <c r="I363" s="2807">
        <f>+SUM(I361:I362)</f>
        <v>6000</v>
      </c>
      <c r="J363" s="1260"/>
    </row>
    <row r="364" spans="1:10" s="507" customFormat="1" ht="15" customHeight="1">
      <c r="A364" s="1265" t="s">
        <v>191</v>
      </c>
      <c r="B364" s="1414">
        <f>+B363</f>
        <v>230053</v>
      </c>
      <c r="C364" s="1901" t="s">
        <v>94</v>
      </c>
      <c r="D364" s="873"/>
      <c r="E364" s="873"/>
      <c r="F364" s="873"/>
      <c r="G364" s="873"/>
      <c r="H364" s="873"/>
      <c r="I364" s="873"/>
      <c r="J364" s="1260"/>
    </row>
    <row r="365" spans="1:10" s="507" customFormat="1" ht="15" customHeight="1">
      <c r="A365" s="1270"/>
      <c r="B365" s="861"/>
      <c r="C365" s="2810"/>
      <c r="D365" s="504"/>
      <c r="E365" s="504"/>
      <c r="F365" s="504"/>
      <c r="G365" s="504"/>
      <c r="H365" s="504"/>
      <c r="I365" s="504"/>
      <c r="J365" s="1260"/>
    </row>
    <row r="366" spans="1:10" s="507" customFormat="1" ht="15" customHeight="1">
      <c r="A366" s="1270"/>
      <c r="B366" s="861"/>
      <c r="C366" s="2810"/>
      <c r="D366" s="504"/>
      <c r="E366" s="504"/>
      <c r="F366" s="504"/>
      <c r="G366" s="504"/>
      <c r="H366" s="504"/>
      <c r="I366" s="504"/>
      <c r="J366" s="1260"/>
    </row>
    <row r="367" spans="1:10" s="507" customFormat="1" ht="15" customHeight="1">
      <c r="A367" s="2843" t="str">
        <f>+'LINEAS IMPULSIÓN-CONDUCCIÓN'!A47</f>
        <v>1.5.5</v>
      </c>
      <c r="B367" s="3644" t="str">
        <f>+'LINEAS IMPULSIÓN-CONDUCCIÓN'!B47</f>
        <v>Instalación Tubería PEAD Ø 400mm (16") PN 16 RDE 11</v>
      </c>
      <c r="C367" s="3645"/>
      <c r="D367" s="3645"/>
      <c r="E367" s="3645"/>
      <c r="F367" s="3645"/>
      <c r="G367" s="3645"/>
      <c r="H367" s="3645"/>
      <c r="I367" s="3646"/>
      <c r="J367" s="1260"/>
    </row>
    <row r="368" spans="1:10" s="507" customFormat="1" ht="15" customHeight="1">
      <c r="A368" s="2844"/>
      <c r="B368" s="2845"/>
      <c r="C368" s="2846" t="s">
        <v>140</v>
      </c>
      <c r="D368" s="2847" t="s">
        <v>343</v>
      </c>
      <c r="E368" s="2847" t="s">
        <v>344</v>
      </c>
      <c r="F368" s="2847" t="s">
        <v>482</v>
      </c>
      <c r="G368" s="2847" t="s">
        <v>483</v>
      </c>
      <c r="H368" s="2847" t="s">
        <v>232</v>
      </c>
      <c r="I368" s="2847" t="s">
        <v>171</v>
      </c>
      <c r="J368" s="1260"/>
    </row>
    <row r="369" spans="1:10" s="507" customFormat="1" ht="15" customHeight="1">
      <c r="A369" s="2848" t="s">
        <v>53</v>
      </c>
      <c r="B369" s="2849" t="s">
        <v>6500</v>
      </c>
      <c r="C369" s="2850">
        <f>1/(12*7)</f>
        <v>1.1904761904761904E-2</v>
      </c>
      <c r="D369" s="2851" t="s">
        <v>346</v>
      </c>
      <c r="E369" s="2852">
        <f>+PLAELE</f>
        <v>204223.83333333331</v>
      </c>
      <c r="F369" s="2853">
        <f>+E369*C369</f>
        <v>2431.2361111111109</v>
      </c>
      <c r="G369" s="2853"/>
      <c r="H369" s="2853"/>
      <c r="I369" s="2853"/>
      <c r="J369" s="1260"/>
    </row>
    <row r="370" spans="1:10" s="507" customFormat="1" ht="15" customHeight="1">
      <c r="A370" s="2848" t="s">
        <v>47</v>
      </c>
      <c r="B370" s="2849" t="s">
        <v>6422</v>
      </c>
      <c r="C370" s="2850">
        <f>1/(12*7)</f>
        <v>1.1904761904761904E-2</v>
      </c>
      <c r="D370" s="2851" t="s">
        <v>346</v>
      </c>
      <c r="E370" s="2852">
        <f>+ETF315_</f>
        <v>986448.12</v>
      </c>
      <c r="F370" s="2853">
        <f>+E370*C370</f>
        <v>11743.429999999998</v>
      </c>
      <c r="G370" s="2853"/>
      <c r="H370" s="2853"/>
      <c r="I370" s="2853"/>
      <c r="J370" s="1260"/>
    </row>
    <row r="371" spans="1:10" s="507" customFormat="1" ht="15" customHeight="1">
      <c r="A371" s="2854" t="s">
        <v>736</v>
      </c>
      <c r="B371" s="2849" t="s">
        <v>6410</v>
      </c>
      <c r="C371" s="2855">
        <f>+C369*8</f>
        <v>9.5238095238095233E-2</v>
      </c>
      <c r="D371" s="2856" t="s">
        <v>735</v>
      </c>
      <c r="E371" s="2857">
        <f>+RETRO</f>
        <v>150000</v>
      </c>
      <c r="F371" s="2858">
        <f>+E371*C371</f>
        <v>14285.714285714284</v>
      </c>
      <c r="G371" s="2858"/>
      <c r="H371" s="2858"/>
      <c r="I371" s="2845"/>
      <c r="J371" s="1260"/>
    </row>
    <row r="372" spans="1:10" s="507" customFormat="1" ht="15" customHeight="1">
      <c r="A372" s="2848" t="s">
        <v>380</v>
      </c>
      <c r="B372" s="2845" t="s">
        <v>378</v>
      </c>
      <c r="C372" s="2846">
        <v>1.9E-2</v>
      </c>
      <c r="D372" s="2851" t="s">
        <v>238</v>
      </c>
      <c r="E372" s="2853">
        <f>+GASO</f>
        <v>8800</v>
      </c>
      <c r="F372" s="2853"/>
      <c r="G372" s="2853"/>
      <c r="H372" s="2853"/>
      <c r="I372" s="2853">
        <f>+E372*C372</f>
        <v>167.2</v>
      </c>
      <c r="J372" s="1260"/>
    </row>
    <row r="373" spans="1:10" s="507" customFormat="1" ht="15" customHeight="1">
      <c r="A373" s="2848" t="s">
        <v>382</v>
      </c>
      <c r="B373" s="2845" t="s">
        <v>381</v>
      </c>
      <c r="C373" s="2846">
        <v>0.03</v>
      </c>
      <c r="D373" s="2851" t="s">
        <v>426</v>
      </c>
      <c r="E373" s="2853">
        <f>+ESTOP</f>
        <v>4080</v>
      </c>
      <c r="F373" s="2853"/>
      <c r="G373" s="2853"/>
      <c r="H373" s="2853"/>
      <c r="I373" s="2853">
        <f>+E373*C373</f>
        <v>122.39999999999999</v>
      </c>
      <c r="J373" s="1260"/>
    </row>
    <row r="374" spans="1:10" s="507" customFormat="1" ht="15" customHeight="1">
      <c r="A374" s="2844" t="s">
        <v>345</v>
      </c>
      <c r="B374" s="2845" t="s">
        <v>965</v>
      </c>
      <c r="C374" s="2850">
        <f t="shared" ref="C374:C375" si="9">1/(12*7)</f>
        <v>1.1904761904761904E-2</v>
      </c>
      <c r="D374" s="2847" t="s">
        <v>346</v>
      </c>
      <c r="E374" s="2853">
        <f>+OFICI</f>
        <v>80479.625344</v>
      </c>
      <c r="F374" s="2853"/>
      <c r="G374" s="2853"/>
      <c r="H374" s="2853">
        <f>+E374*C374</f>
        <v>958.09077790476181</v>
      </c>
      <c r="I374" s="2853"/>
      <c r="J374" s="1260"/>
    </row>
    <row r="375" spans="1:10" s="507" customFormat="1" ht="15" customHeight="1">
      <c r="A375" s="2844" t="s">
        <v>347</v>
      </c>
      <c r="B375" s="2845" t="s">
        <v>266</v>
      </c>
      <c r="C375" s="2850">
        <f t="shared" si="9"/>
        <v>1.1904761904761904E-2</v>
      </c>
      <c r="D375" s="2847" t="s">
        <v>346</v>
      </c>
      <c r="E375" s="2853">
        <f>+AYUDA</f>
        <v>65389.695592000004</v>
      </c>
      <c r="F375" s="2853"/>
      <c r="G375" s="2853"/>
      <c r="H375" s="2853">
        <f>+E375*C375</f>
        <v>778.4487570476191</v>
      </c>
      <c r="I375" s="2853"/>
      <c r="J375" s="1260"/>
    </row>
    <row r="376" spans="1:10" s="507" customFormat="1" ht="15" customHeight="1">
      <c r="A376" s="2844" t="s">
        <v>172</v>
      </c>
      <c r="B376" s="2845" t="s">
        <v>189</v>
      </c>
      <c r="C376" s="2846">
        <v>1</v>
      </c>
      <c r="D376" s="2847" t="s">
        <v>583</v>
      </c>
      <c r="E376" s="2853">
        <f>+H377*0.05</f>
        <v>86.826976747619057</v>
      </c>
      <c r="F376" s="2853"/>
      <c r="G376" s="2853"/>
      <c r="H376" s="2853"/>
      <c r="I376" s="2853">
        <f>+E376*C376</f>
        <v>86.826976747619057</v>
      </c>
      <c r="J376" s="1260"/>
    </row>
    <row r="377" spans="1:10" s="507" customFormat="1" ht="15" customHeight="1">
      <c r="A377" s="2859" t="s">
        <v>190</v>
      </c>
      <c r="B377" s="2860">
        <f>ROUND(SUM(F377:I377),0)</f>
        <v>30573</v>
      </c>
      <c r="C377" s="2861"/>
      <c r="D377" s="2847"/>
      <c r="E377" s="2853"/>
      <c r="F377" s="2853">
        <f>+SUM(F369:F376)</f>
        <v>28460.380396825392</v>
      </c>
      <c r="G377" s="2853">
        <f>+SUM(G369:G376)</f>
        <v>0</v>
      </c>
      <c r="H377" s="2852">
        <f>+SUM(H369:H376)</f>
        <v>1736.539534952381</v>
      </c>
      <c r="I377" s="2852">
        <f>+SUM(I369:I376)</f>
        <v>376.42697674761905</v>
      </c>
      <c r="J377" s="1260"/>
    </row>
    <row r="378" spans="1:10" s="507" customFormat="1" ht="15" customHeight="1">
      <c r="A378" s="2859" t="s">
        <v>191</v>
      </c>
      <c r="B378" s="2862">
        <f>+B377</f>
        <v>30573</v>
      </c>
      <c r="C378" s="2863" t="s">
        <v>94</v>
      </c>
      <c r="D378" s="2864"/>
      <c r="E378" s="2865"/>
      <c r="F378" s="2864"/>
      <c r="G378" s="2864"/>
      <c r="H378" s="2864"/>
      <c r="I378" s="2864"/>
      <c r="J378" s="1260"/>
    </row>
    <row r="379" spans="1:10" s="507" customFormat="1" ht="15" customHeight="1">
      <c r="A379" s="2866"/>
      <c r="B379" s="2867"/>
      <c r="C379" s="2867"/>
      <c r="D379" s="2867"/>
      <c r="E379" s="2867"/>
      <c r="F379" s="2867"/>
      <c r="G379" s="2867"/>
      <c r="H379" s="2867"/>
      <c r="I379" s="2867"/>
      <c r="J379" s="1260"/>
    </row>
    <row r="380" spans="1:10" s="507" customFormat="1" ht="15" customHeight="1">
      <c r="A380" s="2843" t="str">
        <f>+'LINEAS IMPULSIÓN-CONDUCCIÓN'!A64</f>
        <v>1.6.5</v>
      </c>
      <c r="B380" s="3647" t="str">
        <f>+'LINEAS IMPULSIÓN-CONDUCCIÓN'!B64</f>
        <v>Suministro Tubería PEAD Ø 400mm (16") PN 16 RDE 11</v>
      </c>
      <c r="C380" s="3647"/>
      <c r="D380" s="3647"/>
      <c r="E380" s="3647"/>
      <c r="F380" s="3647"/>
      <c r="G380" s="3647"/>
      <c r="H380" s="3647"/>
      <c r="I380" s="3647"/>
      <c r="J380" s="1260"/>
    </row>
    <row r="381" spans="1:10" s="507" customFormat="1" ht="15" customHeight="1">
      <c r="A381" s="2844"/>
      <c r="B381" s="2845"/>
      <c r="C381" s="2861" t="s">
        <v>140</v>
      </c>
      <c r="D381" s="2847" t="s">
        <v>343</v>
      </c>
      <c r="E381" s="2847" t="s">
        <v>344</v>
      </c>
      <c r="F381" s="2847" t="s">
        <v>482</v>
      </c>
      <c r="G381" s="2847" t="s">
        <v>483</v>
      </c>
      <c r="H381" s="2847" t="s">
        <v>232</v>
      </c>
      <c r="I381" s="2847" t="s">
        <v>171</v>
      </c>
      <c r="J381" s="1260"/>
    </row>
    <row r="382" spans="1:10" s="507" customFormat="1" ht="15" customHeight="1">
      <c r="A382" s="2848" t="s">
        <v>286</v>
      </c>
      <c r="B382" s="2849" t="s">
        <v>8770</v>
      </c>
      <c r="C382" s="2861">
        <v>1</v>
      </c>
      <c r="D382" s="2847" t="s">
        <v>94</v>
      </c>
      <c r="E382" s="2852">
        <f>+'BASE 2'!D173</f>
        <v>486025.75</v>
      </c>
      <c r="F382" s="2853"/>
      <c r="G382" s="2853">
        <f>+E382*C382</f>
        <v>486025.75</v>
      </c>
      <c r="H382" s="2853"/>
      <c r="I382" s="2853"/>
      <c r="J382" s="1260"/>
    </row>
    <row r="383" spans="1:10" s="507" customFormat="1" ht="15" customHeight="1">
      <c r="A383" s="2844" t="s">
        <v>584</v>
      </c>
      <c r="B383" s="2868" t="s">
        <v>134</v>
      </c>
      <c r="C383" s="2869">
        <f>1/200</f>
        <v>5.0000000000000001E-3</v>
      </c>
      <c r="D383" s="2851" t="s">
        <v>476</v>
      </c>
      <c r="E383" s="2870">
        <f>+VIAJE</f>
        <v>1200000</v>
      </c>
      <c r="F383" s="2853"/>
      <c r="G383" s="2853"/>
      <c r="H383" s="2853"/>
      <c r="I383" s="2853">
        <f>+E383*C383</f>
        <v>6000</v>
      </c>
      <c r="J383" s="1260"/>
    </row>
    <row r="384" spans="1:10" s="507" customFormat="1" ht="15" customHeight="1">
      <c r="A384" s="2859" t="s">
        <v>190</v>
      </c>
      <c r="B384" s="2860">
        <f>ROUND(SUM(F384:I384),0)</f>
        <v>492026</v>
      </c>
      <c r="C384" s="2861"/>
      <c r="D384" s="2847"/>
      <c r="E384" s="2853"/>
      <c r="F384" s="2853">
        <f>+SUM(F382:F383)</f>
        <v>0</v>
      </c>
      <c r="G384" s="2853">
        <f>+SUM(G382:G383)</f>
        <v>486025.75</v>
      </c>
      <c r="H384" s="2853">
        <f>+SUM(H382:H383)</f>
        <v>0</v>
      </c>
      <c r="I384" s="2853">
        <f>+SUM(I382:I383)</f>
        <v>6000</v>
      </c>
      <c r="J384" s="1260"/>
    </row>
    <row r="385" spans="1:256" s="507" customFormat="1" ht="15" customHeight="1">
      <c r="A385" s="2859" t="s">
        <v>191</v>
      </c>
      <c r="B385" s="2862">
        <f>+B384</f>
        <v>492026</v>
      </c>
      <c r="C385" s="2863" t="s">
        <v>94</v>
      </c>
      <c r="D385" s="2864"/>
      <c r="E385" s="2864"/>
      <c r="F385" s="2864"/>
      <c r="G385" s="2864"/>
      <c r="H385" s="2864"/>
      <c r="I385" s="2864"/>
      <c r="J385" s="1260"/>
    </row>
    <row r="386" spans="1:256" s="507" customFormat="1" ht="15" customHeight="1">
      <c r="A386" s="1270"/>
      <c r="B386" s="861"/>
      <c r="C386" s="2810"/>
      <c r="D386" s="504"/>
      <c r="E386" s="504"/>
      <c r="F386" s="504"/>
      <c r="G386" s="504"/>
      <c r="H386" s="504"/>
      <c r="I386" s="504"/>
      <c r="J386" s="1260"/>
    </row>
    <row r="387" spans="1:256" ht="15" customHeight="1">
      <c r="A387" s="433"/>
      <c r="B387" s="3563" t="s">
        <v>8548</v>
      </c>
      <c r="C387" s="3564"/>
      <c r="D387" s="3564"/>
      <c r="E387" s="3564"/>
      <c r="F387" s="3564"/>
      <c r="G387" s="3564"/>
      <c r="H387" s="3564"/>
      <c r="I387" s="3565"/>
      <c r="J387" s="1260"/>
      <c r="K387" s="507"/>
      <c r="L387" s="507"/>
    </row>
    <row r="388" spans="1:256" ht="15" customHeight="1">
      <c r="A388" s="1261"/>
      <c r="B388" s="184"/>
      <c r="C388" s="1900" t="s">
        <v>140</v>
      </c>
      <c r="D388" s="1229" t="s">
        <v>343</v>
      </c>
      <c r="E388" s="1229" t="s">
        <v>344</v>
      </c>
      <c r="F388" s="1229" t="s">
        <v>482</v>
      </c>
      <c r="G388" s="1229" t="s">
        <v>483</v>
      </c>
      <c r="H388" s="1229" t="s">
        <v>232</v>
      </c>
      <c r="I388" s="1229" t="s">
        <v>171</v>
      </c>
      <c r="J388" s="1260"/>
      <c r="K388" s="507"/>
      <c r="L388" s="507"/>
    </row>
    <row r="389" spans="1:256" ht="15" customHeight="1">
      <c r="A389" s="954" t="s">
        <v>53</v>
      </c>
      <c r="B389" s="231" t="s">
        <v>6501</v>
      </c>
      <c r="C389" s="1299">
        <f>1/(12*8)</f>
        <v>1.0416666666666666E-2</v>
      </c>
      <c r="D389" s="401" t="s">
        <v>346</v>
      </c>
      <c r="E389" s="1255">
        <f>+'BASE 2'!D738</f>
        <v>200979.89333333331</v>
      </c>
      <c r="F389" s="2683">
        <f>+E389*C389</f>
        <v>2093.5405555555553</v>
      </c>
      <c r="G389" s="2683"/>
      <c r="H389" s="2683"/>
      <c r="I389" s="2683"/>
      <c r="J389" s="507"/>
      <c r="K389" s="2034"/>
      <c r="L389" s="507"/>
    </row>
    <row r="390" spans="1:256" ht="15" customHeight="1">
      <c r="A390" s="954" t="s">
        <v>47</v>
      </c>
      <c r="B390" s="231" t="s">
        <v>8552</v>
      </c>
      <c r="C390" s="1299">
        <f>1/(12*8)</f>
        <v>1.0416666666666666E-2</v>
      </c>
      <c r="D390" s="401" t="s">
        <v>346</v>
      </c>
      <c r="E390" s="1255">
        <f>+'BASE 2'!D734</f>
        <v>433283.76</v>
      </c>
      <c r="F390" s="2683">
        <f>+E390*C390</f>
        <v>4513.3724999999995</v>
      </c>
      <c r="G390" s="2683"/>
      <c r="H390" s="2683"/>
      <c r="I390" s="2683"/>
      <c r="J390" s="507"/>
      <c r="K390" s="507"/>
      <c r="L390" s="1917"/>
    </row>
    <row r="391" spans="1:256" ht="15" customHeight="1">
      <c r="A391" s="435" t="s">
        <v>736</v>
      </c>
      <c r="B391" s="231" t="s">
        <v>6410</v>
      </c>
      <c r="C391" s="182">
        <f>+C389*8</f>
        <v>8.3333333333333329E-2</v>
      </c>
      <c r="D391" s="2688" t="s">
        <v>735</v>
      </c>
      <c r="E391" s="497">
        <f>+RETRO</f>
        <v>150000</v>
      </c>
      <c r="F391" s="1585">
        <f>+E391*C391</f>
        <v>12500</v>
      </c>
      <c r="G391" s="1585"/>
      <c r="H391" s="1585"/>
      <c r="I391" s="184"/>
      <c r="K391" s="507"/>
      <c r="L391" s="507"/>
    </row>
    <row r="392" spans="1:256" ht="15" customHeight="1">
      <c r="A392" s="954" t="s">
        <v>380</v>
      </c>
      <c r="B392" s="184" t="s">
        <v>378</v>
      </c>
      <c r="C392" s="1900">
        <v>1.9E-2</v>
      </c>
      <c r="D392" s="401" t="s">
        <v>238</v>
      </c>
      <c r="E392" s="2683">
        <f>+GASO</f>
        <v>8800</v>
      </c>
      <c r="F392" s="2683"/>
      <c r="G392" s="2683"/>
      <c r="H392" s="2683"/>
      <c r="I392" s="2683">
        <f>+E392*C392</f>
        <v>167.2</v>
      </c>
      <c r="J392" s="507"/>
      <c r="K392" s="507"/>
      <c r="L392" s="507"/>
    </row>
    <row r="393" spans="1:256" ht="15" customHeight="1">
      <c r="A393" s="954" t="s">
        <v>382</v>
      </c>
      <c r="B393" s="184" t="s">
        <v>381</v>
      </c>
      <c r="C393" s="1900">
        <v>0.03</v>
      </c>
      <c r="D393" s="401" t="s">
        <v>426</v>
      </c>
      <c r="E393" s="2683">
        <f>+ESTOP</f>
        <v>4080</v>
      </c>
      <c r="F393" s="2683"/>
      <c r="G393" s="2683"/>
      <c r="H393" s="2683"/>
      <c r="I393" s="2683">
        <f>+E393*C393</f>
        <v>122.39999999999999</v>
      </c>
      <c r="J393" s="507"/>
      <c r="K393" s="507"/>
      <c r="L393" s="507"/>
    </row>
    <row r="394" spans="1:256" ht="15" customHeight="1">
      <c r="A394" s="1261" t="s">
        <v>345</v>
      </c>
      <c r="B394" s="184" t="s">
        <v>965</v>
      </c>
      <c r="C394" s="1299">
        <f t="shared" ref="C394:C395" si="10">1/(12*8)</f>
        <v>1.0416666666666666E-2</v>
      </c>
      <c r="D394" s="1229" t="s">
        <v>346</v>
      </c>
      <c r="E394" s="2683">
        <f>+OFICI</f>
        <v>80479.625344</v>
      </c>
      <c r="F394" s="2683"/>
      <c r="G394" s="2683"/>
      <c r="H394" s="2683">
        <f>+E394*C394</f>
        <v>838.32943066666667</v>
      </c>
      <c r="I394" s="2683"/>
      <c r="J394" s="159"/>
    </row>
    <row r="395" spans="1:256" ht="15" customHeight="1">
      <c r="A395" s="1261" t="s">
        <v>347</v>
      </c>
      <c r="B395" s="184" t="s">
        <v>266</v>
      </c>
      <c r="C395" s="1299">
        <f t="shared" si="10"/>
        <v>1.0416666666666666E-2</v>
      </c>
      <c r="D395" s="1229" t="s">
        <v>346</v>
      </c>
      <c r="E395" s="2683">
        <f>+AYUDA</f>
        <v>65389.695592000004</v>
      </c>
      <c r="F395" s="2683"/>
      <c r="G395" s="2683"/>
      <c r="H395" s="2683">
        <f>+E395*C395</f>
        <v>681.14266241666667</v>
      </c>
      <c r="I395" s="2683"/>
      <c r="J395" s="1260"/>
    </row>
    <row r="396" spans="1:256" ht="15" customHeight="1">
      <c r="A396" s="1261" t="s">
        <v>172</v>
      </c>
      <c r="B396" s="184" t="s">
        <v>189</v>
      </c>
      <c r="C396" s="1900">
        <v>1</v>
      </c>
      <c r="D396" s="1229" t="s">
        <v>583</v>
      </c>
      <c r="E396" s="2683">
        <f>+H397*0.05</f>
        <v>75.973604654166664</v>
      </c>
      <c r="F396" s="2683"/>
      <c r="G396" s="2683"/>
      <c r="H396" s="2683"/>
      <c r="I396" s="2683">
        <f>+E396*C396</f>
        <v>75.973604654166664</v>
      </c>
      <c r="J396" s="1260"/>
    </row>
    <row r="397" spans="1:256" ht="15" customHeight="1">
      <c r="A397" s="1265" t="s">
        <v>190</v>
      </c>
      <c r="B397" s="1266">
        <f>ROUND(SUM(F397:I397),0)</f>
        <v>20992</v>
      </c>
      <c r="C397" s="1264"/>
      <c r="D397" s="1229"/>
      <c r="E397" s="2683"/>
      <c r="F397" s="2683">
        <f>+SUM(F389:F396)</f>
        <v>19106.913055555553</v>
      </c>
      <c r="G397" s="2683">
        <f>+SUM(G389:G396)</f>
        <v>0</v>
      </c>
      <c r="H397" s="1255">
        <f>+SUM(H389:H396)</f>
        <v>1519.4720930833332</v>
      </c>
      <c r="I397" s="1255">
        <f>+SUM(I389:I396)</f>
        <v>365.57360465416662</v>
      </c>
      <c r="J397" s="1260"/>
    </row>
    <row r="398" spans="1:256" ht="15" customHeight="1">
      <c r="A398" s="1265" t="s">
        <v>191</v>
      </c>
      <c r="B398" s="1414">
        <f>+B397</f>
        <v>20992</v>
      </c>
      <c r="C398" s="1901" t="s">
        <v>94</v>
      </c>
      <c r="D398" s="873"/>
      <c r="E398" s="2102"/>
      <c r="F398" s="873"/>
      <c r="G398" s="873"/>
      <c r="H398" s="873"/>
      <c r="I398" s="873"/>
      <c r="J398" s="1260"/>
    </row>
    <row r="399" spans="1:256" s="2659" customFormat="1" ht="15" customHeight="1">
      <c r="A399" s="1902"/>
      <c r="B399" s="1903"/>
      <c r="C399" s="1903"/>
      <c r="D399" s="1903"/>
      <c r="E399" s="1903"/>
      <c r="F399" s="1903"/>
      <c r="G399" s="1903"/>
      <c r="H399" s="1903"/>
      <c r="I399" s="1903"/>
      <c r="J399" s="1903"/>
      <c r="K399" s="1903"/>
      <c r="L399" s="1903"/>
      <c r="M399" s="1903"/>
      <c r="N399" s="1903"/>
      <c r="O399" s="1903"/>
      <c r="P399" s="1903"/>
      <c r="Q399" s="1903"/>
      <c r="R399" s="1903"/>
      <c r="S399" s="1903"/>
      <c r="T399" s="1903"/>
      <c r="U399" s="1903"/>
      <c r="V399" s="1903"/>
      <c r="W399" s="1903"/>
      <c r="X399" s="1903"/>
      <c r="Y399" s="1903"/>
      <c r="Z399" s="1903"/>
      <c r="AA399" s="1903"/>
      <c r="AB399" s="1903"/>
      <c r="AC399" s="1903"/>
      <c r="AD399" s="1903"/>
      <c r="AE399" s="1903"/>
      <c r="AF399" s="1903"/>
      <c r="AG399" s="1903"/>
      <c r="AH399" s="1903"/>
      <c r="AI399" s="1903"/>
      <c r="AJ399" s="1903"/>
      <c r="AK399" s="1903"/>
      <c r="AL399" s="1903"/>
      <c r="AM399" s="1903"/>
      <c r="AN399" s="1903"/>
      <c r="AO399" s="1903"/>
      <c r="AP399" s="1903"/>
      <c r="AQ399" s="1903"/>
      <c r="AR399" s="1903"/>
      <c r="AS399" s="1903"/>
      <c r="AT399" s="1903"/>
      <c r="AU399" s="1903"/>
      <c r="AV399" s="1903"/>
      <c r="AW399" s="1903"/>
      <c r="AX399" s="1903"/>
      <c r="AY399" s="1903"/>
      <c r="AZ399" s="1903"/>
      <c r="BA399" s="1903"/>
      <c r="BB399" s="1903"/>
      <c r="BC399" s="1903"/>
      <c r="BD399" s="1903"/>
      <c r="BE399" s="1903"/>
      <c r="BF399" s="1903"/>
      <c r="BG399" s="1903"/>
      <c r="BH399" s="1903"/>
      <c r="BI399" s="1903"/>
      <c r="BJ399" s="1903"/>
      <c r="BK399" s="1903"/>
      <c r="BL399" s="1903"/>
      <c r="BM399" s="1903"/>
      <c r="BN399" s="1903"/>
      <c r="BO399" s="1903"/>
      <c r="BP399" s="1903"/>
      <c r="BQ399" s="1903"/>
      <c r="BR399" s="1903"/>
      <c r="BS399" s="1903"/>
      <c r="BT399" s="1903"/>
      <c r="BU399" s="1903"/>
      <c r="BV399" s="1903"/>
      <c r="BW399" s="1903"/>
      <c r="BX399" s="1903"/>
      <c r="BY399" s="1903"/>
      <c r="BZ399" s="1903"/>
      <c r="CA399" s="1903"/>
      <c r="CB399" s="1903"/>
      <c r="CC399" s="1903"/>
      <c r="CD399" s="1903"/>
      <c r="CE399" s="1903"/>
      <c r="CF399" s="1903"/>
      <c r="CG399" s="1903"/>
      <c r="CH399" s="1903"/>
      <c r="CI399" s="1903"/>
      <c r="CJ399" s="1903"/>
      <c r="CK399" s="1903"/>
      <c r="CL399" s="1903"/>
      <c r="CM399" s="1903"/>
      <c r="CN399" s="1903"/>
      <c r="CO399" s="1903"/>
      <c r="CP399" s="1903"/>
      <c r="CQ399" s="1903"/>
      <c r="CR399" s="1903"/>
      <c r="CS399" s="1903"/>
      <c r="CT399" s="1903"/>
      <c r="CU399" s="1903"/>
      <c r="CV399" s="1903"/>
      <c r="CW399" s="1903"/>
      <c r="CX399" s="1903"/>
      <c r="CY399" s="1903"/>
      <c r="CZ399" s="1903"/>
      <c r="DA399" s="1903"/>
      <c r="DB399" s="1903"/>
      <c r="DC399" s="1903"/>
      <c r="DD399" s="1903"/>
      <c r="DE399" s="1903"/>
      <c r="DF399" s="1903"/>
      <c r="DG399" s="1903"/>
      <c r="DH399" s="1903"/>
      <c r="DI399" s="1903"/>
      <c r="DJ399" s="1903"/>
      <c r="DK399" s="1903"/>
      <c r="DL399" s="1903"/>
      <c r="DM399" s="1903"/>
      <c r="DN399" s="1903"/>
      <c r="DO399" s="1903"/>
      <c r="DP399" s="1903"/>
      <c r="DQ399" s="1903"/>
      <c r="DR399" s="1903"/>
      <c r="DS399" s="1903"/>
      <c r="DT399" s="1903"/>
      <c r="DU399" s="1903"/>
      <c r="DV399" s="1903"/>
      <c r="DW399" s="1903"/>
      <c r="DX399" s="1903"/>
      <c r="DY399" s="1903"/>
      <c r="DZ399" s="1903"/>
      <c r="EA399" s="1903"/>
      <c r="EB399" s="1903"/>
      <c r="EC399" s="1903"/>
      <c r="ED399" s="1903"/>
      <c r="EE399" s="1903"/>
      <c r="EF399" s="1903"/>
      <c r="EG399" s="1903"/>
      <c r="EH399" s="1903"/>
      <c r="EI399" s="1903"/>
      <c r="EJ399" s="1903"/>
      <c r="EK399" s="1903"/>
      <c r="EL399" s="1903"/>
      <c r="EM399" s="1903"/>
      <c r="EN399" s="1903"/>
      <c r="EO399" s="1903"/>
      <c r="EP399" s="1903"/>
      <c r="EQ399" s="1903"/>
      <c r="ER399" s="1903"/>
      <c r="ES399" s="1903"/>
      <c r="ET399" s="1903"/>
      <c r="EU399" s="1903"/>
      <c r="EV399" s="1903"/>
      <c r="EW399" s="1903"/>
      <c r="EX399" s="1903"/>
      <c r="EY399" s="1903"/>
      <c r="EZ399" s="1903"/>
      <c r="FA399" s="1903"/>
      <c r="FB399" s="1903"/>
      <c r="FC399" s="1903"/>
      <c r="FD399" s="1903"/>
      <c r="FE399" s="1903"/>
      <c r="FF399" s="1903"/>
      <c r="FG399" s="1903"/>
      <c r="FH399" s="1903"/>
      <c r="FI399" s="1903"/>
      <c r="FJ399" s="1903"/>
      <c r="FK399" s="1903"/>
      <c r="FL399" s="1903"/>
      <c r="FM399" s="1903"/>
      <c r="FN399" s="1903"/>
      <c r="FO399" s="1903"/>
      <c r="FP399" s="1903"/>
      <c r="FQ399" s="1903"/>
      <c r="FR399" s="1903"/>
      <c r="FS399" s="1903"/>
      <c r="FT399" s="1903"/>
      <c r="FU399" s="1903"/>
      <c r="FV399" s="1903"/>
      <c r="FW399" s="1903"/>
      <c r="FX399" s="1903"/>
      <c r="FY399" s="1903"/>
      <c r="FZ399" s="1903"/>
      <c r="GA399" s="1903"/>
      <c r="GB399" s="1903"/>
      <c r="GC399" s="1903"/>
      <c r="GD399" s="1903"/>
      <c r="GE399" s="1903"/>
      <c r="GF399" s="1903"/>
      <c r="GG399" s="1903"/>
      <c r="GH399" s="1903"/>
      <c r="GI399" s="1903"/>
      <c r="GJ399" s="1903"/>
      <c r="GK399" s="1903"/>
      <c r="GL399" s="1903"/>
      <c r="GM399" s="1903"/>
      <c r="GN399" s="1903"/>
      <c r="GO399" s="1903"/>
      <c r="GP399" s="1903"/>
      <c r="GQ399" s="1903"/>
      <c r="GR399" s="1903"/>
      <c r="GS399" s="1903"/>
      <c r="GT399" s="1903"/>
      <c r="GU399" s="1903"/>
      <c r="GV399" s="1903"/>
      <c r="GW399" s="1903"/>
      <c r="GX399" s="1903"/>
      <c r="GY399" s="1903"/>
      <c r="GZ399" s="1903"/>
      <c r="HA399" s="1903"/>
      <c r="HB399" s="1903"/>
      <c r="HC399" s="1903"/>
      <c r="HD399" s="1903"/>
      <c r="HE399" s="1903"/>
      <c r="HF399" s="1903"/>
      <c r="HG399" s="1903"/>
      <c r="HH399" s="1903"/>
      <c r="HI399" s="1903"/>
      <c r="HJ399" s="1903"/>
      <c r="HK399" s="1903"/>
      <c r="HL399" s="1903"/>
      <c r="HM399" s="1903"/>
      <c r="HN399" s="1903"/>
      <c r="HO399" s="1903"/>
      <c r="HP399" s="1903"/>
      <c r="HQ399" s="1903"/>
      <c r="HR399" s="1903"/>
      <c r="HS399" s="1903"/>
      <c r="HT399" s="1903"/>
      <c r="HU399" s="1903"/>
      <c r="HV399" s="1903"/>
      <c r="HW399" s="1903"/>
      <c r="HX399" s="1903"/>
      <c r="HY399" s="1903"/>
      <c r="HZ399" s="1903"/>
      <c r="IA399" s="1903"/>
      <c r="IB399" s="1903"/>
      <c r="IC399" s="1903"/>
      <c r="ID399" s="1903"/>
      <c r="IE399" s="1903"/>
      <c r="IF399" s="1903"/>
      <c r="IG399" s="1903"/>
      <c r="IH399" s="1903"/>
      <c r="II399" s="1903"/>
      <c r="IJ399" s="1903"/>
      <c r="IK399" s="1903"/>
      <c r="IL399" s="1903"/>
      <c r="IM399" s="1903"/>
      <c r="IN399" s="1903"/>
      <c r="IO399" s="1903"/>
      <c r="IP399" s="1903"/>
      <c r="IQ399" s="1903"/>
      <c r="IR399" s="1903"/>
      <c r="IS399" s="1903"/>
      <c r="IT399" s="1903"/>
      <c r="IU399" s="1903"/>
      <c r="IV399" s="1903"/>
    </row>
    <row r="400" spans="1:256" ht="15" customHeight="1">
      <c r="A400" s="433" t="str">
        <f>+'LINEAS IMPULSIÓN-CONDUCCIÓN'!A84</f>
        <v>2.2.2</v>
      </c>
      <c r="B400" s="3625" t="s">
        <v>8546</v>
      </c>
      <c r="C400" s="3625"/>
      <c r="D400" s="3625"/>
      <c r="E400" s="3625"/>
      <c r="F400" s="3625"/>
      <c r="G400" s="3625"/>
      <c r="H400" s="3625"/>
      <c r="I400" s="3625"/>
      <c r="J400" s="1260"/>
    </row>
    <row r="401" spans="1:12" ht="15" customHeight="1">
      <c r="A401" s="1261"/>
      <c r="B401" s="184"/>
      <c r="C401" s="1264" t="s">
        <v>140</v>
      </c>
      <c r="D401" s="1229" t="s">
        <v>343</v>
      </c>
      <c r="E401" s="1229" t="s">
        <v>344</v>
      </c>
      <c r="F401" s="1229" t="s">
        <v>482</v>
      </c>
      <c r="G401" s="1229" t="s">
        <v>483</v>
      </c>
      <c r="H401" s="1229" t="s">
        <v>232</v>
      </c>
      <c r="I401" s="1229" t="s">
        <v>171</v>
      </c>
      <c r="J401" s="1260"/>
    </row>
    <row r="402" spans="1:12" ht="15" customHeight="1">
      <c r="A402" s="954" t="s">
        <v>286</v>
      </c>
      <c r="B402" s="231" t="s">
        <v>8549</v>
      </c>
      <c r="C402" s="1264">
        <v>1</v>
      </c>
      <c r="D402" s="1229" t="s">
        <v>94</v>
      </c>
      <c r="E402" s="1255">
        <f>+'BASE 2'!D172</f>
        <v>221416.16</v>
      </c>
      <c r="F402" s="2683"/>
      <c r="G402" s="2683">
        <f>+E402*C402</f>
        <v>221416.16</v>
      </c>
      <c r="H402" s="2683"/>
      <c r="I402" s="2683"/>
      <c r="J402" s="1260"/>
    </row>
    <row r="403" spans="1:12" ht="15" customHeight="1">
      <c r="A403" s="1261" t="s">
        <v>584</v>
      </c>
      <c r="B403" s="1275" t="s">
        <v>134</v>
      </c>
      <c r="C403" s="183">
        <f>1/200</f>
        <v>5.0000000000000001E-3</v>
      </c>
      <c r="D403" s="401" t="s">
        <v>476</v>
      </c>
      <c r="E403" s="1276">
        <f>+VIAJE</f>
        <v>1200000</v>
      </c>
      <c r="F403" s="2683"/>
      <c r="G403" s="2683"/>
      <c r="H403" s="2683"/>
      <c r="I403" s="2683">
        <f>+E403*C403</f>
        <v>6000</v>
      </c>
      <c r="J403" s="1260"/>
    </row>
    <row r="404" spans="1:12" ht="15" customHeight="1">
      <c r="A404" s="1265" t="s">
        <v>190</v>
      </c>
      <c r="B404" s="1266">
        <f>ROUND(SUM(F404:I404),0)</f>
        <v>227416</v>
      </c>
      <c r="C404" s="1264"/>
      <c r="D404" s="1229"/>
      <c r="E404" s="2683"/>
      <c r="F404" s="2683">
        <f>+SUM(F402:F403)</f>
        <v>0</v>
      </c>
      <c r="G404" s="2683">
        <f>+SUM(G402:G403)</f>
        <v>221416.16</v>
      </c>
      <c r="H404" s="2683">
        <f>+SUM(H402:H403)</f>
        <v>0</v>
      </c>
      <c r="I404" s="2683">
        <f>+SUM(I402:I403)</f>
        <v>6000</v>
      </c>
      <c r="J404" s="1260"/>
    </row>
    <row r="405" spans="1:12" ht="15" customHeight="1">
      <c r="A405" s="1265" t="s">
        <v>191</v>
      </c>
      <c r="B405" s="1414">
        <f>+B404</f>
        <v>227416</v>
      </c>
      <c r="C405" s="1901" t="s">
        <v>94</v>
      </c>
      <c r="D405" s="873"/>
      <c r="E405" s="873"/>
      <c r="F405" s="873"/>
      <c r="G405" s="873"/>
      <c r="H405" s="873"/>
      <c r="I405" s="873"/>
      <c r="J405" s="1260"/>
    </row>
    <row r="407" spans="1:12" ht="15" customHeight="1">
      <c r="A407" s="433" t="str">
        <f>+'LINEAS IMPULSIÓN-CONDUCCIÓN'!A93</f>
        <v>2.3.4</v>
      </c>
      <c r="B407" s="3563" t="s">
        <v>8553</v>
      </c>
      <c r="C407" s="3564"/>
      <c r="D407" s="3564"/>
      <c r="E407" s="3564"/>
      <c r="F407" s="3564"/>
      <c r="G407" s="3564"/>
      <c r="H407" s="3564"/>
      <c r="I407" s="3565"/>
      <c r="J407" s="1260"/>
      <c r="K407" s="507"/>
      <c r="L407" s="507"/>
    </row>
    <row r="408" spans="1:12" ht="15" customHeight="1">
      <c r="A408" s="1261"/>
      <c r="B408" s="184"/>
      <c r="C408" s="1900" t="s">
        <v>140</v>
      </c>
      <c r="D408" s="1229" t="s">
        <v>343</v>
      </c>
      <c r="E408" s="1229" t="s">
        <v>344</v>
      </c>
      <c r="F408" s="1229" t="s">
        <v>482</v>
      </c>
      <c r="G408" s="1229" t="s">
        <v>483</v>
      </c>
      <c r="H408" s="1229" t="s">
        <v>232</v>
      </c>
      <c r="I408" s="1229" t="s">
        <v>171</v>
      </c>
      <c r="J408" s="1260"/>
      <c r="K408" s="507"/>
      <c r="L408" s="507"/>
    </row>
    <row r="409" spans="1:12" ht="15" customHeight="1">
      <c r="A409" s="954" t="s">
        <v>53</v>
      </c>
      <c r="B409" s="231" t="s">
        <v>6501</v>
      </c>
      <c r="C409" s="1299">
        <f>1/(12*9)</f>
        <v>9.2592592592592587E-3</v>
      </c>
      <c r="D409" s="401" t="s">
        <v>346</v>
      </c>
      <c r="E409" s="1255">
        <f>+'BASE 2'!D738</f>
        <v>200979.89333333331</v>
      </c>
      <c r="F409" s="2683">
        <f>+E409*C409</f>
        <v>1860.9249382716046</v>
      </c>
      <c r="G409" s="2683"/>
      <c r="H409" s="2683"/>
      <c r="I409" s="2683"/>
      <c r="J409" s="507"/>
      <c r="K409" s="2034"/>
      <c r="L409" s="507"/>
    </row>
    <row r="410" spans="1:12" ht="15" customHeight="1">
      <c r="A410" s="954" t="s">
        <v>47</v>
      </c>
      <c r="B410" s="231" t="s">
        <v>8554</v>
      </c>
      <c r="C410" s="1299">
        <f>1/(12*9)</f>
        <v>9.2592592592592587E-3</v>
      </c>
      <c r="D410" s="401" t="s">
        <v>346</v>
      </c>
      <c r="E410" s="1255">
        <f>+'BASE 2'!D734</f>
        <v>433283.76</v>
      </c>
      <c r="F410" s="2683">
        <f>+E410*C410</f>
        <v>4011.8866666666663</v>
      </c>
      <c r="G410" s="2683"/>
      <c r="H410" s="2683"/>
      <c r="I410" s="2683"/>
      <c r="J410" s="507"/>
      <c r="K410" s="507"/>
      <c r="L410" s="1917"/>
    </row>
    <row r="411" spans="1:12" ht="15" customHeight="1">
      <c r="A411" s="435" t="s">
        <v>736</v>
      </c>
      <c r="B411" s="231" t="s">
        <v>6410</v>
      </c>
      <c r="C411" s="182">
        <f>+C409*8</f>
        <v>7.407407407407407E-2</v>
      </c>
      <c r="D411" s="2688" t="s">
        <v>735</v>
      </c>
      <c r="E411" s="497">
        <f>+RETRO</f>
        <v>150000</v>
      </c>
      <c r="F411" s="1585">
        <f>+E411*C411</f>
        <v>11111.111111111111</v>
      </c>
      <c r="G411" s="1585"/>
      <c r="H411" s="1585"/>
      <c r="I411" s="184"/>
      <c r="K411" s="507"/>
      <c r="L411" s="507"/>
    </row>
    <row r="412" spans="1:12" ht="15" customHeight="1">
      <c r="A412" s="954" t="s">
        <v>380</v>
      </c>
      <c r="B412" s="184" t="s">
        <v>378</v>
      </c>
      <c r="C412" s="1900">
        <v>1.9E-2</v>
      </c>
      <c r="D412" s="401" t="s">
        <v>238</v>
      </c>
      <c r="E412" s="2683">
        <f>+GASO</f>
        <v>8800</v>
      </c>
      <c r="F412" s="2683"/>
      <c r="G412" s="2683"/>
      <c r="H412" s="2683"/>
      <c r="I412" s="2683">
        <f>+E412*C412</f>
        <v>167.2</v>
      </c>
      <c r="J412" s="507"/>
      <c r="K412" s="507"/>
      <c r="L412" s="507"/>
    </row>
    <row r="413" spans="1:12" ht="15" customHeight="1">
      <c r="A413" s="954" t="s">
        <v>382</v>
      </c>
      <c r="B413" s="184" t="s">
        <v>381</v>
      </c>
      <c r="C413" s="1900">
        <v>0.03</v>
      </c>
      <c r="D413" s="401" t="s">
        <v>426</v>
      </c>
      <c r="E413" s="2683">
        <f>+ESTOP</f>
        <v>4080</v>
      </c>
      <c r="F413" s="2683"/>
      <c r="G413" s="2683"/>
      <c r="H413" s="2683"/>
      <c r="I413" s="2683">
        <f>+E413*C413</f>
        <v>122.39999999999999</v>
      </c>
      <c r="J413" s="507"/>
      <c r="K413" s="507"/>
      <c r="L413" s="507"/>
    </row>
    <row r="414" spans="1:12" ht="15" customHeight="1">
      <c r="A414" s="1261" t="s">
        <v>345</v>
      </c>
      <c r="B414" s="184" t="s">
        <v>965</v>
      </c>
      <c r="C414" s="1299">
        <f t="shared" ref="C414:C415" si="11">1/(12*9)</f>
        <v>9.2592592592592587E-3</v>
      </c>
      <c r="D414" s="1229" t="s">
        <v>346</v>
      </c>
      <c r="E414" s="2683">
        <f>+OFICI</f>
        <v>80479.625344</v>
      </c>
      <c r="F414" s="2683"/>
      <c r="G414" s="2683"/>
      <c r="H414" s="2683">
        <f>+E414*C414</f>
        <v>745.1817161481481</v>
      </c>
      <c r="I414" s="2683"/>
      <c r="J414" s="159"/>
    </row>
    <row r="415" spans="1:12" ht="15" customHeight="1">
      <c r="A415" s="1261" t="s">
        <v>347</v>
      </c>
      <c r="B415" s="184" t="s">
        <v>266</v>
      </c>
      <c r="C415" s="1299">
        <f t="shared" si="11"/>
        <v>9.2592592592592587E-3</v>
      </c>
      <c r="D415" s="1229" t="s">
        <v>346</v>
      </c>
      <c r="E415" s="2683">
        <f>+AYUDA</f>
        <v>65389.695592000004</v>
      </c>
      <c r="F415" s="2683"/>
      <c r="G415" s="2683"/>
      <c r="H415" s="2683">
        <f>+E415*C415</f>
        <v>605.46014437037036</v>
      </c>
      <c r="I415" s="2683"/>
      <c r="J415" s="1260"/>
    </row>
    <row r="416" spans="1:12" ht="15" customHeight="1">
      <c r="A416" s="1261" t="s">
        <v>172</v>
      </c>
      <c r="B416" s="184" t="s">
        <v>189</v>
      </c>
      <c r="C416" s="1900">
        <v>1</v>
      </c>
      <c r="D416" s="1229" t="s">
        <v>583</v>
      </c>
      <c r="E416" s="2683">
        <f>+H417*0.05</f>
        <v>67.532093025925931</v>
      </c>
      <c r="F416" s="2683"/>
      <c r="G416" s="2683"/>
      <c r="H416" s="2683"/>
      <c r="I416" s="2683">
        <f>+E416*C416</f>
        <v>67.532093025925931</v>
      </c>
      <c r="J416" s="1260"/>
    </row>
    <row r="417" spans="1:256" ht="15" customHeight="1">
      <c r="A417" s="1265" t="s">
        <v>190</v>
      </c>
      <c r="B417" s="1266">
        <f>ROUND(SUM(F417:I417),0)</f>
        <v>18692</v>
      </c>
      <c r="C417" s="1264"/>
      <c r="D417" s="1229"/>
      <c r="E417" s="2683"/>
      <c r="F417" s="2683">
        <f>+SUM(F409:F416)</f>
        <v>16983.922716049383</v>
      </c>
      <c r="G417" s="2683">
        <f>+SUM(G409:G416)</f>
        <v>0</v>
      </c>
      <c r="H417" s="1255">
        <f>+SUM(H409:H416)</f>
        <v>1350.6418605185186</v>
      </c>
      <c r="I417" s="1255">
        <f>+SUM(I409:I416)</f>
        <v>357.13209302592588</v>
      </c>
      <c r="J417" s="1260"/>
    </row>
    <row r="418" spans="1:256" ht="15" customHeight="1">
      <c r="A418" s="1265" t="s">
        <v>191</v>
      </c>
      <c r="B418" s="1414">
        <f>+B417</f>
        <v>18692</v>
      </c>
      <c r="C418" s="1901" t="s">
        <v>94</v>
      </c>
      <c r="D418" s="873"/>
      <c r="E418" s="2102"/>
      <c r="F418" s="873"/>
      <c r="G418" s="873"/>
      <c r="H418" s="873"/>
      <c r="I418" s="873"/>
      <c r="J418" s="1260"/>
    </row>
    <row r="419" spans="1:256" s="2659" customFormat="1" ht="15" customHeight="1">
      <c r="A419" s="1902"/>
      <c r="B419" s="1903"/>
      <c r="C419" s="1903"/>
      <c r="D419" s="1903"/>
      <c r="E419" s="1903"/>
      <c r="F419" s="1903"/>
      <c r="G419" s="1903"/>
      <c r="H419" s="1903"/>
      <c r="I419" s="1903"/>
      <c r="J419" s="1903"/>
      <c r="K419" s="1903"/>
      <c r="L419" s="1903"/>
      <c r="M419" s="1903"/>
      <c r="N419" s="1903"/>
      <c r="O419" s="1903"/>
      <c r="P419" s="1903"/>
      <c r="Q419" s="1903"/>
      <c r="R419" s="1903"/>
      <c r="S419" s="1903"/>
      <c r="T419" s="1903"/>
      <c r="U419" s="1903"/>
      <c r="V419" s="1903"/>
      <c r="W419" s="1903"/>
      <c r="X419" s="1903"/>
      <c r="Y419" s="1903"/>
      <c r="Z419" s="1903"/>
      <c r="AA419" s="1903"/>
      <c r="AB419" s="1903"/>
      <c r="AC419" s="1903"/>
      <c r="AD419" s="1903"/>
      <c r="AE419" s="1903"/>
      <c r="AF419" s="1903"/>
      <c r="AG419" s="1903"/>
      <c r="AH419" s="1903"/>
      <c r="AI419" s="1903"/>
      <c r="AJ419" s="1903"/>
      <c r="AK419" s="1903"/>
      <c r="AL419" s="1903"/>
      <c r="AM419" s="1903"/>
      <c r="AN419" s="1903"/>
      <c r="AO419" s="1903"/>
      <c r="AP419" s="1903"/>
      <c r="AQ419" s="1903"/>
      <c r="AR419" s="1903"/>
      <c r="AS419" s="1903"/>
      <c r="AT419" s="1903"/>
      <c r="AU419" s="1903"/>
      <c r="AV419" s="1903"/>
      <c r="AW419" s="1903"/>
      <c r="AX419" s="1903"/>
      <c r="AY419" s="1903"/>
      <c r="AZ419" s="1903"/>
      <c r="BA419" s="1903"/>
      <c r="BB419" s="1903"/>
      <c r="BC419" s="1903"/>
      <c r="BD419" s="1903"/>
      <c r="BE419" s="1903"/>
      <c r="BF419" s="1903"/>
      <c r="BG419" s="1903"/>
      <c r="BH419" s="1903"/>
      <c r="BI419" s="1903"/>
      <c r="BJ419" s="1903"/>
      <c r="BK419" s="1903"/>
      <c r="BL419" s="1903"/>
      <c r="BM419" s="1903"/>
      <c r="BN419" s="1903"/>
      <c r="BO419" s="1903"/>
      <c r="BP419" s="1903"/>
      <c r="BQ419" s="1903"/>
      <c r="BR419" s="1903"/>
      <c r="BS419" s="1903"/>
      <c r="BT419" s="1903"/>
      <c r="BU419" s="1903"/>
      <c r="BV419" s="1903"/>
      <c r="BW419" s="1903"/>
      <c r="BX419" s="1903"/>
      <c r="BY419" s="1903"/>
      <c r="BZ419" s="1903"/>
      <c r="CA419" s="1903"/>
      <c r="CB419" s="1903"/>
      <c r="CC419" s="1903"/>
      <c r="CD419" s="1903"/>
      <c r="CE419" s="1903"/>
      <c r="CF419" s="1903"/>
      <c r="CG419" s="1903"/>
      <c r="CH419" s="1903"/>
      <c r="CI419" s="1903"/>
      <c r="CJ419" s="1903"/>
      <c r="CK419" s="1903"/>
      <c r="CL419" s="1903"/>
      <c r="CM419" s="1903"/>
      <c r="CN419" s="1903"/>
      <c r="CO419" s="1903"/>
      <c r="CP419" s="1903"/>
      <c r="CQ419" s="1903"/>
      <c r="CR419" s="1903"/>
      <c r="CS419" s="1903"/>
      <c r="CT419" s="1903"/>
      <c r="CU419" s="1903"/>
      <c r="CV419" s="1903"/>
      <c r="CW419" s="1903"/>
      <c r="CX419" s="1903"/>
      <c r="CY419" s="1903"/>
      <c r="CZ419" s="1903"/>
      <c r="DA419" s="1903"/>
      <c r="DB419" s="1903"/>
      <c r="DC419" s="1903"/>
      <c r="DD419" s="1903"/>
      <c r="DE419" s="1903"/>
      <c r="DF419" s="1903"/>
      <c r="DG419" s="1903"/>
      <c r="DH419" s="1903"/>
      <c r="DI419" s="1903"/>
      <c r="DJ419" s="1903"/>
      <c r="DK419" s="1903"/>
      <c r="DL419" s="1903"/>
      <c r="DM419" s="1903"/>
      <c r="DN419" s="1903"/>
      <c r="DO419" s="1903"/>
      <c r="DP419" s="1903"/>
      <c r="DQ419" s="1903"/>
      <c r="DR419" s="1903"/>
      <c r="DS419" s="1903"/>
      <c r="DT419" s="1903"/>
      <c r="DU419" s="1903"/>
      <c r="DV419" s="1903"/>
      <c r="DW419" s="1903"/>
      <c r="DX419" s="1903"/>
      <c r="DY419" s="1903"/>
      <c r="DZ419" s="1903"/>
      <c r="EA419" s="1903"/>
      <c r="EB419" s="1903"/>
      <c r="EC419" s="1903"/>
      <c r="ED419" s="1903"/>
      <c r="EE419" s="1903"/>
      <c r="EF419" s="1903"/>
      <c r="EG419" s="1903"/>
      <c r="EH419" s="1903"/>
      <c r="EI419" s="1903"/>
      <c r="EJ419" s="1903"/>
      <c r="EK419" s="1903"/>
      <c r="EL419" s="1903"/>
      <c r="EM419" s="1903"/>
      <c r="EN419" s="1903"/>
      <c r="EO419" s="1903"/>
      <c r="EP419" s="1903"/>
      <c r="EQ419" s="1903"/>
      <c r="ER419" s="1903"/>
      <c r="ES419" s="1903"/>
      <c r="ET419" s="1903"/>
      <c r="EU419" s="1903"/>
      <c r="EV419" s="1903"/>
      <c r="EW419" s="1903"/>
      <c r="EX419" s="1903"/>
      <c r="EY419" s="1903"/>
      <c r="EZ419" s="1903"/>
      <c r="FA419" s="1903"/>
      <c r="FB419" s="1903"/>
      <c r="FC419" s="1903"/>
      <c r="FD419" s="1903"/>
      <c r="FE419" s="1903"/>
      <c r="FF419" s="1903"/>
      <c r="FG419" s="1903"/>
      <c r="FH419" s="1903"/>
      <c r="FI419" s="1903"/>
      <c r="FJ419" s="1903"/>
      <c r="FK419" s="1903"/>
      <c r="FL419" s="1903"/>
      <c r="FM419" s="1903"/>
      <c r="FN419" s="1903"/>
      <c r="FO419" s="1903"/>
      <c r="FP419" s="1903"/>
      <c r="FQ419" s="1903"/>
      <c r="FR419" s="1903"/>
      <c r="FS419" s="1903"/>
      <c r="FT419" s="1903"/>
      <c r="FU419" s="1903"/>
      <c r="FV419" s="1903"/>
      <c r="FW419" s="1903"/>
      <c r="FX419" s="1903"/>
      <c r="FY419" s="1903"/>
      <c r="FZ419" s="1903"/>
      <c r="GA419" s="1903"/>
      <c r="GB419" s="1903"/>
      <c r="GC419" s="1903"/>
      <c r="GD419" s="1903"/>
      <c r="GE419" s="1903"/>
      <c r="GF419" s="1903"/>
      <c r="GG419" s="1903"/>
      <c r="GH419" s="1903"/>
      <c r="GI419" s="1903"/>
      <c r="GJ419" s="1903"/>
      <c r="GK419" s="1903"/>
      <c r="GL419" s="1903"/>
      <c r="GM419" s="1903"/>
      <c r="GN419" s="1903"/>
      <c r="GO419" s="1903"/>
      <c r="GP419" s="1903"/>
      <c r="GQ419" s="1903"/>
      <c r="GR419" s="1903"/>
      <c r="GS419" s="1903"/>
      <c r="GT419" s="1903"/>
      <c r="GU419" s="1903"/>
      <c r="GV419" s="1903"/>
      <c r="GW419" s="1903"/>
      <c r="GX419" s="1903"/>
      <c r="GY419" s="1903"/>
      <c r="GZ419" s="1903"/>
      <c r="HA419" s="1903"/>
      <c r="HB419" s="1903"/>
      <c r="HC419" s="1903"/>
      <c r="HD419" s="1903"/>
      <c r="HE419" s="1903"/>
      <c r="HF419" s="1903"/>
      <c r="HG419" s="1903"/>
      <c r="HH419" s="1903"/>
      <c r="HI419" s="1903"/>
      <c r="HJ419" s="1903"/>
      <c r="HK419" s="1903"/>
      <c r="HL419" s="1903"/>
      <c r="HM419" s="1903"/>
      <c r="HN419" s="1903"/>
      <c r="HO419" s="1903"/>
      <c r="HP419" s="1903"/>
      <c r="HQ419" s="1903"/>
      <c r="HR419" s="1903"/>
      <c r="HS419" s="1903"/>
      <c r="HT419" s="1903"/>
      <c r="HU419" s="1903"/>
      <c r="HV419" s="1903"/>
      <c r="HW419" s="1903"/>
      <c r="HX419" s="1903"/>
      <c r="HY419" s="1903"/>
      <c r="HZ419" s="1903"/>
      <c r="IA419" s="1903"/>
      <c r="IB419" s="1903"/>
      <c r="IC419" s="1903"/>
      <c r="ID419" s="1903"/>
      <c r="IE419" s="1903"/>
      <c r="IF419" s="1903"/>
      <c r="IG419" s="1903"/>
      <c r="IH419" s="1903"/>
      <c r="II419" s="1903"/>
      <c r="IJ419" s="1903"/>
      <c r="IK419" s="1903"/>
      <c r="IL419" s="1903"/>
      <c r="IM419" s="1903"/>
      <c r="IN419" s="1903"/>
      <c r="IO419" s="1903"/>
      <c r="IP419" s="1903"/>
      <c r="IQ419" s="1903"/>
      <c r="IR419" s="1903"/>
      <c r="IS419" s="1903"/>
      <c r="IT419" s="1903"/>
      <c r="IU419" s="1903"/>
      <c r="IV419" s="1903"/>
    </row>
    <row r="420" spans="1:256" ht="15" customHeight="1">
      <c r="A420" s="433" t="str">
        <f>+'LINEAS IMPULSIÓN-CONDUCCIÓN'!A104</f>
        <v>2.4.6</v>
      </c>
      <c r="B420" s="3625" t="s">
        <v>8547</v>
      </c>
      <c r="C420" s="3625"/>
      <c r="D420" s="3625"/>
      <c r="E420" s="3625"/>
      <c r="F420" s="3625"/>
      <c r="G420" s="3625"/>
      <c r="H420" s="3625"/>
      <c r="I420" s="3625"/>
      <c r="J420" s="1260"/>
    </row>
    <row r="421" spans="1:256" ht="15" customHeight="1">
      <c r="A421" s="1261"/>
      <c r="B421" s="184"/>
      <c r="C421" s="1264" t="s">
        <v>140</v>
      </c>
      <c r="D421" s="1229" t="s">
        <v>343</v>
      </c>
      <c r="E421" s="1229" t="s">
        <v>344</v>
      </c>
      <c r="F421" s="1229" t="s">
        <v>482</v>
      </c>
      <c r="G421" s="1229" t="s">
        <v>483</v>
      </c>
      <c r="H421" s="1229" t="s">
        <v>232</v>
      </c>
      <c r="I421" s="1229" t="s">
        <v>171</v>
      </c>
      <c r="J421" s="1260"/>
    </row>
    <row r="422" spans="1:256" ht="15" customHeight="1">
      <c r="A422" s="954" t="s">
        <v>286</v>
      </c>
      <c r="B422" s="231" t="s">
        <v>8551</v>
      </c>
      <c r="C422" s="1264">
        <v>1</v>
      </c>
      <c r="D422" s="1229" t="s">
        <v>94</v>
      </c>
      <c r="E422" s="1255">
        <f>+'BASE 2'!D171</f>
        <v>140753.19999999998</v>
      </c>
      <c r="F422" s="2683"/>
      <c r="G422" s="2683">
        <f>+E422*C422</f>
        <v>140753.19999999998</v>
      </c>
      <c r="H422" s="2683"/>
      <c r="I422" s="2683"/>
      <c r="J422" s="1260"/>
    </row>
    <row r="423" spans="1:256" ht="15" customHeight="1">
      <c r="A423" s="1261" t="s">
        <v>584</v>
      </c>
      <c r="B423" s="1275" t="s">
        <v>134</v>
      </c>
      <c r="C423" s="183">
        <f>1/200</f>
        <v>5.0000000000000001E-3</v>
      </c>
      <c r="D423" s="401" t="s">
        <v>476</v>
      </c>
      <c r="E423" s="1276">
        <f>+VIAJE</f>
        <v>1200000</v>
      </c>
      <c r="F423" s="2683"/>
      <c r="G423" s="2683"/>
      <c r="H423" s="2683"/>
      <c r="I423" s="2683">
        <f>+E423*C423</f>
        <v>6000</v>
      </c>
      <c r="J423" s="1260"/>
    </row>
    <row r="424" spans="1:256" ht="15" customHeight="1">
      <c r="A424" s="1265" t="s">
        <v>190</v>
      </c>
      <c r="B424" s="1266">
        <f>ROUND(SUM(F424:I424),0)</f>
        <v>146753</v>
      </c>
      <c r="C424" s="1264"/>
      <c r="D424" s="1229"/>
      <c r="E424" s="2683"/>
      <c r="F424" s="2683">
        <f>+SUM(F422:F423)</f>
        <v>0</v>
      </c>
      <c r="G424" s="2683">
        <f>+SUM(G422:G423)</f>
        <v>140753.19999999998</v>
      </c>
      <c r="H424" s="2683">
        <f>+SUM(H422:H423)</f>
        <v>0</v>
      </c>
      <c r="I424" s="2683">
        <f>+SUM(I422:I423)</f>
        <v>6000</v>
      </c>
      <c r="J424" s="1260"/>
    </row>
    <row r="425" spans="1:256" ht="15" customHeight="1">
      <c r="A425" s="1265" t="s">
        <v>191</v>
      </c>
      <c r="B425" s="1414">
        <f>+B424</f>
        <v>146753</v>
      </c>
      <c r="C425" s="1901" t="s">
        <v>94</v>
      </c>
      <c r="D425" s="873"/>
      <c r="E425" s="873"/>
      <c r="F425" s="873"/>
      <c r="G425" s="873"/>
      <c r="H425" s="873"/>
      <c r="I425" s="873"/>
      <c r="J425" s="1260"/>
    </row>
    <row r="427" spans="1:256" s="1260" customFormat="1" ht="15" customHeight="1">
      <c r="A427" s="433" t="str">
        <f>+'LINEAS IMPULSIÓN-CONDUCCIÓN'!A49</f>
        <v>1.5.7</v>
      </c>
      <c r="B427" s="3573" t="s">
        <v>6511</v>
      </c>
      <c r="C427" s="3573"/>
      <c r="D427" s="3573"/>
      <c r="E427" s="3573"/>
      <c r="F427" s="3573"/>
      <c r="G427" s="3573"/>
      <c r="H427" s="3573"/>
      <c r="I427" s="3573"/>
    </row>
    <row r="428" spans="1:256" s="1260" customFormat="1" ht="15" customHeight="1">
      <c r="A428" s="1261"/>
      <c r="B428" s="1262"/>
      <c r="C428" s="1229" t="s">
        <v>140</v>
      </c>
      <c r="D428" s="1229" t="s">
        <v>343</v>
      </c>
      <c r="E428" s="2683" t="s">
        <v>344</v>
      </c>
      <c r="F428" s="2683" t="s">
        <v>482</v>
      </c>
      <c r="G428" s="2683" t="s">
        <v>483</v>
      </c>
      <c r="H428" s="2683" t="s">
        <v>232</v>
      </c>
      <c r="I428" s="2683" t="s">
        <v>171</v>
      </c>
    </row>
    <row r="429" spans="1:256" ht="15" customHeight="1">
      <c r="A429" s="954" t="s">
        <v>53</v>
      </c>
      <c r="B429" s="231" t="s">
        <v>6500</v>
      </c>
      <c r="C429" s="1299">
        <f>1/7</f>
        <v>0.14285714285714285</v>
      </c>
      <c r="D429" s="401" t="s">
        <v>346</v>
      </c>
      <c r="E429" s="1255">
        <f>+PLAELE</f>
        <v>204223.83333333331</v>
      </c>
      <c r="F429" s="2683">
        <f>+E429*C429</f>
        <v>29174.833333333328</v>
      </c>
      <c r="G429" s="2683"/>
      <c r="H429" s="2683"/>
      <c r="I429" s="2683"/>
      <c r="J429" s="507"/>
      <c r="K429" s="2032" t="e">
        <f>+E429+#REF!</f>
        <v>#REF!</v>
      </c>
      <c r="L429" s="2704">
        <f>+L428*1.25</f>
        <v>0</v>
      </c>
    </row>
    <row r="430" spans="1:256" ht="15" customHeight="1">
      <c r="A430" s="954" t="s">
        <v>47</v>
      </c>
      <c r="B430" s="231" t="s">
        <v>6422</v>
      </c>
      <c r="C430" s="1299">
        <f>1/7</f>
        <v>0.14285714285714285</v>
      </c>
      <c r="D430" s="401" t="s">
        <v>346</v>
      </c>
      <c r="E430" s="1255">
        <f>+ETF315_</f>
        <v>986448.12</v>
      </c>
      <c r="F430" s="2683">
        <f>+E430*C430</f>
        <v>140921.16</v>
      </c>
      <c r="G430" s="2683"/>
      <c r="H430" s="2683"/>
      <c r="I430" s="2683"/>
      <c r="J430" s="507"/>
      <c r="K430" s="402">
        <f>1/C430</f>
        <v>7</v>
      </c>
      <c r="L430" s="2705" t="e">
        <f>+#REF!/6</f>
        <v>#REF!</v>
      </c>
    </row>
    <row r="431" spans="1:256" ht="15" customHeight="1">
      <c r="A431" s="954" t="s">
        <v>380</v>
      </c>
      <c r="B431" s="184" t="s">
        <v>378</v>
      </c>
      <c r="C431" s="183">
        <f>1/40</f>
        <v>2.5000000000000001E-2</v>
      </c>
      <c r="D431" s="401" t="s">
        <v>238</v>
      </c>
      <c r="E431" s="2683">
        <f>+GASO</f>
        <v>8800</v>
      </c>
      <c r="F431" s="2683"/>
      <c r="G431" s="2683"/>
      <c r="H431" s="2683"/>
      <c r="I431" s="2683">
        <f>+E431*C431</f>
        <v>220</v>
      </c>
      <c r="J431" s="507"/>
    </row>
    <row r="432" spans="1:256" ht="15" customHeight="1">
      <c r="A432" s="954"/>
      <c r="B432" s="184" t="s">
        <v>6426</v>
      </c>
      <c r="C432" s="183">
        <f>1/6</f>
        <v>0.16666666666666666</v>
      </c>
      <c r="D432" s="401" t="s">
        <v>346</v>
      </c>
      <c r="E432" s="1255">
        <f>+'BASE 2'!D736</f>
        <v>18500</v>
      </c>
      <c r="F432" s="2683">
        <f>+E432*C432</f>
        <v>3083.333333333333</v>
      </c>
      <c r="G432" s="2683"/>
      <c r="H432" s="2683"/>
      <c r="I432" s="2683"/>
      <c r="J432" s="507"/>
    </row>
    <row r="433" spans="1:256" ht="15" customHeight="1">
      <c r="A433" s="954" t="s">
        <v>382</v>
      </c>
      <c r="B433" s="184" t="s">
        <v>381</v>
      </c>
      <c r="C433" s="183">
        <f>1/3.3</f>
        <v>0.30303030303030304</v>
      </c>
      <c r="D433" s="401" t="s">
        <v>426</v>
      </c>
      <c r="E433" s="2683">
        <f>+ESTOP</f>
        <v>4080</v>
      </c>
      <c r="F433" s="2683"/>
      <c r="G433" s="2683"/>
      <c r="H433" s="2683"/>
      <c r="I433" s="2683">
        <f>+E433*C433</f>
        <v>1236.3636363636365</v>
      </c>
      <c r="J433" s="507"/>
    </row>
    <row r="434" spans="1:256" ht="15" customHeight="1">
      <c r="A434" s="1261" t="s">
        <v>345</v>
      </c>
      <c r="B434" s="184" t="s">
        <v>965</v>
      </c>
      <c r="C434" s="1299">
        <f t="shared" ref="C434:C435" si="12">1/7</f>
        <v>0.14285714285714285</v>
      </c>
      <c r="D434" s="1229" t="s">
        <v>346</v>
      </c>
      <c r="E434" s="2683">
        <f>+OFICI</f>
        <v>80479.625344</v>
      </c>
      <c r="F434" s="2683"/>
      <c r="G434" s="2683"/>
      <c r="H434" s="2683">
        <f>+E434*C434</f>
        <v>11497.089334857143</v>
      </c>
      <c r="I434" s="2683"/>
      <c r="J434" s="159"/>
    </row>
    <row r="435" spans="1:256" ht="15" customHeight="1">
      <c r="A435" s="1261" t="s">
        <v>347</v>
      </c>
      <c r="B435" s="184" t="s">
        <v>266</v>
      </c>
      <c r="C435" s="1299">
        <f t="shared" si="12"/>
        <v>0.14285714285714285</v>
      </c>
      <c r="D435" s="1229" t="s">
        <v>346</v>
      </c>
      <c r="E435" s="2683">
        <f>+AYUDA</f>
        <v>65389.695592000004</v>
      </c>
      <c r="F435" s="2683"/>
      <c r="G435" s="2683"/>
      <c r="H435" s="2683">
        <f>+E435*C435</f>
        <v>9341.3850845714278</v>
      </c>
      <c r="I435" s="2683"/>
      <c r="J435" s="1260"/>
    </row>
    <row r="436" spans="1:256" ht="15" customHeight="1">
      <c r="A436" s="1261" t="s">
        <v>172</v>
      </c>
      <c r="B436" s="184" t="s">
        <v>189</v>
      </c>
      <c r="C436" s="1264">
        <v>1</v>
      </c>
      <c r="D436" s="1229" t="s">
        <v>583</v>
      </c>
      <c r="E436" s="2683">
        <f>+H437*0.05</f>
        <v>1041.9237209714286</v>
      </c>
      <c r="F436" s="2683"/>
      <c r="G436" s="2683"/>
      <c r="H436" s="2683"/>
      <c r="I436" s="2683">
        <f>+E436*C436</f>
        <v>1041.9237209714286</v>
      </c>
      <c r="J436" s="1260"/>
    </row>
    <row r="437" spans="1:256" s="1260" customFormat="1" ht="15" customHeight="1">
      <c r="A437" s="1265" t="s">
        <v>190</v>
      </c>
      <c r="B437" s="1266">
        <f>SUM(F437:I437)</f>
        <v>196516.08844343032</v>
      </c>
      <c r="C437" s="401"/>
      <c r="D437" s="1267"/>
      <c r="E437" s="2683"/>
      <c r="F437" s="2683">
        <f>SUM(F429:F436)</f>
        <v>173179.32666666669</v>
      </c>
      <c r="G437" s="2683">
        <f t="shared" ref="G437:I437" si="13">SUM(G429:G436)</f>
        <v>0</v>
      </c>
      <c r="H437" s="2683">
        <f t="shared" si="13"/>
        <v>20838.47441942857</v>
      </c>
      <c r="I437" s="2683">
        <f t="shared" si="13"/>
        <v>2498.2873573350653</v>
      </c>
    </row>
    <row r="438" spans="1:256" s="1260" customFormat="1" ht="15" customHeight="1">
      <c r="A438" s="1265" t="s">
        <v>191</v>
      </c>
      <c r="B438" s="1268">
        <f>+B437</f>
        <v>196516.08844343032</v>
      </c>
      <c r="C438" s="1269" t="s">
        <v>363</v>
      </c>
      <c r="D438" s="863"/>
      <c r="E438" s="882">
        <f>+B444*0.15</f>
        <v>181847.76749999999</v>
      </c>
      <c r="F438" s="1905"/>
      <c r="G438" s="882"/>
      <c r="H438" s="882"/>
      <c r="I438" s="882"/>
    </row>
    <row r="439" spans="1:256" s="498" customFormat="1" ht="15" customHeight="1">
      <c r="A439" s="1270"/>
      <c r="B439" s="1271"/>
      <c r="C439" s="1272"/>
      <c r="D439" s="1273"/>
      <c r="E439" s="503"/>
      <c r="F439" s="503"/>
      <c r="G439" s="503"/>
      <c r="H439" s="503"/>
      <c r="I439" s="503"/>
      <c r="N439" s="499"/>
      <c r="O439" s="499"/>
      <c r="P439" s="499"/>
      <c r="Q439" s="499"/>
      <c r="R439" s="499"/>
      <c r="S439" s="499"/>
      <c r="T439" s="499"/>
      <c r="U439" s="499"/>
      <c r="V439" s="499"/>
      <c r="W439" s="499"/>
      <c r="X439" s="499"/>
      <c r="Y439" s="499"/>
      <c r="Z439" s="499"/>
      <c r="AA439" s="499"/>
      <c r="AB439" s="499"/>
      <c r="AC439" s="499"/>
      <c r="AD439" s="499"/>
      <c r="AE439" s="499"/>
      <c r="AF439" s="499"/>
      <c r="AG439" s="499"/>
      <c r="AH439" s="499"/>
      <c r="AI439" s="499"/>
      <c r="AJ439" s="499"/>
      <c r="AK439" s="499"/>
      <c r="AL439" s="499"/>
      <c r="AM439" s="499"/>
      <c r="AN439" s="499"/>
      <c r="AO439" s="499"/>
      <c r="AP439" s="499"/>
      <c r="AQ439" s="499"/>
      <c r="AR439" s="499"/>
      <c r="AS439" s="499"/>
      <c r="AT439" s="499"/>
      <c r="AU439" s="499"/>
      <c r="AV439" s="499"/>
      <c r="AW439" s="499"/>
      <c r="AX439" s="499"/>
      <c r="AY439" s="499"/>
      <c r="AZ439" s="499"/>
      <c r="BA439" s="499"/>
      <c r="BB439" s="499"/>
      <c r="BC439" s="499"/>
      <c r="BD439" s="499"/>
      <c r="BE439" s="499"/>
      <c r="BF439" s="499"/>
      <c r="BG439" s="499"/>
      <c r="BH439" s="499"/>
      <c r="BI439" s="499"/>
      <c r="BJ439" s="499"/>
      <c r="BK439" s="499"/>
      <c r="BL439" s="499"/>
      <c r="BM439" s="499"/>
      <c r="BN439" s="499"/>
      <c r="BO439" s="499"/>
      <c r="BP439" s="499"/>
      <c r="BQ439" s="499"/>
      <c r="BR439" s="499"/>
      <c r="BS439" s="499"/>
      <c r="BT439" s="499"/>
      <c r="BU439" s="499"/>
      <c r="BV439" s="499"/>
      <c r="BW439" s="499"/>
      <c r="BX439" s="499"/>
      <c r="BY439" s="499"/>
      <c r="BZ439" s="499"/>
      <c r="CA439" s="499"/>
      <c r="CB439" s="499"/>
      <c r="CC439" s="499"/>
      <c r="CD439" s="499"/>
      <c r="CE439" s="499"/>
      <c r="CF439" s="499"/>
      <c r="CG439" s="499"/>
      <c r="CH439" s="499"/>
      <c r="CI439" s="499"/>
      <c r="CJ439" s="499"/>
      <c r="CK439" s="499"/>
      <c r="CL439" s="499"/>
      <c r="CM439" s="499"/>
      <c r="CN439" s="499"/>
      <c r="CO439" s="499"/>
      <c r="CP439" s="499"/>
      <c r="CQ439" s="499"/>
      <c r="CR439" s="499"/>
      <c r="CS439" s="499"/>
      <c r="CT439" s="499"/>
      <c r="CU439" s="499"/>
      <c r="CV439" s="499"/>
      <c r="CW439" s="499"/>
      <c r="CX439" s="499"/>
      <c r="CY439" s="499"/>
      <c r="CZ439" s="499"/>
      <c r="DA439" s="499"/>
      <c r="DB439" s="499"/>
      <c r="DC439" s="499"/>
      <c r="DD439" s="499"/>
      <c r="DE439" s="499"/>
      <c r="DF439" s="499"/>
      <c r="DG439" s="499"/>
      <c r="DH439" s="499"/>
      <c r="DI439" s="499"/>
      <c r="DJ439" s="499"/>
      <c r="DK439" s="499"/>
      <c r="DL439" s="499"/>
      <c r="DM439" s="499"/>
      <c r="DN439" s="499"/>
      <c r="DO439" s="499"/>
      <c r="DP439" s="499"/>
      <c r="DQ439" s="499"/>
      <c r="DR439" s="499"/>
      <c r="DS439" s="499"/>
      <c r="DT439" s="499"/>
      <c r="DU439" s="499"/>
      <c r="DV439" s="499"/>
      <c r="DW439" s="499"/>
      <c r="DX439" s="499"/>
      <c r="DY439" s="499"/>
      <c r="DZ439" s="499"/>
      <c r="EA439" s="499"/>
      <c r="EB439" s="499"/>
      <c r="EC439" s="499"/>
      <c r="ED439" s="499"/>
      <c r="EE439" s="499"/>
      <c r="EF439" s="499"/>
      <c r="EG439" s="499"/>
      <c r="EH439" s="499"/>
      <c r="EI439" s="499"/>
      <c r="EJ439" s="499"/>
      <c r="EK439" s="499"/>
      <c r="EL439" s="499"/>
      <c r="EM439" s="499"/>
      <c r="EN439" s="499"/>
      <c r="EO439" s="499"/>
      <c r="EP439" s="499"/>
      <c r="EQ439" s="499"/>
      <c r="ER439" s="499"/>
      <c r="ES439" s="499"/>
      <c r="ET439" s="499"/>
      <c r="EU439" s="499"/>
      <c r="EV439" s="499"/>
      <c r="EW439" s="499"/>
      <c r="EX439" s="499"/>
      <c r="EY439" s="499"/>
      <c r="EZ439" s="499"/>
      <c r="FA439" s="499"/>
      <c r="FB439" s="499"/>
      <c r="FC439" s="499"/>
      <c r="FD439" s="499"/>
      <c r="FE439" s="499"/>
      <c r="FF439" s="499"/>
      <c r="FG439" s="499"/>
      <c r="FH439" s="499"/>
      <c r="FI439" s="499"/>
      <c r="FJ439" s="499"/>
      <c r="FK439" s="499"/>
      <c r="FL439" s="499"/>
      <c r="FM439" s="499"/>
      <c r="FN439" s="499"/>
      <c r="FO439" s="499"/>
      <c r="FP439" s="499"/>
      <c r="FQ439" s="499"/>
      <c r="FR439" s="499"/>
      <c r="FS439" s="499"/>
      <c r="FT439" s="499"/>
      <c r="FU439" s="499"/>
      <c r="FV439" s="499"/>
      <c r="FW439" s="499"/>
      <c r="FX439" s="499"/>
      <c r="FY439" s="499"/>
      <c r="FZ439" s="499"/>
      <c r="GA439" s="499"/>
      <c r="GB439" s="499"/>
      <c r="GC439" s="499"/>
      <c r="GD439" s="499"/>
      <c r="GE439" s="499"/>
      <c r="GF439" s="499"/>
      <c r="GG439" s="499"/>
      <c r="GH439" s="499"/>
      <c r="GI439" s="499"/>
      <c r="GJ439" s="499"/>
      <c r="GK439" s="499"/>
      <c r="GL439" s="499"/>
      <c r="GM439" s="499"/>
      <c r="GN439" s="499"/>
      <c r="GO439" s="499"/>
      <c r="GP439" s="499"/>
      <c r="GQ439" s="499"/>
      <c r="GR439" s="499"/>
      <c r="GS439" s="499"/>
      <c r="GT439" s="499"/>
      <c r="GU439" s="499"/>
      <c r="GV439" s="499"/>
      <c r="GW439" s="499"/>
      <c r="GX439" s="499"/>
      <c r="GY439" s="499"/>
      <c r="GZ439" s="499"/>
      <c r="HA439" s="499"/>
      <c r="HB439" s="499"/>
      <c r="HC439" s="499"/>
      <c r="HD439" s="499"/>
      <c r="HE439" s="499"/>
      <c r="HF439" s="499"/>
      <c r="HG439" s="499"/>
      <c r="HH439" s="499"/>
      <c r="HI439" s="499"/>
      <c r="HJ439" s="499"/>
      <c r="HK439" s="499"/>
      <c r="HL439" s="499"/>
      <c r="HM439" s="499"/>
      <c r="HN439" s="499"/>
      <c r="HO439" s="499"/>
      <c r="HP439" s="499"/>
      <c r="HQ439" s="499"/>
      <c r="HR439" s="499"/>
      <c r="HS439" s="499"/>
      <c r="HT439" s="499"/>
      <c r="HU439" s="499"/>
      <c r="HV439" s="499"/>
      <c r="HW439" s="499"/>
      <c r="HX439" s="499"/>
      <c r="HY439" s="499"/>
      <c r="HZ439" s="499"/>
      <c r="IA439" s="499"/>
      <c r="IB439" s="499"/>
      <c r="IC439" s="499"/>
      <c r="ID439" s="499"/>
      <c r="IE439" s="499"/>
      <c r="IF439" s="499"/>
      <c r="IG439" s="499"/>
      <c r="IH439" s="499"/>
      <c r="II439" s="499"/>
      <c r="IJ439" s="499"/>
      <c r="IK439" s="499"/>
      <c r="IL439" s="499"/>
      <c r="IM439" s="499"/>
      <c r="IN439" s="499"/>
      <c r="IO439" s="499"/>
      <c r="IP439" s="499"/>
      <c r="IQ439" s="499"/>
      <c r="IR439" s="499"/>
      <c r="IS439" s="499"/>
      <c r="IT439" s="499"/>
      <c r="IU439" s="499"/>
      <c r="IV439" s="499"/>
    </row>
    <row r="440" spans="1:256" s="1260" customFormat="1" ht="15" customHeight="1">
      <c r="A440" s="2168" t="str">
        <f>+'LINEAS IMPULSIÓN-CONDUCCIÓN'!A63</f>
        <v>1.6.4</v>
      </c>
      <c r="B440" s="3651" t="s">
        <v>6512</v>
      </c>
      <c r="C440" s="3651"/>
      <c r="D440" s="3651"/>
      <c r="E440" s="3651"/>
      <c r="F440" s="3651"/>
      <c r="G440" s="3651"/>
      <c r="H440" s="3651"/>
      <c r="I440" s="3651"/>
    </row>
    <row r="441" spans="1:256" s="1260" customFormat="1" ht="15" customHeight="1">
      <c r="A441" s="1261"/>
      <c r="B441" s="1262"/>
      <c r="C441" s="1229" t="s">
        <v>140</v>
      </c>
      <c r="D441" s="1229" t="s">
        <v>343</v>
      </c>
      <c r="E441" s="2683" t="s">
        <v>344</v>
      </c>
      <c r="F441" s="2683" t="s">
        <v>482</v>
      </c>
      <c r="G441" s="2683" t="s">
        <v>483</v>
      </c>
      <c r="H441" s="2683" t="s">
        <v>232</v>
      </c>
      <c r="I441" s="2683" t="s">
        <v>171</v>
      </c>
    </row>
    <row r="442" spans="1:256" s="1260" customFormat="1" ht="15" customHeight="1">
      <c r="A442" s="954" t="s">
        <v>762</v>
      </c>
      <c r="B442" s="185" t="s">
        <v>6510</v>
      </c>
      <c r="C442" s="1264">
        <v>1</v>
      </c>
      <c r="D442" s="1274" t="s">
        <v>363</v>
      </c>
      <c r="E442" s="1255">
        <f>+'BASE 2'!D193</f>
        <v>1212318.45</v>
      </c>
      <c r="F442" s="1255"/>
      <c r="G442" s="1255">
        <f>+E442*C442</f>
        <v>1212318.45</v>
      </c>
      <c r="H442" s="1255"/>
      <c r="I442" s="1255"/>
    </row>
    <row r="443" spans="1:256" s="1260" customFormat="1" ht="15" customHeight="1">
      <c r="A443" s="1265" t="s">
        <v>190</v>
      </c>
      <c r="B443" s="1266">
        <f>SUM(F443:I443)</f>
        <v>1212318.45</v>
      </c>
      <c r="C443" s="401"/>
      <c r="D443" s="1267"/>
      <c r="E443" s="2683"/>
      <c r="F443" s="2683">
        <f>SUM(F440:F442)</f>
        <v>0</v>
      </c>
      <c r="G443" s="2683">
        <f>SUM(G440:G442)</f>
        <v>1212318.45</v>
      </c>
      <c r="H443" s="2683">
        <f>SUM(H440:H442)</f>
        <v>0</v>
      </c>
      <c r="I443" s="2683">
        <f>SUM(I440:I442)</f>
        <v>0</v>
      </c>
    </row>
    <row r="444" spans="1:256" s="1260" customFormat="1" ht="15" customHeight="1">
      <c r="A444" s="1265" t="s">
        <v>191</v>
      </c>
      <c r="B444" s="1268">
        <f>+B443</f>
        <v>1212318.45</v>
      </c>
      <c r="C444" s="1269" t="s">
        <v>363</v>
      </c>
      <c r="D444" s="863"/>
      <c r="E444" s="882"/>
      <c r="F444" s="1905"/>
      <c r="G444" s="882"/>
      <c r="H444" s="882"/>
      <c r="I444" s="882"/>
    </row>
    <row r="446" spans="1:256" ht="38.25" customHeight="1">
      <c r="A446" s="433" t="str">
        <f>+'LINEAS IMPULSIÓN-CONDUCCIÓN'!A50</f>
        <v>1.5.8</v>
      </c>
      <c r="B446" s="3570" t="s">
        <v>5059</v>
      </c>
      <c r="C446" s="3571"/>
      <c r="D446" s="3571"/>
      <c r="E446" s="3571"/>
      <c r="F446" s="3571"/>
      <c r="G446" s="3571"/>
      <c r="H446" s="3571"/>
      <c r="I446" s="3572"/>
    </row>
    <row r="447" spans="1:256" ht="15" customHeight="1">
      <c r="A447" s="1261"/>
      <c r="B447" s="1258"/>
      <c r="C447" s="1264" t="s">
        <v>140</v>
      </c>
      <c r="D447" s="1229" t="s">
        <v>343</v>
      </c>
      <c r="E447" s="1814" t="s">
        <v>344</v>
      </c>
      <c r="F447" s="1814" t="s">
        <v>482</v>
      </c>
      <c r="G447" s="1814" t="s">
        <v>483</v>
      </c>
      <c r="H447" s="1814" t="s">
        <v>232</v>
      </c>
      <c r="I447" s="1814" t="s">
        <v>171</v>
      </c>
    </row>
    <row r="448" spans="1:256" s="499" customFormat="1" ht="15" customHeight="1">
      <c r="A448" s="954" t="s">
        <v>53</v>
      </c>
      <c r="B448" s="2706" t="s">
        <v>6499</v>
      </c>
      <c r="C448" s="1299">
        <f>1/8</f>
        <v>0.125</v>
      </c>
      <c r="D448" s="501" t="s">
        <v>346</v>
      </c>
      <c r="E448" s="1797">
        <f>+PLAELE</f>
        <v>204223.83333333331</v>
      </c>
      <c r="F448" s="497">
        <f>+E448*C448</f>
        <v>25527.979166666664</v>
      </c>
      <c r="G448" s="497"/>
      <c r="H448" s="497"/>
      <c r="I448" s="497"/>
      <c r="J448" s="498"/>
      <c r="K448" s="498"/>
      <c r="L448" s="498"/>
      <c r="M448" s="498"/>
      <c r="N448" s="498"/>
    </row>
    <row r="449" spans="1:256" ht="15" customHeight="1">
      <c r="A449" s="954" t="s">
        <v>47</v>
      </c>
      <c r="B449" s="231" t="s">
        <v>6422</v>
      </c>
      <c r="C449" s="1299">
        <f>1/8</f>
        <v>0.125</v>
      </c>
      <c r="D449" s="401" t="s">
        <v>346</v>
      </c>
      <c r="E449" s="1255">
        <f>+ETF315_</f>
        <v>986448.12</v>
      </c>
      <c r="F449" s="2683">
        <f>+E449*C449</f>
        <v>123306.015</v>
      </c>
      <c r="G449" s="2683"/>
      <c r="H449" s="2683"/>
      <c r="I449" s="2683"/>
      <c r="J449" s="507"/>
      <c r="K449" s="402">
        <f>1/C449</f>
        <v>8</v>
      </c>
      <c r="L449" s="2705">
        <f>+L448/6</f>
        <v>0</v>
      </c>
    </row>
    <row r="450" spans="1:256" ht="15" customHeight="1">
      <c r="A450" s="1261"/>
      <c r="B450" s="1275" t="s">
        <v>1064</v>
      </c>
      <c r="C450" s="183">
        <f>1/600</f>
        <v>1.6666666666666668E-3</v>
      </c>
      <c r="D450" s="401" t="s">
        <v>476</v>
      </c>
      <c r="E450" s="1276">
        <v>500000</v>
      </c>
      <c r="F450" s="2683"/>
      <c r="G450" s="2683"/>
      <c r="H450" s="2683"/>
      <c r="I450" s="2683">
        <f>+E450*C450</f>
        <v>833.33333333333337</v>
      </c>
      <c r="J450" s="1260"/>
    </row>
    <row r="451" spans="1:256" s="499" customFormat="1" ht="15" customHeight="1">
      <c r="A451" s="954" t="s">
        <v>380</v>
      </c>
      <c r="B451" s="1908" t="s">
        <v>378</v>
      </c>
      <c r="C451" s="183">
        <f>1/57</f>
        <v>1.7543859649122806E-2</v>
      </c>
      <c r="D451" s="501" t="s">
        <v>238</v>
      </c>
      <c r="E451" s="1797">
        <f>+GASO</f>
        <v>8800</v>
      </c>
      <c r="F451" s="497"/>
      <c r="G451" s="497"/>
      <c r="H451" s="497"/>
      <c r="I451" s="497">
        <f>+E451*C451</f>
        <v>154.38596491228068</v>
      </c>
      <c r="J451" s="498"/>
      <c r="K451" s="498"/>
      <c r="L451" s="498"/>
      <c r="M451" s="498"/>
      <c r="N451" s="498"/>
    </row>
    <row r="452" spans="1:256" s="499" customFormat="1" ht="15" customHeight="1">
      <c r="A452" s="954" t="s">
        <v>382</v>
      </c>
      <c r="B452" s="1908" t="s">
        <v>381</v>
      </c>
      <c r="C452" s="183">
        <f>1/50</f>
        <v>0.02</v>
      </c>
      <c r="D452" s="501" t="s">
        <v>426</v>
      </c>
      <c r="E452" s="1797">
        <f>+ESTOP</f>
        <v>4080</v>
      </c>
      <c r="F452" s="497"/>
      <c r="G452" s="497"/>
      <c r="H452" s="497"/>
      <c r="I452" s="497">
        <f>+E452*C452</f>
        <v>81.600000000000009</v>
      </c>
      <c r="J452" s="498"/>
      <c r="K452" s="498"/>
      <c r="L452" s="498"/>
      <c r="M452" s="498"/>
      <c r="N452" s="498"/>
    </row>
    <row r="453" spans="1:256" ht="15" customHeight="1">
      <c r="A453" s="1261" t="s">
        <v>347</v>
      </c>
      <c r="B453" s="1258" t="s">
        <v>266</v>
      </c>
      <c r="C453" s="1299">
        <f t="shared" ref="C453:C454" si="14">1/8</f>
        <v>0.125</v>
      </c>
      <c r="D453" s="1229" t="s">
        <v>346</v>
      </c>
      <c r="E453" s="1814">
        <f>+AYUDA</f>
        <v>65389.695592000004</v>
      </c>
      <c r="F453" s="1814"/>
      <c r="G453" s="1814"/>
      <c r="H453" s="1814">
        <f>+E453*C453</f>
        <v>8173.7119490000005</v>
      </c>
      <c r="I453" s="1814"/>
    </row>
    <row r="454" spans="1:256" ht="15" customHeight="1">
      <c r="A454" s="1261" t="s">
        <v>345</v>
      </c>
      <c r="B454" s="1258" t="s">
        <v>965</v>
      </c>
      <c r="C454" s="1299">
        <f t="shared" si="14"/>
        <v>0.125</v>
      </c>
      <c r="D454" s="1229" t="s">
        <v>346</v>
      </c>
      <c r="E454" s="1814">
        <f>+OFICI</f>
        <v>80479.625344</v>
      </c>
      <c r="F454" s="1814"/>
      <c r="G454" s="1814"/>
      <c r="H454" s="1814">
        <f>+E454*C454</f>
        <v>10059.953168</v>
      </c>
      <c r="I454" s="1814"/>
    </row>
    <row r="455" spans="1:256" ht="15" customHeight="1">
      <c r="A455" s="1261" t="s">
        <v>172</v>
      </c>
      <c r="B455" s="1258" t="s">
        <v>189</v>
      </c>
      <c r="C455" s="1264">
        <v>1</v>
      </c>
      <c r="D455" s="1229" t="s">
        <v>583</v>
      </c>
      <c r="E455" s="1814">
        <f>+H456*0.05</f>
        <v>911.68325585000002</v>
      </c>
      <c r="F455" s="1814"/>
      <c r="G455" s="1814"/>
      <c r="H455" s="1814"/>
      <c r="I455" s="1814">
        <f>+E455*C455</f>
        <v>911.68325585000002</v>
      </c>
    </row>
    <row r="456" spans="1:256" ht="15" customHeight="1">
      <c r="A456" s="1265" t="s">
        <v>190</v>
      </c>
      <c r="B456" s="1266">
        <f>ROUND(SUM(F456:I456),0)</f>
        <v>169049</v>
      </c>
      <c r="C456" s="1263"/>
      <c r="D456" s="1229"/>
      <c r="E456" s="1814"/>
      <c r="F456" s="1814">
        <f>+SUM(F448:F455)</f>
        <v>148833.99416666667</v>
      </c>
      <c r="G456" s="1814">
        <f>+SUM(G448:G455)</f>
        <v>0</v>
      </c>
      <c r="H456" s="1814">
        <f>+SUM(H448:H455)</f>
        <v>18233.665117</v>
      </c>
      <c r="I456" s="1814">
        <f>+SUM(I448:I455)</f>
        <v>1981.002554095614</v>
      </c>
    </row>
    <row r="457" spans="1:256" ht="15" customHeight="1">
      <c r="A457" s="1265" t="s">
        <v>191</v>
      </c>
      <c r="B457" s="1414">
        <f>+B456</f>
        <v>169049</v>
      </c>
      <c r="C457" s="1901" t="s">
        <v>363</v>
      </c>
      <c r="E457" s="1280">
        <f>+B464*0.15</f>
        <v>156907.5</v>
      </c>
    </row>
    <row r="458" spans="1:256" s="2065" customFormat="1" ht="15" customHeight="1">
      <c r="A458" s="1909"/>
      <c r="B458" s="1910"/>
      <c r="C458" s="1910"/>
      <c r="D458" s="1910"/>
      <c r="E458" s="1910"/>
      <c r="F458" s="1910"/>
      <c r="G458" s="1910"/>
      <c r="H458" s="1910"/>
      <c r="I458" s="1910"/>
      <c r="J458" s="1910"/>
      <c r="K458" s="1910"/>
      <c r="L458" s="1910"/>
      <c r="M458" s="1910"/>
      <c r="N458" s="1910"/>
      <c r="O458" s="1910"/>
      <c r="P458" s="1910"/>
      <c r="Q458" s="1910"/>
      <c r="R458" s="1910"/>
      <c r="S458" s="1910"/>
      <c r="T458" s="1910"/>
      <c r="U458" s="1910"/>
      <c r="V458" s="1910"/>
      <c r="W458" s="1910"/>
      <c r="X458" s="1910"/>
      <c r="Y458" s="1910"/>
      <c r="Z458" s="1910"/>
      <c r="AA458" s="1910"/>
      <c r="AB458" s="1910"/>
      <c r="AC458" s="1910"/>
      <c r="AD458" s="1910"/>
      <c r="AE458" s="1910"/>
      <c r="AF458" s="1910"/>
      <c r="AG458" s="1910"/>
      <c r="AH458" s="1910"/>
      <c r="AI458" s="1910"/>
      <c r="AJ458" s="1910"/>
      <c r="AK458" s="1910"/>
      <c r="AL458" s="1910"/>
      <c r="AM458" s="1910"/>
      <c r="AN458" s="1910"/>
      <c r="AO458" s="1910"/>
      <c r="AP458" s="1910"/>
      <c r="AQ458" s="1910"/>
      <c r="AR458" s="1910"/>
      <c r="AS458" s="1910"/>
      <c r="AT458" s="1910"/>
      <c r="AU458" s="1910"/>
      <c r="AV458" s="1910"/>
      <c r="AW458" s="1910"/>
      <c r="AX458" s="1910"/>
      <c r="AY458" s="1910"/>
      <c r="AZ458" s="1910"/>
      <c r="BA458" s="1910"/>
      <c r="BB458" s="1910"/>
      <c r="BC458" s="1910"/>
      <c r="BD458" s="1910"/>
      <c r="BE458" s="1910"/>
      <c r="BF458" s="1910"/>
      <c r="BG458" s="1910"/>
      <c r="BH458" s="1910"/>
      <c r="BI458" s="1910"/>
      <c r="BJ458" s="1910"/>
      <c r="BK458" s="1910"/>
      <c r="BL458" s="1910"/>
      <c r="BM458" s="1910"/>
      <c r="BN458" s="1910"/>
      <c r="BO458" s="1910"/>
      <c r="BP458" s="1910"/>
      <c r="BQ458" s="1910"/>
      <c r="BR458" s="1910"/>
      <c r="BS458" s="1910"/>
      <c r="BT458" s="1910"/>
      <c r="BU458" s="1910"/>
      <c r="BV458" s="1910"/>
      <c r="BW458" s="1910"/>
      <c r="BX458" s="1910"/>
      <c r="BY458" s="1910"/>
      <c r="BZ458" s="1910"/>
      <c r="CA458" s="1910"/>
      <c r="CB458" s="1910"/>
      <c r="CC458" s="1910"/>
      <c r="CD458" s="1910"/>
      <c r="CE458" s="1910"/>
      <c r="CF458" s="1910"/>
      <c r="CG458" s="1910"/>
      <c r="CH458" s="1910"/>
      <c r="CI458" s="1910"/>
      <c r="CJ458" s="1910"/>
      <c r="CK458" s="1910"/>
      <c r="CL458" s="1910"/>
      <c r="CM458" s="1910"/>
      <c r="CN458" s="1910"/>
      <c r="CO458" s="1910"/>
      <c r="CP458" s="1910"/>
      <c r="CQ458" s="1910"/>
      <c r="CR458" s="1910"/>
      <c r="CS458" s="1910"/>
      <c r="CT458" s="1910"/>
      <c r="CU458" s="1910"/>
      <c r="CV458" s="1910"/>
      <c r="CW458" s="1910"/>
      <c r="CX458" s="1910"/>
      <c r="CY458" s="1910"/>
      <c r="CZ458" s="1910"/>
      <c r="DA458" s="1910"/>
      <c r="DB458" s="1910"/>
      <c r="DC458" s="1910"/>
      <c r="DD458" s="1910"/>
      <c r="DE458" s="1910"/>
      <c r="DF458" s="1910"/>
      <c r="DG458" s="1910"/>
      <c r="DH458" s="1910"/>
      <c r="DI458" s="1910"/>
      <c r="DJ458" s="1910"/>
      <c r="DK458" s="1910"/>
      <c r="DL458" s="1910"/>
      <c r="DM458" s="1910"/>
      <c r="DN458" s="1910"/>
      <c r="DO458" s="1910"/>
      <c r="DP458" s="1910"/>
      <c r="DQ458" s="1910"/>
      <c r="DR458" s="1910"/>
      <c r="DS458" s="1910"/>
      <c r="DT458" s="1910"/>
      <c r="DU458" s="1910"/>
      <c r="DV458" s="1910"/>
      <c r="DW458" s="1910"/>
      <c r="DX458" s="1910"/>
      <c r="DY458" s="1910"/>
      <c r="DZ458" s="1910"/>
      <c r="EA458" s="1910"/>
      <c r="EB458" s="1910"/>
      <c r="EC458" s="1910"/>
      <c r="ED458" s="1910"/>
      <c r="EE458" s="1910"/>
      <c r="EF458" s="1910"/>
      <c r="EG458" s="1910"/>
      <c r="EH458" s="1910"/>
      <c r="EI458" s="1910"/>
      <c r="EJ458" s="1910"/>
      <c r="EK458" s="1910"/>
      <c r="EL458" s="1910"/>
      <c r="EM458" s="1910"/>
      <c r="EN458" s="1910"/>
      <c r="EO458" s="1910"/>
      <c r="EP458" s="1910"/>
      <c r="EQ458" s="1910"/>
      <c r="ER458" s="1910"/>
      <c r="ES458" s="1910"/>
      <c r="ET458" s="1910"/>
      <c r="EU458" s="1910"/>
      <c r="EV458" s="1910"/>
      <c r="EW458" s="1910"/>
      <c r="EX458" s="1910"/>
      <c r="EY458" s="1910"/>
      <c r="EZ458" s="1910"/>
      <c r="FA458" s="1910"/>
      <c r="FB458" s="1910"/>
      <c r="FC458" s="1910"/>
      <c r="FD458" s="1910"/>
      <c r="FE458" s="1910"/>
      <c r="FF458" s="1910"/>
      <c r="FG458" s="1910"/>
      <c r="FH458" s="1910"/>
      <c r="FI458" s="1910"/>
      <c r="FJ458" s="1910"/>
      <c r="FK458" s="1910"/>
      <c r="FL458" s="1910"/>
      <c r="FM458" s="1910"/>
      <c r="FN458" s="1910"/>
      <c r="FO458" s="1910"/>
      <c r="FP458" s="1910"/>
      <c r="FQ458" s="1910"/>
      <c r="FR458" s="1910"/>
      <c r="FS458" s="1910"/>
      <c r="FT458" s="1910"/>
      <c r="FU458" s="1910"/>
      <c r="FV458" s="1910"/>
      <c r="FW458" s="1910"/>
      <c r="FX458" s="1910"/>
      <c r="FY458" s="1910"/>
      <c r="FZ458" s="1910"/>
      <c r="GA458" s="1910"/>
      <c r="GB458" s="1910"/>
      <c r="GC458" s="1910"/>
      <c r="GD458" s="1910"/>
      <c r="GE458" s="1910"/>
      <c r="GF458" s="1910"/>
      <c r="GG458" s="1910"/>
      <c r="GH458" s="1910"/>
      <c r="GI458" s="1910"/>
      <c r="GJ458" s="1910"/>
      <c r="GK458" s="1910"/>
      <c r="GL458" s="1910"/>
      <c r="GM458" s="1910"/>
      <c r="GN458" s="1910"/>
      <c r="GO458" s="1910"/>
      <c r="GP458" s="1910"/>
      <c r="GQ458" s="1910"/>
      <c r="GR458" s="1910"/>
      <c r="GS458" s="1910"/>
      <c r="GT458" s="1910"/>
      <c r="GU458" s="1910"/>
      <c r="GV458" s="1910"/>
      <c r="GW458" s="1910"/>
      <c r="GX458" s="1910"/>
      <c r="GY458" s="1910"/>
      <c r="GZ458" s="1910"/>
      <c r="HA458" s="1910"/>
      <c r="HB458" s="1910"/>
      <c r="HC458" s="1910"/>
      <c r="HD458" s="1910"/>
      <c r="HE458" s="1910"/>
      <c r="HF458" s="1910"/>
      <c r="HG458" s="1910"/>
      <c r="HH458" s="1910"/>
      <c r="HI458" s="1910"/>
      <c r="HJ458" s="1910"/>
      <c r="HK458" s="1910"/>
      <c r="HL458" s="1910"/>
      <c r="HM458" s="1910"/>
      <c r="HN458" s="1910"/>
      <c r="HO458" s="1910"/>
      <c r="HP458" s="1910"/>
      <c r="HQ458" s="1910"/>
      <c r="HR458" s="1910"/>
      <c r="HS458" s="1910"/>
      <c r="HT458" s="1910"/>
      <c r="HU458" s="1910"/>
      <c r="HV458" s="1910"/>
      <c r="HW458" s="1910"/>
      <c r="HX458" s="1910"/>
      <c r="HY458" s="1910"/>
      <c r="HZ458" s="1910"/>
      <c r="IA458" s="1910"/>
      <c r="IB458" s="1910"/>
      <c r="IC458" s="1910"/>
      <c r="ID458" s="1910"/>
      <c r="IE458" s="1910"/>
      <c r="IF458" s="1910"/>
      <c r="IG458" s="1910"/>
      <c r="IH458" s="1910"/>
      <c r="II458" s="1910"/>
      <c r="IJ458" s="1910"/>
      <c r="IK458" s="1910"/>
      <c r="IL458" s="1910"/>
      <c r="IM458" s="1910"/>
      <c r="IN458" s="1910"/>
      <c r="IO458" s="1910"/>
      <c r="IP458" s="1910"/>
      <c r="IQ458" s="1910"/>
      <c r="IR458" s="1910"/>
      <c r="IS458" s="1910"/>
      <c r="IT458" s="1910"/>
      <c r="IU458" s="1910"/>
      <c r="IV458" s="1910"/>
    </row>
    <row r="459" spans="1:256" ht="38.25" customHeight="1">
      <c r="A459" s="2168" t="str">
        <f>+'LINEAS IMPULSIÓN-CONDUCCIÓN'!A64</f>
        <v>1.6.5</v>
      </c>
      <c r="B459" s="3648" t="s">
        <v>6825</v>
      </c>
      <c r="C459" s="3649"/>
      <c r="D459" s="3649"/>
      <c r="E459" s="3649"/>
      <c r="F459" s="3649"/>
      <c r="G459" s="3649"/>
      <c r="H459" s="3649"/>
      <c r="I459" s="3650"/>
    </row>
    <row r="460" spans="1:256" ht="15" customHeight="1">
      <c r="A460" s="1261"/>
      <c r="B460" s="1258"/>
      <c r="C460" s="1264" t="s">
        <v>140</v>
      </c>
      <c r="D460" s="1229" t="s">
        <v>343</v>
      </c>
      <c r="E460" s="1814" t="s">
        <v>344</v>
      </c>
      <c r="F460" s="1814" t="s">
        <v>482</v>
      </c>
      <c r="G460" s="1814" t="s">
        <v>483</v>
      </c>
      <c r="H460" s="1814" t="s">
        <v>232</v>
      </c>
      <c r="I460" s="1814" t="s">
        <v>171</v>
      </c>
    </row>
    <row r="461" spans="1:256" ht="73.5" customHeight="1">
      <c r="A461" s="1261" t="s">
        <v>684</v>
      </c>
      <c r="B461" s="406" t="s">
        <v>6301</v>
      </c>
      <c r="C461" s="183">
        <v>1</v>
      </c>
      <c r="D461" s="509" t="s">
        <v>363</v>
      </c>
      <c r="E461" s="1804">
        <f>+'BASE 2'!D503</f>
        <v>1041250</v>
      </c>
      <c r="F461" s="1914"/>
      <c r="G461" s="1914">
        <f>+E461*C461</f>
        <v>1041250</v>
      </c>
      <c r="H461" s="1914"/>
      <c r="I461" s="1914"/>
    </row>
    <row r="462" spans="1:256" ht="15" customHeight="1">
      <c r="A462" s="1261" t="s">
        <v>584</v>
      </c>
      <c r="B462" s="1258" t="s">
        <v>134</v>
      </c>
      <c r="C462" s="183">
        <f>1/250</f>
        <v>4.0000000000000001E-3</v>
      </c>
      <c r="D462" s="1229" t="s">
        <v>476</v>
      </c>
      <c r="E462" s="1814">
        <f>+VIAJE</f>
        <v>1200000</v>
      </c>
      <c r="F462" s="1814"/>
      <c r="G462" s="1814"/>
      <c r="H462" s="1814"/>
      <c r="I462" s="1814">
        <f>+E462*C462</f>
        <v>4800</v>
      </c>
    </row>
    <row r="463" spans="1:256" ht="15" customHeight="1">
      <c r="A463" s="1265" t="s">
        <v>190</v>
      </c>
      <c r="B463" s="1266">
        <f>ROUND(SUM(F463:I463),0)</f>
        <v>1046050</v>
      </c>
      <c r="C463" s="1263"/>
      <c r="D463" s="1229"/>
      <c r="E463" s="1814"/>
      <c r="F463" s="1814">
        <f>+SUM(F461:F462)</f>
        <v>0</v>
      </c>
      <c r="G463" s="1814">
        <f>+SUM(G461:G462)</f>
        <v>1041250</v>
      </c>
      <c r="H463" s="1814">
        <f>+SUM(H461:H462)</f>
        <v>0</v>
      </c>
      <c r="I463" s="1814">
        <f>+SUM(I461:I462)</f>
        <v>4800</v>
      </c>
    </row>
    <row r="464" spans="1:256" ht="15" customHeight="1">
      <c r="A464" s="1265" t="s">
        <v>191</v>
      </c>
      <c r="B464" s="1414">
        <f>+B463</f>
        <v>1046050</v>
      </c>
      <c r="C464" s="1901" t="s">
        <v>363</v>
      </c>
    </row>
    <row r="466" spans="1:256" ht="38.25" customHeight="1">
      <c r="A466" s="433" t="str">
        <f>+'LINEAS IMPULSIÓN-CONDUCCIÓN'!A51</f>
        <v>1.5.9</v>
      </c>
      <c r="B466" s="3570" t="s">
        <v>5061</v>
      </c>
      <c r="C466" s="3571"/>
      <c r="D466" s="3571"/>
      <c r="E466" s="3571"/>
      <c r="F466" s="3571"/>
      <c r="G466" s="3571"/>
      <c r="H466" s="3571"/>
      <c r="I466" s="3572"/>
    </row>
    <row r="467" spans="1:256" ht="15" customHeight="1">
      <c r="A467" s="1261"/>
      <c r="B467" s="1258"/>
      <c r="C467" s="1264" t="s">
        <v>140</v>
      </c>
      <c r="D467" s="1229" t="s">
        <v>343</v>
      </c>
      <c r="E467" s="1814" t="s">
        <v>344</v>
      </c>
      <c r="F467" s="1814" t="s">
        <v>482</v>
      </c>
      <c r="G467" s="1814" t="s">
        <v>483</v>
      </c>
      <c r="H467" s="1814" t="s">
        <v>232</v>
      </c>
      <c r="I467" s="1814" t="s">
        <v>171</v>
      </c>
    </row>
    <row r="468" spans="1:256" s="499" customFormat="1" ht="15" customHeight="1">
      <c r="A468" s="954" t="s">
        <v>53</v>
      </c>
      <c r="B468" s="2706" t="s">
        <v>6499</v>
      </c>
      <c r="C468" s="1299">
        <f>1/10</f>
        <v>0.1</v>
      </c>
      <c r="D468" s="501" t="s">
        <v>346</v>
      </c>
      <c r="E468" s="1797">
        <f>+PLAELE</f>
        <v>204223.83333333331</v>
      </c>
      <c r="F468" s="497">
        <f>+E468*C468</f>
        <v>20422.383333333331</v>
      </c>
      <c r="G468" s="497"/>
      <c r="H468" s="497"/>
      <c r="I468" s="497"/>
      <c r="J468" s="498"/>
      <c r="K468" s="498"/>
      <c r="L468" s="498"/>
      <c r="M468" s="498"/>
      <c r="N468" s="498"/>
    </row>
    <row r="469" spans="1:256" ht="15" customHeight="1">
      <c r="A469" s="954" t="s">
        <v>47</v>
      </c>
      <c r="B469" s="231" t="s">
        <v>6422</v>
      </c>
      <c r="C469" s="1299">
        <f>1/10</f>
        <v>0.1</v>
      </c>
      <c r="D469" s="401" t="s">
        <v>346</v>
      </c>
      <c r="E469" s="1255">
        <f>+ETF315_</f>
        <v>986448.12</v>
      </c>
      <c r="F469" s="2683">
        <f>+E469*C469</f>
        <v>98644.812000000005</v>
      </c>
      <c r="G469" s="2683"/>
      <c r="H469" s="2683"/>
      <c r="I469" s="2683"/>
      <c r="J469" s="507"/>
      <c r="K469" s="402">
        <f>1/C469</f>
        <v>10</v>
      </c>
      <c r="L469" s="2705">
        <f>+L468/6</f>
        <v>0</v>
      </c>
    </row>
    <row r="470" spans="1:256" ht="15" customHeight="1">
      <c r="A470" s="1261"/>
      <c r="B470" s="1275" t="s">
        <v>1064</v>
      </c>
      <c r="C470" s="183">
        <f>1/600</f>
        <v>1.6666666666666668E-3</v>
      </c>
      <c r="D470" s="401" t="s">
        <v>476</v>
      </c>
      <c r="E470" s="1276">
        <v>500000</v>
      </c>
      <c r="F470" s="2683"/>
      <c r="G470" s="2683"/>
      <c r="H470" s="2683"/>
      <c r="I470" s="2683">
        <f>+E470*C470</f>
        <v>833.33333333333337</v>
      </c>
      <c r="J470" s="1260"/>
    </row>
    <row r="471" spans="1:256" s="499" customFormat="1" ht="15" customHeight="1">
      <c r="A471" s="954" t="s">
        <v>380</v>
      </c>
      <c r="B471" s="1908" t="s">
        <v>378</v>
      </c>
      <c r="C471" s="183">
        <f>1/57</f>
        <v>1.7543859649122806E-2</v>
      </c>
      <c r="D471" s="501" t="s">
        <v>238</v>
      </c>
      <c r="E471" s="1797">
        <f>+GASO</f>
        <v>8800</v>
      </c>
      <c r="F471" s="497"/>
      <c r="G471" s="497"/>
      <c r="H471" s="497"/>
      <c r="I471" s="497">
        <f>+E471*C471</f>
        <v>154.38596491228068</v>
      </c>
      <c r="J471" s="498"/>
      <c r="K471" s="498"/>
      <c r="L471" s="498"/>
      <c r="M471" s="498"/>
      <c r="N471" s="498"/>
    </row>
    <row r="472" spans="1:256" s="499" customFormat="1" ht="15" customHeight="1">
      <c r="A472" s="954" t="s">
        <v>382</v>
      </c>
      <c r="B472" s="1908" t="s">
        <v>381</v>
      </c>
      <c r="C472" s="183">
        <f>1/50</f>
        <v>0.02</v>
      </c>
      <c r="D472" s="501" t="s">
        <v>426</v>
      </c>
      <c r="E472" s="1797">
        <f>+ESTOP</f>
        <v>4080</v>
      </c>
      <c r="F472" s="497"/>
      <c r="G472" s="497"/>
      <c r="H472" s="497"/>
      <c r="I472" s="497">
        <f>+E472*C472</f>
        <v>81.600000000000009</v>
      </c>
      <c r="J472" s="498"/>
      <c r="K472" s="498"/>
      <c r="L472" s="498"/>
      <c r="M472" s="498"/>
      <c r="N472" s="498"/>
    </row>
    <row r="473" spans="1:256" ht="15" customHeight="1">
      <c r="A473" s="1261" t="s">
        <v>347</v>
      </c>
      <c r="B473" s="1258" t="str">
        <f>IF(PRESTA&gt;0,"AYUD. ENTENDIDO (INCLUYE "&amp;""&amp;PRESTA*100&amp;"% PRESTACIONES)",0)</f>
        <v>AYUD. ENTENDIDO (INCLUYE 82,22% PRESTACIONES)</v>
      </c>
      <c r="C473" s="1299">
        <f t="shared" ref="C473:C474" si="15">1/10</f>
        <v>0.1</v>
      </c>
      <c r="D473" s="1229" t="s">
        <v>346</v>
      </c>
      <c r="E473" s="1814">
        <f>+AYUDA</f>
        <v>65389.695592000004</v>
      </c>
      <c r="F473" s="1814"/>
      <c r="G473" s="1814"/>
      <c r="H473" s="1814">
        <f>+E473*C473</f>
        <v>6538.9695592000007</v>
      </c>
      <c r="I473" s="1814"/>
    </row>
    <row r="474" spans="1:256" ht="15" customHeight="1">
      <c r="A474" s="1261" t="s">
        <v>345</v>
      </c>
      <c r="B474" s="1258" t="str">
        <f>IF(PRESTA&gt;0,"OFICIAL (INCLUYE "&amp;""&amp;PRESTA*100&amp;"% PRESTACIONES)",0)</f>
        <v>OFICIAL (INCLUYE 82,22% PRESTACIONES)</v>
      </c>
      <c r="C474" s="1299">
        <f t="shared" si="15"/>
        <v>0.1</v>
      </c>
      <c r="D474" s="1229" t="s">
        <v>346</v>
      </c>
      <c r="E474" s="1814">
        <f>+OFICI</f>
        <v>80479.625344</v>
      </c>
      <c r="F474" s="1814"/>
      <c r="G474" s="1814"/>
      <c r="H474" s="1814">
        <f>+E474*C474</f>
        <v>8047.9625344000005</v>
      </c>
      <c r="I474" s="1814"/>
    </row>
    <row r="475" spans="1:256" ht="15" customHeight="1">
      <c r="A475" s="1261" t="s">
        <v>172</v>
      </c>
      <c r="B475" s="1258" t="s">
        <v>189</v>
      </c>
      <c r="C475" s="1264">
        <v>1</v>
      </c>
      <c r="D475" s="1229" t="s">
        <v>583</v>
      </c>
      <c r="E475" s="1814">
        <f>+H476*0.05</f>
        <v>729.34660468000004</v>
      </c>
      <c r="F475" s="1814"/>
      <c r="G475" s="1814"/>
      <c r="H475" s="1814"/>
      <c r="I475" s="1814">
        <f>+E475*C475</f>
        <v>729.34660468000004</v>
      </c>
    </row>
    <row r="476" spans="1:256" ht="15" customHeight="1">
      <c r="A476" s="1265" t="s">
        <v>190</v>
      </c>
      <c r="B476" s="1266">
        <f>ROUND(SUM(F476:I476),0)</f>
        <v>135453</v>
      </c>
      <c r="C476" s="1263"/>
      <c r="D476" s="1229"/>
      <c r="E476" s="1814"/>
      <c r="F476" s="1814">
        <f>+SUM(F468:F475)</f>
        <v>119067.19533333334</v>
      </c>
      <c r="G476" s="1814">
        <f t="shared" ref="G476:I476" si="16">+SUM(G468:G475)</f>
        <v>0</v>
      </c>
      <c r="H476" s="1814">
        <f t="shared" si="16"/>
        <v>14586.9320936</v>
      </c>
      <c r="I476" s="1814">
        <f t="shared" si="16"/>
        <v>1798.6659029256139</v>
      </c>
    </row>
    <row r="477" spans="1:256" ht="15.6" customHeight="1">
      <c r="A477" s="1265" t="s">
        <v>191</v>
      </c>
      <c r="B477" s="1414">
        <f>+B476</f>
        <v>135453</v>
      </c>
      <c r="C477" s="1901" t="s">
        <v>363</v>
      </c>
      <c r="E477" s="1280">
        <f>+B484*0.2</f>
        <v>122888</v>
      </c>
    </row>
    <row r="478" spans="1:256" s="2065" customFormat="1" ht="15.6" customHeight="1">
      <c r="A478" s="1909"/>
      <c r="B478" s="1910"/>
      <c r="C478" s="1910"/>
      <c r="D478" s="1910"/>
      <c r="E478" s="1910"/>
      <c r="F478" s="1910"/>
      <c r="G478" s="1910"/>
      <c r="H478" s="1910"/>
      <c r="I478" s="1910"/>
      <c r="J478" s="1910"/>
      <c r="K478" s="1910"/>
      <c r="L478" s="1910"/>
      <c r="M478" s="1910"/>
      <c r="N478" s="1910"/>
      <c r="O478" s="1910"/>
      <c r="P478" s="1910"/>
      <c r="Q478" s="1910"/>
      <c r="R478" s="1910"/>
      <c r="S478" s="1910"/>
      <c r="T478" s="1910"/>
      <c r="U478" s="1910"/>
      <c r="V478" s="1910"/>
      <c r="W478" s="1910"/>
      <c r="X478" s="1910"/>
      <c r="Y478" s="1910"/>
      <c r="Z478" s="1910"/>
      <c r="AA478" s="1910"/>
      <c r="AB478" s="1910"/>
      <c r="AC478" s="1910"/>
      <c r="AD478" s="1910"/>
      <c r="AE478" s="1910"/>
      <c r="AF478" s="1910"/>
      <c r="AG478" s="1910"/>
      <c r="AH478" s="1910"/>
      <c r="AI478" s="1910"/>
      <c r="AJ478" s="1910"/>
      <c r="AK478" s="1910"/>
      <c r="AL478" s="1910"/>
      <c r="AM478" s="1910"/>
      <c r="AN478" s="1910"/>
      <c r="AO478" s="1910"/>
      <c r="AP478" s="1910"/>
      <c r="AQ478" s="1910"/>
      <c r="AR478" s="1910"/>
      <c r="AS478" s="1910"/>
      <c r="AT478" s="1910"/>
      <c r="AU478" s="1910"/>
      <c r="AV478" s="1910"/>
      <c r="AW478" s="1910"/>
      <c r="AX478" s="1910"/>
      <c r="AY478" s="1910"/>
      <c r="AZ478" s="1910"/>
      <c r="BA478" s="1910"/>
      <c r="BB478" s="1910"/>
      <c r="BC478" s="1910"/>
      <c r="BD478" s="1910"/>
      <c r="BE478" s="1910"/>
      <c r="BF478" s="1910"/>
      <c r="BG478" s="1910"/>
      <c r="BH478" s="1910"/>
      <c r="BI478" s="1910"/>
      <c r="BJ478" s="1910"/>
      <c r="BK478" s="1910"/>
      <c r="BL478" s="1910"/>
      <c r="BM478" s="1910"/>
      <c r="BN478" s="1910"/>
      <c r="BO478" s="1910"/>
      <c r="BP478" s="1910"/>
      <c r="BQ478" s="1910"/>
      <c r="BR478" s="1910"/>
      <c r="BS478" s="1910"/>
      <c r="BT478" s="1910"/>
      <c r="BU478" s="1910"/>
      <c r="BV478" s="1910"/>
      <c r="BW478" s="1910"/>
      <c r="BX478" s="1910"/>
      <c r="BY478" s="1910"/>
      <c r="BZ478" s="1910"/>
      <c r="CA478" s="1910"/>
      <c r="CB478" s="1910"/>
      <c r="CC478" s="1910"/>
      <c r="CD478" s="1910"/>
      <c r="CE478" s="1910"/>
      <c r="CF478" s="1910"/>
      <c r="CG478" s="1910"/>
      <c r="CH478" s="1910"/>
      <c r="CI478" s="1910"/>
      <c r="CJ478" s="1910"/>
      <c r="CK478" s="1910"/>
      <c r="CL478" s="1910"/>
      <c r="CM478" s="1910"/>
      <c r="CN478" s="1910"/>
      <c r="CO478" s="1910"/>
      <c r="CP478" s="1910"/>
      <c r="CQ478" s="1910"/>
      <c r="CR478" s="1910"/>
      <c r="CS478" s="1910"/>
      <c r="CT478" s="1910"/>
      <c r="CU478" s="1910"/>
      <c r="CV478" s="1910"/>
      <c r="CW478" s="1910"/>
      <c r="CX478" s="1910"/>
      <c r="CY478" s="1910"/>
      <c r="CZ478" s="1910"/>
      <c r="DA478" s="1910"/>
      <c r="DB478" s="1910"/>
      <c r="DC478" s="1910"/>
      <c r="DD478" s="1910"/>
      <c r="DE478" s="1910"/>
      <c r="DF478" s="1910"/>
      <c r="DG478" s="1910"/>
      <c r="DH478" s="1910"/>
      <c r="DI478" s="1910"/>
      <c r="DJ478" s="1910"/>
      <c r="DK478" s="1910"/>
      <c r="DL478" s="1910"/>
      <c r="DM478" s="1910"/>
      <c r="DN478" s="1910"/>
      <c r="DO478" s="1910"/>
      <c r="DP478" s="1910"/>
      <c r="DQ478" s="1910"/>
      <c r="DR478" s="1910"/>
      <c r="DS478" s="1910"/>
      <c r="DT478" s="1910"/>
      <c r="DU478" s="1910"/>
      <c r="DV478" s="1910"/>
      <c r="DW478" s="1910"/>
      <c r="DX478" s="1910"/>
      <c r="DY478" s="1910"/>
      <c r="DZ478" s="1910"/>
      <c r="EA478" s="1910"/>
      <c r="EB478" s="1910"/>
      <c r="EC478" s="1910"/>
      <c r="ED478" s="1910"/>
      <c r="EE478" s="1910"/>
      <c r="EF478" s="1910"/>
      <c r="EG478" s="1910"/>
      <c r="EH478" s="1910"/>
      <c r="EI478" s="1910"/>
      <c r="EJ478" s="1910"/>
      <c r="EK478" s="1910"/>
      <c r="EL478" s="1910"/>
      <c r="EM478" s="1910"/>
      <c r="EN478" s="1910"/>
      <c r="EO478" s="1910"/>
      <c r="EP478" s="1910"/>
      <c r="EQ478" s="1910"/>
      <c r="ER478" s="1910"/>
      <c r="ES478" s="1910"/>
      <c r="ET478" s="1910"/>
      <c r="EU478" s="1910"/>
      <c r="EV478" s="1910"/>
      <c r="EW478" s="1910"/>
      <c r="EX478" s="1910"/>
      <c r="EY478" s="1910"/>
      <c r="EZ478" s="1910"/>
      <c r="FA478" s="1910"/>
      <c r="FB478" s="1910"/>
      <c r="FC478" s="1910"/>
      <c r="FD478" s="1910"/>
      <c r="FE478" s="1910"/>
      <c r="FF478" s="1910"/>
      <c r="FG478" s="1910"/>
      <c r="FH478" s="1910"/>
      <c r="FI478" s="1910"/>
      <c r="FJ478" s="1910"/>
      <c r="FK478" s="1910"/>
      <c r="FL478" s="1910"/>
      <c r="FM478" s="1910"/>
      <c r="FN478" s="1910"/>
      <c r="FO478" s="1910"/>
      <c r="FP478" s="1910"/>
      <c r="FQ478" s="1910"/>
      <c r="FR478" s="1910"/>
      <c r="FS478" s="1910"/>
      <c r="FT478" s="1910"/>
      <c r="FU478" s="1910"/>
      <c r="FV478" s="1910"/>
      <c r="FW478" s="1910"/>
      <c r="FX478" s="1910"/>
      <c r="FY478" s="1910"/>
      <c r="FZ478" s="1910"/>
      <c r="GA478" s="1910"/>
      <c r="GB478" s="1910"/>
      <c r="GC478" s="1910"/>
      <c r="GD478" s="1910"/>
      <c r="GE478" s="1910"/>
      <c r="GF478" s="1910"/>
      <c r="GG478" s="1910"/>
      <c r="GH478" s="1910"/>
      <c r="GI478" s="1910"/>
      <c r="GJ478" s="1910"/>
      <c r="GK478" s="1910"/>
      <c r="GL478" s="1910"/>
      <c r="GM478" s="1910"/>
      <c r="GN478" s="1910"/>
      <c r="GO478" s="1910"/>
      <c r="GP478" s="1910"/>
      <c r="GQ478" s="1910"/>
      <c r="GR478" s="1910"/>
      <c r="GS478" s="1910"/>
      <c r="GT478" s="1910"/>
      <c r="GU478" s="1910"/>
      <c r="GV478" s="1910"/>
      <c r="GW478" s="1910"/>
      <c r="GX478" s="1910"/>
      <c r="GY478" s="1910"/>
      <c r="GZ478" s="1910"/>
      <c r="HA478" s="1910"/>
      <c r="HB478" s="1910"/>
      <c r="HC478" s="1910"/>
      <c r="HD478" s="1910"/>
      <c r="HE478" s="1910"/>
      <c r="HF478" s="1910"/>
      <c r="HG478" s="1910"/>
      <c r="HH478" s="1910"/>
      <c r="HI478" s="1910"/>
      <c r="HJ478" s="1910"/>
      <c r="HK478" s="1910"/>
      <c r="HL478" s="1910"/>
      <c r="HM478" s="1910"/>
      <c r="HN478" s="1910"/>
      <c r="HO478" s="1910"/>
      <c r="HP478" s="1910"/>
      <c r="HQ478" s="1910"/>
      <c r="HR478" s="1910"/>
      <c r="HS478" s="1910"/>
      <c r="HT478" s="1910"/>
      <c r="HU478" s="1910"/>
      <c r="HV478" s="1910"/>
      <c r="HW478" s="1910"/>
      <c r="HX478" s="1910"/>
      <c r="HY478" s="1910"/>
      <c r="HZ478" s="1910"/>
      <c r="IA478" s="1910"/>
      <c r="IB478" s="1910"/>
      <c r="IC478" s="1910"/>
      <c r="ID478" s="1910"/>
      <c r="IE478" s="1910"/>
      <c r="IF478" s="1910"/>
      <c r="IG478" s="1910"/>
      <c r="IH478" s="1910"/>
      <c r="II478" s="1910"/>
      <c r="IJ478" s="1910"/>
      <c r="IK478" s="1910"/>
      <c r="IL478" s="1910"/>
      <c r="IM478" s="1910"/>
      <c r="IN478" s="1910"/>
      <c r="IO478" s="1910"/>
      <c r="IP478" s="1910"/>
      <c r="IQ478" s="1910"/>
      <c r="IR478" s="1910"/>
      <c r="IS478" s="1910"/>
      <c r="IT478" s="1910"/>
      <c r="IU478" s="1910"/>
      <c r="IV478" s="1910"/>
    </row>
    <row r="479" spans="1:256" ht="38.25" customHeight="1">
      <c r="A479" s="2168" t="str">
        <f>+'LINEAS IMPULSIÓN-CONDUCCIÓN'!A65</f>
        <v>1.6.6</v>
      </c>
      <c r="B479" s="3648" t="s">
        <v>6284</v>
      </c>
      <c r="C479" s="3649"/>
      <c r="D479" s="3649"/>
      <c r="E479" s="3649"/>
      <c r="F479" s="3649"/>
      <c r="G479" s="3649"/>
      <c r="H479" s="3649"/>
      <c r="I479" s="3650"/>
    </row>
    <row r="480" spans="1:256" ht="15" customHeight="1">
      <c r="A480" s="1261"/>
      <c r="B480" s="1258"/>
      <c r="C480" s="1264" t="s">
        <v>140</v>
      </c>
      <c r="D480" s="1229" t="s">
        <v>343</v>
      </c>
      <c r="E480" s="1814" t="s">
        <v>344</v>
      </c>
      <c r="F480" s="1814" t="s">
        <v>482</v>
      </c>
      <c r="G480" s="1814" t="s">
        <v>483</v>
      </c>
      <c r="H480" s="1814" t="s">
        <v>232</v>
      </c>
      <c r="I480" s="1814" t="s">
        <v>171</v>
      </c>
    </row>
    <row r="481" spans="1:14" ht="72">
      <c r="A481" s="1261" t="s">
        <v>686</v>
      </c>
      <c r="B481" s="242" t="s">
        <v>6302</v>
      </c>
      <c r="C481" s="183">
        <v>1</v>
      </c>
      <c r="D481" s="509" t="s">
        <v>363</v>
      </c>
      <c r="E481" s="1804">
        <f>+'BASE 2'!D504</f>
        <v>566440</v>
      </c>
      <c r="F481" s="1914"/>
      <c r="G481" s="1914">
        <f>+E481*C481</f>
        <v>566440</v>
      </c>
      <c r="H481" s="1914"/>
      <c r="I481" s="1914"/>
    </row>
    <row r="482" spans="1:14" ht="15" customHeight="1">
      <c r="A482" s="1261" t="s">
        <v>584</v>
      </c>
      <c r="B482" s="1258" t="s">
        <v>134</v>
      </c>
      <c r="C482" s="183">
        <f>1/25</f>
        <v>0.04</v>
      </c>
      <c r="D482" s="1229" t="s">
        <v>476</v>
      </c>
      <c r="E482" s="1814">
        <f>+VIAJE</f>
        <v>1200000</v>
      </c>
      <c r="F482" s="1814"/>
      <c r="G482" s="1814"/>
      <c r="H482" s="1814"/>
      <c r="I482" s="1814">
        <f>+E482*C482</f>
        <v>48000</v>
      </c>
    </row>
    <row r="483" spans="1:14" ht="15" customHeight="1">
      <c r="A483" s="1265" t="s">
        <v>190</v>
      </c>
      <c r="B483" s="1266">
        <f>ROUND(SUM(F483:I483),0)</f>
        <v>614440</v>
      </c>
      <c r="C483" s="1263"/>
      <c r="D483" s="1229"/>
      <c r="E483" s="1814"/>
      <c r="F483" s="1814">
        <f>+SUM(F481:F482)</f>
        <v>0</v>
      </c>
      <c r="G483" s="1814">
        <f>+SUM(G481:G482)</f>
        <v>566440</v>
      </c>
      <c r="H483" s="1814">
        <f>+SUM(H481:H482)</f>
        <v>0</v>
      </c>
      <c r="I483" s="1814">
        <f>+SUM(I481:I482)</f>
        <v>48000</v>
      </c>
    </row>
    <row r="484" spans="1:14" ht="15.6" customHeight="1">
      <c r="A484" s="1265" t="s">
        <v>191</v>
      </c>
      <c r="B484" s="1414">
        <f>+B483</f>
        <v>614440</v>
      </c>
      <c r="C484" s="1901" t="s">
        <v>363</v>
      </c>
    </row>
    <row r="486" spans="1:14" s="19" customFormat="1" ht="15" customHeight="1">
      <c r="A486" s="472" t="str">
        <f>+'LINEAS IMPULSIÓN-CONDUCCIÓN'!A52</f>
        <v>1.5.10</v>
      </c>
      <c r="B486" s="3652" t="s">
        <v>6951</v>
      </c>
      <c r="C486" s="3639"/>
      <c r="D486" s="3639"/>
      <c r="E486" s="3639"/>
      <c r="F486" s="3639"/>
      <c r="G486" s="3639"/>
      <c r="H486" s="3639"/>
      <c r="I486" s="3640"/>
      <c r="J486" s="367"/>
      <c r="K486" s="367"/>
      <c r="L486" s="367"/>
      <c r="M486" s="367"/>
    </row>
    <row r="487" spans="1:14" s="19" customFormat="1" ht="15" customHeight="1">
      <c r="A487" s="473"/>
      <c r="B487" s="474"/>
      <c r="C487" s="2688" t="s">
        <v>140</v>
      </c>
      <c r="D487" s="2688" t="s">
        <v>343</v>
      </c>
      <c r="E487" s="369" t="s">
        <v>344</v>
      </c>
      <c r="F487" s="369" t="s">
        <v>482</v>
      </c>
      <c r="G487" s="369" t="s">
        <v>483</v>
      </c>
      <c r="H487" s="369" t="s">
        <v>232</v>
      </c>
      <c r="I487" s="369" t="s">
        <v>171</v>
      </c>
      <c r="J487" s="367"/>
      <c r="K487" s="367"/>
      <c r="L487" s="367"/>
      <c r="M487" s="367"/>
    </row>
    <row r="488" spans="1:14" s="181" customFormat="1" ht="18">
      <c r="A488" s="1229"/>
      <c r="B488" s="1258" t="s">
        <v>6439</v>
      </c>
      <c r="C488" s="183">
        <v>4.3</v>
      </c>
      <c r="D488" s="401" t="s">
        <v>346</v>
      </c>
      <c r="E488" s="2683">
        <f>+OFICI*2</f>
        <v>160959.250688</v>
      </c>
      <c r="F488" s="2683"/>
      <c r="G488" s="2683"/>
      <c r="H488" s="1255">
        <f>+E488*C488</f>
        <v>692124.77795839997</v>
      </c>
      <c r="I488" s="2683"/>
    </row>
    <row r="489" spans="1:14" s="181" customFormat="1" ht="18">
      <c r="A489" s="1580"/>
      <c r="B489" s="185" t="s">
        <v>266</v>
      </c>
      <c r="C489" s="183">
        <v>4.3</v>
      </c>
      <c r="D489" s="401" t="s">
        <v>346</v>
      </c>
      <c r="E489" s="1255">
        <f>AYUDA*6</f>
        <v>392338.17355200002</v>
      </c>
      <c r="F489" s="1255"/>
      <c r="G489" s="1255"/>
      <c r="H489" s="1255">
        <f>+E489*C489</f>
        <v>1687054.1462735999</v>
      </c>
      <c r="I489" s="2683"/>
    </row>
    <row r="490" spans="1:14" s="499" customFormat="1" ht="15" customHeight="1">
      <c r="A490" s="954" t="s">
        <v>53</v>
      </c>
      <c r="B490" s="2706" t="s">
        <v>6499</v>
      </c>
      <c r="C490" s="183">
        <v>4.3</v>
      </c>
      <c r="D490" s="501" t="s">
        <v>346</v>
      </c>
      <c r="E490" s="1797">
        <f>+PLAELE</f>
        <v>204223.83333333331</v>
      </c>
      <c r="F490" s="497">
        <f>+E490*C490</f>
        <v>878162.48333333316</v>
      </c>
      <c r="G490" s="497"/>
      <c r="H490" s="497"/>
      <c r="I490" s="497"/>
      <c r="J490" s="498"/>
      <c r="K490" s="498"/>
      <c r="L490" s="498"/>
      <c r="M490" s="498"/>
      <c r="N490" s="498"/>
    </row>
    <row r="491" spans="1:14" ht="15" customHeight="1">
      <c r="A491" s="954" t="s">
        <v>47</v>
      </c>
      <c r="B491" s="231" t="s">
        <v>6422</v>
      </c>
      <c r="C491" s="183">
        <v>4.3</v>
      </c>
      <c r="D491" s="401" t="s">
        <v>346</v>
      </c>
      <c r="E491" s="1255">
        <f>+ETF315_</f>
        <v>986448.12</v>
      </c>
      <c r="F491" s="2683">
        <f>+E491*C491</f>
        <v>4241726.9160000002</v>
      </c>
      <c r="G491" s="2683"/>
      <c r="H491" s="2683"/>
      <c r="I491" s="2683"/>
      <c r="J491" s="507"/>
      <c r="K491" s="402">
        <f>1/C491</f>
        <v>0.23255813953488372</v>
      </c>
      <c r="L491" s="2705">
        <f>+L490/6</f>
        <v>0</v>
      </c>
    </row>
    <row r="492" spans="1:14" ht="15" customHeight="1">
      <c r="A492" s="435" t="s">
        <v>736</v>
      </c>
      <c r="B492" s="231" t="s">
        <v>6410</v>
      </c>
      <c r="C492" s="182">
        <v>8</v>
      </c>
      <c r="D492" s="2688" t="s">
        <v>735</v>
      </c>
      <c r="E492" s="497">
        <f>+RETRO</f>
        <v>150000</v>
      </c>
      <c r="F492" s="1585">
        <f>+E492*C492</f>
        <v>1200000</v>
      </c>
      <c r="G492" s="1585"/>
      <c r="H492" s="1585"/>
      <c r="I492" s="184"/>
      <c r="K492" s="402">
        <f>1/18</f>
        <v>5.5555555555555552E-2</v>
      </c>
    </row>
    <row r="493" spans="1:14" s="499" customFormat="1" ht="15" customHeight="1">
      <c r="A493" s="954" t="s">
        <v>380</v>
      </c>
      <c r="B493" s="1908" t="s">
        <v>378</v>
      </c>
      <c r="C493" s="183">
        <f>1/57</f>
        <v>1.7543859649122806E-2</v>
      </c>
      <c r="D493" s="501" t="s">
        <v>238</v>
      </c>
      <c r="E493" s="1797">
        <f>+GASO</f>
        <v>8800</v>
      </c>
      <c r="F493" s="497"/>
      <c r="G493" s="497"/>
      <c r="H493" s="497"/>
      <c r="I493" s="497">
        <f>+E493*C493</f>
        <v>154.38596491228068</v>
      </c>
      <c r="J493" s="498"/>
      <c r="K493" s="498"/>
      <c r="L493" s="498"/>
      <c r="M493" s="498"/>
      <c r="N493" s="498"/>
    </row>
    <row r="494" spans="1:14" s="499" customFormat="1" ht="15" customHeight="1">
      <c r="A494" s="954" t="s">
        <v>382</v>
      </c>
      <c r="B494" s="1908" t="s">
        <v>381</v>
      </c>
      <c r="C494" s="183">
        <f>1/50</f>
        <v>0.02</v>
      </c>
      <c r="D494" s="501" t="s">
        <v>426</v>
      </c>
      <c r="E494" s="1797">
        <f>+ESTOP</f>
        <v>4080</v>
      </c>
      <c r="F494" s="497"/>
      <c r="G494" s="497"/>
      <c r="H494" s="497"/>
      <c r="I494" s="497">
        <f>+E494*C494</f>
        <v>81.600000000000009</v>
      </c>
      <c r="J494" s="498"/>
      <c r="K494" s="498"/>
      <c r="L494" s="498"/>
      <c r="M494" s="498"/>
      <c r="N494" s="498"/>
    </row>
    <row r="495" spans="1:14" s="19" customFormat="1" ht="15" customHeight="1">
      <c r="A495" s="473" t="s">
        <v>172</v>
      </c>
      <c r="B495" s="185" t="s">
        <v>189</v>
      </c>
      <c r="C495" s="475">
        <v>1</v>
      </c>
      <c r="D495" s="2688" t="s">
        <v>583</v>
      </c>
      <c r="E495" s="452">
        <f>+H496*0.05</f>
        <v>118958.94621160001</v>
      </c>
      <c r="F495" s="452"/>
      <c r="G495" s="452"/>
      <c r="H495" s="452"/>
      <c r="I495" s="452">
        <f>+E495*C495</f>
        <v>118958.94621160001</v>
      </c>
      <c r="J495" s="367"/>
      <c r="K495" s="367"/>
      <c r="L495" s="367"/>
      <c r="M495" s="367"/>
    </row>
    <row r="496" spans="1:14" s="19" customFormat="1" ht="15" customHeight="1">
      <c r="A496" s="476" t="s">
        <v>190</v>
      </c>
      <c r="B496" s="353">
        <f>SUM(F496:I496)</f>
        <v>8818263.2557418458</v>
      </c>
      <c r="C496" s="477"/>
      <c r="D496" s="2688"/>
      <c r="E496" s="452"/>
      <c r="F496" s="452">
        <f>+SUM(F488:F495)</f>
        <v>6319889.3993333336</v>
      </c>
      <c r="G496" s="452">
        <f t="shared" ref="G496:I496" si="17">+SUM(G488:G495)</f>
        <v>0</v>
      </c>
      <c r="H496" s="452">
        <f t="shared" si="17"/>
        <v>2379178.924232</v>
      </c>
      <c r="I496" s="452">
        <f t="shared" si="17"/>
        <v>119194.93217651229</v>
      </c>
      <c r="J496" s="367"/>
      <c r="K496" s="367"/>
      <c r="L496" s="367"/>
      <c r="M496" s="367"/>
    </row>
    <row r="497" spans="1:13" s="19" customFormat="1" ht="15" customHeight="1">
      <c r="A497" s="476" t="s">
        <v>191</v>
      </c>
      <c r="B497" s="353">
        <f>+B496</f>
        <v>8818263.2557418458</v>
      </c>
      <c r="C497" s="478" t="s">
        <v>363</v>
      </c>
      <c r="D497" s="479"/>
      <c r="E497" s="2028">
        <f>+B510*0.15</f>
        <v>8767739.374499999</v>
      </c>
      <c r="F497" s="480"/>
      <c r="G497" s="481"/>
      <c r="H497" s="481"/>
      <c r="I497" s="481"/>
      <c r="J497" s="367"/>
      <c r="K497" s="367"/>
      <c r="L497" s="367"/>
      <c r="M497" s="367"/>
    </row>
    <row r="498" spans="1:13" s="19" customFormat="1" ht="15" customHeight="1">
      <c r="A498" s="479"/>
      <c r="B498" s="482"/>
      <c r="C498" s="483"/>
      <c r="D498" s="389"/>
      <c r="E498" s="484"/>
      <c r="F498" s="484"/>
      <c r="G498" s="484"/>
      <c r="H498" s="484"/>
      <c r="I498" s="484"/>
      <c r="J498" s="367"/>
      <c r="K498" s="367"/>
      <c r="L498" s="367"/>
      <c r="M498" s="367"/>
    </row>
    <row r="499" spans="1:13" s="19" customFormat="1" ht="15" customHeight="1">
      <c r="A499" s="2170" t="str">
        <f>+'LINEAS IMPULSIÓN-CONDUCCIÓN'!A66</f>
        <v>1.6.7</v>
      </c>
      <c r="B499" s="3653" t="s">
        <v>6950</v>
      </c>
      <c r="C499" s="3654"/>
      <c r="D499" s="3654"/>
      <c r="E499" s="3654"/>
      <c r="F499" s="3654"/>
      <c r="G499" s="3654"/>
      <c r="H499" s="3654"/>
      <c r="I499" s="3655"/>
      <c r="J499" s="367"/>
      <c r="K499" s="367"/>
      <c r="L499" s="367"/>
      <c r="M499" s="367"/>
    </row>
    <row r="500" spans="1:13" s="19" customFormat="1" ht="15" customHeight="1">
      <c r="A500" s="473"/>
      <c r="B500" s="474"/>
      <c r="C500" s="2688" t="s">
        <v>140</v>
      </c>
      <c r="D500" s="2688" t="s">
        <v>343</v>
      </c>
      <c r="E500" s="369" t="s">
        <v>344</v>
      </c>
      <c r="F500" s="369" t="s">
        <v>482</v>
      </c>
      <c r="G500" s="369" t="s">
        <v>483</v>
      </c>
      <c r="H500" s="369" t="s">
        <v>232</v>
      </c>
      <c r="I500" s="369" t="s">
        <v>171</v>
      </c>
      <c r="J500" s="367"/>
      <c r="K500" s="367"/>
      <c r="L500" s="367"/>
      <c r="M500" s="367"/>
    </row>
    <row r="501" spans="1:13" s="19" customFormat="1" ht="120.75" customHeight="1">
      <c r="A501" s="485"/>
      <c r="B501" s="323" t="s">
        <v>6486</v>
      </c>
      <c r="C501" s="475">
        <v>1</v>
      </c>
      <c r="D501" s="471" t="s">
        <v>363</v>
      </c>
      <c r="E501" s="452">
        <f>+'BASE 2'!D538</f>
        <v>17255000</v>
      </c>
      <c r="F501" s="452"/>
      <c r="G501" s="368">
        <f t="shared" ref="G501:G508" si="18">+E501*C501</f>
        <v>17255000</v>
      </c>
      <c r="H501" s="452"/>
      <c r="I501" s="452"/>
      <c r="J501" s="367"/>
      <c r="K501" s="367"/>
      <c r="L501" s="367"/>
      <c r="M501" s="367"/>
    </row>
    <row r="502" spans="1:13" s="19" customFormat="1" ht="15" customHeight="1">
      <c r="A502" s="485"/>
      <c r="B502" s="349" t="s">
        <v>6489</v>
      </c>
      <c r="C502" s="475">
        <v>1</v>
      </c>
      <c r="D502" s="471" t="s">
        <v>363</v>
      </c>
      <c r="E502" s="368">
        <f>+'BASE 2'!D502</f>
        <v>6128976</v>
      </c>
      <c r="F502" s="368"/>
      <c r="G502" s="368">
        <f>+E502*C502</f>
        <v>6128976</v>
      </c>
      <c r="H502" s="368"/>
      <c r="I502" s="368"/>
      <c r="J502" s="367"/>
      <c r="K502" s="367"/>
      <c r="L502" s="367"/>
      <c r="M502" s="367"/>
    </row>
    <row r="503" spans="1:13" s="19" customFormat="1" ht="15" customHeight="1">
      <c r="A503" s="485"/>
      <c r="B503" s="349" t="s">
        <v>6491</v>
      </c>
      <c r="C503" s="475">
        <v>1</v>
      </c>
      <c r="D503" s="1292" t="s">
        <v>363</v>
      </c>
      <c r="E503" s="369">
        <f>+'BASE 2'!D544</f>
        <v>10234881.789999999</v>
      </c>
      <c r="F503" s="1293"/>
      <c r="G503" s="1293">
        <f>+E503*C503</f>
        <v>10234881.789999999</v>
      </c>
      <c r="H503" s="1293"/>
      <c r="I503" s="1293"/>
      <c r="J503" s="367"/>
      <c r="K503" s="367"/>
      <c r="L503" s="367"/>
      <c r="M503" s="367"/>
    </row>
    <row r="504" spans="1:13" s="19" customFormat="1" ht="15" customHeight="1">
      <c r="A504" s="485"/>
      <c r="B504" s="486" t="s">
        <v>5097</v>
      </c>
      <c r="C504" s="475">
        <v>1</v>
      </c>
      <c r="D504" s="471" t="s">
        <v>363</v>
      </c>
      <c r="E504" s="452">
        <f>+'BASE 2'!D600</f>
        <v>13189122</v>
      </c>
      <c r="F504" s="452"/>
      <c r="G504" s="368">
        <f t="shared" si="18"/>
        <v>13189122</v>
      </c>
      <c r="H504" s="452"/>
      <c r="I504" s="452"/>
      <c r="J504" s="367"/>
      <c r="K504" s="367"/>
      <c r="L504" s="367"/>
      <c r="M504" s="367"/>
    </row>
    <row r="505" spans="1:13" s="19" customFormat="1" ht="15" customHeight="1">
      <c r="A505" s="485"/>
      <c r="B505" s="486" t="s">
        <v>5098</v>
      </c>
      <c r="C505" s="475">
        <v>1</v>
      </c>
      <c r="D505" s="471" t="s">
        <v>363</v>
      </c>
      <c r="E505" s="452">
        <f>+'BASE 2'!D599</f>
        <v>3981740</v>
      </c>
      <c r="F505" s="452"/>
      <c r="G505" s="368">
        <f t="shared" si="18"/>
        <v>3981740</v>
      </c>
      <c r="H505" s="452"/>
      <c r="I505" s="452"/>
      <c r="J505" s="367"/>
      <c r="K505" s="367"/>
      <c r="L505" s="367"/>
      <c r="M505" s="367"/>
    </row>
    <row r="506" spans="1:13" s="19" customFormat="1" ht="15" customHeight="1">
      <c r="A506" s="485"/>
      <c r="B506" s="349" t="s">
        <v>6438</v>
      </c>
      <c r="C506" s="1292">
        <v>8</v>
      </c>
      <c r="D506" s="1292" t="s">
        <v>363</v>
      </c>
      <c r="E506" s="369">
        <f>+'BASE 2'!D622</f>
        <v>295000</v>
      </c>
      <c r="F506" s="1293"/>
      <c r="G506" s="1293">
        <f t="shared" si="18"/>
        <v>2360000</v>
      </c>
      <c r="H506" s="1293"/>
      <c r="I506" s="1293"/>
      <c r="J506" s="367"/>
      <c r="K506" s="367"/>
      <c r="L506" s="367"/>
      <c r="M506" s="367"/>
    </row>
    <row r="507" spans="1:13" s="19" customFormat="1" ht="15" customHeight="1">
      <c r="A507" s="473"/>
      <c r="B507" s="349" t="s">
        <v>4353</v>
      </c>
      <c r="C507" s="475">
        <v>2</v>
      </c>
      <c r="D507" s="2687" t="s">
        <v>363</v>
      </c>
      <c r="E507" s="368">
        <f>+'BASE 2'!D659</f>
        <v>2290938.02</v>
      </c>
      <c r="F507" s="369"/>
      <c r="G507" s="369">
        <f t="shared" si="18"/>
        <v>4581876.04</v>
      </c>
      <c r="H507" s="369"/>
      <c r="I507" s="369"/>
      <c r="J507" s="367"/>
      <c r="K507" s="367"/>
      <c r="L507" s="367"/>
      <c r="M507" s="367"/>
    </row>
    <row r="508" spans="1:13" s="19" customFormat="1" ht="15" customHeight="1">
      <c r="A508" s="473"/>
      <c r="B508" s="474" t="s">
        <v>1293</v>
      </c>
      <c r="C508" s="451">
        <v>0.2</v>
      </c>
      <c r="D508" s="2688" t="s">
        <v>476</v>
      </c>
      <c r="E508" s="452">
        <v>1800000</v>
      </c>
      <c r="F508" s="452"/>
      <c r="G508" s="369">
        <f t="shared" si="18"/>
        <v>360000</v>
      </c>
      <c r="H508" s="452"/>
      <c r="I508" s="452">
        <f>+E508*C508</f>
        <v>360000</v>
      </c>
      <c r="J508" s="367"/>
      <c r="K508" s="367"/>
      <c r="L508" s="367"/>
      <c r="M508" s="367"/>
    </row>
    <row r="509" spans="1:13" s="19" customFormat="1" ht="15" customHeight="1">
      <c r="A509" s="476" t="s">
        <v>190</v>
      </c>
      <c r="B509" s="2166">
        <f>SUM(F509:I509)</f>
        <v>58451595.829999998</v>
      </c>
      <c r="C509" s="477"/>
      <c r="D509" s="2688"/>
      <c r="E509" s="452"/>
      <c r="F509" s="452"/>
      <c r="G509" s="452">
        <f>SUM(G501:G508)</f>
        <v>58091595.829999998</v>
      </c>
      <c r="H509" s="452">
        <f>SUM(H501:H508)</f>
        <v>0</v>
      </c>
      <c r="I509" s="452">
        <f>SUM(I501:I508)</f>
        <v>360000</v>
      </c>
      <c r="J509" s="367"/>
      <c r="K509" s="367"/>
      <c r="L509" s="367"/>
      <c r="M509" s="367"/>
    </row>
    <row r="510" spans="1:13" s="19" customFormat="1" ht="15" customHeight="1">
      <c r="A510" s="476" t="s">
        <v>191</v>
      </c>
      <c r="B510" s="2166">
        <f>+B509</f>
        <v>58451595.829999998</v>
      </c>
      <c r="C510" s="2167" t="s">
        <v>363</v>
      </c>
      <c r="D510" s="479"/>
      <c r="E510" s="480"/>
      <c r="F510" s="480"/>
      <c r="G510" s="481"/>
      <c r="H510" s="481"/>
      <c r="I510" s="481"/>
      <c r="J510" s="367"/>
      <c r="K510" s="367"/>
      <c r="L510" s="367"/>
      <c r="M510" s="367"/>
    </row>
    <row r="513" spans="1:12" ht="15" customHeight="1">
      <c r="A513" s="3632" t="s">
        <v>8030</v>
      </c>
      <c r="B513" s="3632"/>
      <c r="C513" s="3632"/>
      <c r="D513" s="3632"/>
      <c r="E513" s="3632"/>
      <c r="F513" s="3632"/>
      <c r="G513" s="3632"/>
      <c r="H513" s="3632"/>
      <c r="I513" s="3632"/>
      <c r="L513" s="1791"/>
    </row>
    <row r="515" spans="1:12" s="507" customFormat="1" ht="15" customHeight="1">
      <c r="A515" s="3616" t="s">
        <v>8031</v>
      </c>
      <c r="B515" s="3617"/>
      <c r="C515" s="3617"/>
      <c r="D515" s="3617"/>
      <c r="E515" s="3617"/>
      <c r="F515" s="3617"/>
      <c r="G515" s="3617"/>
      <c r="H515" s="3617"/>
      <c r="I515" s="3618"/>
    </row>
    <row r="517" spans="1:12" s="19" customFormat="1" ht="15" customHeight="1">
      <c r="A517" s="439" t="str">
        <f>+'LINEAS IMPULSIÓN-CONDUCCIÓN'!A88</f>
        <v>2.2.6</v>
      </c>
      <c r="B517" s="3638" t="s">
        <v>6257</v>
      </c>
      <c r="C517" s="3639"/>
      <c r="D517" s="3639"/>
      <c r="E517" s="3639"/>
      <c r="F517" s="3639"/>
      <c r="G517" s="3639"/>
      <c r="H517" s="3639"/>
      <c r="I517" s="3640"/>
      <c r="K517" s="23"/>
    </row>
    <row r="518" spans="1:12" s="19" customFormat="1" ht="15" customHeight="1">
      <c r="A518" s="440"/>
      <c r="B518" s="180"/>
      <c r="C518" s="2682" t="s">
        <v>140</v>
      </c>
      <c r="D518" s="2682" t="s">
        <v>343</v>
      </c>
      <c r="E518" s="2682" t="s">
        <v>344</v>
      </c>
      <c r="F518" s="2682" t="s">
        <v>482</v>
      </c>
      <c r="G518" s="2682" t="s">
        <v>483</v>
      </c>
      <c r="H518" s="2682" t="s">
        <v>170</v>
      </c>
      <c r="I518" s="2682" t="s">
        <v>171</v>
      </c>
      <c r="K518" s="23"/>
    </row>
    <row r="519" spans="1:12" s="19" customFormat="1" ht="15" customHeight="1">
      <c r="A519" s="440" t="s">
        <v>733</v>
      </c>
      <c r="B519" s="388" t="s">
        <v>6269</v>
      </c>
      <c r="C519" s="346">
        <f>1/1.5</f>
        <v>0.66666666666666663</v>
      </c>
      <c r="D519" s="160" t="s">
        <v>735</v>
      </c>
      <c r="E519" s="710">
        <f>+COMPR</f>
        <v>73000</v>
      </c>
      <c r="F519" s="347">
        <f>+E519*C519</f>
        <v>48666.666666666664</v>
      </c>
      <c r="G519" s="347"/>
      <c r="H519" s="347"/>
      <c r="I519" s="347"/>
      <c r="K519" s="23"/>
    </row>
    <row r="520" spans="1:12" s="19" customFormat="1" ht="15" customHeight="1">
      <c r="A520" s="440" t="s">
        <v>172</v>
      </c>
      <c r="B520" s="388" t="s">
        <v>189</v>
      </c>
      <c r="C520" s="346">
        <v>1</v>
      </c>
      <c r="D520" s="160" t="s">
        <v>583</v>
      </c>
      <c r="E520" s="347">
        <f>+H522*0.05</f>
        <v>209.58235766666667</v>
      </c>
      <c r="F520" s="347"/>
      <c r="G520" s="347"/>
      <c r="H520" s="347"/>
      <c r="I520" s="347">
        <f>+E520*C520</f>
        <v>209.58235766666667</v>
      </c>
      <c r="K520" s="23"/>
    </row>
    <row r="521" spans="1:12" s="19" customFormat="1" ht="15" customHeight="1">
      <c r="A521" s="440" t="s">
        <v>348</v>
      </c>
      <c r="B521" s="388" t="s">
        <v>1109</v>
      </c>
      <c r="C521" s="346">
        <f>1/(1.5*8)</f>
        <v>8.3333333333333329E-2</v>
      </c>
      <c r="D521" s="160" t="s">
        <v>346</v>
      </c>
      <c r="E521" s="347">
        <f>+AYUDR</f>
        <v>50299.76584</v>
      </c>
      <c r="F521" s="347"/>
      <c r="G521" s="347"/>
      <c r="H521" s="347">
        <f>+E521*C521</f>
        <v>4191.6471533333333</v>
      </c>
      <c r="I521" s="347"/>
      <c r="K521" s="23"/>
    </row>
    <row r="522" spans="1:12" s="19" customFormat="1" ht="15" customHeight="1">
      <c r="A522" s="442" t="s">
        <v>190</v>
      </c>
      <c r="B522" s="351">
        <f>SUM(F522:I522)</f>
        <v>53067.896177666662</v>
      </c>
      <c r="C522" s="2687"/>
      <c r="D522" s="160"/>
      <c r="E522" s="2682"/>
      <c r="F522" s="347">
        <f>SUM(F519:F521)</f>
        <v>48666.666666666664</v>
      </c>
      <c r="G522" s="347">
        <f>SUM(G519:G521)</f>
        <v>0</v>
      </c>
      <c r="H522" s="347">
        <f>SUM(H519:H521)</f>
        <v>4191.6471533333333</v>
      </c>
      <c r="I522" s="347">
        <f>SUM(I519:I521)</f>
        <v>209.58235766666667</v>
      </c>
      <c r="K522" s="23"/>
    </row>
    <row r="523" spans="1:12" s="19" customFormat="1" ht="15" customHeight="1">
      <c r="A523" s="442" t="s">
        <v>191</v>
      </c>
      <c r="B523" s="353">
        <f>+ROUNDUP(B522,0)</f>
        <v>53068</v>
      </c>
      <c r="C523" s="354" t="s">
        <v>356</v>
      </c>
      <c r="D523" s="55"/>
      <c r="E523" s="55"/>
      <c r="F523" s="55"/>
      <c r="G523" s="55"/>
      <c r="H523" s="55"/>
      <c r="I523" s="55"/>
      <c r="J523" s="55"/>
      <c r="K523" s="23"/>
    </row>
    <row r="524" spans="1:12" s="2321" customFormat="1" ht="15" customHeight="1">
      <c r="A524" s="2318"/>
      <c r="B524" s="2707"/>
      <c r="C524" s="2319"/>
      <c r="D524" s="2320"/>
      <c r="E524" s="2320"/>
      <c r="F524" s="2320"/>
      <c r="G524" s="2320"/>
      <c r="H524" s="2320"/>
      <c r="I524" s="2320"/>
      <c r="J524" s="2320"/>
      <c r="K524" s="1527"/>
    </row>
    <row r="525" spans="1:12" s="507" customFormat="1" ht="15" customHeight="1">
      <c r="A525" s="3634" t="s">
        <v>8032</v>
      </c>
      <c r="B525" s="3634"/>
      <c r="C525" s="3634"/>
      <c r="D525" s="3634"/>
      <c r="E525" s="3634"/>
      <c r="F525" s="3634"/>
      <c r="G525" s="3634"/>
      <c r="H525" s="3634"/>
      <c r="I525" s="3634"/>
    </row>
    <row r="526" spans="1:12" s="2321" customFormat="1" ht="15" customHeight="1">
      <c r="A526" s="2322"/>
      <c r="B526" s="2708"/>
      <c r="C526" s="2323"/>
      <c r="D526" s="2324"/>
      <c r="E526" s="2324"/>
      <c r="F526" s="2324"/>
      <c r="G526" s="2324"/>
      <c r="H526" s="2324"/>
      <c r="I526" s="2324"/>
      <c r="J526" s="2320"/>
      <c r="K526" s="1527"/>
    </row>
    <row r="527" spans="1:12" s="499" customFormat="1" ht="40.5" customHeight="1">
      <c r="A527" s="449" t="str">
        <f>+'LINEAS IMPULSIÓN-CONDUCCIÓN'!A97</f>
        <v>2.3.8</v>
      </c>
      <c r="B527" s="3635" t="s">
        <v>5744</v>
      </c>
      <c r="C527" s="3635"/>
      <c r="D527" s="3635"/>
      <c r="E527" s="3635"/>
      <c r="F527" s="3635"/>
      <c r="G527" s="3635"/>
      <c r="H527" s="3635"/>
      <c r="I527" s="3635"/>
    </row>
    <row r="528" spans="1:12" s="499" customFormat="1" ht="15" customHeight="1">
      <c r="A528" s="1261"/>
      <c r="B528" s="407"/>
      <c r="C528" s="1796" t="s">
        <v>140</v>
      </c>
      <c r="D528" s="2681" t="s">
        <v>343</v>
      </c>
      <c r="E528" s="1797" t="s">
        <v>344</v>
      </c>
      <c r="F528" s="509" t="s">
        <v>482</v>
      </c>
      <c r="G528" s="509" t="s">
        <v>483</v>
      </c>
      <c r="H528" s="509" t="s">
        <v>232</v>
      </c>
      <c r="I528" s="509" t="s">
        <v>171</v>
      </c>
    </row>
    <row r="529" spans="1:9" s="499" customFormat="1" ht="63.75" customHeight="1">
      <c r="A529" s="1261" t="s">
        <v>736</v>
      </c>
      <c r="B529" s="1713" t="s">
        <v>6311</v>
      </c>
      <c r="C529" s="182">
        <v>1</v>
      </c>
      <c r="D529" s="509" t="s">
        <v>45</v>
      </c>
      <c r="E529" s="1412">
        <f>1050000*1.49</f>
        <v>1564500</v>
      </c>
      <c r="F529" s="1412">
        <f>+E529*C529</f>
        <v>1564500</v>
      </c>
      <c r="G529" s="1412"/>
      <c r="H529" s="1412"/>
      <c r="I529" s="1412"/>
    </row>
    <row r="530" spans="1:9" s="499" customFormat="1" ht="18.75" customHeight="1">
      <c r="A530" s="1261"/>
      <c r="B530" s="1713" t="s">
        <v>6498</v>
      </c>
      <c r="C530" s="182">
        <v>1</v>
      </c>
      <c r="D530" s="509" t="s">
        <v>45</v>
      </c>
      <c r="E530" s="1412">
        <f>+'BASE 2'!D187</f>
        <v>805623</v>
      </c>
      <c r="F530" s="1412"/>
      <c r="G530" s="1412">
        <f>+E530*C530</f>
        <v>805623</v>
      </c>
      <c r="H530" s="1412"/>
      <c r="I530" s="1412"/>
    </row>
    <row r="531" spans="1:9" s="499" customFormat="1" ht="15" customHeight="1">
      <c r="A531" s="1265" t="s">
        <v>190</v>
      </c>
      <c r="B531" s="1266">
        <f>ROUND(SUM(F531:I531),0)</f>
        <v>2370123</v>
      </c>
      <c r="C531" s="1796"/>
      <c r="D531" s="509"/>
      <c r="E531" s="1412"/>
      <c r="F531" s="1412">
        <f>+SUM(F529:F529)</f>
        <v>1564500</v>
      </c>
      <c r="G531" s="1412">
        <f>+SUM(G529:G530)</f>
        <v>805623</v>
      </c>
      <c r="H531" s="1412">
        <f>+SUM(H529:H529)</f>
        <v>0</v>
      </c>
      <c r="I531" s="1412">
        <f>+SUM(I529:I529)</f>
        <v>0</v>
      </c>
    </row>
    <row r="532" spans="1:9" s="499" customFormat="1" ht="15" customHeight="1">
      <c r="A532" s="1265" t="s">
        <v>191</v>
      </c>
      <c r="B532" s="1587">
        <f>+B531</f>
        <v>2370123</v>
      </c>
      <c r="C532" s="1714" t="s">
        <v>45</v>
      </c>
      <c r="D532" s="1798"/>
      <c r="E532" s="1798"/>
      <c r="F532" s="1798"/>
      <c r="G532" s="1798"/>
      <c r="H532" s="1798"/>
      <c r="I532" s="1798"/>
    </row>
    <row r="533" spans="1:9" s="2713" customFormat="1" ht="15" customHeight="1">
      <c r="A533" s="2709"/>
      <c r="B533" s="2710"/>
      <c r="C533" s="2711"/>
      <c r="D533" s="2712"/>
      <c r="E533" s="2712"/>
      <c r="F533" s="2712"/>
      <c r="G533" s="2712"/>
      <c r="H533" s="2712"/>
      <c r="I533" s="2712"/>
    </row>
    <row r="534" spans="1:9" s="507" customFormat="1" ht="15" customHeight="1">
      <c r="A534" s="3634" t="s">
        <v>8033</v>
      </c>
      <c r="B534" s="3634"/>
      <c r="C534" s="3634"/>
      <c r="D534" s="3634"/>
      <c r="E534" s="3634"/>
      <c r="F534" s="3634"/>
      <c r="G534" s="3634"/>
      <c r="H534" s="3634"/>
      <c r="I534" s="3634"/>
    </row>
    <row r="535" spans="1:9" s="2718" customFormat="1" ht="15" customHeight="1">
      <c r="A535" s="2714"/>
      <c r="B535" s="2715"/>
      <c r="C535" s="2716"/>
      <c r="D535" s="2717"/>
      <c r="E535" s="2717"/>
      <c r="F535" s="2717"/>
      <c r="G535" s="2717"/>
      <c r="H535" s="2717"/>
      <c r="I535" s="2717"/>
    </row>
    <row r="536" spans="1:9" s="389" customFormat="1" ht="15" customHeight="1">
      <c r="A536" s="439" t="str">
        <f>+'LINEAS IMPULSIÓN-CONDUCCIÓN'!A105</f>
        <v>2.4.7</v>
      </c>
      <c r="B536" s="3656" t="s">
        <v>1130</v>
      </c>
      <c r="C536" s="3656"/>
      <c r="D536" s="3656"/>
      <c r="E536" s="3656"/>
      <c r="F536" s="3656"/>
      <c r="G536" s="3656"/>
      <c r="H536" s="3656"/>
      <c r="I536" s="3656"/>
    </row>
    <row r="537" spans="1:9" s="389" customFormat="1" ht="15" customHeight="1">
      <c r="A537" s="440"/>
      <c r="B537" s="390"/>
      <c r="C537" s="391" t="s">
        <v>140</v>
      </c>
      <c r="D537" s="391" t="s">
        <v>343</v>
      </c>
      <c r="E537" s="392" t="s">
        <v>344</v>
      </c>
      <c r="F537" s="393" t="s">
        <v>482</v>
      </c>
      <c r="G537" s="393" t="s">
        <v>483</v>
      </c>
      <c r="H537" s="393" t="s">
        <v>232</v>
      </c>
      <c r="I537" s="393" t="s">
        <v>171</v>
      </c>
    </row>
    <row r="538" spans="1:9" s="389" customFormat="1" ht="15" customHeight="1">
      <c r="A538" s="441" t="s">
        <v>1131</v>
      </c>
      <c r="B538" s="379" t="s">
        <v>1132</v>
      </c>
      <c r="C538" s="34">
        <v>1.2</v>
      </c>
      <c r="D538" s="394" t="s">
        <v>356</v>
      </c>
      <c r="E538" s="392">
        <v>550000</v>
      </c>
      <c r="F538" s="392"/>
      <c r="G538" s="392">
        <f>C538*E538</f>
        <v>660000</v>
      </c>
      <c r="H538" s="392"/>
      <c r="I538" s="392"/>
    </row>
    <row r="539" spans="1:9" s="389" customFormat="1" ht="15" customHeight="1">
      <c r="A539" s="440" t="s">
        <v>172</v>
      </c>
      <c r="B539" s="379" t="s">
        <v>189</v>
      </c>
      <c r="C539" s="370">
        <v>1</v>
      </c>
      <c r="D539" s="395" t="s">
        <v>583</v>
      </c>
      <c r="E539" s="392">
        <f>+H546*0.05</f>
        <v>1532.5709904375003</v>
      </c>
      <c r="F539" s="393"/>
      <c r="G539" s="393"/>
      <c r="H539" s="393"/>
      <c r="I539" s="393">
        <f>+E539*C539</f>
        <v>1532.5709904375003</v>
      </c>
    </row>
    <row r="540" spans="1:9" s="389" customFormat="1" ht="15" customHeight="1">
      <c r="A540" s="441" t="s">
        <v>738</v>
      </c>
      <c r="B540" s="379" t="s">
        <v>1133</v>
      </c>
      <c r="C540" s="370">
        <f>1/0.8</f>
        <v>1.25</v>
      </c>
      <c r="D540" s="333" t="s">
        <v>735</v>
      </c>
      <c r="E540" s="392">
        <f>+CANGU</f>
        <v>11625</v>
      </c>
      <c r="F540" s="392">
        <f>E540*C540</f>
        <v>14531.25</v>
      </c>
      <c r="G540" s="392"/>
      <c r="H540" s="396"/>
      <c r="I540" s="393">
        <f>+E540*C540</f>
        <v>14531.25</v>
      </c>
    </row>
    <row r="541" spans="1:9" s="389" customFormat="1" ht="15" customHeight="1">
      <c r="A541" s="440" t="s">
        <v>1134</v>
      </c>
      <c r="B541" s="379" t="s">
        <v>649</v>
      </c>
      <c r="C541" s="370">
        <v>1</v>
      </c>
      <c r="D541" s="397" t="s">
        <v>346</v>
      </c>
      <c r="E541" s="392">
        <f>+IMPRI</f>
        <v>4843.76</v>
      </c>
      <c r="F541" s="393"/>
      <c r="G541" s="393">
        <f>E541*C541</f>
        <v>4843.76</v>
      </c>
      <c r="H541" s="393"/>
      <c r="I541" s="393"/>
    </row>
    <row r="542" spans="1:9" s="389" customFormat="1" ht="15" customHeight="1">
      <c r="A542" s="440" t="s">
        <v>651</v>
      </c>
      <c r="B542" s="379" t="s">
        <v>652</v>
      </c>
      <c r="C542" s="370">
        <v>15</v>
      </c>
      <c r="D542" s="397" t="s">
        <v>356</v>
      </c>
      <c r="E542" s="392">
        <f>RLIGA</f>
        <v>1155</v>
      </c>
      <c r="F542" s="393"/>
      <c r="G542" s="393">
        <f>E542*C542</f>
        <v>17325</v>
      </c>
      <c r="H542" s="393"/>
      <c r="I542" s="393"/>
    </row>
    <row r="543" spans="1:9" s="389" customFormat="1" ht="15" customHeight="1">
      <c r="A543" s="441" t="s">
        <v>1135</v>
      </c>
      <c r="B543" s="379" t="s">
        <v>965</v>
      </c>
      <c r="C543" s="370">
        <f>1/(0.8*8)</f>
        <v>0.15625</v>
      </c>
      <c r="D543" s="397" t="s">
        <v>346</v>
      </c>
      <c r="E543" s="369">
        <f>OFICI</f>
        <v>80479.625344</v>
      </c>
      <c r="F543" s="393"/>
      <c r="G543" s="393"/>
      <c r="H543" s="393">
        <f>E543*C543</f>
        <v>12574.94146</v>
      </c>
      <c r="I543" s="393"/>
    </row>
    <row r="544" spans="1:9" s="389" customFormat="1" ht="15" customHeight="1">
      <c r="A544" s="441" t="s">
        <v>1136</v>
      </c>
      <c r="B544" s="379" t="s">
        <v>266</v>
      </c>
      <c r="C544" s="370">
        <f t="shared" ref="C544:C545" si="19">1/(0.8*8)</f>
        <v>0.15625</v>
      </c>
      <c r="D544" s="397" t="s">
        <v>346</v>
      </c>
      <c r="E544" s="369">
        <f>AYUDA</f>
        <v>65389.695592000004</v>
      </c>
      <c r="F544" s="393"/>
      <c r="G544" s="393"/>
      <c r="H544" s="393">
        <f>+E544*C544</f>
        <v>10217.139936250001</v>
      </c>
      <c r="I544" s="393"/>
    </row>
    <row r="545" spans="1:14" s="389" customFormat="1" ht="15" customHeight="1">
      <c r="A545" s="441" t="s">
        <v>1137</v>
      </c>
      <c r="B545" s="379" t="s">
        <v>6954</v>
      </c>
      <c r="C545" s="370">
        <f t="shared" si="19"/>
        <v>0.15625</v>
      </c>
      <c r="D545" s="397" t="s">
        <v>346</v>
      </c>
      <c r="E545" s="369">
        <f>AYUDR</f>
        <v>50299.76584</v>
      </c>
      <c r="F545" s="393"/>
      <c r="G545" s="393"/>
      <c r="H545" s="393">
        <f>E545*C545</f>
        <v>7859.3384125000002</v>
      </c>
      <c r="I545" s="393"/>
    </row>
    <row r="546" spans="1:14" s="389" customFormat="1" ht="15" customHeight="1">
      <c r="A546" s="442" t="s">
        <v>190</v>
      </c>
      <c r="B546" s="351">
        <f>SUM(F546:I546)</f>
        <v>743415.25079918758</v>
      </c>
      <c r="C546" s="373"/>
      <c r="D546" s="395"/>
      <c r="E546" s="392"/>
      <c r="F546" s="393">
        <f>SUM(F538:F545)</f>
        <v>14531.25</v>
      </c>
      <c r="G546" s="393">
        <f>SUM(G538:G545)</f>
        <v>682168.76</v>
      </c>
      <c r="H546" s="393">
        <f>SUM(H538:H545)</f>
        <v>30651.419808750004</v>
      </c>
      <c r="I546" s="393">
        <f>SUM(I538:I545)</f>
        <v>16063.8209904375</v>
      </c>
    </row>
    <row r="547" spans="1:14" s="389" customFormat="1" ht="15" customHeight="1">
      <c r="A547" s="442" t="s">
        <v>191</v>
      </c>
      <c r="B547" s="351">
        <f>+B546</f>
        <v>743415.25079918758</v>
      </c>
      <c r="C547" s="356" t="s">
        <v>356</v>
      </c>
      <c r="D547" s="398"/>
      <c r="E547" s="398"/>
      <c r="F547" s="398"/>
      <c r="G547" s="398"/>
      <c r="H547" s="398"/>
      <c r="I547" s="398"/>
    </row>
    <row r="548" spans="1:14" s="2718" customFormat="1" ht="15" customHeight="1">
      <c r="A548" s="2714"/>
      <c r="B548" s="2715"/>
      <c r="C548" s="2716"/>
      <c r="D548" s="2717"/>
      <c r="E548" s="2717"/>
      <c r="F548" s="2717"/>
      <c r="G548" s="2717"/>
      <c r="H548" s="2717"/>
      <c r="I548" s="2717"/>
    </row>
    <row r="549" spans="1:14" s="507" customFormat="1" ht="15" customHeight="1">
      <c r="A549" s="3634" t="s">
        <v>8034</v>
      </c>
      <c r="B549" s="3634"/>
      <c r="C549" s="3634"/>
      <c r="D549" s="3634"/>
      <c r="E549" s="3634"/>
      <c r="F549" s="3634"/>
      <c r="G549" s="3634"/>
      <c r="H549" s="3634"/>
      <c r="I549" s="3634"/>
    </row>
    <row r="550" spans="1:14" s="2718" customFormat="1" ht="15" customHeight="1">
      <c r="A550" s="2714"/>
      <c r="B550" s="2715"/>
      <c r="C550" s="2716"/>
      <c r="D550" s="2717"/>
      <c r="E550" s="2717"/>
      <c r="F550" s="2717"/>
      <c r="G550" s="2717"/>
      <c r="H550" s="2717"/>
      <c r="I550" s="2717"/>
    </row>
    <row r="551" spans="1:14" s="507" customFormat="1" ht="36.75" customHeight="1">
      <c r="A551" s="2171" t="str">
        <f>+CONCATENATE('LINEAS IMPULSIÓN-CONDUCCIÓN'!A107,"  ",'LINEAS IMPULSIÓN-CONDUCCIÓN'!A176)</f>
        <v>2.5.1  3.5.1</v>
      </c>
      <c r="B551" s="2172" t="s">
        <v>6503</v>
      </c>
      <c r="C551" s="2685"/>
      <c r="D551" s="2685"/>
      <c r="E551" s="2685"/>
      <c r="F551" s="2685"/>
      <c r="G551" s="2685"/>
      <c r="H551" s="2685"/>
      <c r="I551" s="2686"/>
      <c r="K551" s="402"/>
      <c r="L551" s="402"/>
      <c r="M551" s="402"/>
      <c r="N551" s="402"/>
    </row>
    <row r="552" spans="1:14" ht="15" customHeight="1">
      <c r="A552" s="509"/>
      <c r="B552" s="355"/>
      <c r="C552" s="2688" t="s">
        <v>140</v>
      </c>
      <c r="D552" s="2688" t="s">
        <v>343</v>
      </c>
      <c r="E552" s="368" t="s">
        <v>344</v>
      </c>
      <c r="F552" s="369" t="s">
        <v>482</v>
      </c>
      <c r="G552" s="369" t="s">
        <v>483</v>
      </c>
      <c r="H552" s="369" t="s">
        <v>232</v>
      </c>
      <c r="I552" s="369" t="s">
        <v>171</v>
      </c>
    </row>
    <row r="553" spans="1:14" ht="65.25" customHeight="1">
      <c r="A553" s="509" t="s">
        <v>246</v>
      </c>
      <c r="B553" s="450" t="s">
        <v>6504</v>
      </c>
      <c r="C553" s="451">
        <v>1</v>
      </c>
      <c r="D553" s="2688" t="s">
        <v>363</v>
      </c>
      <c r="E553" s="368">
        <f>+'BASE 2'!D540</f>
        <v>175000</v>
      </c>
      <c r="F553" s="369"/>
      <c r="G553" s="369">
        <f>+E553*C553</f>
        <v>175000</v>
      </c>
      <c r="H553" s="369"/>
      <c r="I553" s="369"/>
    </row>
    <row r="554" spans="1:14" s="499" customFormat="1" ht="15" customHeight="1">
      <c r="A554" s="509" t="s">
        <v>345</v>
      </c>
      <c r="B554" s="1712" t="s">
        <v>965</v>
      </c>
      <c r="C554" s="451">
        <f>1/15</f>
        <v>6.6666666666666666E-2</v>
      </c>
      <c r="D554" s="371" t="s">
        <v>346</v>
      </c>
      <c r="E554" s="751">
        <f>+OFICI</f>
        <v>80479.625344</v>
      </c>
      <c r="F554" s="677"/>
      <c r="G554" s="677"/>
      <c r="H554" s="677">
        <f>+E554*C554</f>
        <v>5365.308356266667</v>
      </c>
      <c r="I554" s="677"/>
      <c r="J554" s="498"/>
      <c r="K554" s="498"/>
      <c r="L554" s="498"/>
      <c r="M554" s="498"/>
    </row>
    <row r="555" spans="1:14" s="496" customFormat="1" ht="15" customHeight="1">
      <c r="A555" s="509" t="s">
        <v>347</v>
      </c>
      <c r="B555" s="1712" t="s">
        <v>266</v>
      </c>
      <c r="C555" s="451">
        <f>1/15</f>
        <v>6.6666666666666666E-2</v>
      </c>
      <c r="D555" s="2688" t="s">
        <v>346</v>
      </c>
      <c r="E555" s="368">
        <f>+AYUDA</f>
        <v>65389.695592000004</v>
      </c>
      <c r="F555" s="369"/>
      <c r="G555" s="369"/>
      <c r="H555" s="369">
        <f>+E555*C555</f>
        <v>4359.3130394666669</v>
      </c>
      <c r="I555" s="369"/>
    </row>
    <row r="556" spans="1:14" s="496" customFormat="1" ht="15" customHeight="1">
      <c r="A556" s="509" t="s">
        <v>172</v>
      </c>
      <c r="B556" s="355" t="s">
        <v>189</v>
      </c>
      <c r="C556" s="451">
        <v>1</v>
      </c>
      <c r="D556" s="2688" t="s">
        <v>583</v>
      </c>
      <c r="E556" s="368">
        <f>+H557*0.05</f>
        <v>486.23106978666675</v>
      </c>
      <c r="F556" s="369"/>
      <c r="G556" s="369"/>
      <c r="H556" s="369"/>
      <c r="I556" s="369">
        <f>+E556*C556</f>
        <v>486.23106978666675</v>
      </c>
    </row>
    <row r="557" spans="1:14" ht="15" customHeight="1">
      <c r="A557" s="500" t="s">
        <v>190</v>
      </c>
      <c r="B557" s="351">
        <f>SUM(F557:I557)</f>
        <v>185210.85246552</v>
      </c>
      <c r="C557" s="451"/>
      <c r="D557" s="2688"/>
      <c r="E557" s="368"/>
      <c r="F557" s="369">
        <f>+SUM(F553:F553)</f>
        <v>0</v>
      </c>
      <c r="G557" s="369">
        <f>+SUM(G553:G553)</f>
        <v>175000</v>
      </c>
      <c r="H557" s="369">
        <f>+SUM(H553:H555)</f>
        <v>9724.6213957333348</v>
      </c>
      <c r="I557" s="369">
        <f>+SUM(I553:I556)</f>
        <v>486.23106978666675</v>
      </c>
    </row>
    <row r="558" spans="1:14" ht="15" customHeight="1">
      <c r="A558" s="500" t="s">
        <v>191</v>
      </c>
      <c r="B558" s="351">
        <f>ROUND((+B557),0)</f>
        <v>185211</v>
      </c>
      <c r="C558" s="356" t="s">
        <v>133</v>
      </c>
      <c r="D558" s="479"/>
      <c r="E558" s="488"/>
      <c r="F558" s="481"/>
      <c r="G558" s="481"/>
      <c r="H558" s="481"/>
      <c r="I558" s="481"/>
    </row>
    <row r="559" spans="1:14" s="2718" customFormat="1" ht="15" customHeight="1">
      <c r="A559" s="2714"/>
      <c r="B559" s="2715"/>
      <c r="C559" s="2716"/>
      <c r="D559" s="2717"/>
      <c r="E559" s="2717"/>
      <c r="F559" s="2717"/>
      <c r="G559" s="2717"/>
      <c r="H559" s="2717"/>
      <c r="I559" s="2717"/>
    </row>
    <row r="560" spans="1:14" s="507" customFormat="1" ht="15" customHeight="1">
      <c r="A560" s="3634" t="s">
        <v>8035</v>
      </c>
      <c r="B560" s="3634"/>
      <c r="C560" s="3634"/>
      <c r="D560" s="3634"/>
      <c r="E560" s="3634"/>
      <c r="F560" s="3634"/>
      <c r="G560" s="3634"/>
      <c r="H560" s="3634"/>
      <c r="I560" s="3634"/>
    </row>
    <row r="561" spans="1:9" s="507" customFormat="1" ht="15" customHeight="1">
      <c r="A561" s="1905"/>
      <c r="B561" s="1905"/>
      <c r="C561" s="1905"/>
      <c r="D561" s="1905"/>
      <c r="E561" s="1905"/>
      <c r="F561" s="1905"/>
      <c r="G561" s="1905"/>
      <c r="H561" s="1905"/>
      <c r="I561" s="1905"/>
    </row>
    <row r="562" spans="1:9" s="507" customFormat="1" ht="15" customHeight="1">
      <c r="A562" s="2828" t="str">
        <f>+'LINEAS IMPULSIÓN-CONDUCCIÓN'!A81</f>
        <v>2.1.1</v>
      </c>
      <c r="B562" s="3666" t="s">
        <v>8750</v>
      </c>
      <c r="C562" s="3667"/>
      <c r="D562" s="3667"/>
      <c r="E562" s="3667"/>
      <c r="F562" s="3667"/>
      <c r="G562" s="3667"/>
      <c r="H562" s="3667"/>
      <c r="I562" s="3668"/>
    </row>
    <row r="563" spans="1:9" s="507" customFormat="1" ht="15" customHeight="1">
      <c r="A563" s="1261"/>
      <c r="B563" s="184"/>
      <c r="C563" s="1229" t="s">
        <v>140</v>
      </c>
      <c r="D563" s="1229" t="s">
        <v>343</v>
      </c>
      <c r="E563" s="1229" t="s">
        <v>344</v>
      </c>
      <c r="F563" s="1229" t="s">
        <v>482</v>
      </c>
      <c r="G563" s="1229" t="s">
        <v>483</v>
      </c>
      <c r="H563" s="1229" t="s">
        <v>232</v>
      </c>
      <c r="I563" s="1229" t="s">
        <v>171</v>
      </c>
    </row>
    <row r="564" spans="1:9" s="507" customFormat="1" ht="15" customHeight="1">
      <c r="A564" s="1261" t="s">
        <v>53</v>
      </c>
      <c r="B564" s="184" t="s">
        <v>6501</v>
      </c>
      <c r="C564" s="687">
        <f>1/(12*7)</f>
        <v>1.1904761904761904E-2</v>
      </c>
      <c r="D564" s="401" t="s">
        <v>346</v>
      </c>
      <c r="E564" s="2832" t="e">
        <v>#REF!</v>
      </c>
      <c r="F564" s="2832">
        <v>2392.6177777777775</v>
      </c>
      <c r="G564" s="2832"/>
      <c r="H564" s="2832"/>
      <c r="I564" s="2832"/>
    </row>
    <row r="565" spans="1:9" s="507" customFormat="1" ht="15" customHeight="1">
      <c r="A565" s="1261" t="s">
        <v>47</v>
      </c>
      <c r="B565" s="184" t="s">
        <v>6424</v>
      </c>
      <c r="C565" s="687">
        <f>1/(12*7)</f>
        <v>1.1904761904761904E-2</v>
      </c>
      <c r="D565" s="401" t="s">
        <v>346</v>
      </c>
      <c r="E565" s="2832">
        <f>+EEF110_</f>
        <v>520232.3</v>
      </c>
      <c r="F565" s="2832">
        <v>6193.2416666666659</v>
      </c>
      <c r="G565" s="2832"/>
      <c r="H565" s="2832"/>
      <c r="I565" s="2832"/>
    </row>
    <row r="566" spans="1:9" s="507" customFormat="1" ht="15" customHeight="1">
      <c r="A566" s="435" t="s">
        <v>736</v>
      </c>
      <c r="B566" s="184" t="s">
        <v>6410</v>
      </c>
      <c r="C566" s="182">
        <f>+C565</f>
        <v>1.1904761904761904E-2</v>
      </c>
      <c r="D566" s="2834" t="s">
        <v>735</v>
      </c>
      <c r="E566" s="497">
        <f>+RETRO</f>
        <v>150000</v>
      </c>
      <c r="F566" s="2819">
        <v>1785.7142857142856</v>
      </c>
      <c r="G566" s="2819"/>
      <c r="H566" s="2819"/>
      <c r="I566" s="184"/>
    </row>
    <row r="567" spans="1:9" s="507" customFormat="1" ht="15" customHeight="1">
      <c r="A567" s="1261" t="s">
        <v>380</v>
      </c>
      <c r="B567" s="184" t="s">
        <v>378</v>
      </c>
      <c r="C567" s="1229">
        <v>1.9E-2</v>
      </c>
      <c r="D567" s="401" t="s">
        <v>238</v>
      </c>
      <c r="E567" s="2832">
        <f>+GASO</f>
        <v>8800</v>
      </c>
      <c r="F567" s="2832"/>
      <c r="G567" s="2832"/>
      <c r="H567" s="2832"/>
      <c r="I567" s="2832">
        <f>+E567*C567</f>
        <v>167.2</v>
      </c>
    </row>
    <row r="568" spans="1:9" s="507" customFormat="1" ht="15" customHeight="1">
      <c r="A568" s="1261" t="s">
        <v>382</v>
      </c>
      <c r="B568" s="184" t="s">
        <v>381</v>
      </c>
      <c r="C568" s="1229">
        <v>0.04</v>
      </c>
      <c r="D568" s="401" t="s">
        <v>426</v>
      </c>
      <c r="E568" s="2832">
        <f>+ESTOP</f>
        <v>4080</v>
      </c>
      <c r="F568" s="2832"/>
      <c r="G568" s="2832"/>
      <c r="H568" s="2832"/>
      <c r="I568" s="2832">
        <f>+E568*C568</f>
        <v>163.20000000000002</v>
      </c>
    </row>
    <row r="569" spans="1:9" s="507" customFormat="1" ht="15" customHeight="1">
      <c r="A569" s="1261" t="s">
        <v>345</v>
      </c>
      <c r="B569" s="184" t="s">
        <v>965</v>
      </c>
      <c r="C569" s="687">
        <f>1/(12*7)</f>
        <v>1.1904761904761904E-2</v>
      </c>
      <c r="D569" s="1229" t="s">
        <v>346</v>
      </c>
      <c r="E569" s="2832">
        <f>+OFICI</f>
        <v>80479.625344</v>
      </c>
      <c r="F569" s="2832"/>
      <c r="G569" s="2832"/>
      <c r="H569" s="2832">
        <f>+E569*C569</f>
        <v>958.09077790476181</v>
      </c>
      <c r="I569" s="2832"/>
    </row>
    <row r="570" spans="1:9" s="507" customFormat="1" ht="15" customHeight="1">
      <c r="A570" s="1261" t="s">
        <v>347</v>
      </c>
      <c r="B570" s="184" t="s">
        <v>266</v>
      </c>
      <c r="C570" s="687">
        <f>1/(12*7)</f>
        <v>1.1904761904761904E-2</v>
      </c>
      <c r="D570" s="1229" t="s">
        <v>346</v>
      </c>
      <c r="E570" s="2832">
        <f>+AYUDA</f>
        <v>65389.695592000004</v>
      </c>
      <c r="F570" s="2832"/>
      <c r="G570" s="2832"/>
      <c r="H570" s="2832">
        <f>+E570*C570</f>
        <v>778.4487570476191</v>
      </c>
      <c r="I570" s="2832"/>
    </row>
    <row r="571" spans="1:9" s="507" customFormat="1" ht="15" customHeight="1">
      <c r="A571" s="1261" t="s">
        <v>172</v>
      </c>
      <c r="B571" s="184" t="s">
        <v>189</v>
      </c>
      <c r="C571" s="687">
        <v>1</v>
      </c>
      <c r="D571" s="1229" t="s">
        <v>583</v>
      </c>
      <c r="E571" s="2832">
        <f>+H572*0.05</f>
        <v>86.826976747619057</v>
      </c>
      <c r="F571" s="2832"/>
      <c r="G571" s="2832"/>
      <c r="H571" s="2832"/>
      <c r="I571" s="2832">
        <f>+E571*C571</f>
        <v>86.826976747619057</v>
      </c>
    </row>
    <row r="572" spans="1:9" s="507" customFormat="1" ht="15" customHeight="1">
      <c r="A572" s="2820" t="s">
        <v>190</v>
      </c>
      <c r="B572" s="2821">
        <f>ROUND(SUM(F572:I572),0)</f>
        <v>12525</v>
      </c>
      <c r="C572" s="1264"/>
      <c r="D572" s="1229"/>
      <c r="E572" s="2832"/>
      <c r="F572" s="2832">
        <f>+SUM(F564:F571)</f>
        <v>10371.573730158729</v>
      </c>
      <c r="G572" s="2832">
        <f>+SUM(G564:G571)</f>
        <v>0</v>
      </c>
      <c r="H572" s="2832">
        <f>+SUM(H564:H571)</f>
        <v>1736.539534952381</v>
      </c>
      <c r="I572" s="2832">
        <f>+SUM(I564:I571)</f>
        <v>417.22697674761901</v>
      </c>
    </row>
    <row r="573" spans="1:9" s="507" customFormat="1" ht="15" customHeight="1">
      <c r="A573" s="2820" t="s">
        <v>191</v>
      </c>
      <c r="B573" s="2822">
        <f>+B572</f>
        <v>12525</v>
      </c>
      <c r="C573" s="2823" t="s">
        <v>94</v>
      </c>
      <c r="D573" s="873"/>
      <c r="E573" s="873"/>
      <c r="F573" s="873"/>
      <c r="G573" s="873"/>
      <c r="H573" s="873"/>
      <c r="I573" s="873"/>
    </row>
    <row r="574" spans="1:9" s="507" customFormat="1" ht="15" customHeight="1">
      <c r="A574" s="2824"/>
      <c r="B574" s="2829"/>
      <c r="C574" s="2825"/>
      <c r="D574" s="2825"/>
      <c r="E574" s="2825"/>
      <c r="F574" s="2825"/>
      <c r="G574" s="2825"/>
      <c r="H574" s="2825"/>
      <c r="I574" s="2825"/>
    </row>
    <row r="575" spans="1:9" s="507" customFormat="1" ht="15" customHeight="1">
      <c r="A575" s="2826" t="s">
        <v>5792</v>
      </c>
      <c r="B575" s="3657" t="s">
        <v>8741</v>
      </c>
      <c r="C575" s="3658"/>
      <c r="D575" s="3658"/>
      <c r="E575" s="3658"/>
      <c r="F575" s="3658"/>
      <c r="G575" s="3658"/>
      <c r="H575" s="3658"/>
      <c r="I575" s="3659"/>
    </row>
    <row r="576" spans="1:9" s="507" customFormat="1" ht="15" customHeight="1">
      <c r="A576" s="1261"/>
      <c r="B576" s="184"/>
      <c r="C576" s="1264" t="s">
        <v>140</v>
      </c>
      <c r="D576" s="1229" t="s">
        <v>343</v>
      </c>
      <c r="E576" s="1229" t="s">
        <v>344</v>
      </c>
      <c r="F576" s="1229" t="s">
        <v>482</v>
      </c>
      <c r="G576" s="1229" t="s">
        <v>483</v>
      </c>
      <c r="H576" s="1229" t="s">
        <v>232</v>
      </c>
      <c r="I576" s="1229" t="s">
        <v>171</v>
      </c>
    </row>
    <row r="577" spans="1:9" s="507" customFormat="1" ht="15" customHeight="1">
      <c r="A577" s="1261" t="s">
        <v>286</v>
      </c>
      <c r="B577" s="184" t="s">
        <v>8756</v>
      </c>
      <c r="C577" s="1264">
        <v>1</v>
      </c>
      <c r="D577" s="1229" t="s">
        <v>94</v>
      </c>
      <c r="E577" s="2832">
        <f>+'BASE 2'!D150</f>
        <v>3845.4</v>
      </c>
      <c r="F577" s="2832"/>
      <c r="G577" s="2832">
        <f>+E577*C577</f>
        <v>3845.4</v>
      </c>
      <c r="H577" s="2832"/>
      <c r="I577" s="2832"/>
    </row>
    <row r="578" spans="1:9" s="507" customFormat="1" ht="15" customHeight="1">
      <c r="A578" s="1261" t="s">
        <v>584</v>
      </c>
      <c r="B578" s="2827" t="s">
        <v>134</v>
      </c>
      <c r="C578" s="183">
        <f>1/200</f>
        <v>5.0000000000000001E-3</v>
      </c>
      <c r="D578" s="401" t="s">
        <v>476</v>
      </c>
      <c r="E578" s="1276">
        <f>+VIAJE</f>
        <v>1200000</v>
      </c>
      <c r="F578" s="2832"/>
      <c r="G578" s="2832"/>
      <c r="H578" s="2832"/>
      <c r="I578" s="2832">
        <f>+E578*C578</f>
        <v>6000</v>
      </c>
    </row>
    <row r="579" spans="1:9" s="507" customFormat="1" ht="15" customHeight="1">
      <c r="A579" s="2820" t="s">
        <v>190</v>
      </c>
      <c r="B579" s="2821">
        <f>ROUND(SUM(F579:I579),0)</f>
        <v>9845</v>
      </c>
      <c r="C579" s="1264"/>
      <c r="D579" s="1229"/>
      <c r="E579" s="2832"/>
      <c r="F579" s="2832">
        <f>+SUM(F577:F578)</f>
        <v>0</v>
      </c>
      <c r="G579" s="2832">
        <f>+SUM(G577:G578)</f>
        <v>3845.4</v>
      </c>
      <c r="H579" s="2832">
        <f>+SUM(H577:H578)</f>
        <v>0</v>
      </c>
      <c r="I579" s="2832">
        <f>+SUM(I577:I578)</f>
        <v>6000</v>
      </c>
    </row>
    <row r="580" spans="1:9" s="507" customFormat="1" ht="15" customHeight="1">
      <c r="A580" s="2820" t="s">
        <v>191</v>
      </c>
      <c r="B580" s="2822">
        <f>+B579</f>
        <v>9845</v>
      </c>
      <c r="C580" s="2823" t="s">
        <v>94</v>
      </c>
      <c r="D580" s="873"/>
      <c r="E580" s="873"/>
      <c r="F580" s="873"/>
      <c r="G580" s="873"/>
      <c r="H580" s="873"/>
      <c r="I580" s="873"/>
    </row>
    <row r="581" spans="1:9" s="507" customFormat="1" ht="15" customHeight="1">
      <c r="A581" s="1905"/>
      <c r="C581" s="1905"/>
      <c r="D581" s="1905"/>
      <c r="E581" s="1905"/>
      <c r="F581" s="1905"/>
      <c r="G581" s="1905"/>
      <c r="H581" s="1905"/>
      <c r="I581" s="1905"/>
    </row>
    <row r="582" spans="1:9" s="507" customFormat="1" ht="15" customHeight="1">
      <c r="A582" s="2828" t="str">
        <f>+'LINEAS IMPULSIÓN-CONDUCCIÓN'!A109</f>
        <v>2.6.1</v>
      </c>
      <c r="B582" s="3666" t="s">
        <v>8750</v>
      </c>
      <c r="C582" s="3667"/>
      <c r="D582" s="3667"/>
      <c r="E582" s="3667"/>
      <c r="F582" s="3667"/>
      <c r="G582" s="3667"/>
      <c r="H582" s="3667"/>
      <c r="I582" s="3668"/>
    </row>
    <row r="583" spans="1:9" s="507" customFormat="1" ht="15" customHeight="1">
      <c r="A583" s="1261"/>
      <c r="B583" s="184"/>
      <c r="C583" s="1229" t="s">
        <v>140</v>
      </c>
      <c r="D583" s="1229" t="s">
        <v>343</v>
      </c>
      <c r="E583" s="1229" t="s">
        <v>344</v>
      </c>
      <c r="F583" s="1229" t="s">
        <v>482</v>
      </c>
      <c r="G583" s="1229" t="s">
        <v>483</v>
      </c>
      <c r="H583" s="1229" t="s">
        <v>232</v>
      </c>
      <c r="I583" s="1229" t="s">
        <v>171</v>
      </c>
    </row>
    <row r="584" spans="1:9" s="507" customFormat="1" ht="15" customHeight="1">
      <c r="A584" s="1261" t="s">
        <v>53</v>
      </c>
      <c r="B584" s="184" t="s">
        <v>6501</v>
      </c>
      <c r="C584" s="687">
        <f>1/(12*7)</f>
        <v>1.1904761904761904E-2</v>
      </c>
      <c r="D584" s="401" t="s">
        <v>346</v>
      </c>
      <c r="E584" s="2832">
        <v>38527.5</v>
      </c>
      <c r="F584" s="2807">
        <v>2392.6177777777775</v>
      </c>
      <c r="G584" s="2807"/>
      <c r="H584" s="2807"/>
      <c r="I584" s="2807"/>
    </row>
    <row r="585" spans="1:9" s="507" customFormat="1" ht="15" customHeight="1">
      <c r="A585" s="1261" t="s">
        <v>47</v>
      </c>
      <c r="B585" s="184" t="s">
        <v>6424</v>
      </c>
      <c r="C585" s="687">
        <f>1/(12*7)</f>
        <v>1.1904761904761904E-2</v>
      </c>
      <c r="D585" s="401" t="s">
        <v>346</v>
      </c>
      <c r="E585" s="2807">
        <f>+EEF110_</f>
        <v>520232.3</v>
      </c>
      <c r="F585" s="2807">
        <v>6193.2416666666659</v>
      </c>
      <c r="G585" s="2807"/>
      <c r="H585" s="2807"/>
      <c r="I585" s="2807"/>
    </row>
    <row r="586" spans="1:9" s="507" customFormat="1" ht="15" customHeight="1">
      <c r="A586" s="435" t="s">
        <v>736</v>
      </c>
      <c r="B586" s="184" t="s">
        <v>6410</v>
      </c>
      <c r="C586" s="182">
        <f>+C585</f>
        <v>1.1904761904761904E-2</v>
      </c>
      <c r="D586" s="2809" t="s">
        <v>735</v>
      </c>
      <c r="E586" s="497">
        <f>+RETRO</f>
        <v>150000</v>
      </c>
      <c r="F586" s="2819">
        <v>1785.7142857142856</v>
      </c>
      <c r="G586" s="2819"/>
      <c r="H586" s="2819"/>
      <c r="I586" s="184"/>
    </row>
    <row r="587" spans="1:9" s="507" customFormat="1" ht="15" customHeight="1">
      <c r="A587" s="1261" t="s">
        <v>380</v>
      </c>
      <c r="B587" s="184" t="s">
        <v>378</v>
      </c>
      <c r="C587" s="1229">
        <v>1.9E-2</v>
      </c>
      <c r="D587" s="401" t="s">
        <v>238</v>
      </c>
      <c r="E587" s="2807">
        <f>+GASO</f>
        <v>8800</v>
      </c>
      <c r="F587" s="2807"/>
      <c r="G587" s="2807"/>
      <c r="H587" s="2807"/>
      <c r="I587" s="2807">
        <f>+E587*C587</f>
        <v>167.2</v>
      </c>
    </row>
    <row r="588" spans="1:9" s="507" customFormat="1" ht="15" customHeight="1">
      <c r="A588" s="1261" t="s">
        <v>382</v>
      </c>
      <c r="B588" s="184" t="s">
        <v>381</v>
      </c>
      <c r="C588" s="1229">
        <v>0.04</v>
      </c>
      <c r="D588" s="401" t="s">
        <v>426</v>
      </c>
      <c r="E588" s="2807">
        <f>+ESTOP</f>
        <v>4080</v>
      </c>
      <c r="F588" s="2807"/>
      <c r="G588" s="2807"/>
      <c r="H588" s="2807"/>
      <c r="I588" s="2807">
        <f>+E588*C588</f>
        <v>163.20000000000002</v>
      </c>
    </row>
    <row r="589" spans="1:9" s="507" customFormat="1" ht="15" customHeight="1">
      <c r="A589" s="1261" t="s">
        <v>345</v>
      </c>
      <c r="B589" s="184" t="s">
        <v>965</v>
      </c>
      <c r="C589" s="687">
        <f>1/(12*7)</f>
        <v>1.1904761904761904E-2</v>
      </c>
      <c r="D589" s="1229" t="s">
        <v>346</v>
      </c>
      <c r="E589" s="2807">
        <f>+OFICI</f>
        <v>80479.625344</v>
      </c>
      <c r="F589" s="2807"/>
      <c r="G589" s="2807"/>
      <c r="H589" s="2807">
        <f>+E589*C589</f>
        <v>958.09077790476181</v>
      </c>
      <c r="I589" s="2807"/>
    </row>
    <row r="590" spans="1:9" s="507" customFormat="1" ht="15" customHeight="1">
      <c r="A590" s="1261" t="s">
        <v>347</v>
      </c>
      <c r="B590" s="184" t="s">
        <v>266</v>
      </c>
      <c r="C590" s="687">
        <f>1/(12*7)</f>
        <v>1.1904761904761904E-2</v>
      </c>
      <c r="D590" s="1229" t="s">
        <v>346</v>
      </c>
      <c r="E590" s="2807">
        <f>+AYUDA</f>
        <v>65389.695592000004</v>
      </c>
      <c r="F590" s="2807"/>
      <c r="G590" s="2807"/>
      <c r="H590" s="2807">
        <f>+E590*C590</f>
        <v>778.4487570476191</v>
      </c>
      <c r="I590" s="2807"/>
    </row>
    <row r="591" spans="1:9" s="507" customFormat="1" ht="15" customHeight="1">
      <c r="A591" s="1261" t="s">
        <v>172</v>
      </c>
      <c r="B591" s="184" t="s">
        <v>189</v>
      </c>
      <c r="C591" s="687">
        <v>1</v>
      </c>
      <c r="D591" s="1229" t="s">
        <v>583</v>
      </c>
      <c r="E591" s="2807">
        <f>+H592*0.05</f>
        <v>86.826976747619057</v>
      </c>
      <c r="F591" s="2807"/>
      <c r="G591" s="2807"/>
      <c r="H591" s="2807"/>
      <c r="I591" s="2807">
        <f>+E591*C591</f>
        <v>86.826976747619057</v>
      </c>
    </row>
    <row r="592" spans="1:9" s="507" customFormat="1" ht="15" customHeight="1">
      <c r="A592" s="2820" t="s">
        <v>190</v>
      </c>
      <c r="B592" s="2821">
        <f>ROUND(SUM(F592:I592),0)</f>
        <v>12525</v>
      </c>
      <c r="C592" s="1264"/>
      <c r="D592" s="1229"/>
      <c r="E592" s="2807"/>
      <c r="F592" s="2807">
        <f>+SUM(F584:F591)</f>
        <v>10371.573730158729</v>
      </c>
      <c r="G592" s="2807">
        <f>+SUM(G584:G591)</f>
        <v>0</v>
      </c>
      <c r="H592" s="2807">
        <f>+SUM(H584:H591)</f>
        <v>1736.539534952381</v>
      </c>
      <c r="I592" s="2807">
        <f>+SUM(I584:I591)</f>
        <v>417.22697674761901</v>
      </c>
    </row>
    <row r="593" spans="1:9" s="507" customFormat="1" ht="15" customHeight="1">
      <c r="A593" s="2820" t="s">
        <v>191</v>
      </c>
      <c r="B593" s="2822">
        <f>+B592</f>
        <v>12525</v>
      </c>
      <c r="C593" s="2823" t="s">
        <v>94</v>
      </c>
      <c r="D593" s="873"/>
      <c r="E593" s="873"/>
      <c r="F593" s="873"/>
      <c r="G593" s="873"/>
      <c r="H593" s="873"/>
      <c r="I593" s="873"/>
    </row>
    <row r="594" spans="1:9" s="507" customFormat="1" ht="15" customHeight="1">
      <c r="A594" s="2824"/>
      <c r="B594" s="2829"/>
      <c r="C594" s="2825"/>
      <c r="D594" s="2825"/>
      <c r="E594" s="2825"/>
      <c r="F594" s="2825"/>
      <c r="G594" s="2825"/>
      <c r="H594" s="2825"/>
      <c r="I594" s="2825"/>
    </row>
    <row r="595" spans="1:9" s="507" customFormat="1" ht="15" customHeight="1">
      <c r="A595" s="2826" t="s">
        <v>5792</v>
      </c>
      <c r="B595" s="3657" t="s">
        <v>8741</v>
      </c>
      <c r="C595" s="3658"/>
      <c r="D595" s="3658"/>
      <c r="E595" s="3658"/>
      <c r="F595" s="3658"/>
      <c r="G595" s="3658"/>
      <c r="H595" s="3658"/>
      <c r="I595" s="3659"/>
    </row>
    <row r="596" spans="1:9" s="507" customFormat="1" ht="15" customHeight="1">
      <c r="A596" s="1261"/>
      <c r="B596" s="184"/>
      <c r="C596" s="1264" t="s">
        <v>140</v>
      </c>
      <c r="D596" s="1229" t="s">
        <v>343</v>
      </c>
      <c r="E596" s="1229" t="s">
        <v>344</v>
      </c>
      <c r="F596" s="1229" t="s">
        <v>482</v>
      </c>
      <c r="G596" s="1229" t="s">
        <v>483</v>
      </c>
      <c r="H596" s="1229" t="s">
        <v>232</v>
      </c>
      <c r="I596" s="1229" t="s">
        <v>171</v>
      </c>
    </row>
    <row r="597" spans="1:9" s="507" customFormat="1" ht="15" customHeight="1">
      <c r="A597" s="1261" t="s">
        <v>286</v>
      </c>
      <c r="B597" s="184" t="s">
        <v>8756</v>
      </c>
      <c r="C597" s="1264">
        <v>1</v>
      </c>
      <c r="D597" s="1229" t="s">
        <v>94</v>
      </c>
      <c r="E597" s="2807">
        <f>+'BASE 2'!D178</f>
        <v>143428.32</v>
      </c>
      <c r="F597" s="2807"/>
      <c r="G597" s="2807">
        <f>+E597*C597</f>
        <v>143428.32</v>
      </c>
      <c r="H597" s="2807"/>
      <c r="I597" s="2807"/>
    </row>
    <row r="598" spans="1:9" s="507" customFormat="1" ht="15" customHeight="1">
      <c r="A598" s="1261" t="s">
        <v>584</v>
      </c>
      <c r="B598" s="2827" t="s">
        <v>134</v>
      </c>
      <c r="C598" s="183">
        <f>1/200</f>
        <v>5.0000000000000001E-3</v>
      </c>
      <c r="D598" s="401" t="s">
        <v>476</v>
      </c>
      <c r="E598" s="1276">
        <f>+VIAJE</f>
        <v>1200000</v>
      </c>
      <c r="F598" s="2807"/>
      <c r="G598" s="2807"/>
      <c r="H598" s="2807"/>
      <c r="I598" s="2807">
        <f>+E598*C598</f>
        <v>6000</v>
      </c>
    </row>
    <row r="599" spans="1:9" s="507" customFormat="1" ht="15" customHeight="1">
      <c r="A599" s="2820" t="s">
        <v>190</v>
      </c>
      <c r="B599" s="2821">
        <f>ROUND(SUM(F599:I599),0)</f>
        <v>149428</v>
      </c>
      <c r="C599" s="1264"/>
      <c r="D599" s="1229"/>
      <c r="E599" s="2807"/>
      <c r="F599" s="2807">
        <f>+SUM(F597:F598)</f>
        <v>0</v>
      </c>
      <c r="G599" s="2807">
        <f>+SUM(G597:G598)</f>
        <v>143428.32</v>
      </c>
      <c r="H599" s="2807">
        <f>+SUM(H597:H598)</f>
        <v>0</v>
      </c>
      <c r="I599" s="2807">
        <f>+SUM(I597:I598)</f>
        <v>6000</v>
      </c>
    </row>
    <row r="600" spans="1:9" s="507" customFormat="1" ht="15" customHeight="1">
      <c r="A600" s="2820" t="s">
        <v>191</v>
      </c>
      <c r="B600" s="2822">
        <f>+B599</f>
        <v>149428</v>
      </c>
      <c r="C600" s="2823" t="s">
        <v>94</v>
      </c>
      <c r="D600" s="873"/>
      <c r="E600" s="873"/>
      <c r="F600" s="873"/>
      <c r="G600" s="873"/>
      <c r="H600" s="873"/>
      <c r="I600" s="873"/>
    </row>
    <row r="601" spans="1:9" s="507" customFormat="1" ht="15" customHeight="1">
      <c r="A601"/>
      <c r="B601"/>
      <c r="C601"/>
      <c r="D601"/>
      <c r="E601"/>
      <c r="F601"/>
      <c r="G601"/>
      <c r="H601"/>
      <c r="I601"/>
    </row>
    <row r="602" spans="1:9" s="507" customFormat="1" ht="15" customHeight="1">
      <c r="A602" s="2818" t="s">
        <v>5768</v>
      </c>
      <c r="B602" s="3666" t="s">
        <v>8751</v>
      </c>
      <c r="C602" s="3667"/>
      <c r="D602" s="3667"/>
      <c r="E602" s="3667"/>
      <c r="F602" s="3667"/>
      <c r="G602" s="3667"/>
      <c r="H602" s="3667"/>
      <c r="I602" s="3668"/>
    </row>
    <row r="603" spans="1:9" s="507" customFormat="1" ht="15" customHeight="1">
      <c r="A603" s="1261"/>
      <c r="B603" s="184"/>
      <c r="C603" s="1229" t="s">
        <v>140</v>
      </c>
      <c r="D603" s="1229" t="s">
        <v>343</v>
      </c>
      <c r="E603" s="1229" t="s">
        <v>344</v>
      </c>
      <c r="F603" s="1229" t="s">
        <v>482</v>
      </c>
      <c r="G603" s="1229" t="s">
        <v>483</v>
      </c>
      <c r="H603" s="1229" t="s">
        <v>232</v>
      </c>
      <c r="I603" s="1229" t="s">
        <v>171</v>
      </c>
    </row>
    <row r="604" spans="1:9" s="507" customFormat="1" ht="15" customHeight="1">
      <c r="A604" s="1261" t="s">
        <v>53</v>
      </c>
      <c r="B604" s="184" t="s">
        <v>6501</v>
      </c>
      <c r="C604" s="687">
        <f>1/(12*7)</f>
        <v>1.1904761904761904E-2</v>
      </c>
      <c r="D604" s="401" t="s">
        <v>346</v>
      </c>
      <c r="E604" s="2807">
        <v>38527.5</v>
      </c>
      <c r="F604" s="2807">
        <v>2392.6177777777775</v>
      </c>
      <c r="G604" s="2807"/>
      <c r="H604" s="2807"/>
      <c r="I604" s="2807"/>
    </row>
    <row r="605" spans="1:9" s="507" customFormat="1" ht="15" customHeight="1">
      <c r="A605" s="1261" t="s">
        <v>47</v>
      </c>
      <c r="B605" s="184" t="s">
        <v>6424</v>
      </c>
      <c r="C605" s="687">
        <f>1/(12*7)</f>
        <v>1.1904761904761904E-2</v>
      </c>
      <c r="D605" s="401" t="s">
        <v>346</v>
      </c>
      <c r="E605" s="2807">
        <v>520232.3</v>
      </c>
      <c r="F605" s="2807">
        <v>6193.2416666666659</v>
      </c>
      <c r="G605" s="2807"/>
      <c r="H605" s="2807"/>
      <c r="I605" s="2807"/>
    </row>
    <row r="606" spans="1:9" s="507" customFormat="1" ht="15" customHeight="1">
      <c r="A606" s="435" t="s">
        <v>736</v>
      </c>
      <c r="B606" s="184" t="s">
        <v>6410</v>
      </c>
      <c r="C606" s="182">
        <f>+C605</f>
        <v>1.1904761904761904E-2</v>
      </c>
      <c r="D606" s="2809" t="s">
        <v>735</v>
      </c>
      <c r="E606" s="497">
        <v>150000</v>
      </c>
      <c r="F606" s="2819">
        <v>1785.7142857142856</v>
      </c>
      <c r="G606" s="2819"/>
      <c r="H606" s="2819"/>
      <c r="I606" s="184"/>
    </row>
    <row r="607" spans="1:9" s="507" customFormat="1" ht="15" customHeight="1">
      <c r="A607" s="1261" t="s">
        <v>380</v>
      </c>
      <c r="B607" s="184" t="s">
        <v>378</v>
      </c>
      <c r="C607" s="1229">
        <v>1.9E-2</v>
      </c>
      <c r="D607" s="401" t="s">
        <v>238</v>
      </c>
      <c r="E607" s="2807">
        <v>8800</v>
      </c>
      <c r="F607" s="2807"/>
      <c r="G607" s="2807"/>
      <c r="H607" s="2807"/>
      <c r="I607" s="2807">
        <f>+E607*C607</f>
        <v>167.2</v>
      </c>
    </row>
    <row r="608" spans="1:9" s="507" customFormat="1" ht="15" customHeight="1">
      <c r="A608" s="1261" t="s">
        <v>382</v>
      </c>
      <c r="B608" s="184" t="s">
        <v>381</v>
      </c>
      <c r="C608" s="1229">
        <v>0.04</v>
      </c>
      <c r="D608" s="401" t="s">
        <v>426</v>
      </c>
      <c r="E608" s="2807">
        <v>4080</v>
      </c>
      <c r="F608" s="2807"/>
      <c r="G608" s="2807"/>
      <c r="H608" s="2807"/>
      <c r="I608" s="2807">
        <f>+E608*C608</f>
        <v>163.20000000000002</v>
      </c>
    </row>
    <row r="609" spans="1:9" s="507" customFormat="1" ht="15" customHeight="1">
      <c r="A609" s="1261" t="s">
        <v>345</v>
      </c>
      <c r="B609" s="184" t="s">
        <v>965</v>
      </c>
      <c r="C609" s="687">
        <f>1/(12*7)</f>
        <v>1.1904761904761904E-2</v>
      </c>
      <c r="D609" s="1229" t="s">
        <v>346</v>
      </c>
      <c r="E609" s="2807">
        <v>80479.625344</v>
      </c>
      <c r="F609" s="2807"/>
      <c r="G609" s="2807"/>
      <c r="H609" s="2807">
        <f>+E609*C609</f>
        <v>958.09077790476181</v>
      </c>
      <c r="I609" s="2807"/>
    </row>
    <row r="610" spans="1:9" s="507" customFormat="1" ht="15" customHeight="1">
      <c r="A610" s="1261" t="s">
        <v>347</v>
      </c>
      <c r="B610" s="184" t="s">
        <v>266</v>
      </c>
      <c r="C610" s="687">
        <f>1/(12*7)</f>
        <v>1.1904761904761904E-2</v>
      </c>
      <c r="D610" s="1229" t="s">
        <v>346</v>
      </c>
      <c r="E610" s="2807">
        <v>65389.695592000004</v>
      </c>
      <c r="F610" s="2807"/>
      <c r="G610" s="2807"/>
      <c r="H610" s="2807">
        <f>+E610*C610</f>
        <v>778.4487570476191</v>
      </c>
      <c r="I610" s="2807"/>
    </row>
    <row r="611" spans="1:9" s="507" customFormat="1" ht="15" customHeight="1">
      <c r="A611" s="1261" t="s">
        <v>172</v>
      </c>
      <c r="B611" s="184" t="s">
        <v>189</v>
      </c>
      <c r="C611" s="687">
        <v>1</v>
      </c>
      <c r="D611" s="1229" t="s">
        <v>583</v>
      </c>
      <c r="E611" s="2807">
        <v>86.826976747619057</v>
      </c>
      <c r="F611" s="2807"/>
      <c r="G611" s="2807"/>
      <c r="H611" s="2807"/>
      <c r="I611" s="2807">
        <f>+E611*C611</f>
        <v>86.826976747619057</v>
      </c>
    </row>
    <row r="612" spans="1:9" s="507" customFormat="1" ht="15" customHeight="1">
      <c r="A612" s="2820" t="s">
        <v>190</v>
      </c>
      <c r="B612" s="2821">
        <f>ROUND(SUM(F612:I612),0)</f>
        <v>12525</v>
      </c>
      <c r="C612" s="1264"/>
      <c r="D612" s="1229"/>
      <c r="E612" s="2807"/>
      <c r="F612" s="2807">
        <f>+SUM(F604:F611)</f>
        <v>10371.573730158729</v>
      </c>
      <c r="G612" s="2807">
        <f>+SUM(G604:G611)</f>
        <v>0</v>
      </c>
      <c r="H612" s="2807">
        <f>+SUM(H604:H611)</f>
        <v>1736.539534952381</v>
      </c>
      <c r="I612" s="2807">
        <f>+SUM(I604:I611)</f>
        <v>417.22697674761901</v>
      </c>
    </row>
    <row r="613" spans="1:9" s="507" customFormat="1" ht="15" customHeight="1">
      <c r="A613" s="2820" t="s">
        <v>191</v>
      </c>
      <c r="B613" s="2822">
        <f>+B612</f>
        <v>12525</v>
      </c>
      <c r="C613" s="2823" t="s">
        <v>94</v>
      </c>
      <c r="D613" s="873"/>
      <c r="E613" s="873"/>
      <c r="F613" s="873"/>
      <c r="G613" s="873"/>
      <c r="H613" s="873"/>
      <c r="I613" s="873"/>
    </row>
    <row r="614" spans="1:9" s="507" customFormat="1" ht="15" customHeight="1">
      <c r="A614" s="2824"/>
      <c r="B614" s="2825"/>
      <c r="C614" s="2825"/>
      <c r="D614" s="2825"/>
      <c r="E614" s="2825"/>
      <c r="F614" s="2825"/>
      <c r="G614" s="2825"/>
      <c r="H614" s="2825"/>
      <c r="I614" s="2825"/>
    </row>
    <row r="615" spans="1:9" s="507" customFormat="1" ht="15" customHeight="1">
      <c r="A615" s="2826" t="s">
        <v>5793</v>
      </c>
      <c r="B615" s="3657" t="s">
        <v>8742</v>
      </c>
      <c r="C615" s="3658"/>
      <c r="D615" s="3658"/>
      <c r="E615" s="3658"/>
      <c r="F615" s="3658"/>
      <c r="G615" s="3658"/>
      <c r="H615" s="3658"/>
      <c r="I615" s="3659"/>
    </row>
    <row r="616" spans="1:9" s="507" customFormat="1" ht="15" customHeight="1">
      <c r="A616" s="1261"/>
      <c r="B616" s="184"/>
      <c r="C616" s="1264" t="s">
        <v>140</v>
      </c>
      <c r="D616" s="1229" t="s">
        <v>343</v>
      </c>
      <c r="E616" s="1229" t="s">
        <v>344</v>
      </c>
      <c r="F616" s="1229" t="s">
        <v>482</v>
      </c>
      <c r="G616" s="1229" t="s">
        <v>483</v>
      </c>
      <c r="H616" s="1229" t="s">
        <v>232</v>
      </c>
      <c r="I616" s="1229" t="s">
        <v>171</v>
      </c>
    </row>
    <row r="617" spans="1:9" s="507" customFormat="1" ht="15" customHeight="1">
      <c r="A617" s="1261" t="s">
        <v>286</v>
      </c>
      <c r="B617" s="184" t="s">
        <v>8757</v>
      </c>
      <c r="C617" s="1264">
        <v>1</v>
      </c>
      <c r="D617" s="1229" t="s">
        <v>94</v>
      </c>
      <c r="E617" s="2807">
        <f>+'BASE 2'!D179</f>
        <v>74327.399999999994</v>
      </c>
      <c r="F617" s="2807"/>
      <c r="G617" s="2807">
        <f>+E617*C617</f>
        <v>74327.399999999994</v>
      </c>
      <c r="H617" s="2807"/>
      <c r="I617" s="2807"/>
    </row>
    <row r="618" spans="1:9" s="507" customFormat="1" ht="15" customHeight="1">
      <c r="A618" s="1261" t="s">
        <v>584</v>
      </c>
      <c r="B618" s="2827" t="s">
        <v>134</v>
      </c>
      <c r="C618" s="183">
        <f>1/200</f>
        <v>5.0000000000000001E-3</v>
      </c>
      <c r="D618" s="401" t="s">
        <v>476</v>
      </c>
      <c r="E618" s="1276">
        <f>+VIAJE</f>
        <v>1200000</v>
      </c>
      <c r="F618" s="2807"/>
      <c r="G618" s="2807"/>
      <c r="H618" s="2807"/>
      <c r="I618" s="2807">
        <f>+E618*C618</f>
        <v>6000</v>
      </c>
    </row>
    <row r="619" spans="1:9" s="507" customFormat="1" ht="15" customHeight="1">
      <c r="A619" s="2820" t="s">
        <v>190</v>
      </c>
      <c r="B619" s="2821">
        <f>ROUND(SUM(F619:I619),0)</f>
        <v>80327</v>
      </c>
      <c r="C619" s="1264"/>
      <c r="D619" s="1229"/>
      <c r="E619" s="2807"/>
      <c r="F619" s="2807">
        <f>+SUM(F617:F618)</f>
        <v>0</v>
      </c>
      <c r="G619" s="2807">
        <f>+SUM(G617:G618)</f>
        <v>74327.399999999994</v>
      </c>
      <c r="H619" s="2807">
        <f>+SUM(H617:H618)</f>
        <v>0</v>
      </c>
      <c r="I619" s="2807">
        <f>+SUM(I617:I618)</f>
        <v>6000</v>
      </c>
    </row>
    <row r="620" spans="1:9" s="507" customFormat="1" ht="15" customHeight="1">
      <c r="A620" s="2820" t="s">
        <v>191</v>
      </c>
      <c r="B620" s="2822">
        <f>+B619</f>
        <v>80327</v>
      </c>
      <c r="C620" s="2823" t="s">
        <v>94</v>
      </c>
      <c r="D620" s="873"/>
      <c r="E620" s="873"/>
      <c r="F620" s="873"/>
      <c r="G620" s="873"/>
      <c r="H620" s="873"/>
      <c r="I620" s="873"/>
    </row>
    <row r="621" spans="1:9" s="507" customFormat="1" ht="15" customHeight="1">
      <c r="A621"/>
      <c r="B621"/>
      <c r="C621"/>
      <c r="D621"/>
      <c r="E621"/>
      <c r="F621"/>
      <c r="G621"/>
      <c r="H621"/>
      <c r="I621"/>
    </row>
    <row r="622" spans="1:9" s="507" customFormat="1" ht="15" customHeight="1">
      <c r="A622" s="2818" t="s">
        <v>5769</v>
      </c>
      <c r="B622" s="3666" t="s">
        <v>8752</v>
      </c>
      <c r="C622" s="3667"/>
      <c r="D622" s="3667"/>
      <c r="E622" s="3667"/>
      <c r="F622" s="3667"/>
      <c r="G622" s="3667"/>
      <c r="H622" s="3667"/>
      <c r="I622" s="3668"/>
    </row>
    <row r="623" spans="1:9" s="507" customFormat="1" ht="15" customHeight="1">
      <c r="A623" s="1261"/>
      <c r="B623" s="184"/>
      <c r="C623" s="1229" t="s">
        <v>140</v>
      </c>
      <c r="D623" s="1229" t="s">
        <v>343</v>
      </c>
      <c r="E623" s="1229" t="s">
        <v>344</v>
      </c>
      <c r="F623" s="1229" t="s">
        <v>482</v>
      </c>
      <c r="G623" s="1229" t="s">
        <v>483</v>
      </c>
      <c r="H623" s="1229" t="s">
        <v>232</v>
      </c>
      <c r="I623" s="1229" t="s">
        <v>171</v>
      </c>
    </row>
    <row r="624" spans="1:9" s="507" customFormat="1" ht="15" customHeight="1">
      <c r="A624" s="1261" t="s">
        <v>53</v>
      </c>
      <c r="B624" s="184" t="s">
        <v>6501</v>
      </c>
      <c r="C624" s="687">
        <f>1/(12*7)</f>
        <v>1.1904761904761904E-2</v>
      </c>
      <c r="D624" s="401" t="s">
        <v>346</v>
      </c>
      <c r="E624" s="2807">
        <v>38527.5</v>
      </c>
      <c r="F624" s="2807">
        <v>2392.6177777777775</v>
      </c>
      <c r="G624" s="2807"/>
      <c r="H624" s="2807"/>
      <c r="I624" s="2807"/>
    </row>
    <row r="625" spans="1:9" s="507" customFormat="1" ht="15" customHeight="1">
      <c r="A625" s="1261" t="s">
        <v>47</v>
      </c>
      <c r="B625" s="184" t="s">
        <v>6424</v>
      </c>
      <c r="C625" s="687">
        <f>1/(12*7)</f>
        <v>1.1904761904761904E-2</v>
      </c>
      <c r="D625" s="401" t="s">
        <v>346</v>
      </c>
      <c r="E625" s="2807">
        <v>520232.3</v>
      </c>
      <c r="F625" s="2807">
        <v>6193.2416666666659</v>
      </c>
      <c r="G625" s="2807"/>
      <c r="H625" s="2807"/>
      <c r="I625" s="2807"/>
    </row>
    <row r="626" spans="1:9" s="507" customFormat="1" ht="15" customHeight="1">
      <c r="A626" s="435" t="s">
        <v>736</v>
      </c>
      <c r="B626" s="184" t="s">
        <v>6410</v>
      </c>
      <c r="C626" s="182">
        <f>+C625</f>
        <v>1.1904761904761904E-2</v>
      </c>
      <c r="D626" s="2809" t="s">
        <v>735</v>
      </c>
      <c r="E626" s="497">
        <v>150000</v>
      </c>
      <c r="F626" s="2819">
        <v>1785.7142857142856</v>
      </c>
      <c r="G626" s="2819"/>
      <c r="H626" s="2819"/>
      <c r="I626" s="184"/>
    </row>
    <row r="627" spans="1:9" s="507" customFormat="1" ht="15" customHeight="1">
      <c r="A627" s="1261" t="s">
        <v>380</v>
      </c>
      <c r="B627" s="184" t="s">
        <v>378</v>
      </c>
      <c r="C627" s="1229">
        <v>1.9E-2</v>
      </c>
      <c r="D627" s="401" t="s">
        <v>238</v>
      </c>
      <c r="E627" s="2807">
        <v>8800</v>
      </c>
      <c r="F627" s="2807"/>
      <c r="G627" s="2807"/>
      <c r="H627" s="2807"/>
      <c r="I627" s="2807">
        <f>+E627*C627</f>
        <v>167.2</v>
      </c>
    </row>
    <row r="628" spans="1:9" s="507" customFormat="1" ht="15" customHeight="1">
      <c r="A628" s="1261" t="s">
        <v>382</v>
      </c>
      <c r="B628" s="184" t="s">
        <v>381</v>
      </c>
      <c r="C628" s="1229">
        <v>0.04</v>
      </c>
      <c r="D628" s="401" t="s">
        <v>426</v>
      </c>
      <c r="E628" s="2807">
        <v>4080</v>
      </c>
      <c r="F628" s="2807"/>
      <c r="G628" s="2807"/>
      <c r="H628" s="2807"/>
      <c r="I628" s="2807">
        <f>+E628*C628</f>
        <v>163.20000000000002</v>
      </c>
    </row>
    <row r="629" spans="1:9" s="507" customFormat="1" ht="15" customHeight="1">
      <c r="A629" s="1261" t="s">
        <v>345</v>
      </c>
      <c r="B629" s="184" t="s">
        <v>965</v>
      </c>
      <c r="C629" s="687">
        <f>1/(12*7)</f>
        <v>1.1904761904761904E-2</v>
      </c>
      <c r="D629" s="1229" t="s">
        <v>346</v>
      </c>
      <c r="E629" s="2807">
        <v>80479.625344</v>
      </c>
      <c r="F629" s="2807"/>
      <c r="G629" s="2807"/>
      <c r="H629" s="2807">
        <f>+E629*C629</f>
        <v>958.09077790476181</v>
      </c>
      <c r="I629" s="2807"/>
    </row>
    <row r="630" spans="1:9" s="507" customFormat="1" ht="15" customHeight="1">
      <c r="A630" s="1261" t="s">
        <v>347</v>
      </c>
      <c r="B630" s="184" t="s">
        <v>266</v>
      </c>
      <c r="C630" s="687">
        <f>1/(12*7)</f>
        <v>1.1904761904761904E-2</v>
      </c>
      <c r="D630" s="1229" t="s">
        <v>346</v>
      </c>
      <c r="E630" s="2807">
        <v>65389.695592000004</v>
      </c>
      <c r="F630" s="2807"/>
      <c r="G630" s="2807"/>
      <c r="H630" s="2807">
        <f>+E630*C630</f>
        <v>778.4487570476191</v>
      </c>
      <c r="I630" s="2807"/>
    </row>
    <row r="631" spans="1:9" s="507" customFormat="1" ht="15" customHeight="1">
      <c r="A631" s="1261" t="s">
        <v>172</v>
      </c>
      <c r="B631" s="184" t="s">
        <v>189</v>
      </c>
      <c r="C631" s="687">
        <v>1</v>
      </c>
      <c r="D631" s="1229" t="s">
        <v>583</v>
      </c>
      <c r="E631" s="2807">
        <v>86.826976747619057</v>
      </c>
      <c r="F631" s="2807"/>
      <c r="G631" s="2807"/>
      <c r="H631" s="2807"/>
      <c r="I631" s="2807">
        <f>+E631*C631</f>
        <v>86.826976747619057</v>
      </c>
    </row>
    <row r="632" spans="1:9" s="507" customFormat="1" ht="15" customHeight="1">
      <c r="A632" s="2820" t="s">
        <v>190</v>
      </c>
      <c r="B632" s="2821">
        <f>ROUND(SUM(F632:I632),0)</f>
        <v>12525</v>
      </c>
      <c r="C632" s="1264"/>
      <c r="D632" s="1229"/>
      <c r="E632" s="2807"/>
      <c r="F632" s="2807">
        <f>+SUM(F624:F631)</f>
        <v>10371.573730158729</v>
      </c>
      <c r="G632" s="2807">
        <f>+SUM(G624:G631)</f>
        <v>0</v>
      </c>
      <c r="H632" s="2807">
        <f>+SUM(H624:H631)</f>
        <v>1736.539534952381</v>
      </c>
      <c r="I632" s="2807">
        <f>+SUM(I624:I631)</f>
        <v>417.22697674761901</v>
      </c>
    </row>
    <row r="633" spans="1:9" s="507" customFormat="1" ht="15" customHeight="1">
      <c r="A633" s="2820" t="s">
        <v>191</v>
      </c>
      <c r="B633" s="2822">
        <f>+B632</f>
        <v>12525</v>
      </c>
      <c r="C633" s="2823" t="s">
        <v>94</v>
      </c>
      <c r="D633" s="873"/>
      <c r="E633" s="873"/>
      <c r="F633" s="873"/>
      <c r="G633" s="873"/>
      <c r="H633" s="873"/>
      <c r="I633" s="873"/>
    </row>
    <row r="634" spans="1:9" s="507" customFormat="1" ht="15" customHeight="1">
      <c r="A634" s="2824"/>
      <c r="B634" s="2825"/>
      <c r="C634" s="2825"/>
      <c r="D634" s="2825"/>
      <c r="E634" s="2825"/>
      <c r="F634" s="2825"/>
      <c r="G634" s="2825"/>
      <c r="H634" s="2825"/>
      <c r="I634" s="2825"/>
    </row>
    <row r="635" spans="1:9" s="507" customFormat="1" ht="15" customHeight="1">
      <c r="A635" s="2826" t="s">
        <v>5794</v>
      </c>
      <c r="B635" s="3657" t="s">
        <v>8743</v>
      </c>
      <c r="C635" s="3658"/>
      <c r="D635" s="3658"/>
      <c r="E635" s="3658"/>
      <c r="F635" s="3658"/>
      <c r="G635" s="3658"/>
      <c r="H635" s="3658"/>
      <c r="I635" s="3659"/>
    </row>
    <row r="636" spans="1:9" s="507" customFormat="1" ht="15" customHeight="1">
      <c r="A636" s="1261"/>
      <c r="B636" s="184"/>
      <c r="C636" s="1264" t="s">
        <v>140</v>
      </c>
      <c r="D636" s="1229" t="s">
        <v>343</v>
      </c>
      <c r="E636" s="1229" t="s">
        <v>344</v>
      </c>
      <c r="F636" s="1229" t="s">
        <v>482</v>
      </c>
      <c r="G636" s="1229" t="s">
        <v>483</v>
      </c>
      <c r="H636" s="1229" t="s">
        <v>232</v>
      </c>
      <c r="I636" s="1229" t="s">
        <v>171</v>
      </c>
    </row>
    <row r="637" spans="1:9" s="507" customFormat="1" ht="15" customHeight="1">
      <c r="A637" s="1261" t="s">
        <v>286</v>
      </c>
      <c r="B637" s="184" t="s">
        <v>8758</v>
      </c>
      <c r="C637" s="1264">
        <v>1</v>
      </c>
      <c r="D637" s="1229" t="s">
        <v>94</v>
      </c>
      <c r="E637" s="2807">
        <f>+'BASE 2'!D180</f>
        <v>65492.84</v>
      </c>
      <c r="F637" s="2807"/>
      <c r="G637" s="2807">
        <f>+E637*C637</f>
        <v>65492.84</v>
      </c>
      <c r="H637" s="2807"/>
      <c r="I637" s="2807"/>
    </row>
    <row r="638" spans="1:9" s="507" customFormat="1" ht="15" customHeight="1">
      <c r="A638" s="1261" t="s">
        <v>584</v>
      </c>
      <c r="B638" s="2827" t="s">
        <v>134</v>
      </c>
      <c r="C638" s="183">
        <f>1/200</f>
        <v>5.0000000000000001E-3</v>
      </c>
      <c r="D638" s="401" t="s">
        <v>476</v>
      </c>
      <c r="E638" s="1276">
        <f>+VIAJE</f>
        <v>1200000</v>
      </c>
      <c r="F638" s="2807"/>
      <c r="G638" s="2807"/>
      <c r="H638" s="2807"/>
      <c r="I638" s="2807">
        <f>+E638*C638</f>
        <v>6000</v>
      </c>
    </row>
    <row r="639" spans="1:9" s="507" customFormat="1" ht="15" customHeight="1">
      <c r="A639" s="2820" t="s">
        <v>190</v>
      </c>
      <c r="B639" s="2821">
        <f>ROUND(SUM(F639:I639),0)</f>
        <v>71493</v>
      </c>
      <c r="C639" s="1264"/>
      <c r="D639" s="1229"/>
      <c r="E639" s="2807"/>
      <c r="F639" s="2807">
        <f>+SUM(F637:F638)</f>
        <v>0</v>
      </c>
      <c r="G639" s="2807">
        <f>+SUM(G637:G638)</f>
        <v>65492.84</v>
      </c>
      <c r="H639" s="2807">
        <f>+SUM(H637:H638)</f>
        <v>0</v>
      </c>
      <c r="I639" s="2807">
        <f>+SUM(I637:I638)</f>
        <v>6000</v>
      </c>
    </row>
    <row r="640" spans="1:9" s="507" customFormat="1" ht="15" customHeight="1">
      <c r="A640" s="2820" t="s">
        <v>191</v>
      </c>
      <c r="B640" s="2822">
        <f>+B639</f>
        <v>71493</v>
      </c>
      <c r="C640" s="2823" t="s">
        <v>94</v>
      </c>
      <c r="D640" s="873"/>
      <c r="E640" s="873"/>
      <c r="F640" s="873"/>
      <c r="G640" s="873"/>
      <c r="H640" s="873"/>
      <c r="I640" s="873"/>
    </row>
    <row r="641" spans="1:9" s="507" customFormat="1" ht="15" customHeight="1">
      <c r="A641"/>
      <c r="B641"/>
      <c r="C641"/>
      <c r="D641"/>
      <c r="E641"/>
      <c r="F641"/>
      <c r="G641"/>
      <c r="H641"/>
      <c r="I641"/>
    </row>
    <row r="642" spans="1:9" s="507" customFormat="1" ht="15" customHeight="1">
      <c r="A642" s="2818" t="s">
        <v>5770</v>
      </c>
      <c r="B642" s="3666" t="s">
        <v>8753</v>
      </c>
      <c r="C642" s="3667"/>
      <c r="D642" s="3667"/>
      <c r="E642" s="3667"/>
      <c r="F642" s="3667"/>
      <c r="G642" s="3667"/>
      <c r="H642" s="3667"/>
      <c r="I642" s="3668"/>
    </row>
    <row r="643" spans="1:9" s="507" customFormat="1" ht="15" customHeight="1">
      <c r="A643" s="1261"/>
      <c r="B643" s="184"/>
      <c r="C643" s="1229" t="s">
        <v>140</v>
      </c>
      <c r="D643" s="1229" t="s">
        <v>343</v>
      </c>
      <c r="E643" s="1229" t="s">
        <v>344</v>
      </c>
      <c r="F643" s="1229" t="s">
        <v>482</v>
      </c>
      <c r="G643" s="1229" t="s">
        <v>483</v>
      </c>
      <c r="H643" s="1229" t="s">
        <v>232</v>
      </c>
      <c r="I643" s="1229" t="s">
        <v>171</v>
      </c>
    </row>
    <row r="644" spans="1:9" s="507" customFormat="1" ht="15" customHeight="1">
      <c r="A644" s="1261" t="s">
        <v>53</v>
      </c>
      <c r="B644" s="184" t="s">
        <v>6501</v>
      </c>
      <c r="C644" s="687">
        <f>1/(12*7)</f>
        <v>1.1904761904761904E-2</v>
      </c>
      <c r="D644" s="401" t="s">
        <v>346</v>
      </c>
      <c r="E644" s="2807">
        <v>38527.5</v>
      </c>
      <c r="F644" s="2807">
        <v>2392.6177777777775</v>
      </c>
      <c r="G644" s="2807"/>
      <c r="H644" s="2807"/>
      <c r="I644" s="2807"/>
    </row>
    <row r="645" spans="1:9" s="507" customFormat="1" ht="15" customHeight="1">
      <c r="A645" s="1261" t="s">
        <v>47</v>
      </c>
      <c r="B645" s="184" t="s">
        <v>6424</v>
      </c>
      <c r="C645" s="687">
        <f>1/(12*7)</f>
        <v>1.1904761904761904E-2</v>
      </c>
      <c r="D645" s="401" t="s">
        <v>346</v>
      </c>
      <c r="E645" s="2807">
        <v>520232.3</v>
      </c>
      <c r="F645" s="2807">
        <v>6193.2416666666659</v>
      </c>
      <c r="G645" s="2807"/>
      <c r="H645" s="2807"/>
      <c r="I645" s="2807"/>
    </row>
    <row r="646" spans="1:9" s="507" customFormat="1" ht="15" customHeight="1">
      <c r="A646" s="435" t="s">
        <v>736</v>
      </c>
      <c r="B646" s="184" t="s">
        <v>6410</v>
      </c>
      <c r="C646" s="182">
        <f>+C645</f>
        <v>1.1904761904761904E-2</v>
      </c>
      <c r="D646" s="2809" t="s">
        <v>735</v>
      </c>
      <c r="E646" s="497">
        <v>150000</v>
      </c>
      <c r="F646" s="2819">
        <v>1785.7142857142856</v>
      </c>
      <c r="G646" s="2819"/>
      <c r="H646" s="2819"/>
      <c r="I646" s="184"/>
    </row>
    <row r="647" spans="1:9" s="507" customFormat="1" ht="15" customHeight="1">
      <c r="A647" s="1261" t="s">
        <v>380</v>
      </c>
      <c r="B647" s="184" t="s">
        <v>378</v>
      </c>
      <c r="C647" s="1229">
        <v>1.9E-2</v>
      </c>
      <c r="D647" s="401" t="s">
        <v>238</v>
      </c>
      <c r="E647" s="2807">
        <v>8800</v>
      </c>
      <c r="F647" s="2807"/>
      <c r="G647" s="2807"/>
      <c r="H647" s="2807"/>
      <c r="I647" s="2807">
        <f>+E647*C647</f>
        <v>167.2</v>
      </c>
    </row>
    <row r="648" spans="1:9" s="507" customFormat="1" ht="15" customHeight="1">
      <c r="A648" s="1261" t="s">
        <v>382</v>
      </c>
      <c r="B648" s="184" t="s">
        <v>381</v>
      </c>
      <c r="C648" s="1229">
        <v>0.04</v>
      </c>
      <c r="D648" s="401" t="s">
        <v>426</v>
      </c>
      <c r="E648" s="2807">
        <v>4080</v>
      </c>
      <c r="F648" s="2807"/>
      <c r="G648" s="2807"/>
      <c r="H648" s="2807"/>
      <c r="I648" s="2807">
        <f>+E648*C648</f>
        <v>163.20000000000002</v>
      </c>
    </row>
    <row r="649" spans="1:9" s="507" customFormat="1" ht="15" customHeight="1">
      <c r="A649" s="1261" t="s">
        <v>345</v>
      </c>
      <c r="B649" s="184" t="s">
        <v>965</v>
      </c>
      <c r="C649" s="687">
        <f>1/(12*7)</f>
        <v>1.1904761904761904E-2</v>
      </c>
      <c r="D649" s="1229" t="s">
        <v>346</v>
      </c>
      <c r="E649" s="2807">
        <v>80479.625344</v>
      </c>
      <c r="F649" s="2807"/>
      <c r="G649" s="2807"/>
      <c r="H649" s="2807">
        <f>+E649*C649</f>
        <v>958.09077790476181</v>
      </c>
      <c r="I649" s="2807"/>
    </row>
    <row r="650" spans="1:9" s="507" customFormat="1" ht="15" customHeight="1">
      <c r="A650" s="1261" t="s">
        <v>347</v>
      </c>
      <c r="B650" s="184" t="s">
        <v>266</v>
      </c>
      <c r="C650" s="687">
        <f>1/(12*7)</f>
        <v>1.1904761904761904E-2</v>
      </c>
      <c r="D650" s="1229" t="s">
        <v>346</v>
      </c>
      <c r="E650" s="2807">
        <v>65389.695592000004</v>
      </c>
      <c r="F650" s="2807"/>
      <c r="G650" s="2807"/>
      <c r="H650" s="2807">
        <f>+E650*C650</f>
        <v>778.4487570476191</v>
      </c>
      <c r="I650" s="2807"/>
    </row>
    <row r="651" spans="1:9" s="507" customFormat="1" ht="15" customHeight="1">
      <c r="A651" s="1261" t="s">
        <v>172</v>
      </c>
      <c r="B651" s="184" t="s">
        <v>189</v>
      </c>
      <c r="C651" s="687">
        <v>1</v>
      </c>
      <c r="D651" s="1229" t="s">
        <v>583</v>
      </c>
      <c r="E651" s="2807">
        <v>86.826976747619057</v>
      </c>
      <c r="F651" s="2807"/>
      <c r="G651" s="2807"/>
      <c r="H651" s="2807"/>
      <c r="I651" s="2807">
        <f>+E651*C651</f>
        <v>86.826976747619057</v>
      </c>
    </row>
    <row r="652" spans="1:9" s="507" customFormat="1" ht="15" customHeight="1">
      <c r="A652" s="2820" t="s">
        <v>190</v>
      </c>
      <c r="B652" s="2821">
        <f>ROUND(SUM(F652:I652),0)</f>
        <v>12525</v>
      </c>
      <c r="C652" s="1264"/>
      <c r="D652" s="1229"/>
      <c r="E652" s="2807"/>
      <c r="F652" s="2807">
        <f>+SUM(F644:F651)</f>
        <v>10371.573730158729</v>
      </c>
      <c r="G652" s="2807">
        <f>+SUM(G644:G651)</f>
        <v>0</v>
      </c>
      <c r="H652" s="2807">
        <f>+SUM(H644:H651)</f>
        <v>1736.539534952381</v>
      </c>
      <c r="I652" s="2807">
        <f>+SUM(I644:I651)</f>
        <v>417.22697674761901</v>
      </c>
    </row>
    <row r="653" spans="1:9" s="507" customFormat="1" ht="15" customHeight="1">
      <c r="A653" s="2820" t="s">
        <v>191</v>
      </c>
      <c r="B653" s="2822">
        <f>+B652</f>
        <v>12525</v>
      </c>
      <c r="C653" s="2823" t="s">
        <v>94</v>
      </c>
      <c r="D653" s="873"/>
      <c r="E653" s="873"/>
      <c r="F653" s="873"/>
      <c r="G653" s="873"/>
      <c r="H653" s="873"/>
      <c r="I653" s="873"/>
    </row>
    <row r="654" spans="1:9" s="507" customFormat="1" ht="15" customHeight="1">
      <c r="A654" s="2824"/>
      <c r="B654" s="2825"/>
      <c r="C654" s="2825"/>
      <c r="D654" s="2825"/>
      <c r="E654" s="2825"/>
      <c r="F654" s="2825"/>
      <c r="G654" s="2825"/>
      <c r="H654" s="2825"/>
      <c r="I654" s="2825"/>
    </row>
    <row r="655" spans="1:9" s="507" customFormat="1" ht="15" customHeight="1">
      <c r="A655" s="2826" t="s">
        <v>5795</v>
      </c>
      <c r="B655" s="3657" t="s">
        <v>8744</v>
      </c>
      <c r="C655" s="3658"/>
      <c r="D655" s="3658"/>
      <c r="E655" s="3658"/>
      <c r="F655" s="3658"/>
      <c r="G655" s="3658"/>
      <c r="H655" s="3658"/>
      <c r="I655" s="3659"/>
    </row>
    <row r="656" spans="1:9" s="507" customFormat="1" ht="15" customHeight="1">
      <c r="A656" s="1261"/>
      <c r="B656" s="184"/>
      <c r="C656" s="1264" t="s">
        <v>140</v>
      </c>
      <c r="D656" s="1229" t="s">
        <v>343</v>
      </c>
      <c r="E656" s="1229" t="s">
        <v>344</v>
      </c>
      <c r="F656" s="1229" t="s">
        <v>482</v>
      </c>
      <c r="G656" s="1229" t="s">
        <v>483</v>
      </c>
      <c r="H656" s="1229" t="s">
        <v>232</v>
      </c>
      <c r="I656" s="1229" t="s">
        <v>171</v>
      </c>
    </row>
    <row r="657" spans="1:9" s="507" customFormat="1" ht="15" customHeight="1">
      <c r="A657" s="1261" t="s">
        <v>286</v>
      </c>
      <c r="B657" s="184" t="s">
        <v>8759</v>
      </c>
      <c r="C657" s="1264">
        <v>1</v>
      </c>
      <c r="D657" s="1229" t="s">
        <v>94</v>
      </c>
      <c r="E657" s="2807">
        <f>+'BASE 2'!D181</f>
        <v>49833.63</v>
      </c>
      <c r="F657" s="2807"/>
      <c r="G657" s="2807">
        <f>+E657*C657</f>
        <v>49833.63</v>
      </c>
      <c r="H657" s="2807"/>
      <c r="I657" s="2807"/>
    </row>
    <row r="658" spans="1:9" s="507" customFormat="1" ht="15" customHeight="1">
      <c r="A658" s="1261" t="s">
        <v>584</v>
      </c>
      <c r="B658" s="2827" t="s">
        <v>134</v>
      </c>
      <c r="C658" s="183">
        <f>1/200</f>
        <v>5.0000000000000001E-3</v>
      </c>
      <c r="D658" s="401" t="s">
        <v>476</v>
      </c>
      <c r="E658" s="1276">
        <f>+VIAJE</f>
        <v>1200000</v>
      </c>
      <c r="F658" s="2807"/>
      <c r="G658" s="2807"/>
      <c r="H658" s="2807"/>
      <c r="I658" s="2807">
        <f>+E658*C658</f>
        <v>6000</v>
      </c>
    </row>
    <row r="659" spans="1:9" s="507" customFormat="1" ht="15" customHeight="1">
      <c r="A659" s="2820" t="s">
        <v>190</v>
      </c>
      <c r="B659" s="2821">
        <f>ROUND(SUM(F659:I659),0)</f>
        <v>55834</v>
      </c>
      <c r="C659" s="1264"/>
      <c r="D659" s="1229"/>
      <c r="E659" s="2807"/>
      <c r="F659" s="2807">
        <f>+SUM(F657:F658)</f>
        <v>0</v>
      </c>
      <c r="G659" s="2807">
        <f>+SUM(G657:G658)</f>
        <v>49833.63</v>
      </c>
      <c r="H659" s="2807">
        <f>+SUM(H657:H658)</f>
        <v>0</v>
      </c>
      <c r="I659" s="2807">
        <f>+SUM(I657:I658)</f>
        <v>6000</v>
      </c>
    </row>
    <row r="660" spans="1:9" s="507" customFormat="1" ht="15" customHeight="1">
      <c r="A660" s="2820" t="s">
        <v>191</v>
      </c>
      <c r="B660" s="2822">
        <f>+B659</f>
        <v>55834</v>
      </c>
      <c r="C660" s="2823" t="s">
        <v>94</v>
      </c>
      <c r="D660" s="873"/>
      <c r="E660" s="873"/>
      <c r="F660" s="873"/>
      <c r="G660" s="873"/>
      <c r="H660" s="873"/>
      <c r="I660" s="873"/>
    </row>
    <row r="661" spans="1:9" s="507" customFormat="1" ht="15" customHeight="1">
      <c r="A661"/>
      <c r="B661"/>
      <c r="C661"/>
      <c r="D661"/>
      <c r="E661"/>
      <c r="F661"/>
      <c r="G661"/>
      <c r="H661"/>
      <c r="I661"/>
    </row>
    <row r="662" spans="1:9" s="507" customFormat="1" ht="15" customHeight="1">
      <c r="A662" s="2818" t="s">
        <v>5771</v>
      </c>
      <c r="B662" s="3666" t="s">
        <v>8754</v>
      </c>
      <c r="C662" s="3667"/>
      <c r="D662" s="3667"/>
      <c r="E662" s="3667"/>
      <c r="F662" s="3667"/>
      <c r="G662" s="3667"/>
      <c r="H662" s="3667"/>
      <c r="I662" s="3668"/>
    </row>
    <row r="663" spans="1:9" s="507" customFormat="1" ht="15" customHeight="1">
      <c r="A663" s="1261"/>
      <c r="B663" s="184"/>
      <c r="C663" s="1229" t="s">
        <v>140</v>
      </c>
      <c r="D663" s="1229" t="s">
        <v>343</v>
      </c>
      <c r="E663" s="1229" t="s">
        <v>344</v>
      </c>
      <c r="F663" s="1229" t="s">
        <v>482</v>
      </c>
      <c r="G663" s="1229" t="s">
        <v>483</v>
      </c>
      <c r="H663" s="1229" t="s">
        <v>232</v>
      </c>
      <c r="I663" s="1229" t="s">
        <v>171</v>
      </c>
    </row>
    <row r="664" spans="1:9" s="507" customFormat="1" ht="15" customHeight="1">
      <c r="A664" s="1261" t="s">
        <v>53</v>
      </c>
      <c r="B664" s="184" t="s">
        <v>6501</v>
      </c>
      <c r="C664" s="687">
        <f>1/(12*7)</f>
        <v>1.1904761904761904E-2</v>
      </c>
      <c r="D664" s="401" t="s">
        <v>346</v>
      </c>
      <c r="E664" s="2807">
        <v>38527.5</v>
      </c>
      <c r="F664" s="2807">
        <v>2392.6177777777775</v>
      </c>
      <c r="G664" s="2807"/>
      <c r="H664" s="2807"/>
      <c r="I664" s="2807"/>
    </row>
    <row r="665" spans="1:9" s="507" customFormat="1" ht="15" customHeight="1">
      <c r="A665" s="1261" t="s">
        <v>47</v>
      </c>
      <c r="B665" s="184" t="s">
        <v>6424</v>
      </c>
      <c r="C665" s="687">
        <f>1/(12*7)</f>
        <v>1.1904761904761904E-2</v>
      </c>
      <c r="D665" s="401" t="s">
        <v>346</v>
      </c>
      <c r="E665" s="2807">
        <v>520232.3</v>
      </c>
      <c r="F665" s="2807">
        <v>6193.2416666666659</v>
      </c>
      <c r="G665" s="2807"/>
      <c r="H665" s="2807"/>
      <c r="I665" s="2807"/>
    </row>
    <row r="666" spans="1:9" s="507" customFormat="1" ht="15" customHeight="1">
      <c r="A666" s="435" t="s">
        <v>736</v>
      </c>
      <c r="B666" s="184" t="s">
        <v>6410</v>
      </c>
      <c r="C666" s="182">
        <f>+C665</f>
        <v>1.1904761904761904E-2</v>
      </c>
      <c r="D666" s="2809" t="s">
        <v>735</v>
      </c>
      <c r="E666" s="497">
        <v>150000</v>
      </c>
      <c r="F666" s="2819">
        <v>1785.7142857142856</v>
      </c>
      <c r="G666" s="2819"/>
      <c r="H666" s="2819"/>
      <c r="I666" s="184"/>
    </row>
    <row r="667" spans="1:9" s="507" customFormat="1" ht="15" customHeight="1">
      <c r="A667" s="1261" t="s">
        <v>380</v>
      </c>
      <c r="B667" s="184" t="s">
        <v>378</v>
      </c>
      <c r="C667" s="1229">
        <v>1.9E-2</v>
      </c>
      <c r="D667" s="401" t="s">
        <v>238</v>
      </c>
      <c r="E667" s="2807">
        <v>8800</v>
      </c>
      <c r="F667" s="2807"/>
      <c r="G667" s="2807"/>
      <c r="H667" s="2807"/>
      <c r="I667" s="2807">
        <f>+E667*C667</f>
        <v>167.2</v>
      </c>
    </row>
    <row r="668" spans="1:9" s="507" customFormat="1" ht="15" customHeight="1">
      <c r="A668" s="1261" t="s">
        <v>382</v>
      </c>
      <c r="B668" s="184" t="s">
        <v>381</v>
      </c>
      <c r="C668" s="1229">
        <v>0.04</v>
      </c>
      <c r="D668" s="401" t="s">
        <v>426</v>
      </c>
      <c r="E668" s="2807">
        <v>4080</v>
      </c>
      <c r="F668" s="2807"/>
      <c r="G668" s="2807"/>
      <c r="H668" s="2807"/>
      <c r="I668" s="2807">
        <f>+E668*C668</f>
        <v>163.20000000000002</v>
      </c>
    </row>
    <row r="669" spans="1:9" s="507" customFormat="1" ht="15" customHeight="1">
      <c r="A669" s="1261" t="s">
        <v>345</v>
      </c>
      <c r="B669" s="184" t="s">
        <v>965</v>
      </c>
      <c r="C669" s="687">
        <f>1/(12*7)</f>
        <v>1.1904761904761904E-2</v>
      </c>
      <c r="D669" s="1229" t="s">
        <v>346</v>
      </c>
      <c r="E669" s="2807">
        <v>80479.625344</v>
      </c>
      <c r="F669" s="2807"/>
      <c r="G669" s="2807"/>
      <c r="H669" s="2807">
        <f>+E669*C669</f>
        <v>958.09077790476181</v>
      </c>
      <c r="I669" s="2807"/>
    </row>
    <row r="670" spans="1:9" s="507" customFormat="1" ht="15" customHeight="1">
      <c r="A670" s="1261" t="s">
        <v>347</v>
      </c>
      <c r="B670" s="184" t="s">
        <v>266</v>
      </c>
      <c r="C670" s="687">
        <f>1/(12*7)</f>
        <v>1.1904761904761904E-2</v>
      </c>
      <c r="D670" s="1229" t="s">
        <v>346</v>
      </c>
      <c r="E670" s="2807">
        <v>65389.695592000004</v>
      </c>
      <c r="F670" s="2807"/>
      <c r="G670" s="2807"/>
      <c r="H670" s="2807">
        <f>+E670*C670</f>
        <v>778.4487570476191</v>
      </c>
      <c r="I670" s="2807"/>
    </row>
    <row r="671" spans="1:9" s="507" customFormat="1" ht="15" customHeight="1">
      <c r="A671" s="1261" t="s">
        <v>172</v>
      </c>
      <c r="B671" s="184" t="s">
        <v>189</v>
      </c>
      <c r="C671" s="687">
        <v>1</v>
      </c>
      <c r="D671" s="1229" t="s">
        <v>583</v>
      </c>
      <c r="E671" s="2807">
        <v>86.826976747619057</v>
      </c>
      <c r="F671" s="2807"/>
      <c r="G671" s="2807"/>
      <c r="H671" s="2807"/>
      <c r="I671" s="2807">
        <f>+E671*C671</f>
        <v>86.826976747619057</v>
      </c>
    </row>
    <row r="672" spans="1:9" s="507" customFormat="1" ht="15" customHeight="1">
      <c r="A672" s="2820" t="s">
        <v>190</v>
      </c>
      <c r="B672" s="2821">
        <f>ROUND(SUM(F672:I672),0)</f>
        <v>12525</v>
      </c>
      <c r="C672" s="1264"/>
      <c r="D672" s="1229"/>
      <c r="E672" s="2807"/>
      <c r="F672" s="2807">
        <f>+SUM(F664:F671)</f>
        <v>10371.573730158729</v>
      </c>
      <c r="G672" s="2807">
        <f>+SUM(G664:G671)</f>
        <v>0</v>
      </c>
      <c r="H672" s="2807">
        <f>+SUM(H664:H671)</f>
        <v>1736.539534952381</v>
      </c>
      <c r="I672" s="2807">
        <f>+SUM(I664:I671)</f>
        <v>417.22697674761901</v>
      </c>
    </row>
    <row r="673" spans="1:9" s="507" customFormat="1" ht="15" customHeight="1">
      <c r="A673" s="2820" t="s">
        <v>191</v>
      </c>
      <c r="B673" s="2822">
        <f>+B672</f>
        <v>12525</v>
      </c>
      <c r="C673" s="2823" t="s">
        <v>94</v>
      </c>
      <c r="D673" s="873"/>
      <c r="E673" s="873"/>
      <c r="F673" s="873"/>
      <c r="G673" s="873"/>
      <c r="H673" s="873"/>
      <c r="I673" s="873"/>
    </row>
    <row r="674" spans="1:9" s="507" customFormat="1" ht="15" customHeight="1">
      <c r="A674" s="2824"/>
      <c r="B674" s="2825"/>
      <c r="C674" s="2825"/>
      <c r="D674" s="2825"/>
      <c r="E674" s="2825"/>
      <c r="F674" s="2825"/>
      <c r="G674" s="2825"/>
      <c r="H674" s="2825"/>
      <c r="I674" s="2825"/>
    </row>
    <row r="675" spans="1:9" s="507" customFormat="1" ht="15" customHeight="1">
      <c r="A675" s="2826" t="s">
        <v>5796</v>
      </c>
      <c r="B675" s="3657" t="s">
        <v>8745</v>
      </c>
      <c r="C675" s="3658"/>
      <c r="D675" s="3658"/>
      <c r="E675" s="3658"/>
      <c r="F675" s="3658"/>
      <c r="G675" s="3658"/>
      <c r="H675" s="3658"/>
      <c r="I675" s="3659"/>
    </row>
    <row r="676" spans="1:9" s="507" customFormat="1" ht="15" customHeight="1">
      <c r="A676" s="1261"/>
      <c r="B676" s="184"/>
      <c r="C676" s="1264" t="s">
        <v>140</v>
      </c>
      <c r="D676" s="1229" t="s">
        <v>343</v>
      </c>
      <c r="E676" s="1229" t="s">
        <v>344</v>
      </c>
      <c r="F676" s="1229" t="s">
        <v>482</v>
      </c>
      <c r="G676" s="1229" t="s">
        <v>483</v>
      </c>
      <c r="H676" s="1229" t="s">
        <v>232</v>
      </c>
      <c r="I676" s="1229" t="s">
        <v>171</v>
      </c>
    </row>
    <row r="677" spans="1:9" s="507" customFormat="1" ht="15" customHeight="1">
      <c r="A677" s="1261" t="s">
        <v>286</v>
      </c>
      <c r="B677" s="184" t="s">
        <v>8760</v>
      </c>
      <c r="C677" s="1264">
        <v>1</v>
      </c>
      <c r="D677" s="1229" t="s">
        <v>94</v>
      </c>
      <c r="E677" s="2807">
        <f>+'BASE 2'!D182</f>
        <v>43624.21</v>
      </c>
      <c r="F677" s="2807"/>
      <c r="G677" s="2807">
        <f>+E677*C677</f>
        <v>43624.21</v>
      </c>
      <c r="H677" s="2807"/>
      <c r="I677" s="2807"/>
    </row>
    <row r="678" spans="1:9" s="507" customFormat="1" ht="15" customHeight="1">
      <c r="A678" s="1261" t="s">
        <v>584</v>
      </c>
      <c r="B678" s="2827" t="s">
        <v>134</v>
      </c>
      <c r="C678" s="183">
        <f>1/200</f>
        <v>5.0000000000000001E-3</v>
      </c>
      <c r="D678" s="401" t="s">
        <v>476</v>
      </c>
      <c r="E678" s="1276">
        <f>+VIAJE</f>
        <v>1200000</v>
      </c>
      <c r="F678" s="2807"/>
      <c r="G678" s="2807"/>
      <c r="H678" s="2807"/>
      <c r="I678" s="2807">
        <f>+E678*C678</f>
        <v>6000</v>
      </c>
    </row>
    <row r="679" spans="1:9" s="507" customFormat="1" ht="15" customHeight="1">
      <c r="A679" s="2820" t="s">
        <v>190</v>
      </c>
      <c r="B679" s="2821">
        <f>ROUND(SUM(F679:I679),0)</f>
        <v>49624</v>
      </c>
      <c r="C679" s="1264"/>
      <c r="D679" s="1229"/>
      <c r="E679" s="2807"/>
      <c r="F679" s="2807">
        <f>+SUM(F677:F678)</f>
        <v>0</v>
      </c>
      <c r="G679" s="2807">
        <f>+SUM(G677:G678)</f>
        <v>43624.21</v>
      </c>
      <c r="H679" s="2807">
        <f>+SUM(H677:H678)</f>
        <v>0</v>
      </c>
      <c r="I679" s="2807">
        <f>+SUM(I677:I678)</f>
        <v>6000</v>
      </c>
    </row>
    <row r="680" spans="1:9" s="507" customFormat="1" ht="15" customHeight="1">
      <c r="A680" s="2820" t="s">
        <v>191</v>
      </c>
      <c r="B680" s="2822">
        <f>+B679</f>
        <v>49624</v>
      </c>
      <c r="C680" s="2823" t="s">
        <v>94</v>
      </c>
      <c r="D680" s="873"/>
      <c r="E680" s="873"/>
      <c r="F680" s="873"/>
      <c r="G680" s="873"/>
      <c r="H680" s="873"/>
      <c r="I680" s="873"/>
    </row>
    <row r="681" spans="1:9" s="507" customFormat="1" ht="15" customHeight="1">
      <c r="A681" s="1270"/>
      <c r="B681" s="861"/>
      <c r="C681" s="2810"/>
      <c r="D681" s="504"/>
      <c r="E681" s="504"/>
      <c r="F681" s="504"/>
      <c r="G681" s="504"/>
      <c r="H681" s="504"/>
      <c r="I681" s="504"/>
    </row>
    <row r="682" spans="1:9" s="507" customFormat="1" ht="15" customHeight="1">
      <c r="A682" s="2873" t="s">
        <v>5787</v>
      </c>
      <c r="B682" s="3660" t="s">
        <v>8774</v>
      </c>
      <c r="C682" s="3661"/>
      <c r="D682" s="3661"/>
      <c r="E682" s="3661"/>
      <c r="F682" s="3661"/>
      <c r="G682" s="3661"/>
      <c r="H682" s="3661"/>
      <c r="I682" s="3662"/>
    </row>
    <row r="683" spans="1:9" s="507" customFormat="1" ht="15" customHeight="1">
      <c r="A683" s="2844"/>
      <c r="B683" s="2845"/>
      <c r="C683" s="2847" t="s">
        <v>140</v>
      </c>
      <c r="D683" s="2847" t="s">
        <v>343</v>
      </c>
      <c r="E683" s="2847" t="s">
        <v>344</v>
      </c>
      <c r="F683" s="2847" t="s">
        <v>482</v>
      </c>
      <c r="G683" s="2847" t="s">
        <v>483</v>
      </c>
      <c r="H683" s="2847" t="s">
        <v>232</v>
      </c>
      <c r="I683" s="2847" t="s">
        <v>171</v>
      </c>
    </row>
    <row r="684" spans="1:9" s="507" customFormat="1" ht="15" customHeight="1">
      <c r="A684" s="2844" t="s">
        <v>53</v>
      </c>
      <c r="B684" s="2845" t="s">
        <v>6501</v>
      </c>
      <c r="C684" s="2874">
        <f>1/(12*7)</f>
        <v>1.1904761904761904E-2</v>
      </c>
      <c r="D684" s="2851" t="s">
        <v>346</v>
      </c>
      <c r="E684" s="2853">
        <v>38527.5</v>
      </c>
      <c r="F684" s="2853">
        <v>2392.6177777777775</v>
      </c>
      <c r="G684" s="2853"/>
      <c r="H684" s="2853"/>
      <c r="I684" s="2853"/>
    </row>
    <row r="685" spans="1:9" s="507" customFormat="1" ht="15" customHeight="1">
      <c r="A685" s="2844" t="s">
        <v>47</v>
      </c>
      <c r="B685" s="2845" t="s">
        <v>6424</v>
      </c>
      <c r="C685" s="2874">
        <f>1/(12*7)</f>
        <v>1.1904761904761904E-2</v>
      </c>
      <c r="D685" s="2851" t="s">
        <v>346</v>
      </c>
      <c r="E685" s="2853">
        <v>520232.3</v>
      </c>
      <c r="F685" s="2853">
        <v>6193.2416666666659</v>
      </c>
      <c r="G685" s="2853"/>
      <c r="H685" s="2853"/>
      <c r="I685" s="2853"/>
    </row>
    <row r="686" spans="1:9" s="507" customFormat="1" ht="15" customHeight="1">
      <c r="A686" s="2854" t="s">
        <v>736</v>
      </c>
      <c r="B686" s="2845" t="s">
        <v>6410</v>
      </c>
      <c r="C686" s="2855">
        <f>+C685</f>
        <v>1.1904761904761904E-2</v>
      </c>
      <c r="D686" s="2856" t="s">
        <v>735</v>
      </c>
      <c r="E686" s="2857">
        <v>150000</v>
      </c>
      <c r="F686" s="2875">
        <v>1785.7142857142856</v>
      </c>
      <c r="G686" s="2875"/>
      <c r="H686" s="2875"/>
      <c r="I686" s="2845"/>
    </row>
    <row r="687" spans="1:9" s="507" customFormat="1" ht="15" customHeight="1">
      <c r="A687" s="2844" t="s">
        <v>380</v>
      </c>
      <c r="B687" s="2845" t="s">
        <v>378</v>
      </c>
      <c r="C687" s="2847">
        <v>1.9E-2</v>
      </c>
      <c r="D687" s="2851" t="s">
        <v>238</v>
      </c>
      <c r="E687" s="2853">
        <v>8800</v>
      </c>
      <c r="F687" s="2853"/>
      <c r="G687" s="2853"/>
      <c r="H687" s="2853"/>
      <c r="I687" s="2853">
        <f>+E687*C687</f>
        <v>167.2</v>
      </c>
    </row>
    <row r="688" spans="1:9" s="507" customFormat="1" ht="15" customHeight="1">
      <c r="A688" s="2844" t="s">
        <v>382</v>
      </c>
      <c r="B688" s="2845" t="s">
        <v>381</v>
      </c>
      <c r="C688" s="2847">
        <v>0.04</v>
      </c>
      <c r="D688" s="2851" t="s">
        <v>426</v>
      </c>
      <c r="E688" s="2853">
        <v>4080</v>
      </c>
      <c r="F688" s="2853"/>
      <c r="G688" s="2853"/>
      <c r="H688" s="2853"/>
      <c r="I688" s="2853">
        <f>+E688*C688</f>
        <v>163.20000000000002</v>
      </c>
    </row>
    <row r="689" spans="1:9" s="507" customFormat="1" ht="15" customHeight="1">
      <c r="A689" s="2844" t="s">
        <v>345</v>
      </c>
      <c r="B689" s="2845" t="s">
        <v>965</v>
      </c>
      <c r="C689" s="2874">
        <f>1/(12*7)</f>
        <v>1.1904761904761904E-2</v>
      </c>
      <c r="D689" s="2847" t="s">
        <v>346</v>
      </c>
      <c r="E689" s="2853">
        <v>80479.625344</v>
      </c>
      <c r="F689" s="2853"/>
      <c r="G689" s="2853"/>
      <c r="H689" s="2853">
        <f>+E689*C689</f>
        <v>958.09077790476181</v>
      </c>
      <c r="I689" s="2853"/>
    </row>
    <row r="690" spans="1:9" s="507" customFormat="1" ht="15" customHeight="1">
      <c r="A690" s="2844" t="s">
        <v>347</v>
      </c>
      <c r="B690" s="2845" t="s">
        <v>266</v>
      </c>
      <c r="C690" s="2874">
        <f>1/(12*7)</f>
        <v>1.1904761904761904E-2</v>
      </c>
      <c r="D690" s="2847" t="s">
        <v>346</v>
      </c>
      <c r="E690" s="2853">
        <v>65389.695592000004</v>
      </c>
      <c r="F690" s="2853"/>
      <c r="G690" s="2853"/>
      <c r="H690" s="2853">
        <f>+E690*C690</f>
        <v>778.4487570476191</v>
      </c>
      <c r="I690" s="2853"/>
    </row>
    <row r="691" spans="1:9" s="507" customFormat="1" ht="15" customHeight="1">
      <c r="A691" s="2844" t="s">
        <v>172</v>
      </c>
      <c r="B691" s="2845" t="s">
        <v>189</v>
      </c>
      <c r="C691" s="2874">
        <v>1</v>
      </c>
      <c r="D691" s="2847" t="s">
        <v>583</v>
      </c>
      <c r="E691" s="2853">
        <v>86.826976747619057</v>
      </c>
      <c r="F691" s="2853"/>
      <c r="G691" s="2853"/>
      <c r="H691" s="2853"/>
      <c r="I691" s="2853">
        <f>+E691*C691</f>
        <v>86.826976747619057</v>
      </c>
    </row>
    <row r="692" spans="1:9" s="507" customFormat="1" ht="15" customHeight="1">
      <c r="A692" s="2876" t="s">
        <v>190</v>
      </c>
      <c r="B692" s="2877">
        <f>ROUND(SUM(F692:I692),0)</f>
        <v>12525</v>
      </c>
      <c r="C692" s="2861"/>
      <c r="D692" s="2847"/>
      <c r="E692" s="2853"/>
      <c r="F692" s="2853">
        <f>+SUM(F684:F691)</f>
        <v>10371.573730158729</v>
      </c>
      <c r="G692" s="2853">
        <f>+SUM(G684:G691)</f>
        <v>0</v>
      </c>
      <c r="H692" s="2853">
        <f>+SUM(H684:H691)</f>
        <v>1736.539534952381</v>
      </c>
      <c r="I692" s="2853">
        <f>+SUM(I684:I691)</f>
        <v>417.22697674761901</v>
      </c>
    </row>
    <row r="693" spans="1:9" s="507" customFormat="1" ht="15" customHeight="1">
      <c r="A693" s="2876" t="s">
        <v>191</v>
      </c>
      <c r="B693" s="2878">
        <f>+B692</f>
        <v>12525</v>
      </c>
      <c r="C693" s="2879" t="s">
        <v>94</v>
      </c>
      <c r="D693" s="2864"/>
      <c r="E693" s="2864"/>
      <c r="F693" s="2864"/>
      <c r="G693" s="2864"/>
      <c r="H693" s="2864"/>
      <c r="I693" s="2864"/>
    </row>
    <row r="694" spans="1:9" s="507" customFormat="1" ht="15" customHeight="1">
      <c r="A694" s="2880"/>
      <c r="B694" s="2881"/>
      <c r="C694" s="2881"/>
      <c r="D694" s="2881"/>
      <c r="E694" s="2881"/>
      <c r="F694" s="2881"/>
      <c r="G694" s="2881"/>
      <c r="H694" s="2881"/>
      <c r="I694" s="2881"/>
    </row>
    <row r="695" spans="1:9" s="507" customFormat="1" ht="15" customHeight="1">
      <c r="A695" s="2882" t="s">
        <v>5797</v>
      </c>
      <c r="B695" s="3663" t="s">
        <v>8775</v>
      </c>
      <c r="C695" s="3664"/>
      <c r="D695" s="3664"/>
      <c r="E695" s="3664"/>
      <c r="F695" s="3664"/>
      <c r="G695" s="3664"/>
      <c r="H695" s="3664"/>
      <c r="I695" s="3665"/>
    </row>
    <row r="696" spans="1:9" s="507" customFormat="1" ht="15" customHeight="1">
      <c r="A696" s="2844"/>
      <c r="B696" s="2845"/>
      <c r="C696" s="2861" t="s">
        <v>140</v>
      </c>
      <c r="D696" s="2847" t="s">
        <v>343</v>
      </c>
      <c r="E696" s="2847" t="s">
        <v>344</v>
      </c>
      <c r="F696" s="2847" t="s">
        <v>482</v>
      </c>
      <c r="G696" s="2847" t="s">
        <v>483</v>
      </c>
      <c r="H696" s="2847" t="s">
        <v>232</v>
      </c>
      <c r="I696" s="2847" t="s">
        <v>171</v>
      </c>
    </row>
    <row r="697" spans="1:9" s="507" customFormat="1" ht="15" customHeight="1">
      <c r="A697" s="2844" t="s">
        <v>286</v>
      </c>
      <c r="B697" s="2845" t="s">
        <v>8776</v>
      </c>
      <c r="C697" s="2861">
        <v>1</v>
      </c>
      <c r="D697" s="2847" t="s">
        <v>94</v>
      </c>
      <c r="E697" s="2853">
        <f>+'BASE 2'!D184</f>
        <v>47451.25</v>
      </c>
      <c r="F697" s="2853"/>
      <c r="G697" s="2853">
        <f>+E697*C697</f>
        <v>47451.25</v>
      </c>
      <c r="H697" s="2853"/>
      <c r="I697" s="2853"/>
    </row>
    <row r="698" spans="1:9" s="507" customFormat="1" ht="15" customHeight="1">
      <c r="A698" s="2844" t="s">
        <v>584</v>
      </c>
      <c r="B698" s="2883" t="s">
        <v>134</v>
      </c>
      <c r="C698" s="2869">
        <f>1/200</f>
        <v>5.0000000000000001E-3</v>
      </c>
      <c r="D698" s="2851" t="s">
        <v>476</v>
      </c>
      <c r="E698" s="2870">
        <f>+VIAJE</f>
        <v>1200000</v>
      </c>
      <c r="F698" s="2853"/>
      <c r="G698" s="2853"/>
      <c r="H698" s="2853"/>
      <c r="I698" s="2853">
        <f>+E698*C698</f>
        <v>6000</v>
      </c>
    </row>
    <row r="699" spans="1:9" s="507" customFormat="1" ht="15" customHeight="1">
      <c r="A699" s="2876" t="s">
        <v>190</v>
      </c>
      <c r="B699" s="2877">
        <f>ROUND(SUM(F699:I699),0)</f>
        <v>53451</v>
      </c>
      <c r="C699" s="2861"/>
      <c r="D699" s="2847"/>
      <c r="E699" s="2853"/>
      <c r="F699" s="2853">
        <f>+SUM(F697:F698)</f>
        <v>0</v>
      </c>
      <c r="G699" s="2853">
        <f>+SUM(G697:G698)</f>
        <v>47451.25</v>
      </c>
      <c r="H699" s="2853">
        <f>+SUM(H697:H698)</f>
        <v>0</v>
      </c>
      <c r="I699" s="2853">
        <f>+SUM(I697:I698)</f>
        <v>6000</v>
      </c>
    </row>
    <row r="700" spans="1:9" s="507" customFormat="1" ht="15" customHeight="1">
      <c r="A700" s="2876" t="s">
        <v>191</v>
      </c>
      <c r="B700" s="2878">
        <f>+B699</f>
        <v>53451</v>
      </c>
      <c r="C700" s="2879" t="s">
        <v>94</v>
      </c>
      <c r="D700" s="2864"/>
      <c r="E700" s="2864"/>
      <c r="F700" s="2864"/>
      <c r="G700" s="2864"/>
      <c r="H700" s="2864"/>
      <c r="I700" s="2864"/>
    </row>
    <row r="701" spans="1:9" s="507" customFormat="1" ht="15" customHeight="1">
      <c r="A701"/>
      <c r="B701"/>
      <c r="C701"/>
      <c r="D701"/>
      <c r="E701"/>
      <c r="F701"/>
      <c r="G701"/>
      <c r="H701"/>
      <c r="I701"/>
    </row>
    <row r="702" spans="1:9" s="507" customFormat="1" ht="15" customHeight="1">
      <c r="A702" s="2818" t="s">
        <v>5787</v>
      </c>
      <c r="B702" s="3666" t="s">
        <v>8755</v>
      </c>
      <c r="C702" s="3667"/>
      <c r="D702" s="3667"/>
      <c r="E702" s="3667"/>
      <c r="F702" s="3667"/>
      <c r="G702" s="3667"/>
      <c r="H702" s="3667"/>
      <c r="I702" s="3668"/>
    </row>
    <row r="703" spans="1:9" s="507" customFormat="1" ht="15" customHeight="1">
      <c r="A703" s="1261"/>
      <c r="B703" s="184"/>
      <c r="C703" s="1229" t="s">
        <v>140</v>
      </c>
      <c r="D703" s="1229" t="s">
        <v>343</v>
      </c>
      <c r="E703" s="1229" t="s">
        <v>344</v>
      </c>
      <c r="F703" s="1229" t="s">
        <v>482</v>
      </c>
      <c r="G703" s="1229" t="s">
        <v>483</v>
      </c>
      <c r="H703" s="1229" t="s">
        <v>232</v>
      </c>
      <c r="I703" s="1229" t="s">
        <v>171</v>
      </c>
    </row>
    <row r="704" spans="1:9" s="507" customFormat="1" ht="15" customHeight="1">
      <c r="A704" s="1261" t="s">
        <v>53</v>
      </c>
      <c r="B704" s="184" t="s">
        <v>6501</v>
      </c>
      <c r="C704" s="687">
        <f>1/(12*7)</f>
        <v>1.1904761904761904E-2</v>
      </c>
      <c r="D704" s="401" t="s">
        <v>346</v>
      </c>
      <c r="E704" s="2807">
        <v>38527.5</v>
      </c>
      <c r="F704" s="2807">
        <v>2392.6177777777775</v>
      </c>
      <c r="G704" s="2807"/>
      <c r="H704" s="2807"/>
      <c r="I704" s="2807"/>
    </row>
    <row r="705" spans="1:9" s="507" customFormat="1" ht="15" customHeight="1">
      <c r="A705" s="1261" t="s">
        <v>47</v>
      </c>
      <c r="B705" s="184" t="s">
        <v>6424</v>
      </c>
      <c r="C705" s="687">
        <f>1/(12*7)</f>
        <v>1.1904761904761904E-2</v>
      </c>
      <c r="D705" s="401" t="s">
        <v>346</v>
      </c>
      <c r="E705" s="2807">
        <v>520232.3</v>
      </c>
      <c r="F705" s="2807">
        <v>6193.2416666666659</v>
      </c>
      <c r="G705" s="2807"/>
      <c r="H705" s="2807"/>
      <c r="I705" s="2807"/>
    </row>
    <row r="706" spans="1:9" s="507" customFormat="1" ht="15" customHeight="1">
      <c r="A706" s="435" t="s">
        <v>736</v>
      </c>
      <c r="B706" s="184" t="s">
        <v>6410</v>
      </c>
      <c r="C706" s="182">
        <f>+C705</f>
        <v>1.1904761904761904E-2</v>
      </c>
      <c r="D706" s="2809" t="s">
        <v>735</v>
      </c>
      <c r="E706" s="497">
        <v>150000</v>
      </c>
      <c r="F706" s="2819">
        <v>1785.7142857142856</v>
      </c>
      <c r="G706" s="2819"/>
      <c r="H706" s="2819"/>
      <c r="I706" s="184"/>
    </row>
    <row r="707" spans="1:9" s="507" customFormat="1" ht="15" customHeight="1">
      <c r="A707" s="1261" t="s">
        <v>380</v>
      </c>
      <c r="B707" s="184" t="s">
        <v>378</v>
      </c>
      <c r="C707" s="1229">
        <v>1.9E-2</v>
      </c>
      <c r="D707" s="401" t="s">
        <v>238</v>
      </c>
      <c r="E707" s="2807">
        <v>8800</v>
      </c>
      <c r="F707" s="2807"/>
      <c r="G707" s="2807"/>
      <c r="H707" s="2807"/>
      <c r="I707" s="2807">
        <f>+E707*C707</f>
        <v>167.2</v>
      </c>
    </row>
    <row r="708" spans="1:9" s="507" customFormat="1" ht="15" customHeight="1">
      <c r="A708" s="1261" t="s">
        <v>382</v>
      </c>
      <c r="B708" s="184" t="s">
        <v>381</v>
      </c>
      <c r="C708" s="1229">
        <v>0.04</v>
      </c>
      <c r="D708" s="401" t="s">
        <v>426</v>
      </c>
      <c r="E708" s="2807">
        <v>4080</v>
      </c>
      <c r="F708" s="2807"/>
      <c r="G708" s="2807"/>
      <c r="H708" s="2807"/>
      <c r="I708" s="2807">
        <f>+E708*C708</f>
        <v>163.20000000000002</v>
      </c>
    </row>
    <row r="709" spans="1:9" s="507" customFormat="1" ht="15" customHeight="1">
      <c r="A709" s="1261" t="s">
        <v>345</v>
      </c>
      <c r="B709" s="184" t="s">
        <v>965</v>
      </c>
      <c r="C709" s="687">
        <f>1/(12*7)</f>
        <v>1.1904761904761904E-2</v>
      </c>
      <c r="D709" s="1229" t="s">
        <v>346</v>
      </c>
      <c r="E709" s="2807">
        <v>80479.625344</v>
      </c>
      <c r="F709" s="2807"/>
      <c r="G709" s="2807"/>
      <c r="H709" s="2807">
        <f>+E709*C709</f>
        <v>958.09077790476181</v>
      </c>
      <c r="I709" s="2807"/>
    </row>
    <row r="710" spans="1:9" s="507" customFormat="1" ht="15" customHeight="1">
      <c r="A710" s="1261" t="s">
        <v>347</v>
      </c>
      <c r="B710" s="184" t="s">
        <v>266</v>
      </c>
      <c r="C710" s="687">
        <f>1/(12*7)</f>
        <v>1.1904761904761904E-2</v>
      </c>
      <c r="D710" s="1229" t="s">
        <v>346</v>
      </c>
      <c r="E710" s="2807">
        <v>65389.695592000004</v>
      </c>
      <c r="F710" s="2807"/>
      <c r="G710" s="2807"/>
      <c r="H710" s="2807">
        <f>+E710*C710</f>
        <v>778.4487570476191</v>
      </c>
      <c r="I710" s="2807"/>
    </row>
    <row r="711" spans="1:9" s="507" customFormat="1" ht="15" customHeight="1">
      <c r="A711" s="1261" t="s">
        <v>172</v>
      </c>
      <c r="B711" s="184" t="s">
        <v>189</v>
      </c>
      <c r="C711" s="687">
        <v>1</v>
      </c>
      <c r="D711" s="1229" t="s">
        <v>583</v>
      </c>
      <c r="E711" s="2807">
        <v>86.826976747619057</v>
      </c>
      <c r="F711" s="2807"/>
      <c r="G711" s="2807"/>
      <c r="H711" s="2807"/>
      <c r="I711" s="2807">
        <f>+E711*C711</f>
        <v>86.826976747619057</v>
      </c>
    </row>
    <row r="712" spans="1:9" s="507" customFormat="1" ht="15" customHeight="1">
      <c r="A712" s="2820" t="s">
        <v>190</v>
      </c>
      <c r="B712" s="2821">
        <f>ROUND(SUM(F712:I712),0)</f>
        <v>12525</v>
      </c>
      <c r="C712" s="1264"/>
      <c r="D712" s="1229"/>
      <c r="E712" s="2807"/>
      <c r="F712" s="2807">
        <f>+SUM(F704:F711)</f>
        <v>10371.573730158729</v>
      </c>
      <c r="G712" s="2807">
        <f>+SUM(G704:G711)</f>
        <v>0</v>
      </c>
      <c r="H712" s="2807">
        <f>+SUM(H704:H711)</f>
        <v>1736.539534952381</v>
      </c>
      <c r="I712" s="2807">
        <f>+SUM(I704:I711)</f>
        <v>417.22697674761901</v>
      </c>
    </row>
    <row r="713" spans="1:9" s="507" customFormat="1" ht="15" customHeight="1">
      <c r="A713" s="2820" t="s">
        <v>191</v>
      </c>
      <c r="B713" s="2822">
        <f>+B712</f>
        <v>12525</v>
      </c>
      <c r="C713" s="2823" t="s">
        <v>94</v>
      </c>
      <c r="D713" s="873"/>
      <c r="E713" s="873"/>
      <c r="F713" s="873"/>
      <c r="G713" s="873"/>
      <c r="H713" s="873"/>
      <c r="I713" s="873"/>
    </row>
    <row r="714" spans="1:9" s="507" customFormat="1" ht="15" customHeight="1">
      <c r="A714" s="2824"/>
      <c r="B714" s="2825"/>
      <c r="C714" s="2825"/>
      <c r="D714" s="2825"/>
      <c r="E714" s="2825"/>
      <c r="F714" s="2825"/>
      <c r="G714" s="2825"/>
      <c r="H714" s="2825"/>
      <c r="I714" s="2825"/>
    </row>
    <row r="715" spans="1:9" s="507" customFormat="1" ht="15" customHeight="1">
      <c r="A715" s="2826" t="s">
        <v>5797</v>
      </c>
      <c r="B715" s="3657" t="s">
        <v>8746</v>
      </c>
      <c r="C715" s="3658"/>
      <c r="D715" s="3658"/>
      <c r="E715" s="3658"/>
      <c r="F715" s="3658"/>
      <c r="G715" s="3658"/>
      <c r="H715" s="3658"/>
      <c r="I715" s="3659"/>
    </row>
    <row r="716" spans="1:9" s="507" customFormat="1" ht="15" customHeight="1">
      <c r="A716" s="1261"/>
      <c r="B716" s="184"/>
      <c r="C716" s="1264" t="s">
        <v>140</v>
      </c>
      <c r="D716" s="1229" t="s">
        <v>343</v>
      </c>
      <c r="E716" s="1229" t="s">
        <v>344</v>
      </c>
      <c r="F716" s="1229" t="s">
        <v>482</v>
      </c>
      <c r="G716" s="1229" t="s">
        <v>483</v>
      </c>
      <c r="H716" s="1229" t="s">
        <v>232</v>
      </c>
      <c r="I716" s="1229" t="s">
        <v>171</v>
      </c>
    </row>
    <row r="717" spans="1:9" s="507" customFormat="1" ht="15" customHeight="1">
      <c r="A717" s="1261" t="s">
        <v>286</v>
      </c>
      <c r="B717" s="184" t="s">
        <v>8761</v>
      </c>
      <c r="C717" s="1264">
        <v>1</v>
      </c>
      <c r="D717" s="1229" t="s">
        <v>94</v>
      </c>
      <c r="E717" s="2807">
        <f>+'BASE 2'!D183</f>
        <v>35578.619999999995</v>
      </c>
      <c r="F717" s="2807"/>
      <c r="G717" s="2807">
        <f>+E717*C717</f>
        <v>35578.619999999995</v>
      </c>
      <c r="H717" s="2807"/>
      <c r="I717" s="2807"/>
    </row>
    <row r="718" spans="1:9" s="507" customFormat="1" ht="15" customHeight="1">
      <c r="A718" s="1261" t="s">
        <v>584</v>
      </c>
      <c r="B718" s="2827" t="s">
        <v>134</v>
      </c>
      <c r="C718" s="183">
        <f>1/200</f>
        <v>5.0000000000000001E-3</v>
      </c>
      <c r="D718" s="401" t="s">
        <v>476</v>
      </c>
      <c r="E718" s="1276">
        <f>+VIAJE</f>
        <v>1200000</v>
      </c>
      <c r="F718" s="2807"/>
      <c r="G718" s="2807"/>
      <c r="H718" s="2807"/>
      <c r="I718" s="2807">
        <f>+E718*C718</f>
        <v>6000</v>
      </c>
    </row>
    <row r="719" spans="1:9" s="507" customFormat="1" ht="15" customHeight="1">
      <c r="A719" s="2820" t="s">
        <v>190</v>
      </c>
      <c r="B719" s="2821">
        <f>ROUND(SUM(F719:I719),0)</f>
        <v>41579</v>
      </c>
      <c r="C719" s="1264"/>
      <c r="D719" s="1229"/>
      <c r="E719" s="2807"/>
      <c r="F719" s="2807">
        <f>+SUM(F717:F718)</f>
        <v>0</v>
      </c>
      <c r="G719" s="2807">
        <f>+SUM(G717:G718)</f>
        <v>35578.619999999995</v>
      </c>
      <c r="H719" s="2807">
        <f>+SUM(H717:H718)</f>
        <v>0</v>
      </c>
      <c r="I719" s="2807">
        <f>+SUM(I717:I718)</f>
        <v>6000</v>
      </c>
    </row>
    <row r="720" spans="1:9" s="507" customFormat="1" ht="15" customHeight="1">
      <c r="A720" s="2820" t="s">
        <v>191</v>
      </c>
      <c r="B720" s="2822">
        <f>+B719</f>
        <v>41579</v>
      </c>
      <c r="C720" s="2823" t="s">
        <v>94</v>
      </c>
      <c r="D720" s="873"/>
      <c r="E720" s="873"/>
      <c r="F720" s="873"/>
      <c r="G720" s="873"/>
      <c r="H720" s="873"/>
      <c r="I720" s="873"/>
    </row>
    <row r="721" spans="1:10" s="2718" customFormat="1" ht="15" customHeight="1">
      <c r="A721" s="2714"/>
      <c r="B721" s="2715"/>
      <c r="C721" s="2716"/>
      <c r="D721" s="2717"/>
      <c r="E721" s="2717"/>
      <c r="F721" s="2717"/>
      <c r="G721" s="2717"/>
      <c r="H721" s="2717"/>
      <c r="I721" s="2717"/>
    </row>
    <row r="722" spans="1:10" s="1260" customFormat="1" ht="15" customHeight="1">
      <c r="A722" s="2168" t="str">
        <f>+CONCATENATE('LINEAS IMPULSIÓN-CONDUCCIÓN'!A112,"  ",'LINEAS IMPULSIÓN-CONDUCCIÓN'!A113,"  ",'LINEAS IMPULSIÓN-CONDUCCIÓN'!A114)</f>
        <v>2.6.4  2.6.5  2.6.6</v>
      </c>
      <c r="B722" s="3573" t="s">
        <v>6520</v>
      </c>
      <c r="C722" s="3573"/>
      <c r="D722" s="3573"/>
      <c r="E722" s="3573"/>
      <c r="F722" s="3573"/>
      <c r="G722" s="3573"/>
      <c r="H722" s="3573"/>
      <c r="I722" s="3573"/>
    </row>
    <row r="723" spans="1:10" s="1260" customFormat="1" ht="15" customHeight="1">
      <c r="A723" s="1261"/>
      <c r="B723" s="1262"/>
      <c r="C723" s="1229" t="s">
        <v>140</v>
      </c>
      <c r="D723" s="1229" t="s">
        <v>343</v>
      </c>
      <c r="E723" s="2683" t="s">
        <v>344</v>
      </c>
      <c r="F723" s="2683" t="s">
        <v>482</v>
      </c>
      <c r="G723" s="2683" t="s">
        <v>483</v>
      </c>
      <c r="H723" s="2683" t="s">
        <v>232</v>
      </c>
      <c r="I723" s="2683" t="s">
        <v>171</v>
      </c>
    </row>
    <row r="724" spans="1:10" ht="15" customHeight="1">
      <c r="A724" s="954" t="s">
        <v>53</v>
      </c>
      <c r="B724" s="231" t="s">
        <v>6501</v>
      </c>
      <c r="C724" s="1299">
        <f>1/10</f>
        <v>0.1</v>
      </c>
      <c r="D724" s="401" t="s">
        <v>346</v>
      </c>
      <c r="E724" s="1255">
        <f>+'BASE 2'!D738</f>
        <v>200979.89333333331</v>
      </c>
      <c r="F724" s="2683">
        <f>+E724*C724</f>
        <v>20097.989333333331</v>
      </c>
      <c r="G724" s="2683"/>
      <c r="H724" s="2683"/>
      <c r="I724" s="2683"/>
      <c r="J724" s="507"/>
    </row>
    <row r="725" spans="1:10" ht="15" customHeight="1">
      <c r="A725" s="954" t="s">
        <v>47</v>
      </c>
      <c r="B725" s="231" t="s">
        <v>6424</v>
      </c>
      <c r="C725" s="1299">
        <f>1/10</f>
        <v>0.1</v>
      </c>
      <c r="D725" s="401" t="s">
        <v>346</v>
      </c>
      <c r="E725" s="2683">
        <f>+EEF110_</f>
        <v>520232.3</v>
      </c>
      <c r="F725" s="2683">
        <f>+E725*C725</f>
        <v>52023.23</v>
      </c>
      <c r="G725" s="2683"/>
      <c r="H725" s="2683"/>
      <c r="I725" s="2683"/>
      <c r="J725" s="507"/>
    </row>
    <row r="726" spans="1:10" ht="15" customHeight="1">
      <c r="A726" s="954" t="s">
        <v>380</v>
      </c>
      <c r="B726" s="184" t="s">
        <v>378</v>
      </c>
      <c r="C726" s="183">
        <f>1/40</f>
        <v>2.5000000000000001E-2</v>
      </c>
      <c r="D726" s="401" t="s">
        <v>238</v>
      </c>
      <c r="E726" s="2683">
        <f>+GASO</f>
        <v>8800</v>
      </c>
      <c r="F726" s="2683"/>
      <c r="G726" s="2683"/>
      <c r="H726" s="2683"/>
      <c r="I726" s="2683">
        <f>+E726*C726</f>
        <v>220</v>
      </c>
      <c r="J726" s="507"/>
    </row>
    <row r="727" spans="1:10" ht="15" customHeight="1">
      <c r="A727" s="954" t="s">
        <v>382</v>
      </c>
      <c r="B727" s="184" t="s">
        <v>381</v>
      </c>
      <c r="C727" s="183">
        <f>1/3.3</f>
        <v>0.30303030303030304</v>
      </c>
      <c r="D727" s="401" t="s">
        <v>426</v>
      </c>
      <c r="E727" s="2683">
        <f>+ESTOP</f>
        <v>4080</v>
      </c>
      <c r="F727" s="2683"/>
      <c r="G727" s="2683"/>
      <c r="H727" s="2683"/>
      <c r="I727" s="2683">
        <f>+E727*C727</f>
        <v>1236.3636363636365</v>
      </c>
      <c r="J727" s="507"/>
    </row>
    <row r="728" spans="1:10" ht="15" customHeight="1">
      <c r="A728" s="1261" t="s">
        <v>345</v>
      </c>
      <c r="B728" s="184" t="s">
        <v>965</v>
      </c>
      <c r="C728" s="1299">
        <f t="shared" ref="C728:C729" si="20">1/10</f>
        <v>0.1</v>
      </c>
      <c r="D728" s="1229" t="s">
        <v>346</v>
      </c>
      <c r="E728" s="2683">
        <f>+OFICI</f>
        <v>80479.625344</v>
      </c>
      <c r="F728" s="2683"/>
      <c r="G728" s="2683"/>
      <c r="H728" s="2683">
        <f>+E728*C728</f>
        <v>8047.9625344000005</v>
      </c>
      <c r="I728" s="2683"/>
      <c r="J728" s="159"/>
    </row>
    <row r="729" spans="1:10" ht="15" customHeight="1">
      <c r="A729" s="1261" t="s">
        <v>347</v>
      </c>
      <c r="B729" s="184" t="s">
        <v>266</v>
      </c>
      <c r="C729" s="1299">
        <f t="shared" si="20"/>
        <v>0.1</v>
      </c>
      <c r="D729" s="1229" t="s">
        <v>346</v>
      </c>
      <c r="E729" s="2683">
        <f>+AYUDA</f>
        <v>65389.695592000004</v>
      </c>
      <c r="F729" s="2683"/>
      <c r="G729" s="2683"/>
      <c r="H729" s="2683">
        <f>+E729*C729</f>
        <v>6538.9695592000007</v>
      </c>
      <c r="I729" s="2683"/>
      <c r="J729" s="1260"/>
    </row>
    <row r="730" spans="1:10" ht="15" customHeight="1">
      <c r="A730" s="1261" t="s">
        <v>172</v>
      </c>
      <c r="B730" s="184" t="s">
        <v>189</v>
      </c>
      <c r="C730" s="1264">
        <v>1</v>
      </c>
      <c r="D730" s="1229" t="s">
        <v>583</v>
      </c>
      <c r="E730" s="2683">
        <f>+H731*0.05</f>
        <v>729.34660468000004</v>
      </c>
      <c r="F730" s="2683"/>
      <c r="G730" s="2683"/>
      <c r="H730" s="2683"/>
      <c r="I730" s="2683">
        <f>+E730*C730</f>
        <v>729.34660468000004</v>
      </c>
      <c r="J730" s="1260"/>
    </row>
    <row r="731" spans="1:10" s="1260" customFormat="1" ht="15" customHeight="1">
      <c r="A731" s="1265" t="s">
        <v>190</v>
      </c>
      <c r="B731" s="1266">
        <f>SUM(F731:I731)</f>
        <v>88893.861667976977</v>
      </c>
      <c r="C731" s="401"/>
      <c r="D731" s="1267"/>
      <c r="E731" s="2683"/>
      <c r="F731" s="2683">
        <f>SUM(F724:F730)</f>
        <v>72121.219333333342</v>
      </c>
      <c r="G731" s="2683">
        <f t="shared" ref="G731:I731" si="21">SUM(G724:G730)</f>
        <v>0</v>
      </c>
      <c r="H731" s="2683">
        <f t="shared" si="21"/>
        <v>14586.9320936</v>
      </c>
      <c r="I731" s="2683">
        <f t="shared" si="21"/>
        <v>2185.7102410436364</v>
      </c>
    </row>
    <row r="732" spans="1:10" s="1260" customFormat="1" ht="15" customHeight="1">
      <c r="A732" s="1265" t="s">
        <v>191</v>
      </c>
      <c r="B732" s="1268">
        <f>+B731</f>
        <v>88893.861667976977</v>
      </c>
      <c r="C732" s="1269" t="s">
        <v>363</v>
      </c>
      <c r="D732" s="863"/>
      <c r="E732" s="882">
        <f>+B738*0.15</f>
        <v>19223.914499999999</v>
      </c>
      <c r="F732" s="1905"/>
      <c r="G732" s="882"/>
      <c r="H732" s="882"/>
      <c r="I732" s="882"/>
    </row>
    <row r="733" spans="1:10" s="2720" customFormat="1" ht="15" customHeight="1">
      <c r="A733" s="2327"/>
      <c r="B733" s="2719"/>
      <c r="C733" s="2328"/>
      <c r="D733" s="2329"/>
      <c r="E733" s="2330"/>
      <c r="F733" s="2331"/>
      <c r="G733" s="2330"/>
      <c r="H733" s="2330"/>
      <c r="I733" s="2330"/>
    </row>
    <row r="734" spans="1:10" s="1260" customFormat="1" ht="15" customHeight="1">
      <c r="A734" s="2169" t="str">
        <f>+'LINEAS IMPULSIÓN-CONDUCCIÓN'!A132</f>
        <v>2.7.4</v>
      </c>
      <c r="B734" s="3651" t="s">
        <v>6516</v>
      </c>
      <c r="C734" s="3651"/>
      <c r="D734" s="3651"/>
      <c r="E734" s="3651"/>
      <c r="F734" s="3651"/>
      <c r="G734" s="3651"/>
      <c r="H734" s="3651"/>
      <c r="I734" s="3651"/>
    </row>
    <row r="735" spans="1:10" s="1260" customFormat="1" ht="15" customHeight="1">
      <c r="A735" s="1261"/>
      <c r="B735" s="1262"/>
      <c r="C735" s="1229" t="s">
        <v>140</v>
      </c>
      <c r="D735" s="1229" t="s">
        <v>343</v>
      </c>
      <c r="E735" s="2683" t="s">
        <v>344</v>
      </c>
      <c r="F735" s="2683" t="s">
        <v>482</v>
      </c>
      <c r="G735" s="2683" t="s">
        <v>483</v>
      </c>
      <c r="H735" s="2683" t="s">
        <v>232</v>
      </c>
      <c r="I735" s="2683" t="s">
        <v>171</v>
      </c>
    </row>
    <row r="736" spans="1:10" s="1260" customFormat="1" ht="15" customHeight="1">
      <c r="A736" s="954" t="s">
        <v>762</v>
      </c>
      <c r="B736" s="185" t="s">
        <v>6513</v>
      </c>
      <c r="C736" s="1264">
        <v>1</v>
      </c>
      <c r="D736" s="1274" t="s">
        <v>363</v>
      </c>
      <c r="E736" s="1255">
        <f>+'BASE 2'!D195</f>
        <v>128159.43</v>
      </c>
      <c r="F736" s="1255"/>
      <c r="G736" s="1255">
        <f>+E736*C736</f>
        <v>128159.43</v>
      </c>
      <c r="H736" s="1255"/>
      <c r="I736" s="1255"/>
    </row>
    <row r="737" spans="1:9" s="1260" customFormat="1" ht="15" customHeight="1">
      <c r="A737" s="1265" t="s">
        <v>190</v>
      </c>
      <c r="B737" s="1266">
        <f>SUM(F737:I737)</f>
        <v>128159.43</v>
      </c>
      <c r="C737" s="401"/>
      <c r="D737" s="1267"/>
      <c r="E737" s="2683"/>
      <c r="F737" s="2683">
        <f>SUM(F734:F736)</f>
        <v>0</v>
      </c>
      <c r="G737" s="2683">
        <f>SUM(G734:G736)</f>
        <v>128159.43</v>
      </c>
      <c r="H737" s="2683">
        <f>SUM(H734:H736)</f>
        <v>0</v>
      </c>
      <c r="I737" s="2683">
        <f>SUM(I734:I736)</f>
        <v>0</v>
      </c>
    </row>
    <row r="738" spans="1:9" s="1260" customFormat="1" ht="15" customHeight="1">
      <c r="A738" s="1265" t="s">
        <v>191</v>
      </c>
      <c r="B738" s="1268">
        <f>+B737</f>
        <v>128159.43</v>
      </c>
      <c r="C738" s="1269" t="s">
        <v>363</v>
      </c>
      <c r="D738" s="863"/>
      <c r="E738" s="882"/>
      <c r="F738" s="1905"/>
      <c r="G738" s="882"/>
      <c r="H738" s="882"/>
      <c r="I738" s="882"/>
    </row>
    <row r="739" spans="1:9" s="2720" customFormat="1" ht="15" customHeight="1">
      <c r="A739" s="2327"/>
      <c r="B739" s="2719"/>
      <c r="C739" s="2328"/>
      <c r="D739" s="2329"/>
      <c r="E739" s="2330"/>
      <c r="F739" s="2331"/>
      <c r="G739" s="2330"/>
      <c r="H739" s="2330"/>
      <c r="I739" s="2330"/>
    </row>
    <row r="740" spans="1:9" s="1260" customFormat="1" ht="15" customHeight="1">
      <c r="A740" s="2169" t="str">
        <f>+'LINEAS IMPULSIÓN-CONDUCCIÓN'!A133</f>
        <v>2.7.5</v>
      </c>
      <c r="B740" s="3651" t="s">
        <v>6518</v>
      </c>
      <c r="C740" s="3651"/>
      <c r="D740" s="3651"/>
      <c r="E740" s="3651"/>
      <c r="F740" s="3651"/>
      <c r="G740" s="3651"/>
      <c r="H740" s="3651"/>
      <c r="I740" s="3651"/>
    </row>
    <row r="741" spans="1:9" s="1260" customFormat="1" ht="15" customHeight="1">
      <c r="A741" s="1261"/>
      <c r="B741" s="1262"/>
      <c r="C741" s="1229" t="s">
        <v>140</v>
      </c>
      <c r="D741" s="1229" t="s">
        <v>343</v>
      </c>
      <c r="E741" s="2683" t="s">
        <v>344</v>
      </c>
      <c r="F741" s="2683" t="s">
        <v>482</v>
      </c>
      <c r="G741" s="2683" t="s">
        <v>483</v>
      </c>
      <c r="H741" s="2683" t="s">
        <v>232</v>
      </c>
      <c r="I741" s="2683" t="s">
        <v>171</v>
      </c>
    </row>
    <row r="742" spans="1:9" s="1260" customFormat="1" ht="15" customHeight="1">
      <c r="A742" s="954" t="s">
        <v>762</v>
      </c>
      <c r="B742" s="185" t="s">
        <v>6514</v>
      </c>
      <c r="C742" s="1264">
        <v>1</v>
      </c>
      <c r="D742" s="1274" t="s">
        <v>363</v>
      </c>
      <c r="E742" s="1255">
        <f>+'BASE 2'!D196</f>
        <v>184345.28</v>
      </c>
      <c r="F742" s="1255"/>
      <c r="G742" s="1255">
        <f>+E742*C742</f>
        <v>184345.28</v>
      </c>
      <c r="H742" s="1255"/>
      <c r="I742" s="1255"/>
    </row>
    <row r="743" spans="1:9" s="1260" customFormat="1" ht="15" customHeight="1">
      <c r="A743" s="1265" t="s">
        <v>190</v>
      </c>
      <c r="B743" s="1266">
        <f>SUM(F743:I743)</f>
        <v>184345.28</v>
      </c>
      <c r="C743" s="401"/>
      <c r="D743" s="1267"/>
      <c r="E743" s="2683"/>
      <c r="F743" s="2683">
        <f>SUM(F740:F742)</f>
        <v>0</v>
      </c>
      <c r="G743" s="2683">
        <f>SUM(G740:G742)</f>
        <v>184345.28</v>
      </c>
      <c r="H743" s="2683">
        <f>SUM(H740:H742)</f>
        <v>0</v>
      </c>
      <c r="I743" s="2683">
        <f>SUM(I740:I742)</f>
        <v>0</v>
      </c>
    </row>
    <row r="744" spans="1:9" s="1260" customFormat="1" ht="15" customHeight="1">
      <c r="A744" s="1265" t="s">
        <v>191</v>
      </c>
      <c r="B744" s="1268">
        <f>+B743</f>
        <v>184345.28</v>
      </c>
      <c r="C744" s="1269" t="s">
        <v>363</v>
      </c>
      <c r="D744" s="863"/>
      <c r="E744" s="882"/>
      <c r="F744" s="1905"/>
      <c r="G744" s="882"/>
      <c r="H744" s="882"/>
      <c r="I744" s="882"/>
    </row>
    <row r="745" spans="1:9" s="2720" customFormat="1" ht="15" customHeight="1">
      <c r="A745" s="2327"/>
      <c r="B745" s="2719"/>
      <c r="C745" s="2328"/>
      <c r="D745" s="2329"/>
      <c r="E745" s="2330"/>
      <c r="F745" s="2331"/>
      <c r="G745" s="2330"/>
      <c r="H745" s="2330"/>
      <c r="I745" s="2330"/>
    </row>
    <row r="746" spans="1:9" s="1260" customFormat="1" ht="15" customHeight="1">
      <c r="A746" s="2169" t="str">
        <f>+'LINEAS IMPULSIÓN-CONDUCCIÓN'!A134</f>
        <v>2.7.6</v>
      </c>
      <c r="B746" s="3651" t="s">
        <v>6519</v>
      </c>
      <c r="C746" s="3651"/>
      <c r="D746" s="3651"/>
      <c r="E746" s="3651"/>
      <c r="F746" s="3651"/>
      <c r="G746" s="3651"/>
      <c r="H746" s="3651"/>
      <c r="I746" s="3651"/>
    </row>
    <row r="747" spans="1:9" s="1260" customFormat="1" ht="15" customHeight="1">
      <c r="A747" s="1261"/>
      <c r="B747" s="1262"/>
      <c r="C747" s="1229" t="s">
        <v>140</v>
      </c>
      <c r="D747" s="1229" t="s">
        <v>343</v>
      </c>
      <c r="E747" s="2683" t="s">
        <v>344</v>
      </c>
      <c r="F747" s="2683" t="s">
        <v>482</v>
      </c>
      <c r="G747" s="2683" t="s">
        <v>483</v>
      </c>
      <c r="H747" s="2683" t="s">
        <v>232</v>
      </c>
      <c r="I747" s="2683" t="s">
        <v>171</v>
      </c>
    </row>
    <row r="748" spans="1:9" s="1260" customFormat="1" ht="15" customHeight="1">
      <c r="A748" s="954" t="s">
        <v>762</v>
      </c>
      <c r="B748" s="185" t="s">
        <v>6515</v>
      </c>
      <c r="C748" s="1264">
        <v>1</v>
      </c>
      <c r="D748" s="1274" t="s">
        <v>363</v>
      </c>
      <c r="E748" s="1255">
        <f>+'BASE 2'!D197</f>
        <v>184345.28</v>
      </c>
      <c r="F748" s="1255"/>
      <c r="G748" s="1255">
        <f>+E748*C748</f>
        <v>184345.28</v>
      </c>
      <c r="H748" s="1255"/>
      <c r="I748" s="1255"/>
    </row>
    <row r="749" spans="1:9" s="1260" customFormat="1" ht="15" customHeight="1">
      <c r="A749" s="1265" t="s">
        <v>190</v>
      </c>
      <c r="B749" s="1266">
        <f>SUM(F749:I749)</f>
        <v>184345.28</v>
      </c>
      <c r="C749" s="401"/>
      <c r="D749" s="1267"/>
      <c r="E749" s="2683"/>
      <c r="F749" s="2683">
        <f>SUM(F746:F748)</f>
        <v>0</v>
      </c>
      <c r="G749" s="2683">
        <f>SUM(G746:G748)</f>
        <v>184345.28</v>
      </c>
      <c r="H749" s="2683">
        <f>SUM(H746:H748)</f>
        <v>0</v>
      </c>
      <c r="I749" s="2683">
        <f>SUM(I746:I748)</f>
        <v>0</v>
      </c>
    </row>
    <row r="750" spans="1:9" s="1260" customFormat="1" ht="15" customHeight="1">
      <c r="A750" s="1265" t="s">
        <v>191</v>
      </c>
      <c r="B750" s="1268">
        <f>+B749</f>
        <v>184345.28</v>
      </c>
      <c r="C750" s="1269" t="s">
        <v>363</v>
      </c>
      <c r="D750" s="863"/>
      <c r="E750" s="882"/>
      <c r="F750" s="1905"/>
      <c r="G750" s="882"/>
      <c r="H750" s="882"/>
      <c r="I750" s="882"/>
    </row>
    <row r="751" spans="1:9" s="1260" customFormat="1" ht="15" customHeight="1">
      <c r="A751" s="954"/>
      <c r="B751" s="1281"/>
      <c r="C751" s="1282"/>
      <c r="D751" s="863"/>
      <c r="E751" s="882"/>
      <c r="F751" s="1905"/>
      <c r="G751" s="882"/>
      <c r="H751" s="882"/>
      <c r="I751" s="882"/>
    </row>
    <row r="752" spans="1:9" s="499" customFormat="1" ht="60.75" customHeight="1">
      <c r="A752" s="433" t="str">
        <f>+'LINEAS IMPULSIÓN-CONDUCCIÓN'!A115</f>
        <v>2.6.7</v>
      </c>
      <c r="B752" s="3619" t="s">
        <v>1193</v>
      </c>
      <c r="C752" s="3620"/>
      <c r="D752" s="3620"/>
      <c r="E752" s="3620"/>
      <c r="F752" s="3620"/>
      <c r="G752" s="3620"/>
      <c r="H752" s="3620"/>
      <c r="I752" s="3621"/>
    </row>
    <row r="753" spans="1:256" ht="15" customHeight="1">
      <c r="A753" s="1261"/>
      <c r="B753" s="1258"/>
      <c r="C753" s="1264" t="s">
        <v>140</v>
      </c>
      <c r="D753" s="1229" t="s">
        <v>343</v>
      </c>
      <c r="E753" s="1814" t="s">
        <v>344</v>
      </c>
      <c r="F753" s="1814" t="s">
        <v>482</v>
      </c>
      <c r="G753" s="1814" t="s">
        <v>483</v>
      </c>
      <c r="H753" s="1814" t="s">
        <v>232</v>
      </c>
      <c r="I753" s="1814" t="s">
        <v>171</v>
      </c>
    </row>
    <row r="754" spans="1:256" s="499" customFormat="1" ht="15" customHeight="1">
      <c r="A754" s="954" t="s">
        <v>53</v>
      </c>
      <c r="B754" s="2706" t="s">
        <v>6502</v>
      </c>
      <c r="C754" s="1299">
        <f>1/8</f>
        <v>0.125</v>
      </c>
      <c r="D754" s="501" t="s">
        <v>346</v>
      </c>
      <c r="E754" s="1797">
        <f>+'BASE 2'!D738</f>
        <v>200979.89333333331</v>
      </c>
      <c r="F754" s="497">
        <f>+E754*C754</f>
        <v>25122.486666666664</v>
      </c>
      <c r="G754" s="497"/>
      <c r="H754" s="497"/>
      <c r="I754" s="497"/>
      <c r="J754" s="498"/>
      <c r="K754" s="498"/>
      <c r="L754" s="498"/>
      <c r="M754" s="498"/>
      <c r="N754" s="498"/>
    </row>
    <row r="755" spans="1:256" ht="15" customHeight="1">
      <c r="A755" s="954" t="s">
        <v>47</v>
      </c>
      <c r="B755" s="231" t="s">
        <v>6423</v>
      </c>
      <c r="C755" s="1299">
        <f>1/8</f>
        <v>0.125</v>
      </c>
      <c r="D755" s="401" t="s">
        <v>346</v>
      </c>
      <c r="E755" s="1255">
        <f>+EEF110_</f>
        <v>520232.3</v>
      </c>
      <c r="F755" s="2683">
        <f>+E755*C755</f>
        <v>65029.037499999999</v>
      </c>
      <c r="G755" s="2683"/>
      <c r="H755" s="2683"/>
      <c r="I755" s="2683"/>
      <c r="J755" s="507"/>
      <c r="K755" s="402">
        <f>1/C755</f>
        <v>8</v>
      </c>
      <c r="L755" s="2705">
        <f>+L754/6</f>
        <v>0</v>
      </c>
    </row>
    <row r="756" spans="1:256" ht="15" customHeight="1">
      <c r="A756" s="1261"/>
      <c r="B756" s="1275" t="s">
        <v>1064</v>
      </c>
      <c r="C756" s="183">
        <f>1/600</f>
        <v>1.6666666666666668E-3</v>
      </c>
      <c r="D756" s="401" t="s">
        <v>476</v>
      </c>
      <c r="E756" s="1276">
        <v>500000</v>
      </c>
      <c r="F756" s="2683"/>
      <c r="G756" s="2683"/>
      <c r="H756" s="2683"/>
      <c r="I756" s="2683">
        <f>+E756*C756</f>
        <v>833.33333333333337</v>
      </c>
      <c r="J756" s="1260"/>
    </row>
    <row r="757" spans="1:256" s="499" customFormat="1" ht="15" customHeight="1">
      <c r="A757" s="954" t="s">
        <v>380</v>
      </c>
      <c r="B757" s="1908" t="s">
        <v>378</v>
      </c>
      <c r="C757" s="183">
        <f>1/57</f>
        <v>1.7543859649122806E-2</v>
      </c>
      <c r="D757" s="501" t="s">
        <v>238</v>
      </c>
      <c r="E757" s="1797">
        <f>+GASO</f>
        <v>8800</v>
      </c>
      <c r="F757" s="497"/>
      <c r="G757" s="497"/>
      <c r="H757" s="497"/>
      <c r="I757" s="497">
        <f>+E757*C757</f>
        <v>154.38596491228068</v>
      </c>
      <c r="J757" s="498"/>
      <c r="K757" s="498"/>
      <c r="L757" s="498"/>
      <c r="M757" s="498"/>
      <c r="N757" s="498"/>
    </row>
    <row r="758" spans="1:256" s="499" customFormat="1" ht="15" customHeight="1">
      <c r="A758" s="954" t="s">
        <v>382</v>
      </c>
      <c r="B758" s="1908" t="s">
        <v>381</v>
      </c>
      <c r="C758" s="183">
        <f>1/50</f>
        <v>0.02</v>
      </c>
      <c r="D758" s="501" t="s">
        <v>426</v>
      </c>
      <c r="E758" s="1797">
        <f>+ESTOP</f>
        <v>4080</v>
      </c>
      <c r="F758" s="497"/>
      <c r="G758" s="497"/>
      <c r="H758" s="497"/>
      <c r="I758" s="497">
        <f>+E758*C758</f>
        <v>81.600000000000009</v>
      </c>
      <c r="J758" s="498"/>
      <c r="K758" s="498"/>
      <c r="L758" s="498"/>
      <c r="M758" s="498"/>
      <c r="N758" s="498"/>
    </row>
    <row r="759" spans="1:256" ht="15" customHeight="1">
      <c r="A759" s="1261" t="s">
        <v>347</v>
      </c>
      <c r="B759" s="1258" t="str">
        <f>IF(PRESTA&gt;0,"AYUD. ENTENDIDO (INCLUYE "&amp;""&amp;PRESTA*100&amp;"% PRESTACIONES)",0)</f>
        <v>AYUD. ENTENDIDO (INCLUYE 82,22% PRESTACIONES)</v>
      </c>
      <c r="C759" s="1299">
        <f t="shared" ref="C759:C760" si="22">1/8</f>
        <v>0.125</v>
      </c>
      <c r="D759" s="1229" t="s">
        <v>346</v>
      </c>
      <c r="E759" s="1814">
        <f>+AYUDA</f>
        <v>65389.695592000004</v>
      </c>
      <c r="F759" s="1814"/>
      <c r="G759" s="1814"/>
      <c r="H759" s="1814">
        <f>+E759*C759</f>
        <v>8173.7119490000005</v>
      </c>
      <c r="I759" s="1814"/>
    </row>
    <row r="760" spans="1:256" ht="15" customHeight="1">
      <c r="A760" s="1261" t="s">
        <v>345</v>
      </c>
      <c r="B760" s="1258" t="str">
        <f>IF(PRESTA&gt;0,"OFICIAL (INCLUYE "&amp;""&amp;PRESTA*100&amp;"% PRESTACIONES)",0)</f>
        <v>OFICIAL (INCLUYE 82,22% PRESTACIONES)</v>
      </c>
      <c r="C760" s="1299">
        <f t="shared" si="22"/>
        <v>0.125</v>
      </c>
      <c r="D760" s="1229" t="s">
        <v>346</v>
      </c>
      <c r="E760" s="1814">
        <f>+OFICI</f>
        <v>80479.625344</v>
      </c>
      <c r="F760" s="1814"/>
      <c r="G760" s="1814"/>
      <c r="H760" s="1814">
        <f>+E760*C760</f>
        <v>10059.953168</v>
      </c>
      <c r="I760" s="1814"/>
    </row>
    <row r="761" spans="1:256" ht="15" customHeight="1">
      <c r="A761" s="1261" t="s">
        <v>172</v>
      </c>
      <c r="B761" s="1258" t="s">
        <v>189</v>
      </c>
      <c r="C761" s="1264">
        <v>1</v>
      </c>
      <c r="D761" s="1229" t="s">
        <v>583</v>
      </c>
      <c r="E761" s="1814">
        <f>+H762*0.05</f>
        <v>911.68325585000002</v>
      </c>
      <c r="F761" s="1814"/>
      <c r="G761" s="1814"/>
      <c r="H761" s="1814"/>
      <c r="I761" s="1814">
        <f>+E761*C761</f>
        <v>911.68325585000002</v>
      </c>
    </row>
    <row r="762" spans="1:256" ht="15" customHeight="1">
      <c r="A762" s="1265" t="s">
        <v>190</v>
      </c>
      <c r="B762" s="1266">
        <f>ROUND(SUM(F762:I762),0)</f>
        <v>110366</v>
      </c>
      <c r="C762" s="1263"/>
      <c r="D762" s="1229"/>
      <c r="E762" s="1814"/>
      <c r="F762" s="1814">
        <f>+SUM(F754:F761)</f>
        <v>90151.52416666667</v>
      </c>
      <c r="G762" s="1814">
        <f t="shared" ref="G762:I762" si="23">+SUM(G754:G761)</f>
        <v>0</v>
      </c>
      <c r="H762" s="1814">
        <f t="shared" si="23"/>
        <v>18233.665117</v>
      </c>
      <c r="I762" s="1814">
        <f t="shared" si="23"/>
        <v>1981.002554095614</v>
      </c>
    </row>
    <row r="763" spans="1:256" ht="15" customHeight="1">
      <c r="A763" s="1265" t="s">
        <v>191</v>
      </c>
      <c r="B763" s="1414">
        <f>+B762</f>
        <v>110366</v>
      </c>
      <c r="C763" s="1901" t="s">
        <v>363</v>
      </c>
      <c r="E763" s="1280">
        <f>+B770*0.2</f>
        <v>113090</v>
      </c>
    </row>
    <row r="764" spans="1:256" s="2065" customFormat="1" ht="15" customHeight="1">
      <c r="A764" s="1909"/>
      <c r="B764" s="1910"/>
      <c r="C764" s="1910"/>
      <c r="D764" s="1910"/>
      <c r="E764" s="1910"/>
      <c r="F764" s="1910"/>
      <c r="G764" s="1910"/>
      <c r="H764" s="1910"/>
      <c r="I764" s="1910"/>
      <c r="J764" s="1910"/>
      <c r="K764" s="1910"/>
      <c r="L764" s="1910"/>
      <c r="M764" s="1910"/>
      <c r="N764" s="1910"/>
      <c r="O764" s="1910"/>
      <c r="P764" s="1910"/>
      <c r="Q764" s="1910"/>
      <c r="R764" s="1910"/>
      <c r="S764" s="1910"/>
      <c r="T764" s="1910"/>
      <c r="U764" s="1910"/>
      <c r="V764" s="1910"/>
      <c r="W764" s="1910"/>
      <c r="X764" s="1910"/>
      <c r="Y764" s="1910"/>
      <c r="Z764" s="1910"/>
      <c r="AA764" s="1910"/>
      <c r="AB764" s="1910"/>
      <c r="AC764" s="1910"/>
      <c r="AD764" s="1910"/>
      <c r="AE764" s="1910"/>
      <c r="AF764" s="1910"/>
      <c r="AG764" s="1910"/>
      <c r="AH764" s="1910"/>
      <c r="AI764" s="1910"/>
      <c r="AJ764" s="1910"/>
      <c r="AK764" s="1910"/>
      <c r="AL764" s="1910"/>
      <c r="AM764" s="1910"/>
      <c r="AN764" s="1910"/>
      <c r="AO764" s="1910"/>
      <c r="AP764" s="1910"/>
      <c r="AQ764" s="1910"/>
      <c r="AR764" s="1910"/>
      <c r="AS764" s="1910"/>
      <c r="AT764" s="1910"/>
      <c r="AU764" s="1910"/>
      <c r="AV764" s="1910"/>
      <c r="AW764" s="1910"/>
      <c r="AX764" s="1910"/>
      <c r="AY764" s="1910"/>
      <c r="AZ764" s="1910"/>
      <c r="BA764" s="1910"/>
      <c r="BB764" s="1910"/>
      <c r="BC764" s="1910"/>
      <c r="BD764" s="1910"/>
      <c r="BE764" s="1910"/>
      <c r="BF764" s="1910"/>
      <c r="BG764" s="1910"/>
      <c r="BH764" s="1910"/>
      <c r="BI764" s="1910"/>
      <c r="BJ764" s="1910"/>
      <c r="BK764" s="1910"/>
      <c r="BL764" s="1910"/>
      <c r="BM764" s="1910"/>
      <c r="BN764" s="1910"/>
      <c r="BO764" s="1910"/>
      <c r="BP764" s="1910"/>
      <c r="BQ764" s="1910"/>
      <c r="BR764" s="1910"/>
      <c r="BS764" s="1910"/>
      <c r="BT764" s="1910"/>
      <c r="BU764" s="1910"/>
      <c r="BV764" s="1910"/>
      <c r="BW764" s="1910"/>
      <c r="BX764" s="1910"/>
      <c r="BY764" s="1910"/>
      <c r="BZ764" s="1910"/>
      <c r="CA764" s="1910"/>
      <c r="CB764" s="1910"/>
      <c r="CC764" s="1910"/>
      <c r="CD764" s="1910"/>
      <c r="CE764" s="1910"/>
      <c r="CF764" s="1910"/>
      <c r="CG764" s="1910"/>
      <c r="CH764" s="1910"/>
      <c r="CI764" s="1910"/>
      <c r="CJ764" s="1910"/>
      <c r="CK764" s="1910"/>
      <c r="CL764" s="1910"/>
      <c r="CM764" s="1910"/>
      <c r="CN764" s="1910"/>
      <c r="CO764" s="1910"/>
      <c r="CP764" s="1910"/>
      <c r="CQ764" s="1910"/>
      <c r="CR764" s="1910"/>
      <c r="CS764" s="1910"/>
      <c r="CT764" s="1910"/>
      <c r="CU764" s="1910"/>
      <c r="CV764" s="1910"/>
      <c r="CW764" s="1910"/>
      <c r="CX764" s="1910"/>
      <c r="CY764" s="1910"/>
      <c r="CZ764" s="1910"/>
      <c r="DA764" s="1910"/>
      <c r="DB764" s="1910"/>
      <c r="DC764" s="1910"/>
      <c r="DD764" s="1910"/>
      <c r="DE764" s="1910"/>
      <c r="DF764" s="1910"/>
      <c r="DG764" s="1910"/>
      <c r="DH764" s="1910"/>
      <c r="DI764" s="1910"/>
      <c r="DJ764" s="1910"/>
      <c r="DK764" s="1910"/>
      <c r="DL764" s="1910"/>
      <c r="DM764" s="1910"/>
      <c r="DN764" s="1910"/>
      <c r="DO764" s="1910"/>
      <c r="DP764" s="1910"/>
      <c r="DQ764" s="1910"/>
      <c r="DR764" s="1910"/>
      <c r="DS764" s="1910"/>
      <c r="DT764" s="1910"/>
      <c r="DU764" s="1910"/>
      <c r="DV764" s="1910"/>
      <c r="DW764" s="1910"/>
      <c r="DX764" s="1910"/>
      <c r="DY764" s="1910"/>
      <c r="DZ764" s="1910"/>
      <c r="EA764" s="1910"/>
      <c r="EB764" s="1910"/>
      <c r="EC764" s="1910"/>
      <c r="ED764" s="1910"/>
      <c r="EE764" s="1910"/>
      <c r="EF764" s="1910"/>
      <c r="EG764" s="1910"/>
      <c r="EH764" s="1910"/>
      <c r="EI764" s="1910"/>
      <c r="EJ764" s="1910"/>
      <c r="EK764" s="1910"/>
      <c r="EL764" s="1910"/>
      <c r="EM764" s="1910"/>
      <c r="EN764" s="1910"/>
      <c r="EO764" s="1910"/>
      <c r="EP764" s="1910"/>
      <c r="EQ764" s="1910"/>
      <c r="ER764" s="1910"/>
      <c r="ES764" s="1910"/>
      <c r="ET764" s="1910"/>
      <c r="EU764" s="1910"/>
      <c r="EV764" s="1910"/>
      <c r="EW764" s="1910"/>
      <c r="EX764" s="1910"/>
      <c r="EY764" s="1910"/>
      <c r="EZ764" s="1910"/>
      <c r="FA764" s="1910"/>
      <c r="FB764" s="1910"/>
      <c r="FC764" s="1910"/>
      <c r="FD764" s="1910"/>
      <c r="FE764" s="1910"/>
      <c r="FF764" s="1910"/>
      <c r="FG764" s="1910"/>
      <c r="FH764" s="1910"/>
      <c r="FI764" s="1910"/>
      <c r="FJ764" s="1910"/>
      <c r="FK764" s="1910"/>
      <c r="FL764" s="1910"/>
      <c r="FM764" s="1910"/>
      <c r="FN764" s="1910"/>
      <c r="FO764" s="1910"/>
      <c r="FP764" s="1910"/>
      <c r="FQ764" s="1910"/>
      <c r="FR764" s="1910"/>
      <c r="FS764" s="1910"/>
      <c r="FT764" s="1910"/>
      <c r="FU764" s="1910"/>
      <c r="FV764" s="1910"/>
      <c r="FW764" s="1910"/>
      <c r="FX764" s="1910"/>
      <c r="FY764" s="1910"/>
      <c r="FZ764" s="1910"/>
      <c r="GA764" s="1910"/>
      <c r="GB764" s="1910"/>
      <c r="GC764" s="1910"/>
      <c r="GD764" s="1910"/>
      <c r="GE764" s="1910"/>
      <c r="GF764" s="1910"/>
      <c r="GG764" s="1910"/>
      <c r="GH764" s="1910"/>
      <c r="GI764" s="1910"/>
      <c r="GJ764" s="1910"/>
      <c r="GK764" s="1910"/>
      <c r="GL764" s="1910"/>
      <c r="GM764" s="1910"/>
      <c r="GN764" s="1910"/>
      <c r="GO764" s="1910"/>
      <c r="GP764" s="1910"/>
      <c r="GQ764" s="1910"/>
      <c r="GR764" s="1910"/>
      <c r="GS764" s="1910"/>
      <c r="GT764" s="1910"/>
      <c r="GU764" s="1910"/>
      <c r="GV764" s="1910"/>
      <c r="GW764" s="1910"/>
      <c r="GX764" s="1910"/>
      <c r="GY764" s="1910"/>
      <c r="GZ764" s="1910"/>
      <c r="HA764" s="1910"/>
      <c r="HB764" s="1910"/>
      <c r="HC764" s="1910"/>
      <c r="HD764" s="1910"/>
      <c r="HE764" s="1910"/>
      <c r="HF764" s="1910"/>
      <c r="HG764" s="1910"/>
      <c r="HH764" s="1910"/>
      <c r="HI764" s="1910"/>
      <c r="HJ764" s="1910"/>
      <c r="HK764" s="1910"/>
      <c r="HL764" s="1910"/>
      <c r="HM764" s="1910"/>
      <c r="HN764" s="1910"/>
      <c r="HO764" s="1910"/>
      <c r="HP764" s="1910"/>
      <c r="HQ764" s="1910"/>
      <c r="HR764" s="1910"/>
      <c r="HS764" s="1910"/>
      <c r="HT764" s="1910"/>
      <c r="HU764" s="1910"/>
      <c r="HV764" s="1910"/>
      <c r="HW764" s="1910"/>
      <c r="HX764" s="1910"/>
      <c r="HY764" s="1910"/>
      <c r="HZ764" s="1910"/>
      <c r="IA764" s="1910"/>
      <c r="IB764" s="1910"/>
      <c r="IC764" s="1910"/>
      <c r="ID764" s="1910"/>
      <c r="IE764" s="1910"/>
      <c r="IF764" s="1910"/>
      <c r="IG764" s="1910"/>
      <c r="IH764" s="1910"/>
      <c r="II764" s="1910"/>
      <c r="IJ764" s="1910"/>
      <c r="IK764" s="1910"/>
      <c r="IL764" s="1910"/>
      <c r="IM764" s="1910"/>
      <c r="IN764" s="1910"/>
      <c r="IO764" s="1910"/>
      <c r="IP764" s="1910"/>
      <c r="IQ764" s="1910"/>
      <c r="IR764" s="1910"/>
      <c r="IS764" s="1910"/>
      <c r="IT764" s="1910"/>
      <c r="IU764" s="1910"/>
      <c r="IV764" s="1910"/>
    </row>
    <row r="765" spans="1:256" ht="41.25" customHeight="1">
      <c r="A765" s="2169" t="str">
        <f>+'LINEAS IMPULSIÓN-CONDUCCIÓN'!A135</f>
        <v>2.7.7</v>
      </c>
      <c r="B765" s="3648" t="s">
        <v>5072</v>
      </c>
      <c r="C765" s="3649"/>
      <c r="D765" s="3649"/>
      <c r="E765" s="3649"/>
      <c r="F765" s="3649"/>
      <c r="G765" s="3649"/>
      <c r="H765" s="3649"/>
      <c r="I765" s="3650"/>
    </row>
    <row r="766" spans="1:256" ht="15" customHeight="1">
      <c r="A766" s="1261"/>
      <c r="B766" s="1258"/>
      <c r="C766" s="1264" t="s">
        <v>140</v>
      </c>
      <c r="D766" s="1229" t="s">
        <v>343</v>
      </c>
      <c r="E766" s="1814" t="s">
        <v>344</v>
      </c>
      <c r="F766" s="1814" t="s">
        <v>482</v>
      </c>
      <c r="G766" s="1814" t="s">
        <v>483</v>
      </c>
      <c r="H766" s="1814" t="s">
        <v>232</v>
      </c>
      <c r="I766" s="1814" t="s">
        <v>171</v>
      </c>
    </row>
    <row r="767" spans="1:256" ht="66.75" customHeight="1">
      <c r="A767" s="1261" t="s">
        <v>684</v>
      </c>
      <c r="B767" s="406" t="s">
        <v>6919</v>
      </c>
      <c r="C767" s="183">
        <v>1</v>
      </c>
      <c r="D767" s="509" t="s">
        <v>363</v>
      </c>
      <c r="E767" s="1804">
        <f>+'BASE 2'!D505</f>
        <v>541450</v>
      </c>
      <c r="F767" s="1914"/>
      <c r="G767" s="1914">
        <f>+E767*C767</f>
        <v>541450</v>
      </c>
      <c r="H767" s="1914"/>
      <c r="I767" s="1814"/>
    </row>
    <row r="768" spans="1:256" ht="15" customHeight="1">
      <c r="A768" s="1261" t="s">
        <v>584</v>
      </c>
      <c r="B768" s="1258" t="s">
        <v>134</v>
      </c>
      <c r="C768" s="183">
        <v>0.02</v>
      </c>
      <c r="D768" s="1229" t="s">
        <v>476</v>
      </c>
      <c r="E768" s="1814">
        <f>+VIAJE</f>
        <v>1200000</v>
      </c>
      <c r="F768" s="1814"/>
      <c r="G768" s="1814"/>
      <c r="H768" s="1814"/>
      <c r="I768" s="1814">
        <f>+E768*C768</f>
        <v>24000</v>
      </c>
    </row>
    <row r="769" spans="1:256" ht="15" customHeight="1">
      <c r="A769" s="1265" t="s">
        <v>190</v>
      </c>
      <c r="B769" s="1266">
        <f>ROUND(SUM(F769:I769),0)</f>
        <v>565450</v>
      </c>
      <c r="C769" s="1263"/>
      <c r="D769" s="1229"/>
      <c r="E769" s="1814"/>
      <c r="F769" s="1814">
        <f>+SUM(F767:F768)</f>
        <v>0</v>
      </c>
      <c r="G769" s="1814">
        <f>+SUM(G767:G768)</f>
        <v>541450</v>
      </c>
      <c r="H769" s="1814">
        <f>+SUM(H767:H768)</f>
        <v>0</v>
      </c>
      <c r="I769" s="1814">
        <f>+SUM(I767:I768)</f>
        <v>24000</v>
      </c>
    </row>
    <row r="770" spans="1:256" ht="15" customHeight="1">
      <c r="A770" s="1265" t="s">
        <v>191</v>
      </c>
      <c r="B770" s="1414">
        <f>+B769</f>
        <v>565450</v>
      </c>
      <c r="C770" s="1901" t="s">
        <v>363</v>
      </c>
    </row>
    <row r="771" spans="1:256" s="2718" customFormat="1" ht="15" customHeight="1">
      <c r="A771" s="2714"/>
      <c r="B771" s="2715"/>
      <c r="C771" s="2716"/>
      <c r="D771" s="2717"/>
      <c r="E771" s="2717"/>
      <c r="F771" s="2717"/>
      <c r="G771" s="2717"/>
      <c r="H771" s="2717"/>
      <c r="I771" s="2717"/>
    </row>
    <row r="772" spans="1:256" ht="38.25" customHeight="1">
      <c r="A772" s="433" t="str">
        <f>+CONCATENATE('LINEAS IMPULSIÓN-CONDUCCIÓN'!A116,"  ",'LINEAS IMPULSIÓN-CONDUCCIÓN'!A188)</f>
        <v>2.6.8  3.6.11</v>
      </c>
      <c r="B772" s="3570" t="s">
        <v>1196</v>
      </c>
      <c r="C772" s="3571"/>
      <c r="D772" s="3571"/>
      <c r="E772" s="3571"/>
      <c r="F772" s="3571"/>
      <c r="G772" s="3571"/>
      <c r="H772" s="3571"/>
      <c r="I772" s="3572"/>
    </row>
    <row r="773" spans="1:256" ht="15" customHeight="1">
      <c r="A773" s="1261"/>
      <c r="B773" s="1258"/>
      <c r="C773" s="1264" t="s">
        <v>140</v>
      </c>
      <c r="D773" s="1229" t="s">
        <v>343</v>
      </c>
      <c r="E773" s="1814" t="s">
        <v>344</v>
      </c>
      <c r="F773" s="1814" t="s">
        <v>482</v>
      </c>
      <c r="G773" s="1814" t="s">
        <v>483</v>
      </c>
      <c r="H773" s="1814" t="s">
        <v>232</v>
      </c>
      <c r="I773" s="1814" t="s">
        <v>171</v>
      </c>
    </row>
    <row r="774" spans="1:256" s="499" customFormat="1" ht="15" customHeight="1">
      <c r="A774" s="954" t="s">
        <v>53</v>
      </c>
      <c r="B774" s="2706" t="s">
        <v>6502</v>
      </c>
      <c r="C774" s="1299">
        <f>1/9</f>
        <v>0.1111111111111111</v>
      </c>
      <c r="D774" s="501" t="s">
        <v>346</v>
      </c>
      <c r="E774" s="1797">
        <f>+'BASE 2'!D738</f>
        <v>200979.89333333331</v>
      </c>
      <c r="F774" s="497">
        <f>+E774*C774</f>
        <v>22331.099259259256</v>
      </c>
      <c r="G774" s="497"/>
      <c r="H774" s="497"/>
      <c r="I774" s="497"/>
      <c r="J774" s="498"/>
      <c r="K774" s="498"/>
      <c r="L774" s="498"/>
      <c r="M774" s="498"/>
      <c r="N774" s="498"/>
    </row>
    <row r="775" spans="1:256" ht="15" customHeight="1">
      <c r="A775" s="954" t="s">
        <v>47</v>
      </c>
      <c r="B775" s="231" t="s">
        <v>6423</v>
      </c>
      <c r="C775" s="1299">
        <f>1/9</f>
        <v>0.1111111111111111</v>
      </c>
      <c r="D775" s="401" t="s">
        <v>346</v>
      </c>
      <c r="E775" s="1255">
        <f>+EEF110_</f>
        <v>520232.3</v>
      </c>
      <c r="F775" s="2683">
        <f>+E775*C775</f>
        <v>57803.588888888888</v>
      </c>
      <c r="G775" s="2683"/>
      <c r="H775" s="2683"/>
      <c r="I775" s="2683"/>
      <c r="J775" s="507"/>
      <c r="K775" s="402">
        <f>1/C775</f>
        <v>9</v>
      </c>
      <c r="L775" s="2705">
        <f>+L774/6</f>
        <v>0</v>
      </c>
    </row>
    <row r="776" spans="1:256" ht="15" customHeight="1">
      <c r="A776" s="1261"/>
      <c r="B776" s="1275" t="s">
        <v>1064</v>
      </c>
      <c r="C776" s="183">
        <f>1/800</f>
        <v>1.25E-3</v>
      </c>
      <c r="D776" s="401" t="s">
        <v>476</v>
      </c>
      <c r="E776" s="1276">
        <v>500000</v>
      </c>
      <c r="F776" s="2683"/>
      <c r="G776" s="2683"/>
      <c r="H776" s="2683"/>
      <c r="I776" s="2683">
        <f>+E776*C776</f>
        <v>625</v>
      </c>
      <c r="J776" s="1260"/>
    </row>
    <row r="777" spans="1:256" s="499" customFormat="1" ht="15" customHeight="1">
      <c r="A777" s="954" t="s">
        <v>380</v>
      </c>
      <c r="B777" s="1908" t="s">
        <v>378</v>
      </c>
      <c r="C777" s="183">
        <f>1/57</f>
        <v>1.7543859649122806E-2</v>
      </c>
      <c r="D777" s="501" t="s">
        <v>238</v>
      </c>
      <c r="E777" s="1797">
        <f>+GASO</f>
        <v>8800</v>
      </c>
      <c r="F777" s="497"/>
      <c r="G777" s="497"/>
      <c r="H777" s="497"/>
      <c r="I777" s="497">
        <f>+E777*C777</f>
        <v>154.38596491228068</v>
      </c>
      <c r="J777" s="498"/>
      <c r="K777" s="498"/>
      <c r="L777" s="498"/>
      <c r="M777" s="498"/>
      <c r="N777" s="498"/>
    </row>
    <row r="778" spans="1:256" s="499" customFormat="1" ht="15" customHeight="1">
      <c r="A778" s="954" t="s">
        <v>382</v>
      </c>
      <c r="B778" s="1908" t="s">
        <v>381</v>
      </c>
      <c r="C778" s="183">
        <f>1/50</f>
        <v>0.02</v>
      </c>
      <c r="D778" s="501" t="s">
        <v>426</v>
      </c>
      <c r="E778" s="1797">
        <f>+ESTOP</f>
        <v>4080</v>
      </c>
      <c r="F778" s="497"/>
      <c r="G778" s="497"/>
      <c r="H778" s="497"/>
      <c r="I778" s="497">
        <f>+E778*C778</f>
        <v>81.600000000000009</v>
      </c>
      <c r="J778" s="498"/>
      <c r="K778" s="498"/>
      <c r="L778" s="498"/>
      <c r="M778" s="498"/>
      <c r="N778" s="498"/>
    </row>
    <row r="779" spans="1:256" ht="15" customHeight="1">
      <c r="A779" s="1261" t="s">
        <v>347</v>
      </c>
      <c r="B779" s="1258" t="str">
        <f>IF(PRESTA&gt;0,"AYUD. ENTENDIDO (INCLUYE "&amp;""&amp;PRESTA*100&amp;"% PRESTACIONES)",0)</f>
        <v>AYUD. ENTENDIDO (INCLUYE 82,22% PRESTACIONES)</v>
      </c>
      <c r="C779" s="1299">
        <f t="shared" ref="C779:C780" si="24">1/9</f>
        <v>0.1111111111111111</v>
      </c>
      <c r="D779" s="1229" t="s">
        <v>346</v>
      </c>
      <c r="E779" s="1814">
        <f>+AYUDA</f>
        <v>65389.695592000004</v>
      </c>
      <c r="F779" s="1814"/>
      <c r="G779" s="1814"/>
      <c r="H779" s="1814">
        <f>+E779*C779</f>
        <v>7265.5217324444448</v>
      </c>
      <c r="I779" s="1814"/>
    </row>
    <row r="780" spans="1:256" ht="15" customHeight="1">
      <c r="A780" s="1261" t="s">
        <v>345</v>
      </c>
      <c r="B780" s="1258" t="str">
        <f>IF(PRESTA&gt;0,"OFICIAL (INCLUYE "&amp;""&amp;PRESTA*100&amp;"% PRESTACIONES)",0)</f>
        <v>OFICIAL (INCLUYE 82,22% PRESTACIONES)</v>
      </c>
      <c r="C780" s="1299">
        <f t="shared" si="24"/>
        <v>0.1111111111111111</v>
      </c>
      <c r="D780" s="1229" t="s">
        <v>346</v>
      </c>
      <c r="E780" s="1814">
        <f>+OFICI</f>
        <v>80479.625344</v>
      </c>
      <c r="F780" s="1814"/>
      <c r="G780" s="1814"/>
      <c r="H780" s="1814">
        <f>+E780*C780</f>
        <v>8942.1805937777772</v>
      </c>
      <c r="I780" s="1814"/>
    </row>
    <row r="781" spans="1:256" ht="15" customHeight="1">
      <c r="A781" s="1261" t="s">
        <v>172</v>
      </c>
      <c r="B781" s="1258" t="s">
        <v>189</v>
      </c>
      <c r="C781" s="1264">
        <v>1</v>
      </c>
      <c r="D781" s="1229" t="s">
        <v>583</v>
      </c>
      <c r="E781" s="1814">
        <f>+H782*0.05</f>
        <v>810.38511631111112</v>
      </c>
      <c r="F781" s="1814"/>
      <c r="G781" s="1814"/>
      <c r="H781" s="1814"/>
      <c r="I781" s="1814">
        <f>+E781*C781</f>
        <v>810.38511631111112</v>
      </c>
    </row>
    <row r="782" spans="1:256" ht="15" customHeight="1">
      <c r="A782" s="1265" t="s">
        <v>190</v>
      </c>
      <c r="B782" s="1266">
        <f>ROUND(SUM(F782:I782),0)</f>
        <v>98014</v>
      </c>
      <c r="C782" s="1263"/>
      <c r="D782" s="1229"/>
      <c r="E782" s="1814"/>
      <c r="F782" s="1814">
        <f>+SUM(F774:F781)</f>
        <v>80134.68814814814</v>
      </c>
      <c r="G782" s="1814">
        <f t="shared" ref="G782:I782" si="25">+SUM(G774:G781)</f>
        <v>0</v>
      </c>
      <c r="H782" s="1814">
        <f t="shared" si="25"/>
        <v>16207.702326222221</v>
      </c>
      <c r="I782" s="1814">
        <f t="shared" si="25"/>
        <v>1671.3710812233917</v>
      </c>
    </row>
    <row r="783" spans="1:256" ht="15.6" customHeight="1">
      <c r="A783" s="1265" t="s">
        <v>191</v>
      </c>
      <c r="B783" s="1414">
        <f>+B782</f>
        <v>98014</v>
      </c>
      <c r="C783" s="1901" t="s">
        <v>363</v>
      </c>
      <c r="E783" s="1280">
        <f>+B790*0.2</f>
        <v>88444</v>
      </c>
    </row>
    <row r="784" spans="1:256" s="2065" customFormat="1" ht="15.6" customHeight="1">
      <c r="A784" s="1909"/>
      <c r="B784" s="1910"/>
      <c r="C784" s="1910"/>
      <c r="D784" s="1910"/>
      <c r="E784" s="1910"/>
      <c r="F784" s="1910"/>
      <c r="G784" s="1910"/>
      <c r="H784" s="1910"/>
      <c r="I784" s="1910"/>
      <c r="J784" s="1910"/>
      <c r="K784" s="1910"/>
      <c r="L784" s="1910"/>
      <c r="M784" s="1910"/>
      <c r="N784" s="1910"/>
      <c r="O784" s="1910"/>
      <c r="P784" s="1910"/>
      <c r="Q784" s="1910"/>
      <c r="R784" s="1910"/>
      <c r="S784" s="1910"/>
      <c r="T784" s="1910"/>
      <c r="U784" s="1910"/>
      <c r="V784" s="1910"/>
      <c r="W784" s="1910"/>
      <c r="X784" s="1910"/>
      <c r="Y784" s="1910"/>
      <c r="Z784" s="1910"/>
      <c r="AA784" s="1910"/>
      <c r="AB784" s="1910"/>
      <c r="AC784" s="1910"/>
      <c r="AD784" s="1910"/>
      <c r="AE784" s="1910"/>
      <c r="AF784" s="1910"/>
      <c r="AG784" s="1910"/>
      <c r="AH784" s="1910"/>
      <c r="AI784" s="1910"/>
      <c r="AJ784" s="1910"/>
      <c r="AK784" s="1910"/>
      <c r="AL784" s="1910"/>
      <c r="AM784" s="1910"/>
      <c r="AN784" s="1910"/>
      <c r="AO784" s="1910"/>
      <c r="AP784" s="1910"/>
      <c r="AQ784" s="1910"/>
      <c r="AR784" s="1910"/>
      <c r="AS784" s="1910"/>
      <c r="AT784" s="1910"/>
      <c r="AU784" s="1910"/>
      <c r="AV784" s="1910"/>
      <c r="AW784" s="1910"/>
      <c r="AX784" s="1910"/>
      <c r="AY784" s="1910"/>
      <c r="AZ784" s="1910"/>
      <c r="BA784" s="1910"/>
      <c r="BB784" s="1910"/>
      <c r="BC784" s="1910"/>
      <c r="BD784" s="1910"/>
      <c r="BE784" s="1910"/>
      <c r="BF784" s="1910"/>
      <c r="BG784" s="1910"/>
      <c r="BH784" s="1910"/>
      <c r="BI784" s="1910"/>
      <c r="BJ784" s="1910"/>
      <c r="BK784" s="1910"/>
      <c r="BL784" s="1910"/>
      <c r="BM784" s="1910"/>
      <c r="BN784" s="1910"/>
      <c r="BO784" s="1910"/>
      <c r="BP784" s="1910"/>
      <c r="BQ784" s="1910"/>
      <c r="BR784" s="1910"/>
      <c r="BS784" s="1910"/>
      <c r="BT784" s="1910"/>
      <c r="BU784" s="1910"/>
      <c r="BV784" s="1910"/>
      <c r="BW784" s="1910"/>
      <c r="BX784" s="1910"/>
      <c r="BY784" s="1910"/>
      <c r="BZ784" s="1910"/>
      <c r="CA784" s="1910"/>
      <c r="CB784" s="1910"/>
      <c r="CC784" s="1910"/>
      <c r="CD784" s="1910"/>
      <c r="CE784" s="1910"/>
      <c r="CF784" s="1910"/>
      <c r="CG784" s="1910"/>
      <c r="CH784" s="1910"/>
      <c r="CI784" s="1910"/>
      <c r="CJ784" s="1910"/>
      <c r="CK784" s="1910"/>
      <c r="CL784" s="1910"/>
      <c r="CM784" s="1910"/>
      <c r="CN784" s="1910"/>
      <c r="CO784" s="1910"/>
      <c r="CP784" s="1910"/>
      <c r="CQ784" s="1910"/>
      <c r="CR784" s="1910"/>
      <c r="CS784" s="1910"/>
      <c r="CT784" s="1910"/>
      <c r="CU784" s="1910"/>
      <c r="CV784" s="1910"/>
      <c r="CW784" s="1910"/>
      <c r="CX784" s="1910"/>
      <c r="CY784" s="1910"/>
      <c r="CZ784" s="1910"/>
      <c r="DA784" s="1910"/>
      <c r="DB784" s="1910"/>
      <c r="DC784" s="1910"/>
      <c r="DD784" s="1910"/>
      <c r="DE784" s="1910"/>
      <c r="DF784" s="1910"/>
      <c r="DG784" s="1910"/>
      <c r="DH784" s="1910"/>
      <c r="DI784" s="1910"/>
      <c r="DJ784" s="1910"/>
      <c r="DK784" s="1910"/>
      <c r="DL784" s="1910"/>
      <c r="DM784" s="1910"/>
      <c r="DN784" s="1910"/>
      <c r="DO784" s="1910"/>
      <c r="DP784" s="1910"/>
      <c r="DQ784" s="1910"/>
      <c r="DR784" s="1910"/>
      <c r="DS784" s="1910"/>
      <c r="DT784" s="1910"/>
      <c r="DU784" s="1910"/>
      <c r="DV784" s="1910"/>
      <c r="DW784" s="1910"/>
      <c r="DX784" s="1910"/>
      <c r="DY784" s="1910"/>
      <c r="DZ784" s="1910"/>
      <c r="EA784" s="1910"/>
      <c r="EB784" s="1910"/>
      <c r="EC784" s="1910"/>
      <c r="ED784" s="1910"/>
      <c r="EE784" s="1910"/>
      <c r="EF784" s="1910"/>
      <c r="EG784" s="1910"/>
      <c r="EH784" s="1910"/>
      <c r="EI784" s="1910"/>
      <c r="EJ784" s="1910"/>
      <c r="EK784" s="1910"/>
      <c r="EL784" s="1910"/>
      <c r="EM784" s="1910"/>
      <c r="EN784" s="1910"/>
      <c r="EO784" s="1910"/>
      <c r="EP784" s="1910"/>
      <c r="EQ784" s="1910"/>
      <c r="ER784" s="1910"/>
      <c r="ES784" s="1910"/>
      <c r="ET784" s="1910"/>
      <c r="EU784" s="1910"/>
      <c r="EV784" s="1910"/>
      <c r="EW784" s="1910"/>
      <c r="EX784" s="1910"/>
      <c r="EY784" s="1910"/>
      <c r="EZ784" s="1910"/>
      <c r="FA784" s="1910"/>
      <c r="FB784" s="1910"/>
      <c r="FC784" s="1910"/>
      <c r="FD784" s="1910"/>
      <c r="FE784" s="1910"/>
      <c r="FF784" s="1910"/>
      <c r="FG784" s="1910"/>
      <c r="FH784" s="1910"/>
      <c r="FI784" s="1910"/>
      <c r="FJ784" s="1910"/>
      <c r="FK784" s="1910"/>
      <c r="FL784" s="1910"/>
      <c r="FM784" s="1910"/>
      <c r="FN784" s="1910"/>
      <c r="FO784" s="1910"/>
      <c r="FP784" s="1910"/>
      <c r="FQ784" s="1910"/>
      <c r="FR784" s="1910"/>
      <c r="FS784" s="1910"/>
      <c r="FT784" s="1910"/>
      <c r="FU784" s="1910"/>
      <c r="FV784" s="1910"/>
      <c r="FW784" s="1910"/>
      <c r="FX784" s="1910"/>
      <c r="FY784" s="1910"/>
      <c r="FZ784" s="1910"/>
      <c r="GA784" s="1910"/>
      <c r="GB784" s="1910"/>
      <c r="GC784" s="1910"/>
      <c r="GD784" s="1910"/>
      <c r="GE784" s="1910"/>
      <c r="GF784" s="1910"/>
      <c r="GG784" s="1910"/>
      <c r="GH784" s="1910"/>
      <c r="GI784" s="1910"/>
      <c r="GJ784" s="1910"/>
      <c r="GK784" s="1910"/>
      <c r="GL784" s="1910"/>
      <c r="GM784" s="1910"/>
      <c r="GN784" s="1910"/>
      <c r="GO784" s="1910"/>
      <c r="GP784" s="1910"/>
      <c r="GQ784" s="1910"/>
      <c r="GR784" s="1910"/>
      <c r="GS784" s="1910"/>
      <c r="GT784" s="1910"/>
      <c r="GU784" s="1910"/>
      <c r="GV784" s="1910"/>
      <c r="GW784" s="1910"/>
      <c r="GX784" s="1910"/>
      <c r="GY784" s="1910"/>
      <c r="GZ784" s="1910"/>
      <c r="HA784" s="1910"/>
      <c r="HB784" s="1910"/>
      <c r="HC784" s="1910"/>
      <c r="HD784" s="1910"/>
      <c r="HE784" s="1910"/>
      <c r="HF784" s="1910"/>
      <c r="HG784" s="1910"/>
      <c r="HH784" s="1910"/>
      <c r="HI784" s="1910"/>
      <c r="HJ784" s="1910"/>
      <c r="HK784" s="1910"/>
      <c r="HL784" s="1910"/>
      <c r="HM784" s="1910"/>
      <c r="HN784" s="1910"/>
      <c r="HO784" s="1910"/>
      <c r="HP784" s="1910"/>
      <c r="HQ784" s="1910"/>
      <c r="HR784" s="1910"/>
      <c r="HS784" s="1910"/>
      <c r="HT784" s="1910"/>
      <c r="HU784" s="1910"/>
      <c r="HV784" s="1910"/>
      <c r="HW784" s="1910"/>
      <c r="HX784" s="1910"/>
      <c r="HY784" s="1910"/>
      <c r="HZ784" s="1910"/>
      <c r="IA784" s="1910"/>
      <c r="IB784" s="1910"/>
      <c r="IC784" s="1910"/>
      <c r="ID784" s="1910"/>
      <c r="IE784" s="1910"/>
      <c r="IF784" s="1910"/>
      <c r="IG784" s="1910"/>
      <c r="IH784" s="1910"/>
      <c r="II784" s="1910"/>
      <c r="IJ784" s="1910"/>
      <c r="IK784" s="1910"/>
      <c r="IL784" s="1910"/>
      <c r="IM784" s="1910"/>
      <c r="IN784" s="1910"/>
      <c r="IO784" s="1910"/>
      <c r="IP784" s="1910"/>
      <c r="IQ784" s="1910"/>
      <c r="IR784" s="1910"/>
      <c r="IS784" s="1910"/>
      <c r="IT784" s="1910"/>
      <c r="IU784" s="1910"/>
      <c r="IV784" s="1910"/>
    </row>
    <row r="785" spans="1:14" ht="37.5" customHeight="1">
      <c r="A785" s="2168" t="str">
        <f>+CONCATENATE('LINEAS IMPULSIÓN-CONDUCCIÓN'!A136,"  ",'LINEAS IMPULSIÓN-CONDUCCIÓN'!A209)</f>
        <v>2.7.8  3.7.11</v>
      </c>
      <c r="B785" s="3648" t="s">
        <v>1329</v>
      </c>
      <c r="C785" s="3649"/>
      <c r="D785" s="3649"/>
      <c r="E785" s="3649"/>
      <c r="F785" s="3649"/>
      <c r="G785" s="3649"/>
      <c r="H785" s="3649"/>
      <c r="I785" s="3650"/>
    </row>
    <row r="786" spans="1:14" ht="15" customHeight="1">
      <c r="A786" s="1261"/>
      <c r="B786" s="1258"/>
      <c r="C786" s="1264" t="s">
        <v>140</v>
      </c>
      <c r="D786" s="1229" t="s">
        <v>343</v>
      </c>
      <c r="E786" s="1814" t="s">
        <v>344</v>
      </c>
      <c r="F786" s="1814" t="s">
        <v>482</v>
      </c>
      <c r="G786" s="1814" t="s">
        <v>483</v>
      </c>
      <c r="H786" s="1814" t="s">
        <v>232</v>
      </c>
      <c r="I786" s="1814" t="s">
        <v>171</v>
      </c>
    </row>
    <row r="787" spans="1:14" s="499" customFormat="1" ht="54">
      <c r="A787" s="1261" t="s">
        <v>686</v>
      </c>
      <c r="B787" s="2721" t="s">
        <v>6306</v>
      </c>
      <c r="C787" s="183">
        <v>1</v>
      </c>
      <c r="D787" s="509" t="s">
        <v>363</v>
      </c>
      <c r="E787" s="1804">
        <f>+'BASE 2'!D506</f>
        <v>402220</v>
      </c>
      <c r="F787" s="1914"/>
      <c r="G787" s="1914">
        <f>+E787*C787</f>
        <v>402220</v>
      </c>
      <c r="H787" s="1914"/>
      <c r="I787" s="1914"/>
    </row>
    <row r="788" spans="1:14" s="499" customFormat="1" ht="15" customHeight="1">
      <c r="A788" s="1261" t="s">
        <v>584</v>
      </c>
      <c r="B788" s="1410" t="s">
        <v>134</v>
      </c>
      <c r="C788" s="183">
        <f>1/30</f>
        <v>3.3333333333333333E-2</v>
      </c>
      <c r="D788" s="509" t="s">
        <v>476</v>
      </c>
      <c r="E788" s="1914">
        <f>+VIAJE</f>
        <v>1200000</v>
      </c>
      <c r="F788" s="1914"/>
      <c r="G788" s="1914"/>
      <c r="H788" s="1914"/>
      <c r="I788" s="1914">
        <f>+E788*C788</f>
        <v>40000</v>
      </c>
    </row>
    <row r="789" spans="1:14" ht="15" customHeight="1">
      <c r="A789" s="1265" t="s">
        <v>190</v>
      </c>
      <c r="B789" s="1266">
        <f>ROUND(SUM(F789:I789),0)</f>
        <v>442220</v>
      </c>
      <c r="C789" s="1263"/>
      <c r="D789" s="1229"/>
      <c r="E789" s="1814"/>
      <c r="F789" s="1814">
        <f>+SUM(F787:F788)</f>
        <v>0</v>
      </c>
      <c r="G789" s="1814">
        <f>+SUM(G787:G788)</f>
        <v>402220</v>
      </c>
      <c r="H789" s="1814">
        <f>+SUM(H787:H788)</f>
        <v>0</v>
      </c>
      <c r="I789" s="1814">
        <f>+SUM(I787:I788)</f>
        <v>40000</v>
      </c>
    </row>
    <row r="790" spans="1:14" ht="15.6" customHeight="1">
      <c r="A790" s="1265" t="s">
        <v>191</v>
      </c>
      <c r="B790" s="1414">
        <f>+B789</f>
        <v>442220</v>
      </c>
      <c r="C790" s="1901" t="s">
        <v>363</v>
      </c>
    </row>
    <row r="791" spans="1:14" s="2718" customFormat="1" ht="15" customHeight="1">
      <c r="A791" s="2714"/>
      <c r="B791" s="2715"/>
      <c r="C791" s="2716"/>
      <c r="D791" s="2717"/>
      <c r="E791" s="2717"/>
      <c r="F791" s="2717"/>
      <c r="G791" s="2717"/>
      <c r="H791" s="2717"/>
      <c r="I791" s="2717"/>
    </row>
    <row r="792" spans="1:14" s="19" customFormat="1" ht="15" customHeight="1">
      <c r="A792" s="2168" t="str">
        <f>+CONCATENATE('LINEAS IMPULSIÓN-CONDUCCIÓN'!A118,"  ",'LINEAS IMPULSIÓN-CONDUCCIÓN'!A191)</f>
        <v>2.6.10  3.6.14</v>
      </c>
      <c r="B792" s="3652" t="s">
        <v>6943</v>
      </c>
      <c r="C792" s="3639"/>
      <c r="D792" s="3639"/>
      <c r="E792" s="3639"/>
      <c r="F792" s="3639"/>
      <c r="G792" s="3639"/>
      <c r="H792" s="3639"/>
      <c r="I792" s="3640"/>
      <c r="J792" s="367"/>
      <c r="K792" s="367"/>
      <c r="L792" s="367"/>
      <c r="M792" s="367"/>
    </row>
    <row r="793" spans="1:14" s="19" customFormat="1" ht="15" customHeight="1">
      <c r="B793" s="474"/>
      <c r="C793" s="2688" t="s">
        <v>140</v>
      </c>
      <c r="D793" s="2688" t="s">
        <v>343</v>
      </c>
      <c r="E793" s="369" t="s">
        <v>344</v>
      </c>
      <c r="F793" s="369" t="s">
        <v>482</v>
      </c>
      <c r="G793" s="369" t="s">
        <v>483</v>
      </c>
      <c r="H793" s="369" t="s">
        <v>232</v>
      </c>
      <c r="I793" s="369" t="s">
        <v>171</v>
      </c>
      <c r="J793" s="367"/>
      <c r="K793" s="367"/>
      <c r="L793" s="367"/>
      <c r="M793" s="367"/>
    </row>
    <row r="794" spans="1:14" s="499" customFormat="1" ht="15" customHeight="1">
      <c r="A794" s="954" t="s">
        <v>53</v>
      </c>
      <c r="B794" s="2706" t="s">
        <v>6502</v>
      </c>
      <c r="C794" s="1299">
        <v>0.85</v>
      </c>
      <c r="D794" s="501" t="s">
        <v>346</v>
      </c>
      <c r="E794" s="1797">
        <f>+'BASE 2'!D738</f>
        <v>200979.89333333331</v>
      </c>
      <c r="F794" s="497">
        <f>+E794*C794</f>
        <v>170832.90933333331</v>
      </c>
      <c r="G794" s="497"/>
      <c r="H794" s="497"/>
      <c r="I794" s="497"/>
      <c r="J794" s="498"/>
      <c r="K794" s="498"/>
      <c r="L794" s="498"/>
      <c r="M794" s="498"/>
      <c r="N794" s="498"/>
    </row>
    <row r="795" spans="1:14" ht="15" customHeight="1">
      <c r="A795" s="954" t="s">
        <v>47</v>
      </c>
      <c r="B795" s="231" t="s">
        <v>6424</v>
      </c>
      <c r="C795" s="1299">
        <v>0.85</v>
      </c>
      <c r="D795" s="401" t="s">
        <v>346</v>
      </c>
      <c r="E795" s="2683">
        <f>+EEF110_</f>
        <v>520232.3</v>
      </c>
      <c r="F795" s="2683">
        <f>+E795*C795</f>
        <v>442197.45499999996</v>
      </c>
      <c r="G795" s="2683"/>
      <c r="H795" s="2683"/>
      <c r="I795" s="2683"/>
      <c r="J795" s="507"/>
    </row>
    <row r="796" spans="1:14" ht="15" customHeight="1">
      <c r="A796" s="1261"/>
      <c r="B796" s="1275" t="s">
        <v>1064</v>
      </c>
      <c r="C796" s="183">
        <f>1/800</f>
        <v>1.25E-3</v>
      </c>
      <c r="D796" s="401" t="s">
        <v>476</v>
      </c>
      <c r="E796" s="1276">
        <v>500000</v>
      </c>
      <c r="F796" s="2683"/>
      <c r="G796" s="2683"/>
      <c r="H796" s="2683"/>
      <c r="I796" s="2683">
        <f>+E796*C796</f>
        <v>625</v>
      </c>
      <c r="J796" s="1260"/>
    </row>
    <row r="797" spans="1:14" s="499" customFormat="1" ht="15" customHeight="1">
      <c r="A797" s="954" t="s">
        <v>380</v>
      </c>
      <c r="B797" s="1908" t="s">
        <v>378</v>
      </c>
      <c r="C797" s="183">
        <f>1/57</f>
        <v>1.7543859649122806E-2</v>
      </c>
      <c r="D797" s="501" t="s">
        <v>238</v>
      </c>
      <c r="E797" s="1797">
        <f>+GASO</f>
        <v>8800</v>
      </c>
      <c r="F797" s="497"/>
      <c r="G797" s="497">
        <f>+E797*C797</f>
        <v>154.38596491228068</v>
      </c>
      <c r="H797" s="497"/>
      <c r="I797" s="497">
        <f>+E797*C797</f>
        <v>154.38596491228068</v>
      </c>
      <c r="J797" s="498"/>
      <c r="K797" s="498"/>
      <c r="L797" s="498"/>
      <c r="M797" s="498"/>
      <c r="N797" s="498"/>
    </row>
    <row r="798" spans="1:14" s="499" customFormat="1" ht="15" customHeight="1">
      <c r="A798" s="954" t="s">
        <v>382</v>
      </c>
      <c r="B798" s="1908" t="s">
        <v>381</v>
      </c>
      <c r="C798" s="183">
        <f>1/50</f>
        <v>0.02</v>
      </c>
      <c r="D798" s="501" t="s">
        <v>426</v>
      </c>
      <c r="E798" s="1797">
        <f>+ESTOP</f>
        <v>4080</v>
      </c>
      <c r="F798" s="497"/>
      <c r="G798" s="497">
        <f>+E798*C798</f>
        <v>81.600000000000009</v>
      </c>
      <c r="H798" s="497"/>
      <c r="I798" s="497">
        <f>+E798*C798</f>
        <v>81.600000000000009</v>
      </c>
      <c r="J798" s="498"/>
      <c r="K798" s="498"/>
      <c r="L798" s="498"/>
      <c r="M798" s="498"/>
      <c r="N798" s="498"/>
    </row>
    <row r="799" spans="1:14" s="19" customFormat="1" ht="15" customHeight="1">
      <c r="A799" s="473" t="s">
        <v>347</v>
      </c>
      <c r="B799" s="474" t="s">
        <v>6941</v>
      </c>
      <c r="C799" s="1299">
        <v>0.85</v>
      </c>
      <c r="D799" s="2688" t="s">
        <v>346</v>
      </c>
      <c r="E799" s="452">
        <f>+AYUDA*3</f>
        <v>196169.08677600001</v>
      </c>
      <c r="F799" s="452"/>
      <c r="G799" s="452"/>
      <c r="H799" s="452">
        <f>+E799*C799</f>
        <v>166743.72375960002</v>
      </c>
      <c r="I799" s="452"/>
      <c r="J799" s="367"/>
      <c r="K799" s="367"/>
      <c r="L799" s="367"/>
      <c r="M799" s="367"/>
    </row>
    <row r="800" spans="1:14" s="19" customFormat="1" ht="15" customHeight="1">
      <c r="A800" s="473" t="s">
        <v>345</v>
      </c>
      <c r="B800" s="474" t="s">
        <v>965</v>
      </c>
      <c r="C800" s="1299">
        <v>0.85</v>
      </c>
      <c r="D800" s="2688" t="s">
        <v>346</v>
      </c>
      <c r="E800" s="452">
        <f>+OFICI</f>
        <v>80479.625344</v>
      </c>
      <c r="F800" s="452"/>
      <c r="G800" s="452"/>
      <c r="H800" s="452">
        <f>+E800*C800</f>
        <v>68407.681542399994</v>
      </c>
      <c r="I800" s="452"/>
      <c r="J800" s="367"/>
      <c r="K800" s="367"/>
      <c r="L800" s="367"/>
      <c r="M800" s="367"/>
    </row>
    <row r="801" spans="1:13" s="19" customFormat="1" ht="16.5" customHeight="1">
      <c r="A801" s="473" t="s">
        <v>172</v>
      </c>
      <c r="B801" s="474" t="s">
        <v>189</v>
      </c>
      <c r="C801" s="475">
        <v>1</v>
      </c>
      <c r="D801" s="2688" t="s">
        <v>583</v>
      </c>
      <c r="E801" s="452">
        <f>+H802*0.05</f>
        <v>11757.570265100001</v>
      </c>
      <c r="F801" s="452"/>
      <c r="G801" s="452"/>
      <c r="H801" s="452"/>
      <c r="I801" s="452">
        <f>+E801*C801</f>
        <v>11757.570265100001</v>
      </c>
      <c r="J801" s="367"/>
      <c r="K801" s="367"/>
      <c r="L801" s="367"/>
      <c r="M801" s="367"/>
    </row>
    <row r="802" spans="1:13" s="19" customFormat="1" ht="15" customHeight="1">
      <c r="A802" s="476" t="s">
        <v>190</v>
      </c>
      <c r="B802" s="353">
        <f>SUM(F802:I802)</f>
        <v>861036.31183025776</v>
      </c>
      <c r="C802" s="477"/>
      <c r="D802" s="2688"/>
      <c r="E802" s="452"/>
      <c r="F802" s="452">
        <f>+SUM(F794:F801)</f>
        <v>613030.36433333321</v>
      </c>
      <c r="G802" s="452">
        <f>+SUM(G794:G801)</f>
        <v>235.98596491228068</v>
      </c>
      <c r="H802" s="452">
        <f>+SUM(H794:H801)</f>
        <v>235151.405302</v>
      </c>
      <c r="I802" s="452">
        <f>+SUM(I794:I801)</f>
        <v>12618.556230012282</v>
      </c>
      <c r="J802" s="367"/>
      <c r="K802" s="367"/>
      <c r="L802" s="367"/>
      <c r="M802" s="367"/>
    </row>
    <row r="803" spans="1:13" s="19" customFormat="1" ht="15" customHeight="1">
      <c r="A803" s="476" t="s">
        <v>191</v>
      </c>
      <c r="B803" s="353">
        <f>+B802</f>
        <v>861036.31183025776</v>
      </c>
      <c r="C803" s="478" t="s">
        <v>363</v>
      </c>
      <c r="D803" s="479"/>
      <c r="E803" s="2028">
        <f>+B812*0.15</f>
        <v>864823.51649999991</v>
      </c>
      <c r="F803" s="480"/>
      <c r="G803" s="481"/>
      <c r="H803" s="481"/>
      <c r="I803" s="481"/>
      <c r="J803" s="367"/>
      <c r="K803" s="367"/>
      <c r="L803" s="367"/>
      <c r="M803" s="367"/>
    </row>
    <row r="804" spans="1:13" s="19" customFormat="1" ht="15" customHeight="1">
      <c r="B804" s="482"/>
      <c r="C804" s="483"/>
      <c r="D804" s="389"/>
      <c r="E804" s="484"/>
      <c r="F804" s="484"/>
      <c r="G804" s="484"/>
      <c r="H804" s="484"/>
      <c r="I804" s="484"/>
      <c r="J804" s="367"/>
      <c r="K804" s="367"/>
      <c r="L804" s="367"/>
      <c r="M804" s="367"/>
    </row>
    <row r="805" spans="1:13" s="19" customFormat="1" ht="15" customHeight="1">
      <c r="A805" s="2170" t="str">
        <f>+CONCATENATE('LINEAS IMPULSIÓN-CONDUCCIÓN'!A138,"  ",'LINEAS IMPULSIÓN-CONDUCCIÓN'!A212)</f>
        <v>2.7.10  3.7.14</v>
      </c>
      <c r="B805" s="3653" t="s">
        <v>6942</v>
      </c>
      <c r="C805" s="3654"/>
      <c r="D805" s="3654"/>
      <c r="E805" s="3654"/>
      <c r="F805" s="3654"/>
      <c r="G805" s="3654"/>
      <c r="H805" s="3654"/>
      <c r="I805" s="3655"/>
    </row>
    <row r="806" spans="1:13" s="19" customFormat="1" ht="15" customHeight="1">
      <c r="A806" s="473"/>
      <c r="B806" s="474"/>
      <c r="C806" s="2688" t="s">
        <v>140</v>
      </c>
      <c r="D806" s="2688" t="s">
        <v>343</v>
      </c>
      <c r="E806" s="369" t="s">
        <v>344</v>
      </c>
      <c r="F806" s="369" t="s">
        <v>482</v>
      </c>
      <c r="G806" s="369" t="s">
        <v>483</v>
      </c>
      <c r="H806" s="369" t="s">
        <v>232</v>
      </c>
      <c r="I806" s="369" t="s">
        <v>171</v>
      </c>
      <c r="J806" s="367"/>
      <c r="K806" s="367"/>
      <c r="L806" s="367"/>
      <c r="M806" s="367"/>
    </row>
    <row r="807" spans="1:13" s="19" customFormat="1" ht="123" customHeight="1">
      <c r="A807" s="485"/>
      <c r="B807" s="349" t="s">
        <v>6427</v>
      </c>
      <c r="C807" s="475">
        <v>1</v>
      </c>
      <c r="D807" s="471" t="s">
        <v>363</v>
      </c>
      <c r="E807" s="452">
        <f>2304619.9*1.19</f>
        <v>2742497.6809999999</v>
      </c>
      <c r="F807" s="452"/>
      <c r="G807" s="368">
        <f>+E807*C807</f>
        <v>2742497.6809999999</v>
      </c>
      <c r="H807" s="452"/>
      <c r="I807" s="452"/>
      <c r="J807" s="367"/>
      <c r="K807" s="367"/>
      <c r="L807" s="367"/>
      <c r="M807" s="367"/>
    </row>
    <row r="808" spans="1:13" s="19" customFormat="1" ht="15" customHeight="1">
      <c r="A808" s="485"/>
      <c r="B808" s="349" t="s">
        <v>6428</v>
      </c>
      <c r="C808" s="475">
        <v>1</v>
      </c>
      <c r="D808" s="471" t="s">
        <v>363</v>
      </c>
      <c r="E808" s="368">
        <f>3761269*1.19</f>
        <v>4475910.1099999994</v>
      </c>
      <c r="F808" s="368"/>
      <c r="G808" s="368">
        <f t="shared" ref="G808:G809" si="26">+E808*C808</f>
        <v>4475910.1099999994</v>
      </c>
      <c r="H808" s="368"/>
      <c r="I808" s="368"/>
      <c r="J808" s="367"/>
      <c r="K808" s="367"/>
      <c r="L808" s="367"/>
      <c r="M808" s="367"/>
    </row>
    <row r="809" spans="1:13" s="19" customFormat="1" ht="15" customHeight="1">
      <c r="A809" s="485"/>
      <c r="B809" s="349" t="s">
        <v>6429</v>
      </c>
      <c r="C809" s="475">
        <v>1</v>
      </c>
      <c r="D809" s="471" t="s">
        <v>363</v>
      </c>
      <c r="E809" s="368">
        <f>882000*1.19</f>
        <v>1049580</v>
      </c>
      <c r="F809" s="368"/>
      <c r="G809" s="368">
        <f t="shared" si="26"/>
        <v>1049580</v>
      </c>
      <c r="H809" s="368"/>
      <c r="I809" s="368"/>
      <c r="J809" s="367"/>
      <c r="K809" s="367"/>
      <c r="L809" s="367"/>
      <c r="M809" s="367"/>
    </row>
    <row r="810" spans="1:13" s="496" customFormat="1" ht="15" customHeight="1">
      <c r="B810" s="474" t="s">
        <v>1293</v>
      </c>
      <c r="C810" s="477">
        <v>0.2</v>
      </c>
      <c r="D810" s="1294" t="s">
        <v>363</v>
      </c>
      <c r="E810" s="1295">
        <f>+VIAJE</f>
        <v>1200000</v>
      </c>
      <c r="F810" s="480"/>
      <c r="G810" s="1296">
        <f>+E810*C810</f>
        <v>240000</v>
      </c>
      <c r="H810" s="369"/>
      <c r="I810" s="369"/>
    </row>
    <row r="811" spans="1:13" s="502" customFormat="1" ht="15" customHeight="1">
      <c r="A811" s="476" t="s">
        <v>190</v>
      </c>
      <c r="B811" s="353">
        <f>SUM(F811:I811)</f>
        <v>5765490.1099999994</v>
      </c>
      <c r="C811" s="478" t="s">
        <v>363</v>
      </c>
      <c r="D811" s="184"/>
      <c r="E811" s="1916"/>
      <c r="F811" s="1916"/>
      <c r="G811" s="452">
        <f>SUM(G808:G810)</f>
        <v>5765490.1099999994</v>
      </c>
      <c r="H811" s="1916"/>
      <c r="I811" s="1916"/>
    </row>
    <row r="812" spans="1:13" s="502" customFormat="1" ht="15" customHeight="1">
      <c r="A812" s="476" t="s">
        <v>191</v>
      </c>
      <c r="B812" s="2166">
        <f>+B811</f>
        <v>5765490.1099999994</v>
      </c>
      <c r="C812" s="1279"/>
      <c r="D812" s="402"/>
      <c r="E812" s="1280"/>
      <c r="F812" s="1280"/>
      <c r="G812" s="1280"/>
      <c r="H812" s="1280"/>
      <c r="I812" s="1280"/>
    </row>
    <row r="813" spans="1:13" s="2718" customFormat="1" ht="15" customHeight="1">
      <c r="A813" s="2714"/>
      <c r="B813" s="2715"/>
      <c r="C813" s="2716"/>
      <c r="D813" s="2717"/>
      <c r="E813" s="2717"/>
      <c r="F813" s="2717"/>
      <c r="G813" s="2717"/>
      <c r="H813" s="2717"/>
      <c r="I813" s="2717"/>
    </row>
    <row r="814" spans="1:13" s="2718" customFormat="1" ht="15" customHeight="1">
      <c r="A814" s="2714"/>
      <c r="B814" s="2715"/>
      <c r="C814" s="2716"/>
      <c r="D814" s="2717"/>
      <c r="E814" s="2717"/>
      <c r="F814" s="2717"/>
      <c r="G814" s="2717"/>
      <c r="H814" s="2717"/>
      <c r="I814" s="2717"/>
    </row>
    <row r="815" spans="1:13" ht="15" customHeight="1">
      <c r="A815" s="3632" t="s">
        <v>8036</v>
      </c>
      <c r="B815" s="3632"/>
      <c r="C815" s="3632"/>
      <c r="D815" s="3632"/>
      <c r="E815" s="3632"/>
      <c r="F815" s="3632"/>
      <c r="G815" s="3632"/>
      <c r="H815" s="3632"/>
      <c r="I815" s="3632"/>
      <c r="L815" s="1791"/>
    </row>
    <row r="816" spans="1:13" s="2718" customFormat="1" ht="15" customHeight="1">
      <c r="A816" s="2714"/>
      <c r="B816" s="2715"/>
      <c r="C816" s="2716"/>
      <c r="D816" s="2717"/>
      <c r="E816" s="2717"/>
      <c r="F816" s="2717"/>
      <c r="G816" s="2717"/>
      <c r="H816" s="2717"/>
      <c r="I816" s="2717"/>
    </row>
    <row r="817" spans="1:10" s="507" customFormat="1" ht="15" customHeight="1">
      <c r="A817" s="3634" t="s">
        <v>8037</v>
      </c>
      <c r="B817" s="3634"/>
      <c r="C817" s="3634"/>
      <c r="D817" s="3634"/>
      <c r="E817" s="3634"/>
      <c r="F817" s="3634"/>
      <c r="G817" s="3634"/>
      <c r="H817" s="3634"/>
      <c r="I817" s="3634"/>
    </row>
    <row r="818" spans="1:10" s="2718" customFormat="1" ht="15" customHeight="1">
      <c r="A818" s="2714"/>
      <c r="B818" s="2715"/>
      <c r="C818" s="2716"/>
      <c r="D818" s="2717"/>
      <c r="E818" s="2717"/>
      <c r="F818" s="2717"/>
      <c r="G818" s="2717"/>
      <c r="H818" s="2717"/>
      <c r="I818" s="2717"/>
    </row>
    <row r="819" spans="1:10" s="499" customFormat="1" ht="40.5" customHeight="1">
      <c r="A819" s="449" t="str">
        <f>+'LINEAS IMPULSIÓN-CONDUCCIÓN'!A167</f>
        <v>3.3.7</v>
      </c>
      <c r="B819" s="3619" t="s">
        <v>5745</v>
      </c>
      <c r="C819" s="3620"/>
      <c r="D819" s="3620"/>
      <c r="E819" s="3620"/>
      <c r="F819" s="3620"/>
      <c r="G819" s="3620"/>
      <c r="H819" s="3620"/>
      <c r="I819" s="3621"/>
    </row>
    <row r="820" spans="1:10" s="499" customFormat="1" ht="15" customHeight="1">
      <c r="A820" s="1261"/>
      <c r="B820" s="407"/>
      <c r="C820" s="1796" t="s">
        <v>140</v>
      </c>
      <c r="D820" s="2681" t="s">
        <v>343</v>
      </c>
      <c r="E820" s="1797" t="s">
        <v>344</v>
      </c>
      <c r="F820" s="509" t="s">
        <v>482</v>
      </c>
      <c r="G820" s="509" t="s">
        <v>483</v>
      </c>
      <c r="H820" s="509" t="s">
        <v>232</v>
      </c>
      <c r="I820" s="509" t="s">
        <v>171</v>
      </c>
    </row>
    <row r="821" spans="1:10" s="499" customFormat="1" ht="63.75" customHeight="1">
      <c r="A821" s="1261" t="s">
        <v>736</v>
      </c>
      <c r="B821" s="1713" t="s">
        <v>6312</v>
      </c>
      <c r="C821" s="182">
        <v>1</v>
      </c>
      <c r="D821" s="509" t="s">
        <v>45</v>
      </c>
      <c r="E821" s="1412">
        <f>1575000*1.19</f>
        <v>1874250</v>
      </c>
      <c r="F821" s="1412">
        <f>+E821*C821</f>
        <v>1874250</v>
      </c>
      <c r="G821" s="1412"/>
      <c r="H821" s="1412"/>
      <c r="I821" s="1412"/>
    </row>
    <row r="822" spans="1:10" s="499" customFormat="1" ht="18.75" customHeight="1">
      <c r="A822" s="1261"/>
      <c r="B822" s="1713" t="s">
        <v>5746</v>
      </c>
      <c r="C822" s="182">
        <v>1</v>
      </c>
      <c r="D822" s="509" t="s">
        <v>45</v>
      </c>
      <c r="E822" s="1412">
        <f>+'BASE 2'!D188</f>
        <v>998563</v>
      </c>
      <c r="F822" s="1412"/>
      <c r="G822" s="1412">
        <f>+E822*C822</f>
        <v>998563</v>
      </c>
      <c r="H822" s="1412"/>
      <c r="I822" s="1412"/>
    </row>
    <row r="823" spans="1:10" s="499" customFormat="1" ht="15" customHeight="1">
      <c r="A823" s="1265" t="s">
        <v>190</v>
      </c>
      <c r="B823" s="1266">
        <f>ROUND(SUM(F823:I823),0)</f>
        <v>2872813</v>
      </c>
      <c r="C823" s="1796"/>
      <c r="D823" s="509"/>
      <c r="E823" s="1412"/>
      <c r="F823" s="1412">
        <f>+SUM(F821:F821)</f>
        <v>1874250</v>
      </c>
      <c r="G823" s="1412">
        <f>+SUM(G821:G822)</f>
        <v>998563</v>
      </c>
      <c r="H823" s="1412">
        <f>+SUM(H821:H821)</f>
        <v>0</v>
      </c>
      <c r="I823" s="1412">
        <f>+SUM(I821:I821)</f>
        <v>0</v>
      </c>
    </row>
    <row r="824" spans="1:10" s="499" customFormat="1" ht="15" customHeight="1">
      <c r="A824" s="1265" t="s">
        <v>191</v>
      </c>
      <c r="B824" s="1587">
        <f>+B823</f>
        <v>2872813</v>
      </c>
      <c r="C824" s="1714" t="s">
        <v>45</v>
      </c>
      <c r="D824" s="1798"/>
      <c r="E824" s="1798"/>
      <c r="F824" s="1798"/>
      <c r="G824" s="1798"/>
      <c r="H824" s="1798"/>
      <c r="I824" s="1798"/>
    </row>
    <row r="826" spans="1:10" s="389" customFormat="1" ht="15" customHeight="1">
      <c r="A826" s="448"/>
      <c r="B826" s="399"/>
      <c r="C826" s="317"/>
      <c r="D826" s="400"/>
      <c r="E826" s="400"/>
      <c r="F826" s="400"/>
      <c r="G826" s="400"/>
      <c r="H826" s="400"/>
      <c r="I826" s="400"/>
    </row>
    <row r="827" spans="1:10" s="1260" customFormat="1" ht="15" customHeight="1">
      <c r="A827" s="3634" t="s">
        <v>8038</v>
      </c>
      <c r="B827" s="3634"/>
      <c r="C827" s="3634"/>
      <c r="D827" s="3634"/>
      <c r="E827" s="3634"/>
      <c r="F827" s="3634"/>
      <c r="G827" s="3634"/>
      <c r="H827" s="3634"/>
      <c r="I827" s="3634"/>
    </row>
    <row r="828" spans="1:10" s="2722" customFormat="1" ht="15" customHeight="1">
      <c r="A828" s="2326"/>
      <c r="B828" s="2326"/>
      <c r="C828" s="2326"/>
      <c r="D828" s="2326"/>
      <c r="E828" s="2326"/>
      <c r="F828" s="2326"/>
      <c r="G828" s="2326"/>
      <c r="H828" s="2326"/>
      <c r="I828" s="2326"/>
    </row>
    <row r="829" spans="1:10" ht="15" customHeight="1">
      <c r="A829" s="449" t="str">
        <f>+'LINEAS IMPULSIÓN-CONDUCCIÓN'!A178</f>
        <v>3.6.1</v>
      </c>
      <c r="B829" s="3562" t="s">
        <v>6509</v>
      </c>
      <c r="C829" s="3562"/>
      <c r="D829" s="3562"/>
      <c r="E829" s="3562"/>
      <c r="F829" s="3562"/>
      <c r="G829" s="3562"/>
      <c r="H829" s="3562"/>
      <c r="I829" s="3562"/>
      <c r="J829" s="1260"/>
    </row>
    <row r="830" spans="1:10" ht="15" customHeight="1">
      <c r="A830" s="1261"/>
      <c r="B830" s="184"/>
      <c r="C830" s="1900" t="s">
        <v>140</v>
      </c>
      <c r="D830" s="1229" t="s">
        <v>343</v>
      </c>
      <c r="E830" s="1229" t="s">
        <v>344</v>
      </c>
      <c r="F830" s="1229" t="s">
        <v>482</v>
      </c>
      <c r="G830" s="1229" t="s">
        <v>483</v>
      </c>
      <c r="H830" s="1229" t="s">
        <v>232</v>
      </c>
      <c r="I830" s="1229" t="s">
        <v>171</v>
      </c>
      <c r="J830" s="1260"/>
    </row>
    <row r="831" spans="1:10" ht="15" customHeight="1">
      <c r="A831" s="954" t="s">
        <v>53</v>
      </c>
      <c r="B831" s="231" t="s">
        <v>6501</v>
      </c>
      <c r="C831" s="1299">
        <f>1/(12*7)</f>
        <v>1.1904761904761904E-2</v>
      </c>
      <c r="D831" s="401" t="s">
        <v>346</v>
      </c>
      <c r="E831" s="1255">
        <f>+'BASE 2'!D738</f>
        <v>200979.89333333331</v>
      </c>
      <c r="F831" s="2683">
        <f>+E831*C831</f>
        <v>2392.6177777777775</v>
      </c>
      <c r="G831" s="2683"/>
      <c r="H831" s="2683"/>
      <c r="I831" s="2683"/>
      <c r="J831" s="507"/>
    </row>
    <row r="832" spans="1:10" ht="15" customHeight="1">
      <c r="A832" s="954" t="s">
        <v>47</v>
      </c>
      <c r="B832" s="231" t="s">
        <v>6425</v>
      </c>
      <c r="C832" s="1299">
        <f>1/(12*7)</f>
        <v>1.1904761904761904E-2</v>
      </c>
      <c r="D832" s="401" t="s">
        <v>346</v>
      </c>
      <c r="E832" s="2683">
        <f>+EEF110_</f>
        <v>520232.3</v>
      </c>
      <c r="F832" s="2683">
        <f>+E832*C832</f>
        <v>6193.2416666666659</v>
      </c>
      <c r="G832" s="2683"/>
      <c r="H832" s="2683"/>
      <c r="I832" s="2683"/>
      <c r="J832" s="507"/>
    </row>
    <row r="833" spans="1:256" ht="15" customHeight="1">
      <c r="A833" s="435" t="s">
        <v>736</v>
      </c>
      <c r="B833" s="231" t="s">
        <v>6410</v>
      </c>
      <c r="C833" s="182">
        <f>+C832</f>
        <v>1.1904761904761904E-2</v>
      </c>
      <c r="D833" s="2688" t="s">
        <v>735</v>
      </c>
      <c r="E833" s="497">
        <f>+RETRO</f>
        <v>150000</v>
      </c>
      <c r="F833" s="1585">
        <f>+E833*C833</f>
        <v>1785.7142857142856</v>
      </c>
      <c r="G833" s="1585"/>
      <c r="H833" s="1585"/>
      <c r="I833" s="184"/>
      <c r="K833" s="402">
        <f>1/18</f>
        <v>5.5555555555555552E-2</v>
      </c>
    </row>
    <row r="834" spans="1:256" ht="15" customHeight="1">
      <c r="A834" s="954" t="s">
        <v>380</v>
      </c>
      <c r="B834" s="184" t="s">
        <v>378</v>
      </c>
      <c r="C834" s="1900">
        <v>1.9E-2</v>
      </c>
      <c r="D834" s="401" t="s">
        <v>238</v>
      </c>
      <c r="E834" s="2683">
        <f>+GASO</f>
        <v>8800</v>
      </c>
      <c r="F834" s="2683"/>
      <c r="G834" s="2683"/>
      <c r="H834" s="2683"/>
      <c r="I834" s="2683">
        <f>+E834*C834</f>
        <v>167.2</v>
      </c>
      <c r="J834" s="507"/>
    </row>
    <row r="835" spans="1:256" ht="15" customHeight="1">
      <c r="A835" s="954" t="s">
        <v>382</v>
      </c>
      <c r="B835" s="184" t="s">
        <v>381</v>
      </c>
      <c r="C835" s="1900">
        <v>0.04</v>
      </c>
      <c r="D835" s="401" t="s">
        <v>426</v>
      </c>
      <c r="E835" s="2683">
        <f>+ESTOP</f>
        <v>4080</v>
      </c>
      <c r="F835" s="2683"/>
      <c r="G835" s="2683"/>
      <c r="H835" s="2683"/>
      <c r="I835" s="2683">
        <f>+E835*C835</f>
        <v>163.20000000000002</v>
      </c>
      <c r="J835" s="507"/>
    </row>
    <row r="836" spans="1:256" ht="15" customHeight="1">
      <c r="A836" s="1261" t="s">
        <v>345</v>
      </c>
      <c r="B836" s="184" t="s">
        <v>965</v>
      </c>
      <c r="C836" s="1299">
        <f>1/(12*7)</f>
        <v>1.1904761904761904E-2</v>
      </c>
      <c r="D836" s="1229" t="s">
        <v>346</v>
      </c>
      <c r="E836" s="2683">
        <f>+OFICI</f>
        <v>80479.625344</v>
      </c>
      <c r="F836" s="2683"/>
      <c r="G836" s="2683"/>
      <c r="H836" s="2683">
        <f>+E836*C836</f>
        <v>958.09077790476181</v>
      </c>
      <c r="I836" s="2683"/>
      <c r="J836" s="159"/>
    </row>
    <row r="837" spans="1:256" ht="15" customHeight="1">
      <c r="A837" s="1261" t="s">
        <v>347</v>
      </c>
      <c r="B837" s="184" t="s">
        <v>266</v>
      </c>
      <c r="C837" s="1299">
        <f>1/(12*7)</f>
        <v>1.1904761904761904E-2</v>
      </c>
      <c r="D837" s="1229" t="s">
        <v>346</v>
      </c>
      <c r="E837" s="2683">
        <f>+AYUDA</f>
        <v>65389.695592000004</v>
      </c>
      <c r="F837" s="2683"/>
      <c r="G837" s="2683"/>
      <c r="H837" s="2683">
        <f>+E837*C837</f>
        <v>778.4487570476191</v>
      </c>
      <c r="I837" s="2683"/>
      <c r="J837" s="1260"/>
    </row>
    <row r="838" spans="1:256" ht="15" customHeight="1">
      <c r="A838" s="1261" t="s">
        <v>172</v>
      </c>
      <c r="B838" s="184" t="s">
        <v>189</v>
      </c>
      <c r="C838" s="687">
        <v>1</v>
      </c>
      <c r="D838" s="1229" t="s">
        <v>583</v>
      </c>
      <c r="E838" s="2683">
        <f>+H839*0.05</f>
        <v>86.826976747619057</v>
      </c>
      <c r="F838" s="2683"/>
      <c r="G838" s="2683"/>
      <c r="H838" s="2683"/>
      <c r="I838" s="2683">
        <f>+E838*C838</f>
        <v>86.826976747619057</v>
      </c>
      <c r="J838" s="1260"/>
    </row>
    <row r="839" spans="1:256" ht="15" customHeight="1">
      <c r="A839" s="1265" t="s">
        <v>190</v>
      </c>
      <c r="B839" s="1266">
        <f>ROUND(SUM(F839:I839),0)</f>
        <v>12525</v>
      </c>
      <c r="C839" s="1264"/>
      <c r="D839" s="1229"/>
      <c r="E839" s="2683"/>
      <c r="F839" s="2683">
        <f>+SUM(F831:F838)</f>
        <v>10371.573730158729</v>
      </c>
      <c r="G839" s="2683">
        <f>+SUM(G831:G838)</f>
        <v>0</v>
      </c>
      <c r="H839" s="2683">
        <f>+SUM(H831:H838)</f>
        <v>1736.539534952381</v>
      </c>
      <c r="I839" s="2683">
        <f>+SUM(I831:I838)</f>
        <v>417.22697674761901</v>
      </c>
      <c r="J839" s="1260"/>
    </row>
    <row r="840" spans="1:256" ht="15" customHeight="1">
      <c r="A840" s="1265" t="s">
        <v>191</v>
      </c>
      <c r="B840" s="1414">
        <f>+B839</f>
        <v>12525</v>
      </c>
      <c r="C840" s="1901" t="s">
        <v>94</v>
      </c>
      <c r="D840" s="873"/>
      <c r="E840" s="873"/>
      <c r="F840" s="873"/>
      <c r="G840" s="873"/>
      <c r="H840" s="873"/>
      <c r="I840" s="873"/>
      <c r="J840" s="1260"/>
    </row>
    <row r="841" spans="1:256" s="2659" customFormat="1" ht="15" customHeight="1">
      <c r="A841" s="1902"/>
      <c r="B841" s="1903"/>
      <c r="C841" s="1903"/>
      <c r="D841" s="1903"/>
      <c r="E841" s="1903"/>
      <c r="F841" s="1903"/>
      <c r="G841" s="1903"/>
      <c r="H841" s="1903"/>
      <c r="I841" s="1903"/>
      <c r="J841" s="1903"/>
      <c r="K841" s="1903"/>
      <c r="L841" s="1903"/>
      <c r="M841" s="1903"/>
      <c r="N841" s="1903"/>
      <c r="O841" s="1903"/>
      <c r="P841" s="1903"/>
      <c r="Q841" s="1903"/>
      <c r="R841" s="1903"/>
      <c r="S841" s="1903"/>
      <c r="T841" s="1903"/>
      <c r="U841" s="1903"/>
      <c r="V841" s="1903"/>
      <c r="W841" s="1903"/>
      <c r="X841" s="1903"/>
      <c r="Y841" s="1903"/>
      <c r="Z841" s="1903"/>
      <c r="AA841" s="1903"/>
      <c r="AB841" s="1903"/>
      <c r="AC841" s="1903"/>
      <c r="AD841" s="1903"/>
      <c r="AE841" s="1903"/>
      <c r="AF841" s="1903"/>
      <c r="AG841" s="1903"/>
      <c r="AH841" s="1903"/>
      <c r="AI841" s="1903"/>
      <c r="AJ841" s="1903"/>
      <c r="AK841" s="1903"/>
      <c r="AL841" s="1903"/>
      <c r="AM841" s="1903"/>
      <c r="AN841" s="1903"/>
      <c r="AO841" s="1903"/>
      <c r="AP841" s="1903"/>
      <c r="AQ841" s="1903"/>
      <c r="AR841" s="1903"/>
      <c r="AS841" s="1903"/>
      <c r="AT841" s="1903"/>
      <c r="AU841" s="1903"/>
      <c r="AV841" s="1903"/>
      <c r="AW841" s="1903"/>
      <c r="AX841" s="1903"/>
      <c r="AY841" s="1903"/>
      <c r="AZ841" s="1903"/>
      <c r="BA841" s="1903"/>
      <c r="BB841" s="1903"/>
      <c r="BC841" s="1903"/>
      <c r="BD841" s="1903"/>
      <c r="BE841" s="1903"/>
      <c r="BF841" s="1903"/>
      <c r="BG841" s="1903"/>
      <c r="BH841" s="1903"/>
      <c r="BI841" s="1903"/>
      <c r="BJ841" s="1903"/>
      <c r="BK841" s="1903"/>
      <c r="BL841" s="1903"/>
      <c r="BM841" s="1903"/>
      <c r="BN841" s="1903"/>
      <c r="BO841" s="1903"/>
      <c r="BP841" s="1903"/>
      <c r="BQ841" s="1903"/>
      <c r="BR841" s="1903"/>
      <c r="BS841" s="1903"/>
      <c r="BT841" s="1903"/>
      <c r="BU841" s="1903"/>
      <c r="BV841" s="1903"/>
      <c r="BW841" s="1903"/>
      <c r="BX841" s="1903"/>
      <c r="BY841" s="1903"/>
      <c r="BZ841" s="1903"/>
      <c r="CA841" s="1903"/>
      <c r="CB841" s="1903"/>
      <c r="CC841" s="1903"/>
      <c r="CD841" s="1903"/>
      <c r="CE841" s="1903"/>
      <c r="CF841" s="1903"/>
      <c r="CG841" s="1903"/>
      <c r="CH841" s="1903"/>
      <c r="CI841" s="1903"/>
      <c r="CJ841" s="1903"/>
      <c r="CK841" s="1903"/>
      <c r="CL841" s="1903"/>
      <c r="CM841" s="1903"/>
      <c r="CN841" s="1903"/>
      <c r="CO841" s="1903"/>
      <c r="CP841" s="1903"/>
      <c r="CQ841" s="1903"/>
      <c r="CR841" s="1903"/>
      <c r="CS841" s="1903"/>
      <c r="CT841" s="1903"/>
      <c r="CU841" s="1903"/>
      <c r="CV841" s="1903"/>
      <c r="CW841" s="1903"/>
      <c r="CX841" s="1903"/>
      <c r="CY841" s="1903"/>
      <c r="CZ841" s="1903"/>
      <c r="DA841" s="1903"/>
      <c r="DB841" s="1903"/>
      <c r="DC841" s="1903"/>
      <c r="DD841" s="1903"/>
      <c r="DE841" s="1903"/>
      <c r="DF841" s="1903"/>
      <c r="DG841" s="1903"/>
      <c r="DH841" s="1903"/>
      <c r="DI841" s="1903"/>
      <c r="DJ841" s="1903"/>
      <c r="DK841" s="1903"/>
      <c r="DL841" s="1903"/>
      <c r="DM841" s="1903"/>
      <c r="DN841" s="1903"/>
      <c r="DO841" s="1903"/>
      <c r="DP841" s="1903"/>
      <c r="DQ841" s="1903"/>
      <c r="DR841" s="1903"/>
      <c r="DS841" s="1903"/>
      <c r="DT841" s="1903"/>
      <c r="DU841" s="1903"/>
      <c r="DV841" s="1903"/>
      <c r="DW841" s="1903"/>
      <c r="DX841" s="1903"/>
      <c r="DY841" s="1903"/>
      <c r="DZ841" s="1903"/>
      <c r="EA841" s="1903"/>
      <c r="EB841" s="1903"/>
      <c r="EC841" s="1903"/>
      <c r="ED841" s="1903"/>
      <c r="EE841" s="1903"/>
      <c r="EF841" s="1903"/>
      <c r="EG841" s="1903"/>
      <c r="EH841" s="1903"/>
      <c r="EI841" s="1903"/>
      <c r="EJ841" s="1903"/>
      <c r="EK841" s="1903"/>
      <c r="EL841" s="1903"/>
      <c r="EM841" s="1903"/>
      <c r="EN841" s="1903"/>
      <c r="EO841" s="1903"/>
      <c r="EP841" s="1903"/>
      <c r="EQ841" s="1903"/>
      <c r="ER841" s="1903"/>
      <c r="ES841" s="1903"/>
      <c r="ET841" s="1903"/>
      <c r="EU841" s="1903"/>
      <c r="EV841" s="1903"/>
      <c r="EW841" s="1903"/>
      <c r="EX841" s="1903"/>
      <c r="EY841" s="1903"/>
      <c r="EZ841" s="1903"/>
      <c r="FA841" s="1903"/>
      <c r="FB841" s="1903"/>
      <c r="FC841" s="1903"/>
      <c r="FD841" s="1903"/>
      <c r="FE841" s="1903"/>
      <c r="FF841" s="1903"/>
      <c r="FG841" s="1903"/>
      <c r="FH841" s="1903"/>
      <c r="FI841" s="1903"/>
      <c r="FJ841" s="1903"/>
      <c r="FK841" s="1903"/>
      <c r="FL841" s="1903"/>
      <c r="FM841" s="1903"/>
      <c r="FN841" s="1903"/>
      <c r="FO841" s="1903"/>
      <c r="FP841" s="1903"/>
      <c r="FQ841" s="1903"/>
      <c r="FR841" s="1903"/>
      <c r="FS841" s="1903"/>
      <c r="FT841" s="1903"/>
      <c r="FU841" s="1903"/>
      <c r="FV841" s="1903"/>
      <c r="FW841" s="1903"/>
      <c r="FX841" s="1903"/>
      <c r="FY841" s="1903"/>
      <c r="FZ841" s="1903"/>
      <c r="GA841" s="1903"/>
      <c r="GB841" s="1903"/>
      <c r="GC841" s="1903"/>
      <c r="GD841" s="1903"/>
      <c r="GE841" s="1903"/>
      <c r="GF841" s="1903"/>
      <c r="GG841" s="1903"/>
      <c r="GH841" s="1903"/>
      <c r="GI841" s="1903"/>
      <c r="GJ841" s="1903"/>
      <c r="GK841" s="1903"/>
      <c r="GL841" s="1903"/>
      <c r="GM841" s="1903"/>
      <c r="GN841" s="1903"/>
      <c r="GO841" s="1903"/>
      <c r="GP841" s="1903"/>
      <c r="GQ841" s="1903"/>
      <c r="GR841" s="1903"/>
      <c r="GS841" s="1903"/>
      <c r="GT841" s="1903"/>
      <c r="GU841" s="1903"/>
      <c r="GV841" s="1903"/>
      <c r="GW841" s="1903"/>
      <c r="GX841" s="1903"/>
      <c r="GY841" s="1903"/>
      <c r="GZ841" s="1903"/>
      <c r="HA841" s="1903"/>
      <c r="HB841" s="1903"/>
      <c r="HC841" s="1903"/>
      <c r="HD841" s="1903"/>
      <c r="HE841" s="1903"/>
      <c r="HF841" s="1903"/>
      <c r="HG841" s="1903"/>
      <c r="HH841" s="1903"/>
      <c r="HI841" s="1903"/>
      <c r="HJ841" s="1903"/>
      <c r="HK841" s="1903"/>
      <c r="HL841" s="1903"/>
      <c r="HM841" s="1903"/>
      <c r="HN841" s="1903"/>
      <c r="HO841" s="1903"/>
      <c r="HP841" s="1903"/>
      <c r="HQ841" s="1903"/>
      <c r="HR841" s="1903"/>
      <c r="HS841" s="1903"/>
      <c r="HT841" s="1903"/>
      <c r="HU841" s="1903"/>
      <c r="HV841" s="1903"/>
      <c r="HW841" s="1903"/>
      <c r="HX841" s="1903"/>
      <c r="HY841" s="1903"/>
      <c r="HZ841" s="1903"/>
      <c r="IA841" s="1903"/>
      <c r="IB841" s="1903"/>
      <c r="IC841" s="1903"/>
      <c r="ID841" s="1903"/>
      <c r="IE841" s="1903"/>
      <c r="IF841" s="1903"/>
      <c r="IG841" s="1903"/>
      <c r="IH841" s="1903"/>
      <c r="II841" s="1903"/>
      <c r="IJ841" s="1903"/>
      <c r="IK841" s="1903"/>
      <c r="IL841" s="1903"/>
      <c r="IM841" s="1903"/>
      <c r="IN841" s="1903"/>
      <c r="IO841" s="1903"/>
      <c r="IP841" s="1903"/>
      <c r="IQ841" s="1903"/>
      <c r="IR841" s="1903"/>
      <c r="IS841" s="1903"/>
      <c r="IT841" s="1903"/>
      <c r="IU841" s="1903"/>
      <c r="IV841" s="1903"/>
    </row>
    <row r="842" spans="1:256" ht="15" customHeight="1">
      <c r="A842" s="2169" t="str">
        <f>+'LINEAS IMPULSIÓN-CONDUCCIÓN'!A199</f>
        <v>3.7.1</v>
      </c>
      <c r="B842" s="3625" t="s">
        <v>6508</v>
      </c>
      <c r="C842" s="3625"/>
      <c r="D842" s="3625"/>
      <c r="E842" s="3625"/>
      <c r="F842" s="3625"/>
      <c r="G842" s="3625"/>
      <c r="H842" s="3625"/>
      <c r="I842" s="3625"/>
      <c r="J842" s="1260"/>
    </row>
    <row r="843" spans="1:256" ht="15" customHeight="1">
      <c r="A843" s="1261"/>
      <c r="B843" s="184"/>
      <c r="C843" s="1264" t="s">
        <v>140</v>
      </c>
      <c r="D843" s="1229" t="s">
        <v>343</v>
      </c>
      <c r="E843" s="1229" t="s">
        <v>344</v>
      </c>
      <c r="F843" s="1229" t="s">
        <v>482</v>
      </c>
      <c r="G843" s="1229" t="s">
        <v>483</v>
      </c>
      <c r="H843" s="1229" t="s">
        <v>232</v>
      </c>
      <c r="I843" s="1229" t="s">
        <v>171</v>
      </c>
      <c r="J843" s="1260"/>
    </row>
    <row r="844" spans="1:256" ht="15" customHeight="1">
      <c r="A844" s="954" t="s">
        <v>286</v>
      </c>
      <c r="B844" s="231" t="s">
        <v>6507</v>
      </c>
      <c r="C844" s="1264">
        <v>1</v>
      </c>
      <c r="D844" s="1229" t="s">
        <v>94</v>
      </c>
      <c r="E844" s="1255">
        <f>+'BASE 2'!D170</f>
        <v>68100.12999999999</v>
      </c>
      <c r="F844" s="2683"/>
      <c r="G844" s="2683">
        <f>+E844*C844</f>
        <v>68100.12999999999</v>
      </c>
      <c r="H844" s="2683"/>
      <c r="I844" s="2683"/>
      <c r="J844" s="1260"/>
    </row>
    <row r="845" spans="1:256" ht="15" customHeight="1">
      <c r="A845" s="1261" t="s">
        <v>584</v>
      </c>
      <c r="B845" s="1275" t="s">
        <v>134</v>
      </c>
      <c r="C845" s="183">
        <f>1/200</f>
        <v>5.0000000000000001E-3</v>
      </c>
      <c r="D845" s="401" t="s">
        <v>476</v>
      </c>
      <c r="E845" s="1276">
        <f>+VIAJE</f>
        <v>1200000</v>
      </c>
      <c r="F845" s="2683"/>
      <c r="G845" s="2683"/>
      <c r="H845" s="2683"/>
      <c r="I845" s="2683">
        <f>+E845*C845</f>
        <v>6000</v>
      </c>
      <c r="J845" s="1260"/>
    </row>
    <row r="846" spans="1:256" ht="15" customHeight="1">
      <c r="A846" s="1265" t="s">
        <v>190</v>
      </c>
      <c r="B846" s="1266">
        <f>ROUND(SUM(F846:I846),0)</f>
        <v>74100</v>
      </c>
      <c r="C846" s="1264"/>
      <c r="D846" s="1229"/>
      <c r="E846" s="2683"/>
      <c r="F846" s="2683">
        <f>+SUM(F844:F845)</f>
        <v>0</v>
      </c>
      <c r="G846" s="2683">
        <f>+SUM(G844:G845)</f>
        <v>68100.12999999999</v>
      </c>
      <c r="H846" s="2683">
        <f>+SUM(H844:H845)</f>
        <v>0</v>
      </c>
      <c r="I846" s="2683">
        <f>+SUM(I844:I845)</f>
        <v>6000</v>
      </c>
      <c r="J846" s="1260"/>
    </row>
    <row r="847" spans="1:256" ht="15" customHeight="1">
      <c r="A847" s="1265" t="s">
        <v>191</v>
      </c>
      <c r="B847" s="1414">
        <f>+B846</f>
        <v>74100</v>
      </c>
      <c r="C847" s="1901" t="s">
        <v>94</v>
      </c>
      <c r="D847" s="873"/>
      <c r="E847" s="873"/>
      <c r="F847" s="873"/>
      <c r="G847" s="873"/>
      <c r="H847" s="873"/>
      <c r="I847" s="873"/>
      <c r="J847" s="1260"/>
    </row>
    <row r="848" spans="1:256" s="2722" customFormat="1" ht="15" customHeight="1">
      <c r="A848" s="2325"/>
      <c r="B848" s="2325"/>
      <c r="C848" s="2325"/>
      <c r="D848" s="2325"/>
      <c r="E848" s="2325"/>
      <c r="F848" s="2325"/>
      <c r="G848" s="2325"/>
      <c r="H848" s="2325"/>
      <c r="I848" s="2325"/>
    </row>
    <row r="849" spans="1:256" ht="15" customHeight="1">
      <c r="A849" s="449" t="str">
        <f>+'LINEAS IMPULSIÓN-CONDUCCIÓN'!A179</f>
        <v>3.6.2</v>
      </c>
      <c r="B849" s="3562" t="s">
        <v>1288</v>
      </c>
      <c r="C849" s="3562"/>
      <c r="D849" s="3562"/>
      <c r="E849" s="3562"/>
      <c r="F849" s="3562"/>
      <c r="G849" s="3562"/>
      <c r="H849" s="3562"/>
      <c r="I849" s="3562"/>
      <c r="J849" s="1260"/>
    </row>
    <row r="850" spans="1:256" ht="15" customHeight="1">
      <c r="A850" s="1261"/>
      <c r="B850" s="184"/>
      <c r="C850" s="1900" t="s">
        <v>140</v>
      </c>
      <c r="D850" s="1229" t="s">
        <v>343</v>
      </c>
      <c r="E850" s="1229" t="s">
        <v>344</v>
      </c>
      <c r="F850" s="1229" t="s">
        <v>482</v>
      </c>
      <c r="G850" s="1229" t="s">
        <v>483</v>
      </c>
      <c r="H850" s="1229" t="s">
        <v>232</v>
      </c>
      <c r="I850" s="1229" t="s">
        <v>171</v>
      </c>
      <c r="J850" s="1260"/>
    </row>
    <row r="851" spans="1:256" ht="15" customHeight="1">
      <c r="A851" s="954" t="s">
        <v>382</v>
      </c>
      <c r="B851" s="184" t="s">
        <v>1287</v>
      </c>
      <c r="C851" s="687">
        <v>0.04</v>
      </c>
      <c r="D851" s="401" t="s">
        <v>426</v>
      </c>
      <c r="E851" s="2683">
        <f>+ESTOP</f>
        <v>4080</v>
      </c>
      <c r="F851" s="2683"/>
      <c r="G851" s="2683"/>
      <c r="H851" s="2683"/>
      <c r="I851" s="2683">
        <f>+E851*C851</f>
        <v>163.20000000000002</v>
      </c>
      <c r="J851" s="507"/>
    </row>
    <row r="852" spans="1:256" ht="15" customHeight="1">
      <c r="A852" s="1261" t="s">
        <v>345</v>
      </c>
      <c r="B852" s="184" t="s">
        <v>965</v>
      </c>
      <c r="C852" s="1299">
        <f>1/48</f>
        <v>2.0833333333333332E-2</v>
      </c>
      <c r="D852" s="1229" t="s">
        <v>346</v>
      </c>
      <c r="E852" s="2683">
        <f>+OFICI</f>
        <v>80479.625344</v>
      </c>
      <c r="F852" s="2683"/>
      <c r="G852" s="2683"/>
      <c r="H852" s="2683">
        <f>+E852*C852</f>
        <v>1676.6588613333333</v>
      </c>
      <c r="I852" s="2683"/>
      <c r="J852" s="159"/>
      <c r="L852" s="402">
        <f>1/C852</f>
        <v>48</v>
      </c>
    </row>
    <row r="853" spans="1:256" ht="15" customHeight="1">
      <c r="A853" s="1261" t="s">
        <v>347</v>
      </c>
      <c r="B853" s="184" t="s">
        <v>266</v>
      </c>
      <c r="C853" s="1299">
        <f>+C852</f>
        <v>2.0833333333333332E-2</v>
      </c>
      <c r="D853" s="1229" t="s">
        <v>346</v>
      </c>
      <c r="E853" s="2683">
        <f>+AYUDA</f>
        <v>65389.695592000004</v>
      </c>
      <c r="F853" s="2683"/>
      <c r="G853" s="2683"/>
      <c r="H853" s="2683">
        <f>+E853*C853</f>
        <v>1362.2853248333333</v>
      </c>
      <c r="I853" s="2683"/>
      <c r="J853" s="1260"/>
    </row>
    <row r="854" spans="1:256" ht="15" customHeight="1">
      <c r="A854" s="1261" t="s">
        <v>172</v>
      </c>
      <c r="B854" s="184" t="s">
        <v>189</v>
      </c>
      <c r="C854" s="687">
        <v>1</v>
      </c>
      <c r="D854" s="1229" t="s">
        <v>583</v>
      </c>
      <c r="E854" s="2683">
        <f>+H855*0.05</f>
        <v>151.94720930833333</v>
      </c>
      <c r="F854" s="2683"/>
      <c r="G854" s="2683"/>
      <c r="H854" s="2683"/>
      <c r="I854" s="2683">
        <f>+E854*C854</f>
        <v>151.94720930833333</v>
      </c>
      <c r="J854" s="1260"/>
    </row>
    <row r="855" spans="1:256" ht="15" customHeight="1">
      <c r="A855" s="1265" t="s">
        <v>190</v>
      </c>
      <c r="B855" s="1266">
        <f>ROUND(SUM(F855:I855),0)</f>
        <v>3354</v>
      </c>
      <c r="C855" s="1264"/>
      <c r="D855" s="1229"/>
      <c r="E855" s="2683"/>
      <c r="F855" s="2683">
        <f>+SUM(F851:F854)</f>
        <v>0</v>
      </c>
      <c r="G855" s="2683">
        <f>+SUM(G851:G854)</f>
        <v>0</v>
      </c>
      <c r="H855" s="2683">
        <f>+SUM(H851:H854)</f>
        <v>3038.9441861666664</v>
      </c>
      <c r="I855" s="2683">
        <f>+SUM(I851:I854)</f>
        <v>315.14720930833334</v>
      </c>
      <c r="J855" s="1260"/>
    </row>
    <row r="856" spans="1:256" ht="15" customHeight="1">
      <c r="A856" s="1265" t="s">
        <v>191</v>
      </c>
      <c r="B856" s="1414">
        <f>+B855</f>
        <v>3354</v>
      </c>
      <c r="C856" s="1901" t="s">
        <v>94</v>
      </c>
      <c r="D856" s="873"/>
      <c r="E856" s="873"/>
      <c r="F856" s="873"/>
      <c r="G856" s="873"/>
      <c r="H856" s="873"/>
      <c r="I856" s="873"/>
      <c r="J856" s="1260"/>
    </row>
    <row r="857" spans="1:256" s="2659" customFormat="1" ht="15" customHeight="1">
      <c r="A857" s="1902"/>
      <c r="B857" s="1903"/>
      <c r="C857" s="1903"/>
      <c r="D857" s="1903"/>
      <c r="E857" s="1903"/>
      <c r="F857" s="1903"/>
      <c r="G857" s="1903"/>
      <c r="H857" s="1903"/>
      <c r="I857" s="1903"/>
      <c r="J857" s="1903"/>
      <c r="K857" s="1903"/>
      <c r="L857" s="1903"/>
      <c r="M857" s="1903"/>
      <c r="N857" s="1903"/>
      <c r="O857" s="1903"/>
      <c r="P857" s="1903"/>
      <c r="Q857" s="1903"/>
      <c r="R857" s="1903"/>
      <c r="S857" s="1903"/>
      <c r="T857" s="1903"/>
      <c r="U857" s="1903"/>
      <c r="V857" s="1903"/>
      <c r="W857" s="1903"/>
      <c r="X857" s="1903"/>
      <c r="Y857" s="1903"/>
      <c r="Z857" s="1903"/>
      <c r="AA857" s="1903"/>
      <c r="AB857" s="1903"/>
      <c r="AC857" s="1903"/>
      <c r="AD857" s="1903"/>
      <c r="AE857" s="1903"/>
      <c r="AF857" s="1903"/>
      <c r="AG857" s="1903"/>
      <c r="AH857" s="1903"/>
      <c r="AI857" s="1903"/>
      <c r="AJ857" s="1903"/>
      <c r="AK857" s="1903"/>
      <c r="AL857" s="1903"/>
      <c r="AM857" s="1903"/>
      <c r="AN857" s="1903"/>
      <c r="AO857" s="1903"/>
      <c r="AP857" s="1903"/>
      <c r="AQ857" s="1903"/>
      <c r="AR857" s="1903"/>
      <c r="AS857" s="1903"/>
      <c r="AT857" s="1903"/>
      <c r="AU857" s="1903"/>
      <c r="AV857" s="1903"/>
      <c r="AW857" s="1903"/>
      <c r="AX857" s="1903"/>
      <c r="AY857" s="1903"/>
      <c r="AZ857" s="1903"/>
      <c r="BA857" s="1903"/>
      <c r="BB857" s="1903"/>
      <c r="BC857" s="1903"/>
      <c r="BD857" s="1903"/>
      <c r="BE857" s="1903"/>
      <c r="BF857" s="1903"/>
      <c r="BG857" s="1903"/>
      <c r="BH857" s="1903"/>
      <c r="BI857" s="1903"/>
      <c r="BJ857" s="1903"/>
      <c r="BK857" s="1903"/>
      <c r="BL857" s="1903"/>
      <c r="BM857" s="1903"/>
      <c r="BN857" s="1903"/>
      <c r="BO857" s="1903"/>
      <c r="BP857" s="1903"/>
      <c r="BQ857" s="1903"/>
      <c r="BR857" s="1903"/>
      <c r="BS857" s="1903"/>
      <c r="BT857" s="1903"/>
      <c r="BU857" s="1903"/>
      <c r="BV857" s="1903"/>
      <c r="BW857" s="1903"/>
      <c r="BX857" s="1903"/>
      <c r="BY857" s="1903"/>
      <c r="BZ857" s="1903"/>
      <c r="CA857" s="1903"/>
      <c r="CB857" s="1903"/>
      <c r="CC857" s="1903"/>
      <c r="CD857" s="1903"/>
      <c r="CE857" s="1903"/>
      <c r="CF857" s="1903"/>
      <c r="CG857" s="1903"/>
      <c r="CH857" s="1903"/>
      <c r="CI857" s="1903"/>
      <c r="CJ857" s="1903"/>
      <c r="CK857" s="1903"/>
      <c r="CL857" s="1903"/>
      <c r="CM857" s="1903"/>
      <c r="CN857" s="1903"/>
      <c r="CO857" s="1903"/>
      <c r="CP857" s="1903"/>
      <c r="CQ857" s="1903"/>
      <c r="CR857" s="1903"/>
      <c r="CS857" s="1903"/>
      <c r="CT857" s="1903"/>
      <c r="CU857" s="1903"/>
      <c r="CV857" s="1903"/>
      <c r="CW857" s="1903"/>
      <c r="CX857" s="1903"/>
      <c r="CY857" s="1903"/>
      <c r="CZ857" s="1903"/>
      <c r="DA857" s="1903"/>
      <c r="DB857" s="1903"/>
      <c r="DC857" s="1903"/>
      <c r="DD857" s="1903"/>
      <c r="DE857" s="1903"/>
      <c r="DF857" s="1903"/>
      <c r="DG857" s="1903"/>
      <c r="DH857" s="1903"/>
      <c r="DI857" s="1903"/>
      <c r="DJ857" s="1903"/>
      <c r="DK857" s="1903"/>
      <c r="DL857" s="1903"/>
      <c r="DM857" s="1903"/>
      <c r="DN857" s="1903"/>
      <c r="DO857" s="1903"/>
      <c r="DP857" s="1903"/>
      <c r="DQ857" s="1903"/>
      <c r="DR857" s="1903"/>
      <c r="DS857" s="1903"/>
      <c r="DT857" s="1903"/>
      <c r="DU857" s="1903"/>
      <c r="DV857" s="1903"/>
      <c r="DW857" s="1903"/>
      <c r="DX857" s="1903"/>
      <c r="DY857" s="1903"/>
      <c r="DZ857" s="1903"/>
      <c r="EA857" s="1903"/>
      <c r="EB857" s="1903"/>
      <c r="EC857" s="1903"/>
      <c r="ED857" s="1903"/>
      <c r="EE857" s="1903"/>
      <c r="EF857" s="1903"/>
      <c r="EG857" s="1903"/>
      <c r="EH857" s="1903"/>
      <c r="EI857" s="1903"/>
      <c r="EJ857" s="1903"/>
      <c r="EK857" s="1903"/>
      <c r="EL857" s="1903"/>
      <c r="EM857" s="1903"/>
      <c r="EN857" s="1903"/>
      <c r="EO857" s="1903"/>
      <c r="EP857" s="1903"/>
      <c r="EQ857" s="1903"/>
      <c r="ER857" s="1903"/>
      <c r="ES857" s="1903"/>
      <c r="ET857" s="1903"/>
      <c r="EU857" s="1903"/>
      <c r="EV857" s="1903"/>
      <c r="EW857" s="1903"/>
      <c r="EX857" s="1903"/>
      <c r="EY857" s="1903"/>
      <c r="EZ857" s="1903"/>
      <c r="FA857" s="1903"/>
      <c r="FB857" s="1903"/>
      <c r="FC857" s="1903"/>
      <c r="FD857" s="1903"/>
      <c r="FE857" s="1903"/>
      <c r="FF857" s="1903"/>
      <c r="FG857" s="1903"/>
      <c r="FH857" s="1903"/>
      <c r="FI857" s="1903"/>
      <c r="FJ857" s="1903"/>
      <c r="FK857" s="1903"/>
      <c r="FL857" s="1903"/>
      <c r="FM857" s="1903"/>
      <c r="FN857" s="1903"/>
      <c r="FO857" s="1903"/>
      <c r="FP857" s="1903"/>
      <c r="FQ857" s="1903"/>
      <c r="FR857" s="1903"/>
      <c r="FS857" s="1903"/>
      <c r="FT857" s="1903"/>
      <c r="FU857" s="1903"/>
      <c r="FV857" s="1903"/>
      <c r="FW857" s="1903"/>
      <c r="FX857" s="1903"/>
      <c r="FY857" s="1903"/>
      <c r="FZ857" s="1903"/>
      <c r="GA857" s="1903"/>
      <c r="GB857" s="1903"/>
      <c r="GC857" s="1903"/>
      <c r="GD857" s="1903"/>
      <c r="GE857" s="1903"/>
      <c r="GF857" s="1903"/>
      <c r="GG857" s="1903"/>
      <c r="GH857" s="1903"/>
      <c r="GI857" s="1903"/>
      <c r="GJ857" s="1903"/>
      <c r="GK857" s="1903"/>
      <c r="GL857" s="1903"/>
      <c r="GM857" s="1903"/>
      <c r="GN857" s="1903"/>
      <c r="GO857" s="1903"/>
      <c r="GP857" s="1903"/>
      <c r="GQ857" s="1903"/>
      <c r="GR857" s="1903"/>
      <c r="GS857" s="1903"/>
      <c r="GT857" s="1903"/>
      <c r="GU857" s="1903"/>
      <c r="GV857" s="1903"/>
      <c r="GW857" s="1903"/>
      <c r="GX857" s="1903"/>
      <c r="GY857" s="1903"/>
      <c r="GZ857" s="1903"/>
      <c r="HA857" s="1903"/>
      <c r="HB857" s="1903"/>
      <c r="HC857" s="1903"/>
      <c r="HD857" s="1903"/>
      <c r="HE857" s="1903"/>
      <c r="HF857" s="1903"/>
      <c r="HG857" s="1903"/>
      <c r="HH857" s="1903"/>
      <c r="HI857" s="1903"/>
      <c r="HJ857" s="1903"/>
      <c r="HK857" s="1903"/>
      <c r="HL857" s="1903"/>
      <c r="HM857" s="1903"/>
      <c r="HN857" s="1903"/>
      <c r="HO857" s="1903"/>
      <c r="HP857" s="1903"/>
      <c r="HQ857" s="1903"/>
      <c r="HR857" s="1903"/>
      <c r="HS857" s="1903"/>
      <c r="HT857" s="1903"/>
      <c r="HU857" s="1903"/>
      <c r="HV857" s="1903"/>
      <c r="HW857" s="1903"/>
      <c r="HX857" s="1903"/>
      <c r="HY857" s="1903"/>
      <c r="HZ857" s="1903"/>
      <c r="IA857" s="1903"/>
      <c r="IB857" s="1903"/>
      <c r="IC857" s="1903"/>
      <c r="ID857" s="1903"/>
      <c r="IE857" s="1903"/>
      <c r="IF857" s="1903"/>
      <c r="IG857" s="1903"/>
      <c r="IH857" s="1903"/>
      <c r="II857" s="1903"/>
      <c r="IJ857" s="1903"/>
      <c r="IK857" s="1903"/>
      <c r="IL857" s="1903"/>
      <c r="IM857" s="1903"/>
      <c r="IN857" s="1903"/>
      <c r="IO857" s="1903"/>
      <c r="IP857" s="1903"/>
      <c r="IQ857" s="1903"/>
      <c r="IR857" s="1903"/>
      <c r="IS857" s="1903"/>
      <c r="IT857" s="1903"/>
      <c r="IU857" s="1903"/>
      <c r="IV857" s="1903"/>
    </row>
    <row r="858" spans="1:256" ht="15" customHeight="1">
      <c r="A858" s="2169" t="str">
        <f>+'LINEAS IMPULSIÓN-CONDUCCIÓN'!A200</f>
        <v>3.7.2</v>
      </c>
      <c r="B858" s="3676" t="s">
        <v>1289</v>
      </c>
      <c r="C858" s="3676"/>
      <c r="D858" s="3676"/>
      <c r="E858" s="3676"/>
      <c r="F858" s="3676"/>
      <c r="G858" s="3676"/>
      <c r="H858" s="3676"/>
      <c r="I858" s="3676"/>
      <c r="J858" s="1260"/>
    </row>
    <row r="859" spans="1:256" ht="15" customHeight="1">
      <c r="A859" s="1261"/>
      <c r="B859" s="184"/>
      <c r="C859" s="1264" t="s">
        <v>140</v>
      </c>
      <c r="D859" s="1229" t="s">
        <v>343</v>
      </c>
      <c r="E859" s="1229" t="s">
        <v>344</v>
      </c>
      <c r="F859" s="1229" t="s">
        <v>482</v>
      </c>
      <c r="G859" s="1229" t="s">
        <v>483</v>
      </c>
      <c r="H859" s="1229" t="s">
        <v>232</v>
      </c>
      <c r="I859" s="1229" t="s">
        <v>171</v>
      </c>
      <c r="J859" s="1260"/>
    </row>
    <row r="860" spans="1:256" ht="15" customHeight="1">
      <c r="A860" s="954" t="s">
        <v>120</v>
      </c>
      <c r="B860" s="231" t="s">
        <v>1264</v>
      </c>
      <c r="C860" s="1264">
        <v>1</v>
      </c>
      <c r="D860" s="1229" t="s">
        <v>94</v>
      </c>
      <c r="E860" s="2683">
        <f>+'BASE 2'!D165</f>
        <v>112860.75</v>
      </c>
      <c r="F860" s="2683"/>
      <c r="G860" s="2683">
        <f>+E860*C860</f>
        <v>112860.75</v>
      </c>
      <c r="H860" s="2683"/>
      <c r="I860" s="2683"/>
      <c r="J860" s="1260"/>
      <c r="L860" s="402">
        <f>752405/6</f>
        <v>125400.83333333333</v>
      </c>
    </row>
    <row r="861" spans="1:256" ht="15" customHeight="1">
      <c r="A861" s="1261" t="s">
        <v>584</v>
      </c>
      <c r="B861" s="1275" t="s">
        <v>134</v>
      </c>
      <c r="C861" s="183">
        <v>0</v>
      </c>
      <c r="D861" s="401" t="s">
        <v>476</v>
      </c>
      <c r="E861" s="1276">
        <f>+VIAJE</f>
        <v>1200000</v>
      </c>
      <c r="F861" s="2683"/>
      <c r="G861" s="2683"/>
      <c r="H861" s="2683"/>
      <c r="I861" s="2683">
        <f>+E861*C861</f>
        <v>0</v>
      </c>
      <c r="J861" s="1260"/>
    </row>
    <row r="862" spans="1:256" ht="15" customHeight="1">
      <c r="A862" s="1265" t="s">
        <v>190</v>
      </c>
      <c r="B862" s="1266">
        <f>ROUND(SUM(F862:I862),0)</f>
        <v>112861</v>
      </c>
      <c r="C862" s="1264"/>
      <c r="D862" s="1229"/>
      <c r="E862" s="2683"/>
      <c r="F862" s="2683">
        <f>+SUM(F860:F861)</f>
        <v>0</v>
      </c>
      <c r="G862" s="2683">
        <f>+SUM(G860:G861)</f>
        <v>112860.75</v>
      </c>
      <c r="H862" s="2683">
        <f>+SUM(H860:H861)</f>
        <v>0</v>
      </c>
      <c r="I862" s="2683">
        <f>+SUM(I860:I861)</f>
        <v>0</v>
      </c>
      <c r="J862" s="1260"/>
    </row>
    <row r="863" spans="1:256" ht="15" customHeight="1">
      <c r="A863" s="1265" t="s">
        <v>191</v>
      </c>
      <c r="B863" s="1414">
        <f>+B862</f>
        <v>112861</v>
      </c>
      <c r="C863" s="1901" t="s">
        <v>94</v>
      </c>
      <c r="D863" s="873"/>
      <c r="E863" s="873"/>
      <c r="F863" s="873"/>
      <c r="G863" s="873"/>
      <c r="H863" s="873"/>
      <c r="I863" s="873"/>
      <c r="J863" s="1260"/>
    </row>
    <row r="864" spans="1:256" s="2722" customFormat="1" ht="15" customHeight="1">
      <c r="A864" s="2325"/>
      <c r="B864" s="2325"/>
      <c r="C864" s="2325"/>
      <c r="D864" s="2325"/>
      <c r="E864" s="2325"/>
      <c r="F864" s="2325"/>
      <c r="G864" s="2325"/>
      <c r="H864" s="2325"/>
      <c r="I864" s="2325"/>
    </row>
    <row r="865" spans="1:256" ht="15" customHeight="1">
      <c r="A865" s="449" t="str">
        <f>+'LINEAS IMPULSIÓN-CONDUCCIÓN'!A180</f>
        <v>3.6.3</v>
      </c>
      <c r="B865" s="3562" t="s">
        <v>1290</v>
      </c>
      <c r="C865" s="3562"/>
      <c r="D865" s="3562"/>
      <c r="E865" s="3562"/>
      <c r="F865" s="3562"/>
      <c r="G865" s="3562"/>
      <c r="H865" s="3562"/>
      <c r="I865" s="3562"/>
      <c r="J865" s="1260"/>
    </row>
    <row r="866" spans="1:256" ht="15" customHeight="1">
      <c r="A866" s="1261"/>
      <c r="B866" s="184"/>
      <c r="C866" s="1900" t="s">
        <v>140</v>
      </c>
      <c r="D866" s="1229" t="s">
        <v>343</v>
      </c>
      <c r="E866" s="1229" t="s">
        <v>344</v>
      </c>
      <c r="F866" s="1229" t="s">
        <v>482</v>
      </c>
      <c r="G866" s="1229" t="s">
        <v>483</v>
      </c>
      <c r="H866" s="1229" t="s">
        <v>232</v>
      </c>
      <c r="I866" s="1229" t="s">
        <v>171</v>
      </c>
      <c r="J866" s="1260"/>
    </row>
    <row r="867" spans="1:256" ht="15" customHeight="1">
      <c r="A867" s="954" t="s">
        <v>382</v>
      </c>
      <c r="B867" s="184" t="s">
        <v>1287</v>
      </c>
      <c r="C867" s="687">
        <v>0.04</v>
      </c>
      <c r="D867" s="401" t="s">
        <v>426</v>
      </c>
      <c r="E867" s="2683">
        <f>+ESTOP</f>
        <v>4080</v>
      </c>
      <c r="F867" s="2683"/>
      <c r="G867" s="2683"/>
      <c r="H867" s="2683"/>
      <c r="I867" s="2683">
        <f>+E867*C867</f>
        <v>163.20000000000002</v>
      </c>
      <c r="J867" s="507"/>
    </row>
    <row r="868" spans="1:256" ht="15" customHeight="1">
      <c r="A868" s="1261" t="s">
        <v>345</v>
      </c>
      <c r="B868" s="184" t="s">
        <v>965</v>
      </c>
      <c r="C868" s="1299">
        <f>1/48</f>
        <v>2.0833333333333332E-2</v>
      </c>
      <c r="D868" s="1229" t="s">
        <v>346</v>
      </c>
      <c r="E868" s="2683">
        <f>+OFICI</f>
        <v>80479.625344</v>
      </c>
      <c r="F868" s="2683"/>
      <c r="G868" s="2683"/>
      <c r="H868" s="2683">
        <f>+E868*C868</f>
        <v>1676.6588613333333</v>
      </c>
      <c r="I868" s="2683"/>
      <c r="J868" s="159"/>
    </row>
    <row r="869" spans="1:256" ht="15" customHeight="1">
      <c r="A869" s="1261" t="s">
        <v>347</v>
      </c>
      <c r="B869" s="184" t="s">
        <v>266</v>
      </c>
      <c r="C869" s="1299">
        <f>+C868</f>
        <v>2.0833333333333332E-2</v>
      </c>
      <c r="D869" s="1229" t="s">
        <v>346</v>
      </c>
      <c r="E869" s="2683">
        <f>+AYUDA</f>
        <v>65389.695592000004</v>
      </c>
      <c r="F869" s="2683"/>
      <c r="G869" s="2683"/>
      <c r="H869" s="2683">
        <f>+E869*C869</f>
        <v>1362.2853248333333</v>
      </c>
      <c r="I869" s="2683"/>
      <c r="J869" s="1260"/>
    </row>
    <row r="870" spans="1:256" ht="15" customHeight="1">
      <c r="A870" s="1261" t="s">
        <v>172</v>
      </c>
      <c r="B870" s="184" t="s">
        <v>189</v>
      </c>
      <c r="C870" s="687">
        <v>1</v>
      </c>
      <c r="D870" s="1229" t="s">
        <v>583</v>
      </c>
      <c r="E870" s="2683">
        <f>+H871*0.05</f>
        <v>151.94720930833333</v>
      </c>
      <c r="F870" s="2683"/>
      <c r="G870" s="2683"/>
      <c r="H870" s="2683"/>
      <c r="I870" s="2683">
        <f>+E870*C870</f>
        <v>151.94720930833333</v>
      </c>
      <c r="J870" s="1260"/>
    </row>
    <row r="871" spans="1:256" ht="15" customHeight="1">
      <c r="A871" s="1265" t="s">
        <v>190</v>
      </c>
      <c r="B871" s="1266">
        <f>ROUND(SUM(F871:I871),0)</f>
        <v>3354</v>
      </c>
      <c r="C871" s="1264"/>
      <c r="D871" s="1229"/>
      <c r="E871" s="2683"/>
      <c r="F871" s="2683">
        <f>+SUM(F867:F870)</f>
        <v>0</v>
      </c>
      <c r="G871" s="2683">
        <f>+SUM(G867:G870)</f>
        <v>0</v>
      </c>
      <c r="H871" s="2683">
        <f>+SUM(H867:H870)</f>
        <v>3038.9441861666664</v>
      </c>
      <c r="I871" s="2683">
        <f>+SUM(I867:I870)</f>
        <v>315.14720930833334</v>
      </c>
      <c r="J871" s="1260"/>
    </row>
    <row r="872" spans="1:256" ht="15" customHeight="1">
      <c r="A872" s="1265" t="s">
        <v>191</v>
      </c>
      <c r="B872" s="1414">
        <f>+B871</f>
        <v>3354</v>
      </c>
      <c r="C872" s="1901" t="s">
        <v>94</v>
      </c>
      <c r="D872" s="873"/>
      <c r="E872" s="873"/>
      <c r="F872" s="873"/>
      <c r="G872" s="873"/>
      <c r="H872" s="873"/>
      <c r="I872" s="873"/>
      <c r="J872" s="1260"/>
    </row>
    <row r="873" spans="1:256" s="2659" customFormat="1" ht="15" customHeight="1">
      <c r="A873" s="1902"/>
      <c r="B873" s="1903"/>
      <c r="C873" s="1903"/>
      <c r="D873" s="1903"/>
      <c r="E873" s="1903"/>
      <c r="F873" s="1903"/>
      <c r="G873" s="1903"/>
      <c r="H873" s="1903"/>
      <c r="I873" s="1903"/>
      <c r="J873" s="1903"/>
      <c r="K873" s="1903"/>
      <c r="L873" s="1903"/>
      <c r="M873" s="1903"/>
      <c r="N873" s="1903"/>
      <c r="O873" s="1903"/>
      <c r="P873" s="1903"/>
      <c r="Q873" s="1903"/>
      <c r="R873" s="1903"/>
      <c r="S873" s="1903"/>
      <c r="T873" s="1903"/>
      <c r="U873" s="1903"/>
      <c r="V873" s="1903"/>
      <c r="W873" s="1903"/>
      <c r="X873" s="1903"/>
      <c r="Y873" s="1903"/>
      <c r="Z873" s="1903"/>
      <c r="AA873" s="1903"/>
      <c r="AB873" s="1903"/>
      <c r="AC873" s="1903"/>
      <c r="AD873" s="1903"/>
      <c r="AE873" s="1903"/>
      <c r="AF873" s="1903"/>
      <c r="AG873" s="1903"/>
      <c r="AH873" s="1903"/>
      <c r="AI873" s="1903"/>
      <c r="AJ873" s="1903"/>
      <c r="AK873" s="1903"/>
      <c r="AL873" s="1903"/>
      <c r="AM873" s="1903"/>
      <c r="AN873" s="1903"/>
      <c r="AO873" s="1903"/>
      <c r="AP873" s="1903"/>
      <c r="AQ873" s="1903"/>
      <c r="AR873" s="1903"/>
      <c r="AS873" s="1903"/>
      <c r="AT873" s="1903"/>
      <c r="AU873" s="1903"/>
      <c r="AV873" s="1903"/>
      <c r="AW873" s="1903"/>
      <c r="AX873" s="1903"/>
      <c r="AY873" s="1903"/>
      <c r="AZ873" s="1903"/>
      <c r="BA873" s="1903"/>
      <c r="BB873" s="1903"/>
      <c r="BC873" s="1903"/>
      <c r="BD873" s="1903"/>
      <c r="BE873" s="1903"/>
      <c r="BF873" s="1903"/>
      <c r="BG873" s="1903"/>
      <c r="BH873" s="1903"/>
      <c r="BI873" s="1903"/>
      <c r="BJ873" s="1903"/>
      <c r="BK873" s="1903"/>
      <c r="BL873" s="1903"/>
      <c r="BM873" s="1903"/>
      <c r="BN873" s="1903"/>
      <c r="BO873" s="1903"/>
      <c r="BP873" s="1903"/>
      <c r="BQ873" s="1903"/>
      <c r="BR873" s="1903"/>
      <c r="BS873" s="1903"/>
      <c r="BT873" s="1903"/>
      <c r="BU873" s="1903"/>
      <c r="BV873" s="1903"/>
      <c r="BW873" s="1903"/>
      <c r="BX873" s="1903"/>
      <c r="BY873" s="1903"/>
      <c r="BZ873" s="1903"/>
      <c r="CA873" s="1903"/>
      <c r="CB873" s="1903"/>
      <c r="CC873" s="1903"/>
      <c r="CD873" s="1903"/>
      <c r="CE873" s="1903"/>
      <c r="CF873" s="1903"/>
      <c r="CG873" s="1903"/>
      <c r="CH873" s="1903"/>
      <c r="CI873" s="1903"/>
      <c r="CJ873" s="1903"/>
      <c r="CK873" s="1903"/>
      <c r="CL873" s="1903"/>
      <c r="CM873" s="1903"/>
      <c r="CN873" s="1903"/>
      <c r="CO873" s="1903"/>
      <c r="CP873" s="1903"/>
      <c r="CQ873" s="1903"/>
      <c r="CR873" s="1903"/>
      <c r="CS873" s="1903"/>
      <c r="CT873" s="1903"/>
      <c r="CU873" s="1903"/>
      <c r="CV873" s="1903"/>
      <c r="CW873" s="1903"/>
      <c r="CX873" s="1903"/>
      <c r="CY873" s="1903"/>
      <c r="CZ873" s="1903"/>
      <c r="DA873" s="1903"/>
      <c r="DB873" s="1903"/>
      <c r="DC873" s="1903"/>
      <c r="DD873" s="1903"/>
      <c r="DE873" s="1903"/>
      <c r="DF873" s="1903"/>
      <c r="DG873" s="1903"/>
      <c r="DH873" s="1903"/>
      <c r="DI873" s="1903"/>
      <c r="DJ873" s="1903"/>
      <c r="DK873" s="1903"/>
      <c r="DL873" s="1903"/>
      <c r="DM873" s="1903"/>
      <c r="DN873" s="1903"/>
      <c r="DO873" s="1903"/>
      <c r="DP873" s="1903"/>
      <c r="DQ873" s="1903"/>
      <c r="DR873" s="1903"/>
      <c r="DS873" s="1903"/>
      <c r="DT873" s="1903"/>
      <c r="DU873" s="1903"/>
      <c r="DV873" s="1903"/>
      <c r="DW873" s="1903"/>
      <c r="DX873" s="1903"/>
      <c r="DY873" s="1903"/>
      <c r="DZ873" s="1903"/>
      <c r="EA873" s="1903"/>
      <c r="EB873" s="1903"/>
      <c r="EC873" s="1903"/>
      <c r="ED873" s="1903"/>
      <c r="EE873" s="1903"/>
      <c r="EF873" s="1903"/>
      <c r="EG873" s="1903"/>
      <c r="EH873" s="1903"/>
      <c r="EI873" s="1903"/>
      <c r="EJ873" s="1903"/>
      <c r="EK873" s="1903"/>
      <c r="EL873" s="1903"/>
      <c r="EM873" s="1903"/>
      <c r="EN873" s="1903"/>
      <c r="EO873" s="1903"/>
      <c r="EP873" s="1903"/>
      <c r="EQ873" s="1903"/>
      <c r="ER873" s="1903"/>
      <c r="ES873" s="1903"/>
      <c r="ET873" s="1903"/>
      <c r="EU873" s="1903"/>
      <c r="EV873" s="1903"/>
      <c r="EW873" s="1903"/>
      <c r="EX873" s="1903"/>
      <c r="EY873" s="1903"/>
      <c r="EZ873" s="1903"/>
      <c r="FA873" s="1903"/>
      <c r="FB873" s="1903"/>
      <c r="FC873" s="1903"/>
      <c r="FD873" s="1903"/>
      <c r="FE873" s="1903"/>
      <c r="FF873" s="1903"/>
      <c r="FG873" s="1903"/>
      <c r="FH873" s="1903"/>
      <c r="FI873" s="1903"/>
      <c r="FJ873" s="1903"/>
      <c r="FK873" s="1903"/>
      <c r="FL873" s="1903"/>
      <c r="FM873" s="1903"/>
      <c r="FN873" s="1903"/>
      <c r="FO873" s="1903"/>
      <c r="FP873" s="1903"/>
      <c r="FQ873" s="1903"/>
      <c r="FR873" s="1903"/>
      <c r="FS873" s="1903"/>
      <c r="FT873" s="1903"/>
      <c r="FU873" s="1903"/>
      <c r="FV873" s="1903"/>
      <c r="FW873" s="1903"/>
      <c r="FX873" s="1903"/>
      <c r="FY873" s="1903"/>
      <c r="FZ873" s="1903"/>
      <c r="GA873" s="1903"/>
      <c r="GB873" s="1903"/>
      <c r="GC873" s="1903"/>
      <c r="GD873" s="1903"/>
      <c r="GE873" s="1903"/>
      <c r="GF873" s="1903"/>
      <c r="GG873" s="1903"/>
      <c r="GH873" s="1903"/>
      <c r="GI873" s="1903"/>
      <c r="GJ873" s="1903"/>
      <c r="GK873" s="1903"/>
      <c r="GL873" s="1903"/>
      <c r="GM873" s="1903"/>
      <c r="GN873" s="1903"/>
      <c r="GO873" s="1903"/>
      <c r="GP873" s="1903"/>
      <c r="GQ873" s="1903"/>
      <c r="GR873" s="1903"/>
      <c r="GS873" s="1903"/>
      <c r="GT873" s="1903"/>
      <c r="GU873" s="1903"/>
      <c r="GV873" s="1903"/>
      <c r="GW873" s="1903"/>
      <c r="GX873" s="1903"/>
      <c r="GY873" s="1903"/>
      <c r="GZ873" s="1903"/>
      <c r="HA873" s="1903"/>
      <c r="HB873" s="1903"/>
      <c r="HC873" s="1903"/>
      <c r="HD873" s="1903"/>
      <c r="HE873" s="1903"/>
      <c r="HF873" s="1903"/>
      <c r="HG873" s="1903"/>
      <c r="HH873" s="1903"/>
      <c r="HI873" s="1903"/>
      <c r="HJ873" s="1903"/>
      <c r="HK873" s="1903"/>
      <c r="HL873" s="1903"/>
      <c r="HM873" s="1903"/>
      <c r="HN873" s="1903"/>
      <c r="HO873" s="1903"/>
      <c r="HP873" s="1903"/>
      <c r="HQ873" s="1903"/>
      <c r="HR873" s="1903"/>
      <c r="HS873" s="1903"/>
      <c r="HT873" s="1903"/>
      <c r="HU873" s="1903"/>
      <c r="HV873" s="1903"/>
      <c r="HW873" s="1903"/>
      <c r="HX873" s="1903"/>
      <c r="HY873" s="1903"/>
      <c r="HZ873" s="1903"/>
      <c r="IA873" s="1903"/>
      <c r="IB873" s="1903"/>
      <c r="IC873" s="1903"/>
      <c r="ID873" s="1903"/>
      <c r="IE873" s="1903"/>
      <c r="IF873" s="1903"/>
      <c r="IG873" s="1903"/>
      <c r="IH873" s="1903"/>
      <c r="II873" s="1903"/>
      <c r="IJ873" s="1903"/>
      <c r="IK873" s="1903"/>
      <c r="IL873" s="1903"/>
      <c r="IM873" s="1903"/>
      <c r="IN873" s="1903"/>
      <c r="IO873" s="1903"/>
      <c r="IP873" s="1903"/>
      <c r="IQ873" s="1903"/>
      <c r="IR873" s="1903"/>
      <c r="IS873" s="1903"/>
      <c r="IT873" s="1903"/>
      <c r="IU873" s="1903"/>
      <c r="IV873" s="1903"/>
    </row>
    <row r="874" spans="1:256" ht="15" customHeight="1">
      <c r="A874" s="2169" t="str">
        <f>+'LINEAS IMPULSIÓN-CONDUCCIÓN'!A201</f>
        <v>3.7.3</v>
      </c>
      <c r="B874" s="3625" t="s">
        <v>1291</v>
      </c>
      <c r="C874" s="3625"/>
      <c r="D874" s="3625"/>
      <c r="E874" s="3625"/>
      <c r="F874" s="3625"/>
      <c r="G874" s="3625"/>
      <c r="H874" s="3625"/>
      <c r="I874" s="3625"/>
      <c r="J874" s="1260"/>
    </row>
    <row r="875" spans="1:256" ht="15" customHeight="1">
      <c r="A875" s="1261"/>
      <c r="B875" s="184"/>
      <c r="C875" s="1264" t="s">
        <v>140</v>
      </c>
      <c r="D875" s="1229" t="s">
        <v>343</v>
      </c>
      <c r="E875" s="1229" t="s">
        <v>344</v>
      </c>
      <c r="F875" s="1229" t="s">
        <v>482</v>
      </c>
      <c r="G875" s="1229" t="s">
        <v>483</v>
      </c>
      <c r="H875" s="1229" t="s">
        <v>232</v>
      </c>
      <c r="I875" s="1229" t="s">
        <v>171</v>
      </c>
      <c r="J875" s="1260"/>
    </row>
    <row r="876" spans="1:256" ht="15" customHeight="1">
      <c r="A876" s="954" t="s">
        <v>286</v>
      </c>
      <c r="B876" s="231" t="s">
        <v>1265</v>
      </c>
      <c r="C876" s="1264">
        <v>1</v>
      </c>
      <c r="D876" s="1229" t="s">
        <v>94</v>
      </c>
      <c r="E876" s="2683">
        <f>+'BASE 2'!D166</f>
        <v>66628.5</v>
      </c>
      <c r="F876" s="2683"/>
      <c r="G876" s="2683">
        <f>+E876*C876</f>
        <v>66628.5</v>
      </c>
      <c r="H876" s="2683"/>
      <c r="I876" s="2683"/>
      <c r="J876" s="1260"/>
    </row>
    <row r="877" spans="1:256" ht="15" customHeight="1">
      <c r="A877" s="1261" t="s">
        <v>584</v>
      </c>
      <c r="B877" s="1275" t="s">
        <v>134</v>
      </c>
      <c r="C877" s="183">
        <v>0</v>
      </c>
      <c r="D877" s="401" t="s">
        <v>476</v>
      </c>
      <c r="E877" s="1276">
        <f>+VIAJE</f>
        <v>1200000</v>
      </c>
      <c r="F877" s="2683"/>
      <c r="G877" s="2683"/>
      <c r="H877" s="2683"/>
      <c r="I877" s="2683">
        <f>+E877*C877</f>
        <v>0</v>
      </c>
      <c r="J877" s="1260"/>
    </row>
    <row r="878" spans="1:256" ht="15" customHeight="1">
      <c r="A878" s="1265" t="s">
        <v>190</v>
      </c>
      <c r="B878" s="1266">
        <f>ROUND(SUM(F878:I878),0)</f>
        <v>66629</v>
      </c>
      <c r="C878" s="1264"/>
      <c r="D878" s="1229"/>
      <c r="E878" s="2683"/>
      <c r="F878" s="2683">
        <f>+SUM(F876:F877)</f>
        <v>0</v>
      </c>
      <c r="G878" s="2683">
        <f>+SUM(G876:G877)</f>
        <v>66628.5</v>
      </c>
      <c r="H878" s="2683">
        <f>+SUM(H876:H877)</f>
        <v>0</v>
      </c>
      <c r="I878" s="2683">
        <f>+SUM(I876:I877)</f>
        <v>0</v>
      </c>
      <c r="J878" s="1260"/>
    </row>
    <row r="879" spans="1:256" ht="15" customHeight="1">
      <c r="A879" s="1265" t="s">
        <v>191</v>
      </c>
      <c r="B879" s="1414">
        <f>+B878</f>
        <v>66629</v>
      </c>
      <c r="C879" s="1901" t="s">
        <v>94</v>
      </c>
      <c r="D879" s="873"/>
      <c r="E879" s="873"/>
      <c r="F879" s="873"/>
      <c r="G879" s="873"/>
      <c r="H879" s="873"/>
      <c r="I879" s="873"/>
      <c r="J879" s="1260"/>
    </row>
    <row r="881" spans="1:256" s="1260" customFormat="1" ht="15" customHeight="1">
      <c r="A881" s="449" t="str">
        <f>+'LINEAS IMPULSIÓN-CONDUCCIÓN'!A181</f>
        <v>3.6.4</v>
      </c>
      <c r="B881" s="3573" t="s">
        <v>6522</v>
      </c>
      <c r="C881" s="3573"/>
      <c r="D881" s="3573"/>
      <c r="E881" s="3573"/>
      <c r="F881" s="3573"/>
      <c r="G881" s="3573"/>
      <c r="H881" s="3573"/>
      <c r="I881" s="3573"/>
    </row>
    <row r="882" spans="1:256" s="1260" customFormat="1" ht="15" customHeight="1">
      <c r="A882" s="1261"/>
      <c r="B882" s="1262"/>
      <c r="C882" s="1229" t="s">
        <v>140</v>
      </c>
      <c r="D882" s="1229" t="s">
        <v>343</v>
      </c>
      <c r="E882" s="2683" t="s">
        <v>344</v>
      </c>
      <c r="F882" s="2683" t="s">
        <v>482</v>
      </c>
      <c r="G882" s="2683" t="s">
        <v>483</v>
      </c>
      <c r="H882" s="2683" t="s">
        <v>232</v>
      </c>
      <c r="I882" s="2683" t="s">
        <v>171</v>
      </c>
    </row>
    <row r="883" spans="1:256" ht="15" customHeight="1">
      <c r="A883" s="954" t="s">
        <v>53</v>
      </c>
      <c r="B883" s="231" t="s">
        <v>6501</v>
      </c>
      <c r="C883" s="1299">
        <f>1/9</f>
        <v>0.1111111111111111</v>
      </c>
      <c r="D883" s="401" t="s">
        <v>346</v>
      </c>
      <c r="E883" s="1255">
        <f>+'BASE 2'!D738</f>
        <v>200979.89333333331</v>
      </c>
      <c r="F883" s="2683">
        <f>+E883*C883</f>
        <v>22331.099259259256</v>
      </c>
      <c r="G883" s="2683"/>
      <c r="H883" s="2683"/>
      <c r="I883" s="2683"/>
      <c r="J883" s="507"/>
    </row>
    <row r="884" spans="1:256" ht="15" customHeight="1">
      <c r="A884" s="954" t="s">
        <v>47</v>
      </c>
      <c r="B884" s="231" t="s">
        <v>6425</v>
      </c>
      <c r="C884" s="1299">
        <f>1/9</f>
        <v>0.1111111111111111</v>
      </c>
      <c r="D884" s="401" t="s">
        <v>346</v>
      </c>
      <c r="E884" s="2683">
        <f>+EEF110_</f>
        <v>520232.3</v>
      </c>
      <c r="F884" s="2683">
        <f>+E884*C884</f>
        <v>57803.588888888888</v>
      </c>
      <c r="G884" s="2683"/>
      <c r="H884" s="2683"/>
      <c r="I884" s="2683"/>
      <c r="J884" s="507"/>
    </row>
    <row r="885" spans="1:256" ht="15" customHeight="1">
      <c r="A885" s="954" t="s">
        <v>380</v>
      </c>
      <c r="B885" s="184" t="s">
        <v>378</v>
      </c>
      <c r="C885" s="183">
        <f>1/40</f>
        <v>2.5000000000000001E-2</v>
      </c>
      <c r="D885" s="401" t="s">
        <v>238</v>
      </c>
      <c r="E885" s="2683">
        <f>+GASO</f>
        <v>8800</v>
      </c>
      <c r="F885" s="2683"/>
      <c r="G885" s="2683"/>
      <c r="H885" s="2683"/>
      <c r="I885" s="2683">
        <f>+E885*C885</f>
        <v>220</v>
      </c>
      <c r="J885" s="507"/>
    </row>
    <row r="886" spans="1:256" ht="15" customHeight="1">
      <c r="A886" s="954" t="s">
        <v>382</v>
      </c>
      <c r="B886" s="184" t="s">
        <v>381</v>
      </c>
      <c r="C886" s="183">
        <f>1/3.3</f>
        <v>0.30303030303030304</v>
      </c>
      <c r="D886" s="401" t="s">
        <v>426</v>
      </c>
      <c r="E886" s="2683">
        <f>+ESTOP</f>
        <v>4080</v>
      </c>
      <c r="F886" s="2683"/>
      <c r="G886" s="2683"/>
      <c r="H886" s="2683"/>
      <c r="I886" s="2683">
        <f>+E886*C886</f>
        <v>1236.3636363636365</v>
      </c>
      <c r="J886" s="507"/>
    </row>
    <row r="887" spans="1:256" ht="15" customHeight="1">
      <c r="A887" s="1261" t="s">
        <v>345</v>
      </c>
      <c r="B887" s="184" t="s">
        <v>965</v>
      </c>
      <c r="C887" s="1299">
        <f t="shared" ref="C887:C888" si="27">1/9</f>
        <v>0.1111111111111111</v>
      </c>
      <c r="D887" s="1229" t="s">
        <v>346</v>
      </c>
      <c r="E887" s="2683">
        <f>+OFICI</f>
        <v>80479.625344</v>
      </c>
      <c r="F887" s="2683"/>
      <c r="G887" s="2683"/>
      <c r="H887" s="2683">
        <f>+E887*C887</f>
        <v>8942.1805937777772</v>
      </c>
      <c r="I887" s="2683"/>
      <c r="J887" s="159"/>
    </row>
    <row r="888" spans="1:256" ht="15" customHeight="1">
      <c r="A888" s="1261" t="s">
        <v>347</v>
      </c>
      <c r="B888" s="184" t="s">
        <v>266</v>
      </c>
      <c r="C888" s="1299">
        <f t="shared" si="27"/>
        <v>0.1111111111111111</v>
      </c>
      <c r="D888" s="1229" t="s">
        <v>346</v>
      </c>
      <c r="E888" s="2683">
        <f>+AYUDA</f>
        <v>65389.695592000004</v>
      </c>
      <c r="F888" s="2683"/>
      <c r="G888" s="2683"/>
      <c r="H888" s="2683">
        <f>+E888*C888</f>
        <v>7265.5217324444448</v>
      </c>
      <c r="I888" s="2683"/>
      <c r="J888" s="1260"/>
    </row>
    <row r="889" spans="1:256" ht="15" customHeight="1">
      <c r="A889" s="1261" t="s">
        <v>172</v>
      </c>
      <c r="B889" s="184" t="s">
        <v>189</v>
      </c>
      <c r="C889" s="1264">
        <v>1</v>
      </c>
      <c r="D889" s="1229" t="s">
        <v>583</v>
      </c>
      <c r="E889" s="2683">
        <f>+H890*0.05</f>
        <v>810.38511631111112</v>
      </c>
      <c r="F889" s="2683"/>
      <c r="G889" s="2683"/>
      <c r="H889" s="2683"/>
      <c r="I889" s="2683">
        <f>+E889*C889</f>
        <v>810.38511631111112</v>
      </c>
      <c r="J889" s="1260"/>
    </row>
    <row r="890" spans="1:256" s="1260" customFormat="1" ht="15" customHeight="1">
      <c r="A890" s="1265" t="s">
        <v>190</v>
      </c>
      <c r="B890" s="1266">
        <f>SUM(F890:I890)</f>
        <v>98609.139227045103</v>
      </c>
      <c r="C890" s="401"/>
      <c r="D890" s="1267"/>
      <c r="E890" s="2683"/>
      <c r="F890" s="2683">
        <f>SUM(F881:F889)</f>
        <v>80134.68814814814</v>
      </c>
      <c r="G890" s="2683">
        <f>SUM(G881:G889)</f>
        <v>0</v>
      </c>
      <c r="H890" s="2683">
        <f>SUM(H881:H889)</f>
        <v>16207.702326222221</v>
      </c>
      <c r="I890" s="2683">
        <f>SUM(I881:I889)</f>
        <v>2266.7487526747477</v>
      </c>
    </row>
    <row r="891" spans="1:256" s="1260" customFormat="1" ht="15" customHeight="1">
      <c r="A891" s="1265" t="s">
        <v>191</v>
      </c>
      <c r="B891" s="1268">
        <f>+B890</f>
        <v>98609.139227045103</v>
      </c>
      <c r="C891" s="1269" t="s">
        <v>363</v>
      </c>
      <c r="D891" s="863"/>
      <c r="E891" s="882">
        <f>+B897*0.2</f>
        <v>44019.051999999996</v>
      </c>
      <c r="F891" s="1905"/>
      <c r="G891" s="882"/>
      <c r="H891" s="882"/>
      <c r="I891" s="882"/>
    </row>
    <row r="892" spans="1:256" s="498" customFormat="1" ht="15" customHeight="1">
      <c r="A892" s="1270"/>
      <c r="B892" s="1271"/>
      <c r="C892" s="1272"/>
      <c r="D892" s="1273"/>
      <c r="E892" s="503"/>
      <c r="F892" s="503"/>
      <c r="G892" s="503"/>
      <c r="H892" s="503"/>
      <c r="I892" s="503"/>
      <c r="N892" s="499"/>
      <c r="O892" s="499"/>
      <c r="P892" s="499"/>
      <c r="Q892" s="499"/>
      <c r="R892" s="499"/>
      <c r="S892" s="499"/>
      <c r="T892" s="499"/>
      <c r="U892" s="499"/>
      <c r="V892" s="499"/>
      <c r="W892" s="499"/>
      <c r="X892" s="499"/>
      <c r="Y892" s="499"/>
      <c r="Z892" s="499"/>
      <c r="AA892" s="499"/>
      <c r="AB892" s="499"/>
      <c r="AC892" s="499"/>
      <c r="AD892" s="499"/>
      <c r="AE892" s="499"/>
      <c r="AF892" s="499"/>
      <c r="AG892" s="499"/>
      <c r="AH892" s="499"/>
      <c r="AI892" s="499"/>
      <c r="AJ892" s="499"/>
      <c r="AK892" s="499"/>
      <c r="AL892" s="499"/>
      <c r="AM892" s="499"/>
      <c r="AN892" s="499"/>
      <c r="AO892" s="499"/>
      <c r="AP892" s="499"/>
      <c r="AQ892" s="499"/>
      <c r="AR892" s="499"/>
      <c r="AS892" s="499"/>
      <c r="AT892" s="499"/>
      <c r="AU892" s="499"/>
      <c r="AV892" s="499"/>
      <c r="AW892" s="499"/>
      <c r="AX892" s="499"/>
      <c r="AY892" s="499"/>
      <c r="AZ892" s="499"/>
      <c r="BA892" s="499"/>
      <c r="BB892" s="499"/>
      <c r="BC892" s="499"/>
      <c r="BD892" s="499"/>
      <c r="BE892" s="499"/>
      <c r="BF892" s="499"/>
      <c r="BG892" s="499"/>
      <c r="BH892" s="499"/>
      <c r="BI892" s="499"/>
      <c r="BJ892" s="499"/>
      <c r="BK892" s="499"/>
      <c r="BL892" s="499"/>
      <c r="BM892" s="499"/>
      <c r="BN892" s="499"/>
      <c r="BO892" s="499"/>
      <c r="BP892" s="499"/>
      <c r="BQ892" s="499"/>
      <c r="BR892" s="499"/>
      <c r="BS892" s="499"/>
      <c r="BT892" s="499"/>
      <c r="BU892" s="499"/>
      <c r="BV892" s="499"/>
      <c r="BW892" s="499"/>
      <c r="BX892" s="499"/>
      <c r="BY892" s="499"/>
      <c r="BZ892" s="499"/>
      <c r="CA892" s="499"/>
      <c r="CB892" s="499"/>
      <c r="CC892" s="499"/>
      <c r="CD892" s="499"/>
      <c r="CE892" s="499"/>
      <c r="CF892" s="499"/>
      <c r="CG892" s="499"/>
      <c r="CH892" s="499"/>
      <c r="CI892" s="499"/>
      <c r="CJ892" s="499"/>
      <c r="CK892" s="499"/>
      <c r="CL892" s="499"/>
      <c r="CM892" s="499"/>
      <c r="CN892" s="499"/>
      <c r="CO892" s="499"/>
      <c r="CP892" s="499"/>
      <c r="CQ892" s="499"/>
      <c r="CR892" s="499"/>
      <c r="CS892" s="499"/>
      <c r="CT892" s="499"/>
      <c r="CU892" s="499"/>
      <c r="CV892" s="499"/>
      <c r="CW892" s="499"/>
      <c r="CX892" s="499"/>
      <c r="CY892" s="499"/>
      <c r="CZ892" s="499"/>
      <c r="DA892" s="499"/>
      <c r="DB892" s="499"/>
      <c r="DC892" s="499"/>
      <c r="DD892" s="499"/>
      <c r="DE892" s="499"/>
      <c r="DF892" s="499"/>
      <c r="DG892" s="499"/>
      <c r="DH892" s="499"/>
      <c r="DI892" s="499"/>
      <c r="DJ892" s="499"/>
      <c r="DK892" s="499"/>
      <c r="DL892" s="499"/>
      <c r="DM892" s="499"/>
      <c r="DN892" s="499"/>
      <c r="DO892" s="499"/>
      <c r="DP892" s="499"/>
      <c r="DQ892" s="499"/>
      <c r="DR892" s="499"/>
      <c r="DS892" s="499"/>
      <c r="DT892" s="499"/>
      <c r="DU892" s="499"/>
      <c r="DV892" s="499"/>
      <c r="DW892" s="499"/>
      <c r="DX892" s="499"/>
      <c r="DY892" s="499"/>
      <c r="DZ892" s="499"/>
      <c r="EA892" s="499"/>
      <c r="EB892" s="499"/>
      <c r="EC892" s="499"/>
      <c r="ED892" s="499"/>
      <c r="EE892" s="499"/>
      <c r="EF892" s="499"/>
      <c r="EG892" s="499"/>
      <c r="EH892" s="499"/>
      <c r="EI892" s="499"/>
      <c r="EJ892" s="499"/>
      <c r="EK892" s="499"/>
      <c r="EL892" s="499"/>
      <c r="EM892" s="499"/>
      <c r="EN892" s="499"/>
      <c r="EO892" s="499"/>
      <c r="EP892" s="499"/>
      <c r="EQ892" s="499"/>
      <c r="ER892" s="499"/>
      <c r="ES892" s="499"/>
      <c r="ET892" s="499"/>
      <c r="EU892" s="499"/>
      <c r="EV892" s="499"/>
      <c r="EW892" s="499"/>
      <c r="EX892" s="499"/>
      <c r="EY892" s="499"/>
      <c r="EZ892" s="499"/>
      <c r="FA892" s="499"/>
      <c r="FB892" s="499"/>
      <c r="FC892" s="499"/>
      <c r="FD892" s="499"/>
      <c r="FE892" s="499"/>
      <c r="FF892" s="499"/>
      <c r="FG892" s="499"/>
      <c r="FH892" s="499"/>
      <c r="FI892" s="499"/>
      <c r="FJ892" s="499"/>
      <c r="FK892" s="499"/>
      <c r="FL892" s="499"/>
      <c r="FM892" s="499"/>
      <c r="FN892" s="499"/>
      <c r="FO892" s="499"/>
      <c r="FP892" s="499"/>
      <c r="FQ892" s="499"/>
      <c r="FR892" s="499"/>
      <c r="FS892" s="499"/>
      <c r="FT892" s="499"/>
      <c r="FU892" s="499"/>
      <c r="FV892" s="499"/>
      <c r="FW892" s="499"/>
      <c r="FX892" s="499"/>
      <c r="FY892" s="499"/>
      <c r="FZ892" s="499"/>
      <c r="GA892" s="499"/>
      <c r="GB892" s="499"/>
      <c r="GC892" s="499"/>
      <c r="GD892" s="499"/>
      <c r="GE892" s="499"/>
      <c r="GF892" s="499"/>
      <c r="GG892" s="499"/>
      <c r="GH892" s="499"/>
      <c r="GI892" s="499"/>
      <c r="GJ892" s="499"/>
      <c r="GK892" s="499"/>
      <c r="GL892" s="499"/>
      <c r="GM892" s="499"/>
      <c r="GN892" s="499"/>
      <c r="GO892" s="499"/>
      <c r="GP892" s="499"/>
      <c r="GQ892" s="499"/>
      <c r="GR892" s="499"/>
      <c r="GS892" s="499"/>
      <c r="GT892" s="499"/>
      <c r="GU892" s="499"/>
      <c r="GV892" s="499"/>
      <c r="GW892" s="499"/>
      <c r="GX892" s="499"/>
      <c r="GY892" s="499"/>
      <c r="GZ892" s="499"/>
      <c r="HA892" s="499"/>
      <c r="HB892" s="499"/>
      <c r="HC892" s="499"/>
      <c r="HD892" s="499"/>
      <c r="HE892" s="499"/>
      <c r="HF892" s="499"/>
      <c r="HG892" s="499"/>
      <c r="HH892" s="499"/>
      <c r="HI892" s="499"/>
      <c r="HJ892" s="499"/>
      <c r="HK892" s="499"/>
      <c r="HL892" s="499"/>
      <c r="HM892" s="499"/>
      <c r="HN892" s="499"/>
      <c r="HO892" s="499"/>
      <c r="HP892" s="499"/>
      <c r="HQ892" s="499"/>
      <c r="HR892" s="499"/>
      <c r="HS892" s="499"/>
      <c r="HT892" s="499"/>
      <c r="HU892" s="499"/>
      <c r="HV892" s="499"/>
      <c r="HW892" s="499"/>
      <c r="HX892" s="499"/>
      <c r="HY892" s="499"/>
      <c r="HZ892" s="499"/>
      <c r="IA892" s="499"/>
      <c r="IB892" s="499"/>
      <c r="IC892" s="499"/>
      <c r="ID892" s="499"/>
      <c r="IE892" s="499"/>
      <c r="IF892" s="499"/>
      <c r="IG892" s="499"/>
      <c r="IH892" s="499"/>
      <c r="II892" s="499"/>
      <c r="IJ892" s="499"/>
      <c r="IK892" s="499"/>
      <c r="IL892" s="499"/>
      <c r="IM892" s="499"/>
      <c r="IN892" s="499"/>
      <c r="IO892" s="499"/>
      <c r="IP892" s="499"/>
      <c r="IQ892" s="499"/>
      <c r="IR892" s="499"/>
      <c r="IS892" s="499"/>
      <c r="IT892" s="499"/>
      <c r="IU892" s="499"/>
      <c r="IV892" s="499"/>
    </row>
    <row r="893" spans="1:256" s="1260" customFormat="1" ht="15" customHeight="1">
      <c r="A893" s="2169" t="str">
        <f>+'LINEAS IMPULSIÓN-CONDUCCIÓN'!A202</f>
        <v>3.7.4</v>
      </c>
      <c r="B893" s="3651" t="s">
        <v>1308</v>
      </c>
      <c r="C893" s="3651"/>
      <c r="D893" s="3651"/>
      <c r="E893" s="3651"/>
      <c r="F893" s="3651"/>
      <c r="G893" s="3651"/>
      <c r="H893" s="3651"/>
      <c r="I893" s="3651"/>
    </row>
    <row r="894" spans="1:256" s="1260" customFormat="1" ht="15" customHeight="1">
      <c r="A894" s="1261"/>
      <c r="B894" s="1262"/>
      <c r="C894" s="1229" t="s">
        <v>140</v>
      </c>
      <c r="D894" s="1229" t="s">
        <v>343</v>
      </c>
      <c r="E894" s="2683" t="s">
        <v>344</v>
      </c>
      <c r="F894" s="2683" t="s">
        <v>482</v>
      </c>
      <c r="G894" s="2683" t="s">
        <v>483</v>
      </c>
      <c r="H894" s="2683" t="s">
        <v>232</v>
      </c>
      <c r="I894" s="2683" t="s">
        <v>171</v>
      </c>
    </row>
    <row r="895" spans="1:256" s="1260" customFormat="1" ht="15" customHeight="1">
      <c r="A895" s="954" t="s">
        <v>762</v>
      </c>
      <c r="B895" s="185" t="s">
        <v>6521</v>
      </c>
      <c r="C895" s="1264">
        <v>1</v>
      </c>
      <c r="D895" s="1274" t="s">
        <v>363</v>
      </c>
      <c r="E895" s="1255">
        <f>+'BASE 2'!D194</f>
        <v>220095.25999999998</v>
      </c>
      <c r="F895" s="1255"/>
      <c r="G895" s="1255">
        <f>+E895*C895</f>
        <v>220095.25999999998</v>
      </c>
      <c r="H895" s="1255"/>
      <c r="I895" s="1255"/>
    </row>
    <row r="896" spans="1:256" s="1260" customFormat="1" ht="15" customHeight="1">
      <c r="A896" s="1265" t="s">
        <v>190</v>
      </c>
      <c r="B896" s="1266">
        <f>SUM(F896:I896)</f>
        <v>220095.25999999998</v>
      </c>
      <c r="C896" s="401"/>
      <c r="D896" s="1267"/>
      <c r="E896" s="2683"/>
      <c r="F896" s="2683">
        <f>SUM(F893:F895)</f>
        <v>0</v>
      </c>
      <c r="G896" s="2683">
        <f>SUM(G893:G895)</f>
        <v>220095.25999999998</v>
      </c>
      <c r="H896" s="2683">
        <f>SUM(H893:H895)</f>
        <v>0</v>
      </c>
      <c r="I896" s="2683">
        <f>SUM(I893:I895)</f>
        <v>0</v>
      </c>
    </row>
    <row r="897" spans="1:256" s="1260" customFormat="1" ht="15" customHeight="1">
      <c r="A897" s="1265" t="s">
        <v>191</v>
      </c>
      <c r="B897" s="1268">
        <f>+B896</f>
        <v>220095.25999999998</v>
      </c>
      <c r="C897" s="1269" t="s">
        <v>363</v>
      </c>
      <c r="D897" s="863"/>
      <c r="E897" s="882"/>
      <c r="F897" s="1905"/>
      <c r="G897" s="882"/>
      <c r="H897" s="882"/>
      <c r="I897" s="882"/>
    </row>
    <row r="899" spans="1:256" s="1260" customFormat="1" ht="15" customHeight="1">
      <c r="A899" s="449" t="str">
        <f>+'LINEAS IMPULSIÓN-CONDUCCIÓN'!A182</f>
        <v>3.6.5</v>
      </c>
      <c r="B899" s="3573" t="s">
        <v>6526</v>
      </c>
      <c r="C899" s="3573"/>
      <c r="D899" s="3573"/>
      <c r="E899" s="3573"/>
      <c r="F899" s="3573"/>
      <c r="G899" s="3573"/>
      <c r="H899" s="3573"/>
      <c r="I899" s="3573"/>
    </row>
    <row r="900" spans="1:256" s="1260" customFormat="1" ht="15" customHeight="1">
      <c r="A900" s="1261"/>
      <c r="B900" s="1262"/>
      <c r="C900" s="1229" t="s">
        <v>140</v>
      </c>
      <c r="D900" s="1229" t="s">
        <v>343</v>
      </c>
      <c r="E900" s="2683" t="s">
        <v>344</v>
      </c>
      <c r="F900" s="2683" t="s">
        <v>482</v>
      </c>
      <c r="G900" s="2683" t="s">
        <v>483</v>
      </c>
      <c r="H900" s="2683" t="s">
        <v>232</v>
      </c>
      <c r="I900" s="2683" t="s">
        <v>171</v>
      </c>
    </row>
    <row r="901" spans="1:256" ht="15" customHeight="1">
      <c r="A901" s="1261" t="s">
        <v>345</v>
      </c>
      <c r="B901" s="184" t="s">
        <v>965</v>
      </c>
      <c r="C901" s="183">
        <v>0.315</v>
      </c>
      <c r="D901" s="1229" t="s">
        <v>346</v>
      </c>
      <c r="E901" s="2683">
        <f>+OFICI</f>
        <v>80479.625344</v>
      </c>
      <c r="F901" s="2683"/>
      <c r="G901" s="2683"/>
      <c r="H901" s="2683">
        <f>+E901*C901</f>
        <v>25351.08198336</v>
      </c>
      <c r="I901" s="2683"/>
      <c r="J901" s="159"/>
    </row>
    <row r="902" spans="1:256" ht="15" customHeight="1">
      <c r="A902" s="1261" t="s">
        <v>347</v>
      </c>
      <c r="B902" s="184" t="s">
        <v>266</v>
      </c>
      <c r="C902" s="1263">
        <v>0.315</v>
      </c>
      <c r="D902" s="1229" t="s">
        <v>346</v>
      </c>
      <c r="E902" s="2683">
        <f>+AYUDA</f>
        <v>65389.695592000004</v>
      </c>
      <c r="F902" s="2683"/>
      <c r="G902" s="2683"/>
      <c r="H902" s="2683">
        <f>+E902*C902</f>
        <v>20597.754111480001</v>
      </c>
      <c r="I902" s="2683"/>
      <c r="J902" s="1260"/>
    </row>
    <row r="903" spans="1:256" ht="15" customHeight="1">
      <c r="A903" s="1261" t="s">
        <v>172</v>
      </c>
      <c r="B903" s="184" t="s">
        <v>189</v>
      </c>
      <c r="C903" s="1264">
        <v>1</v>
      </c>
      <c r="D903" s="1229" t="s">
        <v>583</v>
      </c>
      <c r="E903" s="2683">
        <f>+H904*0.05</f>
        <v>2297.4418047419999</v>
      </c>
      <c r="F903" s="2683"/>
      <c r="G903" s="2683"/>
      <c r="H903" s="2683"/>
      <c r="I903" s="2683">
        <f>+E903*C903</f>
        <v>2297.4418047419999</v>
      </c>
      <c r="J903" s="1260"/>
    </row>
    <row r="904" spans="1:256" s="1260" customFormat="1" ht="15" customHeight="1">
      <c r="A904" s="1265" t="s">
        <v>190</v>
      </c>
      <c r="B904" s="1266">
        <f>SUM(F904:I904)</f>
        <v>48246.277899581997</v>
      </c>
      <c r="C904" s="401"/>
      <c r="D904" s="1267"/>
      <c r="E904" s="2683"/>
      <c r="F904" s="2683">
        <f>SUM(F899:F903)</f>
        <v>0</v>
      </c>
      <c r="G904" s="2683">
        <f>SUM(G899:G903)</f>
        <v>0</v>
      </c>
      <c r="H904" s="2683">
        <f>SUM(H899:H903)</f>
        <v>45948.83609484</v>
      </c>
      <c r="I904" s="2683">
        <f>SUM(I899:I903)</f>
        <v>2297.4418047419999</v>
      </c>
    </row>
    <row r="905" spans="1:256" s="1260" customFormat="1" ht="15" customHeight="1">
      <c r="A905" s="1265" t="s">
        <v>191</v>
      </c>
      <c r="B905" s="1268">
        <f>+B904</f>
        <v>48246.277899581997</v>
      </c>
      <c r="C905" s="1269" t="s">
        <v>363</v>
      </c>
      <c r="D905" s="863"/>
      <c r="E905" s="882">
        <f>+B912*0.15</f>
        <v>48981.9</v>
      </c>
      <c r="F905" s="1905"/>
      <c r="G905" s="882"/>
      <c r="H905" s="882"/>
      <c r="I905" s="882"/>
    </row>
    <row r="906" spans="1:256" s="498" customFormat="1" ht="15" customHeight="1">
      <c r="A906" s="1270"/>
      <c r="B906" s="1271"/>
      <c r="C906" s="1272"/>
      <c r="D906" s="1273"/>
      <c r="E906" s="503"/>
      <c r="F906" s="503"/>
      <c r="G906" s="503"/>
      <c r="H906" s="503"/>
      <c r="I906" s="503"/>
      <c r="N906" s="499"/>
      <c r="O906" s="499"/>
      <c r="P906" s="499"/>
      <c r="Q906" s="499"/>
      <c r="R906" s="499"/>
      <c r="S906" s="499"/>
      <c r="T906" s="499"/>
      <c r="U906" s="499"/>
      <c r="V906" s="499"/>
      <c r="W906" s="499"/>
      <c r="X906" s="499"/>
      <c r="Y906" s="499"/>
      <c r="Z906" s="499"/>
      <c r="AA906" s="499"/>
      <c r="AB906" s="499"/>
      <c r="AC906" s="499"/>
      <c r="AD906" s="499"/>
      <c r="AE906" s="499"/>
      <c r="AF906" s="499"/>
      <c r="AG906" s="499"/>
      <c r="AH906" s="499"/>
      <c r="AI906" s="499"/>
      <c r="AJ906" s="499"/>
      <c r="AK906" s="499"/>
      <c r="AL906" s="499"/>
      <c r="AM906" s="499"/>
      <c r="AN906" s="499"/>
      <c r="AO906" s="499"/>
      <c r="AP906" s="499"/>
      <c r="AQ906" s="499"/>
      <c r="AR906" s="499"/>
      <c r="AS906" s="499"/>
      <c r="AT906" s="499"/>
      <c r="AU906" s="499"/>
      <c r="AV906" s="499"/>
      <c r="AW906" s="499"/>
      <c r="AX906" s="499"/>
      <c r="AY906" s="499"/>
      <c r="AZ906" s="499"/>
      <c r="BA906" s="499"/>
      <c r="BB906" s="499"/>
      <c r="BC906" s="499"/>
      <c r="BD906" s="499"/>
      <c r="BE906" s="499"/>
      <c r="BF906" s="499"/>
      <c r="BG906" s="499"/>
      <c r="BH906" s="499"/>
      <c r="BI906" s="499"/>
      <c r="BJ906" s="499"/>
      <c r="BK906" s="499"/>
      <c r="BL906" s="499"/>
      <c r="BM906" s="499"/>
      <c r="BN906" s="499"/>
      <c r="BO906" s="499"/>
      <c r="BP906" s="499"/>
      <c r="BQ906" s="499"/>
      <c r="BR906" s="499"/>
      <c r="BS906" s="499"/>
      <c r="BT906" s="499"/>
      <c r="BU906" s="499"/>
      <c r="BV906" s="499"/>
      <c r="BW906" s="499"/>
      <c r="BX906" s="499"/>
      <c r="BY906" s="499"/>
      <c r="BZ906" s="499"/>
      <c r="CA906" s="499"/>
      <c r="CB906" s="499"/>
      <c r="CC906" s="499"/>
      <c r="CD906" s="499"/>
      <c r="CE906" s="499"/>
      <c r="CF906" s="499"/>
      <c r="CG906" s="499"/>
      <c r="CH906" s="499"/>
      <c r="CI906" s="499"/>
      <c r="CJ906" s="499"/>
      <c r="CK906" s="499"/>
      <c r="CL906" s="499"/>
      <c r="CM906" s="499"/>
      <c r="CN906" s="499"/>
      <c r="CO906" s="499"/>
      <c r="CP906" s="499"/>
      <c r="CQ906" s="499"/>
      <c r="CR906" s="499"/>
      <c r="CS906" s="499"/>
      <c r="CT906" s="499"/>
      <c r="CU906" s="499"/>
      <c r="CV906" s="499"/>
      <c r="CW906" s="499"/>
      <c r="CX906" s="499"/>
      <c r="CY906" s="499"/>
      <c r="CZ906" s="499"/>
      <c r="DA906" s="499"/>
      <c r="DB906" s="499"/>
      <c r="DC906" s="499"/>
      <c r="DD906" s="499"/>
      <c r="DE906" s="499"/>
      <c r="DF906" s="499"/>
      <c r="DG906" s="499"/>
      <c r="DH906" s="499"/>
      <c r="DI906" s="499"/>
      <c r="DJ906" s="499"/>
      <c r="DK906" s="499"/>
      <c r="DL906" s="499"/>
      <c r="DM906" s="499"/>
      <c r="DN906" s="499"/>
      <c r="DO906" s="499"/>
      <c r="DP906" s="499"/>
      <c r="DQ906" s="499"/>
      <c r="DR906" s="499"/>
      <c r="DS906" s="499"/>
      <c r="DT906" s="499"/>
      <c r="DU906" s="499"/>
      <c r="DV906" s="499"/>
      <c r="DW906" s="499"/>
      <c r="DX906" s="499"/>
      <c r="DY906" s="499"/>
      <c r="DZ906" s="499"/>
      <c r="EA906" s="499"/>
      <c r="EB906" s="499"/>
      <c r="EC906" s="499"/>
      <c r="ED906" s="499"/>
      <c r="EE906" s="499"/>
      <c r="EF906" s="499"/>
      <c r="EG906" s="499"/>
      <c r="EH906" s="499"/>
      <c r="EI906" s="499"/>
      <c r="EJ906" s="499"/>
      <c r="EK906" s="499"/>
      <c r="EL906" s="499"/>
      <c r="EM906" s="499"/>
      <c r="EN906" s="499"/>
      <c r="EO906" s="499"/>
      <c r="EP906" s="499"/>
      <c r="EQ906" s="499"/>
      <c r="ER906" s="499"/>
      <c r="ES906" s="499"/>
      <c r="ET906" s="499"/>
      <c r="EU906" s="499"/>
      <c r="EV906" s="499"/>
      <c r="EW906" s="499"/>
      <c r="EX906" s="499"/>
      <c r="EY906" s="499"/>
      <c r="EZ906" s="499"/>
      <c r="FA906" s="499"/>
      <c r="FB906" s="499"/>
      <c r="FC906" s="499"/>
      <c r="FD906" s="499"/>
      <c r="FE906" s="499"/>
      <c r="FF906" s="499"/>
      <c r="FG906" s="499"/>
      <c r="FH906" s="499"/>
      <c r="FI906" s="499"/>
      <c r="FJ906" s="499"/>
      <c r="FK906" s="499"/>
      <c r="FL906" s="499"/>
      <c r="FM906" s="499"/>
      <c r="FN906" s="499"/>
      <c r="FO906" s="499"/>
      <c r="FP906" s="499"/>
      <c r="FQ906" s="499"/>
      <c r="FR906" s="499"/>
      <c r="FS906" s="499"/>
      <c r="FT906" s="499"/>
      <c r="FU906" s="499"/>
      <c r="FV906" s="499"/>
      <c r="FW906" s="499"/>
      <c r="FX906" s="499"/>
      <c r="FY906" s="499"/>
      <c r="FZ906" s="499"/>
      <c r="GA906" s="499"/>
      <c r="GB906" s="499"/>
      <c r="GC906" s="499"/>
      <c r="GD906" s="499"/>
      <c r="GE906" s="499"/>
      <c r="GF906" s="499"/>
      <c r="GG906" s="499"/>
      <c r="GH906" s="499"/>
      <c r="GI906" s="499"/>
      <c r="GJ906" s="499"/>
      <c r="GK906" s="499"/>
      <c r="GL906" s="499"/>
      <c r="GM906" s="499"/>
      <c r="GN906" s="499"/>
      <c r="GO906" s="499"/>
      <c r="GP906" s="499"/>
      <c r="GQ906" s="499"/>
      <c r="GR906" s="499"/>
      <c r="GS906" s="499"/>
      <c r="GT906" s="499"/>
      <c r="GU906" s="499"/>
      <c r="GV906" s="499"/>
      <c r="GW906" s="499"/>
      <c r="GX906" s="499"/>
      <c r="GY906" s="499"/>
      <c r="GZ906" s="499"/>
      <c r="HA906" s="499"/>
      <c r="HB906" s="499"/>
      <c r="HC906" s="499"/>
      <c r="HD906" s="499"/>
      <c r="HE906" s="499"/>
      <c r="HF906" s="499"/>
      <c r="HG906" s="499"/>
      <c r="HH906" s="499"/>
      <c r="HI906" s="499"/>
      <c r="HJ906" s="499"/>
      <c r="HK906" s="499"/>
      <c r="HL906" s="499"/>
      <c r="HM906" s="499"/>
      <c r="HN906" s="499"/>
      <c r="HO906" s="499"/>
      <c r="HP906" s="499"/>
      <c r="HQ906" s="499"/>
      <c r="HR906" s="499"/>
      <c r="HS906" s="499"/>
      <c r="HT906" s="499"/>
      <c r="HU906" s="499"/>
      <c r="HV906" s="499"/>
      <c r="HW906" s="499"/>
      <c r="HX906" s="499"/>
      <c r="HY906" s="499"/>
      <c r="HZ906" s="499"/>
      <c r="IA906" s="499"/>
      <c r="IB906" s="499"/>
      <c r="IC906" s="499"/>
      <c r="ID906" s="499"/>
      <c r="IE906" s="499"/>
      <c r="IF906" s="499"/>
      <c r="IG906" s="499"/>
      <c r="IH906" s="499"/>
      <c r="II906" s="499"/>
      <c r="IJ906" s="499"/>
      <c r="IK906" s="499"/>
      <c r="IL906" s="499"/>
      <c r="IM906" s="499"/>
      <c r="IN906" s="499"/>
      <c r="IO906" s="499"/>
      <c r="IP906" s="499"/>
      <c r="IQ906" s="499"/>
      <c r="IR906" s="499"/>
      <c r="IS906" s="499"/>
      <c r="IT906" s="499"/>
      <c r="IU906" s="499"/>
      <c r="IV906" s="499"/>
    </row>
    <row r="907" spans="1:256" s="1260" customFormat="1" ht="15" customHeight="1">
      <c r="A907" s="2169" t="str">
        <f>+'LINEAS IMPULSIÓN-CONDUCCIÓN'!A203</f>
        <v>3.7.5</v>
      </c>
      <c r="B907" s="3651" t="s">
        <v>6525</v>
      </c>
      <c r="C907" s="3651"/>
      <c r="D907" s="3651"/>
      <c r="E907" s="3651"/>
      <c r="F907" s="3651"/>
      <c r="G907" s="3651"/>
      <c r="H907" s="3651"/>
      <c r="I907" s="3651"/>
    </row>
    <row r="908" spans="1:256" s="1260" customFormat="1" ht="15" customHeight="1">
      <c r="A908" s="1261"/>
      <c r="B908" s="1262"/>
      <c r="C908" s="1229" t="s">
        <v>140</v>
      </c>
      <c r="D908" s="1229" t="s">
        <v>343</v>
      </c>
      <c r="E908" s="2683" t="s">
        <v>344</v>
      </c>
      <c r="F908" s="2683" t="s">
        <v>482</v>
      </c>
      <c r="G908" s="2683" t="s">
        <v>483</v>
      </c>
      <c r="H908" s="2683" t="s">
        <v>232</v>
      </c>
      <c r="I908" s="2683" t="s">
        <v>171</v>
      </c>
    </row>
    <row r="909" spans="1:256" s="1260" customFormat="1" ht="15" customHeight="1">
      <c r="A909" s="954" t="s">
        <v>762</v>
      </c>
      <c r="B909" s="185" t="s">
        <v>6524</v>
      </c>
      <c r="C909" s="1264">
        <v>1</v>
      </c>
      <c r="D909" s="1274" t="s">
        <v>363</v>
      </c>
      <c r="E909" s="1255">
        <f>+'BASE 2'!D634</f>
        <v>320546</v>
      </c>
      <c r="F909" s="1255"/>
      <c r="G909" s="1255">
        <f>+E909*C909</f>
        <v>320546</v>
      </c>
      <c r="H909" s="1255"/>
      <c r="I909" s="1255"/>
    </row>
    <row r="910" spans="1:256" ht="15" customHeight="1">
      <c r="A910" s="1261" t="s">
        <v>584</v>
      </c>
      <c r="B910" s="1275" t="s">
        <v>134</v>
      </c>
      <c r="C910" s="183">
        <f>1/200</f>
        <v>5.0000000000000001E-3</v>
      </c>
      <c r="D910" s="401" t="s">
        <v>583</v>
      </c>
      <c r="E910" s="1276">
        <f>+VIAJE</f>
        <v>1200000</v>
      </c>
      <c r="F910" s="2683"/>
      <c r="G910" s="2683"/>
      <c r="H910" s="2683"/>
      <c r="I910" s="2683">
        <f>+E910*C910</f>
        <v>6000</v>
      </c>
      <c r="J910" s="1260"/>
    </row>
    <row r="911" spans="1:256" s="1260" customFormat="1" ht="15" customHeight="1">
      <c r="A911" s="1265" t="s">
        <v>190</v>
      </c>
      <c r="B911" s="1266">
        <f>SUM(F911:I911)</f>
        <v>326546</v>
      </c>
      <c r="C911" s="401"/>
      <c r="D911" s="1267"/>
      <c r="E911" s="2683"/>
      <c r="F911" s="2683">
        <f>SUM(F907:F910)</f>
        <v>0</v>
      </c>
      <c r="G911" s="2683">
        <f>SUM(G907:G910)</f>
        <v>320546</v>
      </c>
      <c r="H911" s="2683">
        <f>SUM(H907:H910)</f>
        <v>0</v>
      </c>
      <c r="I911" s="2683">
        <f>SUM(I907:I910)</f>
        <v>6000</v>
      </c>
    </row>
    <row r="912" spans="1:256" s="1260" customFormat="1" ht="15" customHeight="1">
      <c r="A912" s="1265" t="s">
        <v>191</v>
      </c>
      <c r="B912" s="1268">
        <f>+B911</f>
        <v>326546</v>
      </c>
      <c r="C912" s="1269" t="s">
        <v>363</v>
      </c>
      <c r="D912" s="863"/>
      <c r="E912" s="882"/>
      <c r="F912" s="1905"/>
      <c r="G912" s="882"/>
      <c r="H912" s="882"/>
      <c r="I912" s="882"/>
    </row>
    <row r="913" spans="1:256" s="498" customFormat="1" ht="15" customHeight="1">
      <c r="A913" s="1270"/>
      <c r="B913" s="1271"/>
      <c r="C913" s="1272"/>
      <c r="D913" s="1273"/>
      <c r="E913" s="503"/>
      <c r="F913" s="503"/>
      <c r="G913" s="503"/>
      <c r="H913" s="503"/>
      <c r="I913" s="503"/>
      <c r="N913" s="499"/>
      <c r="O913" s="499"/>
      <c r="P913" s="499"/>
      <c r="Q913" s="499"/>
      <c r="R913" s="499"/>
      <c r="S913" s="499"/>
      <c r="T913" s="499"/>
      <c r="U913" s="499"/>
      <c r="V913" s="499"/>
      <c r="W913" s="499"/>
      <c r="X913" s="499"/>
      <c r="Y913" s="499"/>
      <c r="Z913" s="499"/>
      <c r="AA913" s="499"/>
      <c r="AB913" s="499"/>
      <c r="AC913" s="499"/>
      <c r="AD913" s="499"/>
      <c r="AE913" s="499"/>
      <c r="AF913" s="499"/>
      <c r="AG913" s="499"/>
      <c r="AH913" s="499"/>
      <c r="AI913" s="499"/>
      <c r="AJ913" s="499"/>
      <c r="AK913" s="499"/>
      <c r="AL913" s="499"/>
      <c r="AM913" s="499"/>
      <c r="AN913" s="499"/>
      <c r="AO913" s="499"/>
      <c r="AP913" s="499"/>
      <c r="AQ913" s="499"/>
      <c r="AR913" s="499"/>
      <c r="AS913" s="499"/>
      <c r="AT913" s="499"/>
      <c r="AU913" s="499"/>
      <c r="AV913" s="499"/>
      <c r="AW913" s="499"/>
      <c r="AX913" s="499"/>
      <c r="AY913" s="499"/>
      <c r="AZ913" s="499"/>
      <c r="BA913" s="499"/>
      <c r="BB913" s="499"/>
      <c r="BC913" s="499"/>
      <c r="BD913" s="499"/>
      <c r="BE913" s="499"/>
      <c r="BF913" s="499"/>
      <c r="BG913" s="499"/>
      <c r="BH913" s="499"/>
      <c r="BI913" s="499"/>
      <c r="BJ913" s="499"/>
      <c r="BK913" s="499"/>
      <c r="BL913" s="499"/>
      <c r="BM913" s="499"/>
      <c r="BN913" s="499"/>
      <c r="BO913" s="499"/>
      <c r="BP913" s="499"/>
      <c r="BQ913" s="499"/>
      <c r="BR913" s="499"/>
      <c r="BS913" s="499"/>
      <c r="BT913" s="499"/>
      <c r="BU913" s="499"/>
      <c r="BV913" s="499"/>
      <c r="BW913" s="499"/>
      <c r="BX913" s="499"/>
      <c r="BY913" s="499"/>
      <c r="BZ913" s="499"/>
      <c r="CA913" s="499"/>
      <c r="CB913" s="499"/>
      <c r="CC913" s="499"/>
      <c r="CD913" s="499"/>
      <c r="CE913" s="499"/>
      <c r="CF913" s="499"/>
      <c r="CG913" s="499"/>
      <c r="CH913" s="499"/>
      <c r="CI913" s="499"/>
      <c r="CJ913" s="499"/>
      <c r="CK913" s="499"/>
      <c r="CL913" s="499"/>
      <c r="CM913" s="499"/>
      <c r="CN913" s="499"/>
      <c r="CO913" s="499"/>
      <c r="CP913" s="499"/>
      <c r="CQ913" s="499"/>
      <c r="CR913" s="499"/>
      <c r="CS913" s="499"/>
      <c r="CT913" s="499"/>
      <c r="CU913" s="499"/>
      <c r="CV913" s="499"/>
      <c r="CW913" s="499"/>
      <c r="CX913" s="499"/>
      <c r="CY913" s="499"/>
      <c r="CZ913" s="499"/>
      <c r="DA913" s="499"/>
      <c r="DB913" s="499"/>
      <c r="DC913" s="499"/>
      <c r="DD913" s="499"/>
      <c r="DE913" s="499"/>
      <c r="DF913" s="499"/>
      <c r="DG913" s="499"/>
      <c r="DH913" s="499"/>
      <c r="DI913" s="499"/>
      <c r="DJ913" s="499"/>
      <c r="DK913" s="499"/>
      <c r="DL913" s="499"/>
      <c r="DM913" s="499"/>
      <c r="DN913" s="499"/>
      <c r="DO913" s="499"/>
      <c r="DP913" s="499"/>
      <c r="DQ913" s="499"/>
      <c r="DR913" s="499"/>
      <c r="DS913" s="499"/>
      <c r="DT913" s="499"/>
      <c r="DU913" s="499"/>
      <c r="DV913" s="499"/>
      <c r="DW913" s="499"/>
      <c r="DX913" s="499"/>
      <c r="DY913" s="499"/>
      <c r="DZ913" s="499"/>
      <c r="EA913" s="499"/>
      <c r="EB913" s="499"/>
      <c r="EC913" s="499"/>
      <c r="ED913" s="499"/>
      <c r="EE913" s="499"/>
      <c r="EF913" s="499"/>
      <c r="EG913" s="499"/>
      <c r="EH913" s="499"/>
      <c r="EI913" s="499"/>
      <c r="EJ913" s="499"/>
      <c r="EK913" s="499"/>
      <c r="EL913" s="499"/>
      <c r="EM913" s="499"/>
      <c r="EN913" s="499"/>
      <c r="EO913" s="499"/>
      <c r="EP913" s="499"/>
      <c r="EQ913" s="499"/>
      <c r="ER913" s="499"/>
      <c r="ES913" s="499"/>
      <c r="ET913" s="499"/>
      <c r="EU913" s="499"/>
      <c r="EV913" s="499"/>
      <c r="EW913" s="499"/>
      <c r="EX913" s="499"/>
      <c r="EY913" s="499"/>
      <c r="EZ913" s="499"/>
      <c r="FA913" s="499"/>
      <c r="FB913" s="499"/>
      <c r="FC913" s="499"/>
      <c r="FD913" s="499"/>
      <c r="FE913" s="499"/>
      <c r="FF913" s="499"/>
      <c r="FG913" s="499"/>
      <c r="FH913" s="499"/>
      <c r="FI913" s="499"/>
      <c r="FJ913" s="499"/>
      <c r="FK913" s="499"/>
      <c r="FL913" s="499"/>
      <c r="FM913" s="499"/>
      <c r="FN913" s="499"/>
      <c r="FO913" s="499"/>
      <c r="FP913" s="499"/>
      <c r="FQ913" s="499"/>
      <c r="FR913" s="499"/>
      <c r="FS913" s="499"/>
      <c r="FT913" s="499"/>
      <c r="FU913" s="499"/>
      <c r="FV913" s="499"/>
      <c r="FW913" s="499"/>
      <c r="FX913" s="499"/>
      <c r="FY913" s="499"/>
      <c r="FZ913" s="499"/>
      <c r="GA913" s="499"/>
      <c r="GB913" s="499"/>
      <c r="GC913" s="499"/>
      <c r="GD913" s="499"/>
      <c r="GE913" s="499"/>
      <c r="GF913" s="499"/>
      <c r="GG913" s="499"/>
      <c r="GH913" s="499"/>
      <c r="GI913" s="499"/>
      <c r="GJ913" s="499"/>
      <c r="GK913" s="499"/>
      <c r="GL913" s="499"/>
      <c r="GM913" s="499"/>
      <c r="GN913" s="499"/>
      <c r="GO913" s="499"/>
      <c r="GP913" s="499"/>
      <c r="GQ913" s="499"/>
      <c r="GR913" s="499"/>
      <c r="GS913" s="499"/>
      <c r="GT913" s="499"/>
      <c r="GU913" s="499"/>
      <c r="GV913" s="499"/>
      <c r="GW913" s="499"/>
      <c r="GX913" s="499"/>
      <c r="GY913" s="499"/>
      <c r="GZ913" s="499"/>
      <c r="HA913" s="499"/>
      <c r="HB913" s="499"/>
      <c r="HC913" s="499"/>
      <c r="HD913" s="499"/>
      <c r="HE913" s="499"/>
      <c r="HF913" s="499"/>
      <c r="HG913" s="499"/>
      <c r="HH913" s="499"/>
      <c r="HI913" s="499"/>
      <c r="HJ913" s="499"/>
      <c r="HK913" s="499"/>
      <c r="HL913" s="499"/>
      <c r="HM913" s="499"/>
      <c r="HN913" s="499"/>
      <c r="HO913" s="499"/>
      <c r="HP913" s="499"/>
      <c r="HQ913" s="499"/>
      <c r="HR913" s="499"/>
      <c r="HS913" s="499"/>
      <c r="HT913" s="499"/>
      <c r="HU913" s="499"/>
      <c r="HV913" s="499"/>
      <c r="HW913" s="499"/>
      <c r="HX913" s="499"/>
      <c r="HY913" s="499"/>
      <c r="HZ913" s="499"/>
      <c r="IA913" s="499"/>
      <c r="IB913" s="499"/>
      <c r="IC913" s="499"/>
      <c r="ID913" s="499"/>
      <c r="IE913" s="499"/>
      <c r="IF913" s="499"/>
      <c r="IG913" s="499"/>
      <c r="IH913" s="499"/>
      <c r="II913" s="499"/>
      <c r="IJ913" s="499"/>
      <c r="IK913" s="499"/>
      <c r="IL913" s="499"/>
      <c r="IM913" s="499"/>
      <c r="IN913" s="499"/>
      <c r="IO913" s="499"/>
      <c r="IP913" s="499"/>
      <c r="IQ913" s="499"/>
      <c r="IR913" s="499"/>
      <c r="IS913" s="499"/>
      <c r="IT913" s="499"/>
      <c r="IU913" s="499"/>
      <c r="IV913" s="499"/>
    </row>
    <row r="914" spans="1:256" s="1260" customFormat="1" ht="15" customHeight="1">
      <c r="A914" s="449" t="str">
        <f>+'LINEAS IMPULSIÓN-CONDUCCIÓN'!A183</f>
        <v>3.6.6</v>
      </c>
      <c r="B914" s="3573" t="s">
        <v>6529</v>
      </c>
      <c r="C914" s="3573"/>
      <c r="D914" s="3573"/>
      <c r="E914" s="3573"/>
      <c r="F914" s="3573"/>
      <c r="G914" s="3573"/>
      <c r="H914" s="3573"/>
      <c r="I914" s="3573"/>
    </row>
    <row r="915" spans="1:256" s="1260" customFormat="1" ht="15" customHeight="1">
      <c r="A915" s="1261"/>
      <c r="B915" s="1262"/>
      <c r="C915" s="1229" t="s">
        <v>140</v>
      </c>
      <c r="D915" s="1229" t="s">
        <v>343</v>
      </c>
      <c r="E915" s="2683" t="s">
        <v>344</v>
      </c>
      <c r="F915" s="2683" t="s">
        <v>482</v>
      </c>
      <c r="G915" s="2683" t="s">
        <v>483</v>
      </c>
      <c r="H915" s="2683" t="s">
        <v>232</v>
      </c>
      <c r="I915" s="2683" t="s">
        <v>171</v>
      </c>
    </row>
    <row r="916" spans="1:256" ht="15" customHeight="1">
      <c r="A916" s="1261" t="s">
        <v>345</v>
      </c>
      <c r="B916" s="184" t="s">
        <v>965</v>
      </c>
      <c r="C916" s="183">
        <v>0.34</v>
      </c>
      <c r="D916" s="1229" t="s">
        <v>346</v>
      </c>
      <c r="E916" s="2683">
        <f>+OFICI</f>
        <v>80479.625344</v>
      </c>
      <c r="F916" s="2683"/>
      <c r="G916" s="2683"/>
      <c r="H916" s="2683">
        <f>+E916*C916</f>
        <v>27363.072616960002</v>
      </c>
      <c r="I916" s="2683"/>
      <c r="J916" s="159"/>
    </row>
    <row r="917" spans="1:256" ht="15" customHeight="1">
      <c r="A917" s="1261" t="s">
        <v>347</v>
      </c>
      <c r="B917" s="184" t="s">
        <v>266</v>
      </c>
      <c r="C917" s="1263">
        <v>0.34</v>
      </c>
      <c r="D917" s="1229" t="s">
        <v>346</v>
      </c>
      <c r="E917" s="2683">
        <f>+AYUDA</f>
        <v>65389.695592000004</v>
      </c>
      <c r="F917" s="2683"/>
      <c r="G917" s="2683"/>
      <c r="H917" s="2683">
        <f>+E917*C917</f>
        <v>22232.496501280002</v>
      </c>
      <c r="I917" s="2683"/>
      <c r="J917" s="1260"/>
    </row>
    <row r="918" spans="1:256" ht="15" customHeight="1">
      <c r="A918" s="1261" t="s">
        <v>172</v>
      </c>
      <c r="B918" s="184" t="s">
        <v>189</v>
      </c>
      <c r="C918" s="1264">
        <v>1</v>
      </c>
      <c r="D918" s="1229" t="s">
        <v>583</v>
      </c>
      <c r="E918" s="2683">
        <f>+H919*0.05</f>
        <v>2479.7784559120005</v>
      </c>
      <c r="F918" s="2683"/>
      <c r="G918" s="2683"/>
      <c r="H918" s="2683"/>
      <c r="I918" s="2683">
        <f>+E918*C918</f>
        <v>2479.7784559120005</v>
      </c>
      <c r="J918" s="1260"/>
    </row>
    <row r="919" spans="1:256" s="1260" customFormat="1" ht="15" customHeight="1">
      <c r="A919" s="1265" t="s">
        <v>190</v>
      </c>
      <c r="B919" s="1266">
        <f>SUM(F919:I919)</f>
        <v>52075.347574152001</v>
      </c>
      <c r="C919" s="401"/>
      <c r="D919" s="1267"/>
      <c r="E919" s="2683"/>
      <c r="F919" s="2683">
        <f>SUM(F914:F918)</f>
        <v>0</v>
      </c>
      <c r="G919" s="2683">
        <f>SUM(G914:G918)</f>
        <v>0</v>
      </c>
      <c r="H919" s="2683">
        <f>SUM(H914:H918)</f>
        <v>49595.569118240004</v>
      </c>
      <c r="I919" s="2683">
        <f>SUM(I914:I918)</f>
        <v>2479.7784559120005</v>
      </c>
    </row>
    <row r="920" spans="1:256" s="1260" customFormat="1" ht="15" customHeight="1">
      <c r="A920" s="1265" t="s">
        <v>191</v>
      </c>
      <c r="B920" s="1268">
        <f>+B919</f>
        <v>52075.347574152001</v>
      </c>
      <c r="C920" s="1269" t="s">
        <v>363</v>
      </c>
      <c r="D920" s="863"/>
      <c r="E920" s="882">
        <f>+B927*0.15</f>
        <v>52744.2</v>
      </c>
      <c r="F920" s="1905"/>
      <c r="G920" s="882"/>
      <c r="H920" s="882"/>
      <c r="I920" s="882"/>
    </row>
    <row r="921" spans="1:256" s="498" customFormat="1" ht="15" customHeight="1">
      <c r="A921" s="1270"/>
      <c r="B921" s="1271"/>
      <c r="C921" s="1272"/>
      <c r="D921" s="1273"/>
      <c r="E921" s="503"/>
      <c r="F921" s="503"/>
      <c r="G921" s="503"/>
      <c r="H921" s="503"/>
      <c r="I921" s="503"/>
      <c r="N921" s="499"/>
      <c r="O921" s="499"/>
      <c r="P921" s="499"/>
      <c r="Q921" s="499"/>
      <c r="R921" s="499"/>
      <c r="S921" s="499"/>
      <c r="T921" s="499"/>
      <c r="U921" s="499"/>
      <c r="V921" s="499"/>
      <c r="W921" s="499"/>
      <c r="X921" s="499"/>
      <c r="Y921" s="499"/>
      <c r="Z921" s="499"/>
      <c r="AA921" s="499"/>
      <c r="AB921" s="499"/>
      <c r="AC921" s="499"/>
      <c r="AD921" s="499"/>
      <c r="AE921" s="499"/>
      <c r="AF921" s="499"/>
      <c r="AG921" s="499"/>
      <c r="AH921" s="499"/>
      <c r="AI921" s="499"/>
      <c r="AJ921" s="499"/>
      <c r="AK921" s="499"/>
      <c r="AL921" s="499"/>
      <c r="AM921" s="499"/>
      <c r="AN921" s="499"/>
      <c r="AO921" s="499"/>
      <c r="AP921" s="499"/>
      <c r="AQ921" s="499"/>
      <c r="AR921" s="499"/>
      <c r="AS921" s="499"/>
      <c r="AT921" s="499"/>
      <c r="AU921" s="499"/>
      <c r="AV921" s="499"/>
      <c r="AW921" s="499"/>
      <c r="AX921" s="499"/>
      <c r="AY921" s="499"/>
      <c r="AZ921" s="499"/>
      <c r="BA921" s="499"/>
      <c r="BB921" s="499"/>
      <c r="BC921" s="499"/>
      <c r="BD921" s="499"/>
      <c r="BE921" s="499"/>
      <c r="BF921" s="499"/>
      <c r="BG921" s="499"/>
      <c r="BH921" s="499"/>
      <c r="BI921" s="499"/>
      <c r="BJ921" s="499"/>
      <c r="BK921" s="499"/>
      <c r="BL921" s="499"/>
      <c r="BM921" s="499"/>
      <c r="BN921" s="499"/>
      <c r="BO921" s="499"/>
      <c r="BP921" s="499"/>
      <c r="BQ921" s="499"/>
      <c r="BR921" s="499"/>
      <c r="BS921" s="499"/>
      <c r="BT921" s="499"/>
      <c r="BU921" s="499"/>
      <c r="BV921" s="499"/>
      <c r="BW921" s="499"/>
      <c r="BX921" s="499"/>
      <c r="BY921" s="499"/>
      <c r="BZ921" s="499"/>
      <c r="CA921" s="499"/>
      <c r="CB921" s="499"/>
      <c r="CC921" s="499"/>
      <c r="CD921" s="499"/>
      <c r="CE921" s="499"/>
      <c r="CF921" s="499"/>
      <c r="CG921" s="499"/>
      <c r="CH921" s="499"/>
      <c r="CI921" s="499"/>
      <c r="CJ921" s="499"/>
      <c r="CK921" s="499"/>
      <c r="CL921" s="499"/>
      <c r="CM921" s="499"/>
      <c r="CN921" s="499"/>
      <c r="CO921" s="499"/>
      <c r="CP921" s="499"/>
      <c r="CQ921" s="499"/>
      <c r="CR921" s="499"/>
      <c r="CS921" s="499"/>
      <c r="CT921" s="499"/>
      <c r="CU921" s="499"/>
      <c r="CV921" s="499"/>
      <c r="CW921" s="499"/>
      <c r="CX921" s="499"/>
      <c r="CY921" s="499"/>
      <c r="CZ921" s="499"/>
      <c r="DA921" s="499"/>
      <c r="DB921" s="499"/>
      <c r="DC921" s="499"/>
      <c r="DD921" s="499"/>
      <c r="DE921" s="499"/>
      <c r="DF921" s="499"/>
      <c r="DG921" s="499"/>
      <c r="DH921" s="499"/>
      <c r="DI921" s="499"/>
      <c r="DJ921" s="499"/>
      <c r="DK921" s="499"/>
      <c r="DL921" s="499"/>
      <c r="DM921" s="499"/>
      <c r="DN921" s="499"/>
      <c r="DO921" s="499"/>
      <c r="DP921" s="499"/>
      <c r="DQ921" s="499"/>
      <c r="DR921" s="499"/>
      <c r="DS921" s="499"/>
      <c r="DT921" s="499"/>
      <c r="DU921" s="499"/>
      <c r="DV921" s="499"/>
      <c r="DW921" s="499"/>
      <c r="DX921" s="499"/>
      <c r="DY921" s="499"/>
      <c r="DZ921" s="499"/>
      <c r="EA921" s="499"/>
      <c r="EB921" s="499"/>
      <c r="EC921" s="499"/>
      <c r="ED921" s="499"/>
      <c r="EE921" s="499"/>
      <c r="EF921" s="499"/>
      <c r="EG921" s="499"/>
      <c r="EH921" s="499"/>
      <c r="EI921" s="499"/>
      <c r="EJ921" s="499"/>
      <c r="EK921" s="499"/>
      <c r="EL921" s="499"/>
      <c r="EM921" s="499"/>
      <c r="EN921" s="499"/>
      <c r="EO921" s="499"/>
      <c r="EP921" s="499"/>
      <c r="EQ921" s="499"/>
      <c r="ER921" s="499"/>
      <c r="ES921" s="499"/>
      <c r="ET921" s="499"/>
      <c r="EU921" s="499"/>
      <c r="EV921" s="499"/>
      <c r="EW921" s="499"/>
      <c r="EX921" s="499"/>
      <c r="EY921" s="499"/>
      <c r="EZ921" s="499"/>
      <c r="FA921" s="499"/>
      <c r="FB921" s="499"/>
      <c r="FC921" s="499"/>
      <c r="FD921" s="499"/>
      <c r="FE921" s="499"/>
      <c r="FF921" s="499"/>
      <c r="FG921" s="499"/>
      <c r="FH921" s="499"/>
      <c r="FI921" s="499"/>
      <c r="FJ921" s="499"/>
      <c r="FK921" s="499"/>
      <c r="FL921" s="499"/>
      <c r="FM921" s="499"/>
      <c r="FN921" s="499"/>
      <c r="FO921" s="499"/>
      <c r="FP921" s="499"/>
      <c r="FQ921" s="499"/>
      <c r="FR921" s="499"/>
      <c r="FS921" s="499"/>
      <c r="FT921" s="499"/>
      <c r="FU921" s="499"/>
      <c r="FV921" s="499"/>
      <c r="FW921" s="499"/>
      <c r="FX921" s="499"/>
      <c r="FY921" s="499"/>
      <c r="FZ921" s="499"/>
      <c r="GA921" s="499"/>
      <c r="GB921" s="499"/>
      <c r="GC921" s="499"/>
      <c r="GD921" s="499"/>
      <c r="GE921" s="499"/>
      <c r="GF921" s="499"/>
      <c r="GG921" s="499"/>
      <c r="GH921" s="499"/>
      <c r="GI921" s="499"/>
      <c r="GJ921" s="499"/>
      <c r="GK921" s="499"/>
      <c r="GL921" s="499"/>
      <c r="GM921" s="499"/>
      <c r="GN921" s="499"/>
      <c r="GO921" s="499"/>
      <c r="GP921" s="499"/>
      <c r="GQ921" s="499"/>
      <c r="GR921" s="499"/>
      <c r="GS921" s="499"/>
      <c r="GT921" s="499"/>
      <c r="GU921" s="499"/>
      <c r="GV921" s="499"/>
      <c r="GW921" s="499"/>
      <c r="GX921" s="499"/>
      <c r="GY921" s="499"/>
      <c r="GZ921" s="499"/>
      <c r="HA921" s="499"/>
      <c r="HB921" s="499"/>
      <c r="HC921" s="499"/>
      <c r="HD921" s="499"/>
      <c r="HE921" s="499"/>
      <c r="HF921" s="499"/>
      <c r="HG921" s="499"/>
      <c r="HH921" s="499"/>
      <c r="HI921" s="499"/>
      <c r="HJ921" s="499"/>
      <c r="HK921" s="499"/>
      <c r="HL921" s="499"/>
      <c r="HM921" s="499"/>
      <c r="HN921" s="499"/>
      <c r="HO921" s="499"/>
      <c r="HP921" s="499"/>
      <c r="HQ921" s="499"/>
      <c r="HR921" s="499"/>
      <c r="HS921" s="499"/>
      <c r="HT921" s="499"/>
      <c r="HU921" s="499"/>
      <c r="HV921" s="499"/>
      <c r="HW921" s="499"/>
      <c r="HX921" s="499"/>
      <c r="HY921" s="499"/>
      <c r="HZ921" s="499"/>
      <c r="IA921" s="499"/>
      <c r="IB921" s="499"/>
      <c r="IC921" s="499"/>
      <c r="ID921" s="499"/>
      <c r="IE921" s="499"/>
      <c r="IF921" s="499"/>
      <c r="IG921" s="499"/>
      <c r="IH921" s="499"/>
      <c r="II921" s="499"/>
      <c r="IJ921" s="499"/>
      <c r="IK921" s="499"/>
      <c r="IL921" s="499"/>
      <c r="IM921" s="499"/>
      <c r="IN921" s="499"/>
      <c r="IO921" s="499"/>
      <c r="IP921" s="499"/>
      <c r="IQ921" s="499"/>
      <c r="IR921" s="499"/>
      <c r="IS921" s="499"/>
      <c r="IT921" s="499"/>
      <c r="IU921" s="499"/>
      <c r="IV921" s="499"/>
    </row>
    <row r="922" spans="1:256" s="1260" customFormat="1" ht="15" customHeight="1">
      <c r="A922" s="2169" t="str">
        <f>+'LINEAS IMPULSIÓN-CONDUCCIÓN'!A204</f>
        <v>3.7.6</v>
      </c>
      <c r="B922" s="3651" t="s">
        <v>6528</v>
      </c>
      <c r="C922" s="3651"/>
      <c r="D922" s="3651"/>
      <c r="E922" s="3651"/>
      <c r="F922" s="3651"/>
      <c r="G922" s="3651"/>
      <c r="H922" s="3651"/>
      <c r="I922" s="3651"/>
    </row>
    <row r="923" spans="1:256" s="1260" customFormat="1" ht="15" customHeight="1">
      <c r="A923" s="1261"/>
      <c r="B923" s="1262"/>
      <c r="C923" s="1229" t="s">
        <v>140</v>
      </c>
      <c r="D923" s="1229" t="s">
        <v>343</v>
      </c>
      <c r="E923" s="2683" t="s">
        <v>344</v>
      </c>
      <c r="F923" s="2683" t="s">
        <v>482</v>
      </c>
      <c r="G923" s="2683" t="s">
        <v>483</v>
      </c>
      <c r="H923" s="2683" t="s">
        <v>232</v>
      </c>
      <c r="I923" s="2683" t="s">
        <v>171</v>
      </c>
    </row>
    <row r="924" spans="1:256" s="1260" customFormat="1" ht="15" customHeight="1">
      <c r="A924" s="954" t="s">
        <v>762</v>
      </c>
      <c r="B924" s="185" t="s">
        <v>6527</v>
      </c>
      <c r="C924" s="1264">
        <v>1</v>
      </c>
      <c r="D924" s="1274" t="s">
        <v>363</v>
      </c>
      <c r="E924" s="1255">
        <f>+'BASE 2'!D635</f>
        <v>345628</v>
      </c>
      <c r="F924" s="1255"/>
      <c r="G924" s="1255">
        <f>+E924*C924</f>
        <v>345628</v>
      </c>
      <c r="H924" s="1255"/>
      <c r="I924" s="1255"/>
    </row>
    <row r="925" spans="1:256" ht="15" customHeight="1">
      <c r="A925" s="1261" t="s">
        <v>584</v>
      </c>
      <c r="B925" s="1275" t="s">
        <v>134</v>
      </c>
      <c r="C925" s="183">
        <f>1/200</f>
        <v>5.0000000000000001E-3</v>
      </c>
      <c r="D925" s="401" t="s">
        <v>583</v>
      </c>
      <c r="E925" s="1276">
        <f>+VIAJE</f>
        <v>1200000</v>
      </c>
      <c r="F925" s="2683"/>
      <c r="G925" s="2683"/>
      <c r="H925" s="2683"/>
      <c r="I925" s="2683">
        <f>+E925*C925</f>
        <v>6000</v>
      </c>
      <c r="J925" s="1260"/>
    </row>
    <row r="926" spans="1:256" s="1260" customFormat="1" ht="15" customHeight="1">
      <c r="A926" s="1265" t="s">
        <v>190</v>
      </c>
      <c r="B926" s="1266">
        <f>SUM(F926:I926)</f>
        <v>351628</v>
      </c>
      <c r="C926" s="401"/>
      <c r="D926" s="1267"/>
      <c r="E926" s="2683"/>
      <c r="F926" s="2683">
        <f>SUM(F922:F925)</f>
        <v>0</v>
      </c>
      <c r="G926" s="2683">
        <f>SUM(G922:G925)</f>
        <v>345628</v>
      </c>
      <c r="H926" s="2683">
        <f>SUM(H922:H925)</f>
        <v>0</v>
      </c>
      <c r="I926" s="2683">
        <f>SUM(I922:I925)</f>
        <v>6000</v>
      </c>
    </row>
    <row r="927" spans="1:256" s="1260" customFormat="1" ht="15" customHeight="1">
      <c r="A927" s="1265" t="s">
        <v>191</v>
      </c>
      <c r="B927" s="1268">
        <f>+B926</f>
        <v>351628</v>
      </c>
      <c r="C927" s="1269" t="s">
        <v>363</v>
      </c>
      <c r="D927" s="863"/>
      <c r="E927" s="882"/>
      <c r="F927" s="1905"/>
      <c r="G927" s="882"/>
      <c r="H927" s="882"/>
      <c r="I927" s="882"/>
    </row>
    <row r="928" spans="1:256" s="498" customFormat="1" ht="15" customHeight="1">
      <c r="A928" s="1270"/>
      <c r="B928" s="1271"/>
      <c r="C928" s="1272"/>
      <c r="D928" s="1273"/>
      <c r="E928" s="503"/>
      <c r="F928" s="503"/>
      <c r="G928" s="503"/>
      <c r="H928" s="503"/>
      <c r="I928" s="503"/>
      <c r="N928" s="499"/>
      <c r="O928" s="499"/>
      <c r="P928" s="499"/>
      <c r="Q928" s="499"/>
      <c r="R928" s="499"/>
      <c r="S928" s="499"/>
      <c r="T928" s="499"/>
      <c r="U928" s="499"/>
      <c r="V928" s="499"/>
      <c r="W928" s="499"/>
      <c r="X928" s="499"/>
      <c r="Y928" s="499"/>
      <c r="Z928" s="499"/>
      <c r="AA928" s="499"/>
      <c r="AB928" s="499"/>
      <c r="AC928" s="499"/>
      <c r="AD928" s="499"/>
      <c r="AE928" s="499"/>
      <c r="AF928" s="499"/>
      <c r="AG928" s="499"/>
      <c r="AH928" s="499"/>
      <c r="AI928" s="499"/>
      <c r="AJ928" s="499"/>
      <c r="AK928" s="499"/>
      <c r="AL928" s="499"/>
      <c r="AM928" s="499"/>
      <c r="AN928" s="499"/>
      <c r="AO928" s="499"/>
      <c r="AP928" s="499"/>
      <c r="AQ928" s="499"/>
      <c r="AR928" s="499"/>
      <c r="AS928" s="499"/>
      <c r="AT928" s="499"/>
      <c r="AU928" s="499"/>
      <c r="AV928" s="499"/>
      <c r="AW928" s="499"/>
      <c r="AX928" s="499"/>
      <c r="AY928" s="499"/>
      <c r="AZ928" s="499"/>
      <c r="BA928" s="499"/>
      <c r="BB928" s="499"/>
      <c r="BC928" s="499"/>
      <c r="BD928" s="499"/>
      <c r="BE928" s="499"/>
      <c r="BF928" s="499"/>
      <c r="BG928" s="499"/>
      <c r="BH928" s="499"/>
      <c r="BI928" s="499"/>
      <c r="BJ928" s="499"/>
      <c r="BK928" s="499"/>
      <c r="BL928" s="499"/>
      <c r="BM928" s="499"/>
      <c r="BN928" s="499"/>
      <c r="BO928" s="499"/>
      <c r="BP928" s="499"/>
      <c r="BQ928" s="499"/>
      <c r="BR928" s="499"/>
      <c r="BS928" s="499"/>
      <c r="BT928" s="499"/>
      <c r="BU928" s="499"/>
      <c r="BV928" s="499"/>
      <c r="BW928" s="499"/>
      <c r="BX928" s="499"/>
      <c r="BY928" s="499"/>
      <c r="BZ928" s="499"/>
      <c r="CA928" s="499"/>
      <c r="CB928" s="499"/>
      <c r="CC928" s="499"/>
      <c r="CD928" s="499"/>
      <c r="CE928" s="499"/>
      <c r="CF928" s="499"/>
      <c r="CG928" s="499"/>
      <c r="CH928" s="499"/>
      <c r="CI928" s="499"/>
      <c r="CJ928" s="499"/>
      <c r="CK928" s="499"/>
      <c r="CL928" s="499"/>
      <c r="CM928" s="499"/>
      <c r="CN928" s="499"/>
      <c r="CO928" s="499"/>
      <c r="CP928" s="499"/>
      <c r="CQ928" s="499"/>
      <c r="CR928" s="499"/>
      <c r="CS928" s="499"/>
      <c r="CT928" s="499"/>
      <c r="CU928" s="499"/>
      <c r="CV928" s="499"/>
      <c r="CW928" s="499"/>
      <c r="CX928" s="499"/>
      <c r="CY928" s="499"/>
      <c r="CZ928" s="499"/>
      <c r="DA928" s="499"/>
      <c r="DB928" s="499"/>
      <c r="DC928" s="499"/>
      <c r="DD928" s="499"/>
      <c r="DE928" s="499"/>
      <c r="DF928" s="499"/>
      <c r="DG928" s="499"/>
      <c r="DH928" s="499"/>
      <c r="DI928" s="499"/>
      <c r="DJ928" s="499"/>
      <c r="DK928" s="499"/>
      <c r="DL928" s="499"/>
      <c r="DM928" s="499"/>
      <c r="DN928" s="499"/>
      <c r="DO928" s="499"/>
      <c r="DP928" s="499"/>
      <c r="DQ928" s="499"/>
      <c r="DR928" s="499"/>
      <c r="DS928" s="499"/>
      <c r="DT928" s="499"/>
      <c r="DU928" s="499"/>
      <c r="DV928" s="499"/>
      <c r="DW928" s="499"/>
      <c r="DX928" s="499"/>
      <c r="DY928" s="499"/>
      <c r="DZ928" s="499"/>
      <c r="EA928" s="499"/>
      <c r="EB928" s="499"/>
      <c r="EC928" s="499"/>
      <c r="ED928" s="499"/>
      <c r="EE928" s="499"/>
      <c r="EF928" s="499"/>
      <c r="EG928" s="499"/>
      <c r="EH928" s="499"/>
      <c r="EI928" s="499"/>
      <c r="EJ928" s="499"/>
      <c r="EK928" s="499"/>
      <c r="EL928" s="499"/>
      <c r="EM928" s="499"/>
      <c r="EN928" s="499"/>
      <c r="EO928" s="499"/>
      <c r="EP928" s="499"/>
      <c r="EQ928" s="499"/>
      <c r="ER928" s="499"/>
      <c r="ES928" s="499"/>
      <c r="ET928" s="499"/>
      <c r="EU928" s="499"/>
      <c r="EV928" s="499"/>
      <c r="EW928" s="499"/>
      <c r="EX928" s="499"/>
      <c r="EY928" s="499"/>
      <c r="EZ928" s="499"/>
      <c r="FA928" s="499"/>
      <c r="FB928" s="499"/>
      <c r="FC928" s="499"/>
      <c r="FD928" s="499"/>
      <c r="FE928" s="499"/>
      <c r="FF928" s="499"/>
      <c r="FG928" s="499"/>
      <c r="FH928" s="499"/>
      <c r="FI928" s="499"/>
      <c r="FJ928" s="499"/>
      <c r="FK928" s="499"/>
      <c r="FL928" s="499"/>
      <c r="FM928" s="499"/>
      <c r="FN928" s="499"/>
      <c r="FO928" s="499"/>
      <c r="FP928" s="499"/>
      <c r="FQ928" s="499"/>
      <c r="FR928" s="499"/>
      <c r="FS928" s="499"/>
      <c r="FT928" s="499"/>
      <c r="FU928" s="499"/>
      <c r="FV928" s="499"/>
      <c r="FW928" s="499"/>
      <c r="FX928" s="499"/>
      <c r="FY928" s="499"/>
      <c r="FZ928" s="499"/>
      <c r="GA928" s="499"/>
      <c r="GB928" s="499"/>
      <c r="GC928" s="499"/>
      <c r="GD928" s="499"/>
      <c r="GE928" s="499"/>
      <c r="GF928" s="499"/>
      <c r="GG928" s="499"/>
      <c r="GH928" s="499"/>
      <c r="GI928" s="499"/>
      <c r="GJ928" s="499"/>
      <c r="GK928" s="499"/>
      <c r="GL928" s="499"/>
      <c r="GM928" s="499"/>
      <c r="GN928" s="499"/>
      <c r="GO928" s="499"/>
      <c r="GP928" s="499"/>
      <c r="GQ928" s="499"/>
      <c r="GR928" s="499"/>
      <c r="GS928" s="499"/>
      <c r="GT928" s="499"/>
      <c r="GU928" s="499"/>
      <c r="GV928" s="499"/>
      <c r="GW928" s="499"/>
      <c r="GX928" s="499"/>
      <c r="GY928" s="499"/>
      <c r="GZ928" s="499"/>
      <c r="HA928" s="499"/>
      <c r="HB928" s="499"/>
      <c r="HC928" s="499"/>
      <c r="HD928" s="499"/>
      <c r="HE928" s="499"/>
      <c r="HF928" s="499"/>
      <c r="HG928" s="499"/>
      <c r="HH928" s="499"/>
      <c r="HI928" s="499"/>
      <c r="HJ928" s="499"/>
      <c r="HK928" s="499"/>
      <c r="HL928" s="499"/>
      <c r="HM928" s="499"/>
      <c r="HN928" s="499"/>
      <c r="HO928" s="499"/>
      <c r="HP928" s="499"/>
      <c r="HQ928" s="499"/>
      <c r="HR928" s="499"/>
      <c r="HS928" s="499"/>
      <c r="HT928" s="499"/>
      <c r="HU928" s="499"/>
      <c r="HV928" s="499"/>
      <c r="HW928" s="499"/>
      <c r="HX928" s="499"/>
      <c r="HY928" s="499"/>
      <c r="HZ928" s="499"/>
      <c r="IA928" s="499"/>
      <c r="IB928" s="499"/>
      <c r="IC928" s="499"/>
      <c r="ID928" s="499"/>
      <c r="IE928" s="499"/>
      <c r="IF928" s="499"/>
      <c r="IG928" s="499"/>
      <c r="IH928" s="499"/>
      <c r="II928" s="499"/>
      <c r="IJ928" s="499"/>
      <c r="IK928" s="499"/>
      <c r="IL928" s="499"/>
      <c r="IM928" s="499"/>
      <c r="IN928" s="499"/>
      <c r="IO928" s="499"/>
      <c r="IP928" s="499"/>
      <c r="IQ928" s="499"/>
      <c r="IR928" s="499"/>
      <c r="IS928" s="499"/>
      <c r="IT928" s="499"/>
      <c r="IU928" s="499"/>
      <c r="IV928" s="499"/>
    </row>
    <row r="929" spans="1:256" s="1260" customFormat="1" ht="15" customHeight="1">
      <c r="A929" s="433" t="str">
        <f>+'LINEAS IMPULSIÓN-CONDUCCIÓN'!A184</f>
        <v>3.6.7</v>
      </c>
      <c r="B929" s="3573" t="s">
        <v>6532</v>
      </c>
      <c r="C929" s="3573"/>
      <c r="D929" s="3573"/>
      <c r="E929" s="3573"/>
      <c r="F929" s="3573"/>
      <c r="G929" s="3573"/>
      <c r="H929" s="3573"/>
      <c r="I929" s="3573"/>
    </row>
    <row r="930" spans="1:256" s="1260" customFormat="1" ht="15" customHeight="1">
      <c r="A930" s="1261"/>
      <c r="B930" s="1262"/>
      <c r="C930" s="1229" t="s">
        <v>140</v>
      </c>
      <c r="D930" s="1229" t="s">
        <v>343</v>
      </c>
      <c r="E930" s="2683" t="s">
        <v>344</v>
      </c>
      <c r="F930" s="2683" t="s">
        <v>482</v>
      </c>
      <c r="G930" s="2683" t="s">
        <v>483</v>
      </c>
      <c r="H930" s="2683" t="s">
        <v>232</v>
      </c>
      <c r="I930" s="2683" t="s">
        <v>171</v>
      </c>
    </row>
    <row r="931" spans="1:256" ht="15" customHeight="1">
      <c r="A931" s="1261" t="s">
        <v>345</v>
      </c>
      <c r="B931" s="184" t="s">
        <v>965</v>
      </c>
      <c r="C931" s="183">
        <v>0.36</v>
      </c>
      <c r="D931" s="1229" t="s">
        <v>346</v>
      </c>
      <c r="E931" s="2683">
        <f>+OFICI</f>
        <v>80479.625344</v>
      </c>
      <c r="F931" s="2683"/>
      <c r="G931" s="2683"/>
      <c r="H931" s="2683">
        <f>+E931*C931</f>
        <v>28972.665123839997</v>
      </c>
      <c r="I931" s="2683"/>
      <c r="J931" s="159"/>
    </row>
    <row r="932" spans="1:256" ht="15" customHeight="1">
      <c r="A932" s="1261" t="s">
        <v>347</v>
      </c>
      <c r="B932" s="184" t="s">
        <v>266</v>
      </c>
      <c r="C932" s="1263">
        <v>0.36</v>
      </c>
      <c r="D932" s="1229" t="s">
        <v>346</v>
      </c>
      <c r="E932" s="2683">
        <f>+AYUDA</f>
        <v>65389.695592000004</v>
      </c>
      <c r="F932" s="2683"/>
      <c r="G932" s="2683"/>
      <c r="H932" s="2683">
        <f>+E932*C932</f>
        <v>23540.290413120001</v>
      </c>
      <c r="I932" s="2683"/>
      <c r="J932" s="1260"/>
    </row>
    <row r="933" spans="1:256" ht="15" customHeight="1">
      <c r="A933" s="1261" t="s">
        <v>172</v>
      </c>
      <c r="B933" s="184" t="s">
        <v>189</v>
      </c>
      <c r="C933" s="1264">
        <v>1</v>
      </c>
      <c r="D933" s="1229" t="s">
        <v>583</v>
      </c>
      <c r="E933" s="2683">
        <f>+H934*0.05</f>
        <v>2625.6477768479999</v>
      </c>
      <c r="F933" s="2683"/>
      <c r="G933" s="2683"/>
      <c r="H933" s="2683"/>
      <c r="I933" s="2683">
        <f>+E933*C933</f>
        <v>2625.6477768479999</v>
      </c>
      <c r="J933" s="1260"/>
    </row>
    <row r="934" spans="1:256" s="1260" customFormat="1" ht="15" customHeight="1">
      <c r="A934" s="1265" t="s">
        <v>190</v>
      </c>
      <c r="B934" s="1266">
        <f>SUM(F934:I934)</f>
        <v>55138.603313807995</v>
      </c>
      <c r="C934" s="401"/>
      <c r="D934" s="1267"/>
      <c r="E934" s="2683"/>
      <c r="F934" s="2683">
        <f>SUM(F929:F933)</f>
        <v>0</v>
      </c>
      <c r="G934" s="2683">
        <f>SUM(G929:G933)</f>
        <v>0</v>
      </c>
      <c r="H934" s="2683">
        <f>SUM(H929:H933)</f>
        <v>52512.955536959998</v>
      </c>
      <c r="I934" s="2683">
        <f>SUM(I929:I933)</f>
        <v>2625.6477768479999</v>
      </c>
    </row>
    <row r="935" spans="1:256" s="1260" customFormat="1" ht="15" customHeight="1">
      <c r="A935" s="1265" t="s">
        <v>191</v>
      </c>
      <c r="B935" s="1268">
        <f>+B934</f>
        <v>55138.603313807995</v>
      </c>
      <c r="C935" s="1269" t="s">
        <v>363</v>
      </c>
      <c r="D935" s="863"/>
      <c r="E935" s="882">
        <f>+B942*0.15</f>
        <v>55786.799999999996</v>
      </c>
      <c r="F935" s="1905"/>
      <c r="G935" s="882"/>
      <c r="H935" s="882"/>
      <c r="I935" s="882"/>
    </row>
    <row r="936" spans="1:256" s="498" customFormat="1" ht="15" customHeight="1">
      <c r="A936" s="1270"/>
      <c r="B936" s="1271"/>
      <c r="C936" s="1272"/>
      <c r="D936" s="1273"/>
      <c r="E936" s="503"/>
      <c r="F936" s="503"/>
      <c r="G936" s="503"/>
      <c r="H936" s="503"/>
      <c r="I936" s="503"/>
      <c r="N936" s="499"/>
      <c r="O936" s="499"/>
      <c r="P936" s="499"/>
      <c r="Q936" s="499"/>
      <c r="R936" s="499"/>
      <c r="S936" s="499"/>
      <c r="T936" s="499"/>
      <c r="U936" s="499"/>
      <c r="V936" s="499"/>
      <c r="W936" s="499"/>
      <c r="X936" s="499"/>
      <c r="Y936" s="499"/>
      <c r="Z936" s="499"/>
      <c r="AA936" s="499"/>
      <c r="AB936" s="499"/>
      <c r="AC936" s="499"/>
      <c r="AD936" s="499"/>
      <c r="AE936" s="499"/>
      <c r="AF936" s="499"/>
      <c r="AG936" s="499"/>
      <c r="AH936" s="499"/>
      <c r="AI936" s="499"/>
      <c r="AJ936" s="499"/>
      <c r="AK936" s="499"/>
      <c r="AL936" s="499"/>
      <c r="AM936" s="499"/>
      <c r="AN936" s="499"/>
      <c r="AO936" s="499"/>
      <c r="AP936" s="499"/>
      <c r="AQ936" s="499"/>
      <c r="AR936" s="499"/>
      <c r="AS936" s="499"/>
      <c r="AT936" s="499"/>
      <c r="AU936" s="499"/>
      <c r="AV936" s="499"/>
      <c r="AW936" s="499"/>
      <c r="AX936" s="499"/>
      <c r="AY936" s="499"/>
      <c r="AZ936" s="499"/>
      <c r="BA936" s="499"/>
      <c r="BB936" s="499"/>
      <c r="BC936" s="499"/>
      <c r="BD936" s="499"/>
      <c r="BE936" s="499"/>
      <c r="BF936" s="499"/>
      <c r="BG936" s="499"/>
      <c r="BH936" s="499"/>
      <c r="BI936" s="499"/>
      <c r="BJ936" s="499"/>
      <c r="BK936" s="499"/>
      <c r="BL936" s="499"/>
      <c r="BM936" s="499"/>
      <c r="BN936" s="499"/>
      <c r="BO936" s="499"/>
      <c r="BP936" s="499"/>
      <c r="BQ936" s="499"/>
      <c r="BR936" s="499"/>
      <c r="BS936" s="499"/>
      <c r="BT936" s="499"/>
      <c r="BU936" s="499"/>
      <c r="BV936" s="499"/>
      <c r="BW936" s="499"/>
      <c r="BX936" s="499"/>
      <c r="BY936" s="499"/>
      <c r="BZ936" s="499"/>
      <c r="CA936" s="499"/>
      <c r="CB936" s="499"/>
      <c r="CC936" s="499"/>
      <c r="CD936" s="499"/>
      <c r="CE936" s="499"/>
      <c r="CF936" s="499"/>
      <c r="CG936" s="499"/>
      <c r="CH936" s="499"/>
      <c r="CI936" s="499"/>
      <c r="CJ936" s="499"/>
      <c r="CK936" s="499"/>
      <c r="CL936" s="499"/>
      <c r="CM936" s="499"/>
      <c r="CN936" s="499"/>
      <c r="CO936" s="499"/>
      <c r="CP936" s="499"/>
      <c r="CQ936" s="499"/>
      <c r="CR936" s="499"/>
      <c r="CS936" s="499"/>
      <c r="CT936" s="499"/>
      <c r="CU936" s="499"/>
      <c r="CV936" s="499"/>
      <c r="CW936" s="499"/>
      <c r="CX936" s="499"/>
      <c r="CY936" s="499"/>
      <c r="CZ936" s="499"/>
      <c r="DA936" s="499"/>
      <c r="DB936" s="499"/>
      <c r="DC936" s="499"/>
      <c r="DD936" s="499"/>
      <c r="DE936" s="499"/>
      <c r="DF936" s="499"/>
      <c r="DG936" s="499"/>
      <c r="DH936" s="499"/>
      <c r="DI936" s="499"/>
      <c r="DJ936" s="499"/>
      <c r="DK936" s="499"/>
      <c r="DL936" s="499"/>
      <c r="DM936" s="499"/>
      <c r="DN936" s="499"/>
      <c r="DO936" s="499"/>
      <c r="DP936" s="499"/>
      <c r="DQ936" s="499"/>
      <c r="DR936" s="499"/>
      <c r="DS936" s="499"/>
      <c r="DT936" s="499"/>
      <c r="DU936" s="499"/>
      <c r="DV936" s="499"/>
      <c r="DW936" s="499"/>
      <c r="DX936" s="499"/>
      <c r="DY936" s="499"/>
      <c r="DZ936" s="499"/>
      <c r="EA936" s="499"/>
      <c r="EB936" s="499"/>
      <c r="EC936" s="499"/>
      <c r="ED936" s="499"/>
      <c r="EE936" s="499"/>
      <c r="EF936" s="499"/>
      <c r="EG936" s="499"/>
      <c r="EH936" s="499"/>
      <c r="EI936" s="499"/>
      <c r="EJ936" s="499"/>
      <c r="EK936" s="499"/>
      <c r="EL936" s="499"/>
      <c r="EM936" s="499"/>
      <c r="EN936" s="499"/>
      <c r="EO936" s="499"/>
      <c r="EP936" s="499"/>
      <c r="EQ936" s="499"/>
      <c r="ER936" s="499"/>
      <c r="ES936" s="499"/>
      <c r="ET936" s="499"/>
      <c r="EU936" s="499"/>
      <c r="EV936" s="499"/>
      <c r="EW936" s="499"/>
      <c r="EX936" s="499"/>
      <c r="EY936" s="499"/>
      <c r="EZ936" s="499"/>
      <c r="FA936" s="499"/>
      <c r="FB936" s="499"/>
      <c r="FC936" s="499"/>
      <c r="FD936" s="499"/>
      <c r="FE936" s="499"/>
      <c r="FF936" s="499"/>
      <c r="FG936" s="499"/>
      <c r="FH936" s="499"/>
      <c r="FI936" s="499"/>
      <c r="FJ936" s="499"/>
      <c r="FK936" s="499"/>
      <c r="FL936" s="499"/>
      <c r="FM936" s="499"/>
      <c r="FN936" s="499"/>
      <c r="FO936" s="499"/>
      <c r="FP936" s="499"/>
      <c r="FQ936" s="499"/>
      <c r="FR936" s="499"/>
      <c r="FS936" s="499"/>
      <c r="FT936" s="499"/>
      <c r="FU936" s="499"/>
      <c r="FV936" s="499"/>
      <c r="FW936" s="499"/>
      <c r="FX936" s="499"/>
      <c r="FY936" s="499"/>
      <c r="FZ936" s="499"/>
      <c r="GA936" s="499"/>
      <c r="GB936" s="499"/>
      <c r="GC936" s="499"/>
      <c r="GD936" s="499"/>
      <c r="GE936" s="499"/>
      <c r="GF936" s="499"/>
      <c r="GG936" s="499"/>
      <c r="GH936" s="499"/>
      <c r="GI936" s="499"/>
      <c r="GJ936" s="499"/>
      <c r="GK936" s="499"/>
      <c r="GL936" s="499"/>
      <c r="GM936" s="499"/>
      <c r="GN936" s="499"/>
      <c r="GO936" s="499"/>
      <c r="GP936" s="499"/>
      <c r="GQ936" s="499"/>
      <c r="GR936" s="499"/>
      <c r="GS936" s="499"/>
      <c r="GT936" s="499"/>
      <c r="GU936" s="499"/>
      <c r="GV936" s="499"/>
      <c r="GW936" s="499"/>
      <c r="GX936" s="499"/>
      <c r="GY936" s="499"/>
      <c r="GZ936" s="499"/>
      <c r="HA936" s="499"/>
      <c r="HB936" s="499"/>
      <c r="HC936" s="499"/>
      <c r="HD936" s="499"/>
      <c r="HE936" s="499"/>
      <c r="HF936" s="499"/>
      <c r="HG936" s="499"/>
      <c r="HH936" s="499"/>
      <c r="HI936" s="499"/>
      <c r="HJ936" s="499"/>
      <c r="HK936" s="499"/>
      <c r="HL936" s="499"/>
      <c r="HM936" s="499"/>
      <c r="HN936" s="499"/>
      <c r="HO936" s="499"/>
      <c r="HP936" s="499"/>
      <c r="HQ936" s="499"/>
      <c r="HR936" s="499"/>
      <c r="HS936" s="499"/>
      <c r="HT936" s="499"/>
      <c r="HU936" s="499"/>
      <c r="HV936" s="499"/>
      <c r="HW936" s="499"/>
      <c r="HX936" s="499"/>
      <c r="HY936" s="499"/>
      <c r="HZ936" s="499"/>
      <c r="IA936" s="499"/>
      <c r="IB936" s="499"/>
      <c r="IC936" s="499"/>
      <c r="ID936" s="499"/>
      <c r="IE936" s="499"/>
      <c r="IF936" s="499"/>
      <c r="IG936" s="499"/>
      <c r="IH936" s="499"/>
      <c r="II936" s="499"/>
      <c r="IJ936" s="499"/>
      <c r="IK936" s="499"/>
      <c r="IL936" s="499"/>
      <c r="IM936" s="499"/>
      <c r="IN936" s="499"/>
      <c r="IO936" s="499"/>
      <c r="IP936" s="499"/>
      <c r="IQ936" s="499"/>
      <c r="IR936" s="499"/>
      <c r="IS936" s="499"/>
      <c r="IT936" s="499"/>
      <c r="IU936" s="499"/>
      <c r="IV936" s="499"/>
    </row>
    <row r="937" spans="1:256" s="1260" customFormat="1" ht="15" customHeight="1">
      <c r="A937" s="2168" t="str">
        <f>+'LINEAS IMPULSIÓN-CONDUCCIÓN'!A205</f>
        <v>3.7.7</v>
      </c>
      <c r="B937" s="3651" t="s">
        <v>6531</v>
      </c>
      <c r="C937" s="3651"/>
      <c r="D937" s="3651"/>
      <c r="E937" s="3651"/>
      <c r="F937" s="3651"/>
      <c r="G937" s="3651"/>
      <c r="H937" s="3651"/>
      <c r="I937" s="3651"/>
    </row>
    <row r="938" spans="1:256" s="1260" customFormat="1" ht="15" customHeight="1">
      <c r="A938" s="1261"/>
      <c r="B938" s="1262"/>
      <c r="C938" s="1229" t="s">
        <v>140</v>
      </c>
      <c r="D938" s="1229" t="s">
        <v>343</v>
      </c>
      <c r="E938" s="2683" t="s">
        <v>344</v>
      </c>
      <c r="F938" s="2683" t="s">
        <v>482</v>
      </c>
      <c r="G938" s="2683" t="s">
        <v>483</v>
      </c>
      <c r="H938" s="2683" t="s">
        <v>232</v>
      </c>
      <c r="I938" s="2683" t="s">
        <v>171</v>
      </c>
    </row>
    <row r="939" spans="1:256" s="1260" customFormat="1" ht="15" customHeight="1">
      <c r="A939" s="954" t="s">
        <v>762</v>
      </c>
      <c r="B939" s="185" t="s">
        <v>6530</v>
      </c>
      <c r="C939" s="1264">
        <v>1</v>
      </c>
      <c r="D939" s="1274" t="s">
        <v>363</v>
      </c>
      <c r="E939" s="1255">
        <f>+'BASE 2'!D636</f>
        <v>365912</v>
      </c>
      <c r="F939" s="1255"/>
      <c r="G939" s="1255">
        <f>+E939*C939</f>
        <v>365912</v>
      </c>
      <c r="H939" s="1255"/>
      <c r="I939" s="1255"/>
    </row>
    <row r="940" spans="1:256" ht="15" customHeight="1">
      <c r="A940" s="1261" t="s">
        <v>584</v>
      </c>
      <c r="B940" s="1275" t="s">
        <v>134</v>
      </c>
      <c r="C940" s="183">
        <f>1/200</f>
        <v>5.0000000000000001E-3</v>
      </c>
      <c r="D940" s="401" t="s">
        <v>583</v>
      </c>
      <c r="E940" s="1276">
        <f>+VIAJE</f>
        <v>1200000</v>
      </c>
      <c r="F940" s="2683"/>
      <c r="G940" s="2683"/>
      <c r="H940" s="2683"/>
      <c r="I940" s="2683">
        <f>+E940*C940</f>
        <v>6000</v>
      </c>
      <c r="J940" s="1260"/>
    </row>
    <row r="941" spans="1:256" s="1260" customFormat="1" ht="15" customHeight="1">
      <c r="A941" s="1265" t="s">
        <v>190</v>
      </c>
      <c r="B941" s="1266">
        <f>SUM(F941:I941)</f>
        <v>371912</v>
      </c>
      <c r="C941" s="401"/>
      <c r="D941" s="1267"/>
      <c r="E941" s="2683"/>
      <c r="F941" s="2683">
        <f>SUM(F937:F940)</f>
        <v>0</v>
      </c>
      <c r="G941" s="2683">
        <f>SUM(G937:G940)</f>
        <v>365912</v>
      </c>
      <c r="H941" s="2683">
        <f>SUM(H937:H940)</f>
        <v>0</v>
      </c>
      <c r="I941" s="2683">
        <f>SUM(I937:I940)</f>
        <v>6000</v>
      </c>
    </row>
    <row r="942" spans="1:256" s="1260" customFormat="1" ht="15" customHeight="1">
      <c r="A942" s="1265" t="s">
        <v>191</v>
      </c>
      <c r="B942" s="1268">
        <f>+B941</f>
        <v>371912</v>
      </c>
      <c r="C942" s="1269" t="s">
        <v>363</v>
      </c>
      <c r="D942" s="863"/>
      <c r="E942" s="882"/>
      <c r="F942" s="1905"/>
      <c r="G942" s="882"/>
      <c r="H942" s="882"/>
      <c r="I942" s="882"/>
    </row>
    <row r="943" spans="1:256" s="498" customFormat="1" ht="15" customHeight="1">
      <c r="A943" s="1270"/>
      <c r="B943" s="1271"/>
      <c r="C943" s="1272"/>
      <c r="D943" s="1273"/>
      <c r="E943" s="503"/>
      <c r="F943" s="503"/>
      <c r="G943" s="503"/>
      <c r="H943" s="503"/>
      <c r="I943" s="503"/>
      <c r="N943" s="499"/>
      <c r="O943" s="499"/>
      <c r="P943" s="499"/>
      <c r="Q943" s="499"/>
      <c r="R943" s="499"/>
      <c r="S943" s="499"/>
      <c r="T943" s="499"/>
      <c r="U943" s="499"/>
      <c r="V943" s="499"/>
      <c r="W943" s="499"/>
      <c r="X943" s="499"/>
      <c r="Y943" s="499"/>
      <c r="Z943" s="499"/>
      <c r="AA943" s="499"/>
      <c r="AB943" s="499"/>
      <c r="AC943" s="499"/>
      <c r="AD943" s="499"/>
      <c r="AE943" s="499"/>
      <c r="AF943" s="499"/>
      <c r="AG943" s="499"/>
      <c r="AH943" s="499"/>
      <c r="AI943" s="499"/>
      <c r="AJ943" s="499"/>
      <c r="AK943" s="499"/>
      <c r="AL943" s="499"/>
      <c r="AM943" s="499"/>
      <c r="AN943" s="499"/>
      <c r="AO943" s="499"/>
      <c r="AP943" s="499"/>
      <c r="AQ943" s="499"/>
      <c r="AR943" s="499"/>
      <c r="AS943" s="499"/>
      <c r="AT943" s="499"/>
      <c r="AU943" s="499"/>
      <c r="AV943" s="499"/>
      <c r="AW943" s="499"/>
      <c r="AX943" s="499"/>
      <c r="AY943" s="499"/>
      <c r="AZ943" s="499"/>
      <c r="BA943" s="499"/>
      <c r="BB943" s="499"/>
      <c r="BC943" s="499"/>
      <c r="BD943" s="499"/>
      <c r="BE943" s="499"/>
      <c r="BF943" s="499"/>
      <c r="BG943" s="499"/>
      <c r="BH943" s="499"/>
      <c r="BI943" s="499"/>
      <c r="BJ943" s="499"/>
      <c r="BK943" s="499"/>
      <c r="BL943" s="499"/>
      <c r="BM943" s="499"/>
      <c r="BN943" s="499"/>
      <c r="BO943" s="499"/>
      <c r="BP943" s="499"/>
      <c r="BQ943" s="499"/>
      <c r="BR943" s="499"/>
      <c r="BS943" s="499"/>
      <c r="BT943" s="499"/>
      <c r="BU943" s="499"/>
      <c r="BV943" s="499"/>
      <c r="BW943" s="499"/>
      <c r="BX943" s="499"/>
      <c r="BY943" s="499"/>
      <c r="BZ943" s="499"/>
      <c r="CA943" s="499"/>
      <c r="CB943" s="499"/>
      <c r="CC943" s="499"/>
      <c r="CD943" s="499"/>
      <c r="CE943" s="499"/>
      <c r="CF943" s="499"/>
      <c r="CG943" s="499"/>
      <c r="CH943" s="499"/>
      <c r="CI943" s="499"/>
      <c r="CJ943" s="499"/>
      <c r="CK943" s="499"/>
      <c r="CL943" s="499"/>
      <c r="CM943" s="499"/>
      <c r="CN943" s="499"/>
      <c r="CO943" s="499"/>
      <c r="CP943" s="499"/>
      <c r="CQ943" s="499"/>
      <c r="CR943" s="499"/>
      <c r="CS943" s="499"/>
      <c r="CT943" s="499"/>
      <c r="CU943" s="499"/>
      <c r="CV943" s="499"/>
      <c r="CW943" s="499"/>
      <c r="CX943" s="499"/>
      <c r="CY943" s="499"/>
      <c r="CZ943" s="499"/>
      <c r="DA943" s="499"/>
      <c r="DB943" s="499"/>
      <c r="DC943" s="499"/>
      <c r="DD943" s="499"/>
      <c r="DE943" s="499"/>
      <c r="DF943" s="499"/>
      <c r="DG943" s="499"/>
      <c r="DH943" s="499"/>
      <c r="DI943" s="499"/>
      <c r="DJ943" s="499"/>
      <c r="DK943" s="499"/>
      <c r="DL943" s="499"/>
      <c r="DM943" s="499"/>
      <c r="DN943" s="499"/>
      <c r="DO943" s="499"/>
      <c r="DP943" s="499"/>
      <c r="DQ943" s="499"/>
      <c r="DR943" s="499"/>
      <c r="DS943" s="499"/>
      <c r="DT943" s="499"/>
      <c r="DU943" s="499"/>
      <c r="DV943" s="499"/>
      <c r="DW943" s="499"/>
      <c r="DX943" s="499"/>
      <c r="DY943" s="499"/>
      <c r="DZ943" s="499"/>
      <c r="EA943" s="499"/>
      <c r="EB943" s="499"/>
      <c r="EC943" s="499"/>
      <c r="ED943" s="499"/>
      <c r="EE943" s="499"/>
      <c r="EF943" s="499"/>
      <c r="EG943" s="499"/>
      <c r="EH943" s="499"/>
      <c r="EI943" s="499"/>
      <c r="EJ943" s="499"/>
      <c r="EK943" s="499"/>
      <c r="EL943" s="499"/>
      <c r="EM943" s="499"/>
      <c r="EN943" s="499"/>
      <c r="EO943" s="499"/>
      <c r="EP943" s="499"/>
      <c r="EQ943" s="499"/>
      <c r="ER943" s="499"/>
      <c r="ES943" s="499"/>
      <c r="ET943" s="499"/>
      <c r="EU943" s="499"/>
      <c r="EV943" s="499"/>
      <c r="EW943" s="499"/>
      <c r="EX943" s="499"/>
      <c r="EY943" s="499"/>
      <c r="EZ943" s="499"/>
      <c r="FA943" s="499"/>
      <c r="FB943" s="499"/>
      <c r="FC943" s="499"/>
      <c r="FD943" s="499"/>
      <c r="FE943" s="499"/>
      <c r="FF943" s="499"/>
      <c r="FG943" s="499"/>
      <c r="FH943" s="499"/>
      <c r="FI943" s="499"/>
      <c r="FJ943" s="499"/>
      <c r="FK943" s="499"/>
      <c r="FL943" s="499"/>
      <c r="FM943" s="499"/>
      <c r="FN943" s="499"/>
      <c r="FO943" s="499"/>
      <c r="FP943" s="499"/>
      <c r="FQ943" s="499"/>
      <c r="FR943" s="499"/>
      <c r="FS943" s="499"/>
      <c r="FT943" s="499"/>
      <c r="FU943" s="499"/>
      <c r="FV943" s="499"/>
      <c r="FW943" s="499"/>
      <c r="FX943" s="499"/>
      <c r="FY943" s="499"/>
      <c r="FZ943" s="499"/>
      <c r="GA943" s="499"/>
      <c r="GB943" s="499"/>
      <c r="GC943" s="499"/>
      <c r="GD943" s="499"/>
      <c r="GE943" s="499"/>
      <c r="GF943" s="499"/>
      <c r="GG943" s="499"/>
      <c r="GH943" s="499"/>
      <c r="GI943" s="499"/>
      <c r="GJ943" s="499"/>
      <c r="GK943" s="499"/>
      <c r="GL943" s="499"/>
      <c r="GM943" s="499"/>
      <c r="GN943" s="499"/>
      <c r="GO943" s="499"/>
      <c r="GP943" s="499"/>
      <c r="GQ943" s="499"/>
      <c r="GR943" s="499"/>
      <c r="GS943" s="499"/>
      <c r="GT943" s="499"/>
      <c r="GU943" s="499"/>
      <c r="GV943" s="499"/>
      <c r="GW943" s="499"/>
      <c r="GX943" s="499"/>
      <c r="GY943" s="499"/>
      <c r="GZ943" s="499"/>
      <c r="HA943" s="499"/>
      <c r="HB943" s="499"/>
      <c r="HC943" s="499"/>
      <c r="HD943" s="499"/>
      <c r="HE943" s="499"/>
      <c r="HF943" s="499"/>
      <c r="HG943" s="499"/>
      <c r="HH943" s="499"/>
      <c r="HI943" s="499"/>
      <c r="HJ943" s="499"/>
      <c r="HK943" s="499"/>
      <c r="HL943" s="499"/>
      <c r="HM943" s="499"/>
      <c r="HN943" s="499"/>
      <c r="HO943" s="499"/>
      <c r="HP943" s="499"/>
      <c r="HQ943" s="499"/>
      <c r="HR943" s="499"/>
      <c r="HS943" s="499"/>
      <c r="HT943" s="499"/>
      <c r="HU943" s="499"/>
      <c r="HV943" s="499"/>
      <c r="HW943" s="499"/>
      <c r="HX943" s="499"/>
      <c r="HY943" s="499"/>
      <c r="HZ943" s="499"/>
      <c r="IA943" s="499"/>
      <c r="IB943" s="499"/>
      <c r="IC943" s="499"/>
      <c r="ID943" s="499"/>
      <c r="IE943" s="499"/>
      <c r="IF943" s="499"/>
      <c r="IG943" s="499"/>
      <c r="IH943" s="499"/>
      <c r="II943" s="499"/>
      <c r="IJ943" s="499"/>
      <c r="IK943" s="499"/>
      <c r="IL943" s="499"/>
      <c r="IM943" s="499"/>
      <c r="IN943" s="499"/>
      <c r="IO943" s="499"/>
      <c r="IP943" s="499"/>
      <c r="IQ943" s="499"/>
      <c r="IR943" s="499"/>
      <c r="IS943" s="499"/>
      <c r="IT943" s="499"/>
      <c r="IU943" s="499"/>
      <c r="IV943" s="499"/>
    </row>
    <row r="944" spans="1:256" s="1260" customFormat="1" ht="15" customHeight="1">
      <c r="A944" s="449" t="str">
        <f>+'LINEAS IMPULSIÓN-CONDUCCIÓN'!$A$185</f>
        <v>3.6.8</v>
      </c>
      <c r="B944" s="3573" t="s">
        <v>6536</v>
      </c>
      <c r="C944" s="3573"/>
      <c r="D944" s="3573"/>
      <c r="E944" s="3573"/>
      <c r="F944" s="3573"/>
      <c r="G944" s="3573"/>
      <c r="H944" s="3573"/>
      <c r="I944" s="3573"/>
    </row>
    <row r="945" spans="1:256" s="1260" customFormat="1" ht="15" customHeight="1">
      <c r="A945" s="1261"/>
      <c r="B945" s="1262"/>
      <c r="C945" s="1229" t="s">
        <v>140</v>
      </c>
      <c r="D945" s="1229" t="s">
        <v>343</v>
      </c>
      <c r="E945" s="2683" t="s">
        <v>344</v>
      </c>
      <c r="F945" s="2683" t="s">
        <v>482</v>
      </c>
      <c r="G945" s="2683" t="s">
        <v>483</v>
      </c>
      <c r="H945" s="2683" t="s">
        <v>232</v>
      </c>
      <c r="I945" s="2683" t="s">
        <v>171</v>
      </c>
    </row>
    <row r="946" spans="1:256" ht="15" customHeight="1">
      <c r="A946" s="1261" t="s">
        <v>345</v>
      </c>
      <c r="B946" s="184" t="s">
        <v>965</v>
      </c>
      <c r="C946" s="183">
        <v>0.38</v>
      </c>
      <c r="D946" s="1229" t="s">
        <v>346</v>
      </c>
      <c r="E946" s="2683">
        <f>+OFICI</f>
        <v>80479.625344</v>
      </c>
      <c r="F946" s="2683"/>
      <c r="G946" s="2683"/>
      <c r="H946" s="2683">
        <f>+E946*C946</f>
        <v>30582.25763072</v>
      </c>
      <c r="I946" s="2683"/>
      <c r="J946" s="159"/>
    </row>
    <row r="947" spans="1:256" ht="15" customHeight="1">
      <c r="A947" s="1261" t="s">
        <v>347</v>
      </c>
      <c r="B947" s="184" t="s">
        <v>266</v>
      </c>
      <c r="C947" s="1263">
        <v>0.38</v>
      </c>
      <c r="D947" s="1229" t="s">
        <v>346</v>
      </c>
      <c r="E947" s="2683">
        <f>+AYUDA</f>
        <v>65389.695592000004</v>
      </c>
      <c r="F947" s="2683"/>
      <c r="G947" s="2683"/>
      <c r="H947" s="2683">
        <f>+E947*C947</f>
        <v>24848.08432496</v>
      </c>
      <c r="I947" s="2683"/>
      <c r="J947" s="1260"/>
    </row>
    <row r="948" spans="1:256" ht="15" customHeight="1">
      <c r="A948" s="1261" t="s">
        <v>172</v>
      </c>
      <c r="B948" s="184" t="s">
        <v>189</v>
      </c>
      <c r="C948" s="1264">
        <v>1</v>
      </c>
      <c r="D948" s="1229" t="s">
        <v>583</v>
      </c>
      <c r="E948" s="2683">
        <f>+H949*0.05</f>
        <v>2771.5170977840003</v>
      </c>
      <c r="F948" s="2683"/>
      <c r="G948" s="2683"/>
      <c r="H948" s="2683"/>
      <c r="I948" s="2683">
        <f>+E948*C948</f>
        <v>2771.5170977840003</v>
      </c>
      <c r="J948" s="1260"/>
    </row>
    <row r="949" spans="1:256" s="1260" customFormat="1" ht="15" customHeight="1">
      <c r="A949" s="1265" t="s">
        <v>190</v>
      </c>
      <c r="B949" s="1266">
        <f>SUM(F949:I949)</f>
        <v>58201.859053464002</v>
      </c>
      <c r="C949" s="401"/>
      <c r="D949" s="1267"/>
      <c r="E949" s="2683"/>
      <c r="F949" s="2683">
        <f>SUM(F944:F948)</f>
        <v>0</v>
      </c>
      <c r="G949" s="2683">
        <f>SUM(G944:G948)</f>
        <v>0</v>
      </c>
      <c r="H949" s="2683">
        <f>SUM(H944:H948)</f>
        <v>55430.34195568</v>
      </c>
      <c r="I949" s="2683">
        <f>SUM(I944:I948)</f>
        <v>2771.5170977840003</v>
      </c>
    </row>
    <row r="950" spans="1:256" s="1260" customFormat="1" ht="15" customHeight="1">
      <c r="A950" s="1265" t="s">
        <v>191</v>
      </c>
      <c r="B950" s="1268">
        <f>+B949</f>
        <v>58201.859053464002</v>
      </c>
      <c r="C950" s="1269" t="s">
        <v>363</v>
      </c>
      <c r="D950" s="863"/>
      <c r="E950" s="882">
        <f>+B957*0.15</f>
        <v>58671.681818181816</v>
      </c>
      <c r="F950" s="1905"/>
      <c r="G950" s="882"/>
      <c r="H950" s="882"/>
      <c r="I950" s="882"/>
    </row>
    <row r="951" spans="1:256" s="498" customFormat="1" ht="15" customHeight="1">
      <c r="A951" s="1270"/>
      <c r="B951" s="1271"/>
      <c r="C951" s="1272"/>
      <c r="D951" s="1273"/>
      <c r="E951" s="503"/>
      <c r="F951" s="503"/>
      <c r="G951" s="503"/>
      <c r="H951" s="503"/>
      <c r="I951" s="503"/>
      <c r="N951" s="499"/>
      <c r="O951" s="499"/>
      <c r="P951" s="499"/>
      <c r="Q951" s="499"/>
      <c r="R951" s="499"/>
      <c r="S951" s="499"/>
      <c r="T951" s="499"/>
      <c r="U951" s="499"/>
      <c r="V951" s="499"/>
      <c r="W951" s="499"/>
      <c r="X951" s="499"/>
      <c r="Y951" s="499"/>
      <c r="Z951" s="499"/>
      <c r="AA951" s="499"/>
      <c r="AB951" s="499"/>
      <c r="AC951" s="499"/>
      <c r="AD951" s="499"/>
      <c r="AE951" s="499"/>
      <c r="AF951" s="499"/>
      <c r="AG951" s="499"/>
      <c r="AH951" s="499"/>
      <c r="AI951" s="499"/>
      <c r="AJ951" s="499"/>
      <c r="AK951" s="499"/>
      <c r="AL951" s="499"/>
      <c r="AM951" s="499"/>
      <c r="AN951" s="499"/>
      <c r="AO951" s="499"/>
      <c r="AP951" s="499"/>
      <c r="AQ951" s="499"/>
      <c r="AR951" s="499"/>
      <c r="AS951" s="499"/>
      <c r="AT951" s="499"/>
      <c r="AU951" s="499"/>
      <c r="AV951" s="499"/>
      <c r="AW951" s="499"/>
      <c r="AX951" s="499"/>
      <c r="AY951" s="499"/>
      <c r="AZ951" s="499"/>
      <c r="BA951" s="499"/>
      <c r="BB951" s="499"/>
      <c r="BC951" s="499"/>
      <c r="BD951" s="499"/>
      <c r="BE951" s="499"/>
      <c r="BF951" s="499"/>
      <c r="BG951" s="499"/>
      <c r="BH951" s="499"/>
      <c r="BI951" s="499"/>
      <c r="BJ951" s="499"/>
      <c r="BK951" s="499"/>
      <c r="BL951" s="499"/>
      <c r="BM951" s="499"/>
      <c r="BN951" s="499"/>
      <c r="BO951" s="499"/>
      <c r="BP951" s="499"/>
      <c r="BQ951" s="499"/>
      <c r="BR951" s="499"/>
      <c r="BS951" s="499"/>
      <c r="BT951" s="499"/>
      <c r="BU951" s="499"/>
      <c r="BV951" s="499"/>
      <c r="BW951" s="499"/>
      <c r="BX951" s="499"/>
      <c r="BY951" s="499"/>
      <c r="BZ951" s="499"/>
      <c r="CA951" s="499"/>
      <c r="CB951" s="499"/>
      <c r="CC951" s="499"/>
      <c r="CD951" s="499"/>
      <c r="CE951" s="499"/>
      <c r="CF951" s="499"/>
      <c r="CG951" s="499"/>
      <c r="CH951" s="499"/>
      <c r="CI951" s="499"/>
      <c r="CJ951" s="499"/>
      <c r="CK951" s="499"/>
      <c r="CL951" s="499"/>
      <c r="CM951" s="499"/>
      <c r="CN951" s="499"/>
      <c r="CO951" s="499"/>
      <c r="CP951" s="499"/>
      <c r="CQ951" s="499"/>
      <c r="CR951" s="499"/>
      <c r="CS951" s="499"/>
      <c r="CT951" s="499"/>
      <c r="CU951" s="499"/>
      <c r="CV951" s="499"/>
      <c r="CW951" s="499"/>
      <c r="CX951" s="499"/>
      <c r="CY951" s="499"/>
      <c r="CZ951" s="499"/>
      <c r="DA951" s="499"/>
      <c r="DB951" s="499"/>
      <c r="DC951" s="499"/>
      <c r="DD951" s="499"/>
      <c r="DE951" s="499"/>
      <c r="DF951" s="499"/>
      <c r="DG951" s="499"/>
      <c r="DH951" s="499"/>
      <c r="DI951" s="499"/>
      <c r="DJ951" s="499"/>
      <c r="DK951" s="499"/>
      <c r="DL951" s="499"/>
      <c r="DM951" s="499"/>
      <c r="DN951" s="499"/>
      <c r="DO951" s="499"/>
      <c r="DP951" s="499"/>
      <c r="DQ951" s="499"/>
      <c r="DR951" s="499"/>
      <c r="DS951" s="499"/>
      <c r="DT951" s="499"/>
      <c r="DU951" s="499"/>
      <c r="DV951" s="499"/>
      <c r="DW951" s="499"/>
      <c r="DX951" s="499"/>
      <c r="DY951" s="499"/>
      <c r="DZ951" s="499"/>
      <c r="EA951" s="499"/>
      <c r="EB951" s="499"/>
      <c r="EC951" s="499"/>
      <c r="ED951" s="499"/>
      <c r="EE951" s="499"/>
      <c r="EF951" s="499"/>
      <c r="EG951" s="499"/>
      <c r="EH951" s="499"/>
      <c r="EI951" s="499"/>
      <c r="EJ951" s="499"/>
      <c r="EK951" s="499"/>
      <c r="EL951" s="499"/>
      <c r="EM951" s="499"/>
      <c r="EN951" s="499"/>
      <c r="EO951" s="499"/>
      <c r="EP951" s="499"/>
      <c r="EQ951" s="499"/>
      <c r="ER951" s="499"/>
      <c r="ES951" s="499"/>
      <c r="ET951" s="499"/>
      <c r="EU951" s="499"/>
      <c r="EV951" s="499"/>
      <c r="EW951" s="499"/>
      <c r="EX951" s="499"/>
      <c r="EY951" s="499"/>
      <c r="EZ951" s="499"/>
      <c r="FA951" s="499"/>
      <c r="FB951" s="499"/>
      <c r="FC951" s="499"/>
      <c r="FD951" s="499"/>
      <c r="FE951" s="499"/>
      <c r="FF951" s="499"/>
      <c r="FG951" s="499"/>
      <c r="FH951" s="499"/>
      <c r="FI951" s="499"/>
      <c r="FJ951" s="499"/>
      <c r="FK951" s="499"/>
      <c r="FL951" s="499"/>
      <c r="FM951" s="499"/>
      <c r="FN951" s="499"/>
      <c r="FO951" s="499"/>
      <c r="FP951" s="499"/>
      <c r="FQ951" s="499"/>
      <c r="FR951" s="499"/>
      <c r="FS951" s="499"/>
      <c r="FT951" s="499"/>
      <c r="FU951" s="499"/>
      <c r="FV951" s="499"/>
      <c r="FW951" s="499"/>
      <c r="FX951" s="499"/>
      <c r="FY951" s="499"/>
      <c r="FZ951" s="499"/>
      <c r="GA951" s="499"/>
      <c r="GB951" s="499"/>
      <c r="GC951" s="499"/>
      <c r="GD951" s="499"/>
      <c r="GE951" s="499"/>
      <c r="GF951" s="499"/>
      <c r="GG951" s="499"/>
      <c r="GH951" s="499"/>
      <c r="GI951" s="499"/>
      <c r="GJ951" s="499"/>
      <c r="GK951" s="499"/>
      <c r="GL951" s="499"/>
      <c r="GM951" s="499"/>
      <c r="GN951" s="499"/>
      <c r="GO951" s="499"/>
      <c r="GP951" s="499"/>
      <c r="GQ951" s="499"/>
      <c r="GR951" s="499"/>
      <c r="GS951" s="499"/>
      <c r="GT951" s="499"/>
      <c r="GU951" s="499"/>
      <c r="GV951" s="499"/>
      <c r="GW951" s="499"/>
      <c r="GX951" s="499"/>
      <c r="GY951" s="499"/>
      <c r="GZ951" s="499"/>
      <c r="HA951" s="499"/>
      <c r="HB951" s="499"/>
      <c r="HC951" s="499"/>
      <c r="HD951" s="499"/>
      <c r="HE951" s="499"/>
      <c r="HF951" s="499"/>
      <c r="HG951" s="499"/>
      <c r="HH951" s="499"/>
      <c r="HI951" s="499"/>
      <c r="HJ951" s="499"/>
      <c r="HK951" s="499"/>
      <c r="HL951" s="499"/>
      <c r="HM951" s="499"/>
      <c r="HN951" s="499"/>
      <c r="HO951" s="499"/>
      <c r="HP951" s="499"/>
      <c r="HQ951" s="499"/>
      <c r="HR951" s="499"/>
      <c r="HS951" s="499"/>
      <c r="HT951" s="499"/>
      <c r="HU951" s="499"/>
      <c r="HV951" s="499"/>
      <c r="HW951" s="499"/>
      <c r="HX951" s="499"/>
      <c r="HY951" s="499"/>
      <c r="HZ951" s="499"/>
      <c r="IA951" s="499"/>
      <c r="IB951" s="499"/>
      <c r="IC951" s="499"/>
      <c r="ID951" s="499"/>
      <c r="IE951" s="499"/>
      <c r="IF951" s="499"/>
      <c r="IG951" s="499"/>
      <c r="IH951" s="499"/>
      <c r="II951" s="499"/>
      <c r="IJ951" s="499"/>
      <c r="IK951" s="499"/>
      <c r="IL951" s="499"/>
      <c r="IM951" s="499"/>
      <c r="IN951" s="499"/>
      <c r="IO951" s="499"/>
      <c r="IP951" s="499"/>
      <c r="IQ951" s="499"/>
      <c r="IR951" s="499"/>
      <c r="IS951" s="499"/>
      <c r="IT951" s="499"/>
      <c r="IU951" s="499"/>
      <c r="IV951" s="499"/>
    </row>
    <row r="952" spans="1:256" s="1260" customFormat="1" ht="15" customHeight="1">
      <c r="A952" s="2169" t="str">
        <f>+'LINEAS IMPULSIÓN-CONDUCCIÓN'!A206</f>
        <v>3.7.8</v>
      </c>
      <c r="B952" s="3651" t="s">
        <v>6535</v>
      </c>
      <c r="C952" s="3651"/>
      <c r="D952" s="3651"/>
      <c r="E952" s="3651"/>
      <c r="F952" s="3651"/>
      <c r="G952" s="3651"/>
      <c r="H952" s="3651"/>
      <c r="I952" s="3651"/>
    </row>
    <row r="953" spans="1:256" s="1260" customFormat="1" ht="15" customHeight="1">
      <c r="A953" s="1261"/>
      <c r="B953" s="1262"/>
      <c r="C953" s="1229" t="s">
        <v>140</v>
      </c>
      <c r="D953" s="1229" t="s">
        <v>343</v>
      </c>
      <c r="E953" s="2683" t="s">
        <v>344</v>
      </c>
      <c r="F953" s="2683" t="s">
        <v>482</v>
      </c>
      <c r="G953" s="2683" t="s">
        <v>483</v>
      </c>
      <c r="H953" s="2683" t="s">
        <v>232</v>
      </c>
      <c r="I953" s="2683" t="s">
        <v>171</v>
      </c>
    </row>
    <row r="954" spans="1:256" s="1260" customFormat="1" ht="15" customHeight="1">
      <c r="A954" s="954" t="s">
        <v>762</v>
      </c>
      <c r="B954" s="185" t="s">
        <v>6534</v>
      </c>
      <c r="C954" s="1264">
        <v>1</v>
      </c>
      <c r="D954" s="1274" t="s">
        <v>363</v>
      </c>
      <c r="E954" s="1255">
        <f>+'BASE 2'!D357</f>
        <v>385690</v>
      </c>
      <c r="F954" s="1255"/>
      <c r="G954" s="1255">
        <f>+E954*C954</f>
        <v>385690</v>
      </c>
      <c r="H954" s="1255"/>
      <c r="I954" s="1255"/>
    </row>
    <row r="955" spans="1:256" ht="15" customHeight="1">
      <c r="A955" s="1261" t="s">
        <v>584</v>
      </c>
      <c r="B955" s="1275" t="s">
        <v>134</v>
      </c>
      <c r="C955" s="183">
        <f>1/220</f>
        <v>4.5454545454545452E-3</v>
      </c>
      <c r="D955" s="401" t="s">
        <v>583</v>
      </c>
      <c r="E955" s="1276">
        <f>+VIAJE</f>
        <v>1200000</v>
      </c>
      <c r="F955" s="2683"/>
      <c r="G955" s="2683"/>
      <c r="H955" s="2683"/>
      <c r="I955" s="2683">
        <f>+E955*C955</f>
        <v>5454.545454545454</v>
      </c>
      <c r="J955" s="1260"/>
    </row>
    <row r="956" spans="1:256" s="1260" customFormat="1" ht="15" customHeight="1">
      <c r="A956" s="1265" t="s">
        <v>190</v>
      </c>
      <c r="B956" s="1266">
        <f>SUM(F956:I956)</f>
        <v>391144.54545454547</v>
      </c>
      <c r="C956" s="401"/>
      <c r="D956" s="1267"/>
      <c r="E956" s="2683"/>
      <c r="F956" s="2683">
        <f>SUM(F952:F955)</f>
        <v>0</v>
      </c>
      <c r="G956" s="2683">
        <f>SUM(G952:G955)</f>
        <v>385690</v>
      </c>
      <c r="H956" s="2683">
        <f>SUM(H952:H955)</f>
        <v>0</v>
      </c>
      <c r="I956" s="2683">
        <f>SUM(I952:I955)</f>
        <v>5454.545454545454</v>
      </c>
    </row>
    <row r="957" spans="1:256" s="1260" customFormat="1" ht="15" customHeight="1">
      <c r="A957" s="1265" t="s">
        <v>191</v>
      </c>
      <c r="B957" s="1268">
        <f>+B956</f>
        <v>391144.54545454547</v>
      </c>
      <c r="C957" s="1269" t="s">
        <v>363</v>
      </c>
      <c r="D957" s="863"/>
      <c r="E957" s="882"/>
      <c r="F957" s="1905"/>
      <c r="G957" s="882"/>
      <c r="H957" s="882"/>
      <c r="I957" s="882"/>
    </row>
    <row r="958" spans="1:256" s="498" customFormat="1" ht="15" customHeight="1">
      <c r="A958" s="1270"/>
      <c r="B958" s="1271"/>
      <c r="C958" s="1272"/>
      <c r="D958" s="1273"/>
      <c r="E958" s="503"/>
      <c r="F958" s="503"/>
      <c r="G958" s="503"/>
      <c r="H958" s="503"/>
      <c r="I958" s="503"/>
      <c r="N958" s="499"/>
      <c r="O958" s="499"/>
      <c r="P958" s="499"/>
      <c r="Q958" s="499"/>
      <c r="R958" s="499"/>
      <c r="S958" s="499"/>
      <c r="T958" s="499"/>
      <c r="U958" s="499"/>
      <c r="V958" s="499"/>
      <c r="W958" s="499"/>
      <c r="X958" s="499"/>
      <c r="Y958" s="499"/>
      <c r="Z958" s="499"/>
      <c r="AA958" s="499"/>
      <c r="AB958" s="499"/>
      <c r="AC958" s="499"/>
      <c r="AD958" s="499"/>
      <c r="AE958" s="499"/>
      <c r="AF958" s="499"/>
      <c r="AG958" s="499"/>
      <c r="AH958" s="499"/>
      <c r="AI958" s="499"/>
      <c r="AJ958" s="499"/>
      <c r="AK958" s="499"/>
      <c r="AL958" s="499"/>
      <c r="AM958" s="499"/>
      <c r="AN958" s="499"/>
      <c r="AO958" s="499"/>
      <c r="AP958" s="499"/>
      <c r="AQ958" s="499"/>
      <c r="AR958" s="499"/>
      <c r="AS958" s="499"/>
      <c r="AT958" s="499"/>
      <c r="AU958" s="499"/>
      <c r="AV958" s="499"/>
      <c r="AW958" s="499"/>
      <c r="AX958" s="499"/>
      <c r="AY958" s="499"/>
      <c r="AZ958" s="499"/>
      <c r="BA958" s="499"/>
      <c r="BB958" s="499"/>
      <c r="BC958" s="499"/>
      <c r="BD958" s="499"/>
      <c r="BE958" s="499"/>
      <c r="BF958" s="499"/>
      <c r="BG958" s="499"/>
      <c r="BH958" s="499"/>
      <c r="BI958" s="499"/>
      <c r="BJ958" s="499"/>
      <c r="BK958" s="499"/>
      <c r="BL958" s="499"/>
      <c r="BM958" s="499"/>
      <c r="BN958" s="499"/>
      <c r="BO958" s="499"/>
      <c r="BP958" s="499"/>
      <c r="BQ958" s="499"/>
      <c r="BR958" s="499"/>
      <c r="BS958" s="499"/>
      <c r="BT958" s="499"/>
      <c r="BU958" s="499"/>
      <c r="BV958" s="499"/>
      <c r="BW958" s="499"/>
      <c r="BX958" s="499"/>
      <c r="BY958" s="499"/>
      <c r="BZ958" s="499"/>
      <c r="CA958" s="499"/>
      <c r="CB958" s="499"/>
      <c r="CC958" s="499"/>
      <c r="CD958" s="499"/>
      <c r="CE958" s="499"/>
      <c r="CF958" s="499"/>
      <c r="CG958" s="499"/>
      <c r="CH958" s="499"/>
      <c r="CI958" s="499"/>
      <c r="CJ958" s="499"/>
      <c r="CK958" s="499"/>
      <c r="CL958" s="499"/>
      <c r="CM958" s="499"/>
      <c r="CN958" s="499"/>
      <c r="CO958" s="499"/>
      <c r="CP958" s="499"/>
      <c r="CQ958" s="499"/>
      <c r="CR958" s="499"/>
      <c r="CS958" s="499"/>
      <c r="CT958" s="499"/>
      <c r="CU958" s="499"/>
      <c r="CV958" s="499"/>
      <c r="CW958" s="499"/>
      <c r="CX958" s="499"/>
      <c r="CY958" s="499"/>
      <c r="CZ958" s="499"/>
      <c r="DA958" s="499"/>
      <c r="DB958" s="499"/>
      <c r="DC958" s="499"/>
      <c r="DD958" s="499"/>
      <c r="DE958" s="499"/>
      <c r="DF958" s="499"/>
      <c r="DG958" s="499"/>
      <c r="DH958" s="499"/>
      <c r="DI958" s="499"/>
      <c r="DJ958" s="499"/>
      <c r="DK958" s="499"/>
      <c r="DL958" s="499"/>
      <c r="DM958" s="499"/>
      <c r="DN958" s="499"/>
      <c r="DO958" s="499"/>
      <c r="DP958" s="499"/>
      <c r="DQ958" s="499"/>
      <c r="DR958" s="499"/>
      <c r="DS958" s="499"/>
      <c r="DT958" s="499"/>
      <c r="DU958" s="499"/>
      <c r="DV958" s="499"/>
      <c r="DW958" s="499"/>
      <c r="DX958" s="499"/>
      <c r="DY958" s="499"/>
      <c r="DZ958" s="499"/>
      <c r="EA958" s="499"/>
      <c r="EB958" s="499"/>
      <c r="EC958" s="499"/>
      <c r="ED958" s="499"/>
      <c r="EE958" s="499"/>
      <c r="EF958" s="499"/>
      <c r="EG958" s="499"/>
      <c r="EH958" s="499"/>
      <c r="EI958" s="499"/>
      <c r="EJ958" s="499"/>
      <c r="EK958" s="499"/>
      <c r="EL958" s="499"/>
      <c r="EM958" s="499"/>
      <c r="EN958" s="499"/>
      <c r="EO958" s="499"/>
      <c r="EP958" s="499"/>
      <c r="EQ958" s="499"/>
      <c r="ER958" s="499"/>
      <c r="ES958" s="499"/>
      <c r="ET958" s="499"/>
      <c r="EU958" s="499"/>
      <c r="EV958" s="499"/>
      <c r="EW958" s="499"/>
      <c r="EX958" s="499"/>
      <c r="EY958" s="499"/>
      <c r="EZ958" s="499"/>
      <c r="FA958" s="499"/>
      <c r="FB958" s="499"/>
      <c r="FC958" s="499"/>
      <c r="FD958" s="499"/>
      <c r="FE958" s="499"/>
      <c r="FF958" s="499"/>
      <c r="FG958" s="499"/>
      <c r="FH958" s="499"/>
      <c r="FI958" s="499"/>
      <c r="FJ958" s="499"/>
      <c r="FK958" s="499"/>
      <c r="FL958" s="499"/>
      <c r="FM958" s="499"/>
      <c r="FN958" s="499"/>
      <c r="FO958" s="499"/>
      <c r="FP958" s="499"/>
      <c r="FQ958" s="499"/>
      <c r="FR958" s="499"/>
      <c r="FS958" s="499"/>
      <c r="FT958" s="499"/>
      <c r="FU958" s="499"/>
      <c r="FV958" s="499"/>
      <c r="FW958" s="499"/>
      <c r="FX958" s="499"/>
      <c r="FY958" s="499"/>
      <c r="FZ958" s="499"/>
      <c r="GA958" s="499"/>
      <c r="GB958" s="499"/>
      <c r="GC958" s="499"/>
      <c r="GD958" s="499"/>
      <c r="GE958" s="499"/>
      <c r="GF958" s="499"/>
      <c r="GG958" s="499"/>
      <c r="GH958" s="499"/>
      <c r="GI958" s="499"/>
      <c r="GJ958" s="499"/>
      <c r="GK958" s="499"/>
      <c r="GL958" s="499"/>
      <c r="GM958" s="499"/>
      <c r="GN958" s="499"/>
      <c r="GO958" s="499"/>
      <c r="GP958" s="499"/>
      <c r="GQ958" s="499"/>
      <c r="GR958" s="499"/>
      <c r="GS958" s="499"/>
      <c r="GT958" s="499"/>
      <c r="GU958" s="499"/>
      <c r="GV958" s="499"/>
      <c r="GW958" s="499"/>
      <c r="GX958" s="499"/>
      <c r="GY958" s="499"/>
      <c r="GZ958" s="499"/>
      <c r="HA958" s="499"/>
      <c r="HB958" s="499"/>
      <c r="HC958" s="499"/>
      <c r="HD958" s="499"/>
      <c r="HE958" s="499"/>
      <c r="HF958" s="499"/>
      <c r="HG958" s="499"/>
      <c r="HH958" s="499"/>
      <c r="HI958" s="499"/>
      <c r="HJ958" s="499"/>
      <c r="HK958" s="499"/>
      <c r="HL958" s="499"/>
      <c r="HM958" s="499"/>
      <c r="HN958" s="499"/>
      <c r="HO958" s="499"/>
      <c r="HP958" s="499"/>
      <c r="HQ958" s="499"/>
      <c r="HR958" s="499"/>
      <c r="HS958" s="499"/>
      <c r="HT958" s="499"/>
      <c r="HU958" s="499"/>
      <c r="HV958" s="499"/>
      <c r="HW958" s="499"/>
      <c r="HX958" s="499"/>
      <c r="HY958" s="499"/>
      <c r="HZ958" s="499"/>
      <c r="IA958" s="499"/>
      <c r="IB958" s="499"/>
      <c r="IC958" s="499"/>
      <c r="ID958" s="499"/>
      <c r="IE958" s="499"/>
      <c r="IF958" s="499"/>
      <c r="IG958" s="499"/>
      <c r="IH958" s="499"/>
      <c r="II958" s="499"/>
      <c r="IJ958" s="499"/>
      <c r="IK958" s="499"/>
      <c r="IL958" s="499"/>
      <c r="IM958" s="499"/>
      <c r="IN958" s="499"/>
      <c r="IO958" s="499"/>
      <c r="IP958" s="499"/>
      <c r="IQ958" s="499"/>
      <c r="IR958" s="499"/>
      <c r="IS958" s="499"/>
      <c r="IT958" s="499"/>
      <c r="IU958" s="499"/>
      <c r="IV958" s="499"/>
    </row>
    <row r="959" spans="1:256" ht="34.5" hidden="1" customHeight="1">
      <c r="A959" s="449" t="s">
        <v>5830</v>
      </c>
      <c r="B959" s="3570" t="s">
        <v>1312</v>
      </c>
      <c r="C959" s="3571"/>
      <c r="D959" s="3571"/>
      <c r="E959" s="3571"/>
      <c r="F959" s="3571"/>
      <c r="G959" s="3571"/>
      <c r="H959" s="3571"/>
      <c r="I959" s="3572"/>
    </row>
    <row r="960" spans="1:256" ht="15" hidden="1" customHeight="1">
      <c r="A960" s="1261"/>
      <c r="B960" s="1258"/>
      <c r="C960" s="1264" t="s">
        <v>140</v>
      </c>
      <c r="D960" s="1229" t="s">
        <v>343</v>
      </c>
      <c r="E960" s="1814" t="s">
        <v>344</v>
      </c>
      <c r="F960" s="1814" t="s">
        <v>482</v>
      </c>
      <c r="G960" s="1814" t="s">
        <v>483</v>
      </c>
      <c r="H960" s="1814" t="s">
        <v>232</v>
      </c>
      <c r="I960" s="1814" t="s">
        <v>171</v>
      </c>
    </row>
    <row r="961" spans="1:256" ht="15" hidden="1" customHeight="1">
      <c r="A961" s="1261" t="s">
        <v>347</v>
      </c>
      <c r="B961" s="1258" t="str">
        <f>IF(PRESTA&gt;0,"AYUD. ENTENDIDO (INCLUYE "&amp;""&amp;PRESTA*100&amp;"% PRESTACIONES)",0)</f>
        <v>AYUD. ENTENDIDO (INCLUYE 82,22% PRESTACIONES)</v>
      </c>
      <c r="C961" s="183">
        <v>2.12</v>
      </c>
      <c r="D961" s="1229" t="s">
        <v>346</v>
      </c>
      <c r="E961" s="1814">
        <f>+AYUDA</f>
        <v>65389.695592000004</v>
      </c>
      <c r="F961" s="1814"/>
      <c r="G961" s="1814"/>
      <c r="H961" s="1814">
        <f>+E961*C961</f>
        <v>138626.15465504001</v>
      </c>
      <c r="I961" s="1814"/>
    </row>
    <row r="962" spans="1:256" ht="15" hidden="1" customHeight="1">
      <c r="A962" s="1261" t="s">
        <v>345</v>
      </c>
      <c r="B962" s="1258" t="str">
        <f>IF(PRESTA&gt;0,"OFICIAL (INCLUYE "&amp;""&amp;PRESTA*100&amp;"% PRESTACIONES)",0)</f>
        <v>OFICIAL (INCLUYE 82,22% PRESTACIONES)</v>
      </c>
      <c r="C962" s="183">
        <v>2.12</v>
      </c>
      <c r="D962" s="1229" t="s">
        <v>346</v>
      </c>
      <c r="E962" s="1814">
        <f>+OFICI</f>
        <v>80479.625344</v>
      </c>
      <c r="F962" s="1814"/>
      <c r="G962" s="1814"/>
      <c r="H962" s="1814">
        <f>+E962*C962</f>
        <v>170616.80572928002</v>
      </c>
      <c r="I962" s="1814"/>
    </row>
    <row r="963" spans="1:256" ht="15" hidden="1" customHeight="1">
      <c r="A963" s="1261" t="s">
        <v>172</v>
      </c>
      <c r="B963" s="1258" t="s">
        <v>189</v>
      </c>
      <c r="C963" s="1264">
        <v>1</v>
      </c>
      <c r="D963" s="1229" t="s">
        <v>583</v>
      </c>
      <c r="E963" s="1814">
        <f>+H964*0.05</f>
        <v>15462.148019216002</v>
      </c>
      <c r="F963" s="1814"/>
      <c r="G963" s="1814"/>
      <c r="H963" s="1814"/>
      <c r="I963" s="1814">
        <f>+E963*C963</f>
        <v>15462.148019216002</v>
      </c>
    </row>
    <row r="964" spans="1:256" ht="15" hidden="1" customHeight="1">
      <c r="A964" s="1265" t="s">
        <v>190</v>
      </c>
      <c r="B964" s="1266">
        <f>ROUND(SUM(F964:I964),0)</f>
        <v>324705</v>
      </c>
      <c r="C964" s="1263"/>
      <c r="D964" s="1229"/>
      <c r="E964" s="1814"/>
      <c r="F964" s="1814">
        <f>+SUM(F961:F963)</f>
        <v>0</v>
      </c>
      <c r="G964" s="1814">
        <f>+SUM(G961:G963)</f>
        <v>0</v>
      </c>
      <c r="H964" s="1814">
        <f>+SUM(H961:H963)</f>
        <v>309242.96038432</v>
      </c>
      <c r="I964" s="1814">
        <f>+SUM(I961:I963)</f>
        <v>15462.148019216002</v>
      </c>
    </row>
    <row r="965" spans="1:256" ht="15" hidden="1" customHeight="1">
      <c r="A965" s="1265" t="s">
        <v>191</v>
      </c>
      <c r="B965" s="1414">
        <f>+B964</f>
        <v>324705</v>
      </c>
      <c r="C965" s="1901" t="s">
        <v>363</v>
      </c>
      <c r="E965" s="1280">
        <f>+B975*0.15</f>
        <v>323198.84999999998</v>
      </c>
    </row>
    <row r="966" spans="1:256" s="2065" customFormat="1" ht="15" hidden="1" customHeight="1">
      <c r="A966" s="1909"/>
      <c r="B966" s="1910"/>
      <c r="C966" s="1910"/>
      <c r="D966" s="1910"/>
      <c r="E966" s="1910"/>
      <c r="F966" s="1910"/>
      <c r="G966" s="1910"/>
      <c r="H966" s="1910"/>
      <c r="I966" s="1910"/>
      <c r="J966" s="1910"/>
      <c r="K966" s="1910"/>
      <c r="L966" s="1910"/>
      <c r="M966" s="1910"/>
      <c r="N966" s="1910"/>
      <c r="O966" s="1910"/>
      <c r="P966" s="1910"/>
      <c r="Q966" s="1910"/>
      <c r="R966" s="1910"/>
      <c r="S966" s="1910"/>
      <c r="T966" s="1910"/>
      <c r="U966" s="1910"/>
      <c r="V966" s="1910"/>
      <c r="W966" s="1910"/>
      <c r="X966" s="1910"/>
      <c r="Y966" s="1910"/>
      <c r="Z966" s="1910"/>
      <c r="AA966" s="1910"/>
      <c r="AB966" s="1910"/>
      <c r="AC966" s="1910"/>
      <c r="AD966" s="1910"/>
      <c r="AE966" s="1910"/>
      <c r="AF966" s="1910"/>
      <c r="AG966" s="1910"/>
      <c r="AH966" s="1910"/>
      <c r="AI966" s="1910"/>
      <c r="AJ966" s="1910"/>
      <c r="AK966" s="1910"/>
      <c r="AL966" s="1910"/>
      <c r="AM966" s="1910"/>
      <c r="AN966" s="1910"/>
      <c r="AO966" s="1910"/>
      <c r="AP966" s="1910"/>
      <c r="AQ966" s="1910"/>
      <c r="AR966" s="1910"/>
      <c r="AS966" s="1910"/>
      <c r="AT966" s="1910"/>
      <c r="AU966" s="1910"/>
      <c r="AV966" s="1910"/>
      <c r="AW966" s="1910"/>
      <c r="AX966" s="1910"/>
      <c r="AY966" s="1910"/>
      <c r="AZ966" s="1910"/>
      <c r="BA966" s="1910"/>
      <c r="BB966" s="1910"/>
      <c r="BC966" s="1910"/>
      <c r="BD966" s="1910"/>
      <c r="BE966" s="1910"/>
      <c r="BF966" s="1910"/>
      <c r="BG966" s="1910"/>
      <c r="BH966" s="1910"/>
      <c r="BI966" s="1910"/>
      <c r="BJ966" s="1910"/>
      <c r="BK966" s="1910"/>
      <c r="BL966" s="1910"/>
      <c r="BM966" s="1910"/>
      <c r="BN966" s="1910"/>
      <c r="BO966" s="1910"/>
      <c r="BP966" s="1910"/>
      <c r="BQ966" s="1910"/>
      <c r="BR966" s="1910"/>
      <c r="BS966" s="1910"/>
      <c r="BT966" s="1910"/>
      <c r="BU966" s="1910"/>
      <c r="BV966" s="1910"/>
      <c r="BW966" s="1910"/>
      <c r="BX966" s="1910"/>
      <c r="BY966" s="1910"/>
      <c r="BZ966" s="1910"/>
      <c r="CA966" s="1910"/>
      <c r="CB966" s="1910"/>
      <c r="CC966" s="1910"/>
      <c r="CD966" s="1910"/>
      <c r="CE966" s="1910"/>
      <c r="CF966" s="1910"/>
      <c r="CG966" s="1910"/>
      <c r="CH966" s="1910"/>
      <c r="CI966" s="1910"/>
      <c r="CJ966" s="1910"/>
      <c r="CK966" s="1910"/>
      <c r="CL966" s="1910"/>
      <c r="CM966" s="1910"/>
      <c r="CN966" s="1910"/>
      <c r="CO966" s="1910"/>
      <c r="CP966" s="1910"/>
      <c r="CQ966" s="1910"/>
      <c r="CR966" s="1910"/>
      <c r="CS966" s="1910"/>
      <c r="CT966" s="1910"/>
      <c r="CU966" s="1910"/>
      <c r="CV966" s="1910"/>
      <c r="CW966" s="1910"/>
      <c r="CX966" s="1910"/>
      <c r="CY966" s="1910"/>
      <c r="CZ966" s="1910"/>
      <c r="DA966" s="1910"/>
      <c r="DB966" s="1910"/>
      <c r="DC966" s="1910"/>
      <c r="DD966" s="1910"/>
      <c r="DE966" s="1910"/>
      <c r="DF966" s="1910"/>
      <c r="DG966" s="1910"/>
      <c r="DH966" s="1910"/>
      <c r="DI966" s="1910"/>
      <c r="DJ966" s="1910"/>
      <c r="DK966" s="1910"/>
      <c r="DL966" s="1910"/>
      <c r="DM966" s="1910"/>
      <c r="DN966" s="1910"/>
      <c r="DO966" s="1910"/>
      <c r="DP966" s="1910"/>
      <c r="DQ966" s="1910"/>
      <c r="DR966" s="1910"/>
      <c r="DS966" s="1910"/>
      <c r="DT966" s="1910"/>
      <c r="DU966" s="1910"/>
      <c r="DV966" s="1910"/>
      <c r="DW966" s="1910"/>
      <c r="DX966" s="1910"/>
      <c r="DY966" s="1910"/>
      <c r="DZ966" s="1910"/>
      <c r="EA966" s="1910"/>
      <c r="EB966" s="1910"/>
      <c r="EC966" s="1910"/>
      <c r="ED966" s="1910"/>
      <c r="EE966" s="1910"/>
      <c r="EF966" s="1910"/>
      <c r="EG966" s="1910"/>
      <c r="EH966" s="1910"/>
      <c r="EI966" s="1910"/>
      <c r="EJ966" s="1910"/>
      <c r="EK966" s="1910"/>
      <c r="EL966" s="1910"/>
      <c r="EM966" s="1910"/>
      <c r="EN966" s="1910"/>
      <c r="EO966" s="1910"/>
      <c r="EP966" s="1910"/>
      <c r="EQ966" s="1910"/>
      <c r="ER966" s="1910"/>
      <c r="ES966" s="1910"/>
      <c r="ET966" s="1910"/>
      <c r="EU966" s="1910"/>
      <c r="EV966" s="1910"/>
      <c r="EW966" s="1910"/>
      <c r="EX966" s="1910"/>
      <c r="EY966" s="1910"/>
      <c r="EZ966" s="1910"/>
      <c r="FA966" s="1910"/>
      <c r="FB966" s="1910"/>
      <c r="FC966" s="1910"/>
      <c r="FD966" s="1910"/>
      <c r="FE966" s="1910"/>
      <c r="FF966" s="1910"/>
      <c r="FG966" s="1910"/>
      <c r="FH966" s="1910"/>
      <c r="FI966" s="1910"/>
      <c r="FJ966" s="1910"/>
      <c r="FK966" s="1910"/>
      <c r="FL966" s="1910"/>
      <c r="FM966" s="1910"/>
      <c r="FN966" s="1910"/>
      <c r="FO966" s="1910"/>
      <c r="FP966" s="1910"/>
      <c r="FQ966" s="1910"/>
      <c r="FR966" s="1910"/>
      <c r="FS966" s="1910"/>
      <c r="FT966" s="1910"/>
      <c r="FU966" s="1910"/>
      <c r="FV966" s="1910"/>
      <c r="FW966" s="1910"/>
      <c r="FX966" s="1910"/>
      <c r="FY966" s="1910"/>
      <c r="FZ966" s="1910"/>
      <c r="GA966" s="1910"/>
      <c r="GB966" s="1910"/>
      <c r="GC966" s="1910"/>
      <c r="GD966" s="1910"/>
      <c r="GE966" s="1910"/>
      <c r="GF966" s="1910"/>
      <c r="GG966" s="1910"/>
      <c r="GH966" s="1910"/>
      <c r="GI966" s="1910"/>
      <c r="GJ966" s="1910"/>
      <c r="GK966" s="1910"/>
      <c r="GL966" s="1910"/>
      <c r="GM966" s="1910"/>
      <c r="GN966" s="1910"/>
      <c r="GO966" s="1910"/>
      <c r="GP966" s="1910"/>
      <c r="GQ966" s="1910"/>
      <c r="GR966" s="1910"/>
      <c r="GS966" s="1910"/>
      <c r="GT966" s="1910"/>
      <c r="GU966" s="1910"/>
      <c r="GV966" s="1910"/>
      <c r="GW966" s="1910"/>
      <c r="GX966" s="1910"/>
      <c r="GY966" s="1910"/>
      <c r="GZ966" s="1910"/>
      <c r="HA966" s="1910"/>
      <c r="HB966" s="1910"/>
      <c r="HC966" s="1910"/>
      <c r="HD966" s="1910"/>
      <c r="HE966" s="1910"/>
      <c r="HF966" s="1910"/>
      <c r="HG966" s="1910"/>
      <c r="HH966" s="1910"/>
      <c r="HI966" s="1910"/>
      <c r="HJ966" s="1910"/>
      <c r="HK966" s="1910"/>
      <c r="HL966" s="1910"/>
      <c r="HM966" s="1910"/>
      <c r="HN966" s="1910"/>
      <c r="HO966" s="1910"/>
      <c r="HP966" s="1910"/>
      <c r="HQ966" s="1910"/>
      <c r="HR966" s="1910"/>
      <c r="HS966" s="1910"/>
      <c r="HT966" s="1910"/>
      <c r="HU966" s="1910"/>
      <c r="HV966" s="1910"/>
      <c r="HW966" s="1910"/>
      <c r="HX966" s="1910"/>
      <c r="HY966" s="1910"/>
      <c r="HZ966" s="1910"/>
      <c r="IA966" s="1910"/>
      <c r="IB966" s="1910"/>
      <c r="IC966" s="1910"/>
      <c r="ID966" s="1910"/>
      <c r="IE966" s="1910"/>
      <c r="IF966" s="1910"/>
      <c r="IG966" s="1910"/>
      <c r="IH966" s="1910"/>
      <c r="II966" s="1910"/>
      <c r="IJ966" s="1910"/>
      <c r="IK966" s="1910"/>
      <c r="IL966" s="1910"/>
      <c r="IM966" s="1910"/>
      <c r="IN966" s="1910"/>
      <c r="IO966" s="1910"/>
      <c r="IP966" s="1910"/>
      <c r="IQ966" s="1910"/>
      <c r="IR966" s="1910"/>
      <c r="IS966" s="1910"/>
      <c r="IT966" s="1910"/>
      <c r="IU966" s="1910"/>
      <c r="IV966" s="1910"/>
    </row>
    <row r="967" spans="1:256" ht="36" hidden="1" customHeight="1">
      <c r="A967" s="1904" t="e">
        <f>+'LINEAS IMPULSIÓN-CONDUCCIÓN'!#REF!</f>
        <v>#REF!</v>
      </c>
      <c r="B967" s="3673" t="s">
        <v>1311</v>
      </c>
      <c r="C967" s="3674"/>
      <c r="D967" s="3674"/>
      <c r="E967" s="3674"/>
      <c r="F967" s="3674"/>
      <c r="G967" s="3674"/>
      <c r="H967" s="3674"/>
      <c r="I967" s="3675"/>
    </row>
    <row r="968" spans="1:256" ht="15" hidden="1" customHeight="1">
      <c r="A968" s="1261"/>
      <c r="B968" s="1258"/>
      <c r="C968" s="1264" t="s">
        <v>140</v>
      </c>
      <c r="D968" s="1229" t="s">
        <v>343</v>
      </c>
      <c r="E968" s="1814" t="s">
        <v>344</v>
      </c>
      <c r="F968" s="1814" t="s">
        <v>482</v>
      </c>
      <c r="G968" s="1814" t="s">
        <v>483</v>
      </c>
      <c r="H968" s="1814" t="s">
        <v>232</v>
      </c>
      <c r="I968" s="1814" t="s">
        <v>171</v>
      </c>
    </row>
    <row r="969" spans="1:256" ht="15" hidden="1" customHeight="1">
      <c r="A969" s="1261" t="s">
        <v>684</v>
      </c>
      <c r="B969" s="184" t="s">
        <v>1313</v>
      </c>
      <c r="C969" s="1264">
        <v>1</v>
      </c>
      <c r="D969" s="1229" t="s">
        <v>363</v>
      </c>
      <c r="E969" s="1581">
        <f>611000*1.19</f>
        <v>727090</v>
      </c>
      <c r="F969" s="1814"/>
      <c r="G969" s="1814">
        <f>+E969*C969</f>
        <v>727090</v>
      </c>
      <c r="H969" s="1814"/>
      <c r="I969" s="1814"/>
    </row>
    <row r="970" spans="1:256" ht="15" hidden="1" customHeight="1">
      <c r="A970" s="1261" t="s">
        <v>686</v>
      </c>
      <c r="B970" s="185" t="s">
        <v>1328</v>
      </c>
      <c r="C970" s="1264">
        <v>1</v>
      </c>
      <c r="D970" s="1229" t="s">
        <v>363</v>
      </c>
      <c r="E970" s="1581">
        <f>+VCELA2</f>
        <v>547900</v>
      </c>
      <c r="F970" s="1814"/>
      <c r="G970" s="1814">
        <f>+E970*C970</f>
        <v>547900</v>
      </c>
      <c r="H970" s="1814"/>
      <c r="I970" s="1814"/>
    </row>
    <row r="971" spans="1:256" ht="15" hidden="1" customHeight="1">
      <c r="A971" s="1261"/>
      <c r="B971" s="184" t="s">
        <v>1315</v>
      </c>
      <c r="C971" s="1264">
        <v>1</v>
      </c>
      <c r="D971" s="1229" t="s">
        <v>363</v>
      </c>
      <c r="E971" s="1581">
        <f>+T82JH</f>
        <v>437783.99999999994</v>
      </c>
      <c r="F971" s="1814"/>
      <c r="G971" s="1814">
        <f>+E971*C971</f>
        <v>437783.99999999994</v>
      </c>
      <c r="H971" s="1814"/>
      <c r="I971" s="1814"/>
    </row>
    <row r="972" spans="1:256" ht="36" hidden="1">
      <c r="A972" s="1261"/>
      <c r="B972" s="1911" t="s">
        <v>1314</v>
      </c>
      <c r="C972" s="1264">
        <v>1</v>
      </c>
      <c r="D972" s="401" t="s">
        <v>363</v>
      </c>
      <c r="E972" s="1814">
        <f>(281600+52000+8920)*1.19</f>
        <v>407598.8</v>
      </c>
      <c r="F972" s="1814"/>
      <c r="G972" s="1814">
        <f>+E972*C972</f>
        <v>407598.8</v>
      </c>
      <c r="H972" s="1814"/>
      <c r="I972" s="1814"/>
    </row>
    <row r="973" spans="1:256" ht="15" hidden="1" customHeight="1">
      <c r="A973" s="1261" t="s">
        <v>584</v>
      </c>
      <c r="B973" s="1258" t="s">
        <v>134</v>
      </c>
      <c r="C973" s="183">
        <f>1/35</f>
        <v>2.8571428571428571E-2</v>
      </c>
      <c r="D973" s="1229" t="s">
        <v>476</v>
      </c>
      <c r="E973" s="1814">
        <f>+VIAJE</f>
        <v>1200000</v>
      </c>
      <c r="F973" s="1814"/>
      <c r="G973" s="1814"/>
      <c r="H973" s="1814"/>
      <c r="I973" s="1814">
        <f>+E973*C973</f>
        <v>34285.714285714283</v>
      </c>
    </row>
    <row r="974" spans="1:256" ht="15" hidden="1" customHeight="1">
      <c r="A974" s="1265" t="s">
        <v>190</v>
      </c>
      <c r="B974" s="1266">
        <f>ROUND(SUM(F974:I974),0)</f>
        <v>2154659</v>
      </c>
      <c r="C974" s="1263"/>
      <c r="D974" s="1229"/>
      <c r="E974" s="1814"/>
      <c r="F974" s="1814">
        <f>+SUM(F969:F973)</f>
        <v>0</v>
      </c>
      <c r="G974" s="1814">
        <f>+SUM(G969:G973)</f>
        <v>2120372.7999999998</v>
      </c>
      <c r="H974" s="1814">
        <f>+SUM(H969:H973)</f>
        <v>0</v>
      </c>
      <c r="I974" s="1814">
        <f>+SUM(I969:I973)</f>
        <v>34285.714285714283</v>
      </c>
    </row>
    <row r="975" spans="1:256" ht="15" hidden="1" customHeight="1">
      <c r="A975" s="1265" t="s">
        <v>191</v>
      </c>
      <c r="B975" s="1414">
        <f>+B974</f>
        <v>2154659</v>
      </c>
      <c r="C975" s="1901" t="s">
        <v>363</v>
      </c>
    </row>
    <row r="976" spans="1:256" ht="39.75" customHeight="1">
      <c r="A976" s="449" t="str">
        <f>+'LINEAS IMPULSIÓN-CONDUCCIÓN'!A186</f>
        <v>3.6.9</v>
      </c>
      <c r="B976" s="3570" t="s">
        <v>1312</v>
      </c>
      <c r="C976" s="3571"/>
      <c r="D976" s="3571"/>
      <c r="E976" s="3571"/>
      <c r="F976" s="3571"/>
      <c r="G976" s="3571"/>
      <c r="H976" s="3571"/>
      <c r="I976" s="3572"/>
    </row>
    <row r="977" spans="1:256" ht="15" customHeight="1">
      <c r="A977" s="1261"/>
      <c r="B977" s="1258"/>
      <c r="C977" s="1264" t="s">
        <v>140</v>
      </c>
      <c r="D977" s="1229" t="s">
        <v>343</v>
      </c>
      <c r="E977" s="1814" t="s">
        <v>344</v>
      </c>
      <c r="F977" s="1814" t="s">
        <v>482</v>
      </c>
      <c r="G977" s="1814" t="s">
        <v>483</v>
      </c>
      <c r="H977" s="1814" t="s">
        <v>232</v>
      </c>
      <c r="I977" s="1814" t="s">
        <v>171</v>
      </c>
    </row>
    <row r="978" spans="1:256" ht="15" customHeight="1">
      <c r="A978" s="1261" t="s">
        <v>347</v>
      </c>
      <c r="B978" s="1258" t="s">
        <v>266</v>
      </c>
      <c r="C978" s="183">
        <v>0.56999999999999995</v>
      </c>
      <c r="D978" s="1229" t="s">
        <v>346</v>
      </c>
      <c r="E978" s="1814">
        <f>+AYUDA</f>
        <v>65389.695592000004</v>
      </c>
      <c r="F978" s="1814"/>
      <c r="G978" s="1814"/>
      <c r="H978" s="1814">
        <f>+E978*C978</f>
        <v>37272.12648744</v>
      </c>
      <c r="I978" s="1814"/>
    </row>
    <row r="979" spans="1:256" ht="15" customHeight="1">
      <c r="A979" s="1261" t="s">
        <v>345</v>
      </c>
      <c r="B979" s="1258" t="s">
        <v>965</v>
      </c>
      <c r="C979" s="183">
        <v>0.56999999999999995</v>
      </c>
      <c r="D979" s="1229" t="s">
        <v>346</v>
      </c>
      <c r="E979" s="1814">
        <f>+OFICI</f>
        <v>80479.625344</v>
      </c>
      <c r="F979" s="1814"/>
      <c r="G979" s="1814"/>
      <c r="H979" s="1814">
        <f>+E979*C979</f>
        <v>45873.386446079996</v>
      </c>
      <c r="I979" s="1814"/>
    </row>
    <row r="980" spans="1:256" ht="15" customHeight="1">
      <c r="A980" s="1261" t="s">
        <v>172</v>
      </c>
      <c r="B980" s="1258" t="s">
        <v>189</v>
      </c>
      <c r="C980" s="1264">
        <v>1</v>
      </c>
      <c r="D980" s="1229" t="s">
        <v>583</v>
      </c>
      <c r="E980" s="1814">
        <f>+H981*0.05</f>
        <v>4157.2756466759993</v>
      </c>
      <c r="F980" s="1814"/>
      <c r="G980" s="1814"/>
      <c r="H980" s="1814"/>
      <c r="I980" s="1814">
        <f>+E980*C980</f>
        <v>4157.2756466759993</v>
      </c>
    </row>
    <row r="981" spans="1:256" ht="15" customHeight="1">
      <c r="A981" s="1265" t="s">
        <v>190</v>
      </c>
      <c r="B981" s="1266">
        <f>ROUND(SUM(F981:I981),0)</f>
        <v>87303</v>
      </c>
      <c r="C981" s="1263"/>
      <c r="D981" s="1229"/>
      <c r="E981" s="1814"/>
      <c r="F981" s="1814">
        <f>+SUM(F978:F980)</f>
        <v>0</v>
      </c>
      <c r="G981" s="1814">
        <f>+SUM(G978:G980)</f>
        <v>0</v>
      </c>
      <c r="H981" s="1814">
        <f>+SUM(H978:H980)</f>
        <v>83145.512933519989</v>
      </c>
      <c r="I981" s="1814">
        <f>+SUM(I978:I980)</f>
        <v>4157.2756466759993</v>
      </c>
    </row>
    <row r="982" spans="1:256" ht="15" customHeight="1">
      <c r="A982" s="1265" t="s">
        <v>191</v>
      </c>
      <c r="B982" s="1414">
        <f>+B981</f>
        <v>87303</v>
      </c>
      <c r="C982" s="1901" t="s">
        <v>363</v>
      </c>
      <c r="E982" s="1280">
        <f>+B989*0.15</f>
        <v>86360.4</v>
      </c>
    </row>
    <row r="983" spans="1:256" s="2065" customFormat="1" ht="15" customHeight="1">
      <c r="A983" s="1909"/>
      <c r="B983" s="1910"/>
      <c r="C983" s="1910"/>
      <c r="D983" s="1910"/>
      <c r="E983" s="1910"/>
      <c r="F983" s="1910"/>
      <c r="G983" s="1910"/>
      <c r="H983" s="1910"/>
      <c r="I983" s="1910"/>
      <c r="J983" s="1910"/>
      <c r="K983" s="1910"/>
      <c r="L983" s="1910"/>
      <c r="M983" s="1910"/>
      <c r="N983" s="1910"/>
      <c r="O983" s="1910"/>
      <c r="P983" s="1910"/>
      <c r="Q983" s="1910"/>
      <c r="R983" s="1910"/>
      <c r="S983" s="1910"/>
      <c r="T983" s="1910"/>
      <c r="U983" s="1910"/>
      <c r="V983" s="1910"/>
      <c r="W983" s="1910"/>
      <c r="X983" s="1910"/>
      <c r="Y983" s="1910"/>
      <c r="Z983" s="1910"/>
      <c r="AA983" s="1910"/>
      <c r="AB983" s="1910"/>
      <c r="AC983" s="1910"/>
      <c r="AD983" s="1910"/>
      <c r="AE983" s="1910"/>
      <c r="AF983" s="1910"/>
      <c r="AG983" s="1910"/>
      <c r="AH983" s="1910"/>
      <c r="AI983" s="1910"/>
      <c r="AJ983" s="1910"/>
      <c r="AK983" s="1910"/>
      <c r="AL983" s="1910"/>
      <c r="AM983" s="1910"/>
      <c r="AN983" s="1910"/>
      <c r="AO983" s="1910"/>
      <c r="AP983" s="1910"/>
      <c r="AQ983" s="1910"/>
      <c r="AR983" s="1910"/>
      <c r="AS983" s="1910"/>
      <c r="AT983" s="1910"/>
      <c r="AU983" s="1910"/>
      <c r="AV983" s="1910"/>
      <c r="AW983" s="1910"/>
      <c r="AX983" s="1910"/>
      <c r="AY983" s="1910"/>
      <c r="AZ983" s="1910"/>
      <c r="BA983" s="1910"/>
      <c r="BB983" s="1910"/>
      <c r="BC983" s="1910"/>
      <c r="BD983" s="1910"/>
      <c r="BE983" s="1910"/>
      <c r="BF983" s="1910"/>
      <c r="BG983" s="1910"/>
      <c r="BH983" s="1910"/>
      <c r="BI983" s="1910"/>
      <c r="BJ983" s="1910"/>
      <c r="BK983" s="1910"/>
      <c r="BL983" s="1910"/>
      <c r="BM983" s="1910"/>
      <c r="BN983" s="1910"/>
      <c r="BO983" s="1910"/>
      <c r="BP983" s="1910"/>
      <c r="BQ983" s="1910"/>
      <c r="BR983" s="1910"/>
      <c r="BS983" s="1910"/>
      <c r="BT983" s="1910"/>
      <c r="BU983" s="1910"/>
      <c r="BV983" s="1910"/>
      <c r="BW983" s="1910"/>
      <c r="BX983" s="1910"/>
      <c r="BY983" s="1910"/>
      <c r="BZ983" s="1910"/>
      <c r="CA983" s="1910"/>
      <c r="CB983" s="1910"/>
      <c r="CC983" s="1910"/>
      <c r="CD983" s="1910"/>
      <c r="CE983" s="1910"/>
      <c r="CF983" s="1910"/>
      <c r="CG983" s="1910"/>
      <c r="CH983" s="1910"/>
      <c r="CI983" s="1910"/>
      <c r="CJ983" s="1910"/>
      <c r="CK983" s="1910"/>
      <c r="CL983" s="1910"/>
      <c r="CM983" s="1910"/>
      <c r="CN983" s="1910"/>
      <c r="CO983" s="1910"/>
      <c r="CP983" s="1910"/>
      <c r="CQ983" s="1910"/>
      <c r="CR983" s="1910"/>
      <c r="CS983" s="1910"/>
      <c r="CT983" s="1910"/>
      <c r="CU983" s="1910"/>
      <c r="CV983" s="1910"/>
      <c r="CW983" s="1910"/>
      <c r="CX983" s="1910"/>
      <c r="CY983" s="1910"/>
      <c r="CZ983" s="1910"/>
      <c r="DA983" s="1910"/>
      <c r="DB983" s="1910"/>
      <c r="DC983" s="1910"/>
      <c r="DD983" s="1910"/>
      <c r="DE983" s="1910"/>
      <c r="DF983" s="1910"/>
      <c r="DG983" s="1910"/>
      <c r="DH983" s="1910"/>
      <c r="DI983" s="1910"/>
      <c r="DJ983" s="1910"/>
      <c r="DK983" s="1910"/>
      <c r="DL983" s="1910"/>
      <c r="DM983" s="1910"/>
      <c r="DN983" s="1910"/>
      <c r="DO983" s="1910"/>
      <c r="DP983" s="1910"/>
      <c r="DQ983" s="1910"/>
      <c r="DR983" s="1910"/>
      <c r="DS983" s="1910"/>
      <c r="DT983" s="1910"/>
      <c r="DU983" s="1910"/>
      <c r="DV983" s="1910"/>
      <c r="DW983" s="1910"/>
      <c r="DX983" s="1910"/>
      <c r="DY983" s="1910"/>
      <c r="DZ983" s="1910"/>
      <c r="EA983" s="1910"/>
      <c r="EB983" s="1910"/>
      <c r="EC983" s="1910"/>
      <c r="ED983" s="1910"/>
      <c r="EE983" s="1910"/>
      <c r="EF983" s="1910"/>
      <c r="EG983" s="1910"/>
      <c r="EH983" s="1910"/>
      <c r="EI983" s="1910"/>
      <c r="EJ983" s="1910"/>
      <c r="EK983" s="1910"/>
      <c r="EL983" s="1910"/>
      <c r="EM983" s="1910"/>
      <c r="EN983" s="1910"/>
      <c r="EO983" s="1910"/>
      <c r="EP983" s="1910"/>
      <c r="EQ983" s="1910"/>
      <c r="ER983" s="1910"/>
      <c r="ES983" s="1910"/>
      <c r="ET983" s="1910"/>
      <c r="EU983" s="1910"/>
      <c r="EV983" s="1910"/>
      <c r="EW983" s="1910"/>
      <c r="EX983" s="1910"/>
      <c r="EY983" s="1910"/>
      <c r="EZ983" s="1910"/>
      <c r="FA983" s="1910"/>
      <c r="FB983" s="1910"/>
      <c r="FC983" s="1910"/>
      <c r="FD983" s="1910"/>
      <c r="FE983" s="1910"/>
      <c r="FF983" s="1910"/>
      <c r="FG983" s="1910"/>
      <c r="FH983" s="1910"/>
      <c r="FI983" s="1910"/>
      <c r="FJ983" s="1910"/>
      <c r="FK983" s="1910"/>
      <c r="FL983" s="1910"/>
      <c r="FM983" s="1910"/>
      <c r="FN983" s="1910"/>
      <c r="FO983" s="1910"/>
      <c r="FP983" s="1910"/>
      <c r="FQ983" s="1910"/>
      <c r="FR983" s="1910"/>
      <c r="FS983" s="1910"/>
      <c r="FT983" s="1910"/>
      <c r="FU983" s="1910"/>
      <c r="FV983" s="1910"/>
      <c r="FW983" s="1910"/>
      <c r="FX983" s="1910"/>
      <c r="FY983" s="1910"/>
      <c r="FZ983" s="1910"/>
      <c r="GA983" s="1910"/>
      <c r="GB983" s="1910"/>
      <c r="GC983" s="1910"/>
      <c r="GD983" s="1910"/>
      <c r="GE983" s="1910"/>
      <c r="GF983" s="1910"/>
      <c r="GG983" s="1910"/>
      <c r="GH983" s="1910"/>
      <c r="GI983" s="1910"/>
      <c r="GJ983" s="1910"/>
      <c r="GK983" s="1910"/>
      <c r="GL983" s="1910"/>
      <c r="GM983" s="1910"/>
      <c r="GN983" s="1910"/>
      <c r="GO983" s="1910"/>
      <c r="GP983" s="1910"/>
      <c r="GQ983" s="1910"/>
      <c r="GR983" s="1910"/>
      <c r="GS983" s="1910"/>
      <c r="GT983" s="1910"/>
      <c r="GU983" s="1910"/>
      <c r="GV983" s="1910"/>
      <c r="GW983" s="1910"/>
      <c r="GX983" s="1910"/>
      <c r="GY983" s="1910"/>
      <c r="GZ983" s="1910"/>
      <c r="HA983" s="1910"/>
      <c r="HB983" s="1910"/>
      <c r="HC983" s="1910"/>
      <c r="HD983" s="1910"/>
      <c r="HE983" s="1910"/>
      <c r="HF983" s="1910"/>
      <c r="HG983" s="1910"/>
      <c r="HH983" s="1910"/>
      <c r="HI983" s="1910"/>
      <c r="HJ983" s="1910"/>
      <c r="HK983" s="1910"/>
      <c r="HL983" s="1910"/>
      <c r="HM983" s="1910"/>
      <c r="HN983" s="1910"/>
      <c r="HO983" s="1910"/>
      <c r="HP983" s="1910"/>
      <c r="HQ983" s="1910"/>
      <c r="HR983" s="1910"/>
      <c r="HS983" s="1910"/>
      <c r="HT983" s="1910"/>
      <c r="HU983" s="1910"/>
      <c r="HV983" s="1910"/>
      <c r="HW983" s="1910"/>
      <c r="HX983" s="1910"/>
      <c r="HY983" s="1910"/>
      <c r="HZ983" s="1910"/>
      <c r="IA983" s="1910"/>
      <c r="IB983" s="1910"/>
      <c r="IC983" s="1910"/>
      <c r="ID983" s="1910"/>
      <c r="IE983" s="1910"/>
      <c r="IF983" s="1910"/>
      <c r="IG983" s="1910"/>
      <c r="IH983" s="1910"/>
      <c r="II983" s="1910"/>
      <c r="IJ983" s="1910"/>
      <c r="IK983" s="1910"/>
      <c r="IL983" s="1910"/>
      <c r="IM983" s="1910"/>
      <c r="IN983" s="1910"/>
      <c r="IO983" s="1910"/>
      <c r="IP983" s="1910"/>
      <c r="IQ983" s="1910"/>
      <c r="IR983" s="1910"/>
      <c r="IS983" s="1910"/>
      <c r="IT983" s="1910"/>
      <c r="IU983" s="1910"/>
      <c r="IV983" s="1910"/>
    </row>
    <row r="984" spans="1:256" ht="33" customHeight="1">
      <c r="A984" s="2169" t="str">
        <f>+'LINEAS IMPULSIÓN-CONDUCCIÓN'!A207</f>
        <v>3.7.9</v>
      </c>
      <c r="B984" s="3648" t="s">
        <v>1311</v>
      </c>
      <c r="C984" s="3649"/>
      <c r="D984" s="3649"/>
      <c r="E984" s="3649"/>
      <c r="F984" s="3649"/>
      <c r="G984" s="3649"/>
      <c r="H984" s="3649"/>
      <c r="I984" s="3650"/>
    </row>
    <row r="985" spans="1:256" ht="15" customHeight="1">
      <c r="A985" s="1261"/>
      <c r="B985" s="1258"/>
      <c r="C985" s="1264" t="s">
        <v>140</v>
      </c>
      <c r="D985" s="1229" t="s">
        <v>343</v>
      </c>
      <c r="E985" s="1814" t="s">
        <v>344</v>
      </c>
      <c r="F985" s="1814" t="s">
        <v>482</v>
      </c>
      <c r="G985" s="1814" t="s">
        <v>483</v>
      </c>
      <c r="H985" s="1814" t="s">
        <v>232</v>
      </c>
      <c r="I985" s="1814" t="s">
        <v>171</v>
      </c>
    </row>
    <row r="986" spans="1:256" ht="70.5" customHeight="1">
      <c r="A986" s="1261" t="s">
        <v>684</v>
      </c>
      <c r="B986" s="406" t="s">
        <v>6929</v>
      </c>
      <c r="C986" s="183">
        <v>1</v>
      </c>
      <c r="D986" s="509" t="s">
        <v>363</v>
      </c>
      <c r="E986" s="1804">
        <f>+'BASE 2'!D507</f>
        <v>541450</v>
      </c>
      <c r="F986" s="1914"/>
      <c r="G986" s="1914">
        <f>+E986*C986</f>
        <v>541450</v>
      </c>
      <c r="H986" s="1914"/>
      <c r="I986" s="1914"/>
    </row>
    <row r="987" spans="1:256" ht="15" customHeight="1">
      <c r="A987" s="1261" t="s">
        <v>584</v>
      </c>
      <c r="B987" s="1258" t="s">
        <v>134</v>
      </c>
      <c r="C987" s="183">
        <f>1/35</f>
        <v>2.8571428571428571E-2</v>
      </c>
      <c r="D987" s="1229" t="s">
        <v>476</v>
      </c>
      <c r="E987" s="1814">
        <f>+VIAJE</f>
        <v>1200000</v>
      </c>
      <c r="F987" s="1814"/>
      <c r="G987" s="1814"/>
      <c r="H987" s="1814"/>
      <c r="I987" s="1814">
        <f>+E987*C987</f>
        <v>34285.714285714283</v>
      </c>
    </row>
    <row r="988" spans="1:256" ht="15" customHeight="1">
      <c r="A988" s="1265" t="s">
        <v>190</v>
      </c>
      <c r="B988" s="1266">
        <f>ROUND(SUM(F988:I988),0)</f>
        <v>575736</v>
      </c>
      <c r="C988" s="1263"/>
      <c r="D988" s="1229"/>
      <c r="E988" s="1814"/>
      <c r="F988" s="1814">
        <f>+SUM(F986:F987)</f>
        <v>0</v>
      </c>
      <c r="G988" s="1814">
        <f>+SUM(G986:G987)</f>
        <v>541450</v>
      </c>
      <c r="H988" s="1814">
        <f>+SUM(H986:H987)</f>
        <v>0</v>
      </c>
      <c r="I988" s="1814">
        <f>+SUM(I986:I987)</f>
        <v>34285.714285714283</v>
      </c>
    </row>
    <row r="989" spans="1:256" ht="15" customHeight="1">
      <c r="A989" s="1265" t="s">
        <v>191</v>
      </c>
      <c r="B989" s="1414">
        <f>+B988</f>
        <v>575736</v>
      </c>
      <c r="C989" s="1901" t="s">
        <v>363</v>
      </c>
    </row>
    <row r="990" spans="1:256" s="507" customFormat="1" ht="15" customHeight="1">
      <c r="A990" s="954"/>
      <c r="B990" s="1715"/>
      <c r="C990" s="1912"/>
      <c r="E990" s="1913"/>
      <c r="F990" s="1913"/>
      <c r="G990" s="1913"/>
      <c r="H990" s="1913"/>
      <c r="I990" s="1913"/>
    </row>
    <row r="991" spans="1:256" ht="33.75" customHeight="1">
      <c r="A991" s="449" t="str">
        <f>+'LINEAS IMPULSIÓN-CONDUCCIÓN'!A187</f>
        <v>3.6.10</v>
      </c>
      <c r="B991" s="3570" t="s">
        <v>6932</v>
      </c>
      <c r="C991" s="3669"/>
      <c r="D991" s="3669"/>
      <c r="E991" s="3669"/>
      <c r="F991" s="3669"/>
      <c r="G991" s="3669"/>
      <c r="H991" s="3669"/>
      <c r="I991" s="3670"/>
    </row>
    <row r="992" spans="1:256" ht="15" customHeight="1">
      <c r="A992" s="1261"/>
      <c r="B992" s="1258"/>
      <c r="C992" s="1264" t="s">
        <v>140</v>
      </c>
      <c r="D992" s="1229" t="s">
        <v>343</v>
      </c>
      <c r="E992" s="1814" t="s">
        <v>344</v>
      </c>
      <c r="F992" s="1814" t="s">
        <v>482</v>
      </c>
      <c r="G992" s="1814" t="s">
        <v>483</v>
      </c>
      <c r="H992" s="1814" t="s">
        <v>232</v>
      </c>
      <c r="I992" s="1814" t="s">
        <v>171</v>
      </c>
    </row>
    <row r="993" spans="1:9" ht="15" customHeight="1">
      <c r="A993" s="1261" t="s">
        <v>347</v>
      </c>
      <c r="B993" s="1258" t="s">
        <v>266</v>
      </c>
      <c r="C993" s="1264">
        <v>0.63</v>
      </c>
      <c r="D993" s="1229" t="s">
        <v>346</v>
      </c>
      <c r="E993" s="1814">
        <f>+AYUDA</f>
        <v>65389.695592000004</v>
      </c>
      <c r="F993" s="1814"/>
      <c r="G993" s="1814"/>
      <c r="H993" s="1814">
        <f>+E993*C993</f>
        <v>41195.508222960001</v>
      </c>
      <c r="I993" s="1814"/>
    </row>
    <row r="994" spans="1:9" ht="15" customHeight="1">
      <c r="A994" s="1261" t="s">
        <v>345</v>
      </c>
      <c r="B994" s="1258" t="s">
        <v>965</v>
      </c>
      <c r="C994" s="1264">
        <v>0.63</v>
      </c>
      <c r="D994" s="1229" t="s">
        <v>346</v>
      </c>
      <c r="E994" s="1814">
        <f>+OFICI</f>
        <v>80479.625344</v>
      </c>
      <c r="F994" s="1814"/>
      <c r="G994" s="1814"/>
      <c r="H994" s="1814">
        <f>+E994*C994</f>
        <v>50702.16396672</v>
      </c>
      <c r="I994" s="1814"/>
    </row>
    <row r="995" spans="1:9" ht="15" customHeight="1">
      <c r="A995" s="1261" t="s">
        <v>172</v>
      </c>
      <c r="B995" s="1258" t="s">
        <v>189</v>
      </c>
      <c r="C995" s="1264">
        <v>1</v>
      </c>
      <c r="D995" s="1229" t="s">
        <v>583</v>
      </c>
      <c r="E995" s="1814">
        <f>+H996*0.05</f>
        <v>4594.8836094839999</v>
      </c>
      <c r="F995" s="1814"/>
      <c r="G995" s="1814"/>
      <c r="H995" s="1814"/>
      <c r="I995" s="1814">
        <f>+E995*C995</f>
        <v>4594.8836094839999</v>
      </c>
    </row>
    <row r="996" spans="1:9" ht="15" customHeight="1">
      <c r="A996" s="1265" t="s">
        <v>190</v>
      </c>
      <c r="B996" s="1266">
        <f>ROUND(SUM(F996:I996),0)</f>
        <v>96493</v>
      </c>
      <c r="C996" s="1263"/>
      <c r="D996" s="1229"/>
      <c r="E996" s="1814"/>
      <c r="F996" s="1814">
        <f>+SUM(F993:F995)</f>
        <v>0</v>
      </c>
      <c r="G996" s="1814">
        <f>+SUM(G993:G995)</f>
        <v>0</v>
      </c>
      <c r="H996" s="1814">
        <f>+SUM(H993:H995)</f>
        <v>91897.672189680001</v>
      </c>
      <c r="I996" s="1814">
        <f>+SUM(I993:I995)</f>
        <v>4594.8836094839999</v>
      </c>
    </row>
    <row r="997" spans="1:9" ht="15" customHeight="1">
      <c r="A997" s="1265" t="s">
        <v>191</v>
      </c>
      <c r="B997" s="1414">
        <f>+B996</f>
        <v>96493</v>
      </c>
      <c r="C997" s="1901" t="s">
        <v>363</v>
      </c>
      <c r="D997" s="1915"/>
      <c r="E997" s="1790">
        <f>+B1004*0.15</f>
        <v>95260.65</v>
      </c>
      <c r="F997" s="1790"/>
      <c r="G997" s="1790"/>
      <c r="H997" s="1790"/>
      <c r="I997" s="1790"/>
    </row>
    <row r="998" spans="1:9" s="1260" customFormat="1" ht="15" customHeight="1">
      <c r="A998" s="1277"/>
      <c r="B998" s="402"/>
      <c r="C998" s="873"/>
      <c r="D998" s="873"/>
      <c r="E998" s="874"/>
      <c r="F998" s="874"/>
      <c r="G998" s="874"/>
      <c r="H998" s="874"/>
      <c r="I998" s="874"/>
    </row>
    <row r="999" spans="1:9" ht="33.75" customHeight="1">
      <c r="A999" s="2169" t="str">
        <f>+'LINEAS IMPULSIÓN-CONDUCCIÓN'!A208</f>
        <v>3.7.10</v>
      </c>
      <c r="B999" s="3648" t="s">
        <v>6931</v>
      </c>
      <c r="C999" s="3671"/>
      <c r="D999" s="3671"/>
      <c r="E999" s="3671"/>
      <c r="F999" s="3671"/>
      <c r="G999" s="3671"/>
      <c r="H999" s="3671"/>
      <c r="I999" s="3672"/>
    </row>
    <row r="1000" spans="1:9" ht="15" customHeight="1">
      <c r="A1000" s="1261"/>
      <c r="B1000" s="1258"/>
      <c r="C1000" s="1264" t="s">
        <v>140</v>
      </c>
      <c r="D1000" s="1229" t="s">
        <v>343</v>
      </c>
      <c r="E1000" s="1814" t="s">
        <v>344</v>
      </c>
      <c r="F1000" s="1814" t="s">
        <v>482</v>
      </c>
      <c r="G1000" s="1814" t="s">
        <v>483</v>
      </c>
      <c r="H1000" s="1814" t="s">
        <v>232</v>
      </c>
      <c r="I1000" s="1814" t="s">
        <v>171</v>
      </c>
    </row>
    <row r="1001" spans="1:9" ht="69" customHeight="1">
      <c r="A1001" s="1261" t="s">
        <v>686</v>
      </c>
      <c r="B1001" s="242" t="s">
        <v>6931</v>
      </c>
      <c r="C1001" s="183">
        <v>1</v>
      </c>
      <c r="D1001" s="509" t="s">
        <v>363</v>
      </c>
      <c r="E1001" s="1804">
        <f>+'BASE 2'!D508</f>
        <v>525980</v>
      </c>
      <c r="F1001" s="1914"/>
      <c r="G1001" s="1914">
        <f>+E1001*C1001</f>
        <v>525980</v>
      </c>
      <c r="H1001" s="1914"/>
      <c r="I1001" s="1914"/>
    </row>
    <row r="1002" spans="1:9" ht="15" customHeight="1">
      <c r="A1002" s="1261" t="s">
        <v>584</v>
      </c>
      <c r="B1002" s="1258" t="s">
        <v>134</v>
      </c>
      <c r="C1002" s="183">
        <f>1/11</f>
        <v>9.0909090909090912E-2</v>
      </c>
      <c r="D1002" s="1229" t="s">
        <v>476</v>
      </c>
      <c r="E1002" s="1814">
        <f>+VIAJE</f>
        <v>1200000</v>
      </c>
      <c r="F1002" s="1814"/>
      <c r="G1002" s="1814"/>
      <c r="H1002" s="1814"/>
      <c r="I1002" s="1814">
        <f>+E1002*C1002</f>
        <v>109090.90909090909</v>
      </c>
    </row>
    <row r="1003" spans="1:9" ht="15" customHeight="1">
      <c r="A1003" s="1265" t="s">
        <v>190</v>
      </c>
      <c r="B1003" s="1266">
        <f>ROUND(SUM(F1003:I1003),0)</f>
        <v>635071</v>
      </c>
      <c r="C1003" s="1263"/>
      <c r="D1003" s="1229"/>
      <c r="E1003" s="1814"/>
      <c r="F1003" s="1814">
        <f>+SUM(F1001:F1002)</f>
        <v>0</v>
      </c>
      <c r="G1003" s="1814">
        <f>+SUM(G1001:G1002)</f>
        <v>525980</v>
      </c>
      <c r="H1003" s="1814">
        <f>+SUM(H1001:H1002)</f>
        <v>0</v>
      </c>
      <c r="I1003" s="1814">
        <f>+SUM(I1001:I1002)</f>
        <v>109090.90909090909</v>
      </c>
    </row>
    <row r="1004" spans="1:9" ht="15" customHeight="1">
      <c r="A1004" s="1265" t="s">
        <v>191</v>
      </c>
      <c r="B1004" s="1414">
        <f>+B1003</f>
        <v>635071</v>
      </c>
      <c r="C1004" s="1901" t="s">
        <v>363</v>
      </c>
      <c r="D1004" s="1915"/>
      <c r="E1004" s="1790"/>
      <c r="F1004" s="1790"/>
      <c r="G1004" s="1790"/>
      <c r="H1004" s="1790"/>
      <c r="I1004" s="1790"/>
    </row>
    <row r="1006" spans="1:9" ht="17.25" customHeight="1">
      <c r="A1006" s="433" t="str">
        <f>+'LINEAS IMPULSIÓN-CONDUCCIÓN'!A189</f>
        <v>3.6.12</v>
      </c>
      <c r="B1006" s="3648" t="s">
        <v>6936</v>
      </c>
      <c r="C1006" s="3671"/>
      <c r="D1006" s="3671"/>
      <c r="E1006" s="3671"/>
      <c r="F1006" s="3671"/>
      <c r="G1006" s="3671"/>
      <c r="H1006" s="3671"/>
      <c r="I1006" s="3672"/>
    </row>
    <row r="1007" spans="1:9" ht="15" customHeight="1">
      <c r="A1007" s="1261"/>
      <c r="B1007" s="1258"/>
      <c r="C1007" s="1264" t="s">
        <v>140</v>
      </c>
      <c r="D1007" s="1229" t="s">
        <v>343</v>
      </c>
      <c r="E1007" s="1814" t="s">
        <v>344</v>
      </c>
      <c r="F1007" s="1814" t="s">
        <v>482</v>
      </c>
      <c r="G1007" s="1814" t="s">
        <v>483</v>
      </c>
      <c r="H1007" s="1814" t="s">
        <v>232</v>
      </c>
      <c r="I1007" s="1814" t="s">
        <v>171</v>
      </c>
    </row>
    <row r="1008" spans="1:9" ht="15" customHeight="1">
      <c r="A1008" s="1261" t="s">
        <v>347</v>
      </c>
      <c r="B1008" s="1258" t="s">
        <v>266</v>
      </c>
      <c r="C1008" s="1408">
        <v>1.32</v>
      </c>
      <c r="D1008" s="1229" t="s">
        <v>346</v>
      </c>
      <c r="E1008" s="1814">
        <f>+AYUDA</f>
        <v>65389.695592000004</v>
      </c>
      <c r="F1008" s="1814"/>
      <c r="G1008" s="1814"/>
      <c r="H1008" s="1814">
        <f>+E1008*C1008</f>
        <v>86314.398181440003</v>
      </c>
      <c r="I1008" s="1814"/>
    </row>
    <row r="1009" spans="1:9" ht="15" customHeight="1">
      <c r="A1009" s="1261" t="s">
        <v>345</v>
      </c>
      <c r="B1009" s="1258" t="s">
        <v>965</v>
      </c>
      <c r="C1009" s="1408">
        <v>1.32</v>
      </c>
      <c r="D1009" s="1229" t="s">
        <v>346</v>
      </c>
      <c r="E1009" s="1814">
        <f>+OFICI</f>
        <v>80479.625344</v>
      </c>
      <c r="F1009" s="1814"/>
      <c r="G1009" s="1814"/>
      <c r="H1009" s="1814">
        <f>+E1009*C1009</f>
        <v>106233.10545408001</v>
      </c>
      <c r="I1009" s="1814"/>
    </row>
    <row r="1010" spans="1:9" ht="15" customHeight="1">
      <c r="A1010" s="1261" t="s">
        <v>172</v>
      </c>
      <c r="B1010" s="1258" t="s">
        <v>189</v>
      </c>
      <c r="C1010" s="1264">
        <v>1</v>
      </c>
      <c r="D1010" s="1229" t="s">
        <v>583</v>
      </c>
      <c r="E1010" s="1814">
        <f>+H1011*0.05</f>
        <v>9627.3751817760003</v>
      </c>
      <c r="F1010" s="1814"/>
      <c r="G1010" s="1814"/>
      <c r="H1010" s="1814"/>
      <c r="I1010" s="1814">
        <f>+E1010*C1010</f>
        <v>9627.3751817760003</v>
      </c>
    </row>
    <row r="1011" spans="1:9" ht="15" customHeight="1">
      <c r="A1011" s="1265" t="s">
        <v>190</v>
      </c>
      <c r="B1011" s="1266">
        <f>ROUND(SUM(F1011:I1011),0)</f>
        <v>202175</v>
      </c>
      <c r="C1011" s="1263"/>
      <c r="D1011" s="1229"/>
      <c r="E1011" s="1814"/>
      <c r="F1011" s="1814">
        <f>+SUM(F1008:F1010)</f>
        <v>0</v>
      </c>
      <c r="G1011" s="1814">
        <f>+SUM(G1008:G1010)</f>
        <v>0</v>
      </c>
      <c r="H1011" s="1814">
        <f>+SUM(H1008:H1010)</f>
        <v>192547.50363552</v>
      </c>
      <c r="I1011" s="1814">
        <f>+SUM(I1008:I1010)</f>
        <v>9627.3751817760003</v>
      </c>
    </row>
    <row r="1012" spans="1:9" ht="15" customHeight="1">
      <c r="A1012" s="1265" t="s">
        <v>191</v>
      </c>
      <c r="B1012" s="1414">
        <f>+B1011</f>
        <v>202175</v>
      </c>
      <c r="C1012" s="1901" t="s">
        <v>363</v>
      </c>
      <c r="D1012" s="1915"/>
      <c r="E1012" s="1790">
        <f>+B1019*0.15</f>
        <v>203788.65</v>
      </c>
      <c r="F1012" s="1790"/>
      <c r="G1012" s="1790"/>
      <c r="H1012" s="1790"/>
      <c r="I1012" s="1790"/>
    </row>
    <row r="1013" spans="1:9" s="1260" customFormat="1" ht="15" customHeight="1">
      <c r="A1013" s="1277"/>
      <c r="B1013" s="402"/>
      <c r="C1013" s="873"/>
      <c r="D1013" s="873"/>
      <c r="E1013" s="874"/>
      <c r="F1013" s="874"/>
      <c r="G1013" s="874"/>
      <c r="H1013" s="874"/>
      <c r="I1013" s="874"/>
    </row>
    <row r="1014" spans="1:9" ht="18">
      <c r="A1014" s="2168" t="str">
        <f>+'LINEAS IMPULSIÓN-CONDUCCIÓN'!A210</f>
        <v>3.7.12</v>
      </c>
      <c r="B1014" s="3648" t="s">
        <v>6935</v>
      </c>
      <c r="C1014" s="3671"/>
      <c r="D1014" s="3671"/>
      <c r="E1014" s="3671"/>
      <c r="F1014" s="3671"/>
      <c r="G1014" s="3671"/>
      <c r="H1014" s="3671"/>
      <c r="I1014" s="3672"/>
    </row>
    <row r="1015" spans="1:9" ht="15" customHeight="1">
      <c r="A1015" s="1261"/>
      <c r="B1015" s="1258"/>
      <c r="C1015" s="1264" t="s">
        <v>140</v>
      </c>
      <c r="D1015" s="1229" t="s">
        <v>343</v>
      </c>
      <c r="E1015" s="1814" t="s">
        <v>344</v>
      </c>
      <c r="F1015" s="1814" t="s">
        <v>482</v>
      </c>
      <c r="G1015" s="1814" t="s">
        <v>483</v>
      </c>
      <c r="H1015" s="1814" t="s">
        <v>232</v>
      </c>
      <c r="I1015" s="1814" t="s">
        <v>171</v>
      </c>
    </row>
    <row r="1016" spans="1:9" ht="36.75" customHeight="1">
      <c r="A1016" s="1261" t="s">
        <v>686</v>
      </c>
      <c r="B1016" s="242" t="s">
        <v>1322</v>
      </c>
      <c r="C1016" s="183">
        <v>1</v>
      </c>
      <c r="D1016" s="509" t="s">
        <v>363</v>
      </c>
      <c r="E1016" s="1804">
        <f>+'BASE 2'!D496</f>
        <v>1249500</v>
      </c>
      <c r="F1016" s="1914"/>
      <c r="G1016" s="1914">
        <f>+E1016*C1016</f>
        <v>1249500</v>
      </c>
      <c r="H1016" s="1914"/>
      <c r="I1016" s="1914"/>
    </row>
    <row r="1017" spans="1:9" ht="15" customHeight="1">
      <c r="A1017" s="1261" t="s">
        <v>584</v>
      </c>
      <c r="B1017" s="1258" t="s">
        <v>134</v>
      </c>
      <c r="C1017" s="183">
        <f>1/11</f>
        <v>9.0909090909090912E-2</v>
      </c>
      <c r="D1017" s="509" t="s">
        <v>476</v>
      </c>
      <c r="E1017" s="1914">
        <f>+VIAJE</f>
        <v>1200000</v>
      </c>
      <c r="F1017" s="1914"/>
      <c r="G1017" s="1914"/>
      <c r="H1017" s="1914"/>
      <c r="I1017" s="1914">
        <f>+E1017*C1017</f>
        <v>109090.90909090909</v>
      </c>
    </row>
    <row r="1018" spans="1:9" ht="15" customHeight="1">
      <c r="A1018" s="1265" t="s">
        <v>190</v>
      </c>
      <c r="B1018" s="1266">
        <f>ROUND(SUM(F1018:I1018),0)</f>
        <v>1358591</v>
      </c>
      <c r="C1018" s="1263"/>
      <c r="D1018" s="1229"/>
      <c r="E1018" s="1814"/>
      <c r="F1018" s="1814">
        <f>+SUM(F1016:F1017)</f>
        <v>0</v>
      </c>
      <c r="G1018" s="1814">
        <f>+SUM(G1016:G1017)</f>
        <v>1249500</v>
      </c>
      <c r="H1018" s="1814">
        <f>+SUM(H1016:H1017)</f>
        <v>0</v>
      </c>
      <c r="I1018" s="1814">
        <f>+SUM(I1016:I1017)</f>
        <v>109090.90909090909</v>
      </c>
    </row>
    <row r="1019" spans="1:9" ht="15" customHeight="1">
      <c r="A1019" s="1265" t="s">
        <v>191</v>
      </c>
      <c r="B1019" s="1414">
        <f>+B1018</f>
        <v>1358591</v>
      </c>
      <c r="C1019" s="1901" t="s">
        <v>363</v>
      </c>
      <c r="D1019" s="1915"/>
      <c r="E1019" s="1790"/>
      <c r="F1019" s="1790"/>
      <c r="G1019" s="1790"/>
      <c r="H1019" s="1790"/>
      <c r="I1019" s="1790"/>
    </row>
    <row r="1021" spans="1:9" ht="18">
      <c r="A1021" s="449" t="str">
        <f>+'LINEAS IMPULSIÓN-CONDUCCIÓN'!A190</f>
        <v>3.6.13</v>
      </c>
      <c r="B1021" s="3570" t="s">
        <v>1198</v>
      </c>
      <c r="C1021" s="3669"/>
      <c r="D1021" s="3669"/>
      <c r="E1021" s="3669"/>
      <c r="F1021" s="3669"/>
      <c r="G1021" s="3669"/>
      <c r="H1021" s="3669"/>
      <c r="I1021" s="3670"/>
    </row>
    <row r="1022" spans="1:9" ht="15" customHeight="1">
      <c r="A1022" s="1261"/>
      <c r="B1022" s="1258"/>
      <c r="C1022" s="1264" t="s">
        <v>140</v>
      </c>
      <c r="D1022" s="1229" t="s">
        <v>343</v>
      </c>
      <c r="E1022" s="1814" t="s">
        <v>344</v>
      </c>
      <c r="F1022" s="1814" t="s">
        <v>482</v>
      </c>
      <c r="G1022" s="1814" t="s">
        <v>483</v>
      </c>
      <c r="H1022" s="1814" t="s">
        <v>232</v>
      </c>
      <c r="I1022" s="1814" t="s">
        <v>171</v>
      </c>
    </row>
    <row r="1023" spans="1:9" ht="15" customHeight="1">
      <c r="A1023" s="1261" t="s">
        <v>347</v>
      </c>
      <c r="B1023" s="1258" t="s">
        <v>266</v>
      </c>
      <c r="C1023" s="1264">
        <v>1.1499999999999999</v>
      </c>
      <c r="D1023" s="1229" t="s">
        <v>346</v>
      </c>
      <c r="E1023" s="1814">
        <f>+AYUDA*2</f>
        <v>130779.39118400001</v>
      </c>
      <c r="F1023" s="1814"/>
      <c r="G1023" s="1814"/>
      <c r="H1023" s="1814">
        <f>+E1023*C1023</f>
        <v>150396.29986160001</v>
      </c>
      <c r="I1023" s="1814"/>
    </row>
    <row r="1024" spans="1:9" ht="15" customHeight="1">
      <c r="A1024" s="1261" t="s">
        <v>345</v>
      </c>
      <c r="B1024" s="1258" t="s">
        <v>965</v>
      </c>
      <c r="C1024" s="1264">
        <v>1.1499999999999999</v>
      </c>
      <c r="D1024" s="1229" t="s">
        <v>346</v>
      </c>
      <c r="E1024" s="1814">
        <f>+OFICI</f>
        <v>80479.625344</v>
      </c>
      <c r="F1024" s="1814"/>
      <c r="G1024" s="1814"/>
      <c r="H1024" s="1814">
        <f>+E1024*C1024</f>
        <v>92551.569145599991</v>
      </c>
      <c r="I1024" s="1814"/>
    </row>
    <row r="1025" spans="1:14" ht="15" customHeight="1">
      <c r="A1025" s="1261" t="s">
        <v>172</v>
      </c>
      <c r="B1025" s="1258" t="s">
        <v>189</v>
      </c>
      <c r="C1025" s="1264">
        <v>1</v>
      </c>
      <c r="D1025" s="1229" t="s">
        <v>583</v>
      </c>
      <c r="E1025" s="1814">
        <f>+H1026*0.05</f>
        <v>12147.393450360001</v>
      </c>
      <c r="F1025" s="1814"/>
      <c r="G1025" s="1814"/>
      <c r="H1025" s="1814"/>
      <c r="I1025" s="1814">
        <f>+E1025*C1025</f>
        <v>12147.393450360001</v>
      </c>
    </row>
    <row r="1026" spans="1:14" ht="15" customHeight="1">
      <c r="A1026" s="1265" t="s">
        <v>190</v>
      </c>
      <c r="B1026" s="1266">
        <f>ROUND(SUM(F1026:I1026),0)</f>
        <v>255095</v>
      </c>
      <c r="C1026" s="1263"/>
      <c r="D1026" s="1229"/>
      <c r="E1026" s="1814"/>
      <c r="F1026" s="1814">
        <f>+SUM(F1023:F1025)</f>
        <v>0</v>
      </c>
      <c r="G1026" s="1814">
        <f>+SUM(G1023:G1025)</f>
        <v>0</v>
      </c>
      <c r="H1026" s="1814">
        <f>+SUM(H1023:H1025)</f>
        <v>242947.8690072</v>
      </c>
      <c r="I1026" s="1814">
        <f>+SUM(I1023:I1025)</f>
        <v>12147.393450360001</v>
      </c>
    </row>
    <row r="1027" spans="1:14" ht="15" customHeight="1">
      <c r="A1027" s="1265" t="s">
        <v>191</v>
      </c>
      <c r="B1027" s="1414">
        <f>+B1026</f>
        <v>255095</v>
      </c>
      <c r="C1027" s="1901" t="s">
        <v>363</v>
      </c>
      <c r="D1027" s="1915"/>
      <c r="E1027" s="1790">
        <f>+B1034*0.15</f>
        <v>254214.9</v>
      </c>
      <c r="F1027" s="1790"/>
      <c r="G1027" s="1790"/>
      <c r="H1027" s="1790"/>
      <c r="I1027" s="1790"/>
    </row>
    <row r="1028" spans="1:14" s="1260" customFormat="1" ht="15" customHeight="1">
      <c r="A1028" s="1277"/>
      <c r="B1028" s="402"/>
      <c r="C1028" s="873"/>
      <c r="D1028" s="873"/>
      <c r="E1028" s="874"/>
      <c r="F1028" s="874"/>
      <c r="G1028" s="874"/>
      <c r="H1028" s="874"/>
      <c r="I1028" s="874"/>
    </row>
    <row r="1029" spans="1:14" ht="18">
      <c r="A1029" s="2169" t="str">
        <f>+'LINEAS IMPULSIÓN-CONDUCCIÓN'!A211</f>
        <v>3.7.13</v>
      </c>
      <c r="B1029" s="3648" t="s">
        <v>1199</v>
      </c>
      <c r="C1029" s="3671"/>
      <c r="D1029" s="3671"/>
      <c r="E1029" s="3671"/>
      <c r="F1029" s="3671"/>
      <c r="G1029" s="3671"/>
      <c r="H1029" s="3671"/>
      <c r="I1029" s="3672"/>
    </row>
    <row r="1030" spans="1:14" ht="15" customHeight="1">
      <c r="A1030" s="1261"/>
      <c r="B1030" s="1258"/>
      <c r="C1030" s="1264" t="s">
        <v>140</v>
      </c>
      <c r="D1030" s="1229" t="s">
        <v>343</v>
      </c>
      <c r="E1030" s="1814" t="s">
        <v>344</v>
      </c>
      <c r="F1030" s="1814" t="s">
        <v>482</v>
      </c>
      <c r="G1030" s="1814" t="s">
        <v>483</v>
      </c>
      <c r="H1030" s="1814" t="s">
        <v>232</v>
      </c>
      <c r="I1030" s="1814" t="s">
        <v>171</v>
      </c>
    </row>
    <row r="1031" spans="1:14" ht="36.75" customHeight="1">
      <c r="A1031" s="1261" t="s">
        <v>686</v>
      </c>
      <c r="B1031" s="242" t="s">
        <v>6938</v>
      </c>
      <c r="C1031" s="183">
        <v>2</v>
      </c>
      <c r="D1031" s="509" t="s">
        <v>363</v>
      </c>
      <c r="E1031" s="1804">
        <f>+'BASE 2'!D492</f>
        <v>792837.5</v>
      </c>
      <c r="F1031" s="1914"/>
      <c r="G1031" s="1914">
        <f>+E1031*C1031</f>
        <v>1585675</v>
      </c>
      <c r="H1031" s="1914"/>
      <c r="I1031" s="1914"/>
    </row>
    <row r="1032" spans="1:14" ht="15" customHeight="1">
      <c r="A1032" s="1261" t="s">
        <v>584</v>
      </c>
      <c r="B1032" s="1258" t="s">
        <v>134</v>
      </c>
      <c r="C1032" s="183">
        <f>1/11</f>
        <v>9.0909090909090912E-2</v>
      </c>
      <c r="D1032" s="1229" t="s">
        <v>476</v>
      </c>
      <c r="E1032" s="1814">
        <f>+VIAJE</f>
        <v>1200000</v>
      </c>
      <c r="F1032" s="1814"/>
      <c r="G1032" s="1814"/>
      <c r="H1032" s="1814"/>
      <c r="I1032" s="1814">
        <f>+E1032*C1032</f>
        <v>109090.90909090909</v>
      </c>
    </row>
    <row r="1033" spans="1:14" ht="15" customHeight="1">
      <c r="A1033" s="1265" t="s">
        <v>190</v>
      </c>
      <c r="B1033" s="1266">
        <f>ROUND(SUM(F1033:I1033),0)</f>
        <v>1694766</v>
      </c>
      <c r="C1033" s="1263"/>
      <c r="D1033" s="1229"/>
      <c r="E1033" s="1814"/>
      <c r="F1033" s="1814">
        <f>+SUM(F1031:F1032)</f>
        <v>0</v>
      </c>
      <c r="G1033" s="1814">
        <f>+SUM(G1031:G1032)</f>
        <v>1585675</v>
      </c>
      <c r="H1033" s="1814">
        <f>+SUM(H1031:H1032)</f>
        <v>0</v>
      </c>
      <c r="I1033" s="1814">
        <f>+SUM(I1031:I1032)</f>
        <v>109090.90909090909</v>
      </c>
    </row>
    <row r="1034" spans="1:14" ht="15" customHeight="1">
      <c r="A1034" s="1265" t="s">
        <v>191</v>
      </c>
      <c r="B1034" s="1414">
        <f>+B1033</f>
        <v>1694766</v>
      </c>
      <c r="C1034" s="1901" t="s">
        <v>363</v>
      </c>
      <c r="D1034" s="1915"/>
      <c r="E1034" s="1790"/>
      <c r="F1034" s="1790"/>
      <c r="G1034" s="1790"/>
      <c r="H1034" s="1790"/>
      <c r="I1034" s="1790"/>
    </row>
    <row r="1036" spans="1:14" s="19" customFormat="1" ht="15" customHeight="1">
      <c r="A1036" s="2332" t="str">
        <f>+'LINEAS IMPULSIÓN-CONDUCCIÓN'!A192</f>
        <v>3.6.15</v>
      </c>
      <c r="B1036" s="3652" t="s">
        <v>6947</v>
      </c>
      <c r="C1036" s="3639"/>
      <c r="D1036" s="3639"/>
      <c r="E1036" s="3639"/>
      <c r="F1036" s="3639"/>
      <c r="G1036" s="3639"/>
      <c r="H1036" s="3639"/>
      <c r="I1036" s="3640"/>
      <c r="J1036" s="367"/>
      <c r="K1036" s="367"/>
      <c r="L1036" s="367"/>
      <c r="M1036" s="367"/>
    </row>
    <row r="1037" spans="1:14" s="19" customFormat="1" ht="15" customHeight="1">
      <c r="B1037" s="474"/>
      <c r="C1037" s="2688" t="s">
        <v>140</v>
      </c>
      <c r="D1037" s="2688" t="s">
        <v>343</v>
      </c>
      <c r="E1037" s="369" t="s">
        <v>344</v>
      </c>
      <c r="F1037" s="369" t="s">
        <v>482</v>
      </c>
      <c r="G1037" s="369" t="s">
        <v>483</v>
      </c>
      <c r="H1037" s="369" t="s">
        <v>232</v>
      </c>
      <c r="I1037" s="369" t="s">
        <v>171</v>
      </c>
      <c r="J1037" s="367"/>
      <c r="K1037" s="367"/>
      <c r="L1037" s="367"/>
      <c r="M1037" s="367"/>
    </row>
    <row r="1038" spans="1:14" s="499" customFormat="1" ht="15" customHeight="1">
      <c r="A1038" s="954" t="s">
        <v>53</v>
      </c>
      <c r="B1038" s="2706" t="s">
        <v>6502</v>
      </c>
      <c r="C1038" s="183">
        <v>1.92</v>
      </c>
      <c r="D1038" s="501" t="s">
        <v>346</v>
      </c>
      <c r="E1038" s="1797">
        <f>+'BASE 2'!D738</f>
        <v>200979.89333333331</v>
      </c>
      <c r="F1038" s="497">
        <f>+E1038*C1038</f>
        <v>385881.39519999997</v>
      </c>
      <c r="G1038" s="497"/>
      <c r="H1038" s="497"/>
      <c r="I1038" s="497"/>
      <c r="J1038" s="498"/>
      <c r="K1038" s="498"/>
      <c r="L1038" s="498"/>
      <c r="M1038" s="498"/>
      <c r="N1038" s="498"/>
    </row>
    <row r="1039" spans="1:14" ht="15" customHeight="1">
      <c r="A1039" s="954" t="s">
        <v>47</v>
      </c>
      <c r="B1039" s="231" t="s">
        <v>6425</v>
      </c>
      <c r="C1039" s="183">
        <v>1.92</v>
      </c>
      <c r="D1039" s="401" t="s">
        <v>346</v>
      </c>
      <c r="E1039" s="2683">
        <f>+EEF110_</f>
        <v>520232.3</v>
      </c>
      <c r="F1039" s="2683">
        <f>+E1039*C1039</f>
        <v>998846.01599999995</v>
      </c>
      <c r="G1039" s="2683"/>
      <c r="H1039" s="2683"/>
      <c r="I1039" s="2683"/>
      <c r="J1039" s="507"/>
    </row>
    <row r="1040" spans="1:14" ht="15" customHeight="1">
      <c r="A1040" s="1261"/>
      <c r="B1040" s="1275" t="s">
        <v>1064</v>
      </c>
      <c r="C1040" s="183">
        <f>1/700</f>
        <v>1.4285714285714286E-3</v>
      </c>
      <c r="D1040" s="401" t="s">
        <v>476</v>
      </c>
      <c r="E1040" s="1276">
        <v>500000</v>
      </c>
      <c r="F1040" s="2683"/>
      <c r="G1040" s="2683"/>
      <c r="H1040" s="2683"/>
      <c r="I1040" s="2683">
        <f>+E1040*C1040</f>
        <v>714.28571428571433</v>
      </c>
      <c r="J1040" s="1260"/>
    </row>
    <row r="1041" spans="1:14" s="499" customFormat="1" ht="15" customHeight="1">
      <c r="A1041" s="954" t="s">
        <v>380</v>
      </c>
      <c r="B1041" s="1908" t="s">
        <v>378</v>
      </c>
      <c r="C1041" s="183">
        <f>1/57</f>
        <v>1.7543859649122806E-2</v>
      </c>
      <c r="D1041" s="501" t="s">
        <v>238</v>
      </c>
      <c r="E1041" s="1797">
        <f>+GASO</f>
        <v>8800</v>
      </c>
      <c r="F1041" s="497"/>
      <c r="G1041" s="497">
        <f>+E1041*C1041</f>
        <v>154.38596491228068</v>
      </c>
      <c r="H1041" s="497"/>
      <c r="I1041" s="497">
        <f>+E1041*C1041</f>
        <v>154.38596491228068</v>
      </c>
      <c r="J1041" s="498"/>
      <c r="K1041" s="498"/>
      <c r="L1041" s="498"/>
      <c r="M1041" s="498"/>
      <c r="N1041" s="498"/>
    </row>
    <row r="1042" spans="1:14" s="499" customFormat="1" ht="15" customHeight="1">
      <c r="A1042" s="954" t="s">
        <v>382</v>
      </c>
      <c r="B1042" s="1908" t="s">
        <v>381</v>
      </c>
      <c r="C1042" s="183">
        <f>1/50</f>
        <v>0.02</v>
      </c>
      <c r="D1042" s="501" t="s">
        <v>426</v>
      </c>
      <c r="E1042" s="1797">
        <f>+ESTOP</f>
        <v>4080</v>
      </c>
      <c r="F1042" s="497"/>
      <c r="G1042" s="497">
        <f>+E1042*C1042</f>
        <v>81.600000000000009</v>
      </c>
      <c r="H1042" s="497"/>
      <c r="I1042" s="497">
        <f>+E1042*C1042</f>
        <v>81.600000000000009</v>
      </c>
      <c r="J1042" s="498"/>
      <c r="K1042" s="498"/>
      <c r="L1042" s="498"/>
      <c r="M1042" s="498"/>
      <c r="N1042" s="498"/>
    </row>
    <row r="1043" spans="1:14" s="19" customFormat="1" ht="15" customHeight="1">
      <c r="A1043" s="473" t="s">
        <v>347</v>
      </c>
      <c r="B1043" s="1908" t="s">
        <v>6941</v>
      </c>
      <c r="C1043" s="183">
        <v>1.92</v>
      </c>
      <c r="D1043" s="2688" t="s">
        <v>346</v>
      </c>
      <c r="E1043" s="452">
        <f>+AYUDA*4</f>
        <v>261558.78236800001</v>
      </c>
      <c r="F1043" s="452"/>
      <c r="G1043" s="452"/>
      <c r="H1043" s="452">
        <f>+E1043*C1043</f>
        <v>502192.86214655999</v>
      </c>
      <c r="I1043" s="452"/>
      <c r="J1043" s="367"/>
      <c r="K1043" s="367"/>
      <c r="L1043" s="367"/>
      <c r="M1043" s="367"/>
    </row>
    <row r="1044" spans="1:14" s="19" customFormat="1" ht="15" customHeight="1">
      <c r="A1044" s="473" t="s">
        <v>345</v>
      </c>
      <c r="B1044" s="1908" t="s">
        <v>6439</v>
      </c>
      <c r="C1044" s="183">
        <v>1.92</v>
      </c>
      <c r="D1044" s="2688" t="s">
        <v>346</v>
      </c>
      <c r="E1044" s="452">
        <f>+OFICI</f>
        <v>80479.625344</v>
      </c>
      <c r="F1044" s="452"/>
      <c r="G1044" s="452"/>
      <c r="H1044" s="452">
        <f>+E1044*C1044</f>
        <v>154520.88066048</v>
      </c>
      <c r="I1044" s="452"/>
      <c r="J1044" s="367"/>
      <c r="K1044" s="367"/>
      <c r="L1044" s="367"/>
      <c r="M1044" s="367"/>
    </row>
    <row r="1045" spans="1:14" s="19" customFormat="1" ht="15" customHeight="1">
      <c r="A1045" s="473" t="s">
        <v>172</v>
      </c>
      <c r="B1045" s="474" t="s">
        <v>189</v>
      </c>
      <c r="C1045" s="475">
        <v>1</v>
      </c>
      <c r="D1045" s="2688" t="s">
        <v>583</v>
      </c>
      <c r="E1045" s="452">
        <f>+H1046*0.05</f>
        <v>32835.687140351998</v>
      </c>
      <c r="F1045" s="452"/>
      <c r="G1045" s="452"/>
      <c r="H1045" s="452"/>
      <c r="I1045" s="452">
        <f>+E1045*C1045</f>
        <v>32835.687140351998</v>
      </c>
      <c r="J1045" s="367"/>
      <c r="K1045" s="367"/>
      <c r="L1045" s="367"/>
      <c r="M1045" s="367"/>
    </row>
    <row r="1046" spans="1:14" s="19" customFormat="1" ht="15" customHeight="1">
      <c r="A1046" s="476" t="s">
        <v>190</v>
      </c>
      <c r="B1046" s="353">
        <f>SUM(F1046:I1046)</f>
        <v>2075463.0987915022</v>
      </c>
      <c r="C1046" s="477"/>
      <c r="D1046" s="2688"/>
      <c r="E1046" s="452"/>
      <c r="F1046" s="452">
        <f>+SUM(F1038:F1045)</f>
        <v>1384727.4112</v>
      </c>
      <c r="G1046" s="452">
        <f>+SUM(G1038:G1045)</f>
        <v>235.98596491228068</v>
      </c>
      <c r="H1046" s="452">
        <f>+SUM(H1038:H1045)</f>
        <v>656713.74280703999</v>
      </c>
      <c r="I1046" s="452">
        <f>+SUM(I1038:I1045)</f>
        <v>33785.958819549996</v>
      </c>
      <c r="J1046" s="367"/>
      <c r="K1046" s="367"/>
      <c r="L1046" s="367"/>
      <c r="M1046" s="367"/>
    </row>
    <row r="1047" spans="1:14" s="19" customFormat="1" ht="15" customHeight="1">
      <c r="A1047" s="476" t="s">
        <v>191</v>
      </c>
      <c r="B1047" s="353">
        <f>+B1046</f>
        <v>2075463.0987915022</v>
      </c>
      <c r="C1047" s="478" t="s">
        <v>363</v>
      </c>
      <c r="D1047" s="479"/>
      <c r="E1047" s="2028">
        <f>+B1056*0.15</f>
        <v>2045142.7485</v>
      </c>
      <c r="F1047" s="480"/>
      <c r="G1047" s="481"/>
      <c r="H1047" s="481"/>
      <c r="I1047" s="481"/>
      <c r="J1047" s="367"/>
      <c r="K1047" s="367"/>
      <c r="L1047" s="367"/>
      <c r="M1047" s="367"/>
    </row>
    <row r="1048" spans="1:14" s="19" customFormat="1" ht="15" customHeight="1">
      <c r="A1048" s="479"/>
      <c r="B1048" s="482"/>
      <c r="C1048" s="483"/>
      <c r="D1048" s="389"/>
      <c r="E1048" s="484"/>
      <c r="F1048" s="484"/>
      <c r="G1048" s="484"/>
      <c r="H1048" s="484"/>
      <c r="I1048" s="484"/>
      <c r="J1048" s="367"/>
      <c r="K1048" s="367"/>
      <c r="L1048" s="367"/>
      <c r="M1048" s="367"/>
    </row>
    <row r="1049" spans="1:14" s="19" customFormat="1" ht="15" customHeight="1">
      <c r="A1049" s="2333" t="str">
        <f>+'LINEAS IMPULSIÓN-CONDUCCIÓN'!A213</f>
        <v>3.7.15</v>
      </c>
      <c r="B1049" s="3653" t="s">
        <v>6946</v>
      </c>
      <c r="C1049" s="3654"/>
      <c r="D1049" s="3654"/>
      <c r="E1049" s="3654"/>
      <c r="F1049" s="3654"/>
      <c r="G1049" s="3654"/>
      <c r="H1049" s="3654"/>
      <c r="I1049" s="3655"/>
    </row>
    <row r="1050" spans="1:14" s="19" customFormat="1" ht="15" customHeight="1">
      <c r="A1050" s="473"/>
      <c r="B1050" s="474"/>
      <c r="C1050" s="2688" t="s">
        <v>140</v>
      </c>
      <c r="D1050" s="2688" t="s">
        <v>343</v>
      </c>
      <c r="E1050" s="369" t="s">
        <v>344</v>
      </c>
      <c r="F1050" s="369" t="s">
        <v>482</v>
      </c>
      <c r="G1050" s="369" t="s">
        <v>483</v>
      </c>
      <c r="H1050" s="369" t="s">
        <v>232</v>
      </c>
      <c r="I1050" s="369" t="s">
        <v>171</v>
      </c>
      <c r="J1050" s="367"/>
      <c r="K1050" s="367"/>
      <c r="L1050" s="367"/>
      <c r="M1050" s="367"/>
    </row>
    <row r="1051" spans="1:14" s="19" customFormat="1" ht="125.25" customHeight="1">
      <c r="A1051" s="485"/>
      <c r="B1051" s="323" t="s">
        <v>6430</v>
      </c>
      <c r="C1051" s="475">
        <v>1</v>
      </c>
      <c r="D1051" s="471" t="s">
        <v>363</v>
      </c>
      <c r="E1051" s="452">
        <f>3734878*1.19</f>
        <v>4444504.8199999994</v>
      </c>
      <c r="F1051" s="452"/>
      <c r="G1051" s="368">
        <f t="shared" ref="G1051:G1054" si="28">+E1051*C1051</f>
        <v>4444504.8199999994</v>
      </c>
      <c r="H1051" s="452"/>
      <c r="I1051" s="452"/>
      <c r="J1051" s="367"/>
      <c r="K1051" s="367"/>
      <c r="L1051" s="367"/>
      <c r="M1051" s="367"/>
    </row>
    <row r="1052" spans="1:14" s="19" customFormat="1" ht="28.5" customHeight="1">
      <c r="A1052" s="485"/>
      <c r="B1052" s="349" t="s">
        <v>6431</v>
      </c>
      <c r="C1052" s="475">
        <v>1</v>
      </c>
      <c r="D1052" s="471" t="s">
        <v>363</v>
      </c>
      <c r="E1052" s="368">
        <f>4550000*1.19</f>
        <v>5414500</v>
      </c>
      <c r="F1052" s="368"/>
      <c r="G1052" s="368">
        <f>+E1052*C1052</f>
        <v>5414500</v>
      </c>
      <c r="H1052" s="368"/>
      <c r="I1052" s="368"/>
      <c r="J1052" s="367"/>
      <c r="K1052" s="367"/>
      <c r="L1052" s="367"/>
      <c r="M1052" s="367"/>
    </row>
    <row r="1053" spans="1:14" s="19" customFormat="1" ht="28.5" customHeight="1">
      <c r="A1053" s="485"/>
      <c r="B1053" s="349" t="s">
        <v>6432</v>
      </c>
      <c r="C1053" s="475">
        <v>1</v>
      </c>
      <c r="D1053" s="471" t="s">
        <v>363</v>
      </c>
      <c r="E1053" s="368">
        <f>2769143*1.19</f>
        <v>3295280.17</v>
      </c>
      <c r="F1053" s="368"/>
      <c r="G1053" s="368">
        <f>+E1053*C1053</f>
        <v>3295280.17</v>
      </c>
      <c r="H1053" s="368"/>
      <c r="I1053" s="368"/>
      <c r="J1053" s="367"/>
      <c r="K1053" s="367"/>
      <c r="L1053" s="367"/>
      <c r="M1053" s="367"/>
    </row>
    <row r="1054" spans="1:14" s="19" customFormat="1" ht="15" customHeight="1">
      <c r="A1054" s="473"/>
      <c r="B1054" s="474" t="s">
        <v>1293</v>
      </c>
      <c r="C1054" s="451">
        <v>0.2</v>
      </c>
      <c r="D1054" s="2688" t="s">
        <v>476</v>
      </c>
      <c r="E1054" s="452">
        <f>+VIAJE</f>
        <v>1200000</v>
      </c>
      <c r="F1054" s="452"/>
      <c r="G1054" s="369">
        <f t="shared" si="28"/>
        <v>240000</v>
      </c>
      <c r="H1054" s="452"/>
      <c r="I1054" s="452">
        <f>+E1054*C1054</f>
        <v>240000</v>
      </c>
      <c r="J1054" s="367"/>
      <c r="K1054" s="367"/>
      <c r="L1054" s="367"/>
      <c r="M1054" s="367"/>
    </row>
    <row r="1055" spans="1:14" s="19" customFormat="1" ht="15" customHeight="1">
      <c r="A1055" s="476" t="s">
        <v>190</v>
      </c>
      <c r="B1055" s="353">
        <f>SUM(F1055:I1055)</f>
        <v>13634284.99</v>
      </c>
      <c r="C1055" s="477"/>
      <c r="D1055" s="2688"/>
      <c r="E1055" s="452"/>
      <c r="F1055" s="452"/>
      <c r="G1055" s="452">
        <f>+SUM(G1051:G1054)</f>
        <v>13394284.99</v>
      </c>
      <c r="H1055" s="452">
        <f>SUM(H1054:H1054)</f>
        <v>0</v>
      </c>
      <c r="I1055" s="452">
        <f>SUM(I1054:I1054)</f>
        <v>240000</v>
      </c>
      <c r="J1055" s="367"/>
      <c r="K1055" s="367"/>
      <c r="L1055" s="367"/>
      <c r="M1055" s="367"/>
    </row>
    <row r="1056" spans="1:14" s="19" customFormat="1" ht="15" customHeight="1">
      <c r="A1056" s="476" t="s">
        <v>191</v>
      </c>
      <c r="B1056" s="2166">
        <f>+B1055</f>
        <v>13634284.99</v>
      </c>
      <c r="C1056" s="478" t="s">
        <v>363</v>
      </c>
      <c r="D1056" s="479"/>
      <c r="E1056" s="480"/>
      <c r="F1056" s="480"/>
      <c r="G1056" s="481"/>
      <c r="H1056" s="481"/>
      <c r="I1056" s="481"/>
      <c r="J1056" s="367"/>
      <c r="K1056" s="367"/>
      <c r="L1056" s="367"/>
      <c r="M1056" s="367"/>
    </row>
    <row r="1058" spans="1:9" s="1260" customFormat="1" ht="15" hidden="1" customHeight="1">
      <c r="A1058" s="1277"/>
      <c r="B1058" s="402"/>
      <c r="C1058" s="873"/>
      <c r="D1058" s="873"/>
      <c r="E1058" s="874"/>
      <c r="F1058" s="874"/>
      <c r="G1058" s="874"/>
      <c r="H1058" s="874"/>
      <c r="I1058" s="874"/>
    </row>
    <row r="1059" spans="1:9" ht="33.75" hidden="1" customHeight="1">
      <c r="A1059" s="449" t="str">
        <f>+'LINEAS IMPULSIÓN-CONDUCCIÓN'!A187</f>
        <v>3.6.10</v>
      </c>
      <c r="B1059" s="3570" t="s">
        <v>6285</v>
      </c>
      <c r="C1059" s="3669"/>
      <c r="D1059" s="3669"/>
      <c r="E1059" s="3669"/>
      <c r="F1059" s="3669"/>
      <c r="G1059" s="3669"/>
      <c r="H1059" s="3669"/>
      <c r="I1059" s="3670"/>
    </row>
    <row r="1060" spans="1:9" ht="15" hidden="1" customHeight="1">
      <c r="A1060" s="1261"/>
      <c r="B1060" s="1258"/>
      <c r="C1060" s="1264" t="s">
        <v>140</v>
      </c>
      <c r="D1060" s="1229" t="s">
        <v>343</v>
      </c>
      <c r="E1060" s="1814" t="s">
        <v>344</v>
      </c>
      <c r="F1060" s="1814" t="s">
        <v>482</v>
      </c>
      <c r="G1060" s="1814" t="s">
        <v>483</v>
      </c>
      <c r="H1060" s="1814" t="s">
        <v>232</v>
      </c>
      <c r="I1060" s="1814" t="s">
        <v>171</v>
      </c>
    </row>
    <row r="1061" spans="1:9" ht="15" hidden="1" customHeight="1">
      <c r="A1061" s="1261" t="s">
        <v>347</v>
      </c>
      <c r="B1061" s="1258" t="str">
        <f>IF(PRESTA&gt;0,"AYUD. ENTENDIDO (INCLUYE "&amp;""&amp;PRESTA*100&amp;"% PRESTACIONES)",0)</f>
        <v>AYUD. ENTENDIDO (INCLUYE 82,22% PRESTACIONES)</v>
      </c>
      <c r="C1061" s="1264">
        <v>1.82</v>
      </c>
      <c r="D1061" s="1229" t="s">
        <v>346</v>
      </c>
      <c r="E1061" s="1814">
        <f>+AYUDA</f>
        <v>65389.695592000004</v>
      </c>
      <c r="F1061" s="1814"/>
      <c r="G1061" s="1814"/>
      <c r="H1061" s="1814">
        <f>+E1061*C1061</f>
        <v>119009.24597744</v>
      </c>
      <c r="I1061" s="1814"/>
    </row>
    <row r="1062" spans="1:9" ht="15" hidden="1" customHeight="1">
      <c r="A1062" s="1261" t="s">
        <v>345</v>
      </c>
      <c r="B1062" s="1258" t="str">
        <f>IF(PRESTA&gt;0,"OFICIAL (INCLUYE "&amp;""&amp;PRESTA*100&amp;"% PRESTACIONES)",0)</f>
        <v>OFICIAL (INCLUYE 82,22% PRESTACIONES)</v>
      </c>
      <c r="C1062" s="1264">
        <v>1.82</v>
      </c>
      <c r="D1062" s="1229" t="s">
        <v>346</v>
      </c>
      <c r="E1062" s="1814">
        <f>+OFICI</f>
        <v>80479.625344</v>
      </c>
      <c r="F1062" s="1814"/>
      <c r="G1062" s="1814"/>
      <c r="H1062" s="1814">
        <f>+E1062*C1062</f>
        <v>146472.91812608001</v>
      </c>
      <c r="I1062" s="1814"/>
    </row>
    <row r="1063" spans="1:9" ht="15" hidden="1" customHeight="1">
      <c r="A1063" s="1261" t="s">
        <v>172</v>
      </c>
      <c r="B1063" s="1258" t="s">
        <v>189</v>
      </c>
      <c r="C1063" s="1264">
        <v>1</v>
      </c>
      <c r="D1063" s="1229" t="s">
        <v>583</v>
      </c>
      <c r="E1063" s="1814">
        <f>+H1064*0.05</f>
        <v>13274.108205176</v>
      </c>
      <c r="F1063" s="1814"/>
      <c r="G1063" s="1814"/>
      <c r="H1063" s="1814"/>
      <c r="I1063" s="1814">
        <f>+E1063*C1063</f>
        <v>13274.108205176</v>
      </c>
    </row>
    <row r="1064" spans="1:9" ht="15" hidden="1" customHeight="1">
      <c r="A1064" s="1265" t="s">
        <v>190</v>
      </c>
      <c r="B1064" s="1266">
        <f>ROUND(SUM(F1064:I1064),0)</f>
        <v>278756</v>
      </c>
      <c r="C1064" s="1263"/>
      <c r="D1064" s="1229"/>
      <c r="E1064" s="1814"/>
      <c r="F1064" s="1814">
        <f>+SUM(F1061:F1063)</f>
        <v>0</v>
      </c>
      <c r="G1064" s="1814">
        <f>+SUM(G1061:G1063)</f>
        <v>0</v>
      </c>
      <c r="H1064" s="1814">
        <f>+SUM(H1061:H1063)</f>
        <v>265482.16410351999</v>
      </c>
      <c r="I1064" s="1814">
        <f>+SUM(I1061:I1063)</f>
        <v>13274.108205176</v>
      </c>
    </row>
    <row r="1065" spans="1:9" ht="15" hidden="1" customHeight="1">
      <c r="A1065" s="1265" t="s">
        <v>191</v>
      </c>
      <c r="B1065" s="1414">
        <f>+B1064</f>
        <v>278756</v>
      </c>
      <c r="C1065" s="1901" t="s">
        <v>363</v>
      </c>
      <c r="D1065" s="1915"/>
      <c r="E1065" s="1790">
        <f>+B1073*0.15</f>
        <v>279604.2</v>
      </c>
      <c r="F1065" s="1790"/>
      <c r="G1065" s="1790"/>
      <c r="H1065" s="1790"/>
      <c r="I1065" s="1790"/>
    </row>
    <row r="1066" spans="1:9" s="1260" customFormat="1" ht="15" hidden="1" customHeight="1">
      <c r="A1066" s="1277"/>
      <c r="B1066" s="402"/>
      <c r="C1066" s="873"/>
      <c r="D1066" s="873"/>
      <c r="E1066" s="874"/>
      <c r="F1066" s="874"/>
      <c r="G1066" s="874"/>
      <c r="H1066" s="874"/>
      <c r="I1066" s="874"/>
    </row>
    <row r="1067" spans="1:9" ht="33.75" hidden="1" customHeight="1">
      <c r="A1067" s="2168" t="str">
        <f>+'LINEAS IMPULSIÓN-CONDUCCIÓN'!A209</f>
        <v>3.7.11</v>
      </c>
      <c r="B1067" s="3648" t="s">
        <v>6285</v>
      </c>
      <c r="C1067" s="3671"/>
      <c r="D1067" s="3671"/>
      <c r="E1067" s="3671"/>
      <c r="F1067" s="3671"/>
      <c r="G1067" s="3671"/>
      <c r="H1067" s="3671"/>
      <c r="I1067" s="3672"/>
    </row>
    <row r="1068" spans="1:9" ht="15" hidden="1" customHeight="1">
      <c r="A1068" s="1261"/>
      <c r="B1068" s="1258"/>
      <c r="C1068" s="1264" t="s">
        <v>140</v>
      </c>
      <c r="D1068" s="1229" t="s">
        <v>343</v>
      </c>
      <c r="E1068" s="1814" t="s">
        <v>344</v>
      </c>
      <c r="F1068" s="1814" t="s">
        <v>482</v>
      </c>
      <c r="G1068" s="1814" t="s">
        <v>483</v>
      </c>
      <c r="H1068" s="1814" t="s">
        <v>232</v>
      </c>
      <c r="I1068" s="1814" t="s">
        <v>171</v>
      </c>
    </row>
    <row r="1069" spans="1:9" ht="36.75" hidden="1" customHeight="1">
      <c r="A1069" s="1261" t="s">
        <v>686</v>
      </c>
      <c r="B1069" s="242" t="s">
        <v>1330</v>
      </c>
      <c r="C1069" s="1264">
        <v>1</v>
      </c>
      <c r="D1069" s="1229" t="s">
        <v>363</v>
      </c>
      <c r="E1069" s="1581">
        <f>+VCELA3</f>
        <v>696000</v>
      </c>
      <c r="F1069" s="1814"/>
      <c r="G1069" s="1814">
        <f>+E1069*C1069</f>
        <v>696000</v>
      </c>
      <c r="H1069" s="1814"/>
      <c r="I1069" s="1814"/>
    </row>
    <row r="1070" spans="1:9" ht="15" hidden="1" customHeight="1">
      <c r="A1070" s="1261"/>
      <c r="B1070" s="184" t="s">
        <v>6286</v>
      </c>
      <c r="C1070" s="1264">
        <v>1</v>
      </c>
      <c r="D1070" s="1229" t="s">
        <v>363</v>
      </c>
      <c r="E1070" s="1581">
        <f>+T63JH</f>
        <v>243739.19999999998</v>
      </c>
      <c r="F1070" s="1814"/>
      <c r="G1070" s="1814">
        <f>+E1070*C1070</f>
        <v>243739.19999999998</v>
      </c>
      <c r="H1070" s="1814"/>
      <c r="I1070" s="1814"/>
    </row>
    <row r="1071" spans="1:9" ht="39" hidden="1" customHeight="1">
      <c r="A1071" s="1261"/>
      <c r="B1071" s="897" t="s">
        <v>428</v>
      </c>
      <c r="C1071" s="183">
        <v>2</v>
      </c>
      <c r="D1071" s="501" t="s">
        <v>363</v>
      </c>
      <c r="E1071" s="1914">
        <f>(281600+52000+8920)*1.19</f>
        <v>407598.8</v>
      </c>
      <c r="F1071" s="1914"/>
      <c r="G1071" s="1914">
        <f>+E1071*C1071</f>
        <v>815197.6</v>
      </c>
      <c r="H1071" s="1814"/>
      <c r="I1071" s="1814"/>
    </row>
    <row r="1072" spans="1:9" ht="15" hidden="1" customHeight="1">
      <c r="A1072" s="1261" t="s">
        <v>584</v>
      </c>
      <c r="B1072" s="1258" t="s">
        <v>134</v>
      </c>
      <c r="C1072" s="183">
        <f>1/11</f>
        <v>9.0909090909090912E-2</v>
      </c>
      <c r="D1072" s="1229" t="s">
        <v>476</v>
      </c>
      <c r="E1072" s="1814">
        <f>+VIAJE</f>
        <v>1200000</v>
      </c>
      <c r="F1072" s="1814"/>
      <c r="G1072" s="1814"/>
      <c r="H1072" s="1814"/>
      <c r="I1072" s="1814">
        <f>+E1072*C1072</f>
        <v>109090.90909090909</v>
      </c>
    </row>
    <row r="1073" spans="1:9" ht="15" hidden="1" customHeight="1">
      <c r="A1073" s="1265" t="s">
        <v>190</v>
      </c>
      <c r="B1073" s="1266">
        <f>ROUND(SUM(F1073:I1073),0)</f>
        <v>1864028</v>
      </c>
      <c r="C1073" s="1263"/>
      <c r="D1073" s="1229"/>
      <c r="E1073" s="1814"/>
      <c r="F1073" s="1814">
        <f>+SUM(F1069:F1072)</f>
        <v>0</v>
      </c>
      <c r="G1073" s="1814">
        <f>+SUM(G1069:G1072)</f>
        <v>1754936.7999999998</v>
      </c>
      <c r="H1073" s="1814">
        <f>+SUM(H1069:H1072)</f>
        <v>0</v>
      </c>
      <c r="I1073" s="1814">
        <f>+SUM(I1069:I1072)</f>
        <v>109090.90909090909</v>
      </c>
    </row>
    <row r="1074" spans="1:9" ht="15" hidden="1" customHeight="1">
      <c r="A1074" s="1265" t="s">
        <v>191</v>
      </c>
      <c r="B1074" s="1414">
        <f>+B1073</f>
        <v>1864028</v>
      </c>
      <c r="C1074" s="1901" t="s">
        <v>363</v>
      </c>
      <c r="D1074" s="1915"/>
      <c r="E1074" s="1790"/>
      <c r="F1074" s="1790"/>
      <c r="G1074" s="1790"/>
      <c r="H1074" s="1790"/>
      <c r="I1074" s="1790"/>
    </row>
    <row r="1075" spans="1:9" s="1260" customFormat="1" ht="15" hidden="1" customHeight="1">
      <c r="A1075" s="1277"/>
      <c r="B1075" s="402"/>
      <c r="C1075" s="873"/>
      <c r="D1075" s="873"/>
      <c r="E1075" s="874"/>
      <c r="F1075" s="874"/>
      <c r="G1075" s="874"/>
      <c r="H1075" s="874"/>
      <c r="I1075" s="874"/>
    </row>
    <row r="1076" spans="1:9" ht="15" customHeight="1">
      <c r="A1076" s="1116"/>
    </row>
    <row r="1077" spans="1:9" ht="15" customHeight="1">
      <c r="A1077" s="932"/>
    </row>
    <row r="1078" spans="1:9" ht="15" customHeight="1">
      <c r="A1078" s="932"/>
      <c r="B1078" s="932"/>
    </row>
    <row r="1079" spans="1:9" ht="15" customHeight="1">
      <c r="A1079" s="932"/>
      <c r="B1079" s="932"/>
    </row>
    <row r="1080" spans="1:9" ht="15" customHeight="1">
      <c r="A1080" s="932"/>
      <c r="B1080" s="932"/>
    </row>
    <row r="1081" spans="1:9" ht="15" customHeight="1">
      <c r="A1081" s="932"/>
      <c r="B1081" s="932"/>
    </row>
    <row r="1082" spans="1:9" ht="15" customHeight="1">
      <c r="A1082" s="933"/>
      <c r="B1082" s="932"/>
    </row>
    <row r="1083" spans="1:9" ht="15" customHeight="1">
      <c r="A1083" s="1117"/>
      <c r="B1083" s="932"/>
    </row>
    <row r="1084" spans="1:9" ht="15" customHeight="1">
      <c r="A1084" s="933"/>
      <c r="B1084" s="933"/>
    </row>
    <row r="1085" spans="1:9" ht="15" customHeight="1">
      <c r="A1085" s="933"/>
      <c r="B1085" s="933"/>
    </row>
    <row r="1086" spans="1:9" ht="15" customHeight="1">
      <c r="A1086" s="933"/>
      <c r="B1086" s="933"/>
    </row>
    <row r="1087" spans="1:9" ht="15" customHeight="1">
      <c r="A1087" s="933"/>
      <c r="B1087" s="933"/>
    </row>
    <row r="1088" spans="1:9" ht="15" customHeight="1">
      <c r="A1088" s="933"/>
      <c r="B1088" s="933"/>
    </row>
    <row r="1089" spans="1:2" ht="15" customHeight="1">
      <c r="A1089" s="933"/>
      <c r="B1089" s="933"/>
    </row>
    <row r="1090" spans="1:2" ht="15" customHeight="1">
      <c r="A1090" s="933"/>
      <c r="B1090" s="933"/>
    </row>
    <row r="1091" spans="1:2" ht="15" customHeight="1">
      <c r="A1091" s="933"/>
      <c r="B1091" s="933"/>
    </row>
    <row r="1092" spans="1:2" ht="15" customHeight="1">
      <c r="B1092" s="933"/>
    </row>
    <row r="1093" spans="1:2" ht="15" customHeight="1">
      <c r="B1093" s="933"/>
    </row>
    <row r="1094" spans="1:2" ht="15" customHeight="1">
      <c r="B1094" s="933"/>
    </row>
    <row r="1095" spans="1:2" ht="15" customHeight="1">
      <c r="B1095" s="61"/>
    </row>
  </sheetData>
  <mergeCells count="129">
    <mergeCell ref="B517:I517"/>
    <mergeCell ref="B922:I922"/>
    <mergeCell ref="B929:I929"/>
    <mergeCell ref="B881:I881"/>
    <mergeCell ref="B893:I893"/>
    <mergeCell ref="B722:I722"/>
    <mergeCell ref="B899:I899"/>
    <mergeCell ref="B907:I907"/>
    <mergeCell ref="B858:I858"/>
    <mergeCell ref="B829:I829"/>
    <mergeCell ref="B792:I792"/>
    <mergeCell ref="B582:I582"/>
    <mergeCell ref="B595:I595"/>
    <mergeCell ref="B602:I602"/>
    <mergeCell ref="B615:I615"/>
    <mergeCell ref="B622:I622"/>
    <mergeCell ref="B635:I635"/>
    <mergeCell ref="B642:I642"/>
    <mergeCell ref="B655:I655"/>
    <mergeCell ref="B662:I662"/>
    <mergeCell ref="B675:I675"/>
    <mergeCell ref="B702:I702"/>
    <mergeCell ref="A549:I549"/>
    <mergeCell ref="A560:I560"/>
    <mergeCell ref="B1059:I1059"/>
    <mergeCell ref="B1067:I1067"/>
    <mergeCell ref="B914:I914"/>
    <mergeCell ref="B984:I984"/>
    <mergeCell ref="B805:I805"/>
    <mergeCell ref="B1006:I1006"/>
    <mergeCell ref="B1014:I1014"/>
    <mergeCell ref="B1049:I1049"/>
    <mergeCell ref="B785:I785"/>
    <mergeCell ref="B991:I991"/>
    <mergeCell ref="B999:I999"/>
    <mergeCell ref="B1021:I1021"/>
    <mergeCell ref="B1029:I1029"/>
    <mergeCell ref="B937:I937"/>
    <mergeCell ref="B959:I959"/>
    <mergeCell ref="B967:I967"/>
    <mergeCell ref="B944:I944"/>
    <mergeCell ref="B1036:I1036"/>
    <mergeCell ref="B976:I976"/>
    <mergeCell ref="B842:I842"/>
    <mergeCell ref="B819:I819"/>
    <mergeCell ref="A815:I815"/>
    <mergeCell ref="A817:I817"/>
    <mergeCell ref="B952:I952"/>
    <mergeCell ref="B740:I740"/>
    <mergeCell ref="B746:I746"/>
    <mergeCell ref="B734:I734"/>
    <mergeCell ref="B536:I536"/>
    <mergeCell ref="B715:I715"/>
    <mergeCell ref="B772:I772"/>
    <mergeCell ref="B752:I752"/>
    <mergeCell ref="B765:I765"/>
    <mergeCell ref="B682:I682"/>
    <mergeCell ref="B695:I695"/>
    <mergeCell ref="B562:I562"/>
    <mergeCell ref="B575:I575"/>
    <mergeCell ref="B228:I228"/>
    <mergeCell ref="A284:I284"/>
    <mergeCell ref="A513:I513"/>
    <mergeCell ref="A515:I515"/>
    <mergeCell ref="B466:I466"/>
    <mergeCell ref="B459:I459"/>
    <mergeCell ref="B440:I440"/>
    <mergeCell ref="B240:I240"/>
    <mergeCell ref="B486:I486"/>
    <mergeCell ref="B499:I499"/>
    <mergeCell ref="B479:I479"/>
    <mergeCell ref="B306:I306"/>
    <mergeCell ref="B319:I319"/>
    <mergeCell ref="B326:I326"/>
    <mergeCell ref="B339:I339"/>
    <mergeCell ref="B346:I346"/>
    <mergeCell ref="B359:I359"/>
    <mergeCell ref="B367:I367"/>
    <mergeCell ref="B380:I380"/>
    <mergeCell ref="B446:I446"/>
    <mergeCell ref="B427:I427"/>
    <mergeCell ref="A525:I525"/>
    <mergeCell ref="A534:I534"/>
    <mergeCell ref="B36:I36"/>
    <mergeCell ref="B44:I44"/>
    <mergeCell ref="B11:I11"/>
    <mergeCell ref="B29:I29"/>
    <mergeCell ref="B849:I849"/>
    <mergeCell ref="B865:I865"/>
    <mergeCell ref="B874:I874"/>
    <mergeCell ref="B527:I527"/>
    <mergeCell ref="B90:I90"/>
    <mergeCell ref="A153:I153"/>
    <mergeCell ref="B83:I83"/>
    <mergeCell ref="B139:I139"/>
    <mergeCell ref="B128:I128"/>
    <mergeCell ref="B155:I155"/>
    <mergeCell ref="B175:I175"/>
    <mergeCell ref="B165:I165"/>
    <mergeCell ref="B107:I107"/>
    <mergeCell ref="B191:I191"/>
    <mergeCell ref="B212:I212"/>
    <mergeCell ref="A827:I827"/>
    <mergeCell ref="B286:I286"/>
    <mergeCell ref="B299:I299"/>
    <mergeCell ref="A9:I9"/>
    <mergeCell ref="B115:I115"/>
    <mergeCell ref="B201:I201"/>
    <mergeCell ref="B99:I99"/>
    <mergeCell ref="B387:I387"/>
    <mergeCell ref="B400:I400"/>
    <mergeCell ref="B407:I407"/>
    <mergeCell ref="B420:I420"/>
    <mergeCell ref="A2:A4"/>
    <mergeCell ref="B2:G2"/>
    <mergeCell ref="H2:I4"/>
    <mergeCell ref="B3:G3"/>
    <mergeCell ref="B4:C4"/>
    <mergeCell ref="D4:G4"/>
    <mergeCell ref="B121:I121"/>
    <mergeCell ref="B68:I68"/>
    <mergeCell ref="B274:I274"/>
    <mergeCell ref="B52:I52"/>
    <mergeCell ref="B21:I21"/>
    <mergeCell ref="B62:I62"/>
    <mergeCell ref="A7:I7"/>
    <mergeCell ref="B75:I75"/>
    <mergeCell ref="A60:I60"/>
    <mergeCell ref="A19:I19"/>
  </mergeCells>
  <phoneticPr fontId="0" type="noConversion"/>
  <printOptions horizontalCentered="1"/>
  <pageMargins left="0.59055118110236227" right="0.59055118110236227" top="0.78740157480314965" bottom="0.78740157480314965" header="0" footer="0"/>
  <pageSetup scale="47" fitToHeight="0" orientation="portrait" horizontalDpi="360" verticalDpi="360" r:id="rId1"/>
  <headerFooter alignWithMargins="0">
    <oddFooter>&amp;C&amp;"Gill Sans MT,Normal"&amp;P de &amp;N</oddFooter>
  </headerFooter>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9" tint="0.39997558519241921"/>
  </sheetPr>
  <dimension ref="A666:M1957"/>
  <sheetViews>
    <sheetView workbookViewId="0"/>
  </sheetViews>
  <sheetFormatPr baseColWidth="10" defaultColWidth="10.6640625" defaultRowHeight="16.8"/>
  <cols>
    <col min="1" max="1" width="23.33203125" style="178" customWidth="1"/>
    <col min="2" max="2" width="57.88671875" style="578" customWidth="1"/>
    <col min="3" max="3" width="11.44140625" style="579"/>
    <col min="4" max="4" width="9.33203125" style="17" customWidth="1"/>
    <col min="5" max="5" width="15.88671875" style="607" customWidth="1"/>
    <col min="6" max="6" width="8.88671875" style="581" customWidth="1"/>
    <col min="7" max="7" width="14.5546875" style="581" customWidth="1"/>
    <col min="8" max="8" width="13" style="581" customWidth="1"/>
    <col min="9" max="9" width="13" style="581" bestFit="1" customWidth="1"/>
  </cols>
  <sheetData>
    <row r="666" spans="1:13" ht="18">
      <c r="A666" s="3591" t="s">
        <v>3618</v>
      </c>
      <c r="B666" s="3592"/>
      <c r="C666" s="3592"/>
      <c r="D666" s="3592"/>
      <c r="E666" s="3592"/>
      <c r="F666" s="3592"/>
      <c r="G666" s="3592"/>
      <c r="H666" s="3592"/>
      <c r="I666" s="3593"/>
    </row>
    <row r="667" spans="1:13" s="10" customFormat="1">
      <c r="A667" s="1459"/>
      <c r="B667" s="1460"/>
      <c r="C667" s="1461"/>
      <c r="D667" s="13"/>
      <c r="E667" s="673"/>
      <c r="F667" s="673"/>
      <c r="G667" s="673"/>
      <c r="H667" s="673"/>
      <c r="I667" s="673"/>
    </row>
    <row r="668" spans="1:13" s="10" customFormat="1">
      <c r="A668" s="1459"/>
      <c r="B668" s="1460"/>
      <c r="C668" s="1461"/>
      <c r="D668" s="13"/>
      <c r="E668" s="673"/>
      <c r="F668" s="673"/>
      <c r="G668" s="673"/>
      <c r="H668" s="673"/>
      <c r="I668" s="673"/>
    </row>
    <row r="669" spans="1:13">
      <c r="A669" s="582" t="s">
        <v>441</v>
      </c>
      <c r="B669" s="3547" t="s">
        <v>3620</v>
      </c>
      <c r="C669" s="3548"/>
      <c r="D669" s="3548"/>
      <c r="E669" s="3548"/>
      <c r="F669" s="3548"/>
      <c r="G669" s="3548"/>
      <c r="H669" s="3548"/>
      <c r="I669" s="3549"/>
    </row>
    <row r="670" spans="1:13">
      <c r="A670" s="243" t="s">
        <v>1520</v>
      </c>
      <c r="B670" s="179" t="s">
        <v>1521</v>
      </c>
      <c r="C670" s="583" t="s">
        <v>140</v>
      </c>
      <c r="D670" s="243" t="s">
        <v>343</v>
      </c>
      <c r="E670" s="584" t="s">
        <v>344</v>
      </c>
      <c r="F670" s="65" t="s">
        <v>482</v>
      </c>
      <c r="G670" s="65" t="s">
        <v>483</v>
      </c>
      <c r="H670" s="65" t="s">
        <v>232</v>
      </c>
      <c r="I670" s="65" t="s">
        <v>171</v>
      </c>
      <c r="M670">
        <f>25341*3000*1.19</f>
        <v>90467370</v>
      </c>
    </row>
    <row r="671" spans="1:13" ht="26.4">
      <c r="A671" s="530" t="s">
        <v>2016</v>
      </c>
      <c r="B671" s="534" t="s">
        <v>2017</v>
      </c>
      <c r="C671" s="583">
        <v>1</v>
      </c>
      <c r="D671" s="160" t="s">
        <v>363</v>
      </c>
      <c r="E671" s="585">
        <v>74467370</v>
      </c>
      <c r="F671" s="65"/>
      <c r="G671" s="65">
        <f>+E671*C671</f>
        <v>74467370</v>
      </c>
      <c r="H671" s="585"/>
      <c r="I671" s="585"/>
    </row>
    <row r="672" spans="1:13">
      <c r="A672" s="243" t="s">
        <v>1732</v>
      </c>
      <c r="B672" s="536" t="s">
        <v>1733</v>
      </c>
      <c r="C672" s="583">
        <v>1</v>
      </c>
      <c r="D672" s="160" t="s">
        <v>363</v>
      </c>
      <c r="E672" s="585">
        <f>467000*1.19</f>
        <v>555730</v>
      </c>
      <c r="F672" s="65"/>
      <c r="G672" s="65">
        <f>+E672*C672</f>
        <v>555730</v>
      </c>
      <c r="H672" s="585"/>
      <c r="I672" s="585"/>
    </row>
    <row r="673" spans="1:11">
      <c r="A673" s="530" t="s">
        <v>3621</v>
      </c>
      <c r="B673" s="531" t="s">
        <v>2168</v>
      </c>
      <c r="C673" s="583">
        <v>1</v>
      </c>
      <c r="D673" s="160" t="s">
        <v>363</v>
      </c>
      <c r="E673" s="585">
        <f>7875877*1.19</f>
        <v>9372293.629999999</v>
      </c>
      <c r="F673" s="65"/>
      <c r="G673" s="65">
        <f>+E673*C673</f>
        <v>9372293.629999999</v>
      </c>
      <c r="H673" s="585"/>
      <c r="I673" s="585"/>
    </row>
    <row r="674" spans="1:11" ht="26.4">
      <c r="A674" s="540" t="s">
        <v>1643</v>
      </c>
      <c r="B674" s="538" t="s">
        <v>1644</v>
      </c>
      <c r="C674" s="583">
        <v>2</v>
      </c>
      <c r="D674" s="160" t="s">
        <v>363</v>
      </c>
      <c r="E674" s="585">
        <f>VLOOKUP(B674,MATERIALES!B:C,2,0)</f>
        <v>2757230</v>
      </c>
      <c r="F674" s="65"/>
      <c r="G674" s="65">
        <f>+E674*C674</f>
        <v>5514460</v>
      </c>
      <c r="H674" s="585"/>
      <c r="I674" s="585"/>
    </row>
    <row r="675" spans="1:11">
      <c r="A675" s="586" t="s">
        <v>1593</v>
      </c>
      <c r="B675" s="548" t="s">
        <v>1594</v>
      </c>
      <c r="C675" s="583">
        <v>1</v>
      </c>
      <c r="D675" s="160" t="s">
        <v>363</v>
      </c>
      <c r="E675" s="585">
        <f>VLOOKUP(B675,MATERIALES!B:C,2,0)</f>
        <v>1900000</v>
      </c>
      <c r="F675" s="65"/>
      <c r="G675" s="65">
        <f>+E675*C675</f>
        <v>1900000</v>
      </c>
      <c r="H675" s="585"/>
      <c r="I675" s="585"/>
    </row>
    <row r="676" spans="1:11">
      <c r="A676" s="243" t="s">
        <v>2235</v>
      </c>
      <c r="B676" s="180" t="s">
        <v>2236</v>
      </c>
      <c r="C676" s="583">
        <v>4</v>
      </c>
      <c r="D676" s="243" t="s">
        <v>583</v>
      </c>
      <c r="E676" s="585">
        <f>VLOOKUP(B676,MATERIALES!B:C,2,0)</f>
        <v>750000</v>
      </c>
      <c r="F676" s="65"/>
      <c r="G676" s="65"/>
      <c r="H676" s="65"/>
      <c r="I676" s="65">
        <f>+E676*C676</f>
        <v>3000000</v>
      </c>
      <c r="K676">
        <f>+AIU</f>
        <v>0.29572249606750989</v>
      </c>
    </row>
    <row r="677" spans="1:11">
      <c r="A677" s="587" t="s">
        <v>190</v>
      </c>
      <c r="B677" s="588">
        <f>SUM(G677:I677)</f>
        <v>94809853.629999995</v>
      </c>
      <c r="C677" s="583"/>
      <c r="D677" s="169"/>
      <c r="E677" s="585"/>
      <c r="F677" s="65">
        <v>0</v>
      </c>
      <c r="G677" s="65">
        <f>SUM(G671:G676)</f>
        <v>91809853.629999995</v>
      </c>
      <c r="H677" s="65">
        <f>SUM(H676:H676)</f>
        <v>0</v>
      </c>
      <c r="I677" s="65">
        <f>SUM(I676:I676)</f>
        <v>3000000</v>
      </c>
    </row>
    <row r="678" spans="1:11">
      <c r="A678" s="21" t="s">
        <v>3708</v>
      </c>
      <c r="B678" s="39">
        <f>+B677*AIU</f>
        <v>28037406.567258861</v>
      </c>
      <c r="C678" s="589"/>
      <c r="D678" s="31"/>
      <c r="E678" s="170"/>
      <c r="F678" s="590"/>
      <c r="G678" s="590"/>
      <c r="H678" s="590"/>
      <c r="I678" s="590"/>
    </row>
    <row r="679" spans="1:11">
      <c r="A679" s="587" t="s">
        <v>191</v>
      </c>
      <c r="B679" s="39">
        <f>SUM(B677:B678)</f>
        <v>122847260.19725886</v>
      </c>
      <c r="C679" s="591" t="s">
        <v>363</v>
      </c>
      <c r="D679" s="31"/>
      <c r="E679" s="170"/>
      <c r="F679" s="170"/>
      <c r="G679" s="170"/>
      <c r="H679" s="170"/>
      <c r="I679" s="170"/>
    </row>
    <row r="680" spans="1:11">
      <c r="E680" s="580"/>
    </row>
    <row r="681" spans="1:11">
      <c r="A681" s="582" t="s">
        <v>441</v>
      </c>
      <c r="B681" s="3547" t="s">
        <v>1334</v>
      </c>
      <c r="C681" s="3548"/>
      <c r="D681" s="3548"/>
      <c r="E681" s="3548"/>
      <c r="F681" s="3548"/>
      <c r="G681" s="3548"/>
      <c r="H681" s="3548"/>
      <c r="I681" s="3549"/>
    </row>
    <row r="682" spans="1:11">
      <c r="A682" s="243" t="s">
        <v>1520</v>
      </c>
      <c r="B682" s="179" t="s">
        <v>1521</v>
      </c>
      <c r="C682" s="583" t="s">
        <v>140</v>
      </c>
      <c r="D682" s="243" t="s">
        <v>343</v>
      </c>
      <c r="E682" s="584" t="s">
        <v>344</v>
      </c>
      <c r="F682" s="65" t="s">
        <v>482</v>
      </c>
      <c r="G682" s="65" t="s">
        <v>483</v>
      </c>
      <c r="H682" s="65" t="s">
        <v>232</v>
      </c>
      <c r="I682" s="65" t="s">
        <v>171</v>
      </c>
    </row>
    <row r="683" spans="1:11">
      <c r="A683" s="243" t="s">
        <v>1815</v>
      </c>
      <c r="B683" s="592" t="s">
        <v>1816</v>
      </c>
      <c r="C683" s="583">
        <v>10</v>
      </c>
      <c r="D683" s="243" t="s">
        <v>346</v>
      </c>
      <c r="E683" s="585">
        <f>VLOOKUP(B683,MATERIALES!B:C,2,0)</f>
        <v>150000</v>
      </c>
      <c r="F683" s="65"/>
      <c r="G683" s="65" t="s">
        <v>441</v>
      </c>
      <c r="H683" s="65">
        <f>+E683*C683</f>
        <v>1500000</v>
      </c>
      <c r="I683" s="65"/>
    </row>
    <row r="684" spans="1:11">
      <c r="A684" s="243" t="s">
        <v>2344</v>
      </c>
      <c r="B684" s="179" t="s">
        <v>189</v>
      </c>
      <c r="C684" s="583">
        <v>1</v>
      </c>
      <c r="D684" s="160" t="s">
        <v>583</v>
      </c>
      <c r="E684" s="585">
        <f>+H685*0.05</f>
        <v>75000</v>
      </c>
      <c r="F684" s="65"/>
      <c r="G684" s="65"/>
      <c r="H684" s="65"/>
      <c r="I684" s="65">
        <f>+E684*C684</f>
        <v>75000</v>
      </c>
    </row>
    <row r="685" spans="1:11">
      <c r="A685" s="587" t="s">
        <v>190</v>
      </c>
      <c r="B685" s="588">
        <f>SUM(G685:I685)</f>
        <v>1575000</v>
      </c>
      <c r="C685" s="583"/>
      <c r="D685" s="169"/>
      <c r="E685" s="585"/>
      <c r="F685" s="65">
        <v>0</v>
      </c>
      <c r="G685" s="65">
        <f>SUM(G683:G684)</f>
        <v>0</v>
      </c>
      <c r="H685" s="65">
        <f>SUM(H683:H684)</f>
        <v>1500000</v>
      </c>
      <c r="I685" s="65">
        <f>SUM(I684:I684)</f>
        <v>75000</v>
      </c>
    </row>
    <row r="686" spans="1:11">
      <c r="A686" s="21" t="s">
        <v>3708</v>
      </c>
      <c r="B686" s="39">
        <f>+B685*AIU</f>
        <v>465762.9313063281</v>
      </c>
      <c r="C686" s="589"/>
      <c r="D686" s="31"/>
      <c r="E686" s="170"/>
      <c r="F686" s="590"/>
      <c r="G686" s="590"/>
      <c r="H686" s="590"/>
      <c r="I686" s="590"/>
    </row>
    <row r="687" spans="1:11">
      <c r="A687" s="587" t="s">
        <v>191</v>
      </c>
      <c r="B687" s="39">
        <f>SUM(B685:B686)</f>
        <v>2040762.9313063282</v>
      </c>
      <c r="C687" s="591" t="s">
        <v>363</v>
      </c>
      <c r="D687" s="31"/>
      <c r="E687" s="170"/>
      <c r="F687" s="170"/>
      <c r="G687" s="170"/>
      <c r="H687" s="170"/>
      <c r="I687" s="170"/>
    </row>
    <row r="688" spans="1:11">
      <c r="E688" s="580"/>
    </row>
    <row r="689" spans="1:9">
      <c r="A689" s="582" t="s">
        <v>441</v>
      </c>
      <c r="B689" s="3547" t="s">
        <v>3623</v>
      </c>
      <c r="C689" s="3548"/>
      <c r="D689" s="3548"/>
      <c r="E689" s="3548"/>
      <c r="F689" s="3548"/>
      <c r="G689" s="3548"/>
      <c r="H689" s="3548"/>
      <c r="I689" s="3549"/>
    </row>
    <row r="690" spans="1:9">
      <c r="A690" s="243" t="s">
        <v>1520</v>
      </c>
      <c r="B690" s="179" t="s">
        <v>1521</v>
      </c>
      <c r="C690" s="583" t="s">
        <v>140</v>
      </c>
      <c r="D690" s="243" t="s">
        <v>343</v>
      </c>
      <c r="E690" s="584" t="s">
        <v>344</v>
      </c>
      <c r="F690" s="65" t="s">
        <v>482</v>
      </c>
      <c r="G690" s="65" t="s">
        <v>483</v>
      </c>
      <c r="H690" s="65" t="s">
        <v>232</v>
      </c>
      <c r="I690" s="65" t="s">
        <v>171</v>
      </c>
    </row>
    <row r="691" spans="1:9" ht="26.4">
      <c r="A691" s="530" t="s">
        <v>2030</v>
      </c>
      <c r="B691" s="534" t="s">
        <v>2031</v>
      </c>
      <c r="C691" s="583">
        <v>1</v>
      </c>
      <c r="D691" s="160" t="s">
        <v>363</v>
      </c>
      <c r="E691" s="585">
        <f>11189*3000*1.19</f>
        <v>39944730</v>
      </c>
      <c r="F691" s="65"/>
      <c r="G691" s="65">
        <f>+E691*C691</f>
        <v>39944730</v>
      </c>
      <c r="H691" s="585"/>
      <c r="I691" s="585"/>
    </row>
    <row r="692" spans="1:9">
      <c r="A692" s="593" t="s">
        <v>1732</v>
      </c>
      <c r="B692" s="536" t="s">
        <v>1733</v>
      </c>
      <c r="C692" s="583">
        <v>1</v>
      </c>
      <c r="D692" s="160" t="s">
        <v>363</v>
      </c>
      <c r="E692" s="585">
        <f>467000*1.19</f>
        <v>555730</v>
      </c>
      <c r="F692" s="65"/>
      <c r="G692" s="65">
        <f>+E692*C692</f>
        <v>555730</v>
      </c>
      <c r="H692" s="585"/>
      <c r="I692" s="585"/>
    </row>
    <row r="693" spans="1:9">
      <c r="A693" s="530" t="s">
        <v>2166</v>
      </c>
      <c r="B693" s="531" t="s">
        <v>2168</v>
      </c>
      <c r="C693" s="583">
        <v>1</v>
      </c>
      <c r="D693" s="160" t="s">
        <v>363</v>
      </c>
      <c r="E693" s="585">
        <f>3900000*1.19</f>
        <v>4641000</v>
      </c>
      <c r="F693" s="65"/>
      <c r="G693" s="65">
        <f>+E693*C693</f>
        <v>4641000</v>
      </c>
      <c r="H693" s="585"/>
      <c r="I693" s="585"/>
    </row>
    <row r="694" spans="1:9">
      <c r="A694" s="539" t="s">
        <v>1625</v>
      </c>
      <c r="B694" s="541" t="s">
        <v>1662</v>
      </c>
      <c r="C694" s="583">
        <v>2</v>
      </c>
      <c r="D694" s="160" t="s">
        <v>363</v>
      </c>
      <c r="E694" s="585">
        <f>VLOOKUP(B694,MATERIALES!B:C,2,0)</f>
        <v>138504.1</v>
      </c>
      <c r="F694" s="65"/>
      <c r="G694" s="65">
        <f>+E694*C694</f>
        <v>277008.2</v>
      </c>
      <c r="H694" s="585"/>
      <c r="I694" s="585"/>
    </row>
    <row r="695" spans="1:9">
      <c r="A695" s="586" t="s">
        <v>1593</v>
      </c>
      <c r="B695" s="548" t="s">
        <v>1594</v>
      </c>
      <c r="C695" s="583">
        <v>1</v>
      </c>
      <c r="D695" s="160" t="s">
        <v>363</v>
      </c>
      <c r="E695" s="585">
        <f>VLOOKUP(B695,MATERIALES!B:C,2,0)</f>
        <v>1900000</v>
      </c>
      <c r="F695" s="65"/>
      <c r="G695" s="65">
        <f>+E695*C695</f>
        <v>1900000</v>
      </c>
      <c r="H695" s="585"/>
      <c r="I695" s="585"/>
    </row>
    <row r="696" spans="1:9">
      <c r="A696" s="243" t="s">
        <v>2235</v>
      </c>
      <c r="B696" s="180" t="s">
        <v>2236</v>
      </c>
      <c r="C696" s="583">
        <v>4</v>
      </c>
      <c r="D696" s="243" t="s">
        <v>583</v>
      </c>
      <c r="E696" s="585">
        <f>VLOOKUP(B696,MATERIALES!B:C,2,0)</f>
        <v>750000</v>
      </c>
      <c r="F696" s="65"/>
      <c r="G696" s="65"/>
      <c r="H696" s="65"/>
      <c r="I696" s="65">
        <f>+E696*C696</f>
        <v>3000000</v>
      </c>
    </row>
    <row r="697" spans="1:9">
      <c r="A697" s="587" t="s">
        <v>190</v>
      </c>
      <c r="B697" s="588">
        <f>SUM(G697:I697)</f>
        <v>50318468.200000003</v>
      </c>
      <c r="C697" s="583"/>
      <c r="D697" s="169"/>
      <c r="E697" s="585"/>
      <c r="F697" s="65">
        <v>0</v>
      </c>
      <c r="G697" s="65">
        <f>SUM(G691:G696)</f>
        <v>47318468.200000003</v>
      </c>
      <c r="H697" s="65">
        <f>SUM(H696:H696)</f>
        <v>0</v>
      </c>
      <c r="I697" s="65">
        <f>SUM(I696:I696)</f>
        <v>3000000</v>
      </c>
    </row>
    <row r="698" spans="1:9">
      <c r="A698" s="21" t="s">
        <v>3708</v>
      </c>
      <c r="B698" s="39">
        <f>+B697*AIU</f>
        <v>14880303.014397623</v>
      </c>
      <c r="C698" s="589"/>
      <c r="D698" s="31"/>
      <c r="E698" s="170"/>
      <c r="F698" s="590"/>
      <c r="G698" s="590"/>
      <c r="H698" s="590"/>
      <c r="I698" s="590"/>
    </row>
    <row r="699" spans="1:9">
      <c r="A699" s="587" t="s">
        <v>191</v>
      </c>
      <c r="B699" s="39">
        <f>SUM(B697:B698)</f>
        <v>65198771.214397624</v>
      </c>
      <c r="C699" s="591" t="s">
        <v>363</v>
      </c>
      <c r="D699" s="31"/>
      <c r="E699" s="170"/>
      <c r="F699" s="170"/>
      <c r="G699" s="170"/>
      <c r="H699" s="170"/>
      <c r="I699" s="170"/>
    </row>
    <row r="700" spans="1:9">
      <c r="E700" s="580"/>
    </row>
    <row r="701" spans="1:9">
      <c r="A701" s="582" t="s">
        <v>441</v>
      </c>
      <c r="B701" s="3547" t="s">
        <v>3624</v>
      </c>
      <c r="C701" s="3548"/>
      <c r="D701" s="3548"/>
      <c r="E701" s="3548"/>
      <c r="F701" s="3548"/>
      <c r="G701" s="3548"/>
      <c r="H701" s="3548"/>
      <c r="I701" s="3549"/>
    </row>
    <row r="702" spans="1:9">
      <c r="A702" s="243" t="s">
        <v>1520</v>
      </c>
      <c r="B702" s="179" t="s">
        <v>1521</v>
      </c>
      <c r="C702" s="583" t="s">
        <v>140</v>
      </c>
      <c r="D702" s="243" t="s">
        <v>343</v>
      </c>
      <c r="E702" s="584" t="s">
        <v>344</v>
      </c>
      <c r="F702" s="65" t="s">
        <v>482</v>
      </c>
      <c r="G702" s="65" t="s">
        <v>483</v>
      </c>
      <c r="H702" s="65" t="s">
        <v>232</v>
      </c>
      <c r="I702" s="65" t="s">
        <v>171</v>
      </c>
    </row>
    <row r="703" spans="1:9">
      <c r="A703" s="243" t="s">
        <v>1815</v>
      </c>
      <c r="B703" s="592" t="s">
        <v>1816</v>
      </c>
      <c r="C703" s="583">
        <v>10</v>
      </c>
      <c r="D703" s="243" t="s">
        <v>346</v>
      </c>
      <c r="E703" s="585">
        <f>VLOOKUP(B703,MATERIALES!B:C,2,0)</f>
        <v>150000</v>
      </c>
      <c r="F703" s="65"/>
      <c r="G703" s="65" t="s">
        <v>441</v>
      </c>
      <c r="H703" s="65">
        <f>+E703*C703</f>
        <v>1500000</v>
      </c>
      <c r="I703" s="65"/>
    </row>
    <row r="704" spans="1:9">
      <c r="A704" s="243" t="s">
        <v>2344</v>
      </c>
      <c r="B704" s="179" t="s">
        <v>189</v>
      </c>
      <c r="C704" s="583">
        <v>1</v>
      </c>
      <c r="D704" s="160" t="s">
        <v>583</v>
      </c>
      <c r="E704" s="585">
        <f>+H705*0.05</f>
        <v>75000</v>
      </c>
      <c r="F704" s="65"/>
      <c r="G704" s="65"/>
      <c r="H704" s="65"/>
      <c r="I704" s="65">
        <f>+E704*C704</f>
        <v>75000</v>
      </c>
    </row>
    <row r="705" spans="1:9">
      <c r="A705" s="587" t="s">
        <v>190</v>
      </c>
      <c r="B705" s="588">
        <f>SUM(G705:I705)</f>
        <v>1575000</v>
      </c>
      <c r="C705" s="583"/>
      <c r="D705" s="169"/>
      <c r="E705" s="585"/>
      <c r="F705" s="65">
        <v>0</v>
      </c>
      <c r="G705" s="65">
        <f>SUM(G703:G704)</f>
        <v>0</v>
      </c>
      <c r="H705" s="65">
        <f>SUM(H703:H704)</f>
        <v>1500000</v>
      </c>
      <c r="I705" s="65">
        <f>SUM(I704:I704)</f>
        <v>75000</v>
      </c>
    </row>
    <row r="706" spans="1:9">
      <c r="A706" s="21" t="s">
        <v>3708</v>
      </c>
      <c r="B706" s="39">
        <f>+B705*AIU</f>
        <v>465762.9313063281</v>
      </c>
      <c r="C706" s="589"/>
      <c r="D706" s="31"/>
      <c r="E706" s="170"/>
      <c r="F706" s="590"/>
      <c r="G706" s="590"/>
      <c r="H706" s="590"/>
      <c r="I706" s="590"/>
    </row>
    <row r="707" spans="1:9">
      <c r="A707" s="587" t="s">
        <v>191</v>
      </c>
      <c r="B707" s="39">
        <f>SUM(B705:B706)</f>
        <v>2040762.9313063282</v>
      </c>
      <c r="C707" s="591" t="s">
        <v>363</v>
      </c>
      <c r="D707" s="31"/>
      <c r="E707" s="170"/>
      <c r="F707" s="170"/>
      <c r="G707" s="170"/>
      <c r="H707" s="170"/>
      <c r="I707" s="170"/>
    </row>
    <row r="708" spans="1:9">
      <c r="E708" s="580"/>
    </row>
    <row r="709" spans="1:9">
      <c r="A709" s="594" t="s">
        <v>441</v>
      </c>
      <c r="B709" s="3547" t="s">
        <v>3625</v>
      </c>
      <c r="C709" s="3548"/>
      <c r="D709" s="3548"/>
      <c r="E709" s="3548"/>
      <c r="F709" s="3548"/>
      <c r="G709" s="3548"/>
      <c r="H709" s="3548"/>
      <c r="I709" s="3549"/>
    </row>
    <row r="710" spans="1:9">
      <c r="A710" s="243" t="s">
        <v>1520</v>
      </c>
      <c r="B710" s="179" t="s">
        <v>1521</v>
      </c>
      <c r="C710" s="583" t="s">
        <v>140</v>
      </c>
      <c r="D710" s="243" t="s">
        <v>343</v>
      </c>
      <c r="E710" s="584" t="s">
        <v>344</v>
      </c>
      <c r="F710" s="65" t="s">
        <v>482</v>
      </c>
      <c r="G710" s="65" t="s">
        <v>483</v>
      </c>
      <c r="H710" s="65" t="s">
        <v>232</v>
      </c>
      <c r="I710" s="65" t="s">
        <v>171</v>
      </c>
    </row>
    <row r="711" spans="1:9">
      <c r="A711" s="530" t="s">
        <v>2239</v>
      </c>
      <c r="B711" s="531" t="s">
        <v>2240</v>
      </c>
      <c r="C711" s="583">
        <v>2</v>
      </c>
      <c r="D711" s="160" t="s">
        <v>94</v>
      </c>
      <c r="E711" s="585">
        <f>VLOOKUP(B711,MATERIALES!B:C,2,0)</f>
        <v>80000</v>
      </c>
      <c r="F711" s="65"/>
      <c r="G711" s="65">
        <f>+E711*C711</f>
        <v>160000</v>
      </c>
      <c r="H711" s="65"/>
      <c r="I711" s="65"/>
    </row>
    <row r="712" spans="1:9">
      <c r="A712" s="530" t="s">
        <v>3626</v>
      </c>
      <c r="B712" s="531" t="s">
        <v>1741</v>
      </c>
      <c r="C712" s="589">
        <v>1</v>
      </c>
      <c r="D712" s="6" t="s">
        <v>363</v>
      </c>
      <c r="E712" s="585">
        <f>VLOOKUP(B712,MATERIALES!B:C,2,0)</f>
        <v>22116.149999999998</v>
      </c>
      <c r="F712" s="585"/>
      <c r="G712" s="585">
        <f>+C712*E712</f>
        <v>22116.149999999998</v>
      </c>
      <c r="H712" s="585"/>
      <c r="I712" s="585"/>
    </row>
    <row r="713" spans="1:9">
      <c r="A713" s="2"/>
      <c r="B713" s="18" t="s">
        <v>1757</v>
      </c>
      <c r="C713" s="589">
        <v>9</v>
      </c>
      <c r="D713" s="6" t="s">
        <v>94</v>
      </c>
      <c r="E713" s="585">
        <f>VLOOKUP(B713,MATERIALES!B:C,2,0)</f>
        <v>1300</v>
      </c>
      <c r="F713" s="585"/>
      <c r="G713" s="585">
        <f>+C713*E713</f>
        <v>11700</v>
      </c>
      <c r="H713" s="585"/>
      <c r="I713" s="585"/>
    </row>
    <row r="714" spans="1:9">
      <c r="A714" s="2"/>
      <c r="B714" s="18" t="s">
        <v>1905</v>
      </c>
      <c r="C714" s="589">
        <v>3</v>
      </c>
      <c r="D714" s="6" t="s">
        <v>94</v>
      </c>
      <c r="E714" s="585">
        <f>VLOOKUP(B714,MATERIALES!B:C,2,0)</f>
        <v>870</v>
      </c>
      <c r="F714" s="585"/>
      <c r="G714" s="585">
        <f>+C714*E714</f>
        <v>2610</v>
      </c>
      <c r="H714" s="585"/>
      <c r="I714" s="585"/>
    </row>
    <row r="715" spans="1:9">
      <c r="A715" s="530" t="s">
        <v>1855</v>
      </c>
      <c r="B715" s="531" t="s">
        <v>1856</v>
      </c>
      <c r="C715" s="589">
        <v>1</v>
      </c>
      <c r="D715" s="6" t="s">
        <v>94</v>
      </c>
      <c r="E715" s="585">
        <f>VLOOKUP(B715,MATERIALES!B:C,2,0)</f>
        <v>6634.25</v>
      </c>
      <c r="F715" s="585"/>
      <c r="G715" s="585">
        <f>+C715*E715</f>
        <v>6634.25</v>
      </c>
      <c r="H715" s="585"/>
      <c r="I715" s="585"/>
    </row>
    <row r="716" spans="1:9">
      <c r="A716" s="243" t="s">
        <v>584</v>
      </c>
      <c r="B716" s="180" t="s">
        <v>2236</v>
      </c>
      <c r="C716" s="595">
        <v>0.01</v>
      </c>
      <c r="D716" s="243" t="s">
        <v>583</v>
      </c>
      <c r="E716" s="585">
        <f>VLOOKUP(B716,MATERIALES!B:C,2,0)</f>
        <v>750000</v>
      </c>
      <c r="F716" s="65"/>
      <c r="G716" s="65"/>
      <c r="H716" s="65"/>
      <c r="I716" s="65">
        <f>+C716*E716</f>
        <v>7500</v>
      </c>
    </row>
    <row r="717" spans="1:9">
      <c r="A717" s="587" t="s">
        <v>190</v>
      </c>
      <c r="B717" s="588">
        <f>SUM(G717:I717)</f>
        <v>210560.4</v>
      </c>
      <c r="C717" s="583"/>
      <c r="D717" s="169"/>
      <c r="E717" s="585"/>
      <c r="F717" s="65">
        <v>0</v>
      </c>
      <c r="G717" s="65">
        <f>SUM(G711:G715)</f>
        <v>203060.4</v>
      </c>
      <c r="H717" s="65">
        <f>SUM(H716:H716)</f>
        <v>0</v>
      </c>
      <c r="I717" s="65">
        <f>SUM(I716:I716)</f>
        <v>7500</v>
      </c>
    </row>
    <row r="718" spans="1:9">
      <c r="A718" s="21" t="s">
        <v>3708</v>
      </c>
      <c r="B718" s="39">
        <f>+B717*AIU</f>
        <v>62267.447060973311</v>
      </c>
      <c r="C718" s="589"/>
      <c r="D718" s="31"/>
      <c r="E718" s="170"/>
      <c r="F718" s="590"/>
      <c r="G718" s="590"/>
      <c r="H718" s="590"/>
      <c r="I718" s="590"/>
    </row>
    <row r="719" spans="1:9">
      <c r="A719" s="587" t="s">
        <v>191</v>
      </c>
      <c r="B719" s="39">
        <f>SUM(B717:B718)</f>
        <v>272827.84706097329</v>
      </c>
      <c r="C719" s="591" t="s">
        <v>363</v>
      </c>
      <c r="D719" s="13"/>
      <c r="E719" s="170"/>
      <c r="F719" s="170"/>
      <c r="G719" s="170"/>
      <c r="H719" s="170"/>
      <c r="I719" s="170"/>
    </row>
    <row r="720" spans="1:9">
      <c r="A720" s="596"/>
      <c r="B720" s="597"/>
      <c r="C720" s="598"/>
      <c r="D720" s="596"/>
      <c r="E720" s="599"/>
      <c r="F720" s="599"/>
      <c r="G720" s="599"/>
      <c r="H720" s="599"/>
      <c r="I720" s="599"/>
    </row>
    <row r="721" spans="1:9">
      <c r="A721" s="594" t="s">
        <v>441</v>
      </c>
      <c r="B721" s="3547" t="s">
        <v>1433</v>
      </c>
      <c r="C721" s="3548"/>
      <c r="D721" s="3548"/>
      <c r="E721" s="3548"/>
      <c r="F721" s="3548"/>
      <c r="G721" s="3548"/>
      <c r="H721" s="3548"/>
      <c r="I721" s="3549"/>
    </row>
    <row r="722" spans="1:9">
      <c r="A722" s="243" t="s">
        <v>1520</v>
      </c>
      <c r="B722" s="179" t="s">
        <v>1521</v>
      </c>
      <c r="C722" s="583" t="s">
        <v>140</v>
      </c>
      <c r="D722" s="243" t="s">
        <v>343</v>
      </c>
      <c r="E722" s="584" t="s">
        <v>344</v>
      </c>
      <c r="F722" s="65" t="s">
        <v>482</v>
      </c>
      <c r="G722" s="65" t="s">
        <v>483</v>
      </c>
      <c r="H722" s="65" t="s">
        <v>232</v>
      </c>
      <c r="I722" s="65" t="s">
        <v>171</v>
      </c>
    </row>
    <row r="723" spans="1:9">
      <c r="A723" s="243" t="s">
        <v>3627</v>
      </c>
      <c r="B723" s="592" t="s">
        <v>1820</v>
      </c>
      <c r="C723" s="583">
        <v>0.8</v>
      </c>
      <c r="D723" s="243" t="s">
        <v>346</v>
      </c>
      <c r="E723" s="585">
        <f>VLOOKUP(B723,MATERIALES!B:C,2,0)</f>
        <v>150000</v>
      </c>
      <c r="F723" s="65"/>
      <c r="G723" s="65"/>
      <c r="H723" s="65">
        <f>+C723*E723</f>
        <v>120000</v>
      </c>
      <c r="I723" s="65"/>
    </row>
    <row r="724" spans="1:9">
      <c r="A724" s="243" t="s">
        <v>172</v>
      </c>
      <c r="B724" s="179" t="s">
        <v>189</v>
      </c>
      <c r="C724" s="583">
        <v>1</v>
      </c>
      <c r="D724" s="160" t="s">
        <v>583</v>
      </c>
      <c r="E724" s="585">
        <f>+H723*0.05</f>
        <v>6000</v>
      </c>
      <c r="F724" s="65"/>
      <c r="G724" s="65"/>
      <c r="H724" s="65"/>
      <c r="I724" s="65">
        <f>+C724*E724</f>
        <v>6000</v>
      </c>
    </row>
    <row r="725" spans="1:9">
      <c r="A725" s="587" t="s">
        <v>190</v>
      </c>
      <c r="B725" s="588">
        <f>SUM(G725:I725)</f>
        <v>126000</v>
      </c>
      <c r="C725" s="583"/>
      <c r="D725" s="169"/>
      <c r="E725" s="585"/>
      <c r="F725" s="65">
        <v>0</v>
      </c>
      <c r="G725" s="65" t="s">
        <v>441</v>
      </c>
      <c r="H725" s="65">
        <f>SUM(H723:H724)</f>
        <v>120000</v>
      </c>
      <c r="I725" s="65">
        <f>SUM(I724:I724)</f>
        <v>6000</v>
      </c>
    </row>
    <row r="726" spans="1:9">
      <c r="A726" s="21" t="s">
        <v>3708</v>
      </c>
      <c r="B726" s="39">
        <f>+B725*AIU</f>
        <v>37261.03450450625</v>
      </c>
      <c r="C726" s="589"/>
      <c r="D726" s="31"/>
      <c r="E726" s="170"/>
      <c r="F726" s="590"/>
      <c r="G726" s="590"/>
      <c r="H726" s="590"/>
      <c r="I726" s="590"/>
    </row>
    <row r="727" spans="1:9">
      <c r="A727" s="587" t="s">
        <v>191</v>
      </c>
      <c r="B727" s="39">
        <f>SUM(B725:B726)</f>
        <v>163261.03450450624</v>
      </c>
      <c r="C727" s="591" t="s">
        <v>363</v>
      </c>
      <c r="D727" s="13"/>
      <c r="E727" s="170"/>
      <c r="F727" s="170"/>
      <c r="G727" s="170"/>
      <c r="H727" s="170"/>
      <c r="I727" s="170"/>
    </row>
    <row r="728" spans="1:9">
      <c r="E728" s="580"/>
    </row>
    <row r="729" spans="1:9">
      <c r="A729" s="594" t="s">
        <v>441</v>
      </c>
      <c r="B729" s="3547" t="s">
        <v>3628</v>
      </c>
      <c r="C729" s="3548"/>
      <c r="D729" s="3548"/>
      <c r="E729" s="3548"/>
      <c r="F729" s="3548"/>
      <c r="G729" s="3548"/>
      <c r="H729" s="3548"/>
      <c r="I729" s="3549"/>
    </row>
    <row r="730" spans="1:9">
      <c r="A730" s="243" t="s">
        <v>1520</v>
      </c>
      <c r="B730" s="179" t="s">
        <v>1521</v>
      </c>
      <c r="C730" s="583" t="s">
        <v>140</v>
      </c>
      <c r="D730" s="243" t="s">
        <v>343</v>
      </c>
      <c r="E730" s="584" t="s">
        <v>344</v>
      </c>
      <c r="F730" s="65" t="s">
        <v>482</v>
      </c>
      <c r="G730" s="65" t="s">
        <v>483</v>
      </c>
      <c r="H730" s="65" t="s">
        <v>232</v>
      </c>
      <c r="I730" s="65" t="s">
        <v>171</v>
      </c>
    </row>
    <row r="731" spans="1:9">
      <c r="A731" s="530" t="s">
        <v>2241</v>
      </c>
      <c r="B731" s="531" t="s">
        <v>2242</v>
      </c>
      <c r="C731" s="583">
        <v>2</v>
      </c>
      <c r="D731" s="160" t="s">
        <v>94</v>
      </c>
      <c r="E731" s="585">
        <f>VLOOKUP(B731,MATERIALES!B:C,2,0)</f>
        <v>68876.009999999995</v>
      </c>
      <c r="F731" s="65"/>
      <c r="G731" s="65">
        <f>+E731*C731</f>
        <v>137752.01999999999</v>
      </c>
      <c r="H731" s="65"/>
      <c r="I731" s="65"/>
    </row>
    <row r="732" spans="1:9">
      <c r="A732" s="530" t="s">
        <v>3629</v>
      </c>
      <c r="B732" s="531" t="s">
        <v>1745</v>
      </c>
      <c r="C732" s="589">
        <v>1</v>
      </c>
      <c r="D732" s="6" t="s">
        <v>363</v>
      </c>
      <c r="E732" s="585">
        <f>VLOOKUP(B732,MATERIALES!B:C,2,0)</f>
        <v>7094.78</v>
      </c>
      <c r="F732" s="585"/>
      <c r="G732" s="585">
        <f>+C732*E732</f>
        <v>7094.78</v>
      </c>
      <c r="H732" s="585"/>
      <c r="I732" s="585"/>
    </row>
    <row r="733" spans="1:9">
      <c r="A733" s="2"/>
      <c r="B733" s="18" t="s">
        <v>1757</v>
      </c>
      <c r="C733" s="589">
        <v>9</v>
      </c>
      <c r="D733" s="6" t="s">
        <v>94</v>
      </c>
      <c r="E733" s="585">
        <f>VLOOKUP(B733,MATERIALES!B:C,2,0)</f>
        <v>1300</v>
      </c>
      <c r="F733" s="585"/>
      <c r="G733" s="585">
        <f>+C733*E733</f>
        <v>11700</v>
      </c>
      <c r="H733" s="585"/>
      <c r="I733" s="585"/>
    </row>
    <row r="734" spans="1:9">
      <c r="A734" s="2"/>
      <c r="B734" s="18" t="s">
        <v>1905</v>
      </c>
      <c r="C734" s="589">
        <v>3</v>
      </c>
      <c r="D734" s="6" t="s">
        <v>94</v>
      </c>
      <c r="E734" s="585">
        <f>VLOOKUP(B734,MATERIALES!B:C,2,0)</f>
        <v>870</v>
      </c>
      <c r="F734" s="585"/>
      <c r="G734" s="585">
        <f>+C734*E734</f>
        <v>2610</v>
      </c>
      <c r="H734" s="585"/>
      <c r="I734" s="585"/>
    </row>
    <row r="735" spans="1:9">
      <c r="A735" s="530" t="s">
        <v>1857</v>
      </c>
      <c r="B735" s="531" t="s">
        <v>1858</v>
      </c>
      <c r="C735" s="589">
        <v>1</v>
      </c>
      <c r="D735" s="6" t="s">
        <v>94</v>
      </c>
      <c r="E735" s="585">
        <f>VLOOKUP(B735,MATERIALES!B:C,2,0)</f>
        <v>2410.94</v>
      </c>
      <c r="F735" s="585"/>
      <c r="G735" s="585">
        <f>+C735*E735</f>
        <v>2410.94</v>
      </c>
      <c r="H735" s="585"/>
      <c r="I735" s="585"/>
    </row>
    <row r="736" spans="1:9">
      <c r="A736" s="243" t="s">
        <v>584</v>
      </c>
      <c r="B736" s="180" t="s">
        <v>2236</v>
      </c>
      <c r="C736" s="595">
        <v>1E-3</v>
      </c>
      <c r="D736" s="243" t="s">
        <v>583</v>
      </c>
      <c r="E736" s="585">
        <f>VLOOKUP(B736,MATERIALES!B:C,2,0)</f>
        <v>750000</v>
      </c>
      <c r="F736" s="65"/>
      <c r="G736" s="65"/>
      <c r="H736" s="65"/>
      <c r="I736" s="65">
        <f>+C736*E736</f>
        <v>750</v>
      </c>
    </row>
    <row r="737" spans="1:9">
      <c r="A737" s="587" t="s">
        <v>190</v>
      </c>
      <c r="B737" s="588">
        <f>SUM(G737:I737)</f>
        <v>162317.74</v>
      </c>
      <c r="C737" s="583"/>
      <c r="D737" s="169"/>
      <c r="E737" s="585"/>
      <c r="F737" s="65">
        <v>0</v>
      </c>
      <c r="G737" s="65">
        <f>SUM(G731:G735)</f>
        <v>161567.74</v>
      </c>
      <c r="H737" s="65">
        <f>SUM(H736:H736)</f>
        <v>0</v>
      </c>
      <c r="I737" s="65">
        <f>SUM(I736:I736)</f>
        <v>750</v>
      </c>
    </row>
    <row r="738" spans="1:9">
      <c r="A738" s="21" t="s">
        <v>3708</v>
      </c>
      <c r="B738" s="39">
        <f>+B737*AIU</f>
        <v>48001.007228837087</v>
      </c>
      <c r="C738" s="589"/>
      <c r="D738" s="31"/>
      <c r="E738" s="170"/>
      <c r="F738" s="590"/>
      <c r="G738" s="590"/>
      <c r="H738" s="590"/>
      <c r="I738" s="590"/>
    </row>
    <row r="739" spans="1:9">
      <c r="A739" s="587" t="s">
        <v>191</v>
      </c>
      <c r="B739" s="39">
        <f>SUM(B737:B738)</f>
        <v>210318.74722883708</v>
      </c>
      <c r="C739" s="591" t="s">
        <v>363</v>
      </c>
      <c r="D739" s="13"/>
      <c r="E739" s="170"/>
      <c r="F739" s="170"/>
      <c r="G739" s="170"/>
      <c r="H739" s="170"/>
      <c r="I739" s="170"/>
    </row>
    <row r="740" spans="1:9">
      <c r="A740" s="596"/>
      <c r="B740" s="597"/>
      <c r="C740" s="598"/>
      <c r="D740" s="596"/>
      <c r="E740" s="599"/>
      <c r="F740" s="599"/>
      <c r="G740" s="599"/>
      <c r="H740" s="599"/>
      <c r="I740" s="599"/>
    </row>
    <row r="741" spans="1:9">
      <c r="A741" s="594" t="s">
        <v>441</v>
      </c>
      <c r="B741" s="3547" t="s">
        <v>3630</v>
      </c>
      <c r="C741" s="3548"/>
      <c r="D741" s="3548"/>
      <c r="E741" s="3548"/>
      <c r="F741" s="3548"/>
      <c r="G741" s="3548"/>
      <c r="H741" s="3548"/>
      <c r="I741" s="3549"/>
    </row>
    <row r="742" spans="1:9">
      <c r="A742" s="243" t="s">
        <v>1520</v>
      </c>
      <c r="B742" s="179" t="s">
        <v>1521</v>
      </c>
      <c r="C742" s="583" t="s">
        <v>140</v>
      </c>
      <c r="D742" s="243" t="s">
        <v>343</v>
      </c>
      <c r="E742" s="584" t="s">
        <v>344</v>
      </c>
      <c r="F742" s="65" t="s">
        <v>482</v>
      </c>
      <c r="G742" s="65" t="s">
        <v>483</v>
      </c>
      <c r="H742" s="65" t="s">
        <v>232</v>
      </c>
      <c r="I742" s="65" t="s">
        <v>171</v>
      </c>
    </row>
    <row r="743" spans="1:9">
      <c r="A743" s="243" t="s">
        <v>3627</v>
      </c>
      <c r="B743" s="592" t="s">
        <v>1820</v>
      </c>
      <c r="C743" s="583">
        <v>0.5</v>
      </c>
      <c r="D743" s="243" t="s">
        <v>346</v>
      </c>
      <c r="E743" s="585">
        <f>VLOOKUP(B743,MATERIALES!B:C,2,0)</f>
        <v>150000</v>
      </c>
      <c r="F743" s="65"/>
      <c r="G743" s="65"/>
      <c r="H743" s="65">
        <f>+C743*E743</f>
        <v>75000</v>
      </c>
      <c r="I743" s="65"/>
    </row>
    <row r="744" spans="1:9">
      <c r="A744" s="243" t="s">
        <v>172</v>
      </c>
      <c r="B744" s="179" t="s">
        <v>189</v>
      </c>
      <c r="C744" s="583">
        <v>1</v>
      </c>
      <c r="D744" s="160" t="s">
        <v>583</v>
      </c>
      <c r="E744" s="585">
        <f>+H743*0.05</f>
        <v>3750</v>
      </c>
      <c r="F744" s="65"/>
      <c r="G744" s="65"/>
      <c r="H744" s="65"/>
      <c r="I744" s="65">
        <f>+C744*E744</f>
        <v>3750</v>
      </c>
    </row>
    <row r="745" spans="1:9">
      <c r="A745" s="587" t="s">
        <v>190</v>
      </c>
      <c r="B745" s="588">
        <f>SUM(G745:I745)</f>
        <v>78750</v>
      </c>
      <c r="C745" s="583"/>
      <c r="D745" s="169"/>
      <c r="E745" s="585"/>
      <c r="F745" s="65">
        <v>0</v>
      </c>
      <c r="G745" s="65" t="s">
        <v>441</v>
      </c>
      <c r="H745" s="65">
        <f>SUM(H743:H744)</f>
        <v>75000</v>
      </c>
      <c r="I745" s="65">
        <f>SUM(I744:I744)</f>
        <v>3750</v>
      </c>
    </row>
    <row r="746" spans="1:9">
      <c r="A746" s="21" t="s">
        <v>3708</v>
      </c>
      <c r="B746" s="39">
        <f>+B745*AIU</f>
        <v>23288.146565316405</v>
      </c>
      <c r="C746" s="589"/>
      <c r="D746" s="31"/>
      <c r="E746" s="170"/>
      <c r="F746" s="590"/>
      <c r="G746" s="590"/>
      <c r="H746" s="590"/>
      <c r="I746" s="590"/>
    </row>
    <row r="747" spans="1:9">
      <c r="A747" s="587" t="s">
        <v>191</v>
      </c>
      <c r="B747" s="39">
        <f>SUM(B745:B746)</f>
        <v>102038.14656531641</v>
      </c>
      <c r="C747" s="591" t="s">
        <v>363</v>
      </c>
      <c r="D747" s="13"/>
      <c r="E747" s="170"/>
      <c r="F747" s="170"/>
      <c r="G747" s="170"/>
      <c r="H747" s="170"/>
      <c r="I747" s="170"/>
    </row>
    <row r="748" spans="1:9">
      <c r="A748" s="596"/>
      <c r="B748" s="597"/>
      <c r="C748" s="598"/>
      <c r="D748" s="596"/>
      <c r="E748" s="599"/>
      <c r="F748" s="599"/>
      <c r="G748" s="599"/>
      <c r="H748" s="599"/>
      <c r="I748" s="599"/>
    </row>
    <row r="749" spans="1:9">
      <c r="A749" s="594" t="s">
        <v>441</v>
      </c>
      <c r="B749" s="3547" t="s">
        <v>3631</v>
      </c>
      <c r="C749" s="3548"/>
      <c r="D749" s="3548"/>
      <c r="E749" s="3548"/>
      <c r="F749" s="3548"/>
      <c r="G749" s="3548"/>
      <c r="H749" s="3548"/>
      <c r="I749" s="3549"/>
    </row>
    <row r="750" spans="1:9">
      <c r="A750" s="243" t="s">
        <v>1520</v>
      </c>
      <c r="B750" s="179" t="s">
        <v>1521</v>
      </c>
      <c r="C750" s="583" t="s">
        <v>140</v>
      </c>
      <c r="D750" s="243" t="s">
        <v>343</v>
      </c>
      <c r="E750" s="584" t="s">
        <v>344</v>
      </c>
      <c r="F750" s="65" t="s">
        <v>482</v>
      </c>
      <c r="G750" s="65" t="s">
        <v>483</v>
      </c>
      <c r="H750" s="65" t="s">
        <v>232</v>
      </c>
      <c r="I750" s="65" t="s">
        <v>171</v>
      </c>
    </row>
    <row r="751" spans="1:9">
      <c r="A751" s="243" t="s">
        <v>3632</v>
      </c>
      <c r="B751" s="179" t="s">
        <v>1684</v>
      </c>
      <c r="C751" s="583">
        <v>12</v>
      </c>
      <c r="D751" s="160" t="s">
        <v>94</v>
      </c>
      <c r="E751" s="585">
        <f>VLOOKUP(B751,MATERIALES!B:C,2,0)</f>
        <v>6696.13</v>
      </c>
      <c r="F751" s="65"/>
      <c r="G751" s="65">
        <f>+E751*C751</f>
        <v>80353.56</v>
      </c>
      <c r="H751" s="65"/>
      <c r="I751" s="65"/>
    </row>
    <row r="752" spans="1:9">
      <c r="A752" s="2" t="s">
        <v>3633</v>
      </c>
      <c r="B752" s="18" t="s">
        <v>2297</v>
      </c>
      <c r="C752" s="589">
        <v>1</v>
      </c>
      <c r="D752" s="6" t="s">
        <v>363</v>
      </c>
      <c r="E752" s="585">
        <f>VLOOKUP(B752,MATERIALES!B:C,2,0)</f>
        <v>114597</v>
      </c>
      <c r="F752" s="585"/>
      <c r="G752" s="585">
        <f>+C752*E752</f>
        <v>114597</v>
      </c>
      <c r="H752" s="585"/>
      <c r="I752" s="585"/>
    </row>
    <row r="753" spans="1:9">
      <c r="A753" s="2" t="s">
        <v>1787</v>
      </c>
      <c r="B753" s="18" t="s">
        <v>1788</v>
      </c>
      <c r="C753" s="589">
        <v>1</v>
      </c>
      <c r="D753" s="6" t="s">
        <v>363</v>
      </c>
      <c r="E753" s="585">
        <f>VLOOKUP(B753,MATERIALES!B:C,2,0)</f>
        <v>4974.2</v>
      </c>
      <c r="F753" s="585"/>
      <c r="G753" s="585">
        <f>+C753*E753</f>
        <v>4974.2</v>
      </c>
      <c r="H753" s="585"/>
      <c r="I753" s="585"/>
    </row>
    <row r="754" spans="1:9">
      <c r="A754" s="243" t="s">
        <v>584</v>
      </c>
      <c r="B754" s="180" t="s">
        <v>2236</v>
      </c>
      <c r="C754" s="583">
        <v>0.01</v>
      </c>
      <c r="D754" s="243" t="s">
        <v>583</v>
      </c>
      <c r="E754" s="585">
        <f>VLOOKUP(B754,MATERIALES!B:C,2,0)</f>
        <v>750000</v>
      </c>
      <c r="F754" s="65"/>
      <c r="G754" s="65"/>
      <c r="H754" s="65"/>
      <c r="I754" s="65">
        <f>+C754*E754</f>
        <v>7500</v>
      </c>
    </row>
    <row r="755" spans="1:9">
      <c r="A755" s="587" t="s">
        <v>190</v>
      </c>
      <c r="B755" s="588">
        <f>SUM(G755:I755)</f>
        <v>207424.76</v>
      </c>
      <c r="C755" s="583"/>
      <c r="D755" s="169"/>
      <c r="E755" s="585"/>
      <c r="F755" s="65">
        <v>0</v>
      </c>
      <c r="G755" s="65">
        <f>SUM(G751:G753)</f>
        <v>199924.76</v>
      </c>
      <c r="H755" s="65">
        <f>SUM(H754:H754)</f>
        <v>0</v>
      </c>
      <c r="I755" s="65">
        <f>SUM(I754:I754)</f>
        <v>7500</v>
      </c>
    </row>
    <row r="756" spans="1:9">
      <c r="A756" s="21" t="s">
        <v>3708</v>
      </c>
      <c r="B756" s="39">
        <f>+B755*AIU</f>
        <v>61340.167773404188</v>
      </c>
      <c r="C756" s="589"/>
      <c r="D756" s="31"/>
      <c r="E756" s="170"/>
      <c r="F756" s="590"/>
      <c r="G756" s="590"/>
      <c r="H756" s="590"/>
      <c r="I756" s="590"/>
    </row>
    <row r="757" spans="1:9">
      <c r="A757" s="587" t="s">
        <v>191</v>
      </c>
      <c r="B757" s="39">
        <f>SUM(B755:B756)</f>
        <v>268764.92777340417</v>
      </c>
      <c r="C757" s="591" t="s">
        <v>363</v>
      </c>
      <c r="D757" s="13"/>
      <c r="E757" s="170"/>
      <c r="F757" s="170"/>
      <c r="G757" s="170"/>
      <c r="H757" s="170"/>
      <c r="I757" s="170"/>
    </row>
    <row r="758" spans="1:9">
      <c r="A758" s="596"/>
      <c r="B758" s="597"/>
      <c r="C758" s="598"/>
      <c r="D758" s="596"/>
      <c r="E758" s="599"/>
      <c r="F758" s="599"/>
      <c r="G758" s="599"/>
      <c r="H758" s="599"/>
      <c r="I758" s="599"/>
    </row>
    <row r="759" spans="1:9">
      <c r="A759" s="596"/>
      <c r="B759" s="597"/>
      <c r="C759" s="598"/>
      <c r="D759" s="596"/>
      <c r="E759" s="599"/>
      <c r="F759" s="599"/>
      <c r="G759" s="599"/>
      <c r="H759" s="599"/>
      <c r="I759" s="599"/>
    </row>
    <row r="760" spans="1:9">
      <c r="A760" s="594" t="s">
        <v>441</v>
      </c>
      <c r="B760" s="3547" t="s">
        <v>1336</v>
      </c>
      <c r="C760" s="3548"/>
      <c r="D760" s="3548"/>
      <c r="E760" s="3548"/>
      <c r="F760" s="3548"/>
      <c r="G760" s="3548"/>
      <c r="H760" s="3548"/>
      <c r="I760" s="3549"/>
    </row>
    <row r="761" spans="1:9">
      <c r="A761" s="243" t="s">
        <v>1520</v>
      </c>
      <c r="B761" s="179" t="s">
        <v>1521</v>
      </c>
      <c r="C761" s="583" t="s">
        <v>140</v>
      </c>
      <c r="D761" s="243" t="s">
        <v>343</v>
      </c>
      <c r="E761" s="584" t="s">
        <v>344</v>
      </c>
      <c r="F761" s="65" t="s">
        <v>482</v>
      </c>
      <c r="G761" s="65" t="s">
        <v>483</v>
      </c>
      <c r="H761" s="65" t="s">
        <v>232</v>
      </c>
      <c r="I761" s="65" t="s">
        <v>171</v>
      </c>
    </row>
    <row r="762" spans="1:9">
      <c r="A762" s="243" t="s">
        <v>3627</v>
      </c>
      <c r="B762" s="592" t="s">
        <v>1820</v>
      </c>
      <c r="C762" s="583">
        <v>0.22</v>
      </c>
      <c r="D762" s="243" t="s">
        <v>346</v>
      </c>
      <c r="E762" s="585">
        <f>VLOOKUP(B762,MATERIALES!B:C,2,0)</f>
        <v>150000</v>
      </c>
      <c r="F762" s="65"/>
      <c r="G762" s="65"/>
      <c r="H762" s="65">
        <f>+C762*E762</f>
        <v>33000</v>
      </c>
      <c r="I762" s="65"/>
    </row>
    <row r="763" spans="1:9">
      <c r="A763" s="243" t="s">
        <v>584</v>
      </c>
      <c r="B763" s="180" t="s">
        <v>2236</v>
      </c>
      <c r="C763" s="583">
        <v>0.01</v>
      </c>
      <c r="D763" s="243" t="s">
        <v>583</v>
      </c>
      <c r="E763" s="585">
        <f>VLOOKUP(B763,MATERIALES!B:C,2,0)</f>
        <v>750000</v>
      </c>
      <c r="F763" s="65"/>
      <c r="G763" s="65"/>
      <c r="H763" s="65"/>
      <c r="I763" s="65">
        <f>+C763*E763</f>
        <v>7500</v>
      </c>
    </row>
    <row r="764" spans="1:9">
      <c r="A764" s="587" t="s">
        <v>190</v>
      </c>
      <c r="B764" s="588">
        <f>SUM(G764:I764)</f>
        <v>40500</v>
      </c>
      <c r="C764" s="583"/>
      <c r="D764" s="169"/>
      <c r="E764" s="585"/>
      <c r="F764" s="65">
        <v>0</v>
      </c>
      <c r="G764" s="65" t="s">
        <v>441</v>
      </c>
      <c r="H764" s="65">
        <f>SUM(H762:H763)</f>
        <v>33000</v>
      </c>
      <c r="I764" s="65">
        <f>SUM(I763:I763)</f>
        <v>7500</v>
      </c>
    </row>
    <row r="765" spans="1:9">
      <c r="A765" s="21" t="s">
        <v>3708</v>
      </c>
      <c r="B765" s="39">
        <f>+B764*AIU</f>
        <v>11976.761090734151</v>
      </c>
      <c r="C765" s="589"/>
      <c r="D765" s="31"/>
      <c r="E765" s="170"/>
      <c r="F765" s="590"/>
      <c r="G765" s="590"/>
      <c r="H765" s="590"/>
      <c r="I765" s="590"/>
    </row>
    <row r="766" spans="1:9">
      <c r="A766" s="587" t="s">
        <v>191</v>
      </c>
      <c r="B766" s="39">
        <f>SUM(B764:B765)</f>
        <v>52476.761090734151</v>
      </c>
      <c r="C766" s="591" t="s">
        <v>363</v>
      </c>
      <c r="D766" s="13"/>
      <c r="E766" s="170"/>
      <c r="F766" s="170"/>
      <c r="G766" s="170"/>
      <c r="H766" s="170"/>
      <c r="I766" s="170"/>
    </row>
    <row r="767" spans="1:9">
      <c r="A767" s="596"/>
      <c r="B767" s="597"/>
      <c r="C767" s="598"/>
      <c r="D767" s="596"/>
      <c r="E767" s="599"/>
      <c r="F767" s="599"/>
      <c r="G767" s="599"/>
      <c r="H767" s="599"/>
      <c r="I767" s="599"/>
    </row>
    <row r="768" spans="1:9">
      <c r="A768" s="596"/>
      <c r="B768" s="597"/>
      <c r="C768" s="598"/>
      <c r="D768" s="596"/>
      <c r="E768" s="599"/>
      <c r="F768" s="599"/>
      <c r="G768" s="599"/>
      <c r="H768" s="599"/>
      <c r="I768" s="599"/>
    </row>
    <row r="769" spans="1:9">
      <c r="A769" s="594" t="s">
        <v>441</v>
      </c>
      <c r="B769" s="3547" t="s">
        <v>3634</v>
      </c>
      <c r="C769" s="3548"/>
      <c r="D769" s="3548"/>
      <c r="E769" s="3548"/>
      <c r="F769" s="3548"/>
      <c r="G769" s="3548"/>
      <c r="H769" s="3548"/>
      <c r="I769" s="3549"/>
    </row>
    <row r="770" spans="1:9">
      <c r="A770" s="243" t="s">
        <v>1520</v>
      </c>
      <c r="B770" s="179" t="s">
        <v>1521</v>
      </c>
      <c r="C770" s="583" t="s">
        <v>140</v>
      </c>
      <c r="D770" s="243" t="s">
        <v>343</v>
      </c>
      <c r="E770" s="584" t="s">
        <v>344</v>
      </c>
      <c r="F770" s="65" t="s">
        <v>482</v>
      </c>
      <c r="G770" s="65" t="s">
        <v>483</v>
      </c>
      <c r="H770" s="65" t="s">
        <v>232</v>
      </c>
      <c r="I770" s="65" t="s">
        <v>171</v>
      </c>
    </row>
    <row r="771" spans="1:9">
      <c r="A771" s="530" t="s">
        <v>1801</v>
      </c>
      <c r="B771" s="531" t="s">
        <v>1802</v>
      </c>
      <c r="C771" s="589">
        <v>1</v>
      </c>
      <c r="D771" s="6" t="s">
        <v>363</v>
      </c>
      <c r="E771" s="585">
        <f>VLOOKUP(B771,MATERIALES!B:C,2,0)</f>
        <v>427614.6</v>
      </c>
      <c r="F771" s="585"/>
      <c r="G771" s="585">
        <f>+C771*E771</f>
        <v>427614.6</v>
      </c>
      <c r="H771" s="65"/>
      <c r="I771" s="65"/>
    </row>
    <row r="772" spans="1:9">
      <c r="A772" s="530" t="s">
        <v>2188</v>
      </c>
      <c r="B772" s="531" t="s">
        <v>2213</v>
      </c>
      <c r="C772" s="589">
        <v>3</v>
      </c>
      <c r="D772" s="6" t="s">
        <v>363</v>
      </c>
      <c r="E772" s="585">
        <f>VLOOKUP(B772,MATERIALES!B:C,2,0)</f>
        <v>85000</v>
      </c>
      <c r="F772" s="585"/>
      <c r="G772" s="585">
        <f>+C772*E772</f>
        <v>255000</v>
      </c>
      <c r="H772" s="65"/>
      <c r="I772" s="65"/>
    </row>
    <row r="773" spans="1:9">
      <c r="A773" s="530" t="s">
        <v>1603</v>
      </c>
      <c r="B773" s="531" t="s">
        <v>1604</v>
      </c>
      <c r="C773" s="589">
        <v>1</v>
      </c>
      <c r="D773" s="6" t="s">
        <v>363</v>
      </c>
      <c r="E773" s="585">
        <f>VLOOKUP(B773,MATERIALES!B:C,2,0)</f>
        <v>132375.6</v>
      </c>
      <c r="F773" s="585"/>
      <c r="G773" s="585">
        <f>+C773*E773</f>
        <v>132375.6</v>
      </c>
      <c r="H773" s="65"/>
      <c r="I773" s="65"/>
    </row>
    <row r="774" spans="1:9">
      <c r="A774" s="530" t="s">
        <v>1627</v>
      </c>
      <c r="B774" s="537" t="s">
        <v>1628</v>
      </c>
      <c r="C774" s="589">
        <v>1</v>
      </c>
      <c r="D774" s="6" t="s">
        <v>363</v>
      </c>
      <c r="E774" s="585">
        <f>VLOOKUP(B774,MATERIALES!B:C,2,0)</f>
        <v>390320</v>
      </c>
      <c r="F774" s="585"/>
      <c r="G774" s="585">
        <f>+C774*E774</f>
        <v>390320</v>
      </c>
      <c r="H774" s="65"/>
      <c r="I774" s="65"/>
    </row>
    <row r="775" spans="1:9">
      <c r="A775" s="546" t="s">
        <v>1734</v>
      </c>
      <c r="B775" s="536" t="s">
        <v>1735</v>
      </c>
      <c r="C775" s="589">
        <v>1</v>
      </c>
      <c r="D775" s="6" t="s">
        <v>363</v>
      </c>
      <c r="E775" s="585">
        <f>VLOOKUP(B775,MATERIALES!B:C,2,0)</f>
        <v>175000</v>
      </c>
      <c r="F775" s="585"/>
      <c r="G775" s="585">
        <f>+C775*E775</f>
        <v>175000</v>
      </c>
      <c r="H775" s="65"/>
      <c r="I775" s="65"/>
    </row>
    <row r="776" spans="1:9">
      <c r="A776" s="243" t="s">
        <v>584</v>
      </c>
      <c r="B776" s="180" t="s">
        <v>2236</v>
      </c>
      <c r="C776" s="583">
        <v>0.01</v>
      </c>
      <c r="D776" s="243" t="s">
        <v>583</v>
      </c>
      <c r="E776" s="585">
        <f>VLOOKUP(B776,MATERIALES!B:C,2,0)</f>
        <v>750000</v>
      </c>
      <c r="F776" s="65"/>
      <c r="G776" s="65"/>
      <c r="H776" s="65"/>
      <c r="I776" s="65">
        <f>C776*E776</f>
        <v>7500</v>
      </c>
    </row>
    <row r="777" spans="1:9">
      <c r="A777" s="587" t="s">
        <v>190</v>
      </c>
      <c r="B777" s="588">
        <f>SUM(G777:I777)</f>
        <v>1387810.2</v>
      </c>
      <c r="C777" s="583"/>
      <c r="D777" s="169"/>
      <c r="E777" s="585"/>
      <c r="F777" s="65">
        <v>0</v>
      </c>
      <c r="G777" s="65">
        <f>SUM(G771:G775)</f>
        <v>1380310.2</v>
      </c>
      <c r="H777" s="65">
        <f>SUM(H776:H776)</f>
        <v>0</v>
      </c>
      <c r="I777" s="65">
        <f>SUM(I776:I776)</f>
        <v>7500</v>
      </c>
    </row>
    <row r="778" spans="1:9">
      <c r="A778" s="21" t="s">
        <v>3708</v>
      </c>
      <c r="B778" s="39">
        <f>+B777*AIU</f>
        <v>410406.69641195011</v>
      </c>
      <c r="C778" s="589"/>
      <c r="D778" s="31"/>
      <c r="E778" s="170"/>
      <c r="F778" s="590"/>
      <c r="G778" s="590"/>
      <c r="H778" s="590"/>
      <c r="I778" s="590"/>
    </row>
    <row r="779" spans="1:9">
      <c r="A779" s="587" t="s">
        <v>191</v>
      </c>
      <c r="B779" s="39">
        <f>SUM(B777:B778)</f>
        <v>1798216.89641195</v>
      </c>
      <c r="C779" s="591" t="s">
        <v>363</v>
      </c>
      <c r="D779" s="13"/>
      <c r="E779" s="170"/>
      <c r="F779" s="170"/>
      <c r="G779" s="170"/>
      <c r="H779" s="170"/>
      <c r="I779" s="170"/>
    </row>
    <row r="780" spans="1:9">
      <c r="A780" s="596"/>
      <c r="B780" s="597"/>
      <c r="C780" s="598"/>
      <c r="D780" s="596"/>
      <c r="E780" s="599"/>
      <c r="F780" s="599"/>
      <c r="G780" s="599"/>
      <c r="H780" s="599"/>
      <c r="I780" s="599"/>
    </row>
    <row r="781" spans="1:9">
      <c r="A781" s="594" t="s">
        <v>441</v>
      </c>
      <c r="B781" s="3547" t="s">
        <v>3635</v>
      </c>
      <c r="C781" s="3548"/>
      <c r="D781" s="3548"/>
      <c r="E781" s="3548"/>
      <c r="F781" s="3548"/>
      <c r="G781" s="3548"/>
      <c r="H781" s="3548"/>
      <c r="I781" s="3549"/>
    </row>
    <row r="782" spans="1:9">
      <c r="A782" s="243" t="s">
        <v>1520</v>
      </c>
      <c r="B782" s="179" t="s">
        <v>1521</v>
      </c>
      <c r="C782" s="583" t="s">
        <v>140</v>
      </c>
      <c r="D782" s="243" t="s">
        <v>343</v>
      </c>
      <c r="E782" s="584" t="s">
        <v>344</v>
      </c>
      <c r="F782" s="65" t="s">
        <v>482</v>
      </c>
      <c r="G782" s="65" t="s">
        <v>483</v>
      </c>
      <c r="H782" s="65" t="s">
        <v>232</v>
      </c>
      <c r="I782" s="65" t="s">
        <v>171</v>
      </c>
    </row>
    <row r="783" spans="1:9" ht="33.6">
      <c r="A783" s="243" t="s">
        <v>3627</v>
      </c>
      <c r="B783" s="536" t="s">
        <v>1814</v>
      </c>
      <c r="C783" s="583">
        <v>0.5</v>
      </c>
      <c r="D783" s="243" t="s">
        <v>346</v>
      </c>
      <c r="E783" s="585">
        <f>VLOOKUP(B783,MATERIALES!B:C,2,0)</f>
        <v>150000</v>
      </c>
      <c r="F783" s="65"/>
      <c r="G783" s="65"/>
      <c r="H783" s="65">
        <f>+C783*E783</f>
        <v>75000</v>
      </c>
      <c r="I783" s="65"/>
    </row>
    <row r="784" spans="1:9">
      <c r="A784" s="243" t="s">
        <v>584</v>
      </c>
      <c r="B784" s="180" t="s">
        <v>2236</v>
      </c>
      <c r="C784" s="583">
        <v>0.01</v>
      </c>
      <c r="D784" s="243" t="s">
        <v>583</v>
      </c>
      <c r="E784" s="585">
        <f>VLOOKUP(B784,MATERIALES!B:C,2,0)</f>
        <v>750000</v>
      </c>
      <c r="F784" s="65"/>
      <c r="G784" s="65"/>
      <c r="H784" s="65"/>
      <c r="I784" s="65">
        <f>C784*E784</f>
        <v>7500</v>
      </c>
    </row>
    <row r="785" spans="1:9">
      <c r="A785" s="587" t="s">
        <v>190</v>
      </c>
      <c r="B785" s="588">
        <f>SUM(G785:I785)</f>
        <v>82500</v>
      </c>
      <c r="C785" s="583"/>
      <c r="D785" s="169"/>
      <c r="E785" s="585"/>
      <c r="F785" s="65">
        <v>0</v>
      </c>
      <c r="G785" s="65" t="s">
        <v>441</v>
      </c>
      <c r="H785" s="65">
        <f>SUM(H783:H784)</f>
        <v>75000</v>
      </c>
      <c r="I785" s="65">
        <f>SUM(I784:I784)</f>
        <v>7500</v>
      </c>
    </row>
    <row r="786" spans="1:9">
      <c r="A786" s="21" t="s">
        <v>3708</v>
      </c>
      <c r="B786" s="39">
        <f>+B785*AIU</f>
        <v>24397.105925569565</v>
      </c>
      <c r="C786" s="589"/>
      <c r="D786" s="31"/>
      <c r="E786" s="170"/>
      <c r="F786" s="590"/>
      <c r="G786" s="590"/>
      <c r="H786" s="590"/>
      <c r="I786" s="590"/>
    </row>
    <row r="787" spans="1:9">
      <c r="A787" s="587" t="s">
        <v>191</v>
      </c>
      <c r="B787" s="39">
        <f>SUM(B785:B786)</f>
        <v>106897.10592556957</v>
      </c>
      <c r="C787" s="591" t="s">
        <v>363</v>
      </c>
      <c r="D787" s="13"/>
      <c r="E787" s="170"/>
      <c r="F787" s="170"/>
      <c r="G787" s="170"/>
      <c r="H787" s="170"/>
      <c r="I787" s="170"/>
    </row>
    <row r="788" spans="1:9">
      <c r="A788" s="596"/>
      <c r="B788" s="597"/>
      <c r="C788" s="598"/>
      <c r="D788" s="596"/>
      <c r="E788" s="599"/>
      <c r="F788" s="599"/>
      <c r="G788" s="599"/>
      <c r="H788" s="599"/>
      <c r="I788" s="599"/>
    </row>
    <row r="789" spans="1:9">
      <c r="A789" s="594" t="s">
        <v>441</v>
      </c>
      <c r="B789" s="3547" t="s">
        <v>3636</v>
      </c>
      <c r="C789" s="3548"/>
      <c r="D789" s="3548"/>
      <c r="E789" s="3548"/>
      <c r="F789" s="3548"/>
      <c r="G789" s="3548"/>
      <c r="H789" s="3548"/>
      <c r="I789" s="3549"/>
    </row>
    <row r="790" spans="1:9">
      <c r="A790" s="243" t="s">
        <v>1520</v>
      </c>
      <c r="B790" s="179" t="s">
        <v>1521</v>
      </c>
      <c r="C790" s="589" t="s">
        <v>140</v>
      </c>
      <c r="D790" s="2" t="s">
        <v>343</v>
      </c>
      <c r="E790" s="585" t="s">
        <v>344</v>
      </c>
      <c r="F790" s="585" t="s">
        <v>482</v>
      </c>
      <c r="G790" s="585" t="s">
        <v>483</v>
      </c>
      <c r="H790" s="585" t="s">
        <v>232</v>
      </c>
      <c r="I790" s="585" t="s">
        <v>171</v>
      </c>
    </row>
    <row r="791" spans="1:9" ht="26.4">
      <c r="A791" s="530" t="s">
        <v>1880</v>
      </c>
      <c r="B791" s="534" t="s">
        <v>1881</v>
      </c>
      <c r="C791" s="589">
        <v>1</v>
      </c>
      <c r="D791" s="6" t="s">
        <v>94</v>
      </c>
      <c r="E791" s="585">
        <f>VLOOKUP(B791,MATERIALES!B:C,2,0)</f>
        <v>1800000</v>
      </c>
      <c r="F791" s="585"/>
      <c r="G791" s="585">
        <f>+C791*E791</f>
        <v>1800000</v>
      </c>
      <c r="H791" s="585"/>
      <c r="I791" s="585"/>
    </row>
    <row r="792" spans="1:9">
      <c r="A792" s="539" t="s">
        <v>1843</v>
      </c>
      <c r="B792" s="536" t="s">
        <v>1844</v>
      </c>
      <c r="C792" s="583">
        <v>1</v>
      </c>
      <c r="D792" s="6" t="s">
        <v>94</v>
      </c>
      <c r="E792" s="585">
        <f>VLOOKUP(B792,MATERIALES!B:C,2,0)</f>
        <v>85000</v>
      </c>
      <c r="F792" s="65"/>
      <c r="G792" s="65">
        <f>+C792*E792</f>
        <v>85000</v>
      </c>
      <c r="H792" s="17"/>
      <c r="I792" s="65"/>
    </row>
    <row r="793" spans="1:9">
      <c r="A793" s="539" t="s">
        <v>2098</v>
      </c>
      <c r="B793" s="536" t="s">
        <v>2099</v>
      </c>
      <c r="C793" s="583">
        <v>2</v>
      </c>
      <c r="D793" s="6" t="s">
        <v>363</v>
      </c>
      <c r="E793" s="585">
        <f>VLOOKUP(B793,MATERIALES!B:C,2,0)</f>
        <v>35000</v>
      </c>
      <c r="F793" s="65"/>
      <c r="G793" s="65">
        <f>+C793*E793</f>
        <v>70000</v>
      </c>
      <c r="H793" s="17"/>
      <c r="I793" s="65"/>
    </row>
    <row r="794" spans="1:9">
      <c r="A794" s="2"/>
      <c r="B794" s="180" t="s">
        <v>2236</v>
      </c>
      <c r="C794" s="600">
        <v>0.6</v>
      </c>
      <c r="D794" s="2" t="s">
        <v>583</v>
      </c>
      <c r="E794" s="585">
        <f>VLOOKUP(B794,MATERIALES!B:C,2,0)</f>
        <v>750000</v>
      </c>
      <c r="F794" s="585"/>
      <c r="G794" s="585" t="s">
        <v>441</v>
      </c>
      <c r="H794" s="585"/>
      <c r="I794" s="585">
        <f>+E794*C794</f>
        <v>450000</v>
      </c>
    </row>
    <row r="795" spans="1:9">
      <c r="A795" s="587" t="s">
        <v>190</v>
      </c>
      <c r="B795" s="588">
        <f>SUM(G795:I795)</f>
        <v>2405000</v>
      </c>
      <c r="C795" s="589"/>
      <c r="D795" s="601"/>
      <c r="E795" s="585">
        <f>SUM(E791:E794)</f>
        <v>2670000</v>
      </c>
      <c r="F795" s="585">
        <v>0</v>
      </c>
      <c r="G795" s="585">
        <f>SUM(G791:G794)</f>
        <v>1955000</v>
      </c>
      <c r="H795" s="585">
        <f>SUM(H794:H794)</f>
        <v>0</v>
      </c>
      <c r="I795" s="585">
        <f>SUM(I794:I794)</f>
        <v>450000</v>
      </c>
    </row>
    <row r="796" spans="1:9">
      <c r="A796" s="21" t="s">
        <v>3708</v>
      </c>
      <c r="B796" s="39">
        <f>+B795*AIU</f>
        <v>711212.60304236133</v>
      </c>
      <c r="C796" s="589"/>
      <c r="D796" s="13"/>
      <c r="E796" s="170"/>
      <c r="F796" s="170"/>
      <c r="G796" s="170"/>
      <c r="H796" s="170"/>
      <c r="I796" s="170"/>
    </row>
    <row r="797" spans="1:9">
      <c r="A797" s="587" t="s">
        <v>191</v>
      </c>
      <c r="B797" s="39">
        <f>SUM(B795:B796)</f>
        <v>3116212.6030423613</v>
      </c>
      <c r="C797" s="589" t="s">
        <v>363</v>
      </c>
      <c r="D797" s="13"/>
      <c r="E797" s="170"/>
      <c r="F797" s="170"/>
      <c r="G797" s="170"/>
      <c r="H797" s="170"/>
      <c r="I797" s="170"/>
    </row>
    <row r="798" spans="1:9">
      <c r="A798" s="471"/>
      <c r="B798" s="602"/>
      <c r="C798" s="603"/>
      <c r="D798" s="13"/>
      <c r="E798" s="170"/>
      <c r="F798" s="170"/>
      <c r="G798" s="170"/>
      <c r="H798" s="170"/>
      <c r="I798" s="170"/>
    </row>
    <row r="799" spans="1:9">
      <c r="A799" s="596"/>
      <c r="B799" s="597"/>
      <c r="C799" s="598"/>
      <c r="D799" s="596"/>
      <c r="E799" s="599"/>
      <c r="F799" s="599"/>
      <c r="G799" s="599"/>
      <c r="H799" s="599"/>
      <c r="I799" s="599"/>
    </row>
    <row r="800" spans="1:9">
      <c r="A800" s="594" t="s">
        <v>441</v>
      </c>
      <c r="B800" s="3547" t="s">
        <v>3637</v>
      </c>
      <c r="C800" s="3548"/>
      <c r="D800" s="3548"/>
      <c r="E800" s="3548"/>
      <c r="F800" s="3548"/>
      <c r="G800" s="3548"/>
      <c r="H800" s="3548"/>
      <c r="I800" s="3549"/>
    </row>
    <row r="801" spans="1:9">
      <c r="A801" s="243" t="s">
        <v>1520</v>
      </c>
      <c r="B801" s="179" t="s">
        <v>1521</v>
      </c>
      <c r="C801" s="589" t="s">
        <v>140</v>
      </c>
      <c r="D801" s="2" t="s">
        <v>343</v>
      </c>
      <c r="E801" s="585" t="s">
        <v>344</v>
      </c>
      <c r="F801" s="585" t="s">
        <v>482</v>
      </c>
      <c r="G801" s="585" t="s">
        <v>483</v>
      </c>
      <c r="H801" s="585" t="s">
        <v>232</v>
      </c>
      <c r="I801" s="585" t="s">
        <v>171</v>
      </c>
    </row>
    <row r="802" spans="1:9" ht="33.6">
      <c r="A802" s="243"/>
      <c r="B802" s="604" t="s">
        <v>1814</v>
      </c>
      <c r="C802" s="583">
        <v>1</v>
      </c>
      <c r="D802" s="6" t="s">
        <v>363</v>
      </c>
      <c r="E802" s="585">
        <f>VLOOKUP(B802,MATERIALES!B:C,2,0)</f>
        <v>150000</v>
      </c>
      <c r="F802" s="65"/>
      <c r="G802" s="65"/>
      <c r="H802" s="65">
        <f>+C802*E802</f>
        <v>150000</v>
      </c>
      <c r="I802" s="65"/>
    </row>
    <row r="803" spans="1:9">
      <c r="A803" s="2"/>
      <c r="B803" s="18" t="s">
        <v>189</v>
      </c>
      <c r="C803" s="589">
        <v>1</v>
      </c>
      <c r="D803" s="6" t="s">
        <v>583</v>
      </c>
      <c r="E803" s="585">
        <f>0.05*H802</f>
        <v>7500</v>
      </c>
      <c r="F803" s="585"/>
      <c r="G803" s="585" t="s">
        <v>441</v>
      </c>
      <c r="H803" s="585"/>
      <c r="I803" s="585">
        <f>+E803*C803</f>
        <v>7500</v>
      </c>
    </row>
    <row r="804" spans="1:9">
      <c r="A804" s="587" t="s">
        <v>190</v>
      </c>
      <c r="B804" s="588">
        <f>SUM(G804:I804)</f>
        <v>157500</v>
      </c>
      <c r="C804" s="589"/>
      <c r="D804" s="601"/>
      <c r="E804" s="585">
        <f>SUM(E802:E803)</f>
        <v>157500</v>
      </c>
      <c r="F804" s="585">
        <v>0</v>
      </c>
      <c r="G804" s="585">
        <f>SUM(G802:G803)</f>
        <v>0</v>
      </c>
      <c r="H804" s="585">
        <f>SUM(H802:H803)</f>
        <v>150000</v>
      </c>
      <c r="I804" s="585">
        <f>SUM(I803:I803)</f>
        <v>7500</v>
      </c>
    </row>
    <row r="805" spans="1:9">
      <c r="A805" s="21" t="s">
        <v>3708</v>
      </c>
      <c r="B805" s="39">
        <f>+B804*AIU</f>
        <v>46576.29313063281</v>
      </c>
      <c r="C805" s="589"/>
      <c r="D805" s="13"/>
      <c r="E805" s="170"/>
      <c r="F805" s="170"/>
      <c r="G805" s="170"/>
      <c r="H805" s="170"/>
      <c r="I805" s="170"/>
    </row>
    <row r="806" spans="1:9">
      <c r="A806" s="587" t="s">
        <v>191</v>
      </c>
      <c r="B806" s="39">
        <f>SUM(B804:B805)</f>
        <v>204076.29313063281</v>
      </c>
      <c r="C806" s="589" t="s">
        <v>363</v>
      </c>
      <c r="D806" s="13"/>
      <c r="E806" s="170"/>
      <c r="F806" s="170"/>
      <c r="G806" s="170"/>
      <c r="H806" s="170"/>
      <c r="I806" s="170"/>
    </row>
    <row r="807" spans="1:9">
      <c r="A807" s="471"/>
      <c r="B807" s="602"/>
      <c r="C807" s="603"/>
      <c r="D807" s="13"/>
      <c r="E807" s="170"/>
      <c r="F807" s="170"/>
      <c r="G807" s="170"/>
      <c r="H807" s="170"/>
      <c r="I807" s="170"/>
    </row>
    <row r="808" spans="1:9">
      <c r="A808" s="596"/>
      <c r="B808" s="597"/>
      <c r="C808" s="598"/>
      <c r="D808" s="596"/>
      <c r="E808" s="599"/>
      <c r="F808" s="599"/>
      <c r="G808" s="599"/>
      <c r="H808" s="599"/>
      <c r="I808" s="599"/>
    </row>
    <row r="809" spans="1:9">
      <c r="A809" s="594" t="s">
        <v>441</v>
      </c>
      <c r="B809" s="3547" t="s">
        <v>3638</v>
      </c>
      <c r="C809" s="3548"/>
      <c r="D809" s="3548"/>
      <c r="E809" s="3548"/>
      <c r="F809" s="3548"/>
      <c r="G809" s="3548"/>
      <c r="H809" s="3548"/>
      <c r="I809" s="3549"/>
    </row>
    <row r="810" spans="1:9">
      <c r="A810" s="243" t="s">
        <v>1520</v>
      </c>
      <c r="B810" s="179" t="s">
        <v>1521</v>
      </c>
      <c r="C810" s="583" t="s">
        <v>140</v>
      </c>
      <c r="D810" s="243" t="s">
        <v>343</v>
      </c>
      <c r="E810" s="584" t="s">
        <v>344</v>
      </c>
      <c r="F810" s="65" t="s">
        <v>482</v>
      </c>
      <c r="G810" s="65" t="s">
        <v>483</v>
      </c>
      <c r="H810" s="65" t="s">
        <v>232</v>
      </c>
      <c r="I810" s="65" t="s">
        <v>171</v>
      </c>
    </row>
    <row r="811" spans="1:9">
      <c r="A811" s="2" t="s">
        <v>441</v>
      </c>
      <c r="B811" s="605" t="s">
        <v>1907</v>
      </c>
      <c r="C811" s="589">
        <v>1</v>
      </c>
      <c r="D811" s="6" t="s">
        <v>363</v>
      </c>
      <c r="E811" s="585">
        <v>125000</v>
      </c>
      <c r="F811" s="585"/>
      <c r="G811" s="585">
        <f>+C811*E811</f>
        <v>125000</v>
      </c>
      <c r="H811" s="585"/>
      <c r="I811" s="585"/>
    </row>
    <row r="812" spans="1:9">
      <c r="A812" s="2" t="s">
        <v>441</v>
      </c>
      <c r="B812" s="18" t="s">
        <v>1777</v>
      </c>
      <c r="C812" s="589">
        <v>0.3</v>
      </c>
      <c r="D812" s="6" t="s">
        <v>3639</v>
      </c>
      <c r="E812" s="585">
        <v>180000</v>
      </c>
      <c r="F812" s="585"/>
      <c r="G812" s="585">
        <f>+C812*E812</f>
        <v>54000</v>
      </c>
      <c r="H812" s="585"/>
      <c r="I812" s="585"/>
    </row>
    <row r="813" spans="1:9">
      <c r="A813" s="2" t="s">
        <v>584</v>
      </c>
      <c r="B813" s="180" t="s">
        <v>2236</v>
      </c>
      <c r="C813" s="589">
        <v>7.857142857142849E-3</v>
      </c>
      <c r="D813" s="2" t="s">
        <v>583</v>
      </c>
      <c r="E813" s="585">
        <v>750000</v>
      </c>
      <c r="F813" s="585"/>
      <c r="G813" s="585"/>
      <c r="H813" s="585"/>
      <c r="I813" s="585">
        <v>5892.8571428571368</v>
      </c>
    </row>
    <row r="814" spans="1:9">
      <c r="A814" s="587" t="s">
        <v>190</v>
      </c>
      <c r="B814" s="588">
        <f>SUM(G814:I814)</f>
        <v>184892.85714285713</v>
      </c>
      <c r="C814" s="583"/>
      <c r="D814" s="169"/>
      <c r="E814" s="585"/>
      <c r="F814" s="65">
        <v>0</v>
      </c>
      <c r="G814" s="65">
        <f>SUM(G811:G812)</f>
        <v>179000</v>
      </c>
      <c r="H814" s="65">
        <f>SUM(H813:H813)</f>
        <v>0</v>
      </c>
      <c r="I814" s="65">
        <f>SUM(I813:I813)</f>
        <v>5892.8571428571368</v>
      </c>
    </row>
    <row r="815" spans="1:9">
      <c r="A815" s="21" t="s">
        <v>3708</v>
      </c>
      <c r="B815" s="39">
        <f>+B814*AIU</f>
        <v>54676.977219339235</v>
      </c>
      <c r="C815" s="589"/>
      <c r="D815" s="31"/>
      <c r="E815" s="170"/>
      <c r="F815" s="590"/>
      <c r="G815" s="590"/>
      <c r="H815" s="590"/>
      <c r="I815" s="590"/>
    </row>
    <row r="816" spans="1:9">
      <c r="A816" s="587" t="s">
        <v>191</v>
      </c>
      <c r="B816" s="39">
        <f>SUM(B814:B815)</f>
        <v>239569.83436219636</v>
      </c>
      <c r="C816" s="591" t="s">
        <v>363</v>
      </c>
      <c r="D816" s="13"/>
      <c r="E816" s="170"/>
      <c r="F816" s="170"/>
      <c r="G816" s="170"/>
      <c r="H816" s="170"/>
      <c r="I816" s="170"/>
    </row>
    <row r="817" spans="1:9">
      <c r="A817" s="596"/>
      <c r="B817" s="597"/>
      <c r="C817" s="598"/>
      <c r="D817" s="596"/>
      <c r="E817" s="599"/>
      <c r="F817" s="599"/>
      <c r="G817" s="599"/>
      <c r="H817" s="599"/>
      <c r="I817" s="599"/>
    </row>
    <row r="818" spans="1:9">
      <c r="A818" s="594" t="s">
        <v>441</v>
      </c>
      <c r="B818" s="3547" t="s">
        <v>3640</v>
      </c>
      <c r="C818" s="3548"/>
      <c r="D818" s="3548"/>
      <c r="E818" s="3548"/>
      <c r="F818" s="3548"/>
      <c r="G818" s="3548"/>
      <c r="H818" s="3548"/>
      <c r="I818" s="3549"/>
    </row>
    <row r="819" spans="1:9">
      <c r="A819" s="243" t="s">
        <v>1520</v>
      </c>
      <c r="B819" s="179" t="s">
        <v>1521</v>
      </c>
      <c r="C819" s="583" t="s">
        <v>140</v>
      </c>
      <c r="D819" s="243" t="s">
        <v>343</v>
      </c>
      <c r="E819" s="584" t="s">
        <v>344</v>
      </c>
      <c r="F819" s="65" t="s">
        <v>482</v>
      </c>
      <c r="G819" s="65" t="s">
        <v>483</v>
      </c>
      <c r="H819" s="65" t="s">
        <v>232</v>
      </c>
      <c r="I819" s="65" t="s">
        <v>171</v>
      </c>
    </row>
    <row r="820" spans="1:9">
      <c r="A820" s="2" t="s">
        <v>345</v>
      </c>
      <c r="B820" s="100" t="s">
        <v>1997</v>
      </c>
      <c r="C820" s="589">
        <v>0.6</v>
      </c>
      <c r="D820" s="2" t="s">
        <v>346</v>
      </c>
      <c r="E820" s="585">
        <v>56105.478000000003</v>
      </c>
      <c r="F820" s="585"/>
      <c r="G820" s="585"/>
      <c r="H820" s="585">
        <f>+C820*E820</f>
        <v>33663.286800000002</v>
      </c>
      <c r="I820" s="585"/>
    </row>
    <row r="821" spans="1:9">
      <c r="A821" s="2" t="s">
        <v>347</v>
      </c>
      <c r="B821" s="100" t="s">
        <v>1576</v>
      </c>
      <c r="C821" s="589">
        <v>0.6</v>
      </c>
      <c r="D821" s="2" t="s">
        <v>346</v>
      </c>
      <c r="E821" s="585">
        <v>42079.108500000002</v>
      </c>
      <c r="F821" s="585"/>
      <c r="G821" s="585"/>
      <c r="H821" s="585">
        <f>+C821*E821</f>
        <v>25247.465100000001</v>
      </c>
      <c r="I821" s="585"/>
    </row>
    <row r="822" spans="1:9">
      <c r="A822" s="2" t="s">
        <v>172</v>
      </c>
      <c r="B822" s="18" t="s">
        <v>189</v>
      </c>
      <c r="C822" s="589">
        <v>1</v>
      </c>
      <c r="D822" s="6" t="s">
        <v>583</v>
      </c>
      <c r="E822" s="585">
        <f>+H823*0.05</f>
        <v>2945.5375950000002</v>
      </c>
      <c r="F822" s="585"/>
      <c r="G822" s="585"/>
      <c r="H822" s="585"/>
      <c r="I822" s="585">
        <v>2700.0761287500009</v>
      </c>
    </row>
    <row r="823" spans="1:9">
      <c r="A823" s="587" t="s">
        <v>190</v>
      </c>
      <c r="B823" s="588">
        <f>SUM(G823:I823)</f>
        <v>61610.828028750002</v>
      </c>
      <c r="C823" s="583"/>
      <c r="D823" s="169"/>
      <c r="E823" s="585"/>
      <c r="F823" s="65">
        <v>0</v>
      </c>
      <c r="G823" s="65" t="s">
        <v>441</v>
      </c>
      <c r="H823" s="65">
        <f>SUM(H820:H822)</f>
        <v>58910.751900000003</v>
      </c>
      <c r="I823" s="65">
        <f>SUM(I822:I822)</f>
        <v>2700.0761287500009</v>
      </c>
    </row>
    <row r="824" spans="1:9">
      <c r="A824" s="21" t="s">
        <v>3708</v>
      </c>
      <c r="B824" s="39">
        <f>+B823*AIU</f>
        <v>18219.707849448052</v>
      </c>
      <c r="C824" s="589"/>
      <c r="D824" s="31"/>
      <c r="E824" s="170"/>
      <c r="F824" s="590"/>
      <c r="G824" s="590"/>
      <c r="H824" s="590"/>
      <c r="I824" s="590"/>
    </row>
    <row r="825" spans="1:9">
      <c r="A825" s="587" t="s">
        <v>191</v>
      </c>
      <c r="B825" s="39">
        <f>SUM(B823:B824)</f>
        <v>79830.535878198047</v>
      </c>
      <c r="C825" s="591" t="s">
        <v>363</v>
      </c>
      <c r="D825" s="13"/>
      <c r="E825" s="170"/>
      <c r="F825" s="170"/>
      <c r="G825" s="170"/>
      <c r="H825" s="170"/>
      <c r="I825" s="170"/>
    </row>
    <row r="826" spans="1:9">
      <c r="A826" s="596"/>
      <c r="B826" s="597"/>
      <c r="C826" s="598"/>
      <c r="D826" s="596"/>
      <c r="E826" s="599"/>
      <c r="F826" s="599"/>
      <c r="G826" s="599"/>
      <c r="H826" s="599"/>
      <c r="I826" s="599"/>
    </row>
    <row r="827" spans="1:9">
      <c r="A827" s="594" t="s">
        <v>441</v>
      </c>
      <c r="B827" s="3547" t="s">
        <v>3641</v>
      </c>
      <c r="C827" s="3548"/>
      <c r="D827" s="3548"/>
      <c r="E827" s="3548"/>
      <c r="F827" s="3548"/>
      <c r="G827" s="3548"/>
      <c r="H827" s="3548"/>
      <c r="I827" s="3549"/>
    </row>
    <row r="828" spans="1:9">
      <c r="A828" s="243" t="s">
        <v>1520</v>
      </c>
      <c r="B828" s="179" t="s">
        <v>1521</v>
      </c>
      <c r="C828" s="583" t="s">
        <v>140</v>
      </c>
      <c r="D828" s="243" t="s">
        <v>343</v>
      </c>
      <c r="E828" s="584" t="s">
        <v>344</v>
      </c>
      <c r="F828" s="65" t="s">
        <v>482</v>
      </c>
      <c r="G828" s="65" t="s">
        <v>483</v>
      </c>
      <c r="H828" s="65" t="s">
        <v>232</v>
      </c>
      <c r="I828" s="65" t="s">
        <v>171</v>
      </c>
    </row>
    <row r="829" spans="1:9">
      <c r="A829" s="530" t="s">
        <v>1695</v>
      </c>
      <c r="B829" s="531" t="s">
        <v>1696</v>
      </c>
      <c r="C829" s="589">
        <v>6</v>
      </c>
      <c r="D829" s="6" t="s">
        <v>94</v>
      </c>
      <c r="E829" s="585">
        <f>VLOOKUP(B829,MATERIALES!B:C,2,0)</f>
        <v>26285</v>
      </c>
      <c r="F829" s="585"/>
      <c r="G829" s="585">
        <f>+C829*E829</f>
        <v>157710</v>
      </c>
      <c r="H829" s="585"/>
      <c r="I829" s="585"/>
    </row>
    <row r="830" spans="1:9">
      <c r="A830" s="530" t="s">
        <v>1691</v>
      </c>
      <c r="B830" s="531" t="s">
        <v>1692</v>
      </c>
      <c r="C830" s="589">
        <v>2</v>
      </c>
      <c r="D830" s="6" t="s">
        <v>94</v>
      </c>
      <c r="E830" s="585">
        <f>VLOOKUP(B830,MATERIALES!B:C,2,0)</f>
        <v>16775</v>
      </c>
      <c r="F830" s="585"/>
      <c r="G830" s="585">
        <f>+C830*E830</f>
        <v>33550</v>
      </c>
      <c r="H830" s="585"/>
      <c r="I830" s="585"/>
    </row>
    <row r="831" spans="1:9">
      <c r="A831" s="530" t="s">
        <v>2255</v>
      </c>
      <c r="B831" s="534" t="s">
        <v>2256</v>
      </c>
      <c r="C831" s="589">
        <v>1</v>
      </c>
      <c r="D831" s="6" t="s">
        <v>94</v>
      </c>
      <c r="E831" s="585">
        <f>VLOOKUP(B831,MATERIALES!B:C,2,0)</f>
        <v>12100</v>
      </c>
      <c r="F831" s="585"/>
      <c r="G831" s="585">
        <f>+C831*E831</f>
        <v>12100</v>
      </c>
      <c r="H831" s="585"/>
      <c r="I831" s="585"/>
    </row>
    <row r="832" spans="1:9">
      <c r="A832" s="2" t="s">
        <v>584</v>
      </c>
      <c r="B832" s="180" t="s">
        <v>2236</v>
      </c>
      <c r="C832" s="600">
        <v>8.0000000000000002E-3</v>
      </c>
      <c r="D832" s="2" t="s">
        <v>583</v>
      </c>
      <c r="E832" s="585">
        <f>VLOOKUP(B832,MATERIALES!B:C,2,0)</f>
        <v>750000</v>
      </c>
      <c r="F832" s="585"/>
      <c r="G832" s="585"/>
      <c r="H832" s="585"/>
      <c r="I832" s="585">
        <f>C832*E832</f>
        <v>6000</v>
      </c>
    </row>
    <row r="833" spans="1:9">
      <c r="A833" s="587" t="s">
        <v>190</v>
      </c>
      <c r="B833" s="588">
        <f>SUM(G833:I833)</f>
        <v>209360</v>
      </c>
      <c r="C833" s="583"/>
      <c r="D833" s="169"/>
      <c r="E833" s="585"/>
      <c r="F833" s="65">
        <v>0</v>
      </c>
      <c r="G833" s="65">
        <f>SUM(G829:G831)</f>
        <v>203360</v>
      </c>
      <c r="H833" s="65">
        <f>SUM(H832:H832)</f>
        <v>0</v>
      </c>
      <c r="I833" s="65">
        <f>SUM(I832:I832)</f>
        <v>6000</v>
      </c>
    </row>
    <row r="834" spans="1:9">
      <c r="A834" s="21" t="s">
        <v>3708</v>
      </c>
      <c r="B834" s="39">
        <f>+B833*AIU</f>
        <v>61912.461776693868</v>
      </c>
      <c r="C834" s="589"/>
      <c r="D834" s="31"/>
      <c r="E834" s="170"/>
      <c r="F834" s="590"/>
      <c r="G834" s="590"/>
      <c r="H834" s="590"/>
      <c r="I834" s="590"/>
    </row>
    <row r="835" spans="1:9">
      <c r="A835" s="587" t="s">
        <v>191</v>
      </c>
      <c r="B835" s="39">
        <f>SUM(B833:B834)</f>
        <v>271272.46177669388</v>
      </c>
      <c r="C835" s="591" t="s">
        <v>94</v>
      </c>
      <c r="D835" s="13"/>
      <c r="E835" s="170"/>
      <c r="F835" s="170"/>
      <c r="G835" s="170"/>
      <c r="H835" s="170"/>
      <c r="I835" s="170"/>
    </row>
    <row r="836" spans="1:9">
      <c r="A836" s="596"/>
      <c r="B836" s="597"/>
      <c r="C836" s="598"/>
      <c r="D836" s="596"/>
      <c r="E836" s="599"/>
      <c r="F836" s="599"/>
      <c r="G836" s="599"/>
      <c r="H836" s="599"/>
      <c r="I836" s="599"/>
    </row>
    <row r="837" spans="1:9">
      <c r="A837" s="594" t="s">
        <v>441</v>
      </c>
      <c r="B837" s="3547" t="s">
        <v>1337</v>
      </c>
      <c r="C837" s="3548"/>
      <c r="D837" s="3548"/>
      <c r="E837" s="3548"/>
      <c r="F837" s="3548"/>
      <c r="G837" s="3548"/>
      <c r="H837" s="3548"/>
      <c r="I837" s="3549"/>
    </row>
    <row r="838" spans="1:9">
      <c r="A838" s="243" t="s">
        <v>1520</v>
      </c>
      <c r="B838" s="179" t="s">
        <v>1521</v>
      </c>
      <c r="C838" s="583" t="s">
        <v>140</v>
      </c>
      <c r="D838" s="243" t="s">
        <v>343</v>
      </c>
      <c r="E838" s="584" t="s">
        <v>344</v>
      </c>
      <c r="F838" s="65" t="s">
        <v>482</v>
      </c>
      <c r="G838" s="65" t="s">
        <v>483</v>
      </c>
      <c r="H838" s="65" t="s">
        <v>232</v>
      </c>
      <c r="I838" s="65" t="s">
        <v>171</v>
      </c>
    </row>
    <row r="839" spans="1:9" ht="33.6">
      <c r="A839" s="2" t="s">
        <v>3627</v>
      </c>
      <c r="B839" s="604" t="s">
        <v>1814</v>
      </c>
      <c r="C839" s="589">
        <v>0.2</v>
      </c>
      <c r="D839" s="2" t="s">
        <v>346</v>
      </c>
      <c r="E839" s="585">
        <f>VLOOKUP(B839,MATERIALES!B:C,2,0)</f>
        <v>150000</v>
      </c>
      <c r="F839" s="585"/>
      <c r="G839" s="585"/>
      <c r="H839" s="585">
        <f>+C839*E839</f>
        <v>30000</v>
      </c>
      <c r="I839" s="585"/>
    </row>
    <row r="840" spans="1:9">
      <c r="A840" s="243" t="s">
        <v>172</v>
      </c>
      <c r="B840" s="179" t="s">
        <v>189</v>
      </c>
      <c r="C840" s="583">
        <v>1</v>
      </c>
      <c r="D840" s="160" t="s">
        <v>583</v>
      </c>
      <c r="E840" s="585">
        <f>0.05*H839</f>
        <v>1500</v>
      </c>
      <c r="F840" s="65"/>
      <c r="G840" s="65"/>
      <c r="H840" s="65"/>
      <c r="I840" s="585">
        <f>C840*E840</f>
        <v>1500</v>
      </c>
    </row>
    <row r="841" spans="1:9">
      <c r="A841" s="587" t="s">
        <v>190</v>
      </c>
      <c r="B841" s="588">
        <f>SUM(G841:I841)</f>
        <v>31500</v>
      </c>
      <c r="C841" s="583"/>
      <c r="D841" s="169"/>
      <c r="E841" s="585"/>
      <c r="F841" s="65">
        <v>0</v>
      </c>
      <c r="G841" s="65" t="s">
        <v>441</v>
      </c>
      <c r="H841" s="65">
        <f>SUM(H839:H840)</f>
        <v>30000</v>
      </c>
      <c r="I841" s="65">
        <f>SUM(I840:I840)</f>
        <v>1500</v>
      </c>
    </row>
    <row r="842" spans="1:9">
      <c r="A842" s="21" t="s">
        <v>3708</v>
      </c>
      <c r="B842" s="39">
        <f>+B841*AIU</f>
        <v>9315.2586261265624</v>
      </c>
      <c r="C842" s="589"/>
      <c r="D842" s="31"/>
      <c r="E842" s="170"/>
      <c r="F842" s="590"/>
      <c r="G842" s="590"/>
      <c r="H842" s="590"/>
      <c r="I842" s="590"/>
    </row>
    <row r="843" spans="1:9">
      <c r="A843" s="587" t="s">
        <v>191</v>
      </c>
      <c r="B843" s="39">
        <f>SUM(B841:B842)</f>
        <v>40815.258626126561</v>
      </c>
      <c r="C843" s="591" t="s">
        <v>94</v>
      </c>
      <c r="D843" s="13"/>
      <c r="E843" s="170"/>
      <c r="F843" s="170"/>
      <c r="G843" s="170"/>
      <c r="H843" s="170"/>
      <c r="I843" s="170"/>
    </row>
    <row r="844" spans="1:9">
      <c r="A844" s="596"/>
      <c r="B844" s="597"/>
      <c r="C844" s="598"/>
      <c r="D844" s="596"/>
      <c r="E844" s="599"/>
      <c r="F844" s="599"/>
      <c r="G844" s="599"/>
      <c r="H844" s="599"/>
      <c r="I844" s="599"/>
    </row>
    <row r="845" spans="1:9">
      <c r="A845" s="594" t="s">
        <v>441</v>
      </c>
      <c r="B845" s="3547" t="s">
        <v>3642</v>
      </c>
      <c r="C845" s="3548"/>
      <c r="D845" s="3548"/>
      <c r="E845" s="3548"/>
      <c r="F845" s="3548"/>
      <c r="G845" s="3548"/>
      <c r="H845" s="3548"/>
      <c r="I845" s="3549"/>
    </row>
    <row r="846" spans="1:9">
      <c r="A846" s="243" t="s">
        <v>1520</v>
      </c>
      <c r="B846" s="179" t="s">
        <v>1521</v>
      </c>
      <c r="C846" s="583" t="s">
        <v>140</v>
      </c>
      <c r="D846" s="243" t="s">
        <v>343</v>
      </c>
      <c r="E846" s="584" t="s">
        <v>344</v>
      </c>
      <c r="F846" s="65" t="s">
        <v>482</v>
      </c>
      <c r="G846" s="65" t="s">
        <v>483</v>
      </c>
      <c r="H846" s="65" t="s">
        <v>232</v>
      </c>
      <c r="I846" s="65" t="s">
        <v>171</v>
      </c>
    </row>
    <row r="847" spans="1:9">
      <c r="A847" s="530" t="s">
        <v>1693</v>
      </c>
      <c r="B847" s="531" t="s">
        <v>1694</v>
      </c>
      <c r="C847" s="589">
        <v>1</v>
      </c>
      <c r="D847" s="6" t="s">
        <v>94</v>
      </c>
      <c r="E847" s="585">
        <f>VLOOKUP(B847,MATERIALES!B:C,2,0)</f>
        <v>15050</v>
      </c>
      <c r="F847" s="585"/>
      <c r="G847" s="585">
        <f>+C847*E847</f>
        <v>15050</v>
      </c>
      <c r="H847" s="585"/>
      <c r="I847" s="585"/>
    </row>
    <row r="848" spans="1:9">
      <c r="A848" s="530" t="s">
        <v>1691</v>
      </c>
      <c r="B848" s="531" t="s">
        <v>1692</v>
      </c>
      <c r="C848" s="589">
        <v>3</v>
      </c>
      <c r="D848" s="6" t="s">
        <v>94</v>
      </c>
      <c r="E848" s="585">
        <f>VLOOKUP(B848,MATERIALES!B:C,2,0)</f>
        <v>16775</v>
      </c>
      <c r="F848" s="585"/>
      <c r="G848" s="585">
        <f>+C848*E848</f>
        <v>50325</v>
      </c>
      <c r="H848" s="585"/>
      <c r="I848" s="585"/>
    </row>
    <row r="849" spans="1:9">
      <c r="A849" s="530" t="s">
        <v>2253</v>
      </c>
      <c r="B849" s="534" t="s">
        <v>2254</v>
      </c>
      <c r="C849" s="589">
        <v>1</v>
      </c>
      <c r="D849" s="6" t="s">
        <v>94</v>
      </c>
      <c r="E849" s="585">
        <f>VLOOKUP(B849,MATERIALES!B:C,2,0)</f>
        <v>9772.9999999999982</v>
      </c>
      <c r="F849" s="585"/>
      <c r="G849" s="585">
        <f>+C849*E849</f>
        <v>9772.9999999999982</v>
      </c>
      <c r="H849" s="585"/>
      <c r="I849" s="585"/>
    </row>
    <row r="850" spans="1:9">
      <c r="A850" s="2" t="s">
        <v>584</v>
      </c>
      <c r="B850" s="180" t="s">
        <v>2236</v>
      </c>
      <c r="C850" s="600">
        <v>8.0000000000000002E-3</v>
      </c>
      <c r="D850" s="2" t="s">
        <v>583</v>
      </c>
      <c r="E850" s="585">
        <f>VLOOKUP(B850,MATERIALES!B:C,2,0)</f>
        <v>750000</v>
      </c>
      <c r="F850" s="585"/>
      <c r="G850" s="585"/>
      <c r="H850" s="585"/>
      <c r="I850" s="585">
        <f>C850*E850</f>
        <v>6000</v>
      </c>
    </row>
    <row r="851" spans="1:9">
      <c r="A851" s="587" t="s">
        <v>190</v>
      </c>
      <c r="B851" s="588">
        <f>SUM(G851:I851)</f>
        <v>81148</v>
      </c>
      <c r="C851" s="583"/>
      <c r="D851" s="169"/>
      <c r="E851" s="585"/>
      <c r="F851" s="65">
        <v>0</v>
      </c>
      <c r="G851" s="65">
        <f>SUM(G847:G849)</f>
        <v>75148</v>
      </c>
      <c r="H851" s="65">
        <f>SUM(H850:H850)</f>
        <v>0</v>
      </c>
      <c r="I851" s="65">
        <f>SUM(I850:I850)</f>
        <v>6000</v>
      </c>
    </row>
    <row r="852" spans="1:9">
      <c r="A852" s="21" t="s">
        <v>3708</v>
      </c>
      <c r="B852" s="39">
        <f>+B851*AIU</f>
        <v>23997.289110886293</v>
      </c>
      <c r="C852" s="589"/>
      <c r="D852" s="31"/>
      <c r="E852" s="170"/>
      <c r="F852" s="590"/>
      <c r="G852" s="590"/>
      <c r="H852" s="590"/>
      <c r="I852" s="590"/>
    </row>
    <row r="853" spans="1:9">
      <c r="A853" s="587" t="s">
        <v>191</v>
      </c>
      <c r="B853" s="39">
        <f>SUM(B851:B852)</f>
        <v>105145.2891108863</v>
      </c>
      <c r="C853" s="591" t="s">
        <v>94</v>
      </c>
      <c r="D853" s="13"/>
      <c r="E853" s="170"/>
      <c r="F853" s="170"/>
      <c r="G853" s="170"/>
      <c r="H853" s="170"/>
      <c r="I853" s="170"/>
    </row>
    <row r="854" spans="1:9">
      <c r="A854" s="596"/>
      <c r="B854" s="597"/>
      <c r="C854" s="598"/>
      <c r="D854" s="596"/>
      <c r="E854" s="599"/>
      <c r="F854" s="599"/>
      <c r="G854" s="599"/>
      <c r="H854" s="599"/>
      <c r="I854" s="599"/>
    </row>
    <row r="855" spans="1:9">
      <c r="A855" s="594" t="s">
        <v>441</v>
      </c>
      <c r="B855" s="3547" t="s">
        <v>1432</v>
      </c>
      <c r="C855" s="3548"/>
      <c r="D855" s="3548"/>
      <c r="E855" s="3548"/>
      <c r="F855" s="3548"/>
      <c r="G855" s="3548"/>
      <c r="H855" s="3548"/>
      <c r="I855" s="3549"/>
    </row>
    <row r="856" spans="1:9">
      <c r="A856" s="243" t="s">
        <v>1520</v>
      </c>
      <c r="B856" s="179" t="s">
        <v>1521</v>
      </c>
      <c r="C856" s="583" t="s">
        <v>140</v>
      </c>
      <c r="D856" s="243" t="s">
        <v>343</v>
      </c>
      <c r="E856" s="584" t="s">
        <v>344</v>
      </c>
      <c r="F856" s="65" t="s">
        <v>482</v>
      </c>
      <c r="G856" s="65" t="s">
        <v>483</v>
      </c>
      <c r="H856" s="65" t="s">
        <v>232</v>
      </c>
      <c r="I856" s="65" t="s">
        <v>171</v>
      </c>
    </row>
    <row r="857" spans="1:9" ht="33.6">
      <c r="A857" s="2" t="s">
        <v>3627</v>
      </c>
      <c r="B857" s="604" t="s">
        <v>1814</v>
      </c>
      <c r="C857" s="589">
        <v>0.1</v>
      </c>
      <c r="D857" s="2" t="s">
        <v>346</v>
      </c>
      <c r="E857" s="585">
        <f>VLOOKUP(B857,MATERIALES!B:C,2,0)</f>
        <v>150000</v>
      </c>
      <c r="F857" s="585"/>
      <c r="G857" s="585"/>
      <c r="H857" s="585">
        <f>+C857*E857</f>
        <v>15000</v>
      </c>
      <c r="I857" s="585"/>
    </row>
    <row r="858" spans="1:9">
      <c r="A858" s="243" t="s">
        <v>172</v>
      </c>
      <c r="B858" s="179" t="s">
        <v>189</v>
      </c>
      <c r="C858" s="583">
        <v>1</v>
      </c>
      <c r="D858" s="160" t="s">
        <v>583</v>
      </c>
      <c r="E858" s="585">
        <f>0.05*H857</f>
        <v>750</v>
      </c>
      <c r="F858" s="65"/>
      <c r="G858" s="65"/>
      <c r="H858" s="65"/>
      <c r="I858" s="585">
        <f>C858*E858</f>
        <v>750</v>
      </c>
    </row>
    <row r="859" spans="1:9">
      <c r="A859" s="587" t="s">
        <v>190</v>
      </c>
      <c r="B859" s="588">
        <f>SUM(G859:I859)</f>
        <v>15750</v>
      </c>
      <c r="C859" s="583"/>
      <c r="D859" s="169"/>
      <c r="E859" s="585"/>
      <c r="F859" s="65">
        <v>0</v>
      </c>
      <c r="G859" s="65" t="s">
        <v>441</v>
      </c>
      <c r="H859" s="65">
        <f>SUM(H857:H858)</f>
        <v>15000</v>
      </c>
      <c r="I859" s="65">
        <f>SUM(I858:I858)</f>
        <v>750</v>
      </c>
    </row>
    <row r="860" spans="1:9">
      <c r="A860" s="21" t="s">
        <v>3708</v>
      </c>
      <c r="B860" s="39">
        <f>+B859*AIU</f>
        <v>4657.6293130632812</v>
      </c>
      <c r="C860" s="589"/>
      <c r="D860" s="31"/>
      <c r="E860" s="170"/>
      <c r="F860" s="590"/>
      <c r="G860" s="590"/>
      <c r="H860" s="590"/>
      <c r="I860" s="590"/>
    </row>
    <row r="861" spans="1:9">
      <c r="A861" s="587" t="s">
        <v>191</v>
      </c>
      <c r="B861" s="39">
        <f>SUM(B859:B860)</f>
        <v>20407.62931306328</v>
      </c>
      <c r="C861" s="591" t="s">
        <v>94</v>
      </c>
      <c r="D861" s="13"/>
      <c r="E861" s="170"/>
      <c r="F861" s="170"/>
      <c r="G861" s="170"/>
      <c r="H861" s="170"/>
      <c r="I861" s="170"/>
    </row>
    <row r="862" spans="1:9">
      <c r="A862" s="596"/>
      <c r="B862" s="597"/>
      <c r="C862" s="598"/>
      <c r="D862" s="596"/>
      <c r="E862" s="599"/>
      <c r="F862" s="599"/>
      <c r="G862" s="599"/>
      <c r="H862" s="599"/>
      <c r="I862" s="599"/>
    </row>
    <row r="863" spans="1:9">
      <c r="A863" s="594" t="s">
        <v>441</v>
      </c>
      <c r="B863" s="3547" t="s">
        <v>3643</v>
      </c>
      <c r="C863" s="3548"/>
      <c r="D863" s="3548"/>
      <c r="E863" s="3548"/>
      <c r="F863" s="3548"/>
      <c r="G863" s="3548"/>
      <c r="H863" s="3548"/>
      <c r="I863" s="3549"/>
    </row>
    <row r="864" spans="1:9">
      <c r="A864" s="243" t="s">
        <v>1520</v>
      </c>
      <c r="B864" s="179" t="s">
        <v>1521</v>
      </c>
      <c r="C864" s="583" t="s">
        <v>140</v>
      </c>
      <c r="D864" s="243" t="s">
        <v>343</v>
      </c>
      <c r="E864" s="584" t="s">
        <v>344</v>
      </c>
      <c r="F864" s="65" t="s">
        <v>482</v>
      </c>
      <c r="G864" s="65" t="s">
        <v>483</v>
      </c>
      <c r="H864" s="65" t="s">
        <v>232</v>
      </c>
      <c r="I864" s="65" t="s">
        <v>171</v>
      </c>
    </row>
    <row r="865" spans="1:9">
      <c r="A865" s="530" t="s">
        <v>1695</v>
      </c>
      <c r="B865" s="531" t="s">
        <v>1696</v>
      </c>
      <c r="C865" s="589">
        <v>6</v>
      </c>
      <c r="D865" s="6" t="s">
        <v>94</v>
      </c>
      <c r="E865" s="585">
        <f>VLOOKUP(B865,MATERIALES!B:C,2,0)</f>
        <v>26285</v>
      </c>
      <c r="F865" s="585"/>
      <c r="G865" s="585">
        <f>+C865*E865</f>
        <v>157710</v>
      </c>
      <c r="H865" s="585"/>
      <c r="I865" s="585"/>
    </row>
    <row r="866" spans="1:9">
      <c r="A866" s="530" t="s">
        <v>1691</v>
      </c>
      <c r="B866" s="531" t="s">
        <v>1692</v>
      </c>
      <c r="C866" s="589">
        <v>2</v>
      </c>
      <c r="D866" s="6" t="s">
        <v>94</v>
      </c>
      <c r="E866" s="585">
        <f>VLOOKUP(B866,MATERIALES!B:C,2,0)</f>
        <v>16775</v>
      </c>
      <c r="F866" s="585"/>
      <c r="G866" s="585">
        <f>+C866*E866</f>
        <v>33550</v>
      </c>
      <c r="H866" s="585"/>
      <c r="I866" s="585"/>
    </row>
    <row r="867" spans="1:9">
      <c r="A867" s="530" t="s">
        <v>2255</v>
      </c>
      <c r="B867" s="534" t="s">
        <v>2256</v>
      </c>
      <c r="C867" s="589">
        <v>1</v>
      </c>
      <c r="D867" s="6" t="s">
        <v>94</v>
      </c>
      <c r="E867" s="585">
        <f>VLOOKUP(B867,MATERIALES!B:C,2,0)</f>
        <v>12100</v>
      </c>
      <c r="F867" s="585"/>
      <c r="G867" s="585">
        <f>+C867*E867</f>
        <v>12100</v>
      </c>
      <c r="H867" s="585"/>
      <c r="I867" s="585"/>
    </row>
    <row r="868" spans="1:9">
      <c r="A868" s="2" t="s">
        <v>584</v>
      </c>
      <c r="B868" s="180" t="s">
        <v>2236</v>
      </c>
      <c r="C868" s="600">
        <v>8.0000000000000002E-3</v>
      </c>
      <c r="D868" s="2" t="s">
        <v>583</v>
      </c>
      <c r="E868" s="585">
        <f>VLOOKUP(B868,MATERIALES!B:C,2,0)</f>
        <v>750000</v>
      </c>
      <c r="F868" s="585"/>
      <c r="G868" s="585"/>
      <c r="H868" s="585"/>
      <c r="I868" s="585">
        <f>C868*E868</f>
        <v>6000</v>
      </c>
    </row>
    <row r="869" spans="1:9">
      <c r="A869" s="587" t="s">
        <v>190</v>
      </c>
      <c r="B869" s="588">
        <f>SUM(G869:I869)</f>
        <v>209360</v>
      </c>
      <c r="C869" s="583"/>
      <c r="D869" s="169"/>
      <c r="E869" s="585"/>
      <c r="F869" s="65">
        <v>0</v>
      </c>
      <c r="G869" s="65">
        <f>SUM(G865:G867)</f>
        <v>203360</v>
      </c>
      <c r="H869" s="65">
        <f>SUM(H868:H868)</f>
        <v>0</v>
      </c>
      <c r="I869" s="65">
        <f>SUM(I868:I868)</f>
        <v>6000</v>
      </c>
    </row>
    <row r="870" spans="1:9">
      <c r="A870" s="21" t="s">
        <v>3708</v>
      </c>
      <c r="B870" s="39">
        <f>+B869*AIU</f>
        <v>61912.461776693868</v>
      </c>
      <c r="C870" s="589"/>
      <c r="D870" s="31"/>
      <c r="E870" s="170"/>
      <c r="F870" s="590"/>
      <c r="G870" s="590"/>
      <c r="H870" s="590"/>
      <c r="I870" s="590"/>
    </row>
    <row r="871" spans="1:9">
      <c r="A871" s="587" t="s">
        <v>191</v>
      </c>
      <c r="B871" s="39">
        <f>SUM(B869:B870)</f>
        <v>271272.46177669388</v>
      </c>
      <c r="C871" s="591" t="s">
        <v>94</v>
      </c>
      <c r="D871" s="13"/>
      <c r="E871" s="170"/>
      <c r="F871" s="170"/>
      <c r="G871" s="170"/>
      <c r="H871" s="170"/>
      <c r="I871" s="170"/>
    </row>
    <row r="872" spans="1:9">
      <c r="A872" s="596"/>
      <c r="B872" s="597"/>
      <c r="C872" s="598"/>
      <c r="D872" s="596"/>
      <c r="E872" s="599"/>
      <c r="F872" s="599"/>
      <c r="G872" s="599"/>
      <c r="H872" s="599"/>
      <c r="I872" s="599"/>
    </row>
    <row r="873" spans="1:9">
      <c r="A873" s="594" t="s">
        <v>441</v>
      </c>
      <c r="B873" s="3547" t="s">
        <v>3644</v>
      </c>
      <c r="C873" s="3548"/>
      <c r="D873" s="3548"/>
      <c r="E873" s="3548"/>
      <c r="F873" s="3548"/>
      <c r="G873" s="3548"/>
      <c r="H873" s="3548"/>
      <c r="I873" s="3549"/>
    </row>
    <row r="874" spans="1:9">
      <c r="A874" s="243" t="s">
        <v>1520</v>
      </c>
      <c r="B874" s="179" t="s">
        <v>1521</v>
      </c>
      <c r="C874" s="583" t="s">
        <v>140</v>
      </c>
      <c r="D874" s="243" t="s">
        <v>343</v>
      </c>
      <c r="E874" s="584" t="s">
        <v>344</v>
      </c>
      <c r="F874" s="65" t="s">
        <v>482</v>
      </c>
      <c r="G874" s="65" t="s">
        <v>483</v>
      </c>
      <c r="H874" s="65" t="s">
        <v>232</v>
      </c>
      <c r="I874" s="65" t="s">
        <v>171</v>
      </c>
    </row>
    <row r="875" spans="1:9" ht="33.6">
      <c r="A875" s="2" t="s">
        <v>3627</v>
      </c>
      <c r="B875" s="604" t="s">
        <v>1814</v>
      </c>
      <c r="C875" s="589">
        <v>0.06</v>
      </c>
      <c r="D875" s="2" t="s">
        <v>346</v>
      </c>
      <c r="E875" s="585">
        <f>VLOOKUP(B875,MATERIALES!B:C,2,0)</f>
        <v>150000</v>
      </c>
      <c r="F875" s="585"/>
      <c r="G875" s="585"/>
      <c r="H875" s="585">
        <f>+C875*E875</f>
        <v>9000</v>
      </c>
      <c r="I875" s="585"/>
    </row>
    <row r="876" spans="1:9">
      <c r="A876" s="243" t="s">
        <v>172</v>
      </c>
      <c r="B876" s="179" t="s">
        <v>189</v>
      </c>
      <c r="C876" s="583">
        <v>1</v>
      </c>
      <c r="D876" s="160" t="s">
        <v>583</v>
      </c>
      <c r="E876" s="585">
        <f>0.05*H875</f>
        <v>450</v>
      </c>
      <c r="F876" s="65"/>
      <c r="G876" s="65"/>
      <c r="H876" s="65"/>
      <c r="I876" s="585">
        <f>C876*E876</f>
        <v>450</v>
      </c>
    </row>
    <row r="877" spans="1:9">
      <c r="A877" s="587" t="s">
        <v>190</v>
      </c>
      <c r="B877" s="588">
        <f>SUM(G877:I877)</f>
        <v>9450</v>
      </c>
      <c r="C877" s="583"/>
      <c r="D877" s="169"/>
      <c r="E877" s="585"/>
      <c r="F877" s="65">
        <v>0</v>
      </c>
      <c r="G877" s="65" t="s">
        <v>441</v>
      </c>
      <c r="H877" s="65">
        <f>SUM(H875:H876)</f>
        <v>9000</v>
      </c>
      <c r="I877" s="65">
        <f>SUM(I876:I876)</f>
        <v>450</v>
      </c>
    </row>
    <row r="878" spans="1:9">
      <c r="A878" s="21" t="s">
        <v>3708</v>
      </c>
      <c r="B878" s="39">
        <f>+B877*AIU</f>
        <v>2794.5775878379686</v>
      </c>
      <c r="C878" s="589"/>
      <c r="D878" s="31"/>
      <c r="E878" s="170"/>
      <c r="F878" s="590"/>
      <c r="G878" s="590"/>
      <c r="H878" s="590"/>
      <c r="I878" s="590"/>
    </row>
    <row r="879" spans="1:9">
      <c r="A879" s="587" t="s">
        <v>191</v>
      </c>
      <c r="B879" s="39">
        <f>SUM(B877:B878)</f>
        <v>12244.577587837968</v>
      </c>
      <c r="C879" s="591" t="s">
        <v>94</v>
      </c>
      <c r="D879" s="13"/>
      <c r="E879" s="170"/>
      <c r="F879" s="170"/>
      <c r="G879" s="170"/>
      <c r="H879" s="170"/>
      <c r="I879" s="170"/>
    </row>
    <row r="880" spans="1:9">
      <c r="A880" s="596"/>
      <c r="B880" s="597"/>
      <c r="C880" s="598"/>
      <c r="D880" s="596"/>
      <c r="E880" s="599"/>
      <c r="F880" s="599"/>
      <c r="G880" s="599"/>
      <c r="H880" s="599"/>
      <c r="I880" s="599"/>
    </row>
    <row r="881" spans="1:9">
      <c r="A881" s="594" t="s">
        <v>441</v>
      </c>
      <c r="B881" s="3547" t="s">
        <v>3645</v>
      </c>
      <c r="C881" s="3548"/>
      <c r="D881" s="3548"/>
      <c r="E881" s="3548"/>
      <c r="F881" s="3548"/>
      <c r="G881" s="3548"/>
      <c r="H881" s="3548"/>
      <c r="I881" s="3549"/>
    </row>
    <row r="882" spans="1:9">
      <c r="A882" s="243" t="s">
        <v>1520</v>
      </c>
      <c r="B882" s="179" t="s">
        <v>1521</v>
      </c>
      <c r="C882" s="583" t="s">
        <v>140</v>
      </c>
      <c r="D882" s="243" t="s">
        <v>343</v>
      </c>
      <c r="E882" s="584" t="s">
        <v>344</v>
      </c>
      <c r="F882" s="65" t="s">
        <v>482</v>
      </c>
      <c r="G882" s="65" t="s">
        <v>483</v>
      </c>
      <c r="H882" s="65" t="s">
        <v>232</v>
      </c>
      <c r="I882" s="65" t="s">
        <v>171</v>
      </c>
    </row>
    <row r="883" spans="1:9">
      <c r="A883" s="530" t="s">
        <v>1691</v>
      </c>
      <c r="B883" s="531" t="s">
        <v>1692</v>
      </c>
      <c r="C883" s="589">
        <v>2</v>
      </c>
      <c r="D883" s="6" t="s">
        <v>94</v>
      </c>
      <c r="E883" s="585">
        <f>VLOOKUP(B883,MATERIALES!B:C,2,0)</f>
        <v>16775</v>
      </c>
      <c r="F883" s="585"/>
      <c r="G883" s="585">
        <f>+C883*E883</f>
        <v>33550</v>
      </c>
      <c r="H883" s="585"/>
      <c r="I883" s="585"/>
    </row>
    <row r="884" spans="1:9">
      <c r="A884" s="530" t="s">
        <v>1695</v>
      </c>
      <c r="B884" s="531" t="s">
        <v>1696</v>
      </c>
      <c r="C884" s="589">
        <v>6</v>
      </c>
      <c r="D884" s="6" t="s">
        <v>94</v>
      </c>
      <c r="E884" s="585">
        <f>VLOOKUP(B884,MATERIALES!B:C,2,0)</f>
        <v>26285</v>
      </c>
      <c r="F884" s="585"/>
      <c r="G884" s="585">
        <f>+C884*E884</f>
        <v>157710</v>
      </c>
      <c r="H884" s="585"/>
      <c r="I884" s="585"/>
    </row>
    <row r="885" spans="1:9">
      <c r="A885" s="530" t="s">
        <v>2255</v>
      </c>
      <c r="B885" s="534" t="s">
        <v>2256</v>
      </c>
      <c r="C885" s="589">
        <v>1</v>
      </c>
      <c r="D885" s="6" t="s">
        <v>94</v>
      </c>
      <c r="E885" s="585">
        <f>VLOOKUP(B885,MATERIALES!B:C,2,0)</f>
        <v>12100</v>
      </c>
      <c r="F885" s="585"/>
      <c r="G885" s="585">
        <f>+C885*E885</f>
        <v>12100</v>
      </c>
      <c r="H885" s="585"/>
      <c r="I885" s="585"/>
    </row>
    <row r="886" spans="1:9">
      <c r="A886" s="2" t="s">
        <v>584</v>
      </c>
      <c r="B886" s="180" t="s">
        <v>2236</v>
      </c>
      <c r="C886" s="600">
        <v>8.0000000000000002E-3</v>
      </c>
      <c r="D886" s="2" t="s">
        <v>583</v>
      </c>
      <c r="E886" s="585">
        <f>VLOOKUP(B886,MATERIALES!B:C,2,0)</f>
        <v>750000</v>
      </c>
      <c r="F886" s="585"/>
      <c r="G886" s="585"/>
      <c r="H886" s="585"/>
      <c r="I886" s="585">
        <f>C886*E886</f>
        <v>6000</v>
      </c>
    </row>
    <row r="887" spans="1:9">
      <c r="A887" s="587" t="s">
        <v>190</v>
      </c>
      <c r="B887" s="588">
        <f>SUM(G887:I887)</f>
        <v>209360</v>
      </c>
      <c r="C887" s="583"/>
      <c r="D887" s="169"/>
      <c r="E887" s="585"/>
      <c r="F887" s="65">
        <v>0</v>
      </c>
      <c r="G887" s="65">
        <f>SUM(G883:G885)</f>
        <v>203360</v>
      </c>
      <c r="H887" s="65">
        <f>SUM(H886:H886)</f>
        <v>0</v>
      </c>
      <c r="I887" s="65">
        <f>SUM(I886:I886)</f>
        <v>6000</v>
      </c>
    </row>
    <row r="888" spans="1:9">
      <c r="A888" s="21" t="s">
        <v>3708</v>
      </c>
      <c r="B888" s="39">
        <f>+B887*AIU</f>
        <v>61912.461776693868</v>
      </c>
      <c r="C888" s="589"/>
      <c r="D888" s="31"/>
      <c r="E888" s="170"/>
      <c r="F888" s="590"/>
      <c r="G888" s="590"/>
      <c r="H888" s="590"/>
      <c r="I888" s="590"/>
    </row>
    <row r="889" spans="1:9">
      <c r="A889" s="587" t="s">
        <v>191</v>
      </c>
      <c r="B889" s="39">
        <f>SUM(B887:B888)</f>
        <v>271272.46177669388</v>
      </c>
      <c r="C889" s="591" t="s">
        <v>94</v>
      </c>
      <c r="D889" s="13"/>
      <c r="E889" s="170"/>
      <c r="F889" s="170"/>
      <c r="G889" s="170"/>
      <c r="H889" s="170"/>
      <c r="I889" s="170"/>
    </row>
    <row r="890" spans="1:9">
      <c r="A890" s="596"/>
      <c r="B890" s="597"/>
      <c r="C890" s="598"/>
      <c r="D890" s="596"/>
      <c r="E890" s="599"/>
      <c r="F890" s="599"/>
      <c r="G890" s="599"/>
      <c r="H890" s="599"/>
      <c r="I890" s="599"/>
    </row>
    <row r="891" spans="1:9">
      <c r="A891" s="594" t="s">
        <v>441</v>
      </c>
      <c r="B891" s="3547" t="s">
        <v>1338</v>
      </c>
      <c r="C891" s="3548"/>
      <c r="D891" s="3548"/>
      <c r="E891" s="3548"/>
      <c r="F891" s="3548"/>
      <c r="G891" s="3548"/>
      <c r="H891" s="3548"/>
      <c r="I891" s="3549"/>
    </row>
    <row r="892" spans="1:9">
      <c r="A892" s="243" t="s">
        <v>1520</v>
      </c>
      <c r="B892" s="179" t="s">
        <v>1521</v>
      </c>
      <c r="C892" s="583" t="s">
        <v>140</v>
      </c>
      <c r="D892" s="243" t="s">
        <v>343</v>
      </c>
      <c r="E892" s="584" t="s">
        <v>344</v>
      </c>
      <c r="F892" s="65" t="s">
        <v>482</v>
      </c>
      <c r="G892" s="65" t="s">
        <v>483</v>
      </c>
      <c r="H892" s="65" t="s">
        <v>232</v>
      </c>
      <c r="I892" s="65" t="s">
        <v>171</v>
      </c>
    </row>
    <row r="893" spans="1:9" ht="33.6">
      <c r="A893" s="2" t="s">
        <v>3627</v>
      </c>
      <c r="B893" s="604" t="s">
        <v>1814</v>
      </c>
      <c r="C893" s="589">
        <v>0.08</v>
      </c>
      <c r="D893" s="2" t="s">
        <v>346</v>
      </c>
      <c r="E893" s="585">
        <f>VLOOKUP(B893,MATERIALES!B:C,2,0)</f>
        <v>150000</v>
      </c>
      <c r="F893" s="585"/>
      <c r="G893" s="585"/>
      <c r="H893" s="585">
        <f>+C893*E893</f>
        <v>12000</v>
      </c>
      <c r="I893" s="585"/>
    </row>
    <row r="894" spans="1:9">
      <c r="A894" s="243" t="s">
        <v>172</v>
      </c>
      <c r="B894" s="179" t="s">
        <v>189</v>
      </c>
      <c r="C894" s="583">
        <v>1</v>
      </c>
      <c r="D894" s="160" t="s">
        <v>583</v>
      </c>
      <c r="E894" s="585">
        <f>0.05*H893</f>
        <v>600</v>
      </c>
      <c r="F894" s="65"/>
      <c r="G894" s="65"/>
      <c r="H894" s="65"/>
      <c r="I894" s="585">
        <f>C894*E894</f>
        <v>600</v>
      </c>
    </row>
    <row r="895" spans="1:9">
      <c r="A895" s="587" t="s">
        <v>190</v>
      </c>
      <c r="B895" s="588">
        <f>SUM(G895:I895)</f>
        <v>12600</v>
      </c>
      <c r="C895" s="583"/>
      <c r="D895" s="169"/>
      <c r="E895" s="585"/>
      <c r="F895" s="65">
        <v>0</v>
      </c>
      <c r="G895" s="65" t="s">
        <v>441</v>
      </c>
      <c r="H895" s="65">
        <f>SUM(H893:H894)</f>
        <v>12000</v>
      </c>
      <c r="I895" s="65">
        <f>SUM(I894:I894)</f>
        <v>600</v>
      </c>
    </row>
    <row r="896" spans="1:9">
      <c r="A896" s="21" t="s">
        <v>3708</v>
      </c>
      <c r="B896" s="39">
        <f>+B895*AIU</f>
        <v>3726.1034504506247</v>
      </c>
      <c r="C896" s="589"/>
      <c r="D896" s="31"/>
      <c r="E896" s="170"/>
      <c r="F896" s="590"/>
      <c r="G896" s="590"/>
      <c r="H896" s="590"/>
      <c r="I896" s="590"/>
    </row>
    <row r="897" spans="1:9">
      <c r="A897" s="587" t="s">
        <v>191</v>
      </c>
      <c r="B897" s="39">
        <f>SUM(B895:B896)</f>
        <v>16326.103450450624</v>
      </c>
      <c r="C897" s="591" t="s">
        <v>94</v>
      </c>
      <c r="D897" s="13"/>
      <c r="E897" s="170"/>
      <c r="F897" s="170"/>
      <c r="G897" s="170"/>
      <c r="H897" s="170"/>
      <c r="I897" s="170"/>
    </row>
    <row r="898" spans="1:9">
      <c r="A898" s="596"/>
      <c r="B898" s="597"/>
      <c r="C898" s="598"/>
      <c r="D898" s="596"/>
      <c r="E898" s="599"/>
      <c r="F898" s="599"/>
      <c r="G898" s="599"/>
      <c r="H898" s="599"/>
      <c r="I898" s="599"/>
    </row>
    <row r="899" spans="1:9">
      <c r="A899" s="594" t="s">
        <v>441</v>
      </c>
      <c r="B899" s="3547" t="s">
        <v>3646</v>
      </c>
      <c r="C899" s="3548"/>
      <c r="D899" s="3548"/>
      <c r="E899" s="3548"/>
      <c r="F899" s="3548"/>
      <c r="G899" s="3548"/>
      <c r="H899" s="3548"/>
      <c r="I899" s="3549"/>
    </row>
    <row r="900" spans="1:9">
      <c r="A900" s="243" t="s">
        <v>1520</v>
      </c>
      <c r="B900" s="179" t="s">
        <v>1521</v>
      </c>
      <c r="C900" s="583" t="s">
        <v>140</v>
      </c>
      <c r="D900" s="243" t="s">
        <v>343</v>
      </c>
      <c r="E900" s="584" t="s">
        <v>344</v>
      </c>
      <c r="F900" s="65" t="s">
        <v>482</v>
      </c>
      <c r="G900" s="65" t="s">
        <v>483</v>
      </c>
      <c r="H900" s="65" t="s">
        <v>232</v>
      </c>
      <c r="I900" s="65" t="s">
        <v>171</v>
      </c>
    </row>
    <row r="901" spans="1:9">
      <c r="A901" s="530" t="s">
        <v>1691</v>
      </c>
      <c r="B901" s="531" t="s">
        <v>1692</v>
      </c>
      <c r="C901" s="589">
        <v>2</v>
      </c>
      <c r="D901" s="6" t="s">
        <v>94</v>
      </c>
      <c r="E901" s="585">
        <f>VLOOKUP(B901,MATERIALES!B:C,2,0)</f>
        <v>16775</v>
      </c>
      <c r="F901" s="585"/>
      <c r="G901" s="585">
        <f>+C901*E901</f>
        <v>33550</v>
      </c>
      <c r="H901" s="585"/>
      <c r="I901" s="585"/>
    </row>
    <row r="902" spans="1:9">
      <c r="A902" s="530" t="s">
        <v>1695</v>
      </c>
      <c r="B902" s="531" t="s">
        <v>1696</v>
      </c>
      <c r="C902" s="589">
        <v>6</v>
      </c>
      <c r="D902" s="6" t="s">
        <v>94</v>
      </c>
      <c r="E902" s="585">
        <f>VLOOKUP(B902,MATERIALES!B:C,2,0)</f>
        <v>26285</v>
      </c>
      <c r="F902" s="585"/>
      <c r="G902" s="585">
        <f>+C902*E902</f>
        <v>157710</v>
      </c>
      <c r="H902" s="585"/>
      <c r="I902" s="585"/>
    </row>
    <row r="903" spans="1:9">
      <c r="A903" s="530" t="s">
        <v>2255</v>
      </c>
      <c r="B903" s="534" t="s">
        <v>2256</v>
      </c>
      <c r="C903" s="589">
        <v>1</v>
      </c>
      <c r="D903" s="6" t="s">
        <v>94</v>
      </c>
      <c r="E903" s="585">
        <f>VLOOKUP(B903,MATERIALES!B:C,2,0)</f>
        <v>12100</v>
      </c>
      <c r="F903" s="585"/>
      <c r="G903" s="585">
        <f>+C903*E903</f>
        <v>12100</v>
      </c>
      <c r="H903" s="585"/>
      <c r="I903" s="585"/>
    </row>
    <row r="904" spans="1:9">
      <c r="A904" s="2" t="s">
        <v>584</v>
      </c>
      <c r="B904" s="180" t="s">
        <v>2236</v>
      </c>
      <c r="C904" s="600">
        <v>8.0000000000000002E-3</v>
      </c>
      <c r="D904" s="2" t="s">
        <v>583</v>
      </c>
      <c r="E904" s="585">
        <f>VLOOKUP(B904,MATERIALES!B:C,2,0)</f>
        <v>750000</v>
      </c>
      <c r="F904" s="585"/>
      <c r="G904" s="585"/>
      <c r="H904" s="585"/>
      <c r="I904" s="585">
        <f>C904*E904</f>
        <v>6000</v>
      </c>
    </row>
    <row r="905" spans="1:9">
      <c r="A905" s="587" t="s">
        <v>190</v>
      </c>
      <c r="B905" s="588">
        <f>SUM(G905:I905)</f>
        <v>209360</v>
      </c>
      <c r="C905" s="583"/>
      <c r="D905" s="169"/>
      <c r="E905" s="585"/>
      <c r="F905" s="65">
        <v>0</v>
      </c>
      <c r="G905" s="65">
        <f>SUM(G901:G903)</f>
        <v>203360</v>
      </c>
      <c r="H905" s="65">
        <f>SUM(H904:H904)</f>
        <v>0</v>
      </c>
      <c r="I905" s="65">
        <f>SUM(I904:I904)</f>
        <v>6000</v>
      </c>
    </row>
    <row r="906" spans="1:9">
      <c r="A906" s="21" t="s">
        <v>3708</v>
      </c>
      <c r="B906" s="39">
        <f>+B905*AIU</f>
        <v>61912.461776693868</v>
      </c>
      <c r="C906" s="589"/>
      <c r="D906" s="31"/>
      <c r="E906" s="170"/>
      <c r="F906" s="590"/>
      <c r="G906" s="590"/>
      <c r="H906" s="590"/>
      <c r="I906" s="590"/>
    </row>
    <row r="907" spans="1:9">
      <c r="A907" s="587" t="s">
        <v>191</v>
      </c>
      <c r="B907" s="39">
        <f>SUM(B905:B906)</f>
        <v>271272.46177669388</v>
      </c>
      <c r="C907" s="591" t="s">
        <v>94</v>
      </c>
      <c r="D907" s="13"/>
      <c r="E907" s="170"/>
      <c r="F907" s="170"/>
      <c r="G907" s="170"/>
      <c r="H907" s="170"/>
      <c r="I907" s="170"/>
    </row>
    <row r="908" spans="1:9">
      <c r="A908" s="596"/>
      <c r="B908" s="597"/>
      <c r="C908" s="598"/>
      <c r="D908" s="596"/>
      <c r="E908" s="599"/>
      <c r="F908" s="599"/>
      <c r="G908" s="599"/>
      <c r="H908" s="599"/>
      <c r="I908" s="599"/>
    </row>
    <row r="909" spans="1:9">
      <c r="A909" s="594" t="s">
        <v>441</v>
      </c>
      <c r="B909" s="3547" t="s">
        <v>3647</v>
      </c>
      <c r="C909" s="3548"/>
      <c r="D909" s="3548"/>
      <c r="E909" s="3548"/>
      <c r="F909" s="3548"/>
      <c r="G909" s="3548"/>
      <c r="H909" s="3548"/>
      <c r="I909" s="3549"/>
    </row>
    <row r="910" spans="1:9">
      <c r="A910" s="243" t="s">
        <v>1520</v>
      </c>
      <c r="B910" s="179" t="s">
        <v>1521</v>
      </c>
      <c r="C910" s="583" t="s">
        <v>140</v>
      </c>
      <c r="D910" s="243" t="s">
        <v>343</v>
      </c>
      <c r="E910" s="584" t="s">
        <v>344</v>
      </c>
      <c r="F910" s="65" t="s">
        <v>482</v>
      </c>
      <c r="G910" s="65" t="s">
        <v>483</v>
      </c>
      <c r="H910" s="65" t="s">
        <v>232</v>
      </c>
      <c r="I910" s="65" t="s">
        <v>171</v>
      </c>
    </row>
    <row r="911" spans="1:9" ht="33.6">
      <c r="A911" s="2" t="s">
        <v>3627</v>
      </c>
      <c r="B911" s="604" t="s">
        <v>1814</v>
      </c>
      <c r="C911" s="589">
        <v>0.08</v>
      </c>
      <c r="D911" s="2" t="s">
        <v>346</v>
      </c>
      <c r="E911" s="585">
        <v>150000</v>
      </c>
      <c r="F911" s="585"/>
      <c r="G911" s="585"/>
      <c r="H911" s="585">
        <f>+C911*E911</f>
        <v>12000</v>
      </c>
      <c r="I911" s="585"/>
    </row>
    <row r="912" spans="1:9">
      <c r="A912" s="243" t="s">
        <v>172</v>
      </c>
      <c r="B912" s="179" t="s">
        <v>189</v>
      </c>
      <c r="C912" s="583">
        <v>1</v>
      </c>
      <c r="D912" s="160" t="s">
        <v>583</v>
      </c>
      <c r="E912" s="585">
        <f>0.05*H911</f>
        <v>600</v>
      </c>
      <c r="F912" s="65"/>
      <c r="G912" s="65"/>
      <c r="H912" s="65"/>
      <c r="I912" s="585">
        <f>C912*E912</f>
        <v>600</v>
      </c>
    </row>
    <row r="913" spans="1:9">
      <c r="A913" s="587" t="s">
        <v>190</v>
      </c>
      <c r="B913" s="588">
        <f>SUM(G913:I913)</f>
        <v>12600</v>
      </c>
      <c r="C913" s="583"/>
      <c r="D913" s="169"/>
      <c r="E913" s="585"/>
      <c r="F913" s="65">
        <v>0</v>
      </c>
      <c r="G913" s="65" t="s">
        <v>441</v>
      </c>
      <c r="H913" s="65">
        <f>SUM(H911:H912)</f>
        <v>12000</v>
      </c>
      <c r="I913" s="65">
        <f>SUM(I912:I912)</f>
        <v>600</v>
      </c>
    </row>
    <row r="914" spans="1:9">
      <c r="A914" s="21" t="s">
        <v>3708</v>
      </c>
      <c r="B914" s="39">
        <f>+B913*AIU</f>
        <v>3726.1034504506247</v>
      </c>
      <c r="C914" s="589"/>
      <c r="D914" s="31"/>
      <c r="E914" s="170"/>
      <c r="F914" s="590"/>
      <c r="G914" s="590"/>
      <c r="H914" s="590"/>
      <c r="I914" s="590"/>
    </row>
    <row r="915" spans="1:9">
      <c r="A915" s="587" t="s">
        <v>191</v>
      </c>
      <c r="B915" s="39">
        <f>SUM(B913:B914)</f>
        <v>16326.103450450624</v>
      </c>
      <c r="C915" s="591" t="s">
        <v>94</v>
      </c>
      <c r="D915" s="13"/>
      <c r="E915" s="170"/>
      <c r="F915" s="170"/>
      <c r="G915" s="170"/>
      <c r="H915" s="170"/>
      <c r="I915" s="170"/>
    </row>
    <row r="916" spans="1:9">
      <c r="A916" s="596"/>
      <c r="B916" s="597"/>
      <c r="C916" s="598"/>
      <c r="D916" s="596"/>
      <c r="E916" s="599"/>
      <c r="F916" s="599"/>
      <c r="G916" s="599"/>
      <c r="H916" s="599"/>
      <c r="I916" s="599"/>
    </row>
    <row r="917" spans="1:9">
      <c r="A917" s="594" t="s">
        <v>441</v>
      </c>
      <c r="B917" s="3547" t="s">
        <v>3648</v>
      </c>
      <c r="C917" s="3548"/>
      <c r="D917" s="3548"/>
      <c r="E917" s="3548"/>
      <c r="F917" s="3548"/>
      <c r="G917" s="3548"/>
      <c r="H917" s="3548"/>
      <c r="I917" s="3549"/>
    </row>
    <row r="918" spans="1:9">
      <c r="A918" s="243" t="s">
        <v>1520</v>
      </c>
      <c r="B918" s="179" t="s">
        <v>1521</v>
      </c>
      <c r="C918" s="583" t="s">
        <v>140</v>
      </c>
      <c r="D918" s="243" t="s">
        <v>343</v>
      </c>
      <c r="E918" s="584" t="s">
        <v>344</v>
      </c>
      <c r="F918" s="65" t="s">
        <v>482</v>
      </c>
      <c r="G918" s="65" t="s">
        <v>483</v>
      </c>
      <c r="H918" s="65" t="s">
        <v>232</v>
      </c>
      <c r="I918" s="65" t="s">
        <v>171</v>
      </c>
    </row>
    <row r="919" spans="1:9">
      <c r="A919" s="530" t="s">
        <v>1675</v>
      </c>
      <c r="B919" s="531" t="s">
        <v>1676</v>
      </c>
      <c r="C919" s="589">
        <v>3</v>
      </c>
      <c r="D919" s="6" t="s">
        <v>94</v>
      </c>
      <c r="E919" s="585">
        <f>VLOOKUP(B919,MATERIALES!B:C,2,0)</f>
        <v>8220</v>
      </c>
      <c r="F919" s="585"/>
      <c r="G919" s="585">
        <f>+C919*E919</f>
        <v>24660</v>
      </c>
      <c r="H919" s="585"/>
      <c r="I919" s="585"/>
    </row>
    <row r="920" spans="1:9">
      <c r="A920" s="530" t="s">
        <v>1693</v>
      </c>
      <c r="B920" s="531" t="s">
        <v>1694</v>
      </c>
      <c r="C920" s="589">
        <v>1</v>
      </c>
      <c r="D920" s="6" t="s">
        <v>94</v>
      </c>
      <c r="E920" s="585">
        <f>VLOOKUP(B920,MATERIALES!B:C,2,0)</f>
        <v>15050</v>
      </c>
      <c r="F920" s="585"/>
      <c r="G920" s="585">
        <f>+C920*E920</f>
        <v>15050</v>
      </c>
      <c r="H920" s="585"/>
      <c r="I920" s="585"/>
    </row>
    <row r="921" spans="1:9">
      <c r="A921" s="530" t="s">
        <v>2253</v>
      </c>
      <c r="B921" s="534" t="s">
        <v>2254</v>
      </c>
      <c r="C921" s="589">
        <v>1</v>
      </c>
      <c r="D921" s="6" t="s">
        <v>94</v>
      </c>
      <c r="E921" s="585">
        <f>VLOOKUP(B921,MATERIALES!B:C,2,0)</f>
        <v>9772.9999999999982</v>
      </c>
      <c r="F921" s="585"/>
      <c r="G921" s="585">
        <f>+C921*E921</f>
        <v>9772.9999999999982</v>
      </c>
      <c r="H921" s="585"/>
      <c r="I921" s="585"/>
    </row>
    <row r="922" spans="1:9">
      <c r="A922" s="2" t="s">
        <v>584</v>
      </c>
      <c r="B922" s="180" t="s">
        <v>2236</v>
      </c>
      <c r="C922" s="600">
        <v>8.0000000000000002E-3</v>
      </c>
      <c r="D922" s="2" t="s">
        <v>583</v>
      </c>
      <c r="E922" s="585">
        <f>VLOOKUP(B922,MATERIALES!B:C,2,0)</f>
        <v>750000</v>
      </c>
      <c r="F922" s="585"/>
      <c r="G922" s="585"/>
      <c r="H922" s="585"/>
      <c r="I922" s="585">
        <f>C922*E922</f>
        <v>6000</v>
      </c>
    </row>
    <row r="923" spans="1:9">
      <c r="A923" s="587" t="s">
        <v>190</v>
      </c>
      <c r="B923" s="588">
        <f>SUM(G923:I923)</f>
        <v>55483</v>
      </c>
      <c r="C923" s="583"/>
      <c r="D923" s="169"/>
      <c r="E923" s="585"/>
      <c r="F923" s="65">
        <v>0</v>
      </c>
      <c r="G923" s="65">
        <f>SUM(G919:G921)</f>
        <v>49483</v>
      </c>
      <c r="H923" s="65">
        <f>SUM(H922:H922)</f>
        <v>0</v>
      </c>
      <c r="I923" s="65">
        <f>SUM(I922:I922)</f>
        <v>6000</v>
      </c>
    </row>
    <row r="924" spans="1:9">
      <c r="A924" s="21" t="s">
        <v>3708</v>
      </c>
      <c r="B924" s="39">
        <f>+B923*AIU</f>
        <v>16407.571249313653</v>
      </c>
      <c r="C924" s="589"/>
      <c r="D924" s="31"/>
      <c r="E924" s="170"/>
      <c r="F924" s="590"/>
      <c r="G924" s="590"/>
      <c r="H924" s="590"/>
      <c r="I924" s="590"/>
    </row>
    <row r="925" spans="1:9">
      <c r="A925" s="587" t="s">
        <v>191</v>
      </c>
      <c r="B925" s="39">
        <f>SUM(B923:B924)</f>
        <v>71890.571249313653</v>
      </c>
      <c r="C925" s="591" t="s">
        <v>94</v>
      </c>
      <c r="D925" s="13"/>
      <c r="E925" s="170"/>
      <c r="F925" s="170"/>
      <c r="G925" s="170"/>
      <c r="H925" s="170"/>
      <c r="I925" s="170"/>
    </row>
    <row r="926" spans="1:9">
      <c r="A926" s="596"/>
      <c r="B926" s="597"/>
      <c r="C926" s="598"/>
      <c r="D926" s="596"/>
      <c r="E926" s="599"/>
      <c r="F926" s="599"/>
      <c r="G926" s="599"/>
      <c r="H926" s="599"/>
      <c r="I926" s="599"/>
    </row>
    <row r="927" spans="1:9">
      <c r="A927" s="594" t="s">
        <v>441</v>
      </c>
      <c r="B927" s="3547" t="s">
        <v>1434</v>
      </c>
      <c r="C927" s="3548"/>
      <c r="D927" s="3548"/>
      <c r="E927" s="3548"/>
      <c r="F927" s="3548"/>
      <c r="G927" s="3548"/>
      <c r="H927" s="3548"/>
      <c r="I927" s="3549"/>
    </row>
    <row r="928" spans="1:9">
      <c r="A928" s="243" t="s">
        <v>1520</v>
      </c>
      <c r="B928" s="179" t="s">
        <v>1521</v>
      </c>
      <c r="C928" s="583" t="s">
        <v>140</v>
      </c>
      <c r="D928" s="243" t="s">
        <v>343</v>
      </c>
      <c r="E928" s="584" t="s">
        <v>344</v>
      </c>
      <c r="F928" s="65" t="s">
        <v>482</v>
      </c>
      <c r="G928" s="65" t="s">
        <v>483</v>
      </c>
      <c r="H928" s="65" t="s">
        <v>232</v>
      </c>
      <c r="I928" s="65" t="s">
        <v>171</v>
      </c>
    </row>
    <row r="929" spans="1:9" ht="33.6">
      <c r="A929" s="2" t="s">
        <v>3627</v>
      </c>
      <c r="B929" s="604" t="s">
        <v>1814</v>
      </c>
      <c r="C929" s="589">
        <v>0.05</v>
      </c>
      <c r="D929" s="2" t="s">
        <v>346</v>
      </c>
      <c r="E929" s="585">
        <v>150000</v>
      </c>
      <c r="F929" s="585"/>
      <c r="G929" s="585"/>
      <c r="H929" s="585">
        <f>+C929*E929</f>
        <v>7500</v>
      </c>
      <c r="I929" s="585"/>
    </row>
    <row r="930" spans="1:9">
      <c r="A930" s="243" t="s">
        <v>172</v>
      </c>
      <c r="B930" s="179" t="s">
        <v>189</v>
      </c>
      <c r="C930" s="583">
        <v>1</v>
      </c>
      <c r="D930" s="160" t="s">
        <v>583</v>
      </c>
      <c r="E930" s="585">
        <f>0.05*H929</f>
        <v>375</v>
      </c>
      <c r="F930" s="65"/>
      <c r="G930" s="65"/>
      <c r="H930" s="65"/>
      <c r="I930" s="585">
        <f>C930*E930</f>
        <v>375</v>
      </c>
    </row>
    <row r="931" spans="1:9">
      <c r="A931" s="587" t="s">
        <v>190</v>
      </c>
      <c r="B931" s="588">
        <f>SUM(G931:I931)</f>
        <v>7875</v>
      </c>
      <c r="C931" s="583"/>
      <c r="D931" s="169"/>
      <c r="E931" s="585"/>
      <c r="F931" s="65">
        <v>0</v>
      </c>
      <c r="G931" s="65" t="s">
        <v>441</v>
      </c>
      <c r="H931" s="65">
        <f>SUM(H929:H930)</f>
        <v>7500</v>
      </c>
      <c r="I931" s="65">
        <f>SUM(I930:I930)</f>
        <v>375</v>
      </c>
    </row>
    <row r="932" spans="1:9">
      <c r="A932" s="21" t="s">
        <v>3708</v>
      </c>
      <c r="B932" s="39">
        <f>+B931*AIU</f>
        <v>2328.8146565316406</v>
      </c>
      <c r="C932" s="589"/>
      <c r="D932" s="31"/>
      <c r="E932" s="170"/>
      <c r="F932" s="590"/>
      <c r="G932" s="590"/>
      <c r="H932" s="590"/>
      <c r="I932" s="590"/>
    </row>
    <row r="933" spans="1:9">
      <c r="A933" s="587" t="s">
        <v>191</v>
      </c>
      <c r="B933" s="39">
        <f>SUM(B931:B932)</f>
        <v>10203.81465653164</v>
      </c>
      <c r="C933" s="591" t="s">
        <v>94</v>
      </c>
      <c r="D933" s="13"/>
      <c r="E933" s="170"/>
      <c r="F933" s="170"/>
      <c r="G933" s="170"/>
      <c r="H933" s="170"/>
      <c r="I933" s="170"/>
    </row>
    <row r="934" spans="1:9">
      <c r="A934" s="596"/>
      <c r="B934" s="597"/>
      <c r="C934" s="598"/>
      <c r="D934" s="596"/>
      <c r="E934" s="599"/>
      <c r="F934" s="599"/>
      <c r="G934" s="599"/>
      <c r="H934" s="599"/>
      <c r="I934" s="599"/>
    </row>
    <row r="935" spans="1:9">
      <c r="A935" s="594" t="s">
        <v>441</v>
      </c>
      <c r="B935" s="3547" t="s">
        <v>3649</v>
      </c>
      <c r="C935" s="3548"/>
      <c r="D935" s="3548"/>
      <c r="E935" s="3548"/>
      <c r="F935" s="3548"/>
      <c r="G935" s="3548"/>
      <c r="H935" s="3548"/>
      <c r="I935" s="3549"/>
    </row>
    <row r="936" spans="1:9">
      <c r="A936" s="243" t="s">
        <v>1520</v>
      </c>
      <c r="B936" s="179" t="s">
        <v>1521</v>
      </c>
      <c r="C936" s="583" t="s">
        <v>140</v>
      </c>
      <c r="D936" s="243" t="s">
        <v>343</v>
      </c>
      <c r="E936" s="584" t="s">
        <v>344</v>
      </c>
      <c r="F936" s="65" t="s">
        <v>482</v>
      </c>
      <c r="G936" s="65" t="s">
        <v>483</v>
      </c>
      <c r="H936" s="65" t="s">
        <v>232</v>
      </c>
      <c r="I936" s="65" t="s">
        <v>171</v>
      </c>
    </row>
    <row r="937" spans="1:9">
      <c r="A937" s="530" t="s">
        <v>1679</v>
      </c>
      <c r="B937" s="531" t="s">
        <v>1680</v>
      </c>
      <c r="C937" s="589">
        <v>3</v>
      </c>
      <c r="D937" s="6" t="s">
        <v>94</v>
      </c>
      <c r="E937" s="585">
        <f>VLOOKUP(B937,MATERIALES!B:C,2,0)</f>
        <v>2139.04</v>
      </c>
      <c r="F937" s="585"/>
      <c r="G937" s="585">
        <f>+C937*E937</f>
        <v>6417.12</v>
      </c>
      <c r="H937" s="585"/>
      <c r="I937" s="585"/>
    </row>
    <row r="938" spans="1:9">
      <c r="A938" s="530" t="s">
        <v>1677</v>
      </c>
      <c r="B938" s="531" t="s">
        <v>1678</v>
      </c>
      <c r="C938" s="589">
        <v>1</v>
      </c>
      <c r="D938" s="6" t="s">
        <v>94</v>
      </c>
      <c r="E938" s="585">
        <f>VLOOKUP(B938,MATERIALES!B:C,2,0)</f>
        <v>1508</v>
      </c>
      <c r="F938" s="585"/>
      <c r="G938" s="585">
        <f>+C938*E938</f>
        <v>1508</v>
      </c>
      <c r="H938" s="585"/>
      <c r="I938" s="585"/>
    </row>
    <row r="939" spans="1:9">
      <c r="A939" s="530" t="s">
        <v>2251</v>
      </c>
      <c r="B939" s="534" t="s">
        <v>2252</v>
      </c>
      <c r="C939" s="589">
        <v>1</v>
      </c>
      <c r="D939" s="6" t="s">
        <v>94</v>
      </c>
      <c r="E939" s="585">
        <f>VLOOKUP(B939,MATERIALES!B:C,2,0)</f>
        <v>2400</v>
      </c>
      <c r="F939" s="585"/>
      <c r="G939" s="585">
        <f>+C939*E939</f>
        <v>2400</v>
      </c>
      <c r="H939" s="585"/>
      <c r="I939" s="585"/>
    </row>
    <row r="940" spans="1:9">
      <c r="A940" s="2" t="s">
        <v>584</v>
      </c>
      <c r="B940" s="180" t="s">
        <v>2236</v>
      </c>
      <c r="C940" s="600">
        <v>1E-3</v>
      </c>
      <c r="D940" s="2" t="s">
        <v>583</v>
      </c>
      <c r="E940" s="585">
        <f>VLOOKUP(B940,MATERIALES!B:C,2,0)</f>
        <v>750000</v>
      </c>
      <c r="F940" s="585"/>
      <c r="G940" s="585"/>
      <c r="H940" s="585"/>
      <c r="I940" s="585">
        <f>C940*E940</f>
        <v>750</v>
      </c>
    </row>
    <row r="941" spans="1:9">
      <c r="A941" s="587" t="s">
        <v>190</v>
      </c>
      <c r="B941" s="588">
        <f>SUM(G941:I941)</f>
        <v>11075.119999999999</v>
      </c>
      <c r="C941" s="583"/>
      <c r="D941" s="169"/>
      <c r="E941" s="585"/>
      <c r="F941" s="65">
        <v>0</v>
      </c>
      <c r="G941" s="65">
        <f>SUM(G937:G939)</f>
        <v>10325.119999999999</v>
      </c>
      <c r="H941" s="65">
        <f>SUM(H940:H940)</f>
        <v>0</v>
      </c>
      <c r="I941" s="65">
        <f>SUM(I940:I940)</f>
        <v>750</v>
      </c>
    </row>
    <row r="942" spans="1:9">
      <c r="A942" s="21" t="s">
        <v>3708</v>
      </c>
      <c r="B942" s="39">
        <f>+B941*AIU</f>
        <v>3275.1621306471998</v>
      </c>
      <c r="C942" s="589"/>
      <c r="D942" s="31"/>
      <c r="E942" s="170"/>
      <c r="F942" s="590"/>
      <c r="G942" s="590"/>
      <c r="H942" s="590"/>
      <c r="I942" s="590"/>
    </row>
    <row r="943" spans="1:9">
      <c r="A943" s="587" t="s">
        <v>191</v>
      </c>
      <c r="B943" s="39">
        <f>SUM(B941:B942)</f>
        <v>14350.2821306472</v>
      </c>
      <c r="C943" s="591" t="s">
        <v>94</v>
      </c>
      <c r="D943" s="13"/>
      <c r="E943" s="170"/>
      <c r="F943" s="170"/>
      <c r="G943" s="170"/>
      <c r="H943" s="170"/>
      <c r="I943" s="170"/>
    </row>
    <row r="944" spans="1:9">
      <c r="A944" s="596"/>
      <c r="B944" s="597"/>
      <c r="C944" s="598"/>
      <c r="D944" s="596"/>
      <c r="E944" s="599"/>
      <c r="F944" s="599"/>
      <c r="G944" s="599"/>
      <c r="H944" s="599"/>
      <c r="I944" s="599"/>
    </row>
    <row r="945" spans="1:9">
      <c r="A945" s="594" t="s">
        <v>441</v>
      </c>
      <c r="B945" s="3547" t="s">
        <v>3650</v>
      </c>
      <c r="C945" s="3548"/>
      <c r="D945" s="3548"/>
      <c r="E945" s="3548"/>
      <c r="F945" s="3548"/>
      <c r="G945" s="3548"/>
      <c r="H945" s="3548"/>
      <c r="I945" s="3549"/>
    </row>
    <row r="946" spans="1:9">
      <c r="A946" s="243" t="s">
        <v>1520</v>
      </c>
      <c r="B946" s="179" t="s">
        <v>1521</v>
      </c>
      <c r="C946" s="583" t="s">
        <v>140</v>
      </c>
      <c r="D946" s="243" t="s">
        <v>343</v>
      </c>
      <c r="E946" s="584" t="s">
        <v>344</v>
      </c>
      <c r="F946" s="65" t="s">
        <v>482</v>
      </c>
      <c r="G946" s="65" t="s">
        <v>483</v>
      </c>
      <c r="H946" s="65" t="s">
        <v>232</v>
      </c>
      <c r="I946" s="65" t="s">
        <v>171</v>
      </c>
    </row>
    <row r="947" spans="1:9" ht="33.6">
      <c r="A947" s="2" t="s">
        <v>3627</v>
      </c>
      <c r="B947" s="604" t="s">
        <v>1814</v>
      </c>
      <c r="C947" s="589">
        <v>0.05</v>
      </c>
      <c r="D947" s="2" t="s">
        <v>346</v>
      </c>
      <c r="E947" s="585">
        <v>150000</v>
      </c>
      <c r="F947" s="585"/>
      <c r="G947" s="585"/>
      <c r="H947" s="585">
        <f>+C947*E947</f>
        <v>7500</v>
      </c>
      <c r="I947" s="585"/>
    </row>
    <row r="948" spans="1:9">
      <c r="A948" s="243" t="s">
        <v>172</v>
      </c>
      <c r="B948" s="179" t="s">
        <v>189</v>
      </c>
      <c r="C948" s="583">
        <v>1</v>
      </c>
      <c r="D948" s="160" t="s">
        <v>583</v>
      </c>
      <c r="E948" s="585">
        <f>0.05*H947</f>
        <v>375</v>
      </c>
      <c r="F948" s="65"/>
      <c r="G948" s="65"/>
      <c r="H948" s="65"/>
      <c r="I948" s="585">
        <f>C948*E948</f>
        <v>375</v>
      </c>
    </row>
    <row r="949" spans="1:9">
      <c r="A949" s="587" t="s">
        <v>190</v>
      </c>
      <c r="B949" s="588">
        <f>SUM(G949:I949)</f>
        <v>7875</v>
      </c>
      <c r="C949" s="583"/>
      <c r="D949" s="169"/>
      <c r="E949" s="585"/>
      <c r="F949" s="65">
        <v>0</v>
      </c>
      <c r="G949" s="65" t="s">
        <v>441</v>
      </c>
      <c r="H949" s="65">
        <f>SUM(H947:H948)</f>
        <v>7500</v>
      </c>
      <c r="I949" s="65">
        <f>SUM(I948:I948)</f>
        <v>375</v>
      </c>
    </row>
    <row r="950" spans="1:9">
      <c r="A950" s="21" t="s">
        <v>3708</v>
      </c>
      <c r="B950" s="39">
        <f>+B949*AIU</f>
        <v>2328.8146565316406</v>
      </c>
      <c r="C950" s="589"/>
      <c r="D950" s="31"/>
      <c r="E950" s="170"/>
      <c r="F950" s="590"/>
      <c r="G950" s="590"/>
      <c r="H950" s="590"/>
      <c r="I950" s="590"/>
    </row>
    <row r="951" spans="1:9">
      <c r="A951" s="587" t="s">
        <v>191</v>
      </c>
      <c r="B951" s="39">
        <f>SUM(B949:B950)</f>
        <v>10203.81465653164</v>
      </c>
      <c r="C951" s="591" t="s">
        <v>94</v>
      </c>
      <c r="D951" s="13"/>
      <c r="E951" s="170"/>
      <c r="F951" s="170"/>
      <c r="G951" s="170"/>
      <c r="H951" s="170"/>
      <c r="I951" s="170"/>
    </row>
    <row r="952" spans="1:9">
      <c r="A952" s="596"/>
      <c r="B952" s="597"/>
      <c r="C952" s="598"/>
      <c r="D952" s="596"/>
      <c r="E952" s="599"/>
      <c r="F952" s="599"/>
      <c r="G952" s="599"/>
      <c r="H952" s="599"/>
      <c r="I952" s="599"/>
    </row>
    <row r="953" spans="1:9">
      <c r="A953" s="594" t="s">
        <v>441</v>
      </c>
      <c r="B953" s="3547" t="s">
        <v>3651</v>
      </c>
      <c r="C953" s="3548"/>
      <c r="D953" s="3548"/>
      <c r="E953" s="3548"/>
      <c r="F953" s="3548"/>
      <c r="G953" s="3548"/>
      <c r="H953" s="3548"/>
      <c r="I953" s="3549"/>
    </row>
    <row r="954" spans="1:9">
      <c r="A954" s="243" t="s">
        <v>1520</v>
      </c>
      <c r="B954" s="179" t="s">
        <v>1521</v>
      </c>
      <c r="C954" s="583" t="s">
        <v>140</v>
      </c>
      <c r="D954" s="243" t="s">
        <v>343</v>
      </c>
      <c r="E954" s="584" t="s">
        <v>344</v>
      </c>
      <c r="F954" s="65" t="s">
        <v>482</v>
      </c>
      <c r="G954" s="65" t="s">
        <v>483</v>
      </c>
      <c r="H954" s="65" t="s">
        <v>232</v>
      </c>
      <c r="I954" s="65" t="s">
        <v>171</v>
      </c>
    </row>
    <row r="955" spans="1:9">
      <c r="A955" s="530" t="s">
        <v>1679</v>
      </c>
      <c r="B955" s="531" t="s">
        <v>1680</v>
      </c>
      <c r="C955" s="589">
        <v>3</v>
      </c>
      <c r="D955" s="6" t="s">
        <v>94</v>
      </c>
      <c r="E955" s="585">
        <f>VLOOKUP(B955,MATERIALES!B:C,2,0)</f>
        <v>2139.04</v>
      </c>
      <c r="F955" s="585"/>
      <c r="G955" s="585">
        <f>+C955*E955</f>
        <v>6417.12</v>
      </c>
      <c r="H955" s="585"/>
      <c r="I955" s="585"/>
    </row>
    <row r="956" spans="1:9">
      <c r="A956" s="530" t="s">
        <v>1677</v>
      </c>
      <c r="B956" s="531" t="s">
        <v>1678</v>
      </c>
      <c r="C956" s="589">
        <v>1</v>
      </c>
      <c r="D956" s="6" t="s">
        <v>94</v>
      </c>
      <c r="E956" s="585">
        <f>VLOOKUP(B956,MATERIALES!B:C,2,0)</f>
        <v>1508</v>
      </c>
      <c r="F956" s="585"/>
      <c r="G956" s="585">
        <f>+C956*E956</f>
        <v>1508</v>
      </c>
      <c r="H956" s="585"/>
      <c r="I956" s="585"/>
    </row>
    <row r="957" spans="1:9">
      <c r="A957" s="2" t="s">
        <v>584</v>
      </c>
      <c r="B957" s="180" t="s">
        <v>2236</v>
      </c>
      <c r="C957" s="600">
        <v>7.1428571428571092E-4</v>
      </c>
      <c r="D957" s="2" t="s">
        <v>583</v>
      </c>
      <c r="E957" s="585">
        <f>VLOOKUP(B957,MATERIALES!B:C,2,0)</f>
        <v>750000</v>
      </c>
      <c r="F957" s="585"/>
      <c r="G957" s="585"/>
      <c r="H957" s="585"/>
      <c r="I957" s="585">
        <f>C957*E957</f>
        <v>535.71428571428316</v>
      </c>
    </row>
    <row r="958" spans="1:9">
      <c r="A958" s="587" t="s">
        <v>190</v>
      </c>
      <c r="B958" s="588">
        <f>SUM(G958:I958)</f>
        <v>8460.8342857142834</v>
      </c>
      <c r="C958" s="583"/>
      <c r="D958" s="169"/>
      <c r="E958" s="585"/>
      <c r="F958" s="65">
        <v>0</v>
      </c>
      <c r="G958" s="65">
        <f>SUM(G955:G956)</f>
        <v>7925.12</v>
      </c>
      <c r="H958" s="65">
        <f>SUM(H957:H957)</f>
        <v>0</v>
      </c>
      <c r="I958" s="65">
        <f>SUM(I957:I957)</f>
        <v>535.71428571428316</v>
      </c>
    </row>
    <row r="959" spans="1:9">
      <c r="A959" s="21" t="s">
        <v>3708</v>
      </c>
      <c r="B959" s="39">
        <f>+B958*AIU</f>
        <v>2502.0590337849949</v>
      </c>
      <c r="C959" s="589"/>
      <c r="D959" s="31"/>
      <c r="E959" s="170"/>
      <c r="F959" s="590"/>
      <c r="G959" s="590"/>
      <c r="H959" s="590"/>
      <c r="I959" s="590"/>
    </row>
    <row r="960" spans="1:9">
      <c r="A960" s="587" t="s">
        <v>191</v>
      </c>
      <c r="B960" s="39">
        <f>SUM(B958:B959)</f>
        <v>10962.893319499279</v>
      </c>
      <c r="C960" s="591" t="s">
        <v>94</v>
      </c>
      <c r="D960" s="13"/>
      <c r="E960" s="170"/>
      <c r="F960" s="170"/>
      <c r="G960" s="170"/>
      <c r="H960" s="170"/>
      <c r="I960" s="170"/>
    </row>
    <row r="961" spans="1:9">
      <c r="A961" s="596"/>
      <c r="B961" s="597"/>
      <c r="C961" s="598"/>
      <c r="D961" s="596"/>
      <c r="E961" s="599"/>
      <c r="F961" s="599"/>
      <c r="G961" s="599"/>
      <c r="H961" s="599"/>
      <c r="I961" s="599"/>
    </row>
    <row r="962" spans="1:9">
      <c r="A962" s="594" t="s">
        <v>441</v>
      </c>
      <c r="B962" s="3547" t="s">
        <v>3652</v>
      </c>
      <c r="C962" s="3548"/>
      <c r="D962" s="3548"/>
      <c r="E962" s="3548"/>
      <c r="F962" s="3548"/>
      <c r="G962" s="3548"/>
      <c r="H962" s="3548"/>
      <c r="I962" s="3549"/>
    </row>
    <row r="963" spans="1:9">
      <c r="A963" s="243" t="s">
        <v>1520</v>
      </c>
      <c r="B963" s="179" t="s">
        <v>1521</v>
      </c>
      <c r="C963" s="583" t="s">
        <v>140</v>
      </c>
      <c r="D963" s="243" t="s">
        <v>343</v>
      </c>
      <c r="E963" s="584" t="s">
        <v>344</v>
      </c>
      <c r="F963" s="65" t="s">
        <v>482</v>
      </c>
      <c r="G963" s="65" t="s">
        <v>483</v>
      </c>
      <c r="H963" s="65" t="s">
        <v>232</v>
      </c>
      <c r="I963" s="65" t="s">
        <v>171</v>
      </c>
    </row>
    <row r="964" spans="1:9" ht="33.6">
      <c r="A964" s="2" t="s">
        <v>3627</v>
      </c>
      <c r="B964" s="604" t="s">
        <v>1814</v>
      </c>
      <c r="C964" s="589">
        <v>0.01</v>
      </c>
      <c r="D964" s="2" t="s">
        <v>346</v>
      </c>
      <c r="E964" s="585">
        <v>150000</v>
      </c>
      <c r="F964" s="585"/>
      <c r="G964" s="585"/>
      <c r="H964" s="585">
        <f>+C964*E964</f>
        <v>1500</v>
      </c>
      <c r="I964" s="585"/>
    </row>
    <row r="965" spans="1:9">
      <c r="A965" s="243" t="s">
        <v>172</v>
      </c>
      <c r="B965" s="179" t="s">
        <v>189</v>
      </c>
      <c r="C965" s="583">
        <v>1</v>
      </c>
      <c r="D965" s="160" t="s">
        <v>583</v>
      </c>
      <c r="E965" s="585">
        <f>0.05*H964</f>
        <v>75</v>
      </c>
      <c r="F965" s="65"/>
      <c r="G965" s="65"/>
      <c r="H965" s="65"/>
      <c r="I965" s="585">
        <f>C965*E965</f>
        <v>75</v>
      </c>
    </row>
    <row r="966" spans="1:9">
      <c r="A966" s="587" t="s">
        <v>190</v>
      </c>
      <c r="B966" s="588">
        <f>SUM(G966:I966)</f>
        <v>1575</v>
      </c>
      <c r="C966" s="583"/>
      <c r="D966" s="169"/>
      <c r="E966" s="585"/>
      <c r="F966" s="65">
        <v>0</v>
      </c>
      <c r="G966" s="65" t="s">
        <v>441</v>
      </c>
      <c r="H966" s="65">
        <f>SUM(H964:H965)</f>
        <v>1500</v>
      </c>
      <c r="I966" s="65">
        <f>SUM(I965:I965)</f>
        <v>75</v>
      </c>
    </row>
    <row r="967" spans="1:9">
      <c r="A967" s="21" t="s">
        <v>3708</v>
      </c>
      <c r="B967" s="39">
        <f>+B966*AIU</f>
        <v>465.76293130632808</v>
      </c>
      <c r="C967" s="589"/>
      <c r="D967" s="31"/>
      <c r="E967" s="170"/>
      <c r="F967" s="590"/>
      <c r="G967" s="590"/>
      <c r="H967" s="590"/>
      <c r="I967" s="590"/>
    </row>
    <row r="968" spans="1:9">
      <c r="A968" s="587" t="s">
        <v>191</v>
      </c>
      <c r="B968" s="39">
        <f>SUM(B966:B967)</f>
        <v>2040.762931306328</v>
      </c>
      <c r="C968" s="591" t="s">
        <v>94</v>
      </c>
      <c r="D968" s="13"/>
      <c r="E968" s="170"/>
      <c r="F968" s="170"/>
      <c r="G968" s="170"/>
      <c r="H968" s="170"/>
      <c r="I968" s="170"/>
    </row>
    <row r="969" spans="1:9">
      <c r="A969" s="596"/>
      <c r="B969" s="597"/>
      <c r="C969" s="598"/>
      <c r="D969" s="596"/>
      <c r="E969" s="599"/>
      <c r="F969" s="599"/>
      <c r="G969" s="599"/>
      <c r="H969" s="599"/>
      <c r="I969" s="599"/>
    </row>
    <row r="970" spans="1:9">
      <c r="A970" s="594" t="s">
        <v>441</v>
      </c>
      <c r="B970" s="3547" t="s">
        <v>3653</v>
      </c>
      <c r="C970" s="3548"/>
      <c r="D970" s="3548"/>
      <c r="E970" s="3548"/>
      <c r="F970" s="3548"/>
      <c r="G970" s="3548"/>
      <c r="H970" s="3548"/>
      <c r="I970" s="3549"/>
    </row>
    <row r="971" spans="1:9">
      <c r="A971" s="243" t="s">
        <v>1520</v>
      </c>
      <c r="B971" s="179" t="s">
        <v>1521</v>
      </c>
      <c r="C971" s="583" t="s">
        <v>140</v>
      </c>
      <c r="D971" s="243" t="s">
        <v>343</v>
      </c>
      <c r="E971" s="584" t="s">
        <v>344</v>
      </c>
      <c r="F971" s="65" t="s">
        <v>482</v>
      </c>
      <c r="G971" s="65" t="s">
        <v>483</v>
      </c>
      <c r="H971" s="65" t="s">
        <v>232</v>
      </c>
      <c r="I971" s="65" t="s">
        <v>171</v>
      </c>
    </row>
    <row r="972" spans="1:9">
      <c r="A972" s="530" t="s">
        <v>1679</v>
      </c>
      <c r="B972" s="531" t="s">
        <v>1680</v>
      </c>
      <c r="C972" s="589">
        <v>1</v>
      </c>
      <c r="D972" s="6" t="s">
        <v>94</v>
      </c>
      <c r="E972" s="585">
        <f>VLOOKUP(B972,MATERIALES!B:C,2,0)</f>
        <v>2139.04</v>
      </c>
      <c r="F972" s="585"/>
      <c r="G972" s="585">
        <f>+C972*E972</f>
        <v>2139.04</v>
      </c>
      <c r="H972" s="585"/>
      <c r="I972" s="585"/>
    </row>
    <row r="973" spans="1:9">
      <c r="A973" s="530" t="s">
        <v>1681</v>
      </c>
      <c r="B973" s="531" t="s">
        <v>1682</v>
      </c>
      <c r="C973" s="589">
        <v>3</v>
      </c>
      <c r="D973" s="6" t="s">
        <v>94</v>
      </c>
      <c r="E973" s="585">
        <f>VLOOKUP(B973,MATERIALES!B:C,2,0)</f>
        <v>3296.72</v>
      </c>
      <c r="F973" s="585"/>
      <c r="G973" s="585">
        <f>+C973*E973</f>
        <v>9890.16</v>
      </c>
      <c r="H973" s="585"/>
      <c r="I973" s="585"/>
    </row>
    <row r="974" spans="1:9">
      <c r="A974" s="530" t="s">
        <v>2245</v>
      </c>
      <c r="B974" s="534" t="s">
        <v>2246</v>
      </c>
      <c r="C974" s="589">
        <v>1</v>
      </c>
      <c r="D974" s="6" t="s">
        <v>94</v>
      </c>
      <c r="E974" s="585">
        <f>VLOOKUP(B974,MATERIALES!B:C,2,0)</f>
        <v>6700</v>
      </c>
      <c r="F974" s="585"/>
      <c r="G974" s="585">
        <f>+C974*E974</f>
        <v>6700</v>
      </c>
      <c r="H974" s="585"/>
      <c r="I974" s="585"/>
    </row>
    <row r="975" spans="1:9">
      <c r="A975" s="2" t="s">
        <v>584</v>
      </c>
      <c r="B975" s="180" t="s">
        <v>2236</v>
      </c>
      <c r="C975" s="600">
        <v>7.1428571428571092E-4</v>
      </c>
      <c r="D975" s="2" t="s">
        <v>583</v>
      </c>
      <c r="E975" s="585">
        <f>VLOOKUP(B975,MATERIALES!B:C,2,0)</f>
        <v>750000</v>
      </c>
      <c r="F975" s="585"/>
      <c r="G975" s="585"/>
      <c r="H975" s="585"/>
      <c r="I975" s="585">
        <f>C975*E975</f>
        <v>535.71428571428316</v>
      </c>
    </row>
    <row r="976" spans="1:9">
      <c r="A976" s="587" t="s">
        <v>190</v>
      </c>
      <c r="B976" s="588">
        <f>SUM(G976:I976)</f>
        <v>19264.914285714283</v>
      </c>
      <c r="C976" s="583"/>
      <c r="D976" s="169"/>
      <c r="E976" s="585"/>
      <c r="F976" s="65">
        <v>0</v>
      </c>
      <c r="G976" s="65">
        <f>SUM(G972:G974)</f>
        <v>18729.2</v>
      </c>
      <c r="H976" s="65">
        <f>SUM(H975:H975)</f>
        <v>0</v>
      </c>
      <c r="I976" s="65">
        <f>SUM(I975:I975)</f>
        <v>535.71428571428316</v>
      </c>
    </row>
    <row r="977" spans="1:9">
      <c r="A977" s="21" t="s">
        <v>3708</v>
      </c>
      <c r="B977" s="39">
        <f>+B976*AIU</f>
        <v>5697.068539098057</v>
      </c>
      <c r="C977" s="589"/>
      <c r="D977" s="31"/>
      <c r="E977" s="170"/>
      <c r="F977" s="590"/>
      <c r="G977" s="590"/>
      <c r="H977" s="590"/>
      <c r="I977" s="590"/>
    </row>
    <row r="978" spans="1:9">
      <c r="A978" s="587" t="s">
        <v>191</v>
      </c>
      <c r="B978" s="39">
        <f>SUM(B976:B977)</f>
        <v>24961.982824812341</v>
      </c>
      <c r="C978" s="591" t="s">
        <v>94</v>
      </c>
      <c r="D978" s="13"/>
      <c r="E978" s="170"/>
      <c r="F978" s="170"/>
      <c r="G978" s="170"/>
      <c r="H978" s="170"/>
      <c r="I978" s="170"/>
    </row>
    <row r="979" spans="1:9">
      <c r="A979" s="596"/>
      <c r="B979" s="597"/>
      <c r="C979" s="598"/>
      <c r="D979" s="596"/>
      <c r="E979" s="599"/>
      <c r="F979" s="599"/>
      <c r="G979" s="599"/>
      <c r="H979" s="599"/>
      <c r="I979" s="599"/>
    </row>
    <row r="980" spans="1:9">
      <c r="A980" s="594" t="s">
        <v>441</v>
      </c>
      <c r="B980" s="3547" t="s">
        <v>3654</v>
      </c>
      <c r="C980" s="3548"/>
      <c r="D980" s="3548"/>
      <c r="E980" s="3548"/>
      <c r="F980" s="3548"/>
      <c r="G980" s="3548"/>
      <c r="H980" s="3548"/>
      <c r="I980" s="3549"/>
    </row>
    <row r="981" spans="1:9">
      <c r="A981" s="243" t="s">
        <v>1520</v>
      </c>
      <c r="B981" s="179" t="s">
        <v>1521</v>
      </c>
      <c r="C981" s="583" t="s">
        <v>140</v>
      </c>
      <c r="D981" s="243" t="s">
        <v>343</v>
      </c>
      <c r="E981" s="584" t="s">
        <v>344</v>
      </c>
      <c r="F981" s="65" t="s">
        <v>482</v>
      </c>
      <c r="G981" s="65" t="s">
        <v>483</v>
      </c>
      <c r="H981" s="65" t="s">
        <v>232</v>
      </c>
      <c r="I981" s="65" t="s">
        <v>171</v>
      </c>
    </row>
    <row r="982" spans="1:9" ht="33.6">
      <c r="A982" s="2" t="s">
        <v>3627</v>
      </c>
      <c r="B982" s="604" t="s">
        <v>1814</v>
      </c>
      <c r="C982" s="589">
        <v>0.05</v>
      </c>
      <c r="D982" s="2" t="s">
        <v>346</v>
      </c>
      <c r="E982" s="585">
        <v>150000</v>
      </c>
      <c r="F982" s="585"/>
      <c r="G982" s="585"/>
      <c r="H982" s="585">
        <f>+C982*E982</f>
        <v>7500</v>
      </c>
      <c r="I982" s="585"/>
    </row>
    <row r="983" spans="1:9">
      <c r="A983" s="243" t="s">
        <v>172</v>
      </c>
      <c r="B983" s="179" t="s">
        <v>189</v>
      </c>
      <c r="C983" s="583">
        <v>1</v>
      </c>
      <c r="D983" s="160" t="s">
        <v>583</v>
      </c>
      <c r="E983" s="585">
        <f>0.05*H982</f>
        <v>375</v>
      </c>
      <c r="F983" s="65"/>
      <c r="G983" s="65"/>
      <c r="H983" s="65"/>
      <c r="I983" s="585">
        <f>C983*E983</f>
        <v>375</v>
      </c>
    </row>
    <row r="984" spans="1:9">
      <c r="A984" s="587" t="s">
        <v>190</v>
      </c>
      <c r="B984" s="588">
        <f>SUM(G984:I984)</f>
        <v>7875</v>
      </c>
      <c r="C984" s="583"/>
      <c r="D984" s="169"/>
      <c r="E984" s="585"/>
      <c r="F984" s="65">
        <v>0</v>
      </c>
      <c r="G984" s="65" t="s">
        <v>441</v>
      </c>
      <c r="H984" s="65">
        <f>SUM(H982:H983)</f>
        <v>7500</v>
      </c>
      <c r="I984" s="65">
        <f>SUM(I983:I983)</f>
        <v>375</v>
      </c>
    </row>
    <row r="985" spans="1:9">
      <c r="A985" s="21" t="s">
        <v>3708</v>
      </c>
      <c r="B985" s="39">
        <f>+B984*AIU</f>
        <v>2328.8146565316406</v>
      </c>
      <c r="C985" s="589"/>
      <c r="D985" s="31"/>
      <c r="E985" s="170"/>
      <c r="F985" s="590"/>
      <c r="G985" s="590"/>
      <c r="H985" s="590"/>
      <c r="I985" s="590"/>
    </row>
    <row r="986" spans="1:9">
      <c r="A986" s="587" t="s">
        <v>191</v>
      </c>
      <c r="B986" s="39">
        <f>SUM(B984:B985)</f>
        <v>10203.81465653164</v>
      </c>
      <c r="C986" s="591" t="s">
        <v>94</v>
      </c>
      <c r="D986" s="13"/>
      <c r="E986" s="170"/>
      <c r="F986" s="170"/>
      <c r="G986" s="170"/>
      <c r="H986" s="170"/>
      <c r="I986" s="170"/>
    </row>
    <row r="987" spans="1:9">
      <c r="A987" s="596"/>
      <c r="B987" s="597"/>
      <c r="C987" s="598"/>
      <c r="D987" s="596"/>
      <c r="E987" s="599"/>
      <c r="F987" s="599"/>
      <c r="G987" s="599"/>
      <c r="H987" s="599"/>
      <c r="I987" s="599"/>
    </row>
    <row r="988" spans="1:9">
      <c r="A988" s="594" t="s">
        <v>441</v>
      </c>
      <c r="B988" s="3547" t="s">
        <v>3655</v>
      </c>
      <c r="C988" s="3548"/>
      <c r="D988" s="3548"/>
      <c r="E988" s="3548"/>
      <c r="F988" s="3548"/>
      <c r="G988" s="3548"/>
      <c r="H988" s="3548"/>
      <c r="I988" s="3549"/>
    </row>
    <row r="989" spans="1:9">
      <c r="A989" s="243" t="s">
        <v>1520</v>
      </c>
      <c r="B989" s="179" t="s">
        <v>1521</v>
      </c>
      <c r="C989" s="583" t="s">
        <v>140</v>
      </c>
      <c r="D989" s="243" t="s">
        <v>343</v>
      </c>
      <c r="E989" s="584" t="s">
        <v>344</v>
      </c>
      <c r="F989" s="65" t="s">
        <v>482</v>
      </c>
      <c r="G989" s="65" t="s">
        <v>483</v>
      </c>
      <c r="H989" s="65" t="s">
        <v>232</v>
      </c>
      <c r="I989" s="65" t="s">
        <v>171</v>
      </c>
    </row>
    <row r="990" spans="1:9" ht="26.4">
      <c r="A990" s="530" t="s">
        <v>1685</v>
      </c>
      <c r="B990" s="531" t="s">
        <v>1686</v>
      </c>
      <c r="C990" s="589">
        <v>3</v>
      </c>
      <c r="D990" s="6" t="s">
        <v>94</v>
      </c>
      <c r="E990" s="585">
        <f>VLOOKUP(B990,MATERIALES!B:C,2,0)</f>
        <v>736.59999999999991</v>
      </c>
      <c r="F990" s="585"/>
      <c r="G990" s="585">
        <f>+C990*E990</f>
        <v>2209.7999999999997</v>
      </c>
      <c r="H990" s="585"/>
      <c r="I990" s="585"/>
    </row>
    <row r="991" spans="1:9">
      <c r="A991" s="530" t="s">
        <v>1677</v>
      </c>
      <c r="B991" s="531" t="s">
        <v>1678</v>
      </c>
      <c r="C991" s="589">
        <v>3</v>
      </c>
      <c r="D991" s="6" t="s">
        <v>94</v>
      </c>
      <c r="E991" s="585">
        <f>VLOOKUP(B991,MATERIALES!B:C,2,0)</f>
        <v>1508</v>
      </c>
      <c r="F991" s="585"/>
      <c r="G991" s="585">
        <f>+C991*E991</f>
        <v>4524</v>
      </c>
      <c r="H991" s="585"/>
      <c r="I991" s="585"/>
    </row>
    <row r="992" spans="1:9">
      <c r="A992" s="530" t="s">
        <v>2251</v>
      </c>
      <c r="B992" s="534" t="s">
        <v>2252</v>
      </c>
      <c r="C992" s="589">
        <v>1</v>
      </c>
      <c r="D992" s="6" t="s">
        <v>94</v>
      </c>
      <c r="E992" s="585">
        <f>VLOOKUP(B992,MATERIALES!B:C,2,0)</f>
        <v>2400</v>
      </c>
      <c r="F992" s="585"/>
      <c r="G992" s="585">
        <f>+C992*E992</f>
        <v>2400</v>
      </c>
      <c r="H992" s="585"/>
      <c r="I992" s="585"/>
    </row>
    <row r="993" spans="1:9">
      <c r="A993" s="2" t="s">
        <v>584</v>
      </c>
      <c r="B993" s="180" t="s">
        <v>2236</v>
      </c>
      <c r="C993" s="600">
        <v>7.1428571428571092E-4</v>
      </c>
      <c r="D993" s="2" t="s">
        <v>583</v>
      </c>
      <c r="E993" s="585">
        <f>VLOOKUP(B993,MATERIALES!B:C,2,0)</f>
        <v>750000</v>
      </c>
      <c r="F993" s="585"/>
      <c r="G993" s="585"/>
      <c r="H993" s="585"/>
      <c r="I993" s="585">
        <f>C993*E993</f>
        <v>535.71428571428316</v>
      </c>
    </row>
    <row r="994" spans="1:9">
      <c r="A994" s="587" t="s">
        <v>190</v>
      </c>
      <c r="B994" s="588">
        <f>SUM(G994:I994)</f>
        <v>9669.5142857142819</v>
      </c>
      <c r="C994" s="583"/>
      <c r="D994" s="169"/>
      <c r="E994" s="585"/>
      <c r="F994" s="65">
        <v>0</v>
      </c>
      <c r="G994" s="65">
        <f>SUM(G990:G992)</f>
        <v>9133.7999999999993</v>
      </c>
      <c r="H994" s="65">
        <f>SUM(H993:H993)</f>
        <v>0</v>
      </c>
      <c r="I994" s="65">
        <f>SUM(I993:I993)</f>
        <v>535.71428571428316</v>
      </c>
    </row>
    <row r="995" spans="1:9">
      <c r="A995" s="21" t="s">
        <v>3708</v>
      </c>
      <c r="B995" s="39">
        <f>+B994*AIU</f>
        <v>2859.4929003318725</v>
      </c>
      <c r="C995" s="589"/>
      <c r="D995" s="31"/>
      <c r="E995" s="170"/>
      <c r="F995" s="590"/>
      <c r="G995" s="590"/>
      <c r="H995" s="590"/>
      <c r="I995" s="590"/>
    </row>
    <row r="996" spans="1:9">
      <c r="A996" s="587" t="s">
        <v>191</v>
      </c>
      <c r="B996" s="39">
        <f>SUM(B994:B995)</f>
        <v>12529.007186046154</v>
      </c>
      <c r="C996" s="591" t="s">
        <v>94</v>
      </c>
      <c r="D996" s="13"/>
      <c r="E996" s="170"/>
      <c r="F996" s="170"/>
      <c r="G996" s="170"/>
      <c r="H996" s="170"/>
      <c r="I996" s="170"/>
    </row>
    <row r="997" spans="1:9">
      <c r="A997" s="596"/>
      <c r="B997" s="597"/>
      <c r="C997" s="598"/>
      <c r="D997" s="596"/>
      <c r="E997" s="599"/>
      <c r="F997" s="599"/>
      <c r="G997" s="599"/>
      <c r="H997" s="599"/>
      <c r="I997" s="599"/>
    </row>
    <row r="998" spans="1:9">
      <c r="A998" s="594" t="s">
        <v>441</v>
      </c>
      <c r="B998" s="3547" t="s">
        <v>3656</v>
      </c>
      <c r="C998" s="3548"/>
      <c r="D998" s="3548"/>
      <c r="E998" s="3548"/>
      <c r="F998" s="3548"/>
      <c r="G998" s="3548"/>
      <c r="H998" s="3548"/>
      <c r="I998" s="3549"/>
    </row>
    <row r="999" spans="1:9">
      <c r="A999" s="243" t="s">
        <v>1520</v>
      </c>
      <c r="B999" s="179" t="s">
        <v>1521</v>
      </c>
      <c r="C999" s="583" t="s">
        <v>140</v>
      </c>
      <c r="D999" s="243" t="s">
        <v>343</v>
      </c>
      <c r="E999" s="584" t="s">
        <v>344</v>
      </c>
      <c r="F999" s="65" t="s">
        <v>482</v>
      </c>
      <c r="G999" s="65" t="s">
        <v>483</v>
      </c>
      <c r="H999" s="65" t="s">
        <v>232</v>
      </c>
      <c r="I999" s="65" t="s">
        <v>171</v>
      </c>
    </row>
    <row r="1000" spans="1:9" ht="33.6">
      <c r="A1000" s="2" t="s">
        <v>3627</v>
      </c>
      <c r="B1000" s="604" t="s">
        <v>1814</v>
      </c>
      <c r="C1000" s="589">
        <v>0.01</v>
      </c>
      <c r="D1000" s="2" t="s">
        <v>346</v>
      </c>
      <c r="E1000" s="585">
        <v>150000</v>
      </c>
      <c r="F1000" s="585"/>
      <c r="G1000" s="585"/>
      <c r="H1000" s="585">
        <f>+C1000*E1000</f>
        <v>1500</v>
      </c>
      <c r="I1000" s="585"/>
    </row>
    <row r="1001" spans="1:9">
      <c r="A1001" s="243" t="s">
        <v>172</v>
      </c>
      <c r="B1001" s="179" t="s">
        <v>189</v>
      </c>
      <c r="C1001" s="583">
        <v>1</v>
      </c>
      <c r="D1001" s="160" t="s">
        <v>583</v>
      </c>
      <c r="E1001" s="585">
        <f>0.05*H1000</f>
        <v>75</v>
      </c>
      <c r="F1001" s="65"/>
      <c r="G1001" s="65"/>
      <c r="H1001" s="65"/>
      <c r="I1001" s="585">
        <f>C1001*E1001</f>
        <v>75</v>
      </c>
    </row>
    <row r="1002" spans="1:9">
      <c r="A1002" s="587" t="s">
        <v>190</v>
      </c>
      <c r="B1002" s="588">
        <f>SUM(G1002:I1002)</f>
        <v>1575</v>
      </c>
      <c r="C1002" s="583"/>
      <c r="D1002" s="169"/>
      <c r="E1002" s="585"/>
      <c r="F1002" s="65">
        <v>0</v>
      </c>
      <c r="G1002" s="65" t="s">
        <v>441</v>
      </c>
      <c r="H1002" s="65">
        <f>SUM(H1000:H1001)</f>
        <v>1500</v>
      </c>
      <c r="I1002" s="65">
        <f>SUM(I1001:I1001)</f>
        <v>75</v>
      </c>
    </row>
    <row r="1003" spans="1:9">
      <c r="A1003" s="21" t="s">
        <v>3708</v>
      </c>
      <c r="B1003" s="39">
        <f>+B1002*AIU</f>
        <v>465.76293130632808</v>
      </c>
      <c r="C1003" s="589"/>
      <c r="D1003" s="31"/>
      <c r="E1003" s="170"/>
      <c r="F1003" s="590"/>
      <c r="G1003" s="590"/>
      <c r="H1003" s="590"/>
      <c r="I1003" s="590"/>
    </row>
    <row r="1004" spans="1:9">
      <c r="A1004" s="587" t="s">
        <v>191</v>
      </c>
      <c r="B1004" s="39">
        <f>SUM(B1002:B1003)</f>
        <v>2040.762931306328</v>
      </c>
      <c r="C1004" s="591" t="s">
        <v>94</v>
      </c>
      <c r="D1004" s="13"/>
      <c r="E1004" s="170"/>
      <c r="F1004" s="170"/>
      <c r="G1004" s="170"/>
      <c r="H1004" s="170"/>
      <c r="I1004" s="170"/>
    </row>
    <row r="1005" spans="1:9">
      <c r="A1005" s="596"/>
      <c r="B1005" s="597"/>
      <c r="C1005" s="598"/>
      <c r="D1005" s="596"/>
      <c r="E1005" s="599"/>
      <c r="F1005" s="599"/>
      <c r="G1005" s="599"/>
      <c r="H1005" s="599"/>
      <c r="I1005" s="599"/>
    </row>
    <row r="1006" spans="1:9">
      <c r="A1006" s="594" t="s">
        <v>441</v>
      </c>
      <c r="B1006" s="3547" t="s">
        <v>3657</v>
      </c>
      <c r="C1006" s="3548"/>
      <c r="D1006" s="3548"/>
      <c r="E1006" s="3548"/>
      <c r="F1006" s="3548"/>
      <c r="G1006" s="3548"/>
      <c r="H1006" s="3548"/>
      <c r="I1006" s="3549"/>
    </row>
    <row r="1007" spans="1:9">
      <c r="A1007" s="243" t="s">
        <v>1520</v>
      </c>
      <c r="B1007" s="179" t="s">
        <v>1521</v>
      </c>
      <c r="C1007" s="583" t="s">
        <v>140</v>
      </c>
      <c r="D1007" s="243" t="s">
        <v>343</v>
      </c>
      <c r="E1007" s="584" t="s">
        <v>344</v>
      </c>
      <c r="F1007" s="65" t="s">
        <v>482</v>
      </c>
      <c r="G1007" s="65" t="s">
        <v>483</v>
      </c>
      <c r="H1007" s="65" t="s">
        <v>232</v>
      </c>
      <c r="I1007" s="65" t="s">
        <v>171</v>
      </c>
    </row>
    <row r="1008" spans="1:9">
      <c r="A1008" s="530" t="s">
        <v>1683</v>
      </c>
      <c r="B1008" s="531" t="s">
        <v>1684</v>
      </c>
      <c r="C1008" s="589">
        <v>1</v>
      </c>
      <c r="D1008" s="6" t="s">
        <v>94</v>
      </c>
      <c r="E1008" s="585">
        <f>VLOOKUP(B1008,MATERIALES!B:C,2,0)</f>
        <v>6696.13</v>
      </c>
      <c r="F1008" s="585"/>
      <c r="G1008" s="585">
        <f>+C1008*E1008</f>
        <v>6696.13</v>
      </c>
      <c r="H1008" s="585"/>
      <c r="I1008" s="585"/>
    </row>
    <row r="1009" spans="1:9">
      <c r="A1009" s="530" t="s">
        <v>3658</v>
      </c>
      <c r="B1009" s="531" t="s">
        <v>1676</v>
      </c>
      <c r="C1009" s="589">
        <v>3</v>
      </c>
      <c r="D1009" s="6" t="s">
        <v>94</v>
      </c>
      <c r="E1009" s="585">
        <f>VLOOKUP(B1009,MATERIALES!B:C,2,0)</f>
        <v>8220</v>
      </c>
      <c r="F1009" s="585"/>
      <c r="G1009" s="585">
        <f>+C1009*E1009</f>
        <v>24660</v>
      </c>
      <c r="H1009" s="585"/>
      <c r="I1009" s="585"/>
    </row>
    <row r="1010" spans="1:9">
      <c r="A1010" s="530" t="s">
        <v>2247</v>
      </c>
      <c r="B1010" s="534" t="s">
        <v>2248</v>
      </c>
      <c r="C1010" s="589">
        <v>1</v>
      </c>
      <c r="D1010" s="6" t="s">
        <v>94</v>
      </c>
      <c r="E1010" s="585">
        <f>VLOOKUP(B1010,MATERIALES!B:C,2,0)</f>
        <v>2840</v>
      </c>
      <c r="F1010" s="585"/>
      <c r="G1010" s="585">
        <f>+C1010*E1010</f>
        <v>2840</v>
      </c>
      <c r="H1010" s="585"/>
      <c r="I1010" s="585"/>
    </row>
    <row r="1011" spans="1:9">
      <c r="A1011" s="2" t="s">
        <v>584</v>
      </c>
      <c r="B1011" s="180" t="s">
        <v>2236</v>
      </c>
      <c r="C1011" s="600">
        <v>7.1428571428571092E-4</v>
      </c>
      <c r="D1011" s="2" t="s">
        <v>583</v>
      </c>
      <c r="E1011" s="585">
        <f>VLOOKUP(B1011,MATERIALES!B:C,2,0)</f>
        <v>750000</v>
      </c>
      <c r="F1011" s="585"/>
      <c r="G1011" s="585"/>
      <c r="H1011" s="585"/>
      <c r="I1011" s="585">
        <f>C1011*E1011</f>
        <v>535.71428571428316</v>
      </c>
    </row>
    <row r="1012" spans="1:9">
      <c r="A1012" s="587" t="s">
        <v>190</v>
      </c>
      <c r="B1012" s="588">
        <f>SUM(G1012:I1012)</f>
        <v>34731.844285714287</v>
      </c>
      <c r="C1012" s="583"/>
      <c r="D1012" s="169"/>
      <c r="E1012" s="585"/>
      <c r="F1012" s="65">
        <v>0</v>
      </c>
      <c r="G1012" s="65">
        <f>SUM(G1008:G1010)</f>
        <v>34196.130000000005</v>
      </c>
      <c r="H1012" s="65">
        <f>SUM(H1011:H1011)</f>
        <v>0</v>
      </c>
      <c r="I1012" s="65">
        <f>SUM(I1011:I1011)</f>
        <v>535.71428571428316</v>
      </c>
    </row>
    <row r="1013" spans="1:9">
      <c r="A1013" s="21" t="s">
        <v>3708</v>
      </c>
      <c r="B1013" s="39">
        <f>+B1012*AIU</f>
        <v>10270.987685199509</v>
      </c>
      <c r="C1013" s="589"/>
      <c r="D1013" s="31"/>
      <c r="E1013" s="170"/>
      <c r="F1013" s="590"/>
      <c r="G1013" s="590"/>
      <c r="H1013" s="590"/>
      <c r="I1013" s="590"/>
    </row>
    <row r="1014" spans="1:9">
      <c r="A1014" s="587" t="s">
        <v>191</v>
      </c>
      <c r="B1014" s="39">
        <f>SUM(B1012:B1013)</f>
        <v>45002.831970913794</v>
      </c>
      <c r="C1014" s="591" t="s">
        <v>94</v>
      </c>
      <c r="D1014" s="13"/>
      <c r="E1014" s="170"/>
      <c r="F1014" s="170"/>
      <c r="G1014" s="170"/>
      <c r="H1014" s="170"/>
      <c r="I1014" s="170"/>
    </row>
    <row r="1015" spans="1:9">
      <c r="A1015" s="596"/>
      <c r="B1015" s="597"/>
      <c r="C1015" s="598"/>
      <c r="D1015" s="596"/>
      <c r="E1015" s="599"/>
      <c r="F1015" s="599"/>
      <c r="G1015" s="599"/>
      <c r="H1015" s="599"/>
      <c r="I1015" s="599"/>
    </row>
    <row r="1016" spans="1:9">
      <c r="A1016" s="594" t="s">
        <v>441</v>
      </c>
      <c r="B1016" s="3547" t="s">
        <v>3659</v>
      </c>
      <c r="C1016" s="3548"/>
      <c r="D1016" s="3548"/>
      <c r="E1016" s="3548"/>
      <c r="F1016" s="3548"/>
      <c r="G1016" s="3548"/>
      <c r="H1016" s="3548"/>
      <c r="I1016" s="3549"/>
    </row>
    <row r="1017" spans="1:9">
      <c r="A1017" s="243" t="s">
        <v>1520</v>
      </c>
      <c r="B1017" s="179" t="s">
        <v>1521</v>
      </c>
      <c r="C1017" s="583" t="s">
        <v>140</v>
      </c>
      <c r="D1017" s="243" t="s">
        <v>343</v>
      </c>
      <c r="E1017" s="584" t="s">
        <v>344</v>
      </c>
      <c r="F1017" s="65" t="s">
        <v>482</v>
      </c>
      <c r="G1017" s="65" t="s">
        <v>483</v>
      </c>
      <c r="H1017" s="65" t="s">
        <v>232</v>
      </c>
      <c r="I1017" s="65" t="s">
        <v>171</v>
      </c>
    </row>
    <row r="1018" spans="1:9" ht="33.6">
      <c r="A1018" s="2" t="s">
        <v>3627</v>
      </c>
      <c r="B1018" s="604" t="s">
        <v>1814</v>
      </c>
      <c r="C1018" s="589">
        <v>0.03</v>
      </c>
      <c r="D1018" s="2" t="s">
        <v>346</v>
      </c>
      <c r="E1018" s="585">
        <v>150000</v>
      </c>
      <c r="F1018" s="585"/>
      <c r="G1018" s="585"/>
      <c r="H1018" s="585">
        <f>+C1018*E1018</f>
        <v>4500</v>
      </c>
      <c r="I1018" s="585"/>
    </row>
    <row r="1019" spans="1:9">
      <c r="A1019" s="243" t="s">
        <v>172</v>
      </c>
      <c r="B1019" s="179" t="s">
        <v>189</v>
      </c>
      <c r="C1019" s="583">
        <v>1</v>
      </c>
      <c r="D1019" s="160" t="s">
        <v>583</v>
      </c>
      <c r="E1019" s="585">
        <f>0.05*H1018</f>
        <v>225</v>
      </c>
      <c r="F1019" s="65"/>
      <c r="G1019" s="65"/>
      <c r="H1019" s="65"/>
      <c r="I1019" s="585">
        <f>C1019*E1019</f>
        <v>225</v>
      </c>
    </row>
    <row r="1020" spans="1:9">
      <c r="A1020" s="587" t="s">
        <v>190</v>
      </c>
      <c r="B1020" s="588">
        <f>SUM(G1020:I1020)</f>
        <v>4725</v>
      </c>
      <c r="C1020" s="583"/>
      <c r="D1020" s="169"/>
      <c r="E1020" s="585"/>
      <c r="F1020" s="65">
        <v>0</v>
      </c>
      <c r="G1020" s="65" t="s">
        <v>441</v>
      </c>
      <c r="H1020" s="65">
        <f>SUM(H1018:H1019)</f>
        <v>4500</v>
      </c>
      <c r="I1020" s="65">
        <f>SUM(I1019:I1019)</f>
        <v>225</v>
      </c>
    </row>
    <row r="1021" spans="1:9">
      <c r="A1021" s="21" t="s">
        <v>3708</v>
      </c>
      <c r="B1021" s="39">
        <f>+B1020*AIU</f>
        <v>1397.2887939189843</v>
      </c>
      <c r="C1021" s="589"/>
      <c r="D1021" s="31"/>
      <c r="E1021" s="170"/>
      <c r="F1021" s="590"/>
      <c r="G1021" s="590"/>
      <c r="H1021" s="590"/>
      <c r="I1021" s="590"/>
    </row>
    <row r="1022" spans="1:9">
      <c r="A1022" s="587" t="s">
        <v>191</v>
      </c>
      <c r="B1022" s="39">
        <f>SUM(B1020:B1021)</f>
        <v>6122.2887939189841</v>
      </c>
      <c r="C1022" s="591" t="s">
        <v>94</v>
      </c>
      <c r="D1022" s="13"/>
      <c r="E1022" s="170"/>
      <c r="F1022" s="170"/>
      <c r="G1022" s="170"/>
      <c r="H1022" s="170"/>
      <c r="I1022" s="170"/>
    </row>
    <row r="1023" spans="1:9">
      <c r="A1023" s="596"/>
      <c r="B1023" s="597"/>
      <c r="C1023" s="598"/>
      <c r="D1023" s="596"/>
      <c r="E1023" s="599"/>
      <c r="F1023" s="599"/>
      <c r="G1023" s="599"/>
      <c r="H1023" s="599"/>
      <c r="I1023" s="599"/>
    </row>
    <row r="1024" spans="1:9">
      <c r="A1024" s="594" t="s">
        <v>441</v>
      </c>
      <c r="B1024" s="3547" t="s">
        <v>3660</v>
      </c>
      <c r="C1024" s="3548"/>
      <c r="D1024" s="3548"/>
      <c r="E1024" s="3548"/>
      <c r="F1024" s="3548"/>
      <c r="G1024" s="3548"/>
      <c r="H1024" s="3548"/>
      <c r="I1024" s="3549"/>
    </row>
    <row r="1025" spans="1:9">
      <c r="A1025" s="243" t="s">
        <v>1520</v>
      </c>
      <c r="B1025" s="179" t="s">
        <v>1521</v>
      </c>
      <c r="C1025" s="583" t="s">
        <v>140</v>
      </c>
      <c r="D1025" s="243" t="s">
        <v>343</v>
      </c>
      <c r="E1025" s="584" t="s">
        <v>344</v>
      </c>
      <c r="F1025" s="65" t="s">
        <v>482</v>
      </c>
      <c r="G1025" s="65" t="s">
        <v>483</v>
      </c>
      <c r="H1025" s="65" t="s">
        <v>232</v>
      </c>
      <c r="I1025" s="65" t="s">
        <v>171</v>
      </c>
    </row>
    <row r="1026" spans="1:9">
      <c r="A1026" s="530" t="s">
        <v>1701</v>
      </c>
      <c r="B1026" s="534" t="s">
        <v>1709</v>
      </c>
      <c r="C1026" s="589">
        <v>1</v>
      </c>
      <c r="D1026" s="6" t="s">
        <v>94</v>
      </c>
      <c r="E1026" s="585">
        <f>VLOOKUP(B1026,MATERIALES!B:C,2,0)</f>
        <v>6700</v>
      </c>
      <c r="F1026" s="585"/>
      <c r="G1026" s="585">
        <f>+C1026*E1026</f>
        <v>6700</v>
      </c>
      <c r="H1026" s="585"/>
      <c r="I1026" s="585"/>
    </row>
    <row r="1027" spans="1:9">
      <c r="A1027" s="530" t="s">
        <v>2249</v>
      </c>
      <c r="B1027" s="534" t="s">
        <v>2250</v>
      </c>
      <c r="C1027" s="589">
        <v>1</v>
      </c>
      <c r="D1027" s="6" t="s">
        <v>94</v>
      </c>
      <c r="E1027" s="585">
        <f>VLOOKUP(B1027,MATERIALES!B:C,2,0)</f>
        <v>2500</v>
      </c>
      <c r="F1027" s="585"/>
      <c r="G1027" s="585">
        <f>+C1027*E1027</f>
        <v>2500</v>
      </c>
      <c r="H1027" s="585"/>
      <c r="I1027" s="585"/>
    </row>
    <row r="1028" spans="1:9">
      <c r="A1028" s="2" t="s">
        <v>584</v>
      </c>
      <c r="B1028" s="180" t="s">
        <v>2236</v>
      </c>
      <c r="C1028" s="600">
        <v>7.1428571428571092E-4</v>
      </c>
      <c r="D1028" s="2" t="s">
        <v>583</v>
      </c>
      <c r="E1028" s="585">
        <f>VLOOKUP(B1028,MATERIALES!B:C,2,0)</f>
        <v>750000</v>
      </c>
      <c r="F1028" s="585"/>
      <c r="G1028" s="585"/>
      <c r="H1028" s="585"/>
      <c r="I1028" s="585">
        <v>535.71428571428316</v>
      </c>
    </row>
    <row r="1029" spans="1:9">
      <c r="A1029" s="587" t="s">
        <v>190</v>
      </c>
      <c r="B1029" s="588">
        <f>SUM(G1029:I1029)</f>
        <v>9735.7142857142826</v>
      </c>
      <c r="C1029" s="583"/>
      <c r="D1029" s="169"/>
      <c r="E1029" s="585"/>
      <c r="F1029" s="65">
        <v>0</v>
      </c>
      <c r="G1029" s="65">
        <f>SUM(G1026:G1027)</f>
        <v>9200</v>
      </c>
      <c r="H1029" s="65">
        <f>SUM(H1028:H1028)</f>
        <v>0</v>
      </c>
      <c r="I1029" s="65">
        <f>SUM(I1028:I1028)</f>
        <v>535.71428571428316</v>
      </c>
    </row>
    <row r="1030" spans="1:9">
      <c r="A1030" s="21" t="s">
        <v>3708</v>
      </c>
      <c r="B1030" s="39">
        <f>+B1029*AIU</f>
        <v>2879.0697295715418</v>
      </c>
      <c r="C1030" s="589"/>
      <c r="D1030" s="31"/>
      <c r="E1030" s="170"/>
      <c r="F1030" s="590"/>
      <c r="G1030" s="590"/>
      <c r="H1030" s="590"/>
      <c r="I1030" s="590"/>
    </row>
    <row r="1031" spans="1:9">
      <c r="A1031" s="587" t="s">
        <v>191</v>
      </c>
      <c r="B1031" s="39">
        <f>SUM(B1029:B1030)</f>
        <v>12614.784015285824</v>
      </c>
      <c r="C1031" s="591" t="s">
        <v>94</v>
      </c>
      <c r="D1031" s="13"/>
      <c r="E1031" s="170"/>
      <c r="F1031" s="170"/>
      <c r="G1031" s="170"/>
      <c r="H1031" s="170"/>
      <c r="I1031" s="170"/>
    </row>
    <row r="1032" spans="1:9">
      <c r="A1032" s="596"/>
      <c r="B1032" s="597"/>
      <c r="C1032" s="598"/>
      <c r="D1032" s="596"/>
      <c r="E1032" s="599"/>
      <c r="F1032" s="599"/>
      <c r="G1032" s="599"/>
      <c r="H1032" s="599"/>
      <c r="I1032" s="599"/>
    </row>
    <row r="1033" spans="1:9">
      <c r="A1033" s="594" t="s">
        <v>441</v>
      </c>
      <c r="B1033" s="3547" t="s">
        <v>3661</v>
      </c>
      <c r="C1033" s="3548"/>
      <c r="D1033" s="3548"/>
      <c r="E1033" s="3548"/>
      <c r="F1033" s="3548"/>
      <c r="G1033" s="3548"/>
      <c r="H1033" s="3548"/>
      <c r="I1033" s="3549"/>
    </row>
    <row r="1034" spans="1:9">
      <c r="A1034" s="243" t="s">
        <v>1520</v>
      </c>
      <c r="B1034" s="179" t="s">
        <v>1521</v>
      </c>
      <c r="C1034" s="583" t="s">
        <v>140</v>
      </c>
      <c r="D1034" s="243" t="s">
        <v>343</v>
      </c>
      <c r="E1034" s="584" t="s">
        <v>344</v>
      </c>
      <c r="F1034" s="65" t="s">
        <v>482</v>
      </c>
      <c r="G1034" s="65" t="s">
        <v>483</v>
      </c>
      <c r="H1034" s="65" t="s">
        <v>232</v>
      </c>
      <c r="I1034" s="65" t="s">
        <v>171</v>
      </c>
    </row>
    <row r="1035" spans="1:9">
      <c r="A1035" s="530" t="s">
        <v>1701</v>
      </c>
      <c r="B1035" s="534" t="s">
        <v>1709</v>
      </c>
      <c r="C1035" s="589">
        <v>1</v>
      </c>
      <c r="D1035" s="6" t="s">
        <v>94</v>
      </c>
      <c r="E1035" s="585">
        <f>VLOOKUP(B1035,MATERIALES!B:C,2,0)</f>
        <v>6700</v>
      </c>
      <c r="F1035" s="585"/>
      <c r="G1035" s="585">
        <f>+C1035*E1035</f>
        <v>6700</v>
      </c>
      <c r="H1035" s="585"/>
      <c r="I1035" s="585"/>
    </row>
    <row r="1036" spans="1:9">
      <c r="A1036" s="530" t="s">
        <v>2249</v>
      </c>
      <c r="B1036" s="534" t="s">
        <v>2250</v>
      </c>
      <c r="C1036" s="589">
        <v>1</v>
      </c>
      <c r="D1036" s="6" t="s">
        <v>94</v>
      </c>
      <c r="E1036" s="585">
        <f>VLOOKUP(B1036,MATERIALES!B:C,2,0)</f>
        <v>2500</v>
      </c>
      <c r="F1036" s="585"/>
      <c r="G1036" s="585">
        <f>+C1036*E1036</f>
        <v>2500</v>
      </c>
      <c r="H1036" s="585"/>
      <c r="I1036" s="585"/>
    </row>
    <row r="1037" spans="1:9">
      <c r="A1037" s="2" t="s">
        <v>584</v>
      </c>
      <c r="B1037" s="180" t="s">
        <v>2236</v>
      </c>
      <c r="C1037" s="600">
        <v>7.1428571428571092E-4</v>
      </c>
      <c r="D1037" s="2" t="s">
        <v>583</v>
      </c>
      <c r="E1037" s="585">
        <f>VLOOKUP(B1037,MATERIALES!B:C,2,0)</f>
        <v>750000</v>
      </c>
      <c r="F1037" s="585"/>
      <c r="G1037" s="585"/>
      <c r="H1037" s="585"/>
      <c r="I1037" s="585">
        <v>535.71428571428316</v>
      </c>
    </row>
    <row r="1038" spans="1:9">
      <c r="A1038" s="587" t="s">
        <v>190</v>
      </c>
      <c r="B1038" s="588">
        <f>SUM(G1038:I1038)</f>
        <v>9735.7142857142826</v>
      </c>
      <c r="C1038" s="583"/>
      <c r="D1038" s="169"/>
      <c r="E1038" s="585"/>
      <c r="F1038" s="65">
        <v>0</v>
      </c>
      <c r="G1038" s="65">
        <f>SUM(G1035:G1036)</f>
        <v>9200</v>
      </c>
      <c r="H1038" s="65">
        <f>SUM(H1037:H1037)</f>
        <v>0</v>
      </c>
      <c r="I1038" s="65">
        <f>SUM(I1037:I1037)</f>
        <v>535.71428571428316</v>
      </c>
    </row>
    <row r="1039" spans="1:9">
      <c r="A1039" s="21" t="s">
        <v>3708</v>
      </c>
      <c r="B1039" s="39">
        <f>+B1038*AIU</f>
        <v>2879.0697295715418</v>
      </c>
      <c r="C1039" s="589"/>
      <c r="D1039" s="31"/>
      <c r="E1039" s="170"/>
      <c r="F1039" s="590"/>
      <c r="G1039" s="590"/>
      <c r="H1039" s="590"/>
      <c r="I1039" s="590"/>
    </row>
    <row r="1040" spans="1:9">
      <c r="A1040" s="587" t="s">
        <v>191</v>
      </c>
      <c r="B1040" s="39">
        <f>SUM(B1038:B1039)</f>
        <v>12614.784015285824</v>
      </c>
      <c r="C1040" s="591" t="s">
        <v>94</v>
      </c>
      <c r="D1040" s="13"/>
      <c r="E1040" s="170"/>
      <c r="F1040" s="170"/>
      <c r="G1040" s="170"/>
      <c r="H1040" s="170"/>
      <c r="I1040" s="170"/>
    </row>
    <row r="1041" spans="1:9">
      <c r="A1041" s="596"/>
      <c r="B1041" s="597"/>
      <c r="C1041" s="598"/>
      <c r="D1041" s="596"/>
      <c r="E1041" s="599"/>
      <c r="F1041" s="599"/>
      <c r="G1041" s="599"/>
      <c r="H1041" s="599"/>
      <c r="I1041" s="599"/>
    </row>
    <row r="1042" spans="1:9">
      <c r="A1042" s="594" t="s">
        <v>441</v>
      </c>
      <c r="B1042" s="3547" t="s">
        <v>3662</v>
      </c>
      <c r="C1042" s="3548"/>
      <c r="D1042" s="3548"/>
      <c r="E1042" s="3548"/>
      <c r="F1042" s="3548"/>
      <c r="G1042" s="3548"/>
      <c r="H1042" s="3548"/>
      <c r="I1042" s="3549"/>
    </row>
    <row r="1043" spans="1:9">
      <c r="A1043" s="243" t="s">
        <v>1520</v>
      </c>
      <c r="B1043" s="179" t="s">
        <v>1521</v>
      </c>
      <c r="C1043" s="583" t="s">
        <v>140</v>
      </c>
      <c r="D1043" s="243" t="s">
        <v>343</v>
      </c>
      <c r="E1043" s="584" t="s">
        <v>344</v>
      </c>
      <c r="F1043" s="65" t="s">
        <v>482</v>
      </c>
      <c r="G1043" s="65" t="s">
        <v>483</v>
      </c>
      <c r="H1043" s="65" t="s">
        <v>232</v>
      </c>
      <c r="I1043" s="65" t="s">
        <v>171</v>
      </c>
    </row>
    <row r="1044" spans="1:9">
      <c r="A1044" s="530" t="s">
        <v>1707</v>
      </c>
      <c r="B1044" s="534" t="s">
        <v>1708</v>
      </c>
      <c r="C1044" s="589">
        <v>1</v>
      </c>
      <c r="D1044" s="6" t="s">
        <v>94</v>
      </c>
      <c r="E1044" s="585">
        <f>VLOOKUP(B1044,MATERIALES!B:C,2,0)</f>
        <v>5760.79</v>
      </c>
      <c r="F1044" s="585"/>
      <c r="G1044" s="585">
        <f>+C1044*E1044</f>
        <v>5760.79</v>
      </c>
      <c r="H1044" s="585"/>
      <c r="I1044" s="585"/>
    </row>
    <row r="1045" spans="1:9">
      <c r="A1045" s="530" t="s">
        <v>2251</v>
      </c>
      <c r="B1045" s="534" t="s">
        <v>2252</v>
      </c>
      <c r="C1045" s="589">
        <v>1</v>
      </c>
      <c r="D1045" s="6" t="s">
        <v>94</v>
      </c>
      <c r="E1045" s="585">
        <f>VLOOKUP(B1045,MATERIALES!B:C,2,0)</f>
        <v>2400</v>
      </c>
      <c r="F1045" s="585"/>
      <c r="G1045" s="585">
        <f>+C1045*E1045</f>
        <v>2400</v>
      </c>
      <c r="H1045" s="585"/>
      <c r="I1045" s="585"/>
    </row>
    <row r="1046" spans="1:9">
      <c r="A1046" s="2" t="s">
        <v>584</v>
      </c>
      <c r="B1046" s="180" t="s">
        <v>2236</v>
      </c>
      <c r="C1046" s="600">
        <v>1E-3</v>
      </c>
      <c r="D1046" s="2" t="s">
        <v>583</v>
      </c>
      <c r="E1046" s="585">
        <f>VLOOKUP(B1046,MATERIALES!B:C,2,0)</f>
        <v>750000</v>
      </c>
      <c r="F1046" s="585"/>
      <c r="G1046" s="585"/>
      <c r="H1046" s="585"/>
      <c r="I1046" s="585">
        <f>C1046*E1046</f>
        <v>750</v>
      </c>
    </row>
    <row r="1047" spans="1:9">
      <c r="A1047" s="587" t="s">
        <v>190</v>
      </c>
      <c r="B1047" s="588">
        <f>SUM(G1047:I1047)</f>
        <v>8910.7900000000009</v>
      </c>
      <c r="C1047" s="583"/>
      <c r="D1047" s="169"/>
      <c r="E1047" s="585"/>
      <c r="F1047" s="65">
        <v>0</v>
      </c>
      <c r="G1047" s="65">
        <f>SUM(G1044:G1045)</f>
        <v>8160.79</v>
      </c>
      <c r="H1047" s="65">
        <f>SUM(H1046:H1046)</f>
        <v>0</v>
      </c>
      <c r="I1047" s="65">
        <f>SUM(I1046:I1046)</f>
        <v>750</v>
      </c>
    </row>
    <row r="1048" spans="1:9">
      <c r="A1048" s="21" t="s">
        <v>3708</v>
      </c>
      <c r="B1048" s="39">
        <f>+B1047*AIU</f>
        <v>2635.1210607334065</v>
      </c>
      <c r="C1048" s="589"/>
      <c r="D1048" s="31"/>
      <c r="E1048" s="170"/>
      <c r="F1048" s="590"/>
      <c r="G1048" s="590"/>
      <c r="H1048" s="590"/>
      <c r="I1048" s="590"/>
    </row>
    <row r="1049" spans="1:9">
      <c r="A1049" s="587" t="s">
        <v>191</v>
      </c>
      <c r="B1049" s="39">
        <f>SUM(B1047:B1048)</f>
        <v>11545.911060733408</v>
      </c>
      <c r="C1049" s="591" t="s">
        <v>94</v>
      </c>
      <c r="D1049" s="13"/>
      <c r="E1049" s="170"/>
      <c r="F1049" s="170"/>
      <c r="G1049" s="170"/>
      <c r="H1049" s="170"/>
      <c r="I1049" s="170"/>
    </row>
    <row r="1050" spans="1:9">
      <c r="A1050" s="596"/>
      <c r="B1050" s="597"/>
      <c r="C1050" s="598"/>
      <c r="D1050" s="596"/>
      <c r="E1050" s="599"/>
      <c r="F1050" s="599"/>
      <c r="G1050" s="599"/>
      <c r="H1050" s="599"/>
      <c r="I1050" s="599"/>
    </row>
    <row r="1051" spans="1:9">
      <c r="A1051" s="594" t="s">
        <v>441</v>
      </c>
      <c r="B1051" s="3547" t="s">
        <v>3663</v>
      </c>
      <c r="C1051" s="3548"/>
      <c r="D1051" s="3548"/>
      <c r="E1051" s="3548"/>
      <c r="F1051" s="3548"/>
      <c r="G1051" s="3548"/>
      <c r="H1051" s="3548"/>
      <c r="I1051" s="3549"/>
    </row>
    <row r="1052" spans="1:9">
      <c r="A1052" s="243" t="s">
        <v>1520</v>
      </c>
      <c r="B1052" s="179" t="s">
        <v>1521</v>
      </c>
      <c r="C1052" s="583" t="s">
        <v>140</v>
      </c>
      <c r="D1052" s="243" t="s">
        <v>343</v>
      </c>
      <c r="E1052" s="584" t="s">
        <v>344</v>
      </c>
      <c r="F1052" s="65" t="s">
        <v>482</v>
      </c>
      <c r="G1052" s="65" t="s">
        <v>483</v>
      </c>
      <c r="H1052" s="65" t="s">
        <v>232</v>
      </c>
      <c r="I1052" s="65" t="s">
        <v>171</v>
      </c>
    </row>
    <row r="1053" spans="1:9" ht="33.6">
      <c r="A1053" s="2" t="s">
        <v>3627</v>
      </c>
      <c r="B1053" s="604" t="s">
        <v>1814</v>
      </c>
      <c r="C1053" s="589">
        <v>0.03</v>
      </c>
      <c r="D1053" s="2" t="s">
        <v>346</v>
      </c>
      <c r="E1053" s="585">
        <v>150000</v>
      </c>
      <c r="F1053" s="585"/>
      <c r="G1053" s="585"/>
      <c r="H1053" s="585">
        <f>+C1053*E1053</f>
        <v>4500</v>
      </c>
      <c r="I1053" s="585"/>
    </row>
    <row r="1054" spans="1:9">
      <c r="A1054" s="243" t="s">
        <v>172</v>
      </c>
      <c r="B1054" s="179" t="s">
        <v>189</v>
      </c>
      <c r="C1054" s="583">
        <v>1</v>
      </c>
      <c r="D1054" s="160" t="s">
        <v>583</v>
      </c>
      <c r="E1054" s="585">
        <f>0.05*H1053</f>
        <v>225</v>
      </c>
      <c r="F1054" s="65"/>
      <c r="G1054" s="65"/>
      <c r="H1054" s="65"/>
      <c r="I1054" s="65">
        <v>256.6917294117647</v>
      </c>
    </row>
    <row r="1055" spans="1:9">
      <c r="A1055" s="587" t="s">
        <v>190</v>
      </c>
      <c r="B1055" s="588">
        <f>SUM(G1055:I1055)</f>
        <v>4756.6917294117648</v>
      </c>
      <c r="C1055" s="583"/>
      <c r="D1055" s="169"/>
      <c r="E1055" s="585"/>
      <c r="F1055" s="65">
        <v>0</v>
      </c>
      <c r="G1055" s="65" t="s">
        <v>441</v>
      </c>
      <c r="H1055" s="65">
        <f>SUM(H1053:H1054)</f>
        <v>4500</v>
      </c>
      <c r="I1055" s="65">
        <f>SUM(I1054:I1054)</f>
        <v>256.6917294117647</v>
      </c>
    </row>
    <row r="1056" spans="1:9">
      <c r="A1056" s="21" t="s">
        <v>3708</v>
      </c>
      <c r="B1056" s="39">
        <f>+B1055*AIU</f>
        <v>1406.6607512453274</v>
      </c>
      <c r="C1056" s="589"/>
      <c r="D1056" s="31"/>
      <c r="E1056" s="170"/>
      <c r="F1056" s="590"/>
      <c r="G1056" s="590"/>
      <c r="H1056" s="590"/>
      <c r="I1056" s="590"/>
    </row>
    <row r="1057" spans="1:9">
      <c r="A1057" s="587" t="s">
        <v>191</v>
      </c>
      <c r="B1057" s="39">
        <f>SUM(B1055:B1056)</f>
        <v>6163.3524806570922</v>
      </c>
      <c r="C1057" s="591" t="s">
        <v>94</v>
      </c>
      <c r="D1057" s="13"/>
      <c r="E1057" s="170"/>
      <c r="F1057" s="170"/>
      <c r="G1057" s="170"/>
      <c r="H1057" s="170"/>
      <c r="I1057" s="170"/>
    </row>
    <row r="1058" spans="1:9">
      <c r="A1058" s="596"/>
      <c r="B1058" s="597"/>
      <c r="C1058" s="598"/>
      <c r="D1058" s="596"/>
      <c r="E1058" s="599"/>
      <c r="F1058" s="599"/>
      <c r="G1058" s="599"/>
      <c r="H1058" s="599"/>
      <c r="I1058" s="599"/>
    </row>
    <row r="1059" spans="1:9">
      <c r="A1059" s="594" t="s">
        <v>441</v>
      </c>
      <c r="B1059" s="3547" t="s">
        <v>3664</v>
      </c>
      <c r="C1059" s="3548"/>
      <c r="D1059" s="3548"/>
      <c r="E1059" s="3548"/>
      <c r="F1059" s="3548"/>
      <c r="G1059" s="3548"/>
      <c r="H1059" s="3548"/>
      <c r="I1059" s="3549"/>
    </row>
    <row r="1060" spans="1:9">
      <c r="A1060" s="243" t="s">
        <v>1520</v>
      </c>
      <c r="B1060" s="179" t="s">
        <v>1521</v>
      </c>
      <c r="C1060" s="583" t="s">
        <v>140</v>
      </c>
      <c r="D1060" s="243" t="s">
        <v>343</v>
      </c>
      <c r="E1060" s="584" t="s">
        <v>344</v>
      </c>
      <c r="F1060" s="65" t="s">
        <v>482</v>
      </c>
      <c r="G1060" s="65" t="s">
        <v>483</v>
      </c>
      <c r="H1060" s="65" t="s">
        <v>232</v>
      </c>
      <c r="I1060" s="65" t="s">
        <v>171</v>
      </c>
    </row>
    <row r="1061" spans="1:9">
      <c r="A1061" s="530" t="s">
        <v>1707</v>
      </c>
      <c r="B1061" s="534" t="s">
        <v>1702</v>
      </c>
      <c r="C1061" s="589">
        <v>1</v>
      </c>
      <c r="D1061" s="6" t="s">
        <v>94</v>
      </c>
      <c r="E1061" s="585">
        <f>VLOOKUP(B1061,MATERIALES!B:C,2,0)</f>
        <v>7500</v>
      </c>
      <c r="F1061" s="585"/>
      <c r="G1061" s="585">
        <f>+C1061*E1061</f>
        <v>7500</v>
      </c>
      <c r="H1061" s="585"/>
      <c r="I1061" s="585"/>
    </row>
    <row r="1062" spans="1:9">
      <c r="A1062" s="530" t="s">
        <v>2263</v>
      </c>
      <c r="B1062" s="531" t="s">
        <v>2264</v>
      </c>
      <c r="C1062" s="589">
        <v>1</v>
      </c>
      <c r="D1062" s="6" t="s">
        <v>94</v>
      </c>
      <c r="E1062" s="585">
        <f>VLOOKUP(B1062,MATERIALES!B:C,2,0)</f>
        <v>3500</v>
      </c>
      <c r="F1062" s="585"/>
      <c r="G1062" s="585">
        <f>+C1062*E1062</f>
        <v>3500</v>
      </c>
      <c r="H1062" s="585"/>
      <c r="I1062" s="585"/>
    </row>
    <row r="1063" spans="1:9">
      <c r="A1063" s="2" t="s">
        <v>584</v>
      </c>
      <c r="B1063" s="180" t="s">
        <v>2236</v>
      </c>
      <c r="C1063" s="600">
        <v>1E-3</v>
      </c>
      <c r="D1063" s="2" t="s">
        <v>583</v>
      </c>
      <c r="E1063" s="585">
        <f>VLOOKUP(B1063,MATERIALES!B:C,2,0)</f>
        <v>750000</v>
      </c>
      <c r="F1063" s="585"/>
      <c r="G1063" s="585"/>
      <c r="H1063" s="585"/>
      <c r="I1063" s="585">
        <f>C1063*E1063</f>
        <v>750</v>
      </c>
    </row>
    <row r="1064" spans="1:9">
      <c r="A1064" s="587" t="s">
        <v>190</v>
      </c>
      <c r="B1064" s="588">
        <f>SUM(G1064:I1064)</f>
        <v>11750</v>
      </c>
      <c r="C1064" s="583"/>
      <c r="D1064" s="169"/>
      <c r="E1064" s="585"/>
      <c r="F1064" s="65">
        <v>0</v>
      </c>
      <c r="G1064" s="65">
        <f>SUM(G1061:G1062)</f>
        <v>11000</v>
      </c>
      <c r="H1064" s="65">
        <f>SUM(H1063:H1063)</f>
        <v>0</v>
      </c>
      <c r="I1064" s="65">
        <f>SUM(I1063:I1063)</f>
        <v>750</v>
      </c>
    </row>
    <row r="1065" spans="1:9">
      <c r="A1065" s="21" t="s">
        <v>3708</v>
      </c>
      <c r="B1065" s="39">
        <f>+B1064*AIU</f>
        <v>3474.7393287932414</v>
      </c>
      <c r="C1065" s="589"/>
      <c r="D1065" s="31"/>
      <c r="E1065" s="170"/>
      <c r="F1065" s="590"/>
      <c r="G1065" s="590"/>
      <c r="H1065" s="590"/>
      <c r="I1065" s="590"/>
    </row>
    <row r="1066" spans="1:9">
      <c r="A1066" s="587" t="s">
        <v>191</v>
      </c>
      <c r="B1066" s="39">
        <f>SUM(B1064:B1065)</f>
        <v>15224.739328793241</v>
      </c>
      <c r="C1066" s="591" t="s">
        <v>94</v>
      </c>
      <c r="D1066" s="13"/>
      <c r="E1066" s="170"/>
      <c r="F1066" s="170"/>
      <c r="G1066" s="170"/>
      <c r="H1066" s="170"/>
      <c r="I1066" s="170"/>
    </row>
    <row r="1067" spans="1:9">
      <c r="A1067" s="596"/>
      <c r="B1067" s="597"/>
      <c r="C1067" s="598"/>
      <c r="D1067" s="596"/>
      <c r="E1067" s="599"/>
      <c r="F1067" s="599"/>
      <c r="G1067" s="599"/>
      <c r="H1067" s="599"/>
      <c r="I1067" s="599"/>
    </row>
    <row r="1068" spans="1:9">
      <c r="A1068" s="594" t="s">
        <v>441</v>
      </c>
      <c r="B1068" s="3547" t="s">
        <v>3665</v>
      </c>
      <c r="C1068" s="3548"/>
      <c r="D1068" s="3548"/>
      <c r="E1068" s="3548"/>
      <c r="F1068" s="3548"/>
      <c r="G1068" s="3548"/>
      <c r="H1068" s="3548"/>
      <c r="I1068" s="3549"/>
    </row>
    <row r="1069" spans="1:9">
      <c r="A1069" s="243" t="s">
        <v>1520</v>
      </c>
      <c r="B1069" s="179" t="s">
        <v>1521</v>
      </c>
      <c r="C1069" s="583" t="s">
        <v>140</v>
      </c>
      <c r="D1069" s="243" t="s">
        <v>343</v>
      </c>
      <c r="E1069" s="584" t="s">
        <v>344</v>
      </c>
      <c r="F1069" s="65" t="s">
        <v>482</v>
      </c>
      <c r="G1069" s="65" t="s">
        <v>483</v>
      </c>
      <c r="H1069" s="65" t="s">
        <v>232</v>
      </c>
      <c r="I1069" s="65" t="s">
        <v>171</v>
      </c>
    </row>
    <row r="1070" spans="1:9" ht="33.6">
      <c r="A1070" s="2" t="s">
        <v>3627</v>
      </c>
      <c r="B1070" s="604" t="s">
        <v>1814</v>
      </c>
      <c r="C1070" s="589">
        <v>0.03</v>
      </c>
      <c r="D1070" s="2" t="s">
        <v>346</v>
      </c>
      <c r="E1070" s="585">
        <v>150000</v>
      </c>
      <c r="F1070" s="585"/>
      <c r="G1070" s="585"/>
      <c r="H1070" s="585">
        <f>+C1070*E1070</f>
        <v>4500</v>
      </c>
      <c r="I1070" s="585"/>
    </row>
    <row r="1071" spans="1:9">
      <c r="A1071" s="243" t="s">
        <v>172</v>
      </c>
      <c r="B1071" s="179" t="s">
        <v>189</v>
      </c>
      <c r="C1071" s="583">
        <v>1</v>
      </c>
      <c r="D1071" s="160" t="s">
        <v>583</v>
      </c>
      <c r="E1071" s="585">
        <f>0.05*H1070</f>
        <v>225</v>
      </c>
      <c r="F1071" s="65"/>
      <c r="G1071" s="65"/>
      <c r="H1071" s="65"/>
      <c r="I1071" s="65">
        <v>256.6917294117647</v>
      </c>
    </row>
    <row r="1072" spans="1:9">
      <c r="A1072" s="587" t="s">
        <v>190</v>
      </c>
      <c r="B1072" s="588">
        <f>SUM(G1072:I1072)</f>
        <v>4756.6917294117648</v>
      </c>
      <c r="C1072" s="583"/>
      <c r="D1072" s="169"/>
      <c r="E1072" s="585"/>
      <c r="F1072" s="65">
        <v>0</v>
      </c>
      <c r="G1072" s="65" t="s">
        <v>441</v>
      </c>
      <c r="H1072" s="65">
        <f>SUM(H1070:H1071)</f>
        <v>4500</v>
      </c>
      <c r="I1072" s="65">
        <f>SUM(I1071:I1071)</f>
        <v>256.6917294117647</v>
      </c>
    </row>
    <row r="1073" spans="1:9">
      <c r="A1073" s="21" t="s">
        <v>3708</v>
      </c>
      <c r="B1073" s="39">
        <f>+B1072*AIU</f>
        <v>1406.6607512453274</v>
      </c>
      <c r="C1073" s="589"/>
      <c r="D1073" s="31"/>
      <c r="E1073" s="170"/>
      <c r="F1073" s="590"/>
      <c r="G1073" s="590"/>
      <c r="H1073" s="590"/>
      <c r="I1073" s="590"/>
    </row>
    <row r="1074" spans="1:9">
      <c r="A1074" s="587" t="s">
        <v>191</v>
      </c>
      <c r="B1074" s="39">
        <f>SUM(B1072:B1073)</f>
        <v>6163.3524806570922</v>
      </c>
      <c r="C1074" s="591" t="s">
        <v>94</v>
      </c>
      <c r="D1074" s="13"/>
      <c r="E1074" s="170"/>
      <c r="F1074" s="170"/>
      <c r="G1074" s="170"/>
      <c r="H1074" s="170"/>
      <c r="I1074" s="170"/>
    </row>
    <row r="1075" spans="1:9">
      <c r="A1075" s="596"/>
      <c r="B1075" s="597"/>
      <c r="C1075" s="598"/>
      <c r="D1075" s="596"/>
      <c r="E1075" s="599"/>
      <c r="F1075" s="599"/>
      <c r="G1075" s="599"/>
      <c r="H1075" s="599"/>
      <c r="I1075" s="599"/>
    </row>
    <row r="1076" spans="1:9">
      <c r="A1076" s="594" t="s">
        <v>441</v>
      </c>
      <c r="B1076" s="3547" t="s">
        <v>3666</v>
      </c>
      <c r="C1076" s="3548"/>
      <c r="D1076" s="3548"/>
      <c r="E1076" s="3548"/>
      <c r="F1076" s="3548"/>
      <c r="G1076" s="3548"/>
      <c r="H1076" s="3548"/>
      <c r="I1076" s="3549"/>
    </row>
    <row r="1077" spans="1:9">
      <c r="A1077" s="243" t="s">
        <v>1520</v>
      </c>
      <c r="B1077" s="179" t="s">
        <v>1521</v>
      </c>
      <c r="C1077" s="583" t="s">
        <v>140</v>
      </c>
      <c r="D1077" s="243" t="s">
        <v>343</v>
      </c>
      <c r="E1077" s="584" t="s">
        <v>344</v>
      </c>
      <c r="F1077" s="65" t="s">
        <v>482</v>
      </c>
      <c r="G1077" s="65" t="s">
        <v>483</v>
      </c>
      <c r="H1077" s="65" t="s">
        <v>232</v>
      </c>
      <c r="I1077" s="65" t="s">
        <v>171</v>
      </c>
    </row>
    <row r="1078" spans="1:9">
      <c r="A1078" s="530" t="s">
        <v>1716</v>
      </c>
      <c r="B1078" s="531" t="s">
        <v>1717</v>
      </c>
      <c r="C1078" s="589">
        <v>8</v>
      </c>
      <c r="D1078" s="6" t="s">
        <v>94</v>
      </c>
      <c r="E1078" s="585">
        <f>VLOOKUP(B1078,MATERIALES!B:C,2,0)</f>
        <v>1450</v>
      </c>
      <c r="F1078" s="585"/>
      <c r="G1078" s="585">
        <f>+C1078*E1078</f>
        <v>11600</v>
      </c>
      <c r="H1078" s="585"/>
      <c r="I1078" s="585"/>
    </row>
    <row r="1079" spans="1:9">
      <c r="A1079" s="530" t="s">
        <v>2251</v>
      </c>
      <c r="B1079" s="534" t="s">
        <v>2252</v>
      </c>
      <c r="C1079" s="589">
        <v>1</v>
      </c>
      <c r="D1079" s="6" t="s">
        <v>94</v>
      </c>
      <c r="E1079" s="585">
        <f>VLOOKUP(B1079,MATERIALES!B:C,2,0)</f>
        <v>2400</v>
      </c>
      <c r="F1079" s="585"/>
      <c r="G1079" s="585">
        <f>+C1079*E1079</f>
        <v>2400</v>
      </c>
      <c r="H1079" s="585"/>
      <c r="I1079" s="585"/>
    </row>
    <row r="1080" spans="1:9">
      <c r="A1080" s="2" t="s">
        <v>584</v>
      </c>
      <c r="B1080" s="180" t="s">
        <v>2236</v>
      </c>
      <c r="C1080" s="600">
        <v>1E-3</v>
      </c>
      <c r="D1080" s="2" t="s">
        <v>583</v>
      </c>
      <c r="E1080" s="585">
        <f>VLOOKUP(B1080,MATERIALES!B:C,2,0)</f>
        <v>750000</v>
      </c>
      <c r="F1080" s="585"/>
      <c r="G1080" s="585"/>
      <c r="H1080" s="585"/>
      <c r="I1080" s="585">
        <f>C1080*E1080</f>
        <v>750</v>
      </c>
    </row>
    <row r="1081" spans="1:9">
      <c r="A1081" s="587" t="s">
        <v>190</v>
      </c>
      <c r="B1081" s="588">
        <f>SUM(G1081:I1081)</f>
        <v>14750</v>
      </c>
      <c r="C1081" s="583"/>
      <c r="D1081" s="169"/>
      <c r="E1081" s="585"/>
      <c r="F1081" s="65">
        <v>0</v>
      </c>
      <c r="G1081" s="65">
        <f>SUM(G1078:G1079)</f>
        <v>14000</v>
      </c>
      <c r="H1081" s="65">
        <f>SUM(H1080:H1080)</f>
        <v>0</v>
      </c>
      <c r="I1081" s="65">
        <f>SUM(I1080:I1080)</f>
        <v>750</v>
      </c>
    </row>
    <row r="1082" spans="1:9">
      <c r="A1082" s="21" t="s">
        <v>3708</v>
      </c>
      <c r="B1082" s="39">
        <f>+B1081*AIU</f>
        <v>4361.9068169957709</v>
      </c>
      <c r="C1082" s="589"/>
      <c r="D1082" s="31"/>
      <c r="E1082" s="170"/>
      <c r="F1082" s="590"/>
      <c r="G1082" s="590"/>
      <c r="H1082" s="590"/>
      <c r="I1082" s="590"/>
    </row>
    <row r="1083" spans="1:9">
      <c r="A1083" s="587" t="s">
        <v>191</v>
      </c>
      <c r="B1083" s="39">
        <f>SUM(B1081:B1082)</f>
        <v>19111.906816995772</v>
      </c>
      <c r="C1083" s="591" t="s">
        <v>94</v>
      </c>
      <c r="D1083" s="13"/>
      <c r="E1083" s="170"/>
      <c r="F1083" s="170"/>
      <c r="G1083" s="170"/>
      <c r="H1083" s="170"/>
      <c r="I1083" s="170"/>
    </row>
    <row r="1084" spans="1:9">
      <c r="A1084" s="596"/>
      <c r="B1084" s="597"/>
      <c r="C1084" s="598"/>
      <c r="D1084" s="596"/>
      <c r="E1084" s="599"/>
      <c r="F1084" s="599"/>
      <c r="G1084" s="599"/>
      <c r="H1084" s="599"/>
      <c r="I1084" s="599"/>
    </row>
    <row r="1085" spans="1:9">
      <c r="A1085" s="594" t="s">
        <v>441</v>
      </c>
      <c r="B1085" s="3547" t="s">
        <v>3667</v>
      </c>
      <c r="C1085" s="3548"/>
      <c r="D1085" s="3548"/>
      <c r="E1085" s="3548"/>
      <c r="F1085" s="3548"/>
      <c r="G1085" s="3548"/>
      <c r="H1085" s="3548"/>
      <c r="I1085" s="3549"/>
    </row>
    <row r="1086" spans="1:9">
      <c r="A1086" s="243" t="s">
        <v>1520</v>
      </c>
      <c r="B1086" s="179" t="s">
        <v>1521</v>
      </c>
      <c r="C1086" s="583" t="s">
        <v>140</v>
      </c>
      <c r="D1086" s="243" t="s">
        <v>343</v>
      </c>
      <c r="E1086" s="584" t="s">
        <v>344</v>
      </c>
      <c r="F1086" s="65" t="s">
        <v>482</v>
      </c>
      <c r="G1086" s="65" t="s">
        <v>483</v>
      </c>
      <c r="H1086" s="65" t="s">
        <v>232</v>
      </c>
      <c r="I1086" s="65" t="s">
        <v>171</v>
      </c>
    </row>
    <row r="1087" spans="1:9" ht="33.6">
      <c r="A1087" s="2" t="s">
        <v>3627</v>
      </c>
      <c r="B1087" s="604" t="s">
        <v>1814</v>
      </c>
      <c r="C1087" s="600">
        <v>0.03</v>
      </c>
      <c r="D1087" s="2" t="s">
        <v>346</v>
      </c>
      <c r="E1087" s="585">
        <v>150000</v>
      </c>
      <c r="F1087" s="585"/>
      <c r="G1087" s="585"/>
      <c r="H1087" s="585">
        <f>+C1087*E1087</f>
        <v>4500</v>
      </c>
      <c r="I1087" s="585"/>
    </row>
    <row r="1088" spans="1:9">
      <c r="A1088" s="243" t="s">
        <v>172</v>
      </c>
      <c r="B1088" s="179" t="s">
        <v>189</v>
      </c>
      <c r="C1088" s="583">
        <v>1</v>
      </c>
      <c r="D1088" s="160" t="s">
        <v>583</v>
      </c>
      <c r="E1088" s="585">
        <f>0.05*H1087</f>
        <v>225</v>
      </c>
      <c r="F1088" s="65"/>
      <c r="G1088" s="65"/>
      <c r="H1088" s="65"/>
      <c r="I1088" s="585">
        <f>C1088*E1088</f>
        <v>225</v>
      </c>
    </row>
    <row r="1089" spans="1:9">
      <c r="A1089" s="587" t="s">
        <v>190</v>
      </c>
      <c r="B1089" s="588">
        <f>SUM(G1089:I1089)</f>
        <v>4725</v>
      </c>
      <c r="C1089" s="583"/>
      <c r="D1089" s="169"/>
      <c r="E1089" s="585"/>
      <c r="F1089" s="65">
        <v>0</v>
      </c>
      <c r="G1089" s="65" t="s">
        <v>441</v>
      </c>
      <c r="H1089" s="65">
        <f>SUM(H1087:H1088)</f>
        <v>4500</v>
      </c>
      <c r="I1089" s="65">
        <f>SUM(I1088:I1088)</f>
        <v>225</v>
      </c>
    </row>
    <row r="1090" spans="1:9">
      <c r="A1090" s="21" t="s">
        <v>3708</v>
      </c>
      <c r="B1090" s="39">
        <f>+B1089*AIU</f>
        <v>1397.2887939189843</v>
      </c>
      <c r="C1090" s="589"/>
      <c r="D1090" s="31"/>
      <c r="E1090" s="170"/>
      <c r="F1090" s="590"/>
      <c r="G1090" s="590"/>
      <c r="H1090" s="590"/>
      <c r="I1090" s="590"/>
    </row>
    <row r="1091" spans="1:9">
      <c r="A1091" s="587" t="s">
        <v>191</v>
      </c>
      <c r="B1091" s="39">
        <f>SUM(B1089:B1090)</f>
        <v>6122.2887939189841</v>
      </c>
      <c r="C1091" s="591" t="s">
        <v>94</v>
      </c>
      <c r="D1091" s="13"/>
      <c r="E1091" s="170"/>
      <c r="F1091" s="170"/>
      <c r="G1091" s="170"/>
      <c r="H1091" s="170"/>
      <c r="I1091" s="170"/>
    </row>
    <row r="1092" spans="1:9">
      <c r="A1092" s="596"/>
      <c r="B1092" s="597"/>
      <c r="C1092" s="598"/>
      <c r="D1092" s="596"/>
      <c r="E1092" s="599"/>
      <c r="F1092" s="599"/>
      <c r="G1092" s="599"/>
      <c r="H1092" s="599"/>
      <c r="I1092" s="599"/>
    </row>
    <row r="1093" spans="1:9">
      <c r="A1093" s="594" t="s">
        <v>441</v>
      </c>
      <c r="B1093" s="3547" t="s">
        <v>3668</v>
      </c>
      <c r="C1093" s="3548"/>
      <c r="D1093" s="3548"/>
      <c r="E1093" s="3548"/>
      <c r="F1093" s="3548"/>
      <c r="G1093" s="3548"/>
      <c r="H1093" s="3548"/>
      <c r="I1093" s="3549"/>
    </row>
    <row r="1094" spans="1:9">
      <c r="A1094" s="243" t="s">
        <v>1520</v>
      </c>
      <c r="B1094" s="179" t="s">
        <v>1521</v>
      </c>
      <c r="C1094" s="583" t="s">
        <v>140</v>
      </c>
      <c r="D1094" s="243" t="s">
        <v>343</v>
      </c>
      <c r="E1094" s="584" t="s">
        <v>344</v>
      </c>
      <c r="F1094" s="65" t="s">
        <v>482</v>
      </c>
      <c r="G1094" s="65" t="s">
        <v>483</v>
      </c>
      <c r="H1094" s="65" t="s">
        <v>232</v>
      </c>
      <c r="I1094" s="65" t="s">
        <v>171</v>
      </c>
    </row>
    <row r="1095" spans="1:9">
      <c r="A1095" s="530" t="s">
        <v>1716</v>
      </c>
      <c r="B1095" s="531" t="s">
        <v>1717</v>
      </c>
      <c r="C1095" s="589">
        <v>12</v>
      </c>
      <c r="D1095" s="6" t="s">
        <v>94</v>
      </c>
      <c r="E1095" s="585">
        <f>VLOOKUP(B1095,MATERIALES!B:C,2,0)</f>
        <v>1450</v>
      </c>
      <c r="F1095" s="585"/>
      <c r="G1095" s="585">
        <f>+C1095*E1095</f>
        <v>17400</v>
      </c>
      <c r="H1095" s="585"/>
      <c r="I1095" s="585"/>
    </row>
    <row r="1096" spans="1:9">
      <c r="A1096" s="530" t="s">
        <v>2251</v>
      </c>
      <c r="B1096" s="534" t="s">
        <v>2252</v>
      </c>
      <c r="C1096" s="589">
        <v>2</v>
      </c>
      <c r="D1096" s="6" t="s">
        <v>94</v>
      </c>
      <c r="E1096" s="585">
        <f>VLOOKUP(B1096,MATERIALES!B:C,2,0)</f>
        <v>2400</v>
      </c>
      <c r="F1096" s="585"/>
      <c r="G1096" s="585">
        <f>+C1096*E1096</f>
        <v>4800</v>
      </c>
      <c r="H1096" s="585"/>
      <c r="I1096" s="585"/>
    </row>
    <row r="1097" spans="1:9">
      <c r="A1097" s="2" t="s">
        <v>584</v>
      </c>
      <c r="B1097" s="180" t="s">
        <v>2236</v>
      </c>
      <c r="C1097" s="600">
        <v>1E-3</v>
      </c>
      <c r="D1097" s="2" t="s">
        <v>583</v>
      </c>
      <c r="E1097" s="585">
        <f>VLOOKUP(B1097,MATERIALES!B:C,2,0)</f>
        <v>750000</v>
      </c>
      <c r="F1097" s="585"/>
      <c r="G1097" s="585"/>
      <c r="H1097" s="585"/>
      <c r="I1097" s="585">
        <f>C1097*E1097</f>
        <v>750</v>
      </c>
    </row>
    <row r="1098" spans="1:9">
      <c r="A1098" s="587" t="s">
        <v>190</v>
      </c>
      <c r="B1098" s="588">
        <f>SUM(G1098:I1098)</f>
        <v>22950</v>
      </c>
      <c r="C1098" s="583"/>
      <c r="D1098" s="169"/>
      <c r="E1098" s="585"/>
      <c r="F1098" s="65">
        <v>0</v>
      </c>
      <c r="G1098" s="65">
        <f>SUM(G1095:G1096)</f>
        <v>22200</v>
      </c>
      <c r="H1098" s="65">
        <f>SUM(H1097:H1097)</f>
        <v>0</v>
      </c>
      <c r="I1098" s="65">
        <f>SUM(I1097:I1097)</f>
        <v>750</v>
      </c>
    </row>
    <row r="1099" spans="1:9">
      <c r="A1099" s="21" t="s">
        <v>3708</v>
      </c>
      <c r="B1099" s="39">
        <f>+B1098*AIU</f>
        <v>6786.8312847493517</v>
      </c>
      <c r="C1099" s="589"/>
      <c r="D1099" s="31"/>
      <c r="E1099" s="170"/>
      <c r="F1099" s="590"/>
      <c r="G1099" s="590"/>
      <c r="H1099" s="590"/>
      <c r="I1099" s="590"/>
    </row>
    <row r="1100" spans="1:9">
      <c r="A1100" s="587" t="s">
        <v>191</v>
      </c>
      <c r="B1100" s="39">
        <f>SUM(B1098:B1099)</f>
        <v>29736.831284749351</v>
      </c>
      <c r="C1100" s="591" t="s">
        <v>94</v>
      </c>
      <c r="D1100" s="13"/>
      <c r="E1100" s="170"/>
      <c r="F1100" s="170"/>
      <c r="G1100" s="170"/>
      <c r="H1100" s="170"/>
      <c r="I1100" s="170"/>
    </row>
    <row r="1101" spans="1:9">
      <c r="A1101" s="596"/>
      <c r="B1101" s="597"/>
      <c r="C1101" s="598"/>
      <c r="D1101" s="596"/>
      <c r="E1101" s="599"/>
      <c r="F1101" s="599"/>
      <c r="G1101" s="599"/>
      <c r="H1101" s="599"/>
      <c r="I1101" s="599"/>
    </row>
    <row r="1102" spans="1:9">
      <c r="A1102" s="594" t="s">
        <v>441</v>
      </c>
      <c r="B1102" s="3547" t="s">
        <v>3669</v>
      </c>
      <c r="C1102" s="3548"/>
      <c r="D1102" s="3548"/>
      <c r="E1102" s="3548"/>
      <c r="F1102" s="3548"/>
      <c r="G1102" s="3548"/>
      <c r="H1102" s="3548"/>
      <c r="I1102" s="3549"/>
    </row>
    <row r="1103" spans="1:9">
      <c r="A1103" s="243" t="s">
        <v>1520</v>
      </c>
      <c r="B1103" s="179" t="s">
        <v>1521</v>
      </c>
      <c r="C1103" s="583" t="s">
        <v>140</v>
      </c>
      <c r="D1103" s="243" t="s">
        <v>343</v>
      </c>
      <c r="E1103" s="584" t="s">
        <v>344</v>
      </c>
      <c r="F1103" s="65" t="s">
        <v>482</v>
      </c>
      <c r="G1103" s="65" t="s">
        <v>483</v>
      </c>
      <c r="H1103" s="65" t="s">
        <v>232</v>
      </c>
      <c r="I1103" s="65" t="s">
        <v>171</v>
      </c>
    </row>
    <row r="1104" spans="1:9" ht="33.6">
      <c r="A1104" s="2" t="s">
        <v>3627</v>
      </c>
      <c r="B1104" s="604" t="s">
        <v>1814</v>
      </c>
      <c r="C1104" s="600">
        <v>2.5000000000000001E-2</v>
      </c>
      <c r="D1104" s="2" t="s">
        <v>346</v>
      </c>
      <c r="E1104" s="585">
        <v>150000</v>
      </c>
      <c r="F1104" s="585"/>
      <c r="G1104" s="585"/>
      <c r="H1104" s="585">
        <f>+C1104*E1104</f>
        <v>3750</v>
      </c>
      <c r="I1104" s="585"/>
    </row>
    <row r="1105" spans="1:9">
      <c r="A1105" s="243" t="s">
        <v>172</v>
      </c>
      <c r="B1105" s="179" t="s">
        <v>189</v>
      </c>
      <c r="C1105" s="583">
        <v>1</v>
      </c>
      <c r="D1105" s="160" t="s">
        <v>583</v>
      </c>
      <c r="E1105" s="585">
        <f>0.05*H1104</f>
        <v>187.5</v>
      </c>
      <c r="F1105" s="65"/>
      <c r="G1105" s="65"/>
      <c r="H1105" s="65"/>
      <c r="I1105" s="585">
        <f>C1105*E1105</f>
        <v>187.5</v>
      </c>
    </row>
    <row r="1106" spans="1:9">
      <c r="A1106" s="587" t="s">
        <v>190</v>
      </c>
      <c r="B1106" s="588">
        <f>SUM(G1106:I1106)</f>
        <v>3937.5</v>
      </c>
      <c r="C1106" s="583"/>
      <c r="D1106" s="169"/>
      <c r="E1106" s="585"/>
      <c r="F1106" s="65">
        <v>0</v>
      </c>
      <c r="G1106" s="65" t="s">
        <v>441</v>
      </c>
      <c r="H1106" s="65">
        <f>SUM(H1104:H1105)</f>
        <v>3750</v>
      </c>
      <c r="I1106" s="65">
        <f>SUM(I1105:I1105)</f>
        <v>187.5</v>
      </c>
    </row>
    <row r="1107" spans="1:9">
      <c r="A1107" s="21" t="s">
        <v>3708</v>
      </c>
      <c r="B1107" s="39">
        <f>+B1106*AIU</f>
        <v>1164.4073282658203</v>
      </c>
      <c r="C1107" s="589"/>
      <c r="D1107" s="31"/>
      <c r="E1107" s="170"/>
      <c r="F1107" s="590"/>
      <c r="G1107" s="590"/>
      <c r="H1107" s="590"/>
      <c r="I1107" s="590"/>
    </row>
    <row r="1108" spans="1:9">
      <c r="A1108" s="587" t="s">
        <v>191</v>
      </c>
      <c r="B1108" s="39">
        <f>SUM(B1106:B1107)</f>
        <v>5101.9073282658201</v>
      </c>
      <c r="C1108" s="591" t="s">
        <v>94</v>
      </c>
      <c r="D1108" s="13"/>
      <c r="E1108" s="170"/>
      <c r="F1108" s="170"/>
      <c r="G1108" s="170"/>
      <c r="H1108" s="170"/>
      <c r="I1108" s="170"/>
    </row>
    <row r="1109" spans="1:9">
      <c r="A1109" s="596"/>
      <c r="B1109" s="597"/>
      <c r="C1109" s="598"/>
      <c r="D1109" s="596"/>
      <c r="E1109" s="599"/>
      <c r="F1109" s="599"/>
      <c r="G1109" s="599"/>
      <c r="H1109" s="599"/>
      <c r="I1109" s="599"/>
    </row>
    <row r="1110" spans="1:9">
      <c r="A1110" s="594" t="s">
        <v>441</v>
      </c>
      <c r="B1110" s="3547" t="s">
        <v>3670</v>
      </c>
      <c r="C1110" s="3548"/>
      <c r="D1110" s="3548"/>
      <c r="E1110" s="3548"/>
      <c r="F1110" s="3548"/>
      <c r="G1110" s="3548"/>
      <c r="H1110" s="3548"/>
      <c r="I1110" s="3549"/>
    </row>
    <row r="1111" spans="1:9">
      <c r="A1111" s="243" t="s">
        <v>1520</v>
      </c>
      <c r="B1111" s="179" t="s">
        <v>1521</v>
      </c>
      <c r="C1111" s="589" t="s">
        <v>140</v>
      </c>
      <c r="D1111" s="2" t="s">
        <v>343</v>
      </c>
      <c r="E1111" s="585" t="s">
        <v>344</v>
      </c>
      <c r="F1111" s="585" t="s">
        <v>482</v>
      </c>
      <c r="G1111" s="585" t="s">
        <v>483</v>
      </c>
      <c r="H1111" s="585" t="s">
        <v>232</v>
      </c>
      <c r="I1111" s="585" t="s">
        <v>171</v>
      </c>
    </row>
    <row r="1112" spans="1:9" ht="26.4">
      <c r="A1112" s="530" t="s">
        <v>1934</v>
      </c>
      <c r="B1112" s="534" t="s">
        <v>1935</v>
      </c>
      <c r="C1112" s="589">
        <v>1</v>
      </c>
      <c r="D1112" s="6" t="s">
        <v>363</v>
      </c>
      <c r="E1112" s="585">
        <f>1386000*1.19</f>
        <v>1649340</v>
      </c>
      <c r="F1112" s="585"/>
      <c r="G1112" s="585">
        <f>+C1112*E1112</f>
        <v>1649340</v>
      </c>
      <c r="H1112" s="536"/>
      <c r="I1112" s="536"/>
    </row>
    <row r="1113" spans="1:9">
      <c r="A1113" s="530" t="s">
        <v>1805</v>
      </c>
      <c r="B1113" s="536" t="s">
        <v>1806</v>
      </c>
      <c r="C1113" s="589">
        <v>1</v>
      </c>
      <c r="D1113" s="6" t="s">
        <v>363</v>
      </c>
      <c r="E1113" s="585">
        <f>VLOOKUP(B1113,MATERIALES!B:C,2,0)</f>
        <v>180000</v>
      </c>
      <c r="F1113" s="585"/>
      <c r="G1113" s="585">
        <f>+C1113*E1113</f>
        <v>180000</v>
      </c>
      <c r="H1113" s="536"/>
      <c r="I1113" s="536"/>
    </row>
    <row r="1114" spans="1:9">
      <c r="A1114" s="530" t="s">
        <v>1570</v>
      </c>
      <c r="B1114" s="531" t="s">
        <v>1571</v>
      </c>
      <c r="C1114" s="589">
        <v>1</v>
      </c>
      <c r="D1114" s="6" t="s">
        <v>363</v>
      </c>
      <c r="E1114" s="585">
        <f>VLOOKUP(B1114,MATERIALES!B:C,2,0)</f>
        <v>1114357.6499999999</v>
      </c>
      <c r="F1114" s="585"/>
      <c r="G1114" s="585">
        <f>+C1114*E1114</f>
        <v>1114357.6499999999</v>
      </c>
      <c r="H1114" s="536"/>
      <c r="I1114" s="536"/>
    </row>
    <row r="1115" spans="1:9">
      <c r="A1115" s="535" t="s">
        <v>3671</v>
      </c>
      <c r="B1115" s="536" t="s">
        <v>1844</v>
      </c>
      <c r="C1115" s="589">
        <v>8</v>
      </c>
      <c r="D1115" s="6" t="s">
        <v>363</v>
      </c>
      <c r="E1115" s="585">
        <f>VLOOKUP(B1115,MATERIALES!B:C,2,0)</f>
        <v>85000</v>
      </c>
      <c r="F1115" s="585"/>
      <c r="G1115" s="585">
        <f>+C1115*E1115</f>
        <v>680000</v>
      </c>
      <c r="H1115" s="536"/>
      <c r="I1115" s="536"/>
    </row>
    <row r="1116" spans="1:9">
      <c r="A1116" s="2" t="s">
        <v>584</v>
      </c>
      <c r="B1116" s="180" t="s">
        <v>2236</v>
      </c>
      <c r="C1116" s="589">
        <v>1</v>
      </c>
      <c r="D1116" s="2" t="s">
        <v>583</v>
      </c>
      <c r="E1116" s="585">
        <f>VLOOKUP(B1116,MATERIALES!B:C,2,0)</f>
        <v>750000</v>
      </c>
      <c r="F1116" s="585"/>
      <c r="G1116" s="585" t="s">
        <v>441</v>
      </c>
      <c r="H1116" s="585"/>
      <c r="I1116" s="585">
        <f>+E1116*C1116</f>
        <v>750000</v>
      </c>
    </row>
    <row r="1117" spans="1:9">
      <c r="A1117" s="587" t="s">
        <v>190</v>
      </c>
      <c r="B1117" s="588">
        <f>SUM(G1117:I1117)</f>
        <v>4373697.6500000004</v>
      </c>
      <c r="C1117" s="589"/>
      <c r="D1117" s="601"/>
      <c r="E1117" s="585"/>
      <c r="F1117" s="585">
        <v>0</v>
      </c>
      <c r="G1117" s="585">
        <f>SUM(G1112:G1116)</f>
        <v>3623697.65</v>
      </c>
      <c r="H1117" s="585">
        <f>SUM(H1116:H1116)</f>
        <v>0</v>
      </c>
      <c r="I1117" s="585">
        <f>SUM(I1116:I1116)</f>
        <v>750000</v>
      </c>
    </row>
    <row r="1118" spans="1:9">
      <c r="A1118" s="21" t="s">
        <v>3708</v>
      </c>
      <c r="B1118" s="39">
        <f>+B1117*AIU</f>
        <v>1293400.7861026023</v>
      </c>
      <c r="C1118" s="589"/>
      <c r="D1118" s="13"/>
      <c r="E1118" s="170"/>
      <c r="F1118" s="170"/>
      <c r="G1118" s="170"/>
      <c r="H1118" s="170"/>
      <c r="I1118" s="170"/>
    </row>
    <row r="1119" spans="1:9">
      <c r="A1119" s="587" t="s">
        <v>191</v>
      </c>
      <c r="B1119" s="39">
        <f>SUM(B1117:B1118)</f>
        <v>5667098.4361026026</v>
      </c>
      <c r="C1119" s="589" t="s">
        <v>363</v>
      </c>
      <c r="D1119" s="13"/>
      <c r="E1119" s="170"/>
      <c r="F1119" s="170"/>
      <c r="G1119" s="170"/>
      <c r="H1119" s="170"/>
      <c r="I1119" s="170"/>
    </row>
    <row r="1120" spans="1:9">
      <c r="A1120" s="471"/>
      <c r="B1120" s="602"/>
      <c r="C1120" s="603"/>
      <c r="D1120" s="13"/>
      <c r="E1120" s="170"/>
      <c r="F1120" s="170"/>
      <c r="G1120" s="170"/>
      <c r="H1120" s="170"/>
      <c r="I1120" s="170"/>
    </row>
    <row r="1121" spans="1:9">
      <c r="A1121" s="594" t="s">
        <v>441</v>
      </c>
      <c r="B1121" s="3547" t="s">
        <v>3672</v>
      </c>
      <c r="C1121" s="3548"/>
      <c r="D1121" s="3548"/>
      <c r="E1121" s="3548"/>
      <c r="F1121" s="3548"/>
      <c r="G1121" s="3548"/>
      <c r="H1121" s="3548"/>
      <c r="I1121" s="3549"/>
    </row>
    <row r="1122" spans="1:9">
      <c r="A1122" s="243" t="s">
        <v>1520</v>
      </c>
      <c r="B1122" s="179" t="s">
        <v>1521</v>
      </c>
      <c r="C1122" s="589" t="s">
        <v>140</v>
      </c>
      <c r="D1122" s="2" t="s">
        <v>343</v>
      </c>
      <c r="E1122" s="585" t="s">
        <v>344</v>
      </c>
      <c r="F1122" s="585" t="s">
        <v>482</v>
      </c>
      <c r="G1122" s="585" t="s">
        <v>483</v>
      </c>
      <c r="H1122" s="585" t="s">
        <v>232</v>
      </c>
      <c r="I1122" s="585" t="s">
        <v>171</v>
      </c>
    </row>
    <row r="1123" spans="1:9" ht="33.6">
      <c r="A1123" s="243" t="s">
        <v>3627</v>
      </c>
      <c r="B1123" s="536" t="s">
        <v>1818</v>
      </c>
      <c r="C1123" s="583">
        <v>2</v>
      </c>
      <c r="D1123" s="243" t="s">
        <v>346</v>
      </c>
      <c r="E1123" s="585">
        <v>150000</v>
      </c>
      <c r="F1123" s="65"/>
      <c r="G1123" s="65"/>
      <c r="H1123" s="65">
        <f>+C1123*E1123</f>
        <v>300000</v>
      </c>
      <c r="I1123" s="65"/>
    </row>
    <row r="1124" spans="1:9">
      <c r="A1124" s="2" t="s">
        <v>172</v>
      </c>
      <c r="B1124" s="18" t="s">
        <v>189</v>
      </c>
      <c r="C1124" s="589">
        <v>1</v>
      </c>
      <c r="D1124" s="6" t="s">
        <v>583</v>
      </c>
      <c r="E1124" s="585">
        <f>+H1123*0.05</f>
        <v>15000</v>
      </c>
      <c r="F1124" s="585"/>
      <c r="G1124" s="585" t="s">
        <v>441</v>
      </c>
      <c r="H1124" s="585"/>
      <c r="I1124" s="585">
        <f>+E1124*C1124</f>
        <v>15000</v>
      </c>
    </row>
    <row r="1125" spans="1:9">
      <c r="A1125" s="587" t="s">
        <v>190</v>
      </c>
      <c r="B1125" s="588">
        <f>SUM(G1125:I1125)</f>
        <v>315000</v>
      </c>
      <c r="C1125" s="589"/>
      <c r="D1125" s="601"/>
      <c r="E1125" s="585"/>
      <c r="F1125" s="585">
        <v>0</v>
      </c>
      <c r="G1125" s="585">
        <f>SUM(G1123:G1124)</f>
        <v>0</v>
      </c>
      <c r="H1125" s="585">
        <f>SUM(H1123:H1124)</f>
        <v>300000</v>
      </c>
      <c r="I1125" s="585">
        <f>SUM(I1124:I1124)</f>
        <v>15000</v>
      </c>
    </row>
    <row r="1126" spans="1:9">
      <c r="A1126" s="21" t="s">
        <v>3708</v>
      </c>
      <c r="B1126" s="39">
        <f>+B1125*AIU</f>
        <v>93152.58626126562</v>
      </c>
      <c r="C1126" s="589"/>
      <c r="D1126" s="13"/>
      <c r="E1126" s="170"/>
      <c r="F1126" s="170"/>
      <c r="G1126" s="170"/>
      <c r="H1126" s="170"/>
      <c r="I1126" s="170"/>
    </row>
    <row r="1127" spans="1:9">
      <c r="A1127" s="587" t="s">
        <v>191</v>
      </c>
      <c r="B1127" s="39">
        <f>SUM(B1125:B1126)</f>
        <v>408152.58626126562</v>
      </c>
      <c r="C1127" s="589" t="s">
        <v>363</v>
      </c>
      <c r="D1127" s="13"/>
      <c r="E1127" s="170"/>
      <c r="F1127" s="170"/>
      <c r="G1127" s="170"/>
      <c r="H1127" s="170"/>
      <c r="I1127" s="170"/>
    </row>
    <row r="1128" spans="1:9">
      <c r="A1128" s="471"/>
      <c r="B1128" s="602"/>
      <c r="C1128" s="603"/>
      <c r="D1128" s="13"/>
      <c r="E1128" s="170"/>
      <c r="F1128" s="170"/>
      <c r="G1128" s="170"/>
      <c r="H1128" s="170"/>
      <c r="I1128" s="170"/>
    </row>
    <row r="1129" spans="1:9">
      <c r="A1129" s="594" t="s">
        <v>441</v>
      </c>
      <c r="B1129" s="3547" t="s">
        <v>3673</v>
      </c>
      <c r="C1129" s="3548"/>
      <c r="D1129" s="3548"/>
      <c r="E1129" s="3548"/>
      <c r="F1129" s="3548"/>
      <c r="G1129" s="3548"/>
      <c r="H1129" s="3548"/>
      <c r="I1129" s="3549"/>
    </row>
    <row r="1130" spans="1:9">
      <c r="A1130" s="243" t="s">
        <v>1520</v>
      </c>
      <c r="B1130" s="179" t="s">
        <v>1521</v>
      </c>
      <c r="C1130" s="589" t="s">
        <v>140</v>
      </c>
      <c r="D1130" s="2" t="s">
        <v>343</v>
      </c>
      <c r="E1130" s="585" t="s">
        <v>344</v>
      </c>
      <c r="F1130" s="585" t="s">
        <v>482</v>
      </c>
      <c r="G1130" s="585" t="s">
        <v>483</v>
      </c>
      <c r="H1130" s="585" t="s">
        <v>232</v>
      </c>
      <c r="I1130" s="585" t="s">
        <v>171</v>
      </c>
    </row>
    <row r="1131" spans="1:9" ht="39.6">
      <c r="A1131" s="530" t="s">
        <v>1957</v>
      </c>
      <c r="B1131" s="534" t="s">
        <v>5078</v>
      </c>
      <c r="C1131" s="589">
        <v>1</v>
      </c>
      <c r="D1131" s="6" t="s">
        <v>363</v>
      </c>
      <c r="E1131" s="585">
        <f>38524150</f>
        <v>38524150</v>
      </c>
      <c r="F1131" s="585"/>
      <c r="G1131" s="585">
        <f>+C1131*E1131</f>
        <v>38524150</v>
      </c>
      <c r="H1131" s="536"/>
      <c r="I1131" s="536"/>
    </row>
    <row r="1132" spans="1:9">
      <c r="A1132" s="535" t="s">
        <v>3671</v>
      </c>
      <c r="B1132" s="536" t="s">
        <v>1844</v>
      </c>
      <c r="C1132" s="589">
        <v>8</v>
      </c>
      <c r="D1132" s="6" t="s">
        <v>363</v>
      </c>
      <c r="E1132" s="585">
        <f>VLOOKUP(B1132,MATERIALES!B:C,2,0)</f>
        <v>85000</v>
      </c>
      <c r="F1132" s="585"/>
      <c r="G1132" s="585">
        <f>+C1132*E1132</f>
        <v>680000</v>
      </c>
      <c r="H1132" s="536"/>
      <c r="I1132" s="536"/>
    </row>
    <row r="1133" spans="1:9">
      <c r="A1133" s="2" t="s">
        <v>584</v>
      </c>
      <c r="B1133" s="180" t="s">
        <v>2236</v>
      </c>
      <c r="C1133" s="589">
        <v>1</v>
      </c>
      <c r="D1133" s="2" t="s">
        <v>583</v>
      </c>
      <c r="E1133" s="585">
        <f>VLOOKUP(B1133,MATERIALES!B:C,2,0)</f>
        <v>750000</v>
      </c>
      <c r="F1133" s="585"/>
      <c r="G1133" s="585" t="s">
        <v>441</v>
      </c>
      <c r="H1133" s="585"/>
      <c r="I1133" s="585">
        <f>+E1133*C1133</f>
        <v>750000</v>
      </c>
    </row>
    <row r="1134" spans="1:9">
      <c r="A1134" s="587" t="s">
        <v>190</v>
      </c>
      <c r="B1134" s="588">
        <f>SUM(G1134:I1134)</f>
        <v>39954150</v>
      </c>
      <c r="C1134" s="589"/>
      <c r="D1134" s="601"/>
      <c r="E1134" s="585"/>
      <c r="F1134" s="585">
        <v>0</v>
      </c>
      <c r="G1134" s="585">
        <f>SUM(G1131:G1133)</f>
        <v>39204150</v>
      </c>
      <c r="H1134" s="585">
        <f>SUM(H1133:H1133)</f>
        <v>0</v>
      </c>
      <c r="I1134" s="585">
        <f>SUM(I1133:I1133)</f>
        <v>750000</v>
      </c>
    </row>
    <row r="1135" spans="1:9">
      <c r="A1135" s="21" t="s">
        <v>3708</v>
      </c>
      <c r="B1135" s="39">
        <f>+B1134*AIU</f>
        <v>11815340.9662557</v>
      </c>
      <c r="C1135" s="589"/>
      <c r="D1135" s="13"/>
      <c r="E1135" s="170"/>
      <c r="F1135" s="170"/>
      <c r="G1135" s="170"/>
      <c r="H1135" s="170"/>
      <c r="I1135" s="170"/>
    </row>
    <row r="1136" spans="1:9">
      <c r="A1136" s="587" t="s">
        <v>191</v>
      </c>
      <c r="B1136" s="39">
        <f>SUM(B1134:B1135)</f>
        <v>51769490.966255702</v>
      </c>
      <c r="C1136" s="589" t="s">
        <v>363</v>
      </c>
      <c r="D1136" s="13"/>
      <c r="E1136" s="170"/>
      <c r="F1136" s="170"/>
      <c r="G1136" s="170"/>
      <c r="H1136" s="170"/>
      <c r="I1136" s="170"/>
    </row>
    <row r="1137" spans="1:9">
      <c r="A1137" s="471"/>
      <c r="B1137" s="602"/>
      <c r="C1137" s="603"/>
      <c r="D1137" s="13"/>
      <c r="E1137" s="170"/>
      <c r="F1137" s="170"/>
      <c r="G1137" s="170"/>
      <c r="H1137" s="170"/>
      <c r="I1137" s="170"/>
    </row>
    <row r="1138" spans="1:9">
      <c r="A1138" s="594" t="s">
        <v>441</v>
      </c>
      <c r="B1138" s="3547" t="s">
        <v>1341</v>
      </c>
      <c r="C1138" s="3548"/>
      <c r="D1138" s="3548"/>
      <c r="E1138" s="3548"/>
      <c r="F1138" s="3548"/>
      <c r="G1138" s="3548"/>
      <c r="H1138" s="3548"/>
      <c r="I1138" s="3549"/>
    </row>
    <row r="1139" spans="1:9">
      <c r="A1139" s="243" t="s">
        <v>1520</v>
      </c>
      <c r="B1139" s="179" t="s">
        <v>1521</v>
      </c>
      <c r="C1139" s="589" t="s">
        <v>140</v>
      </c>
      <c r="D1139" s="2" t="s">
        <v>343</v>
      </c>
      <c r="E1139" s="585" t="s">
        <v>344</v>
      </c>
      <c r="F1139" s="585" t="s">
        <v>482</v>
      </c>
      <c r="G1139" s="585" t="s">
        <v>483</v>
      </c>
      <c r="H1139" s="585" t="s">
        <v>232</v>
      </c>
      <c r="I1139" s="585" t="s">
        <v>171</v>
      </c>
    </row>
    <row r="1140" spans="1:9" ht="33.6">
      <c r="A1140" s="243" t="s">
        <v>3627</v>
      </c>
      <c r="B1140" s="536" t="s">
        <v>1818</v>
      </c>
      <c r="C1140" s="583">
        <v>5</v>
      </c>
      <c r="D1140" s="243" t="s">
        <v>346</v>
      </c>
      <c r="E1140" s="585">
        <v>150000</v>
      </c>
      <c r="F1140" s="65"/>
      <c r="G1140" s="65"/>
      <c r="H1140" s="65">
        <f>+C1140*E1140</f>
        <v>750000</v>
      </c>
      <c r="I1140" s="65"/>
    </row>
    <row r="1141" spans="1:9">
      <c r="A1141" s="2" t="s">
        <v>172</v>
      </c>
      <c r="B1141" s="18" t="s">
        <v>189</v>
      </c>
      <c r="C1141" s="589">
        <v>1</v>
      </c>
      <c r="D1141" s="6" t="s">
        <v>583</v>
      </c>
      <c r="E1141" s="585">
        <f>+H1140*0.05</f>
        <v>37500</v>
      </c>
      <c r="F1141" s="585"/>
      <c r="G1141" s="585" t="s">
        <v>441</v>
      </c>
      <c r="H1141" s="585"/>
      <c r="I1141" s="585">
        <f>+E1141*C1141</f>
        <v>37500</v>
      </c>
    </row>
    <row r="1142" spans="1:9">
      <c r="A1142" s="587" t="s">
        <v>190</v>
      </c>
      <c r="B1142" s="588">
        <f>SUM(G1142:I1142)</f>
        <v>787500</v>
      </c>
      <c r="C1142" s="589"/>
      <c r="D1142" s="601"/>
      <c r="E1142" s="585"/>
      <c r="F1142" s="585">
        <v>0</v>
      </c>
      <c r="G1142" s="585">
        <f>SUM(G1140:G1141)</f>
        <v>0</v>
      </c>
      <c r="H1142" s="585">
        <f>SUM(H1140:H1141)</f>
        <v>750000</v>
      </c>
      <c r="I1142" s="585">
        <f>SUM(I1141:I1141)</f>
        <v>37500</v>
      </c>
    </row>
    <row r="1143" spans="1:9">
      <c r="A1143" s="21" t="s">
        <v>3708</v>
      </c>
      <c r="B1143" s="39">
        <f>+B1142*AIU</f>
        <v>232881.46565316405</v>
      </c>
      <c r="C1143" s="589"/>
      <c r="D1143" s="13"/>
      <c r="E1143" s="170"/>
      <c r="F1143" s="170"/>
      <c r="G1143" s="170"/>
      <c r="H1143" s="170"/>
      <c r="I1143" s="170"/>
    </row>
    <row r="1144" spans="1:9">
      <c r="A1144" s="587" t="s">
        <v>191</v>
      </c>
      <c r="B1144" s="39">
        <f>SUM(B1142:B1143)</f>
        <v>1020381.4656531641</v>
      </c>
      <c r="C1144" s="589" t="s">
        <v>363</v>
      </c>
      <c r="D1144" s="13"/>
      <c r="E1144" s="170"/>
      <c r="F1144" s="170"/>
      <c r="G1144" s="170"/>
      <c r="H1144" s="170"/>
      <c r="I1144" s="170"/>
    </row>
    <row r="1145" spans="1:9">
      <c r="A1145" s="471"/>
      <c r="B1145" s="602"/>
      <c r="C1145" s="603"/>
      <c r="D1145" s="13"/>
      <c r="E1145" s="170"/>
      <c r="F1145" s="170"/>
      <c r="G1145" s="170"/>
      <c r="H1145" s="170"/>
      <c r="I1145" s="170"/>
    </row>
    <row r="1146" spans="1:9">
      <c r="A1146" s="594" t="s">
        <v>441</v>
      </c>
      <c r="B1146" s="3547" t="s">
        <v>3674</v>
      </c>
      <c r="C1146" s="3548"/>
      <c r="D1146" s="3548"/>
      <c r="E1146" s="3548"/>
      <c r="F1146" s="3548"/>
      <c r="G1146" s="3548"/>
      <c r="H1146" s="3548"/>
      <c r="I1146" s="3549"/>
    </row>
    <row r="1147" spans="1:9">
      <c r="A1147" s="243" t="s">
        <v>1520</v>
      </c>
      <c r="B1147" s="179" t="s">
        <v>1521</v>
      </c>
      <c r="C1147" s="589" t="s">
        <v>140</v>
      </c>
      <c r="D1147" s="2" t="s">
        <v>343</v>
      </c>
      <c r="E1147" s="585" t="s">
        <v>344</v>
      </c>
      <c r="F1147" s="585" t="s">
        <v>482</v>
      </c>
      <c r="G1147" s="585" t="s">
        <v>483</v>
      </c>
      <c r="H1147" s="585" t="s">
        <v>232</v>
      </c>
      <c r="I1147" s="585" t="s">
        <v>171</v>
      </c>
    </row>
    <row r="1148" spans="1:9" ht="39.6">
      <c r="A1148" s="530" t="s">
        <v>1955</v>
      </c>
      <c r="B1148" s="534" t="s">
        <v>5079</v>
      </c>
      <c r="C1148" s="589">
        <v>1</v>
      </c>
      <c r="D1148" s="6" t="s">
        <v>363</v>
      </c>
      <c r="E1148" s="585">
        <f>+E1131</f>
        <v>38524150</v>
      </c>
      <c r="F1148" s="585"/>
      <c r="G1148" s="585">
        <f>+C1148*E1148</f>
        <v>38524150</v>
      </c>
      <c r="H1148" s="536"/>
      <c r="I1148" s="536"/>
    </row>
    <row r="1149" spans="1:9">
      <c r="A1149" s="535" t="s">
        <v>3671</v>
      </c>
      <c r="B1149" s="536" t="s">
        <v>1844</v>
      </c>
      <c r="C1149" s="589">
        <v>8</v>
      </c>
      <c r="D1149" s="6" t="s">
        <v>363</v>
      </c>
      <c r="E1149" s="585">
        <f>VLOOKUP(B1149,MATERIALES!B:C,2,0)</f>
        <v>85000</v>
      </c>
      <c r="F1149" s="585"/>
      <c r="G1149" s="585">
        <f>+C1149*E1149</f>
        <v>680000</v>
      </c>
      <c r="H1149" s="536"/>
      <c r="I1149" s="536"/>
    </row>
    <row r="1150" spans="1:9">
      <c r="A1150" s="2" t="s">
        <v>584</v>
      </c>
      <c r="B1150" s="180" t="s">
        <v>2236</v>
      </c>
      <c r="C1150" s="589">
        <v>1</v>
      </c>
      <c r="D1150" s="2" t="s">
        <v>583</v>
      </c>
      <c r="E1150" s="585">
        <f>VLOOKUP(B1150,MATERIALES!B:C,2,0)</f>
        <v>750000</v>
      </c>
      <c r="F1150" s="585"/>
      <c r="G1150" s="585" t="s">
        <v>441</v>
      </c>
      <c r="H1150" s="585"/>
      <c r="I1150" s="585">
        <f>+E1150*C1150</f>
        <v>750000</v>
      </c>
    </row>
    <row r="1151" spans="1:9">
      <c r="A1151" s="587" t="s">
        <v>190</v>
      </c>
      <c r="B1151" s="588">
        <f>SUM(G1151:I1151)</f>
        <v>39954150</v>
      </c>
      <c r="C1151" s="589"/>
      <c r="D1151" s="601"/>
      <c r="E1151" s="585"/>
      <c r="F1151" s="585">
        <v>0</v>
      </c>
      <c r="G1151" s="585">
        <f>SUM(G1148:G1150)</f>
        <v>39204150</v>
      </c>
      <c r="H1151" s="585">
        <f>SUM(H1150:H1150)</f>
        <v>0</v>
      </c>
      <c r="I1151" s="585">
        <f>SUM(I1150:I1150)</f>
        <v>750000</v>
      </c>
    </row>
    <row r="1152" spans="1:9">
      <c r="A1152" s="21" t="s">
        <v>3708</v>
      </c>
      <c r="B1152" s="39">
        <f>+B1151*AIU</f>
        <v>11815340.9662557</v>
      </c>
      <c r="C1152" s="589"/>
      <c r="D1152" s="13"/>
      <c r="E1152" s="170"/>
      <c r="F1152" s="170"/>
      <c r="G1152" s="170"/>
      <c r="H1152" s="170"/>
      <c r="I1152" s="170"/>
    </row>
    <row r="1153" spans="1:9">
      <c r="A1153" s="587" t="s">
        <v>191</v>
      </c>
      <c r="B1153" s="39">
        <f>SUM(B1151:B1152)</f>
        <v>51769490.966255702</v>
      </c>
      <c r="C1153" s="589" t="s">
        <v>363</v>
      </c>
      <c r="D1153" s="13"/>
      <c r="E1153" s="170"/>
      <c r="F1153" s="170"/>
      <c r="G1153" s="170"/>
      <c r="H1153" s="170"/>
      <c r="I1153" s="170"/>
    </row>
    <row r="1154" spans="1:9">
      <c r="A1154" s="471"/>
      <c r="B1154" s="602"/>
      <c r="C1154" s="603"/>
      <c r="D1154" s="13"/>
      <c r="E1154" s="170"/>
      <c r="F1154" s="170"/>
      <c r="G1154" s="170"/>
      <c r="H1154" s="170"/>
      <c r="I1154" s="170"/>
    </row>
    <row r="1155" spans="1:9">
      <c r="A1155" s="594" t="s">
        <v>441</v>
      </c>
      <c r="B1155" s="3547" t="s">
        <v>3675</v>
      </c>
      <c r="C1155" s="3548"/>
      <c r="D1155" s="3548"/>
      <c r="E1155" s="3548"/>
      <c r="F1155" s="3548"/>
      <c r="G1155" s="3548"/>
      <c r="H1155" s="3548"/>
      <c r="I1155" s="3549"/>
    </row>
    <row r="1156" spans="1:9">
      <c r="A1156" s="243" t="s">
        <v>1520</v>
      </c>
      <c r="B1156" s="179" t="s">
        <v>1521</v>
      </c>
      <c r="C1156" s="589" t="s">
        <v>140</v>
      </c>
      <c r="D1156" s="2" t="s">
        <v>343</v>
      </c>
      <c r="E1156" s="585" t="s">
        <v>344</v>
      </c>
      <c r="F1156" s="585" t="s">
        <v>482</v>
      </c>
      <c r="G1156" s="585" t="s">
        <v>483</v>
      </c>
      <c r="H1156" s="585" t="s">
        <v>232</v>
      </c>
      <c r="I1156" s="585" t="s">
        <v>171</v>
      </c>
    </row>
    <row r="1157" spans="1:9" ht="33.6">
      <c r="A1157" s="243" t="s">
        <v>3627</v>
      </c>
      <c r="B1157" s="536" t="s">
        <v>1818</v>
      </c>
      <c r="C1157" s="583">
        <v>5</v>
      </c>
      <c r="D1157" s="243" t="s">
        <v>346</v>
      </c>
      <c r="E1157" s="585">
        <v>150000</v>
      </c>
      <c r="F1157" s="65"/>
      <c r="G1157" s="65"/>
      <c r="H1157" s="65">
        <f>+C1157*E1157</f>
        <v>750000</v>
      </c>
      <c r="I1157" s="65"/>
    </row>
    <row r="1158" spans="1:9">
      <c r="A1158" s="2" t="s">
        <v>172</v>
      </c>
      <c r="B1158" s="18" t="s">
        <v>189</v>
      </c>
      <c r="C1158" s="589">
        <v>1</v>
      </c>
      <c r="D1158" s="6" t="s">
        <v>583</v>
      </c>
      <c r="E1158" s="585">
        <f>+H1157*0.05</f>
        <v>37500</v>
      </c>
      <c r="F1158" s="585"/>
      <c r="G1158" s="585" t="s">
        <v>441</v>
      </c>
      <c r="H1158" s="585"/>
      <c r="I1158" s="585">
        <f>+E1158*C1158</f>
        <v>37500</v>
      </c>
    </row>
    <row r="1159" spans="1:9">
      <c r="A1159" s="587" t="s">
        <v>190</v>
      </c>
      <c r="B1159" s="588">
        <f>SUM(G1159:I1159)</f>
        <v>787500</v>
      </c>
      <c r="C1159" s="589"/>
      <c r="D1159" s="601"/>
      <c r="E1159" s="585"/>
      <c r="F1159" s="585">
        <v>0</v>
      </c>
      <c r="G1159" s="585">
        <f>SUM(G1157:G1158)</f>
        <v>0</v>
      </c>
      <c r="H1159" s="585">
        <f>SUM(H1157:H1158)</f>
        <v>750000</v>
      </c>
      <c r="I1159" s="585">
        <f>SUM(I1158:I1158)</f>
        <v>37500</v>
      </c>
    </row>
    <row r="1160" spans="1:9">
      <c r="A1160" s="21" t="s">
        <v>3708</v>
      </c>
      <c r="B1160" s="39">
        <f>+B1159*AIU</f>
        <v>232881.46565316405</v>
      </c>
      <c r="C1160" s="589"/>
      <c r="D1160" s="13"/>
      <c r="E1160" s="170"/>
      <c r="F1160" s="170"/>
      <c r="G1160" s="170"/>
      <c r="H1160" s="170"/>
      <c r="I1160" s="170"/>
    </row>
    <row r="1161" spans="1:9">
      <c r="A1161" s="587" t="s">
        <v>191</v>
      </c>
      <c r="B1161" s="39">
        <f>SUM(B1159:B1160)</f>
        <v>1020381.4656531641</v>
      </c>
      <c r="C1161" s="589" t="s">
        <v>363</v>
      </c>
      <c r="D1161" s="13"/>
      <c r="E1161" s="170"/>
      <c r="F1161" s="170"/>
      <c r="G1161" s="170"/>
      <c r="H1161" s="170"/>
      <c r="I1161" s="170"/>
    </row>
    <row r="1162" spans="1:9">
      <c r="A1162" s="471"/>
      <c r="B1162" s="602"/>
      <c r="C1162" s="603"/>
      <c r="D1162" s="13"/>
      <c r="E1162" s="170"/>
      <c r="F1162" s="170"/>
      <c r="G1162" s="170"/>
      <c r="H1162" s="170"/>
      <c r="I1162" s="170"/>
    </row>
    <row r="1163" spans="1:9">
      <c r="A1163" s="594" t="s">
        <v>441</v>
      </c>
      <c r="B1163" s="3547" t="s">
        <v>5077</v>
      </c>
      <c r="C1163" s="3548"/>
      <c r="D1163" s="3548"/>
      <c r="E1163" s="3548"/>
      <c r="F1163" s="3548"/>
      <c r="G1163" s="3548"/>
      <c r="H1163" s="3548"/>
      <c r="I1163" s="3549"/>
    </row>
    <row r="1164" spans="1:9">
      <c r="A1164" s="243" t="s">
        <v>1520</v>
      </c>
      <c r="B1164" s="179" t="s">
        <v>1521</v>
      </c>
      <c r="C1164" s="589" t="s">
        <v>140</v>
      </c>
      <c r="D1164" s="2" t="s">
        <v>343</v>
      </c>
      <c r="E1164" s="585" t="s">
        <v>344</v>
      </c>
      <c r="F1164" s="585" t="s">
        <v>482</v>
      </c>
      <c r="G1164" s="585" t="s">
        <v>483</v>
      </c>
      <c r="H1164" s="585" t="s">
        <v>232</v>
      </c>
      <c r="I1164" s="585" t="s">
        <v>171</v>
      </c>
    </row>
    <row r="1165" spans="1:9" ht="39.6">
      <c r="A1165" s="530" t="s">
        <v>1953</v>
      </c>
      <c r="B1165" s="534" t="s">
        <v>1954</v>
      </c>
      <c r="C1165" s="589">
        <v>1</v>
      </c>
      <c r="D1165" s="6" t="s">
        <v>363</v>
      </c>
      <c r="E1165" s="585">
        <f>30524150*1.19</f>
        <v>36323738.5</v>
      </c>
      <c r="F1165" s="585"/>
      <c r="G1165" s="585">
        <f>+C1165*E1165</f>
        <v>36323738.5</v>
      </c>
      <c r="H1165" s="536"/>
      <c r="I1165" s="536"/>
    </row>
    <row r="1166" spans="1:9">
      <c r="A1166" s="535" t="s">
        <v>1805</v>
      </c>
      <c r="B1166" s="536" t="s">
        <v>1806</v>
      </c>
      <c r="C1166" s="589">
        <v>1</v>
      </c>
      <c r="D1166" s="6" t="s">
        <v>363</v>
      </c>
      <c r="E1166" s="585">
        <f>VLOOKUP(B1166,MATERIALES!B:C,2,0)</f>
        <v>180000</v>
      </c>
      <c r="F1166" s="585"/>
      <c r="G1166" s="585">
        <f>+C1166*E1166</f>
        <v>180000</v>
      </c>
      <c r="H1166" s="536"/>
      <c r="I1166" s="536"/>
    </row>
    <row r="1167" spans="1:9">
      <c r="A1167" s="535" t="s">
        <v>3671</v>
      </c>
      <c r="B1167" s="536" t="s">
        <v>1844</v>
      </c>
      <c r="C1167" s="589">
        <v>8</v>
      </c>
      <c r="D1167" s="6" t="s">
        <v>363</v>
      </c>
      <c r="E1167" s="585">
        <f>VLOOKUP(B1167,MATERIALES!B:C,2,0)</f>
        <v>85000</v>
      </c>
      <c r="F1167" s="585"/>
      <c r="G1167" s="585">
        <f>+C1167*E1167</f>
        <v>680000</v>
      </c>
      <c r="H1167" s="536"/>
      <c r="I1167" s="536"/>
    </row>
    <row r="1168" spans="1:9">
      <c r="A1168" s="2" t="s">
        <v>584</v>
      </c>
      <c r="B1168" s="180" t="s">
        <v>2236</v>
      </c>
      <c r="C1168" s="589">
        <v>1</v>
      </c>
      <c r="D1168" s="2" t="s">
        <v>583</v>
      </c>
      <c r="E1168" s="585">
        <f>VLOOKUP(B1168,MATERIALES!B:C,2,0)</f>
        <v>750000</v>
      </c>
      <c r="F1168" s="585"/>
      <c r="G1168" s="585" t="s">
        <v>441</v>
      </c>
      <c r="H1168" s="585"/>
      <c r="I1168" s="585">
        <f>+E1168*C1168</f>
        <v>750000</v>
      </c>
    </row>
    <row r="1169" spans="1:9">
      <c r="A1169" s="587" t="s">
        <v>190</v>
      </c>
      <c r="B1169" s="588">
        <f>SUM(G1169:I1169)</f>
        <v>37933738.5</v>
      </c>
      <c r="C1169" s="589"/>
      <c r="D1169" s="601"/>
      <c r="E1169" s="585"/>
      <c r="F1169" s="585">
        <v>0</v>
      </c>
      <c r="G1169" s="585">
        <f>SUM(G1165:G1168)</f>
        <v>37183738.5</v>
      </c>
      <c r="H1169" s="585">
        <f>SUM(H1168:H1168)</f>
        <v>0</v>
      </c>
      <c r="I1169" s="585">
        <f>SUM(I1168:I1168)</f>
        <v>750000</v>
      </c>
    </row>
    <row r="1170" spans="1:9">
      <c r="A1170" s="21" t="s">
        <v>3708</v>
      </c>
      <c r="B1170" s="39">
        <f>+B1169*AIU</f>
        <v>11217859.834392199</v>
      </c>
      <c r="C1170" s="589"/>
      <c r="D1170" s="13"/>
      <c r="E1170" s="170"/>
      <c r="F1170" s="170"/>
      <c r="G1170" s="170"/>
      <c r="H1170" s="170"/>
      <c r="I1170" s="170"/>
    </row>
    <row r="1171" spans="1:9">
      <c r="A1171" s="587" t="s">
        <v>191</v>
      </c>
      <c r="B1171" s="39">
        <f>SUM(B1169:B1170)</f>
        <v>49151598.334392197</v>
      </c>
      <c r="C1171" s="589" t="s">
        <v>363</v>
      </c>
      <c r="D1171" s="13"/>
      <c r="E1171" s="170"/>
      <c r="F1171" s="170"/>
      <c r="G1171" s="170"/>
      <c r="H1171" s="170"/>
      <c r="I1171" s="170"/>
    </row>
    <row r="1172" spans="1:9">
      <c r="A1172" s="471"/>
      <c r="B1172" s="602"/>
      <c r="C1172" s="603"/>
      <c r="D1172" s="13"/>
      <c r="E1172" s="170"/>
      <c r="F1172" s="170"/>
      <c r="G1172" s="170"/>
      <c r="H1172" s="170"/>
      <c r="I1172" s="170"/>
    </row>
    <row r="1173" spans="1:9">
      <c r="A1173" s="594" t="s">
        <v>441</v>
      </c>
      <c r="B1173" s="3547" t="s">
        <v>1437</v>
      </c>
      <c r="C1173" s="3548"/>
      <c r="D1173" s="3548"/>
      <c r="E1173" s="3548"/>
      <c r="F1173" s="3548"/>
      <c r="G1173" s="3548"/>
      <c r="H1173" s="3548"/>
      <c r="I1173" s="3549"/>
    </row>
    <row r="1174" spans="1:9">
      <c r="A1174" s="243" t="s">
        <v>1520</v>
      </c>
      <c r="B1174" s="179" t="s">
        <v>1521</v>
      </c>
      <c r="C1174" s="589" t="s">
        <v>140</v>
      </c>
      <c r="D1174" s="2" t="s">
        <v>343</v>
      </c>
      <c r="E1174" s="585" t="s">
        <v>344</v>
      </c>
      <c r="F1174" s="585" t="s">
        <v>482</v>
      </c>
      <c r="G1174" s="585" t="s">
        <v>483</v>
      </c>
      <c r="H1174" s="585" t="s">
        <v>232</v>
      </c>
      <c r="I1174" s="585" t="s">
        <v>171</v>
      </c>
    </row>
    <row r="1175" spans="1:9" ht="33.6">
      <c r="A1175" s="243" t="s">
        <v>3627</v>
      </c>
      <c r="B1175" s="536" t="s">
        <v>1818</v>
      </c>
      <c r="C1175" s="583">
        <v>2.5</v>
      </c>
      <c r="D1175" s="243" t="s">
        <v>346</v>
      </c>
      <c r="E1175" s="585">
        <f>VLOOKUP(B1175,MATERIALES!B:C,2,0)</f>
        <v>150000</v>
      </c>
      <c r="F1175" s="65"/>
      <c r="G1175" s="65"/>
      <c r="H1175" s="65">
        <f>+C1175*E1175</f>
        <v>375000</v>
      </c>
      <c r="I1175" s="65"/>
    </row>
    <row r="1176" spans="1:9">
      <c r="A1176" s="2" t="s">
        <v>172</v>
      </c>
      <c r="B1176" s="18" t="s">
        <v>189</v>
      </c>
      <c r="C1176" s="589">
        <v>1</v>
      </c>
      <c r="D1176" s="6" t="s">
        <v>583</v>
      </c>
      <c r="E1176" s="585">
        <f>+H1175*0.05</f>
        <v>18750</v>
      </c>
      <c r="F1176" s="585"/>
      <c r="G1176" s="585" t="s">
        <v>441</v>
      </c>
      <c r="H1176" s="585"/>
      <c r="I1176" s="585">
        <f>+E1176*C1176</f>
        <v>18750</v>
      </c>
    </row>
    <row r="1177" spans="1:9">
      <c r="A1177" s="587" t="s">
        <v>190</v>
      </c>
      <c r="B1177" s="588">
        <f>SUM(G1177:I1177)</f>
        <v>393750</v>
      </c>
      <c r="C1177" s="589"/>
      <c r="D1177" s="601"/>
      <c r="E1177" s="585"/>
      <c r="F1177" s="585">
        <v>0</v>
      </c>
      <c r="G1177" s="585">
        <f>SUM(G1175:G1176)</f>
        <v>0</v>
      </c>
      <c r="H1177" s="585">
        <f>SUM(H1175:H1176)</f>
        <v>375000</v>
      </c>
      <c r="I1177" s="585">
        <f>SUM(I1176:I1176)</f>
        <v>18750</v>
      </c>
    </row>
    <row r="1178" spans="1:9">
      <c r="A1178" s="21" t="s">
        <v>3708</v>
      </c>
      <c r="B1178" s="39">
        <f>+B1177*AIU</f>
        <v>116440.73282658203</v>
      </c>
      <c r="C1178" s="589"/>
      <c r="D1178" s="13"/>
      <c r="E1178" s="170"/>
      <c r="F1178" s="170"/>
      <c r="G1178" s="170"/>
      <c r="H1178" s="170"/>
      <c r="I1178" s="170"/>
    </row>
    <row r="1179" spans="1:9">
      <c r="A1179" s="587" t="s">
        <v>191</v>
      </c>
      <c r="B1179" s="39">
        <f>SUM(B1177:B1178)</f>
        <v>510190.73282658204</v>
      </c>
      <c r="C1179" s="589" t="s">
        <v>363</v>
      </c>
      <c r="D1179" s="13"/>
      <c r="E1179" s="170"/>
      <c r="F1179" s="170"/>
      <c r="G1179" s="170"/>
      <c r="H1179" s="170"/>
      <c r="I1179" s="170"/>
    </row>
    <row r="1180" spans="1:9">
      <c r="A1180" s="471"/>
      <c r="B1180" s="602"/>
      <c r="C1180" s="603"/>
      <c r="D1180" s="13"/>
      <c r="E1180" s="170"/>
      <c r="F1180" s="170"/>
      <c r="G1180" s="170"/>
      <c r="H1180" s="170"/>
      <c r="I1180" s="170"/>
    </row>
    <row r="1181" spans="1:9">
      <c r="A1181" s="594" t="s">
        <v>441</v>
      </c>
      <c r="B1181" s="3547" t="s">
        <v>3677</v>
      </c>
      <c r="C1181" s="3548"/>
      <c r="D1181" s="3548"/>
      <c r="E1181" s="3548"/>
      <c r="F1181" s="3548"/>
      <c r="G1181" s="3548"/>
      <c r="H1181" s="3548"/>
      <c r="I1181" s="3549"/>
    </row>
    <row r="1182" spans="1:9">
      <c r="A1182" s="243" t="s">
        <v>1520</v>
      </c>
      <c r="B1182" s="179" t="s">
        <v>1521</v>
      </c>
      <c r="C1182" s="589" t="s">
        <v>140</v>
      </c>
      <c r="D1182" s="2" t="s">
        <v>343</v>
      </c>
      <c r="E1182" s="585" t="s">
        <v>344</v>
      </c>
      <c r="F1182" s="585" t="s">
        <v>482</v>
      </c>
      <c r="G1182" s="585" t="s">
        <v>483</v>
      </c>
      <c r="H1182" s="585" t="s">
        <v>232</v>
      </c>
      <c r="I1182" s="585" t="s">
        <v>171</v>
      </c>
    </row>
    <row r="1183" spans="1:9" ht="67.2">
      <c r="A1183" s="243" t="s">
        <v>2316</v>
      </c>
      <c r="B1183" s="536" t="s">
        <v>2317</v>
      </c>
      <c r="C1183" s="589">
        <v>1</v>
      </c>
      <c r="D1183" s="6" t="s">
        <v>363</v>
      </c>
      <c r="E1183" s="585">
        <v>32596162.5</v>
      </c>
      <c r="F1183" s="585"/>
      <c r="G1183" s="585">
        <f t="shared" ref="G1183" si="0">+C1183*E1183</f>
        <v>32596162.5</v>
      </c>
      <c r="H1183" s="585"/>
      <c r="I1183" s="585"/>
    </row>
    <row r="1184" spans="1:9">
      <c r="A1184" s="2"/>
      <c r="B1184" s="180" t="s">
        <v>2236</v>
      </c>
      <c r="C1184" s="589">
        <v>0.5</v>
      </c>
      <c r="D1184" s="2" t="s">
        <v>583</v>
      </c>
      <c r="E1184" s="585">
        <f>VLOOKUP(B1184,MATERIALES!B:C,2,0)</f>
        <v>750000</v>
      </c>
      <c r="F1184" s="585"/>
      <c r="G1184" s="585" t="s">
        <v>441</v>
      </c>
      <c r="H1184" s="585"/>
      <c r="I1184" s="585">
        <f>+E1184*C1184</f>
        <v>375000</v>
      </c>
    </row>
    <row r="1185" spans="1:9">
      <c r="A1185" s="587" t="s">
        <v>190</v>
      </c>
      <c r="B1185" s="588">
        <f>SUM(G1185:I1185)</f>
        <v>32971162.5</v>
      </c>
      <c r="C1185" s="589"/>
      <c r="D1185" s="601"/>
      <c r="E1185" s="585"/>
      <c r="F1185" s="585">
        <v>0</v>
      </c>
      <c r="G1185" s="585">
        <f>SUM(G1183:G1183)</f>
        <v>32596162.5</v>
      </c>
      <c r="H1185" s="585">
        <f>SUM(H1184:H1184)</f>
        <v>0</v>
      </c>
      <c r="I1185" s="585">
        <f>SUM(I1184:I1184)</f>
        <v>375000</v>
      </c>
    </row>
    <row r="1186" spans="1:9">
      <c r="A1186" s="21" t="s">
        <v>3708</v>
      </c>
      <c r="B1186" s="39">
        <f>+B1185*AIU</f>
        <v>9750314.4727474786</v>
      </c>
      <c r="C1186" s="589"/>
      <c r="D1186" s="13"/>
      <c r="E1186" s="170"/>
      <c r="F1186" s="170"/>
      <c r="G1186" s="170"/>
      <c r="H1186" s="170"/>
      <c r="I1186" s="170"/>
    </row>
    <row r="1187" spans="1:9">
      <c r="A1187" s="587" t="s">
        <v>191</v>
      </c>
      <c r="B1187" s="39">
        <f>SUM(B1185:B1186)</f>
        <v>42721476.972747475</v>
      </c>
      <c r="C1187" s="589" t="s">
        <v>363</v>
      </c>
      <c r="D1187" s="13"/>
      <c r="E1187" s="170"/>
      <c r="F1187" s="170"/>
      <c r="G1187" s="170"/>
      <c r="H1187" s="170"/>
      <c r="I1187" s="170"/>
    </row>
    <row r="1188" spans="1:9">
      <c r="A1188" s="596"/>
      <c r="B1188" s="597"/>
      <c r="C1188" s="598"/>
      <c r="D1188" s="596"/>
      <c r="E1188" s="606"/>
      <c r="F1188" s="599"/>
      <c r="G1188" s="599"/>
      <c r="H1188" s="599"/>
      <c r="I1188" s="599"/>
    </row>
    <row r="1189" spans="1:9">
      <c r="A1189" s="594" t="s">
        <v>441</v>
      </c>
      <c r="B1189" s="3547" t="s">
        <v>3678</v>
      </c>
      <c r="C1189" s="3548"/>
      <c r="D1189" s="3548"/>
      <c r="E1189" s="3548"/>
      <c r="F1189" s="3548"/>
      <c r="G1189" s="3548"/>
      <c r="H1189" s="3548"/>
      <c r="I1189" s="3549"/>
    </row>
    <row r="1190" spans="1:9">
      <c r="A1190" s="243" t="s">
        <v>1520</v>
      </c>
      <c r="B1190" s="179" t="s">
        <v>1521</v>
      </c>
      <c r="C1190" s="589" t="s">
        <v>140</v>
      </c>
      <c r="D1190" s="2" t="s">
        <v>343</v>
      </c>
      <c r="E1190" s="585" t="s">
        <v>344</v>
      </c>
      <c r="F1190" s="585" t="s">
        <v>482</v>
      </c>
      <c r="G1190" s="585" t="s">
        <v>483</v>
      </c>
      <c r="H1190" s="585" t="s">
        <v>232</v>
      </c>
      <c r="I1190" s="585" t="s">
        <v>171</v>
      </c>
    </row>
    <row r="1191" spans="1:9" ht="33.6">
      <c r="A1191" s="243"/>
      <c r="B1191" s="604" t="s">
        <v>1814</v>
      </c>
      <c r="C1191" s="583">
        <v>3</v>
      </c>
      <c r="D1191" s="6" t="s">
        <v>363</v>
      </c>
      <c r="E1191" s="585">
        <f>VLOOKUP(B1191,MATERIALES!B:C,2,0)</f>
        <v>150000</v>
      </c>
      <c r="F1191" s="65"/>
      <c r="G1191" s="65"/>
      <c r="H1191" s="65">
        <f>+C1191*E1191</f>
        <v>450000</v>
      </c>
      <c r="I1191" s="65"/>
    </row>
    <row r="1192" spans="1:9">
      <c r="A1192" s="2"/>
      <c r="B1192" s="18" t="s">
        <v>189</v>
      </c>
      <c r="C1192" s="589">
        <v>1</v>
      </c>
      <c r="D1192" s="6" t="s">
        <v>583</v>
      </c>
      <c r="E1192" s="585">
        <f>+H1191*0.05</f>
        <v>22500</v>
      </c>
      <c r="F1192" s="585"/>
      <c r="G1192" s="585" t="s">
        <v>441</v>
      </c>
      <c r="H1192" s="585"/>
      <c r="I1192" s="585">
        <f>+E1192*C1192</f>
        <v>22500</v>
      </c>
    </row>
    <row r="1193" spans="1:9">
      <c r="A1193" s="587" t="s">
        <v>190</v>
      </c>
      <c r="B1193" s="588">
        <f>SUM(G1193:I1193)</f>
        <v>472500</v>
      </c>
      <c r="C1193" s="589"/>
      <c r="D1193" s="601"/>
      <c r="E1193" s="585"/>
      <c r="F1193" s="585">
        <v>0</v>
      </c>
      <c r="G1193" s="585" t="s">
        <v>441</v>
      </c>
      <c r="H1193" s="585">
        <f>SUM(H1191:H1192)</f>
        <v>450000</v>
      </c>
      <c r="I1193" s="585">
        <f>SUM(I1192:I1192)</f>
        <v>22500</v>
      </c>
    </row>
    <row r="1194" spans="1:9">
      <c r="A1194" s="21" t="s">
        <v>3708</v>
      </c>
      <c r="B1194" s="39">
        <f>+B1193*AIU</f>
        <v>139728.87939189843</v>
      </c>
      <c r="C1194" s="589"/>
      <c r="D1194" s="13"/>
      <c r="E1194" s="170"/>
      <c r="F1194" s="170"/>
      <c r="G1194" s="170"/>
      <c r="H1194" s="170"/>
      <c r="I1194" s="170"/>
    </row>
    <row r="1195" spans="1:9">
      <c r="A1195" s="587" t="s">
        <v>191</v>
      </c>
      <c r="B1195" s="39">
        <f>SUM(B1193:B1194)</f>
        <v>612228.8793918984</v>
      </c>
      <c r="C1195" s="589" t="s">
        <v>363</v>
      </c>
      <c r="D1195" s="13"/>
      <c r="E1195" s="170"/>
      <c r="F1195" s="170"/>
      <c r="G1195" s="170"/>
      <c r="H1195" s="170"/>
      <c r="I1195" s="170"/>
    </row>
    <row r="1196" spans="1:9">
      <c r="A1196" s="596"/>
      <c r="B1196" s="597"/>
      <c r="C1196" s="598"/>
      <c r="D1196" s="596"/>
      <c r="E1196" s="606"/>
      <c r="F1196" s="599"/>
      <c r="G1196" s="599"/>
      <c r="H1196" s="599"/>
      <c r="I1196" s="599"/>
    </row>
    <row r="1197" spans="1:9">
      <c r="A1197" s="596"/>
      <c r="B1197" s="597"/>
      <c r="C1197" s="598"/>
      <c r="D1197" s="596"/>
      <c r="E1197" s="606"/>
      <c r="F1197" s="599"/>
      <c r="G1197" s="599"/>
      <c r="H1197" s="599"/>
      <c r="I1197" s="599"/>
    </row>
    <row r="1198" spans="1:9">
      <c r="A1198" s="594" t="s">
        <v>441</v>
      </c>
      <c r="B1198" s="3547" t="s">
        <v>3679</v>
      </c>
      <c r="C1198" s="3548"/>
      <c r="D1198" s="3548"/>
      <c r="E1198" s="3548"/>
      <c r="F1198" s="3548"/>
      <c r="G1198" s="3548"/>
      <c r="H1198" s="3548"/>
      <c r="I1198" s="3549"/>
    </row>
    <row r="1199" spans="1:9">
      <c r="A1199" s="243" t="s">
        <v>1520</v>
      </c>
      <c r="B1199" s="179" t="s">
        <v>1521</v>
      </c>
      <c r="C1199" s="589" t="s">
        <v>140</v>
      </c>
      <c r="D1199" s="2" t="s">
        <v>343</v>
      </c>
      <c r="E1199" s="585" t="s">
        <v>344</v>
      </c>
      <c r="F1199" s="585" t="s">
        <v>482</v>
      </c>
      <c r="G1199" s="585" t="s">
        <v>483</v>
      </c>
      <c r="H1199" s="585" t="s">
        <v>232</v>
      </c>
      <c r="I1199" s="585" t="s">
        <v>171</v>
      </c>
    </row>
    <row r="1200" spans="1:9" ht="67.2">
      <c r="A1200" s="243" t="s">
        <v>2314</v>
      </c>
      <c r="B1200" s="536" t="s">
        <v>2315</v>
      </c>
      <c r="C1200" s="589">
        <v>1</v>
      </c>
      <c r="D1200" s="6" t="s">
        <v>363</v>
      </c>
      <c r="E1200" s="585">
        <f>VLOOKUP(B1200,MATERIALES!B:C,2,0)</f>
        <v>20911275</v>
      </c>
      <c r="F1200" s="585"/>
      <c r="G1200" s="585">
        <f t="shared" ref="G1200" si="1">+C1200*E1200</f>
        <v>20911275</v>
      </c>
      <c r="H1200" s="585"/>
      <c r="I1200" s="585"/>
    </row>
    <row r="1201" spans="1:9">
      <c r="A1201" s="2"/>
      <c r="B1201" s="180" t="s">
        <v>2236</v>
      </c>
      <c r="C1201" s="589">
        <v>0.5</v>
      </c>
      <c r="D1201" s="2" t="s">
        <v>583</v>
      </c>
      <c r="E1201" s="585">
        <f>VLOOKUP(B1201,MATERIALES!B:C,2,0)</f>
        <v>750000</v>
      </c>
      <c r="F1201" s="585"/>
      <c r="G1201" s="585" t="s">
        <v>441</v>
      </c>
      <c r="H1201" s="585"/>
      <c r="I1201" s="585">
        <f>+E1201*C1201</f>
        <v>375000</v>
      </c>
    </row>
    <row r="1202" spans="1:9">
      <c r="A1202" s="587" t="s">
        <v>190</v>
      </c>
      <c r="B1202" s="588">
        <f>SUM(G1202:I1202)</f>
        <v>21286275</v>
      </c>
      <c r="C1202" s="589"/>
      <c r="D1202" s="601"/>
      <c r="E1202" s="585"/>
      <c r="F1202" s="585">
        <v>0</v>
      </c>
      <c r="G1202" s="585">
        <f>SUM(G1200:G1200)</f>
        <v>20911275</v>
      </c>
      <c r="H1202" s="585">
        <f>SUM(H1201:H1201)</f>
        <v>0</v>
      </c>
      <c r="I1202" s="585">
        <f>SUM(I1201:I1201)</f>
        <v>375000</v>
      </c>
    </row>
    <row r="1203" spans="1:9">
      <c r="A1203" s="21" t="s">
        <v>3708</v>
      </c>
      <c r="B1203" s="39">
        <f>+B1202*AIU</f>
        <v>6294830.3749794336</v>
      </c>
      <c r="C1203" s="589"/>
      <c r="D1203" s="13"/>
      <c r="E1203" s="170"/>
      <c r="F1203" s="170"/>
      <c r="G1203" s="170"/>
      <c r="H1203" s="170"/>
      <c r="I1203" s="170"/>
    </row>
    <row r="1204" spans="1:9">
      <c r="A1204" s="587" t="s">
        <v>191</v>
      </c>
      <c r="B1204" s="39">
        <f>SUM(B1202:B1203)</f>
        <v>27581105.374979433</v>
      </c>
      <c r="C1204" s="589" t="s">
        <v>363</v>
      </c>
      <c r="D1204" s="13"/>
      <c r="E1204" s="170"/>
      <c r="F1204" s="170"/>
      <c r="G1204" s="170"/>
      <c r="H1204" s="170"/>
      <c r="I1204" s="170"/>
    </row>
    <row r="1205" spans="1:9">
      <c r="A1205" s="596"/>
      <c r="B1205" s="597"/>
      <c r="C1205" s="598"/>
      <c r="D1205" s="596"/>
      <c r="E1205" s="606"/>
      <c r="F1205" s="599"/>
      <c r="G1205" s="599"/>
      <c r="H1205" s="599"/>
      <c r="I1205" s="599"/>
    </row>
    <row r="1206" spans="1:9">
      <c r="A1206" s="594" t="s">
        <v>441</v>
      </c>
      <c r="B1206" s="3547" t="s">
        <v>3680</v>
      </c>
      <c r="C1206" s="3548"/>
      <c r="D1206" s="3548"/>
      <c r="E1206" s="3548"/>
      <c r="F1206" s="3548"/>
      <c r="G1206" s="3548"/>
      <c r="H1206" s="3548"/>
      <c r="I1206" s="3549"/>
    </row>
    <row r="1207" spans="1:9">
      <c r="A1207" s="243" t="s">
        <v>1520</v>
      </c>
      <c r="B1207" s="179" t="s">
        <v>1521</v>
      </c>
      <c r="C1207" s="589" t="s">
        <v>140</v>
      </c>
      <c r="D1207" s="2" t="s">
        <v>343</v>
      </c>
      <c r="E1207" s="585" t="s">
        <v>344</v>
      </c>
      <c r="F1207" s="585" t="s">
        <v>482</v>
      </c>
      <c r="G1207" s="585" t="s">
        <v>483</v>
      </c>
      <c r="H1207" s="585" t="s">
        <v>232</v>
      </c>
      <c r="I1207" s="585" t="s">
        <v>171</v>
      </c>
    </row>
    <row r="1208" spans="1:9" ht="33.6">
      <c r="A1208" s="243"/>
      <c r="B1208" s="604" t="s">
        <v>1814</v>
      </c>
      <c r="C1208" s="583">
        <v>3</v>
      </c>
      <c r="D1208" s="6" t="s">
        <v>363</v>
      </c>
      <c r="E1208" s="585">
        <v>150000</v>
      </c>
      <c r="F1208" s="65"/>
      <c r="G1208" s="65"/>
      <c r="H1208" s="65">
        <f>+C1208*E1208</f>
        <v>450000</v>
      </c>
      <c r="I1208" s="65"/>
    </row>
    <row r="1209" spans="1:9">
      <c r="A1209" s="2"/>
      <c r="B1209" s="18" t="s">
        <v>189</v>
      </c>
      <c r="C1209" s="589">
        <v>1</v>
      </c>
      <c r="D1209" s="6" t="s">
        <v>583</v>
      </c>
      <c r="E1209" s="585">
        <f>+H1208*0.05</f>
        <v>22500</v>
      </c>
      <c r="F1209" s="585"/>
      <c r="G1209" s="585" t="s">
        <v>441</v>
      </c>
      <c r="H1209" s="585"/>
      <c r="I1209" s="585">
        <f>+E1209*C1209</f>
        <v>22500</v>
      </c>
    </row>
    <row r="1210" spans="1:9">
      <c r="A1210" s="587" t="s">
        <v>190</v>
      </c>
      <c r="B1210" s="588">
        <f>SUM(G1210:I1210)</f>
        <v>472500</v>
      </c>
      <c r="C1210" s="589"/>
      <c r="D1210" s="601"/>
      <c r="E1210" s="585"/>
      <c r="F1210" s="585">
        <v>0</v>
      </c>
      <c r="G1210" s="585" t="s">
        <v>441</v>
      </c>
      <c r="H1210" s="585">
        <f>SUM(H1208:H1209)</f>
        <v>450000</v>
      </c>
      <c r="I1210" s="585">
        <f>SUM(I1209:I1209)</f>
        <v>22500</v>
      </c>
    </row>
    <row r="1211" spans="1:9">
      <c r="A1211" s="21" t="s">
        <v>3708</v>
      </c>
      <c r="B1211" s="39">
        <f>+B1210*AIU</f>
        <v>139728.87939189843</v>
      </c>
      <c r="C1211" s="589"/>
      <c r="D1211" s="13"/>
      <c r="E1211" s="170"/>
      <c r="F1211" s="170"/>
      <c r="G1211" s="170"/>
      <c r="H1211" s="170"/>
      <c r="I1211" s="170"/>
    </row>
    <row r="1212" spans="1:9">
      <c r="A1212" s="587" t="s">
        <v>191</v>
      </c>
      <c r="B1212" s="39">
        <f>SUM(B1210:B1211)</f>
        <v>612228.8793918984</v>
      </c>
      <c r="C1212" s="589" t="s">
        <v>363</v>
      </c>
      <c r="D1212" s="13"/>
      <c r="E1212" s="170"/>
      <c r="F1212" s="170"/>
      <c r="G1212" s="170"/>
      <c r="H1212" s="170"/>
      <c r="I1212" s="170"/>
    </row>
    <row r="1213" spans="1:9">
      <c r="A1213" s="596"/>
      <c r="B1213" s="597"/>
      <c r="C1213" s="598"/>
      <c r="D1213" s="596"/>
      <c r="E1213" s="606"/>
      <c r="F1213" s="599"/>
      <c r="G1213" s="599"/>
      <c r="H1213" s="599"/>
      <c r="I1213" s="599"/>
    </row>
    <row r="1214" spans="1:9">
      <c r="A1214" s="594" t="s">
        <v>441</v>
      </c>
      <c r="B1214" s="3547" t="s">
        <v>3681</v>
      </c>
      <c r="C1214" s="3548"/>
      <c r="D1214" s="3548"/>
      <c r="E1214" s="3548"/>
      <c r="F1214" s="3548"/>
      <c r="G1214" s="3548"/>
      <c r="H1214" s="3548"/>
      <c r="I1214" s="3549"/>
    </row>
    <row r="1215" spans="1:9">
      <c r="A1215" s="243" t="s">
        <v>1520</v>
      </c>
      <c r="B1215" s="179" t="s">
        <v>1521</v>
      </c>
      <c r="C1215" s="589" t="s">
        <v>140</v>
      </c>
      <c r="D1215" s="2" t="s">
        <v>343</v>
      </c>
      <c r="E1215" s="585" t="s">
        <v>344</v>
      </c>
      <c r="F1215" s="585" t="s">
        <v>482</v>
      </c>
      <c r="G1215" s="585" t="s">
        <v>483</v>
      </c>
      <c r="H1215" s="585" t="s">
        <v>232</v>
      </c>
      <c r="I1215" s="585" t="s">
        <v>171</v>
      </c>
    </row>
    <row r="1216" spans="1:9" ht="52.8">
      <c r="A1216" s="243" t="s">
        <v>2334</v>
      </c>
      <c r="B1216" s="534" t="s">
        <v>2335</v>
      </c>
      <c r="C1216" s="589">
        <v>1</v>
      </c>
      <c r="D1216" s="6" t="s">
        <v>363</v>
      </c>
      <c r="E1216" s="585">
        <f>VLOOKUP(B1216,MATERIALES!B:C,2,0)</f>
        <v>3541440</v>
      </c>
      <c r="F1216" s="585"/>
      <c r="G1216" s="585">
        <f t="shared" ref="G1216" si="2">+C1216*E1216</f>
        <v>3541440</v>
      </c>
      <c r="H1216" s="585"/>
      <c r="I1216" s="585"/>
    </row>
    <row r="1217" spans="1:9">
      <c r="A1217" s="2"/>
      <c r="B1217" s="180" t="s">
        <v>2236</v>
      </c>
      <c r="C1217" s="589">
        <v>0.5</v>
      </c>
      <c r="D1217" s="2" t="s">
        <v>583</v>
      </c>
      <c r="E1217" s="585">
        <f>VLOOKUP(B1217,MATERIALES!B:C,2,0)</f>
        <v>750000</v>
      </c>
      <c r="F1217" s="585"/>
      <c r="G1217" s="585" t="s">
        <v>441</v>
      </c>
      <c r="H1217" s="585"/>
      <c r="I1217" s="585">
        <f>+E1217*C1217</f>
        <v>375000</v>
      </c>
    </row>
    <row r="1218" spans="1:9">
      <c r="A1218" s="587" t="s">
        <v>190</v>
      </c>
      <c r="B1218" s="588">
        <f>SUM(G1218:I1218)</f>
        <v>3916440</v>
      </c>
      <c r="C1218" s="589"/>
      <c r="D1218" s="601"/>
      <c r="E1218" s="585"/>
      <c r="F1218" s="585">
        <v>0</v>
      </c>
      <c r="G1218" s="585">
        <f>SUM(G1216:G1216)</f>
        <v>3541440</v>
      </c>
      <c r="H1218" s="585">
        <f>SUM(H1217:H1217)</f>
        <v>0</v>
      </c>
      <c r="I1218" s="585">
        <f>SUM(I1217:I1217)</f>
        <v>375000</v>
      </c>
    </row>
    <row r="1219" spans="1:9">
      <c r="A1219" s="21" t="s">
        <v>3708</v>
      </c>
      <c r="B1219" s="39">
        <f>+B1218*AIU</f>
        <v>1158179.4124986385</v>
      </c>
      <c r="C1219" s="589"/>
      <c r="D1219" s="13"/>
      <c r="E1219" s="170"/>
      <c r="F1219" s="170"/>
      <c r="G1219" s="170"/>
      <c r="H1219" s="170"/>
      <c r="I1219" s="170"/>
    </row>
    <row r="1220" spans="1:9">
      <c r="A1220" s="587" t="s">
        <v>191</v>
      </c>
      <c r="B1220" s="39">
        <f>SUM(B1218:B1219)</f>
        <v>5074619.412498638</v>
      </c>
      <c r="C1220" s="589" t="s">
        <v>363</v>
      </c>
      <c r="D1220" s="13"/>
      <c r="E1220" s="170"/>
      <c r="F1220" s="170"/>
      <c r="G1220" s="170"/>
      <c r="H1220" s="170"/>
      <c r="I1220" s="170"/>
    </row>
    <row r="1221" spans="1:9">
      <c r="A1221" s="596"/>
      <c r="B1221" s="597"/>
      <c r="C1221" s="598"/>
      <c r="D1221" s="596"/>
      <c r="E1221" s="606"/>
      <c r="F1221" s="599"/>
      <c r="G1221" s="599"/>
      <c r="H1221" s="599"/>
      <c r="I1221" s="599"/>
    </row>
    <row r="1222" spans="1:9">
      <c r="A1222" s="594" t="s">
        <v>441</v>
      </c>
      <c r="B1222" s="3547" t="s">
        <v>3682</v>
      </c>
      <c r="C1222" s="3548"/>
      <c r="D1222" s="3548"/>
      <c r="E1222" s="3548"/>
      <c r="F1222" s="3548"/>
      <c r="G1222" s="3548"/>
      <c r="H1222" s="3548"/>
      <c r="I1222" s="3549"/>
    </row>
    <row r="1223" spans="1:9">
      <c r="A1223" s="243" t="s">
        <v>1520</v>
      </c>
      <c r="B1223" s="179" t="s">
        <v>1521</v>
      </c>
      <c r="C1223" s="589" t="s">
        <v>140</v>
      </c>
      <c r="D1223" s="2" t="s">
        <v>343</v>
      </c>
      <c r="E1223" s="585" t="s">
        <v>344</v>
      </c>
      <c r="F1223" s="585" t="s">
        <v>482</v>
      </c>
      <c r="G1223" s="585" t="s">
        <v>483</v>
      </c>
      <c r="H1223" s="585" t="s">
        <v>232</v>
      </c>
      <c r="I1223" s="585" t="s">
        <v>171</v>
      </c>
    </row>
    <row r="1224" spans="1:9" ht="33.6">
      <c r="A1224" s="243"/>
      <c r="B1224" s="604" t="s">
        <v>1814</v>
      </c>
      <c r="C1224" s="583">
        <v>2</v>
      </c>
      <c r="D1224" s="6" t="s">
        <v>363</v>
      </c>
      <c r="E1224" s="585">
        <v>150000</v>
      </c>
      <c r="F1224" s="65"/>
      <c r="G1224" s="65"/>
      <c r="H1224" s="65">
        <f>+C1224*E1224</f>
        <v>300000</v>
      </c>
      <c r="I1224" s="65"/>
    </row>
    <row r="1225" spans="1:9">
      <c r="A1225" s="2"/>
      <c r="B1225" s="18" t="s">
        <v>189</v>
      </c>
      <c r="C1225" s="589">
        <v>1</v>
      </c>
      <c r="D1225" s="6" t="s">
        <v>583</v>
      </c>
      <c r="E1225" s="585">
        <f>+H1224*0.05</f>
        <v>15000</v>
      </c>
      <c r="F1225" s="585"/>
      <c r="G1225" s="585" t="s">
        <v>441</v>
      </c>
      <c r="H1225" s="585"/>
      <c r="I1225" s="585">
        <f>+E1225*C1225</f>
        <v>15000</v>
      </c>
    </row>
    <row r="1226" spans="1:9">
      <c r="A1226" s="587" t="s">
        <v>190</v>
      </c>
      <c r="B1226" s="588">
        <f>SUM(G1226:I1226)</f>
        <v>315000</v>
      </c>
      <c r="C1226" s="589"/>
      <c r="D1226" s="601"/>
      <c r="E1226" s="585"/>
      <c r="F1226" s="585">
        <v>0</v>
      </c>
      <c r="G1226" s="585" t="s">
        <v>441</v>
      </c>
      <c r="H1226" s="585">
        <f>SUM(H1224:H1225)</f>
        <v>300000</v>
      </c>
      <c r="I1226" s="585">
        <f>SUM(I1225:I1225)</f>
        <v>15000</v>
      </c>
    </row>
    <row r="1227" spans="1:9">
      <c r="A1227" s="21" t="s">
        <v>3708</v>
      </c>
      <c r="B1227" s="39">
        <f>+B1226*AIU</f>
        <v>93152.58626126562</v>
      </c>
      <c r="C1227" s="589"/>
      <c r="D1227" s="13"/>
      <c r="E1227" s="170"/>
      <c r="F1227" s="170"/>
      <c r="G1227" s="170"/>
      <c r="H1227" s="170"/>
      <c r="I1227" s="170"/>
    </row>
    <row r="1228" spans="1:9">
      <c r="A1228" s="587" t="s">
        <v>191</v>
      </c>
      <c r="B1228" s="39">
        <f>SUM(B1226:B1227)</f>
        <v>408152.58626126562</v>
      </c>
      <c r="C1228" s="589" t="s">
        <v>363</v>
      </c>
      <c r="D1228" s="13"/>
      <c r="E1228" s="170"/>
      <c r="F1228" s="170"/>
      <c r="G1228" s="170"/>
      <c r="H1228" s="170"/>
      <c r="I1228" s="170"/>
    </row>
    <row r="1229" spans="1:9">
      <c r="A1229" s="596"/>
      <c r="B1229" s="597"/>
      <c r="C1229" s="598"/>
      <c r="D1229" s="596"/>
      <c r="E1229" s="606"/>
      <c r="F1229" s="599"/>
      <c r="G1229" s="599"/>
      <c r="H1229" s="599"/>
      <c r="I1229" s="599"/>
    </row>
    <row r="1230" spans="1:9">
      <c r="A1230" s="594" t="s">
        <v>441</v>
      </c>
      <c r="B1230" s="3547" t="s">
        <v>3683</v>
      </c>
      <c r="C1230" s="3548"/>
      <c r="D1230" s="3548"/>
      <c r="E1230" s="3548"/>
      <c r="F1230" s="3548"/>
      <c r="G1230" s="3548"/>
      <c r="H1230" s="3548"/>
      <c r="I1230" s="3549"/>
    </row>
    <row r="1231" spans="1:9">
      <c r="A1231" s="243" t="s">
        <v>1520</v>
      </c>
      <c r="B1231" s="179" t="s">
        <v>1521</v>
      </c>
      <c r="C1231" s="589" t="s">
        <v>140</v>
      </c>
      <c r="D1231" s="2" t="s">
        <v>343</v>
      </c>
      <c r="E1231" s="585" t="s">
        <v>344</v>
      </c>
      <c r="F1231" s="585" t="s">
        <v>482</v>
      </c>
      <c r="G1231" s="585" t="s">
        <v>483</v>
      </c>
      <c r="H1231" s="585" t="s">
        <v>232</v>
      </c>
      <c r="I1231" s="585" t="s">
        <v>171</v>
      </c>
    </row>
    <row r="1232" spans="1:9" ht="52.8">
      <c r="A1232" s="243" t="s">
        <v>2304</v>
      </c>
      <c r="B1232" s="534" t="s">
        <v>2305</v>
      </c>
      <c r="C1232" s="589">
        <v>1</v>
      </c>
      <c r="D1232" s="6" t="s">
        <v>363</v>
      </c>
      <c r="E1232" s="585">
        <f>VLOOKUP(B1232,MATERIALES!B:C,2,0)</f>
        <v>17015512.5</v>
      </c>
      <c r="F1232" s="585"/>
      <c r="G1232" s="585">
        <f t="shared" ref="G1232" si="3">+C1232*E1232</f>
        <v>17015512.5</v>
      </c>
      <c r="H1232" s="585"/>
      <c r="I1232" s="585"/>
    </row>
    <row r="1233" spans="1:9">
      <c r="A1233" s="2"/>
      <c r="B1233" s="180" t="s">
        <v>2236</v>
      </c>
      <c r="C1233" s="589">
        <v>0.1</v>
      </c>
      <c r="D1233" s="2" t="s">
        <v>583</v>
      </c>
      <c r="E1233" s="585">
        <f>VLOOKUP(B1233,MATERIALES!B:C,2,0)</f>
        <v>750000</v>
      </c>
      <c r="F1233" s="585"/>
      <c r="G1233" s="585" t="s">
        <v>441</v>
      </c>
      <c r="H1233" s="585"/>
      <c r="I1233" s="585">
        <f>+E1233*C1233</f>
        <v>75000</v>
      </c>
    </row>
    <row r="1234" spans="1:9">
      <c r="A1234" s="587" t="s">
        <v>190</v>
      </c>
      <c r="B1234" s="588">
        <f>SUM(G1234:I1234)</f>
        <v>17090512.5</v>
      </c>
      <c r="C1234" s="589"/>
      <c r="D1234" s="601"/>
      <c r="E1234" s="585"/>
      <c r="F1234" s="585">
        <v>0</v>
      </c>
      <c r="G1234" s="585">
        <f>SUM(G1232:G1232)</f>
        <v>17015512.5</v>
      </c>
      <c r="H1234" s="585">
        <f>SUM(H1233:H1233)</f>
        <v>0</v>
      </c>
      <c r="I1234" s="585">
        <f>SUM(I1233:I1233)</f>
        <v>75000</v>
      </c>
    </row>
    <row r="1235" spans="1:9">
      <c r="A1235" s="21" t="s">
        <v>3708</v>
      </c>
      <c r="B1235" s="39">
        <f>+B1234*AIU</f>
        <v>5054049.0155729782</v>
      </c>
      <c r="C1235" s="589"/>
      <c r="D1235" s="13"/>
      <c r="E1235" s="170"/>
      <c r="F1235" s="170"/>
      <c r="G1235" s="170"/>
      <c r="H1235" s="170"/>
      <c r="I1235" s="170"/>
    </row>
    <row r="1236" spans="1:9">
      <c r="A1236" s="587" t="s">
        <v>191</v>
      </c>
      <c r="B1236" s="39">
        <f>SUM(B1234:B1235)</f>
        <v>22144561.51557298</v>
      </c>
      <c r="C1236" s="589" t="s">
        <v>363</v>
      </c>
      <c r="D1236" s="13"/>
      <c r="E1236" s="170"/>
      <c r="F1236" s="170"/>
      <c r="G1236" s="170"/>
      <c r="H1236" s="170"/>
      <c r="I1236" s="170"/>
    </row>
    <row r="1237" spans="1:9">
      <c r="A1237" s="596"/>
      <c r="B1237" s="597"/>
      <c r="C1237" s="598"/>
      <c r="D1237" s="596"/>
      <c r="E1237" s="606"/>
      <c r="F1237" s="599"/>
      <c r="G1237" s="599"/>
      <c r="H1237" s="599"/>
      <c r="I1237" s="599"/>
    </row>
    <row r="1238" spans="1:9">
      <c r="A1238" s="594" t="s">
        <v>441</v>
      </c>
      <c r="B1238" s="3547" t="s">
        <v>1438</v>
      </c>
      <c r="C1238" s="3548"/>
      <c r="D1238" s="3548"/>
      <c r="E1238" s="3548"/>
      <c r="F1238" s="3548"/>
      <c r="G1238" s="3548"/>
      <c r="H1238" s="3548"/>
      <c r="I1238" s="3549"/>
    </row>
    <row r="1239" spans="1:9">
      <c r="A1239" s="243" t="s">
        <v>1520</v>
      </c>
      <c r="B1239" s="179" t="s">
        <v>1521</v>
      </c>
      <c r="C1239" s="589" t="s">
        <v>140</v>
      </c>
      <c r="D1239" s="2" t="s">
        <v>343</v>
      </c>
      <c r="E1239" s="585" t="s">
        <v>344</v>
      </c>
      <c r="F1239" s="585" t="s">
        <v>482</v>
      </c>
      <c r="G1239" s="585" t="s">
        <v>483</v>
      </c>
      <c r="H1239" s="585" t="s">
        <v>232</v>
      </c>
      <c r="I1239" s="585" t="s">
        <v>171</v>
      </c>
    </row>
    <row r="1240" spans="1:9" ht="33.6">
      <c r="A1240" s="243"/>
      <c r="B1240" s="604" t="s">
        <v>1814</v>
      </c>
      <c r="C1240" s="583">
        <v>2</v>
      </c>
      <c r="D1240" s="6" t="s">
        <v>363</v>
      </c>
      <c r="E1240" s="585">
        <v>150000</v>
      </c>
      <c r="F1240" s="65"/>
      <c r="G1240" s="65"/>
      <c r="H1240" s="65">
        <f>+C1240*E1240</f>
        <v>300000</v>
      </c>
      <c r="I1240" s="65"/>
    </row>
    <row r="1241" spans="1:9">
      <c r="A1241" s="2"/>
      <c r="B1241" s="18" t="s">
        <v>189</v>
      </c>
      <c r="C1241" s="589">
        <v>1</v>
      </c>
      <c r="D1241" s="6" t="s">
        <v>583</v>
      </c>
      <c r="E1241" s="585">
        <f>+H1240*0.05</f>
        <v>15000</v>
      </c>
      <c r="F1241" s="585"/>
      <c r="G1241" s="585" t="s">
        <v>441</v>
      </c>
      <c r="H1241" s="585"/>
      <c r="I1241" s="585">
        <f>+E1241*C1241</f>
        <v>15000</v>
      </c>
    </row>
    <row r="1242" spans="1:9">
      <c r="A1242" s="587" t="s">
        <v>190</v>
      </c>
      <c r="B1242" s="588">
        <f>SUM(G1242:I1242)</f>
        <v>315000</v>
      </c>
      <c r="C1242" s="589"/>
      <c r="D1242" s="601"/>
      <c r="E1242" s="585"/>
      <c r="F1242" s="585">
        <v>0</v>
      </c>
      <c r="G1242" s="585" t="s">
        <v>441</v>
      </c>
      <c r="H1242" s="585">
        <f>SUM(H1240:H1241)</f>
        <v>300000</v>
      </c>
      <c r="I1242" s="585">
        <f>SUM(I1241:I1241)</f>
        <v>15000</v>
      </c>
    </row>
    <row r="1243" spans="1:9">
      <c r="A1243" s="21" t="s">
        <v>3708</v>
      </c>
      <c r="B1243" s="39">
        <f>+B1242*AIU</f>
        <v>93152.58626126562</v>
      </c>
      <c r="C1243" s="589"/>
      <c r="D1243" s="13"/>
      <c r="E1243" s="170"/>
      <c r="F1243" s="170"/>
      <c r="G1243" s="170"/>
      <c r="H1243" s="170"/>
      <c r="I1243" s="170"/>
    </row>
    <row r="1244" spans="1:9">
      <c r="A1244" s="587" t="s">
        <v>191</v>
      </c>
      <c r="B1244" s="39">
        <f>SUM(B1242:B1243)</f>
        <v>408152.58626126562</v>
      </c>
      <c r="C1244" s="589" t="s">
        <v>363</v>
      </c>
      <c r="D1244" s="13"/>
      <c r="E1244" s="170"/>
      <c r="F1244" s="170"/>
      <c r="G1244" s="170"/>
      <c r="H1244" s="170"/>
      <c r="I1244" s="170"/>
    </row>
    <row r="1245" spans="1:9">
      <c r="A1245" s="596"/>
      <c r="B1245" s="597"/>
      <c r="C1245" s="598"/>
      <c r="D1245" s="596"/>
      <c r="E1245" s="606"/>
      <c r="F1245" s="599"/>
      <c r="G1245" s="599"/>
      <c r="H1245" s="599"/>
      <c r="I1245" s="599"/>
    </row>
    <row r="1246" spans="1:9">
      <c r="A1246" s="594" t="s">
        <v>441</v>
      </c>
      <c r="B1246" s="3547" t="s">
        <v>3684</v>
      </c>
      <c r="C1246" s="3548"/>
      <c r="D1246" s="3548"/>
      <c r="E1246" s="3548"/>
      <c r="F1246" s="3548"/>
      <c r="G1246" s="3548"/>
      <c r="H1246" s="3548"/>
      <c r="I1246" s="3549"/>
    </row>
    <row r="1247" spans="1:9">
      <c r="A1247" s="243" t="s">
        <v>1520</v>
      </c>
      <c r="B1247" s="179" t="s">
        <v>1521</v>
      </c>
      <c r="C1247" s="589" t="s">
        <v>140</v>
      </c>
      <c r="D1247" s="2" t="s">
        <v>343</v>
      </c>
      <c r="E1247" s="585" t="s">
        <v>344</v>
      </c>
      <c r="F1247" s="585" t="s">
        <v>482</v>
      </c>
      <c r="G1247" s="585" t="s">
        <v>483</v>
      </c>
      <c r="H1247" s="585" t="s">
        <v>232</v>
      </c>
      <c r="I1247" s="585" t="s">
        <v>171</v>
      </c>
    </row>
    <row r="1248" spans="1:9" ht="55.2">
      <c r="A1248" s="243" t="s">
        <v>2310</v>
      </c>
      <c r="B1248" s="545" t="s">
        <v>2311</v>
      </c>
      <c r="C1248" s="589">
        <v>1</v>
      </c>
      <c r="D1248" s="6" t="s">
        <v>363</v>
      </c>
      <c r="E1248" s="585">
        <f>VLOOKUP(B1248,MATERIALES!B:C,2,0)</f>
        <v>19800000</v>
      </c>
      <c r="F1248" s="585"/>
      <c r="G1248" s="585">
        <f t="shared" ref="G1248" si="4">+C1248*E1248</f>
        <v>19800000</v>
      </c>
      <c r="H1248" s="585"/>
      <c r="I1248" s="585"/>
    </row>
    <row r="1249" spans="1:9">
      <c r="A1249" s="2"/>
      <c r="B1249" s="180" t="s">
        <v>2236</v>
      </c>
      <c r="C1249" s="589">
        <v>0.1</v>
      </c>
      <c r="D1249" s="2" t="s">
        <v>583</v>
      </c>
      <c r="E1249" s="585">
        <f>VLOOKUP(B1249,MATERIALES!B:C,2,0)</f>
        <v>750000</v>
      </c>
      <c r="F1249" s="585"/>
      <c r="G1249" s="585" t="s">
        <v>441</v>
      </c>
      <c r="H1249" s="585"/>
      <c r="I1249" s="585">
        <f>+E1249*C1249</f>
        <v>75000</v>
      </c>
    </row>
    <row r="1250" spans="1:9">
      <c r="A1250" s="587" t="s">
        <v>190</v>
      </c>
      <c r="B1250" s="588">
        <f>SUM(G1250:I1250)</f>
        <v>19875000</v>
      </c>
      <c r="C1250" s="589"/>
      <c r="D1250" s="601"/>
      <c r="E1250" s="585"/>
      <c r="F1250" s="585">
        <v>0</v>
      </c>
      <c r="G1250" s="585">
        <f>SUM(G1248:G1248)</f>
        <v>19800000</v>
      </c>
      <c r="H1250" s="585">
        <f>SUM(H1249:H1249)</f>
        <v>0</v>
      </c>
      <c r="I1250" s="585">
        <f>SUM(I1249:I1249)</f>
        <v>75000</v>
      </c>
    </row>
    <row r="1251" spans="1:9">
      <c r="A1251" s="21" t="s">
        <v>3708</v>
      </c>
      <c r="B1251" s="39">
        <f>+B1250*AIU</f>
        <v>5877484.6093417592</v>
      </c>
      <c r="C1251" s="589"/>
      <c r="D1251" s="13"/>
      <c r="E1251" s="170"/>
      <c r="F1251" s="170"/>
      <c r="G1251" s="170"/>
      <c r="H1251" s="170"/>
      <c r="I1251" s="170"/>
    </row>
    <row r="1252" spans="1:9">
      <c r="A1252" s="587" t="s">
        <v>191</v>
      </c>
      <c r="B1252" s="39">
        <f>SUM(B1250:B1251)</f>
        <v>25752484.609341759</v>
      </c>
      <c r="C1252" s="589" t="s">
        <v>363</v>
      </c>
      <c r="D1252" s="13"/>
      <c r="E1252" s="170"/>
      <c r="F1252" s="170"/>
      <c r="G1252" s="170"/>
      <c r="H1252" s="170"/>
      <c r="I1252" s="170"/>
    </row>
    <row r="1253" spans="1:9">
      <c r="A1253" s="596"/>
      <c r="B1253" s="597"/>
      <c r="C1253" s="598"/>
      <c r="D1253" s="596"/>
      <c r="E1253" s="606"/>
      <c r="F1253" s="599"/>
      <c r="G1253" s="599"/>
      <c r="H1253" s="599"/>
      <c r="I1253" s="599"/>
    </row>
    <row r="1254" spans="1:9">
      <c r="A1254" s="594" t="s">
        <v>441</v>
      </c>
      <c r="B1254" s="3547" t="s">
        <v>3685</v>
      </c>
      <c r="C1254" s="3548"/>
      <c r="D1254" s="3548"/>
      <c r="E1254" s="3548"/>
      <c r="F1254" s="3548"/>
      <c r="G1254" s="3548"/>
      <c r="H1254" s="3548"/>
      <c r="I1254" s="3549"/>
    </row>
    <row r="1255" spans="1:9">
      <c r="A1255" s="243" t="s">
        <v>1520</v>
      </c>
      <c r="B1255" s="179" t="s">
        <v>1521</v>
      </c>
      <c r="C1255" s="589" t="s">
        <v>140</v>
      </c>
      <c r="D1255" s="2" t="s">
        <v>343</v>
      </c>
      <c r="E1255" s="585" t="s">
        <v>344</v>
      </c>
      <c r="F1255" s="585" t="s">
        <v>482</v>
      </c>
      <c r="G1255" s="585" t="s">
        <v>483</v>
      </c>
      <c r="H1255" s="585" t="s">
        <v>232</v>
      </c>
      <c r="I1255" s="585" t="s">
        <v>171</v>
      </c>
    </row>
    <row r="1256" spans="1:9" ht="33.6">
      <c r="A1256" s="243"/>
      <c r="B1256" s="604" t="s">
        <v>1814</v>
      </c>
      <c r="C1256" s="583">
        <v>3</v>
      </c>
      <c r="D1256" s="6" t="s">
        <v>363</v>
      </c>
      <c r="E1256" s="585">
        <f>VLOOKUP(B1256,MATERIALES!B:C,2,0)</f>
        <v>150000</v>
      </c>
      <c r="F1256" s="65"/>
      <c r="G1256" s="65"/>
      <c r="H1256" s="65">
        <f>+C1256*E1256</f>
        <v>450000</v>
      </c>
      <c r="I1256" s="65"/>
    </row>
    <row r="1257" spans="1:9">
      <c r="A1257" s="2"/>
      <c r="B1257" s="18" t="s">
        <v>189</v>
      </c>
      <c r="C1257" s="589">
        <v>1</v>
      </c>
      <c r="D1257" s="6" t="s">
        <v>583</v>
      </c>
      <c r="E1257" s="585">
        <f>+H1256*0.05</f>
        <v>22500</v>
      </c>
      <c r="F1257" s="585"/>
      <c r="G1257" s="585" t="s">
        <v>441</v>
      </c>
      <c r="H1257" s="585"/>
      <c r="I1257" s="585">
        <f>+E1257*C1257</f>
        <v>22500</v>
      </c>
    </row>
    <row r="1258" spans="1:9">
      <c r="A1258" s="587" t="s">
        <v>190</v>
      </c>
      <c r="B1258" s="588">
        <f>SUM(G1258:I1258)</f>
        <v>472500</v>
      </c>
      <c r="C1258" s="589"/>
      <c r="D1258" s="601"/>
      <c r="E1258" s="585"/>
      <c r="F1258" s="585">
        <v>0</v>
      </c>
      <c r="G1258" s="585" t="s">
        <v>441</v>
      </c>
      <c r="H1258" s="585">
        <f>SUM(H1256:H1257)</f>
        <v>450000</v>
      </c>
      <c r="I1258" s="585">
        <f>SUM(I1257:I1257)</f>
        <v>22500</v>
      </c>
    </row>
    <row r="1259" spans="1:9">
      <c r="A1259" s="21" t="s">
        <v>3708</v>
      </c>
      <c r="B1259" s="39">
        <f>+B1258*AIU</f>
        <v>139728.87939189843</v>
      </c>
      <c r="C1259" s="589"/>
      <c r="D1259" s="13"/>
      <c r="E1259" s="170"/>
      <c r="F1259" s="170"/>
      <c r="G1259" s="170"/>
      <c r="H1259" s="170"/>
      <c r="I1259" s="170"/>
    </row>
    <row r="1260" spans="1:9">
      <c r="A1260" s="587" t="s">
        <v>191</v>
      </c>
      <c r="B1260" s="39">
        <f>SUM(B1258:B1259)</f>
        <v>612228.8793918984</v>
      </c>
      <c r="C1260" s="589" t="s">
        <v>363</v>
      </c>
      <c r="D1260" s="13"/>
      <c r="E1260" s="170"/>
      <c r="F1260" s="170"/>
      <c r="G1260" s="170"/>
      <c r="H1260" s="170"/>
      <c r="I1260" s="170"/>
    </row>
    <row r="1262" spans="1:9">
      <c r="A1262" s="594" t="s">
        <v>441</v>
      </c>
      <c r="B1262" s="3547" t="s">
        <v>3686</v>
      </c>
      <c r="C1262" s="3548"/>
      <c r="D1262" s="3548"/>
      <c r="E1262" s="3548"/>
      <c r="F1262" s="3548"/>
      <c r="G1262" s="3548"/>
      <c r="H1262" s="3548"/>
      <c r="I1262" s="3549"/>
    </row>
    <row r="1263" spans="1:9">
      <c r="A1263" s="243" t="s">
        <v>1520</v>
      </c>
      <c r="B1263" s="179" t="s">
        <v>1521</v>
      </c>
      <c r="C1263" s="589" t="s">
        <v>140</v>
      </c>
      <c r="D1263" s="2" t="s">
        <v>343</v>
      </c>
      <c r="E1263" s="585" t="s">
        <v>344</v>
      </c>
      <c r="F1263" s="585" t="s">
        <v>482</v>
      </c>
      <c r="G1263" s="585" t="s">
        <v>483</v>
      </c>
      <c r="H1263" s="585" t="s">
        <v>232</v>
      </c>
      <c r="I1263" s="585" t="s">
        <v>171</v>
      </c>
    </row>
    <row r="1264" spans="1:9">
      <c r="A1264" s="530" t="s">
        <v>1797</v>
      </c>
      <c r="B1264" s="534" t="s">
        <v>1798</v>
      </c>
      <c r="C1264" s="589">
        <v>1</v>
      </c>
      <c r="D1264" s="6" t="s">
        <v>363</v>
      </c>
      <c r="E1264" s="585">
        <f>VLOOKUP(B1264,MATERIALES!B:C,2,0)</f>
        <v>749495.32</v>
      </c>
      <c r="F1264" s="585"/>
      <c r="G1264" s="585">
        <f>+C1264*E1264</f>
        <v>749495.32</v>
      </c>
      <c r="H1264" s="585"/>
      <c r="I1264" s="585"/>
    </row>
    <row r="1265" spans="1:9">
      <c r="A1265" s="530" t="s">
        <v>1585</v>
      </c>
      <c r="B1265" s="534" t="s">
        <v>1586</v>
      </c>
      <c r="C1265" s="589">
        <v>1</v>
      </c>
      <c r="D1265" s="6" t="s">
        <v>363</v>
      </c>
      <c r="E1265" s="585">
        <f>VLOOKUP(B1265,MATERIALES!B:C,2,0)</f>
        <v>5918685.1499999994</v>
      </c>
      <c r="F1265" s="585"/>
      <c r="G1265" s="585">
        <f>+C1265*E1265</f>
        <v>5918685.1499999994</v>
      </c>
      <c r="H1265" s="585"/>
      <c r="I1265" s="585"/>
    </row>
    <row r="1266" spans="1:9">
      <c r="A1266" s="530" t="s">
        <v>1619</v>
      </c>
      <c r="B1266" s="537" t="s">
        <v>1620</v>
      </c>
      <c r="C1266" s="589">
        <v>1</v>
      </c>
      <c r="D1266" s="6" t="s">
        <v>363</v>
      </c>
      <c r="E1266" s="585">
        <f>VLOOKUP(B1266,MATERIALES!B:C,2,0)</f>
        <v>122570</v>
      </c>
      <c r="F1266" s="585"/>
      <c r="G1266" s="585">
        <f>+C1266*E1266</f>
        <v>122570</v>
      </c>
      <c r="H1266" s="585"/>
      <c r="I1266" s="585"/>
    </row>
    <row r="1267" spans="1:9">
      <c r="A1267" s="243"/>
      <c r="B1267" s="536" t="s">
        <v>1590</v>
      </c>
      <c r="C1267" s="583">
        <v>1</v>
      </c>
      <c r="D1267" s="6" t="s">
        <v>363</v>
      </c>
      <c r="E1267" s="585">
        <f>VLOOKUP(B1267,MATERIALES!B:C,2,0)</f>
        <v>125000</v>
      </c>
      <c r="F1267" s="65"/>
      <c r="G1267" s="65">
        <f>+C1267*E1267</f>
        <v>125000</v>
      </c>
      <c r="H1267" s="17"/>
      <c r="I1267" s="65"/>
    </row>
    <row r="1268" spans="1:9">
      <c r="A1268" s="243"/>
      <c r="B1268" s="536" t="s">
        <v>2097</v>
      </c>
      <c r="C1268" s="583">
        <v>2</v>
      </c>
      <c r="D1268" s="6" t="s">
        <v>363</v>
      </c>
      <c r="E1268" s="585">
        <f>VLOOKUP(B1268,MATERIALES!B:C,2,0)</f>
        <v>45000</v>
      </c>
      <c r="F1268" s="65"/>
      <c r="G1268" s="65">
        <f>+C1268*E1268</f>
        <v>90000</v>
      </c>
      <c r="H1268" s="17"/>
      <c r="I1268" s="65"/>
    </row>
    <row r="1269" spans="1:9">
      <c r="A1269" s="2"/>
      <c r="B1269" s="180" t="s">
        <v>2236</v>
      </c>
      <c r="C1269" s="589">
        <v>0.08</v>
      </c>
      <c r="D1269" s="2" t="s">
        <v>583</v>
      </c>
      <c r="E1269" s="585">
        <f>VLOOKUP(B1269,MATERIALES!B:C,2,0)</f>
        <v>750000</v>
      </c>
      <c r="F1269" s="585"/>
      <c r="G1269" s="585" t="s">
        <v>441</v>
      </c>
      <c r="H1269" s="585"/>
      <c r="I1269" s="585">
        <f>+E1269*C1269</f>
        <v>60000</v>
      </c>
    </row>
    <row r="1270" spans="1:9">
      <c r="A1270" s="587" t="s">
        <v>190</v>
      </c>
      <c r="B1270" s="588">
        <f>SUM(G1270:I1270)</f>
        <v>7065750.4699999997</v>
      </c>
      <c r="C1270" s="589"/>
      <c r="D1270" s="601"/>
      <c r="E1270" s="585"/>
      <c r="F1270" s="585">
        <v>0</v>
      </c>
      <c r="G1270" s="585">
        <f>SUM(G1264:G1268)</f>
        <v>7005750.4699999997</v>
      </c>
      <c r="H1270" s="585">
        <f>SUM(H1269:H1269)</f>
        <v>0</v>
      </c>
      <c r="I1270" s="585">
        <f>SUM(I1269:I1269)</f>
        <v>60000</v>
      </c>
    </row>
    <row r="1271" spans="1:9">
      <c r="A1271" s="21" t="s">
        <v>3708</v>
      </c>
      <c r="B1271" s="39">
        <f>+B1270*AIU</f>
        <v>2089501.3655785811</v>
      </c>
      <c r="C1271" s="589"/>
      <c r="D1271" s="13"/>
      <c r="E1271" s="170"/>
      <c r="F1271" s="170"/>
      <c r="G1271" s="170"/>
      <c r="H1271" s="170"/>
      <c r="I1271" s="170"/>
    </row>
    <row r="1272" spans="1:9">
      <c r="A1272" s="587" t="s">
        <v>191</v>
      </c>
      <c r="B1272" s="39">
        <f>SUM(B1270:B1271)</f>
        <v>9155251.8355785813</v>
      </c>
      <c r="C1272" s="589" t="s">
        <v>363</v>
      </c>
      <c r="D1272" s="13"/>
      <c r="E1272" s="170"/>
      <c r="F1272" s="170"/>
      <c r="G1272" s="170"/>
      <c r="H1272" s="170"/>
      <c r="I1272" s="170"/>
    </row>
    <row r="1273" spans="1:9">
      <c r="A1273" s="471"/>
      <c r="B1273" s="602"/>
      <c r="C1273" s="603"/>
      <c r="D1273" s="13"/>
      <c r="E1273" s="170"/>
      <c r="F1273" s="170"/>
      <c r="G1273" s="170"/>
      <c r="H1273" s="170"/>
      <c r="I1273" s="170"/>
    </row>
    <row r="1274" spans="1:9">
      <c r="A1274" s="594" t="s">
        <v>441</v>
      </c>
      <c r="B1274" s="3547" t="s">
        <v>1344</v>
      </c>
      <c r="C1274" s="3548"/>
      <c r="D1274" s="3548"/>
      <c r="E1274" s="3548"/>
      <c r="F1274" s="3548"/>
      <c r="G1274" s="3548"/>
      <c r="H1274" s="3548"/>
      <c r="I1274" s="3549"/>
    </row>
    <row r="1275" spans="1:9">
      <c r="A1275" s="243" t="s">
        <v>1520</v>
      </c>
      <c r="B1275" s="179" t="s">
        <v>1521</v>
      </c>
      <c r="C1275" s="589" t="s">
        <v>140</v>
      </c>
      <c r="D1275" s="2" t="s">
        <v>343</v>
      </c>
      <c r="E1275" s="585" t="s">
        <v>344</v>
      </c>
      <c r="F1275" s="585" t="s">
        <v>482</v>
      </c>
      <c r="G1275" s="585" t="s">
        <v>483</v>
      </c>
      <c r="H1275" s="585" t="s">
        <v>232</v>
      </c>
      <c r="I1275" s="585" t="s">
        <v>171</v>
      </c>
    </row>
    <row r="1276" spans="1:9" ht="33.6">
      <c r="A1276" s="243"/>
      <c r="B1276" s="604" t="s">
        <v>1814</v>
      </c>
      <c r="C1276" s="583">
        <v>2</v>
      </c>
      <c r="D1276" s="6" t="s">
        <v>363</v>
      </c>
      <c r="E1276" s="585">
        <v>150000</v>
      </c>
      <c r="F1276" s="65"/>
      <c r="G1276" s="65"/>
      <c r="H1276" s="65">
        <f>+C1276*E1276</f>
        <v>300000</v>
      </c>
      <c r="I1276" s="65"/>
    </row>
    <row r="1277" spans="1:9">
      <c r="A1277" s="2"/>
      <c r="B1277" s="18" t="s">
        <v>189</v>
      </c>
      <c r="C1277" s="589">
        <v>1</v>
      </c>
      <c r="D1277" s="6" t="s">
        <v>583</v>
      </c>
      <c r="E1277" s="585">
        <f>0.05*H1276</f>
        <v>15000</v>
      </c>
      <c r="F1277" s="585"/>
      <c r="G1277" s="585" t="s">
        <v>441</v>
      </c>
      <c r="H1277" s="585"/>
      <c r="I1277" s="585">
        <f>+E1277*C1277</f>
        <v>15000</v>
      </c>
    </row>
    <row r="1278" spans="1:9">
      <c r="A1278" s="587" t="s">
        <v>190</v>
      </c>
      <c r="B1278" s="588">
        <f>SUM(G1278:I1278)</f>
        <v>315000</v>
      </c>
      <c r="C1278" s="589"/>
      <c r="D1278" s="601"/>
      <c r="E1278" s="585"/>
      <c r="F1278" s="585">
        <v>0</v>
      </c>
      <c r="G1278" s="585" t="s">
        <v>441</v>
      </c>
      <c r="H1278" s="585">
        <f>SUM(H1276:H1277)</f>
        <v>300000</v>
      </c>
      <c r="I1278" s="585">
        <f>SUM(I1277:I1277)</f>
        <v>15000</v>
      </c>
    </row>
    <row r="1279" spans="1:9">
      <c r="A1279" s="21" t="s">
        <v>3708</v>
      </c>
      <c r="B1279" s="39">
        <f>+B1278*AIU</f>
        <v>93152.58626126562</v>
      </c>
      <c r="C1279" s="589"/>
      <c r="D1279" s="13"/>
      <c r="E1279" s="170"/>
      <c r="F1279" s="170"/>
      <c r="G1279" s="170"/>
      <c r="H1279" s="170"/>
      <c r="I1279" s="170"/>
    </row>
    <row r="1280" spans="1:9">
      <c r="A1280" s="587" t="s">
        <v>191</v>
      </c>
      <c r="B1280" s="39">
        <f>SUM(B1278:B1279)</f>
        <v>408152.58626126562</v>
      </c>
      <c r="C1280" s="589" t="s">
        <v>363</v>
      </c>
      <c r="D1280" s="13"/>
      <c r="E1280" s="170"/>
      <c r="F1280" s="170"/>
      <c r="G1280" s="170"/>
      <c r="H1280" s="170"/>
      <c r="I1280" s="170"/>
    </row>
    <row r="1281" spans="1:9">
      <c r="A1281" s="471"/>
      <c r="B1281" s="602"/>
      <c r="C1281" s="603"/>
      <c r="D1281" s="13"/>
      <c r="E1281" s="170"/>
      <c r="F1281" s="170"/>
      <c r="G1281" s="170"/>
      <c r="H1281" s="170"/>
      <c r="I1281" s="170"/>
    </row>
    <row r="1282" spans="1:9">
      <c r="A1282" s="594" t="s">
        <v>441</v>
      </c>
      <c r="B1282" s="3547" t="s">
        <v>3687</v>
      </c>
      <c r="C1282" s="3548"/>
      <c r="D1282" s="3548"/>
      <c r="E1282" s="3548"/>
      <c r="F1282" s="3548"/>
      <c r="G1282" s="3548"/>
      <c r="H1282" s="3548"/>
      <c r="I1282" s="3549"/>
    </row>
    <row r="1283" spans="1:9">
      <c r="A1283" s="243" t="s">
        <v>1520</v>
      </c>
      <c r="B1283" s="179" t="s">
        <v>1521</v>
      </c>
      <c r="C1283" s="589" t="s">
        <v>140</v>
      </c>
      <c r="D1283" s="2" t="s">
        <v>343</v>
      </c>
      <c r="E1283" s="585" t="s">
        <v>344</v>
      </c>
      <c r="F1283" s="585" t="s">
        <v>482</v>
      </c>
      <c r="G1283" s="585" t="s">
        <v>483</v>
      </c>
      <c r="H1283" s="585" t="s">
        <v>232</v>
      </c>
      <c r="I1283" s="585" t="s">
        <v>171</v>
      </c>
    </row>
    <row r="1284" spans="1:9">
      <c r="A1284" s="2"/>
      <c r="B1284" s="608" t="s">
        <v>1796</v>
      </c>
      <c r="C1284" s="589">
        <v>1</v>
      </c>
      <c r="D1284" s="6" t="s">
        <v>363</v>
      </c>
      <c r="E1284" s="585">
        <f>VLOOKUP(B1284,MATERIALES!B:C,2,0)</f>
        <v>749495.32</v>
      </c>
      <c r="F1284" s="585"/>
      <c r="G1284" s="585">
        <f>+C1284*E1284</f>
        <v>749495.32</v>
      </c>
      <c r="H1284" s="585"/>
      <c r="I1284" s="585"/>
    </row>
    <row r="1285" spans="1:9">
      <c r="A1285" s="2" t="s">
        <v>1581</v>
      </c>
      <c r="B1285" s="541" t="s">
        <v>1582</v>
      </c>
      <c r="C1285" s="589">
        <v>1</v>
      </c>
      <c r="D1285" s="6" t="s">
        <v>363</v>
      </c>
      <c r="E1285" s="585">
        <f>VLOOKUP(B1285,MATERIALES!B:C,2,0)</f>
        <v>1462506.43</v>
      </c>
      <c r="F1285" s="585"/>
      <c r="G1285" s="585">
        <f>+C1285*E1285</f>
        <v>1462506.43</v>
      </c>
      <c r="H1285" s="585"/>
      <c r="I1285" s="585"/>
    </row>
    <row r="1286" spans="1:9">
      <c r="A1286" s="2"/>
      <c r="B1286" s="578" t="s">
        <v>1651</v>
      </c>
      <c r="C1286" s="589">
        <v>1</v>
      </c>
      <c r="D1286" s="6" t="s">
        <v>363</v>
      </c>
      <c r="E1286" s="585">
        <f>VLOOKUP(B1286,MATERIALES!B:C,2,0)</f>
        <v>592858</v>
      </c>
      <c r="F1286" s="585"/>
      <c r="G1286" s="585">
        <f>+C1286*E1286</f>
        <v>592858</v>
      </c>
      <c r="H1286" s="585"/>
      <c r="I1286" s="585"/>
    </row>
    <row r="1287" spans="1:9">
      <c r="A1287" s="243"/>
      <c r="B1287" s="536" t="s">
        <v>1590</v>
      </c>
      <c r="C1287" s="583">
        <v>1</v>
      </c>
      <c r="D1287" s="6" t="s">
        <v>363</v>
      </c>
      <c r="E1287" s="585">
        <f>VLOOKUP(B1287,MATERIALES!B:C,2,0)</f>
        <v>125000</v>
      </c>
      <c r="F1287" s="65"/>
      <c r="G1287" s="65">
        <f>+C1287*E1287</f>
        <v>125000</v>
      </c>
      <c r="H1287" s="17"/>
      <c r="I1287" s="65"/>
    </row>
    <row r="1288" spans="1:9">
      <c r="A1288" s="243"/>
      <c r="B1288" s="536" t="s">
        <v>2097</v>
      </c>
      <c r="C1288" s="583">
        <v>2</v>
      </c>
      <c r="D1288" s="6" t="s">
        <v>363</v>
      </c>
      <c r="E1288" s="585">
        <f>VLOOKUP(B1288,MATERIALES!B:C,2,0)</f>
        <v>45000</v>
      </c>
      <c r="F1288" s="65"/>
      <c r="G1288" s="65">
        <f>+C1288*E1288</f>
        <v>90000</v>
      </c>
      <c r="H1288" s="17"/>
      <c r="I1288" s="65"/>
    </row>
    <row r="1289" spans="1:9">
      <c r="A1289" s="2"/>
      <c r="B1289" s="180" t="s">
        <v>2236</v>
      </c>
      <c r="C1289" s="589">
        <v>0.08</v>
      </c>
      <c r="D1289" s="2" t="s">
        <v>583</v>
      </c>
      <c r="E1289" s="585">
        <f>VLOOKUP(B1289,MATERIALES!B:C,2,0)</f>
        <v>750000</v>
      </c>
      <c r="F1289" s="585"/>
      <c r="G1289" s="585" t="s">
        <v>441</v>
      </c>
      <c r="H1289" s="585"/>
      <c r="I1289" s="585">
        <f>+E1289*C1289</f>
        <v>60000</v>
      </c>
    </row>
    <row r="1290" spans="1:9">
      <c r="A1290" s="587" t="s">
        <v>190</v>
      </c>
      <c r="B1290" s="588">
        <f>SUM(G1290:I1290)</f>
        <v>3079859.75</v>
      </c>
      <c r="C1290" s="589"/>
      <c r="D1290" s="601"/>
      <c r="E1290" s="585"/>
      <c r="F1290" s="585">
        <v>0</v>
      </c>
      <c r="G1290" s="585">
        <f>SUM(G1284:G1288)</f>
        <v>3019859.75</v>
      </c>
      <c r="H1290" s="585">
        <f>SUM(H1289:H1289)</f>
        <v>0</v>
      </c>
      <c r="I1290" s="585">
        <f>SUM(I1289:I1289)</f>
        <v>60000</v>
      </c>
    </row>
    <row r="1291" spans="1:9">
      <c r="A1291" s="21" t="s">
        <v>3708</v>
      </c>
      <c r="B1291" s="39">
        <f>+B1290*AIU</f>
        <v>910783.81280785694</v>
      </c>
      <c r="C1291" s="589"/>
      <c r="D1291" s="13"/>
      <c r="E1291" s="170"/>
      <c r="F1291" s="170"/>
      <c r="G1291" s="170"/>
      <c r="H1291" s="170"/>
      <c r="I1291" s="170"/>
    </row>
    <row r="1292" spans="1:9">
      <c r="A1292" s="587" t="s">
        <v>191</v>
      </c>
      <c r="B1292" s="39">
        <f>SUM(B1290:B1291)</f>
        <v>3990643.5628078571</v>
      </c>
      <c r="C1292" s="589" t="s">
        <v>363</v>
      </c>
      <c r="D1292" s="13"/>
      <c r="E1292" s="170"/>
      <c r="F1292" s="170"/>
      <c r="G1292" s="170"/>
      <c r="H1292" s="170"/>
      <c r="I1292" s="170"/>
    </row>
    <row r="1293" spans="1:9">
      <c r="A1293" s="471"/>
      <c r="B1293" s="602"/>
      <c r="C1293" s="603"/>
      <c r="D1293" s="13"/>
      <c r="E1293" s="170"/>
      <c r="F1293" s="170"/>
      <c r="G1293" s="170"/>
      <c r="H1293" s="170"/>
      <c r="I1293" s="170"/>
    </row>
    <row r="1294" spans="1:9">
      <c r="A1294" s="594" t="s">
        <v>441</v>
      </c>
      <c r="B1294" s="3547" t="s">
        <v>3688</v>
      </c>
      <c r="C1294" s="3548"/>
      <c r="D1294" s="3548"/>
      <c r="E1294" s="3548"/>
      <c r="F1294" s="3548"/>
      <c r="G1294" s="3548"/>
      <c r="H1294" s="3548"/>
      <c r="I1294" s="3549"/>
    </row>
    <row r="1295" spans="1:9">
      <c r="A1295" s="243" t="s">
        <v>1520</v>
      </c>
      <c r="B1295" s="179" t="s">
        <v>1521</v>
      </c>
      <c r="C1295" s="589" t="s">
        <v>140</v>
      </c>
      <c r="D1295" s="2" t="s">
        <v>343</v>
      </c>
      <c r="E1295" s="585" t="s">
        <v>344</v>
      </c>
      <c r="F1295" s="585" t="s">
        <v>482</v>
      </c>
      <c r="G1295" s="585" t="s">
        <v>483</v>
      </c>
      <c r="H1295" s="585" t="s">
        <v>232</v>
      </c>
      <c r="I1295" s="585" t="s">
        <v>171</v>
      </c>
    </row>
    <row r="1296" spans="1:9" ht="33.6">
      <c r="A1296" s="243"/>
      <c r="B1296" s="604" t="s">
        <v>1814</v>
      </c>
      <c r="C1296" s="583">
        <v>1</v>
      </c>
      <c r="D1296" s="6" t="s">
        <v>363</v>
      </c>
      <c r="E1296" s="585">
        <v>150000</v>
      </c>
      <c r="F1296" s="65"/>
      <c r="G1296" s="65"/>
      <c r="H1296" s="65">
        <f>+C1296*E1296</f>
        <v>150000</v>
      </c>
      <c r="I1296" s="65"/>
    </row>
    <row r="1297" spans="1:9">
      <c r="A1297" s="2"/>
      <c r="B1297" s="18" t="s">
        <v>189</v>
      </c>
      <c r="C1297" s="589">
        <v>1</v>
      </c>
      <c r="D1297" s="6" t="s">
        <v>583</v>
      </c>
      <c r="E1297" s="585">
        <f>0.05*H1296</f>
        <v>7500</v>
      </c>
      <c r="F1297" s="585"/>
      <c r="G1297" s="585" t="s">
        <v>441</v>
      </c>
      <c r="H1297" s="585"/>
      <c r="I1297" s="585">
        <f>+E1297*C1297</f>
        <v>7500</v>
      </c>
    </row>
    <row r="1298" spans="1:9">
      <c r="A1298" s="587" t="s">
        <v>190</v>
      </c>
      <c r="B1298" s="588">
        <f>SUM(G1298:I1298)</f>
        <v>157500</v>
      </c>
      <c r="C1298" s="589"/>
      <c r="D1298" s="601"/>
      <c r="E1298" s="585"/>
      <c r="F1298" s="585">
        <v>0</v>
      </c>
      <c r="G1298" s="585" t="s">
        <v>441</v>
      </c>
      <c r="H1298" s="585">
        <f>SUM(H1296:H1297)</f>
        <v>150000</v>
      </c>
      <c r="I1298" s="585">
        <f>SUM(I1297:I1297)</f>
        <v>7500</v>
      </c>
    </row>
    <row r="1299" spans="1:9">
      <c r="A1299" s="21" t="s">
        <v>3708</v>
      </c>
      <c r="B1299" s="39">
        <f>+B1298*AIU</f>
        <v>46576.29313063281</v>
      </c>
      <c r="C1299" s="589"/>
      <c r="D1299" s="13"/>
      <c r="E1299" s="170"/>
      <c r="F1299" s="170"/>
      <c r="G1299" s="170"/>
      <c r="H1299" s="170"/>
      <c r="I1299" s="170"/>
    </row>
    <row r="1300" spans="1:9">
      <c r="A1300" s="587" t="s">
        <v>191</v>
      </c>
      <c r="B1300" s="39">
        <f>SUM(B1298:B1299)</f>
        <v>204076.29313063281</v>
      </c>
      <c r="C1300" s="589" t="s">
        <v>363</v>
      </c>
      <c r="D1300" s="13"/>
      <c r="E1300" s="170"/>
      <c r="F1300" s="170"/>
      <c r="G1300" s="170"/>
      <c r="H1300" s="170"/>
      <c r="I1300" s="170"/>
    </row>
    <row r="1301" spans="1:9">
      <c r="A1301" s="471"/>
      <c r="B1301" s="602"/>
      <c r="C1301" s="603"/>
      <c r="D1301" s="13"/>
      <c r="E1301" s="170"/>
      <c r="F1301" s="170"/>
      <c r="G1301" s="170"/>
      <c r="H1301" s="170"/>
      <c r="I1301" s="170"/>
    </row>
    <row r="1302" spans="1:9">
      <c r="A1302" s="594" t="s">
        <v>441</v>
      </c>
      <c r="B1302" s="3547" t="s">
        <v>3689</v>
      </c>
      <c r="C1302" s="3548"/>
      <c r="D1302" s="3548"/>
      <c r="E1302" s="3548"/>
      <c r="F1302" s="3548"/>
      <c r="G1302" s="3548"/>
      <c r="H1302" s="3548"/>
      <c r="I1302" s="3549"/>
    </row>
    <row r="1303" spans="1:9">
      <c r="A1303" s="243" t="s">
        <v>1520</v>
      </c>
      <c r="B1303" s="179" t="s">
        <v>1521</v>
      </c>
      <c r="C1303" s="589" t="s">
        <v>140</v>
      </c>
      <c r="D1303" s="2" t="s">
        <v>343</v>
      </c>
      <c r="E1303" s="585" t="s">
        <v>344</v>
      </c>
      <c r="F1303" s="585" t="s">
        <v>482</v>
      </c>
      <c r="G1303" s="585" t="s">
        <v>483</v>
      </c>
      <c r="H1303" s="585" t="s">
        <v>232</v>
      </c>
      <c r="I1303" s="585" t="s">
        <v>171</v>
      </c>
    </row>
    <row r="1304" spans="1:9" ht="33.6">
      <c r="A1304" s="2" t="s">
        <v>2082</v>
      </c>
      <c r="B1304" s="608" t="s">
        <v>2083</v>
      </c>
      <c r="C1304" s="589">
        <v>1</v>
      </c>
      <c r="D1304" s="6" t="s">
        <v>363</v>
      </c>
      <c r="E1304" s="585">
        <f>VLOOKUP(B1304,MATERIALES!B:C,2,0)</f>
        <v>1500000</v>
      </c>
      <c r="F1304" s="585"/>
      <c r="G1304" s="585">
        <f>+C1304*E1304</f>
        <v>1500000</v>
      </c>
      <c r="H1304" s="585"/>
      <c r="I1304" s="585"/>
    </row>
    <row r="1305" spans="1:9">
      <c r="A1305" s="2" t="s">
        <v>2211</v>
      </c>
      <c r="B1305" s="608" t="s">
        <v>2212</v>
      </c>
      <c r="C1305" s="583">
        <v>3</v>
      </c>
      <c r="D1305" s="6" t="s">
        <v>363</v>
      </c>
      <c r="E1305" s="585">
        <f>VLOOKUP(B1305,MATERIALES!B:C,2,0)</f>
        <v>85000</v>
      </c>
      <c r="F1305" s="65"/>
      <c r="G1305" s="65">
        <f>+C1305*E1305</f>
        <v>255000</v>
      </c>
      <c r="H1305" s="17"/>
      <c r="I1305" s="65"/>
    </row>
    <row r="1306" spans="1:9">
      <c r="A1306" s="2"/>
      <c r="B1306" s="180" t="s">
        <v>2236</v>
      </c>
      <c r="C1306" s="589">
        <v>0.1</v>
      </c>
      <c r="D1306" s="2" t="s">
        <v>583</v>
      </c>
      <c r="E1306" s="585">
        <f>VLOOKUP(B1306,MATERIALES!B:C,2,0)</f>
        <v>750000</v>
      </c>
      <c r="F1306" s="585"/>
      <c r="G1306" s="585" t="s">
        <v>441</v>
      </c>
      <c r="H1306" s="585"/>
      <c r="I1306" s="585">
        <f>+E1306*C1306</f>
        <v>75000</v>
      </c>
    </row>
    <row r="1307" spans="1:9">
      <c r="A1307" s="587" t="s">
        <v>190</v>
      </c>
      <c r="B1307" s="588">
        <f>SUM(G1307:I1307)</f>
        <v>1830000</v>
      </c>
      <c r="C1307" s="589"/>
      <c r="D1307" s="601"/>
      <c r="E1307" s="585" t="s">
        <v>441</v>
      </c>
      <c r="F1307" s="585">
        <v>0</v>
      </c>
      <c r="G1307" s="585">
        <f>SUM(G1304:G1306)</f>
        <v>1755000</v>
      </c>
      <c r="H1307" s="585">
        <f>SUM(H1306:H1306)</f>
        <v>0</v>
      </c>
      <c r="I1307" s="585">
        <f>SUM(I1306:I1306)</f>
        <v>75000</v>
      </c>
    </row>
    <row r="1308" spans="1:9">
      <c r="A1308" s="21" t="s">
        <v>3708</v>
      </c>
      <c r="B1308" s="39">
        <f>+B1307*AIU</f>
        <v>541172.16780354304</v>
      </c>
      <c r="C1308" s="589"/>
      <c r="D1308" s="13"/>
      <c r="E1308" s="170"/>
      <c r="F1308" s="170"/>
      <c r="G1308" s="170"/>
      <c r="H1308" s="170"/>
      <c r="I1308" s="170"/>
    </row>
    <row r="1309" spans="1:9">
      <c r="A1309" s="21" t="s">
        <v>191</v>
      </c>
      <c r="B1309" s="39">
        <f>SUM(B1307:B1308)</f>
        <v>2371172.1678035432</v>
      </c>
      <c r="C1309" s="589" t="s">
        <v>363</v>
      </c>
      <c r="D1309" s="13"/>
      <c r="E1309" s="170"/>
      <c r="F1309" s="170"/>
      <c r="G1309" s="170"/>
      <c r="H1309" s="170"/>
      <c r="I1309" s="170"/>
    </row>
    <row r="1310" spans="1:9">
      <c r="A1310" s="471"/>
      <c r="B1310" s="602"/>
      <c r="C1310" s="603"/>
      <c r="D1310" s="13"/>
      <c r="E1310" s="170"/>
      <c r="F1310" s="170"/>
      <c r="G1310" s="170"/>
      <c r="H1310" s="170"/>
      <c r="I1310" s="170"/>
    </row>
    <row r="1311" spans="1:9">
      <c r="A1311" s="594" t="s">
        <v>441</v>
      </c>
      <c r="B1311" s="3547" t="s">
        <v>3690</v>
      </c>
      <c r="C1311" s="3548"/>
      <c r="D1311" s="3548"/>
      <c r="E1311" s="3548"/>
      <c r="F1311" s="3548"/>
      <c r="G1311" s="3548"/>
      <c r="H1311" s="3548"/>
      <c r="I1311" s="3549"/>
    </row>
    <row r="1312" spans="1:9">
      <c r="A1312" s="243" t="s">
        <v>1520</v>
      </c>
      <c r="B1312" s="179" t="s">
        <v>1521</v>
      </c>
      <c r="C1312" s="589" t="s">
        <v>140</v>
      </c>
      <c r="D1312" s="2" t="s">
        <v>343</v>
      </c>
      <c r="E1312" s="585" t="s">
        <v>344</v>
      </c>
      <c r="F1312" s="585" t="s">
        <v>482</v>
      </c>
      <c r="G1312" s="585" t="s">
        <v>483</v>
      </c>
      <c r="H1312" s="585" t="s">
        <v>232</v>
      </c>
      <c r="I1312" s="585" t="s">
        <v>171</v>
      </c>
    </row>
    <row r="1313" spans="1:9" ht="33.6">
      <c r="A1313" s="243"/>
      <c r="B1313" s="604" t="s">
        <v>1814</v>
      </c>
      <c r="C1313" s="583">
        <v>1</v>
      </c>
      <c r="D1313" s="6" t="s">
        <v>363</v>
      </c>
      <c r="E1313" s="585">
        <v>150000</v>
      </c>
      <c r="F1313" s="65"/>
      <c r="G1313" s="65"/>
      <c r="H1313" s="65">
        <f>+C1313*E1313</f>
        <v>150000</v>
      </c>
      <c r="I1313" s="65"/>
    </row>
    <row r="1314" spans="1:9">
      <c r="A1314" s="2"/>
      <c r="B1314" s="18" t="s">
        <v>189</v>
      </c>
      <c r="C1314" s="589">
        <v>1</v>
      </c>
      <c r="D1314" s="6" t="s">
        <v>583</v>
      </c>
      <c r="E1314" s="585">
        <f>0.05*H1313</f>
        <v>7500</v>
      </c>
      <c r="F1314" s="585"/>
      <c r="G1314" s="585" t="s">
        <v>441</v>
      </c>
      <c r="H1314" s="585"/>
      <c r="I1314" s="585">
        <f>+E1314*C1314</f>
        <v>7500</v>
      </c>
    </row>
    <row r="1315" spans="1:9">
      <c r="A1315" s="587" t="s">
        <v>190</v>
      </c>
      <c r="B1315" s="588">
        <f>SUM(G1315:I1315)</f>
        <v>157500</v>
      </c>
      <c r="C1315" s="589"/>
      <c r="D1315" s="601"/>
      <c r="E1315" s="585" t="s">
        <v>441</v>
      </c>
      <c r="F1315" s="585">
        <v>0</v>
      </c>
      <c r="G1315" s="585">
        <f>SUM(G1313:G1314)</f>
        <v>0</v>
      </c>
      <c r="H1315" s="585">
        <f>SUM(H1313:H1314)</f>
        <v>150000</v>
      </c>
      <c r="I1315" s="585">
        <f>SUM(I1314:I1314)</f>
        <v>7500</v>
      </c>
    </row>
    <row r="1316" spans="1:9">
      <c r="A1316" s="21" t="s">
        <v>3708</v>
      </c>
      <c r="B1316" s="39">
        <f>+B1315*AIU</f>
        <v>46576.29313063281</v>
      </c>
      <c r="C1316" s="589"/>
      <c r="D1316" s="13"/>
      <c r="E1316" s="170"/>
      <c r="F1316" s="170"/>
      <c r="G1316" s="170"/>
      <c r="H1316" s="170"/>
      <c r="I1316" s="170"/>
    </row>
    <row r="1317" spans="1:9">
      <c r="A1317" s="21" t="s">
        <v>191</v>
      </c>
      <c r="B1317" s="39">
        <f>SUM(B1315:B1316)</f>
        <v>204076.29313063281</v>
      </c>
      <c r="C1317" s="589" t="s">
        <v>363</v>
      </c>
      <c r="D1317" s="13"/>
      <c r="E1317" s="170"/>
      <c r="F1317" s="170"/>
      <c r="G1317" s="170"/>
      <c r="H1317" s="170"/>
      <c r="I1317" s="170"/>
    </row>
    <row r="1318" spans="1:9">
      <c r="A1318" s="471"/>
      <c r="B1318" s="602"/>
      <c r="C1318" s="603"/>
      <c r="D1318" s="13"/>
      <c r="E1318" s="170"/>
      <c r="F1318" s="170"/>
      <c r="G1318" s="170"/>
      <c r="H1318" s="170"/>
      <c r="I1318" s="170"/>
    </row>
    <row r="1319" spans="1:9">
      <c r="A1319" s="594" t="s">
        <v>441</v>
      </c>
      <c r="B1319" s="3547" t="s">
        <v>3691</v>
      </c>
      <c r="C1319" s="3548"/>
      <c r="D1319" s="3548"/>
      <c r="E1319" s="3548"/>
      <c r="F1319" s="3548"/>
      <c r="G1319" s="3548"/>
      <c r="H1319" s="3548"/>
      <c r="I1319" s="3549"/>
    </row>
    <row r="1320" spans="1:9">
      <c r="A1320" s="243" t="s">
        <v>1520</v>
      </c>
      <c r="B1320" s="179" t="s">
        <v>1521</v>
      </c>
      <c r="C1320" s="589" t="s">
        <v>140</v>
      </c>
      <c r="D1320" s="2" t="s">
        <v>343</v>
      </c>
      <c r="E1320" s="585" t="s">
        <v>344</v>
      </c>
      <c r="F1320" s="585" t="s">
        <v>482</v>
      </c>
      <c r="G1320" s="585" t="s">
        <v>483</v>
      </c>
      <c r="H1320" s="585" t="s">
        <v>232</v>
      </c>
      <c r="I1320" s="585" t="s">
        <v>171</v>
      </c>
    </row>
    <row r="1321" spans="1:9">
      <c r="A1321" s="530" t="s">
        <v>1564</v>
      </c>
      <c r="B1321" s="534" t="s">
        <v>1565</v>
      </c>
      <c r="C1321" s="589">
        <v>1</v>
      </c>
      <c r="D1321" s="6" t="s">
        <v>363</v>
      </c>
      <c r="E1321" s="585">
        <v>2500000</v>
      </c>
      <c r="F1321" s="585"/>
      <c r="G1321" s="585">
        <f>+C1321*E1321</f>
        <v>2500000</v>
      </c>
      <c r="H1321" s="585"/>
      <c r="I1321" s="585"/>
    </row>
    <row r="1322" spans="1:9" ht="33.6">
      <c r="A1322" s="243"/>
      <c r="B1322" s="536" t="s">
        <v>2216</v>
      </c>
      <c r="C1322" s="583">
        <v>3</v>
      </c>
      <c r="D1322" s="6" t="s">
        <v>363</v>
      </c>
      <c r="E1322" s="585">
        <f>VLOOKUP(B1322,MATERIALES!B:C,2,0)</f>
        <v>65000</v>
      </c>
      <c r="F1322" s="65"/>
      <c r="G1322" s="65">
        <f>+C1322*E1322</f>
        <v>195000</v>
      </c>
      <c r="H1322" s="17"/>
      <c r="I1322" s="65"/>
    </row>
    <row r="1323" spans="1:9">
      <c r="A1323" s="243"/>
      <c r="B1323" s="536" t="s">
        <v>1719</v>
      </c>
      <c r="C1323" s="583">
        <v>1</v>
      </c>
      <c r="D1323" s="6" t="s">
        <v>363</v>
      </c>
      <c r="E1323" s="585">
        <f>VLOOKUP(B1323,MATERIALES!B:C,2,0)</f>
        <v>176000</v>
      </c>
      <c r="F1323" s="65"/>
      <c r="G1323" s="65">
        <f>+C1323*E1323</f>
        <v>176000</v>
      </c>
      <c r="H1323" s="17"/>
      <c r="I1323" s="65"/>
    </row>
    <row r="1324" spans="1:9">
      <c r="A1324" s="2"/>
      <c r="B1324" s="180" t="s">
        <v>2236</v>
      </c>
      <c r="C1324" s="589">
        <v>0.05</v>
      </c>
      <c r="D1324" s="2" t="s">
        <v>583</v>
      </c>
      <c r="E1324" s="585">
        <f>VLOOKUP(B1324,MATERIALES!B:C,2,0)</f>
        <v>750000</v>
      </c>
      <c r="F1324" s="585"/>
      <c r="G1324" s="585" t="s">
        <v>441</v>
      </c>
      <c r="H1324" s="585"/>
      <c r="I1324" s="585">
        <f>+E1324*C1324</f>
        <v>37500</v>
      </c>
    </row>
    <row r="1325" spans="1:9">
      <c r="A1325" s="587" t="s">
        <v>190</v>
      </c>
      <c r="B1325" s="588">
        <f>SUM(G1325:I1325)</f>
        <v>2908500</v>
      </c>
      <c r="C1325" s="589"/>
      <c r="D1325" s="601"/>
      <c r="E1325" s="585" t="s">
        <v>441</v>
      </c>
      <c r="F1325" s="585">
        <v>0</v>
      </c>
      <c r="G1325" s="585">
        <f>SUM(G1321:G1324)</f>
        <v>2871000</v>
      </c>
      <c r="H1325" s="585">
        <f>SUM(H1324:H1324)</f>
        <v>0</v>
      </c>
      <c r="I1325" s="585">
        <f>SUM(I1324:I1324)</f>
        <v>37500</v>
      </c>
    </row>
    <row r="1326" spans="1:9">
      <c r="A1326" s="21" t="s">
        <v>3708</v>
      </c>
      <c r="B1326" s="39">
        <f>+B1325*AIU</f>
        <v>860108.87981235248</v>
      </c>
      <c r="C1326" s="589"/>
      <c r="D1326" s="13"/>
      <c r="E1326" s="170"/>
      <c r="F1326" s="170"/>
      <c r="G1326" s="170"/>
      <c r="H1326" s="170"/>
      <c r="I1326" s="170"/>
    </row>
    <row r="1327" spans="1:9">
      <c r="A1327" s="587" t="s">
        <v>191</v>
      </c>
      <c r="B1327" s="39">
        <f>SUM(B1325:B1326)</f>
        <v>3768608.8798123524</v>
      </c>
      <c r="C1327" s="589" t="s">
        <v>363</v>
      </c>
      <c r="D1327" s="13"/>
      <c r="E1327" s="170"/>
      <c r="F1327" s="170"/>
      <c r="G1327" s="170"/>
      <c r="H1327" s="170"/>
      <c r="I1327" s="170"/>
    </row>
    <row r="1328" spans="1:9">
      <c r="A1328" s="471"/>
      <c r="B1328" s="602"/>
      <c r="C1328" s="603"/>
      <c r="D1328" s="13"/>
      <c r="E1328" s="170"/>
      <c r="F1328" s="170"/>
      <c r="G1328" s="170"/>
      <c r="H1328" s="170"/>
      <c r="I1328" s="170"/>
    </row>
    <row r="1329" spans="1:9">
      <c r="A1329" s="594" t="s">
        <v>441</v>
      </c>
      <c r="B1329" s="3547" t="s">
        <v>1346</v>
      </c>
      <c r="C1329" s="3548"/>
      <c r="D1329" s="3548"/>
      <c r="E1329" s="3548"/>
      <c r="F1329" s="3548"/>
      <c r="G1329" s="3548"/>
      <c r="H1329" s="3548"/>
      <c r="I1329" s="3549"/>
    </row>
    <row r="1330" spans="1:9">
      <c r="A1330" s="243" t="s">
        <v>1520</v>
      </c>
      <c r="B1330" s="179" t="s">
        <v>1521</v>
      </c>
      <c r="C1330" s="589" t="s">
        <v>140</v>
      </c>
      <c r="D1330" s="2" t="s">
        <v>343</v>
      </c>
      <c r="E1330" s="585" t="s">
        <v>344</v>
      </c>
      <c r="F1330" s="585" t="s">
        <v>482</v>
      </c>
      <c r="G1330" s="585" t="s">
        <v>483</v>
      </c>
      <c r="H1330" s="585" t="s">
        <v>232</v>
      </c>
      <c r="I1330" s="585" t="s">
        <v>171</v>
      </c>
    </row>
    <row r="1331" spans="1:9" ht="33.6">
      <c r="A1331" s="243"/>
      <c r="B1331" s="604" t="s">
        <v>1814</v>
      </c>
      <c r="C1331" s="583">
        <v>2</v>
      </c>
      <c r="D1331" s="6" t="s">
        <v>363</v>
      </c>
      <c r="E1331" s="585">
        <v>150000</v>
      </c>
      <c r="F1331" s="65"/>
      <c r="G1331" s="65"/>
      <c r="H1331" s="65">
        <f>+C1331*E1331</f>
        <v>300000</v>
      </c>
      <c r="I1331" s="65"/>
    </row>
    <row r="1332" spans="1:9">
      <c r="A1332" s="2"/>
      <c r="B1332" s="18" t="s">
        <v>189</v>
      </c>
      <c r="C1332" s="589">
        <v>1</v>
      </c>
      <c r="D1332" s="6" t="s">
        <v>583</v>
      </c>
      <c r="E1332" s="585">
        <f>0.05*H1331</f>
        <v>15000</v>
      </c>
      <c r="F1332" s="585"/>
      <c r="G1332" s="585" t="s">
        <v>441</v>
      </c>
      <c r="H1332" s="585"/>
      <c r="I1332" s="585">
        <f>+E1332*C1332</f>
        <v>15000</v>
      </c>
    </row>
    <row r="1333" spans="1:9">
      <c r="A1333" s="587" t="s">
        <v>190</v>
      </c>
      <c r="B1333" s="588">
        <f>SUM(G1333:I1333)</f>
        <v>315000</v>
      </c>
      <c r="C1333" s="589"/>
      <c r="D1333" s="601"/>
      <c r="E1333" s="585" t="s">
        <v>441</v>
      </c>
      <c r="F1333" s="585">
        <v>0</v>
      </c>
      <c r="G1333" s="585">
        <f>SUM(G1331:G1332)</f>
        <v>0</v>
      </c>
      <c r="H1333" s="585">
        <f>SUM(H1331:H1332)</f>
        <v>300000</v>
      </c>
      <c r="I1333" s="585">
        <f>SUM(I1332:I1332)</f>
        <v>15000</v>
      </c>
    </row>
    <row r="1334" spans="1:9">
      <c r="A1334" s="21" t="s">
        <v>3708</v>
      </c>
      <c r="B1334" s="39">
        <f>+B1333*AIU</f>
        <v>93152.58626126562</v>
      </c>
      <c r="C1334" s="589"/>
      <c r="D1334" s="13"/>
      <c r="E1334" s="170"/>
      <c r="F1334" s="170"/>
      <c r="G1334" s="170"/>
      <c r="H1334" s="170"/>
      <c r="I1334" s="170"/>
    </row>
    <row r="1335" spans="1:9">
      <c r="A1335" s="587" t="s">
        <v>191</v>
      </c>
      <c r="B1335" s="39">
        <f>SUM(B1333:B1334)</f>
        <v>408152.58626126562</v>
      </c>
      <c r="C1335" s="589" t="s">
        <v>363</v>
      </c>
      <c r="D1335" s="13"/>
      <c r="E1335" s="170"/>
      <c r="F1335" s="170"/>
      <c r="G1335" s="170"/>
      <c r="H1335" s="170"/>
      <c r="I1335" s="170"/>
    </row>
    <row r="1336" spans="1:9">
      <c r="A1336" s="471"/>
      <c r="B1336" s="602"/>
      <c r="C1336" s="603"/>
      <c r="D1336" s="13"/>
      <c r="E1336" s="170"/>
      <c r="F1336" s="170"/>
      <c r="G1336" s="170"/>
      <c r="H1336" s="170"/>
      <c r="I1336" s="170"/>
    </row>
    <row r="1337" spans="1:9" ht="30.75" customHeight="1">
      <c r="A1337" s="594" t="s">
        <v>441</v>
      </c>
      <c r="B1337" s="3547" t="s">
        <v>3692</v>
      </c>
      <c r="C1337" s="3548"/>
      <c r="D1337" s="3548"/>
      <c r="E1337" s="3548"/>
      <c r="F1337" s="3548"/>
      <c r="G1337" s="3548"/>
      <c r="H1337" s="3548"/>
      <c r="I1337" s="3549"/>
    </row>
    <row r="1338" spans="1:9">
      <c r="A1338" s="243" t="s">
        <v>1520</v>
      </c>
      <c r="B1338" s="179" t="s">
        <v>1521</v>
      </c>
      <c r="C1338" s="589" t="s">
        <v>140</v>
      </c>
      <c r="D1338" s="2" t="s">
        <v>343</v>
      </c>
      <c r="E1338" s="585" t="s">
        <v>344</v>
      </c>
      <c r="F1338" s="585" t="s">
        <v>482</v>
      </c>
      <c r="G1338" s="585" t="s">
        <v>483</v>
      </c>
      <c r="H1338" s="585" t="s">
        <v>232</v>
      </c>
      <c r="I1338" s="585" t="s">
        <v>171</v>
      </c>
    </row>
    <row r="1339" spans="1:9">
      <c r="A1339" s="530" t="s">
        <v>1839</v>
      </c>
      <c r="B1339" s="608" t="s">
        <v>1840</v>
      </c>
      <c r="C1339" s="589">
        <v>1</v>
      </c>
      <c r="D1339" s="6" t="s">
        <v>363</v>
      </c>
      <c r="E1339" s="585">
        <f>VLOOKUP(B1339,MATERIALES!B:C,2,0)</f>
        <v>3000000</v>
      </c>
      <c r="F1339" s="585"/>
      <c r="G1339" s="585">
        <f>+C1339*E1339</f>
        <v>3000000</v>
      </c>
      <c r="H1339" s="585"/>
      <c r="I1339" s="585"/>
    </row>
    <row r="1340" spans="1:9">
      <c r="A1340" s="243"/>
      <c r="B1340" s="536" t="s">
        <v>1721</v>
      </c>
      <c r="C1340" s="583">
        <v>1</v>
      </c>
      <c r="D1340" s="6" t="s">
        <v>363</v>
      </c>
      <c r="E1340" s="585">
        <f>VLOOKUP(B1340,MATERIALES!B:C,2,0)</f>
        <v>86000</v>
      </c>
      <c r="F1340" s="65"/>
      <c r="G1340" s="65">
        <f>+C1340*E1340</f>
        <v>86000</v>
      </c>
      <c r="H1340" s="17"/>
      <c r="I1340" s="65"/>
    </row>
    <row r="1341" spans="1:9">
      <c r="A1341" s="2"/>
      <c r="B1341" s="180" t="s">
        <v>2236</v>
      </c>
      <c r="C1341" s="589">
        <v>0.01</v>
      </c>
      <c r="D1341" s="2" t="s">
        <v>583</v>
      </c>
      <c r="E1341" s="585">
        <f>VLOOKUP(B1341,MATERIALES!B:C,2,0)</f>
        <v>750000</v>
      </c>
      <c r="F1341" s="585"/>
      <c r="G1341" s="585" t="s">
        <v>441</v>
      </c>
      <c r="H1341" s="585"/>
      <c r="I1341" s="585">
        <f>+E1341*C1341</f>
        <v>7500</v>
      </c>
    </row>
    <row r="1342" spans="1:9">
      <c r="A1342" s="587" t="s">
        <v>190</v>
      </c>
      <c r="B1342" s="588">
        <f>SUM(G1342:I1342)</f>
        <v>3093500</v>
      </c>
      <c r="C1342" s="589"/>
      <c r="D1342" s="601"/>
      <c r="E1342" s="585" t="s">
        <v>441</v>
      </c>
      <c r="F1342" s="585">
        <v>0</v>
      </c>
      <c r="G1342" s="585">
        <f>SUM(G1339:G1341)</f>
        <v>3086000</v>
      </c>
      <c r="H1342" s="585">
        <f>SUM(H1341:H1341)</f>
        <v>0</v>
      </c>
      <c r="I1342" s="585">
        <f>SUM(I1341:I1341)</f>
        <v>7500</v>
      </c>
    </row>
    <row r="1343" spans="1:9">
      <c r="A1343" s="21" t="s">
        <v>3708</v>
      </c>
      <c r="B1343" s="39">
        <f>+B1342*AIU</f>
        <v>914817.54158484179</v>
      </c>
      <c r="C1343" s="589"/>
      <c r="D1343" s="13"/>
      <c r="E1343" s="170"/>
      <c r="F1343" s="170"/>
      <c r="G1343" s="170"/>
      <c r="H1343" s="170"/>
      <c r="I1343" s="170"/>
    </row>
    <row r="1344" spans="1:9">
      <c r="A1344" s="21" t="s">
        <v>191</v>
      </c>
      <c r="B1344" s="39">
        <f>SUM(B1342:B1343)</f>
        <v>4008317.5415848419</v>
      </c>
      <c r="C1344" s="589" t="s">
        <v>363</v>
      </c>
      <c r="D1344" s="13"/>
      <c r="E1344" s="170"/>
      <c r="F1344" s="170"/>
      <c r="G1344" s="170"/>
      <c r="H1344" s="170"/>
      <c r="I1344" s="170"/>
    </row>
    <row r="1345" spans="1:9">
      <c r="A1345" s="471"/>
      <c r="B1345" s="602"/>
      <c r="C1345" s="603"/>
      <c r="D1345" s="13"/>
      <c r="E1345" s="170"/>
      <c r="F1345" s="170"/>
      <c r="G1345" s="170"/>
      <c r="H1345" s="170"/>
      <c r="I1345" s="170"/>
    </row>
    <row r="1346" spans="1:9" ht="29.25" customHeight="1">
      <c r="A1346" s="594" t="s">
        <v>441</v>
      </c>
      <c r="B1346" s="3547" t="s">
        <v>3693</v>
      </c>
      <c r="C1346" s="3548"/>
      <c r="D1346" s="3548"/>
      <c r="E1346" s="3548"/>
      <c r="F1346" s="3548"/>
      <c r="G1346" s="3548"/>
      <c r="H1346" s="3548"/>
      <c r="I1346" s="3549"/>
    </row>
    <row r="1347" spans="1:9">
      <c r="A1347" s="243" t="s">
        <v>1520</v>
      </c>
      <c r="B1347" s="179" t="s">
        <v>1521</v>
      </c>
      <c r="C1347" s="589" t="s">
        <v>140</v>
      </c>
      <c r="D1347" s="2" t="s">
        <v>343</v>
      </c>
      <c r="E1347" s="585" t="s">
        <v>344</v>
      </c>
      <c r="F1347" s="585" t="s">
        <v>482</v>
      </c>
      <c r="G1347" s="585" t="s">
        <v>483</v>
      </c>
      <c r="H1347" s="585" t="s">
        <v>232</v>
      </c>
      <c r="I1347" s="585" t="s">
        <v>171</v>
      </c>
    </row>
    <row r="1348" spans="1:9" ht="33.6">
      <c r="A1348" s="243"/>
      <c r="B1348" s="604" t="s">
        <v>1814</v>
      </c>
      <c r="C1348" s="583">
        <v>0.5</v>
      </c>
      <c r="D1348" s="6" t="s">
        <v>363</v>
      </c>
      <c r="E1348" s="585">
        <v>150000</v>
      </c>
      <c r="F1348" s="65"/>
      <c r="G1348" s="65"/>
      <c r="H1348" s="65">
        <f>+C1348*E1348</f>
        <v>75000</v>
      </c>
      <c r="I1348" s="65"/>
    </row>
    <row r="1349" spans="1:9">
      <c r="A1349" s="2"/>
      <c r="B1349" s="18" t="s">
        <v>189</v>
      </c>
      <c r="C1349" s="589">
        <v>1</v>
      </c>
      <c r="D1349" s="6" t="s">
        <v>583</v>
      </c>
      <c r="E1349" s="585">
        <f>0.05*H1348</f>
        <v>3750</v>
      </c>
      <c r="F1349" s="585"/>
      <c r="G1349" s="585" t="s">
        <v>441</v>
      </c>
      <c r="H1349" s="585"/>
      <c r="I1349" s="585">
        <f>+E1349*C1349</f>
        <v>3750</v>
      </c>
    </row>
    <row r="1350" spans="1:9">
      <c r="A1350" s="587" t="s">
        <v>190</v>
      </c>
      <c r="B1350" s="588">
        <f>SUM(G1350:I1350)</f>
        <v>78750</v>
      </c>
      <c r="C1350" s="589"/>
      <c r="D1350" s="601"/>
      <c r="E1350" s="585" t="s">
        <v>441</v>
      </c>
      <c r="F1350" s="585">
        <v>0</v>
      </c>
      <c r="G1350" s="585">
        <f>SUM(G1348:G1349)</f>
        <v>0</v>
      </c>
      <c r="H1350" s="585">
        <f>SUM(H1348:H1349)</f>
        <v>75000</v>
      </c>
      <c r="I1350" s="585">
        <f>SUM(I1349:I1349)</f>
        <v>3750</v>
      </c>
    </row>
    <row r="1351" spans="1:9">
      <c r="A1351" s="21" t="s">
        <v>3708</v>
      </c>
      <c r="B1351" s="39">
        <f>+B1350*AIU</f>
        <v>23288.146565316405</v>
      </c>
      <c r="C1351" s="589"/>
      <c r="D1351" s="13"/>
      <c r="E1351" s="170"/>
      <c r="F1351" s="170"/>
      <c r="G1351" s="170"/>
      <c r="H1351" s="170"/>
      <c r="I1351" s="170"/>
    </row>
    <row r="1352" spans="1:9">
      <c r="A1352" s="21" t="s">
        <v>191</v>
      </c>
      <c r="B1352" s="39">
        <f>SUM(B1350:B1351)</f>
        <v>102038.14656531641</v>
      </c>
      <c r="C1352" s="589" t="s">
        <v>363</v>
      </c>
      <c r="D1352" s="13"/>
      <c r="E1352" s="170"/>
      <c r="F1352" s="170"/>
      <c r="G1352" s="170"/>
      <c r="H1352" s="170"/>
      <c r="I1352" s="170"/>
    </row>
    <row r="1353" spans="1:9">
      <c r="A1353" s="471"/>
      <c r="B1353" s="602"/>
      <c r="C1353" s="603"/>
      <c r="D1353" s="13"/>
      <c r="E1353" s="170"/>
      <c r="F1353" s="170"/>
      <c r="G1353" s="170"/>
      <c r="H1353" s="170"/>
      <c r="I1353" s="170"/>
    </row>
    <row r="1354" spans="1:9" ht="33.75" customHeight="1">
      <c r="A1354" s="594" t="s">
        <v>441</v>
      </c>
      <c r="B1354" s="3547" t="s">
        <v>3694</v>
      </c>
      <c r="C1354" s="3548"/>
      <c r="D1354" s="3548"/>
      <c r="E1354" s="3548"/>
      <c r="F1354" s="3548"/>
      <c r="G1354" s="3548"/>
      <c r="H1354" s="3548"/>
      <c r="I1354" s="3549"/>
    </row>
    <row r="1355" spans="1:9">
      <c r="A1355" s="243" t="s">
        <v>1520</v>
      </c>
      <c r="B1355" s="179" t="s">
        <v>1521</v>
      </c>
      <c r="C1355" s="589" t="s">
        <v>140</v>
      </c>
      <c r="D1355" s="2" t="s">
        <v>343</v>
      </c>
      <c r="E1355" s="585" t="s">
        <v>344</v>
      </c>
      <c r="F1355" s="585" t="s">
        <v>482</v>
      </c>
      <c r="G1355" s="585" t="s">
        <v>483</v>
      </c>
      <c r="H1355" s="585" t="s">
        <v>232</v>
      </c>
      <c r="I1355" s="585" t="s">
        <v>171</v>
      </c>
    </row>
    <row r="1356" spans="1:9" ht="26.4">
      <c r="A1356" s="540" t="s">
        <v>1643</v>
      </c>
      <c r="B1356" s="538" t="s">
        <v>1644</v>
      </c>
      <c r="C1356" s="589">
        <v>1</v>
      </c>
      <c r="D1356" s="6" t="s">
        <v>363</v>
      </c>
      <c r="E1356" s="585">
        <f>VLOOKUP(B1356,MATERIALES!B:C,2,0)</f>
        <v>2757230</v>
      </c>
      <c r="F1356" s="585"/>
      <c r="G1356" s="585">
        <f>+C1356*E1356</f>
        <v>2757230</v>
      </c>
      <c r="H1356" s="585"/>
      <c r="I1356" s="585"/>
    </row>
    <row r="1357" spans="1:9">
      <c r="A1357" s="530" t="s">
        <v>2126</v>
      </c>
      <c r="B1357" s="534" t="s">
        <v>2127</v>
      </c>
      <c r="C1357" s="583">
        <v>6</v>
      </c>
      <c r="D1357" s="6" t="s">
        <v>363</v>
      </c>
      <c r="E1357" s="585">
        <f>VLOOKUP(B1357,MATERIALES!B:C,2,0)</f>
        <v>17000</v>
      </c>
      <c r="F1357" s="65"/>
      <c r="G1357" s="65">
        <f>+C1357*E1357</f>
        <v>102000</v>
      </c>
      <c r="H1357" s="17"/>
      <c r="I1357" s="65"/>
    </row>
    <row r="1358" spans="1:9">
      <c r="A1358" s="2"/>
      <c r="B1358" s="180" t="s">
        <v>2236</v>
      </c>
      <c r="C1358" s="589">
        <v>0.01</v>
      </c>
      <c r="D1358" s="2" t="s">
        <v>583</v>
      </c>
      <c r="E1358" s="585">
        <f>VLOOKUP(B1358,MATERIALES!B:C,2,0)</f>
        <v>750000</v>
      </c>
      <c r="F1358" s="585"/>
      <c r="G1358" s="585" t="s">
        <v>441</v>
      </c>
      <c r="H1358" s="585"/>
      <c r="I1358" s="585">
        <f>+E1358*C1358</f>
        <v>7500</v>
      </c>
    </row>
    <row r="1359" spans="1:9">
      <c r="A1359" s="587" t="s">
        <v>190</v>
      </c>
      <c r="B1359" s="588">
        <f>SUM(G1359:I1359)</f>
        <v>2866730</v>
      </c>
      <c r="C1359" s="589"/>
      <c r="D1359" s="601"/>
      <c r="E1359" s="585" t="s">
        <v>441</v>
      </c>
      <c r="F1359" s="585">
        <v>0</v>
      </c>
      <c r="G1359" s="585">
        <f>SUM(G1356:G1357)</f>
        <v>2859230</v>
      </c>
      <c r="H1359" s="585" t="s">
        <v>441</v>
      </c>
      <c r="I1359" s="585">
        <f>SUM(I1358)</f>
        <v>7500</v>
      </c>
    </row>
    <row r="1360" spans="1:9">
      <c r="A1360" s="21" t="s">
        <v>3708</v>
      </c>
      <c r="B1360" s="39">
        <f>+B1359*AIU</f>
        <v>847756.55115161266</v>
      </c>
      <c r="C1360" s="589"/>
      <c r="D1360" s="13"/>
      <c r="E1360" s="170"/>
      <c r="F1360" s="170"/>
      <c r="G1360" s="170"/>
      <c r="H1360" s="170"/>
      <c r="I1360" s="170"/>
    </row>
    <row r="1361" spans="1:9">
      <c r="A1361" s="587" t="s">
        <v>191</v>
      </c>
      <c r="B1361" s="39">
        <f>SUM(B1359:B1360)</f>
        <v>3714486.5511516128</v>
      </c>
      <c r="C1361" s="589" t="s">
        <v>363</v>
      </c>
      <c r="D1361" s="13"/>
      <c r="E1361" s="170"/>
      <c r="F1361" s="170"/>
      <c r="G1361" s="170"/>
      <c r="H1361" s="170"/>
      <c r="I1361" s="170"/>
    </row>
    <row r="1362" spans="1:9">
      <c r="A1362" s="471"/>
      <c r="B1362" s="602"/>
      <c r="C1362" s="603"/>
      <c r="D1362" s="13"/>
      <c r="E1362" s="170"/>
      <c r="F1362" s="170"/>
      <c r="G1362" s="170"/>
      <c r="H1362" s="170"/>
      <c r="I1362" s="170"/>
    </row>
    <row r="1363" spans="1:9" ht="33" customHeight="1">
      <c r="A1363" s="594"/>
      <c r="B1363" s="3547" t="s">
        <v>3695</v>
      </c>
      <c r="C1363" s="3548"/>
      <c r="D1363" s="3548"/>
      <c r="E1363" s="3548"/>
      <c r="F1363" s="3548"/>
      <c r="G1363" s="3548"/>
      <c r="H1363" s="3548"/>
      <c r="I1363" s="3549"/>
    </row>
    <row r="1364" spans="1:9">
      <c r="A1364" s="243" t="s">
        <v>1520</v>
      </c>
      <c r="B1364" s="179" t="s">
        <v>1521</v>
      </c>
      <c r="C1364" s="589" t="s">
        <v>140</v>
      </c>
      <c r="D1364" s="2" t="s">
        <v>343</v>
      </c>
      <c r="E1364" s="585" t="s">
        <v>344</v>
      </c>
      <c r="F1364" s="585" t="s">
        <v>482</v>
      </c>
      <c r="G1364" s="585" t="s">
        <v>483</v>
      </c>
      <c r="H1364" s="585" t="s">
        <v>232</v>
      </c>
      <c r="I1364" s="585" t="s">
        <v>171</v>
      </c>
    </row>
    <row r="1365" spans="1:9" ht="33.6">
      <c r="A1365" s="243"/>
      <c r="B1365" s="604" t="s">
        <v>1814</v>
      </c>
      <c r="C1365" s="583">
        <v>2</v>
      </c>
      <c r="D1365" s="6" t="s">
        <v>363</v>
      </c>
      <c r="E1365" s="585">
        <v>150000</v>
      </c>
      <c r="F1365" s="65"/>
      <c r="G1365" s="65"/>
      <c r="H1365" s="65">
        <f>+C1365*E1365</f>
        <v>300000</v>
      </c>
      <c r="I1365" s="65"/>
    </row>
    <row r="1366" spans="1:9">
      <c r="A1366" s="2"/>
      <c r="B1366" s="18" t="s">
        <v>189</v>
      </c>
      <c r="C1366" s="589">
        <v>1</v>
      </c>
      <c r="D1366" s="6" t="s">
        <v>583</v>
      </c>
      <c r="E1366" s="585">
        <f>0.05*H1365</f>
        <v>15000</v>
      </c>
      <c r="F1366" s="585"/>
      <c r="G1366" s="585" t="s">
        <v>441</v>
      </c>
      <c r="H1366" s="585"/>
      <c r="I1366" s="585">
        <f>+E1366*C1366</f>
        <v>15000</v>
      </c>
    </row>
    <row r="1367" spans="1:9">
      <c r="A1367" s="587" t="s">
        <v>190</v>
      </c>
      <c r="B1367" s="588">
        <f>SUM(G1367:I1367)</f>
        <v>315000</v>
      </c>
      <c r="C1367" s="589"/>
      <c r="D1367" s="601"/>
      <c r="E1367" s="585" t="s">
        <v>441</v>
      </c>
      <c r="F1367" s="585">
        <v>0</v>
      </c>
      <c r="G1367" s="585">
        <f>SUM(G1365:G1366)</f>
        <v>0</v>
      </c>
      <c r="H1367" s="585">
        <f>SUM(H1365:H1366)</f>
        <v>300000</v>
      </c>
      <c r="I1367" s="585">
        <f>SUM(I1366:I1366)</f>
        <v>15000</v>
      </c>
    </row>
    <row r="1368" spans="1:9">
      <c r="A1368" s="21" t="s">
        <v>3708</v>
      </c>
      <c r="B1368" s="39">
        <f>+B1367*AIU</f>
        <v>93152.58626126562</v>
      </c>
      <c r="C1368" s="589"/>
      <c r="D1368" s="13"/>
      <c r="E1368" s="170"/>
      <c r="F1368" s="170"/>
      <c r="G1368" s="170"/>
      <c r="H1368" s="170"/>
      <c r="I1368" s="170"/>
    </row>
    <row r="1369" spans="1:9">
      <c r="A1369" s="587" t="s">
        <v>191</v>
      </c>
      <c r="B1369" s="39">
        <f>SUM(B1367:B1368)</f>
        <v>408152.58626126562</v>
      </c>
      <c r="C1369" s="589" t="s">
        <v>363</v>
      </c>
      <c r="D1369" s="13"/>
      <c r="E1369" s="170"/>
      <c r="F1369" s="170"/>
      <c r="G1369" s="170"/>
      <c r="H1369" s="170"/>
      <c r="I1369" s="170"/>
    </row>
    <row r="1370" spans="1:9">
      <c r="A1370" s="471"/>
      <c r="B1370" s="602"/>
      <c r="C1370" s="603"/>
      <c r="D1370" s="13"/>
      <c r="E1370" s="170"/>
      <c r="F1370" s="170"/>
      <c r="G1370" s="170"/>
      <c r="H1370" s="170"/>
      <c r="I1370" s="170"/>
    </row>
    <row r="1371" spans="1:9">
      <c r="A1371" s="594" t="s">
        <v>441</v>
      </c>
      <c r="B1371" s="3547" t="s">
        <v>3696</v>
      </c>
      <c r="C1371" s="3548"/>
      <c r="D1371" s="3548"/>
      <c r="E1371" s="3548"/>
      <c r="F1371" s="3548"/>
      <c r="G1371" s="3548"/>
      <c r="H1371" s="3548"/>
      <c r="I1371" s="3549"/>
    </row>
    <row r="1372" spans="1:9">
      <c r="A1372" s="243" t="s">
        <v>1520</v>
      </c>
      <c r="B1372" s="179" t="s">
        <v>1521</v>
      </c>
      <c r="C1372" s="589" t="s">
        <v>140</v>
      </c>
      <c r="D1372" s="2" t="s">
        <v>343</v>
      </c>
      <c r="E1372" s="585" t="s">
        <v>344</v>
      </c>
      <c r="F1372" s="585" t="s">
        <v>482</v>
      </c>
      <c r="G1372" s="585" t="s">
        <v>483</v>
      </c>
      <c r="H1372" s="585" t="s">
        <v>232</v>
      </c>
      <c r="I1372" s="585" t="s">
        <v>171</v>
      </c>
    </row>
    <row r="1373" spans="1:9">
      <c r="A1373" s="530" t="s">
        <v>1629</v>
      </c>
      <c r="B1373" s="538" t="s">
        <v>1630</v>
      </c>
      <c r="C1373" s="589">
        <v>1</v>
      </c>
      <c r="D1373" s="6" t="s">
        <v>363</v>
      </c>
      <c r="E1373" s="585">
        <f>VLOOKUP(B1373,MATERIALES!B:C,2,0)</f>
        <v>592620</v>
      </c>
      <c r="F1373" s="585"/>
      <c r="G1373" s="585">
        <f>+C1373*E1373</f>
        <v>592620</v>
      </c>
      <c r="H1373" s="585"/>
      <c r="I1373" s="585"/>
    </row>
    <row r="1374" spans="1:9">
      <c r="A1374" s="530" t="s">
        <v>2128</v>
      </c>
      <c r="B1374" s="534" t="s">
        <v>2129</v>
      </c>
      <c r="C1374" s="583">
        <v>6</v>
      </c>
      <c r="D1374" s="6" t="s">
        <v>363</v>
      </c>
      <c r="E1374" s="585">
        <f>VLOOKUP(B1374,MATERIALES!B:C,2,0)</f>
        <v>5750</v>
      </c>
      <c r="F1374" s="65"/>
      <c r="G1374" s="65">
        <f>+C1374*E1374</f>
        <v>34500</v>
      </c>
      <c r="H1374" s="17"/>
      <c r="I1374" s="65"/>
    </row>
    <row r="1375" spans="1:9">
      <c r="A1375" s="2"/>
      <c r="B1375" s="180" t="s">
        <v>2236</v>
      </c>
      <c r="C1375" s="589">
        <v>0.01</v>
      </c>
      <c r="D1375" s="2" t="s">
        <v>583</v>
      </c>
      <c r="E1375" s="585">
        <f>VLOOKUP(B1375,MATERIALES!B:C,2,0)</f>
        <v>750000</v>
      </c>
      <c r="F1375" s="585"/>
      <c r="G1375" s="585" t="s">
        <v>441</v>
      </c>
      <c r="H1375" s="585"/>
      <c r="I1375" s="585">
        <f>+E1375*C1375</f>
        <v>7500</v>
      </c>
    </row>
    <row r="1376" spans="1:9">
      <c r="A1376" s="587" t="s">
        <v>190</v>
      </c>
      <c r="B1376" s="588">
        <f>SUM(G1376:I1376)</f>
        <v>634620</v>
      </c>
      <c r="C1376" s="589"/>
      <c r="D1376" s="601"/>
      <c r="E1376" s="585" t="s">
        <v>441</v>
      </c>
      <c r="F1376" s="585">
        <v>0</v>
      </c>
      <c r="G1376" s="585">
        <f>SUM(G1373:G1374)</f>
        <v>627120</v>
      </c>
      <c r="H1376" s="585" t="s">
        <v>441</v>
      </c>
      <c r="I1376" s="585">
        <f>SUM(I1375)</f>
        <v>7500</v>
      </c>
    </row>
    <row r="1377" spans="1:9">
      <c r="A1377" s="21" t="s">
        <v>3708</v>
      </c>
      <c r="B1377" s="39">
        <f>+B1376*AIU</f>
        <v>187671.41045436313</v>
      </c>
      <c r="C1377" s="589"/>
      <c r="D1377" s="13"/>
      <c r="E1377" s="170"/>
      <c r="F1377" s="170"/>
      <c r="G1377" s="170"/>
      <c r="H1377" s="170"/>
      <c r="I1377" s="170"/>
    </row>
    <row r="1378" spans="1:9">
      <c r="A1378" s="587" t="s">
        <v>191</v>
      </c>
      <c r="B1378" s="39">
        <f>SUM(B1376:B1377)</f>
        <v>822291.4104543631</v>
      </c>
      <c r="C1378" s="589" t="s">
        <v>363</v>
      </c>
      <c r="D1378" s="13"/>
      <c r="E1378" s="170"/>
      <c r="F1378" s="170"/>
      <c r="G1378" s="170"/>
      <c r="H1378" s="170"/>
      <c r="I1378" s="170"/>
    </row>
    <row r="1379" spans="1:9">
      <c r="A1379" s="471"/>
      <c r="B1379" s="602"/>
      <c r="C1379" s="603"/>
      <c r="D1379" s="13"/>
      <c r="E1379" s="170"/>
      <c r="F1379" s="170"/>
      <c r="G1379" s="170"/>
      <c r="H1379" s="170"/>
      <c r="I1379" s="170"/>
    </row>
    <row r="1380" spans="1:9">
      <c r="A1380" s="594"/>
      <c r="B1380" s="3547" t="s">
        <v>1439</v>
      </c>
      <c r="C1380" s="3548"/>
      <c r="D1380" s="3548"/>
      <c r="E1380" s="3548"/>
      <c r="F1380" s="3548"/>
      <c r="G1380" s="3548"/>
      <c r="H1380" s="3548"/>
      <c r="I1380" s="3549"/>
    </row>
    <row r="1381" spans="1:9">
      <c r="A1381" s="243" t="s">
        <v>1520</v>
      </c>
      <c r="B1381" s="179" t="s">
        <v>1521</v>
      </c>
      <c r="C1381" s="589" t="s">
        <v>140</v>
      </c>
      <c r="D1381" s="2" t="s">
        <v>343</v>
      </c>
      <c r="E1381" s="585" t="s">
        <v>344</v>
      </c>
      <c r="F1381" s="585" t="s">
        <v>482</v>
      </c>
      <c r="G1381" s="585" t="s">
        <v>483</v>
      </c>
      <c r="H1381" s="585" t="s">
        <v>232</v>
      </c>
      <c r="I1381" s="585" t="s">
        <v>171</v>
      </c>
    </row>
    <row r="1382" spans="1:9" ht="33.6">
      <c r="A1382" s="243"/>
      <c r="B1382" s="604" t="s">
        <v>1814</v>
      </c>
      <c r="C1382" s="583">
        <v>1</v>
      </c>
      <c r="D1382" s="6" t="s">
        <v>363</v>
      </c>
      <c r="E1382" s="585">
        <v>150000</v>
      </c>
      <c r="F1382" s="65"/>
      <c r="G1382" s="65"/>
      <c r="H1382" s="65">
        <f>+C1382*E1382</f>
        <v>150000</v>
      </c>
      <c r="I1382" s="65"/>
    </row>
    <row r="1383" spans="1:9">
      <c r="A1383" s="2"/>
      <c r="B1383" s="18" t="s">
        <v>189</v>
      </c>
      <c r="C1383" s="589">
        <v>1</v>
      </c>
      <c r="D1383" s="6" t="s">
        <v>583</v>
      </c>
      <c r="E1383" s="585">
        <f>0.05*H1382</f>
        <v>7500</v>
      </c>
      <c r="F1383" s="585"/>
      <c r="G1383" s="585" t="s">
        <v>441</v>
      </c>
      <c r="H1383" s="585"/>
      <c r="I1383" s="585">
        <f>+E1383*C1383</f>
        <v>7500</v>
      </c>
    </row>
    <row r="1384" spans="1:9">
      <c r="A1384" s="587" t="s">
        <v>190</v>
      </c>
      <c r="B1384" s="588">
        <f>SUM(G1384:I1384)</f>
        <v>157500</v>
      </c>
      <c r="C1384" s="589"/>
      <c r="D1384" s="601"/>
      <c r="E1384" s="585" t="s">
        <v>441</v>
      </c>
      <c r="F1384" s="585">
        <v>0</v>
      </c>
      <c r="G1384" s="585">
        <f>SUM(G1382:G1383)</f>
        <v>0</v>
      </c>
      <c r="H1384" s="585">
        <f>SUM(H1382:H1383)</f>
        <v>150000</v>
      </c>
      <c r="I1384" s="585">
        <f>SUM(I1383:I1383)</f>
        <v>7500</v>
      </c>
    </row>
    <row r="1385" spans="1:9">
      <c r="A1385" s="21" t="s">
        <v>3708</v>
      </c>
      <c r="B1385" s="39">
        <f>+B1384*AIU</f>
        <v>46576.29313063281</v>
      </c>
      <c r="C1385" s="589"/>
      <c r="D1385" s="13"/>
      <c r="E1385" s="170"/>
      <c r="F1385" s="170"/>
      <c r="G1385" s="170"/>
      <c r="H1385" s="170"/>
      <c r="I1385" s="170"/>
    </row>
    <row r="1386" spans="1:9">
      <c r="A1386" s="587" t="s">
        <v>191</v>
      </c>
      <c r="B1386" s="39">
        <f>SUM(B1384:B1385)</f>
        <v>204076.29313063281</v>
      </c>
      <c r="C1386" s="589" t="s">
        <v>363</v>
      </c>
      <c r="D1386" s="13"/>
      <c r="E1386" s="170"/>
      <c r="F1386" s="170"/>
      <c r="G1386" s="170"/>
      <c r="H1386" s="170"/>
      <c r="I1386" s="170"/>
    </row>
    <row r="1387" spans="1:9">
      <c r="A1387" s="471"/>
      <c r="B1387" s="602"/>
      <c r="C1387" s="603"/>
      <c r="D1387" s="13"/>
      <c r="E1387" s="170"/>
      <c r="F1387" s="170"/>
      <c r="G1387" s="170"/>
      <c r="H1387" s="170"/>
      <c r="I1387" s="170"/>
    </row>
    <row r="1388" spans="1:9">
      <c r="A1388" s="594" t="s">
        <v>441</v>
      </c>
      <c r="B1388" s="3547" t="s">
        <v>3697</v>
      </c>
      <c r="C1388" s="3548"/>
      <c r="D1388" s="3548"/>
      <c r="E1388" s="3548"/>
      <c r="F1388" s="3548"/>
      <c r="G1388" s="3548"/>
      <c r="H1388" s="3548"/>
      <c r="I1388" s="3549"/>
    </row>
    <row r="1389" spans="1:9">
      <c r="A1389" s="243" t="s">
        <v>1520</v>
      </c>
      <c r="B1389" s="179" t="s">
        <v>1521</v>
      </c>
      <c r="C1389" s="589" t="s">
        <v>140</v>
      </c>
      <c r="D1389" s="2" t="s">
        <v>343</v>
      </c>
      <c r="E1389" s="585" t="s">
        <v>344</v>
      </c>
      <c r="F1389" s="585" t="s">
        <v>482</v>
      </c>
      <c r="G1389" s="585" t="s">
        <v>483</v>
      </c>
      <c r="H1389" s="585" t="s">
        <v>232</v>
      </c>
      <c r="I1389" s="585" t="s">
        <v>171</v>
      </c>
    </row>
    <row r="1390" spans="1:9" ht="26.4">
      <c r="A1390" s="530" t="s">
        <v>1633</v>
      </c>
      <c r="B1390" s="538" t="s">
        <v>1634</v>
      </c>
      <c r="C1390" s="589">
        <v>1</v>
      </c>
      <c r="D1390" s="6" t="s">
        <v>363</v>
      </c>
      <c r="E1390" s="585">
        <f>VLOOKUP(B1390,MATERIALES!B:C,2,0)</f>
        <v>560000</v>
      </c>
      <c r="F1390" s="585"/>
      <c r="G1390" s="585">
        <f>+C1390*E1390</f>
        <v>560000</v>
      </c>
      <c r="H1390" s="585"/>
      <c r="I1390" s="585"/>
    </row>
    <row r="1391" spans="1:9">
      <c r="A1391" s="530" t="s">
        <v>2128</v>
      </c>
      <c r="B1391" s="534" t="s">
        <v>2129</v>
      </c>
      <c r="C1391" s="583">
        <v>6</v>
      </c>
      <c r="D1391" s="6" t="s">
        <v>363</v>
      </c>
      <c r="E1391" s="585">
        <f>VLOOKUP(B1391,MATERIALES!B:C,2,0)</f>
        <v>5750</v>
      </c>
      <c r="F1391" s="65"/>
      <c r="G1391" s="65">
        <f>+C1391*E1391</f>
        <v>34500</v>
      </c>
      <c r="H1391" s="17"/>
      <c r="I1391" s="65"/>
    </row>
    <row r="1392" spans="1:9">
      <c r="A1392" s="2"/>
      <c r="B1392" s="180" t="s">
        <v>2236</v>
      </c>
      <c r="C1392" s="589">
        <v>0.01</v>
      </c>
      <c r="D1392" s="2" t="s">
        <v>583</v>
      </c>
      <c r="E1392" s="585">
        <f>VLOOKUP(B1392,MATERIALES!B:C,2,0)</f>
        <v>750000</v>
      </c>
      <c r="F1392" s="585"/>
      <c r="G1392" s="585" t="s">
        <v>441</v>
      </c>
      <c r="H1392" s="585"/>
      <c r="I1392" s="585">
        <f>+E1392*C1392</f>
        <v>7500</v>
      </c>
    </row>
    <row r="1393" spans="1:9">
      <c r="A1393" s="587" t="s">
        <v>190</v>
      </c>
      <c r="B1393" s="588">
        <f>SUM(G1393:I1393)</f>
        <v>602000</v>
      </c>
      <c r="C1393" s="589"/>
      <c r="D1393" s="601"/>
      <c r="E1393" s="585" t="s">
        <v>441</v>
      </c>
      <c r="F1393" s="585">
        <v>0</v>
      </c>
      <c r="G1393" s="585">
        <f>SUM(G1390:G1391)</f>
        <v>594500</v>
      </c>
      <c r="H1393" s="585" t="s">
        <v>441</v>
      </c>
      <c r="I1393" s="585">
        <f>SUM(I1392)</f>
        <v>7500</v>
      </c>
    </row>
    <row r="1394" spans="1:9">
      <c r="A1394" s="21" t="s">
        <v>3708</v>
      </c>
      <c r="B1394" s="39">
        <f>+B1393*AIU</f>
        <v>178024.94263264094</v>
      </c>
      <c r="C1394" s="589"/>
      <c r="D1394" s="13"/>
      <c r="E1394" s="170"/>
      <c r="F1394" s="170"/>
      <c r="G1394" s="170"/>
      <c r="H1394" s="170"/>
      <c r="I1394" s="170"/>
    </row>
    <row r="1395" spans="1:9">
      <c r="A1395" s="587" t="s">
        <v>191</v>
      </c>
      <c r="B1395" s="39">
        <f>SUM(B1393:B1394)</f>
        <v>780024.94263264094</v>
      </c>
      <c r="C1395" s="589" t="s">
        <v>363</v>
      </c>
      <c r="D1395" s="13"/>
      <c r="E1395" s="170"/>
      <c r="F1395" s="170"/>
      <c r="G1395" s="170"/>
      <c r="H1395" s="170"/>
      <c r="I1395" s="170"/>
    </row>
    <row r="1396" spans="1:9">
      <c r="A1396" s="471"/>
      <c r="B1396" s="602"/>
      <c r="C1396" s="603"/>
      <c r="D1396" s="13"/>
      <c r="E1396" s="170"/>
      <c r="F1396" s="170"/>
      <c r="G1396" s="170"/>
      <c r="H1396" s="170"/>
      <c r="I1396" s="170"/>
    </row>
    <row r="1397" spans="1:9">
      <c r="A1397" s="594"/>
      <c r="B1397" s="3547" t="s">
        <v>3698</v>
      </c>
      <c r="C1397" s="3548"/>
      <c r="D1397" s="3548"/>
      <c r="E1397" s="3548"/>
      <c r="F1397" s="3548"/>
      <c r="G1397" s="3548"/>
      <c r="H1397" s="3548"/>
      <c r="I1397" s="3549"/>
    </row>
    <row r="1398" spans="1:9">
      <c r="A1398" s="243" t="s">
        <v>1520</v>
      </c>
      <c r="B1398" s="179" t="s">
        <v>1521</v>
      </c>
      <c r="C1398" s="589" t="s">
        <v>140</v>
      </c>
      <c r="D1398" s="2" t="s">
        <v>343</v>
      </c>
      <c r="E1398" s="585" t="s">
        <v>344</v>
      </c>
      <c r="F1398" s="585" t="s">
        <v>482</v>
      </c>
      <c r="G1398" s="585" t="s">
        <v>483</v>
      </c>
      <c r="H1398" s="585" t="s">
        <v>232</v>
      </c>
      <c r="I1398" s="585" t="s">
        <v>171</v>
      </c>
    </row>
    <row r="1399" spans="1:9" ht="33.6">
      <c r="A1399" s="243"/>
      <c r="B1399" s="604" t="s">
        <v>1814</v>
      </c>
      <c r="C1399" s="583">
        <v>1</v>
      </c>
      <c r="D1399" s="6" t="s">
        <v>363</v>
      </c>
      <c r="E1399" s="585">
        <v>150000</v>
      </c>
      <c r="F1399" s="65"/>
      <c r="G1399" s="65"/>
      <c r="H1399" s="65">
        <f>+C1399*E1399</f>
        <v>150000</v>
      </c>
      <c r="I1399" s="65"/>
    </row>
    <row r="1400" spans="1:9">
      <c r="A1400" s="2"/>
      <c r="B1400" s="18" t="s">
        <v>189</v>
      </c>
      <c r="C1400" s="589">
        <v>1</v>
      </c>
      <c r="D1400" s="6" t="s">
        <v>583</v>
      </c>
      <c r="E1400" s="585">
        <f>0.05*H1399</f>
        <v>7500</v>
      </c>
      <c r="F1400" s="585"/>
      <c r="G1400" s="585" t="s">
        <v>441</v>
      </c>
      <c r="H1400" s="585"/>
      <c r="I1400" s="585">
        <f>+E1400*C1400</f>
        <v>7500</v>
      </c>
    </row>
    <row r="1401" spans="1:9">
      <c r="A1401" s="587" t="s">
        <v>190</v>
      </c>
      <c r="B1401" s="588">
        <f>SUM(G1401:I1401)</f>
        <v>157500</v>
      </c>
      <c r="C1401" s="589"/>
      <c r="D1401" s="601"/>
      <c r="E1401" s="585" t="s">
        <v>441</v>
      </c>
      <c r="F1401" s="585">
        <v>0</v>
      </c>
      <c r="G1401" s="585">
        <f>SUM(G1399:G1400)</f>
        <v>0</v>
      </c>
      <c r="H1401" s="585">
        <f>SUM(H1399:H1400)</f>
        <v>150000</v>
      </c>
      <c r="I1401" s="585">
        <f>SUM(I1400:I1400)</f>
        <v>7500</v>
      </c>
    </row>
    <row r="1402" spans="1:9">
      <c r="A1402" s="21" t="s">
        <v>3708</v>
      </c>
      <c r="B1402" s="39">
        <f>+B1401*AIU</f>
        <v>46576.29313063281</v>
      </c>
      <c r="C1402" s="589"/>
      <c r="D1402" s="13"/>
      <c r="E1402" s="170"/>
      <c r="F1402" s="170"/>
      <c r="G1402" s="170"/>
      <c r="H1402" s="170"/>
      <c r="I1402" s="170"/>
    </row>
    <row r="1403" spans="1:9">
      <c r="A1403" s="587" t="s">
        <v>191</v>
      </c>
      <c r="B1403" s="39">
        <f>SUM(B1401:B1402)</f>
        <v>204076.29313063281</v>
      </c>
      <c r="C1403" s="589" t="s">
        <v>363</v>
      </c>
      <c r="D1403" s="13"/>
      <c r="E1403" s="170"/>
      <c r="F1403" s="170"/>
      <c r="G1403" s="170"/>
      <c r="H1403" s="170"/>
      <c r="I1403" s="170"/>
    </row>
    <row r="1404" spans="1:9">
      <c r="A1404" s="471"/>
      <c r="B1404" s="602"/>
      <c r="C1404" s="603"/>
      <c r="D1404" s="13"/>
      <c r="E1404" s="170"/>
      <c r="F1404" s="170"/>
      <c r="G1404" s="170"/>
      <c r="H1404" s="170"/>
      <c r="I1404" s="170"/>
    </row>
    <row r="1405" spans="1:9">
      <c r="A1405" s="594" t="s">
        <v>441</v>
      </c>
      <c r="B1405" s="3547" t="s">
        <v>3699</v>
      </c>
      <c r="C1405" s="3548"/>
      <c r="D1405" s="3548"/>
      <c r="E1405" s="3548"/>
      <c r="F1405" s="3548"/>
      <c r="G1405" s="3548"/>
      <c r="H1405" s="3548"/>
      <c r="I1405" s="3549"/>
    </row>
    <row r="1406" spans="1:9">
      <c r="A1406" s="243" t="s">
        <v>1520</v>
      </c>
      <c r="B1406" s="179" t="s">
        <v>1521</v>
      </c>
      <c r="C1406" s="589" t="s">
        <v>140</v>
      </c>
      <c r="D1406" s="2" t="s">
        <v>343</v>
      </c>
      <c r="E1406" s="585" t="s">
        <v>344</v>
      </c>
      <c r="F1406" s="585" t="s">
        <v>482</v>
      </c>
      <c r="G1406" s="585" t="s">
        <v>483</v>
      </c>
      <c r="H1406" s="585" t="s">
        <v>232</v>
      </c>
      <c r="I1406" s="585" t="s">
        <v>171</v>
      </c>
    </row>
    <row r="1407" spans="1:9">
      <c r="A1407" s="530" t="s">
        <v>1635</v>
      </c>
      <c r="B1407" s="537" t="s">
        <v>1636</v>
      </c>
      <c r="C1407" s="589">
        <v>1</v>
      </c>
      <c r="D1407" s="6" t="s">
        <v>363</v>
      </c>
      <c r="E1407" s="585">
        <f>VLOOKUP(B1407,MATERIALES!B:C,2,0)</f>
        <v>760000</v>
      </c>
      <c r="F1407" s="585"/>
      <c r="G1407" s="585">
        <f>+C1407*E1407</f>
        <v>760000</v>
      </c>
      <c r="H1407" s="585"/>
      <c r="I1407" s="585"/>
    </row>
    <row r="1408" spans="1:9">
      <c r="A1408" s="530" t="s">
        <v>2130</v>
      </c>
      <c r="B1408" s="534" t="s">
        <v>2131</v>
      </c>
      <c r="C1408" s="583">
        <v>6</v>
      </c>
      <c r="D1408" s="6" t="s">
        <v>363</v>
      </c>
      <c r="E1408" s="585">
        <f>VLOOKUP(B1408,MATERIALES!B:C,2,0)</f>
        <v>12000</v>
      </c>
      <c r="F1408" s="65"/>
      <c r="G1408" s="65">
        <f>+C1408*E1408</f>
        <v>72000</v>
      </c>
      <c r="H1408" s="17"/>
      <c r="I1408" s="65"/>
    </row>
    <row r="1409" spans="1:9">
      <c r="A1409" s="2"/>
      <c r="B1409" s="180" t="s">
        <v>2236</v>
      </c>
      <c r="C1409" s="589">
        <v>0.01</v>
      </c>
      <c r="D1409" s="2" t="s">
        <v>583</v>
      </c>
      <c r="E1409" s="585">
        <f>VLOOKUP(B1409,MATERIALES!B:C,2,0)</f>
        <v>750000</v>
      </c>
      <c r="F1409" s="585"/>
      <c r="G1409" s="585" t="s">
        <v>441</v>
      </c>
      <c r="H1409" s="585"/>
      <c r="I1409" s="585">
        <f>+E1409*C1409</f>
        <v>7500</v>
      </c>
    </row>
    <row r="1410" spans="1:9">
      <c r="A1410" s="587" t="s">
        <v>190</v>
      </c>
      <c r="B1410" s="588">
        <f>SUM(G1410:I1410)</f>
        <v>839500</v>
      </c>
      <c r="C1410" s="589"/>
      <c r="D1410" s="601"/>
      <c r="E1410" s="585" t="s">
        <v>441</v>
      </c>
      <c r="F1410" s="585">
        <v>0</v>
      </c>
      <c r="G1410" s="585">
        <f>SUM(G1407:G1408)</f>
        <v>832000</v>
      </c>
      <c r="H1410" s="585" t="s">
        <v>441</v>
      </c>
      <c r="I1410" s="585">
        <f>SUM(I1409)</f>
        <v>7500</v>
      </c>
    </row>
    <row r="1411" spans="1:9">
      <c r="A1411" s="21" t="s">
        <v>3708</v>
      </c>
      <c r="B1411" s="39">
        <f>+B1410*AIU</f>
        <v>248259.03544867455</v>
      </c>
      <c r="C1411" s="589"/>
      <c r="D1411" s="13"/>
      <c r="E1411" s="170"/>
      <c r="F1411" s="170"/>
      <c r="G1411" s="170"/>
      <c r="H1411" s="170"/>
      <c r="I1411" s="170"/>
    </row>
    <row r="1412" spans="1:9">
      <c r="A1412" s="587" t="s">
        <v>191</v>
      </c>
      <c r="B1412" s="39">
        <f>SUM(B1410:B1411)</f>
        <v>1087759.0354486746</v>
      </c>
      <c r="C1412" s="589" t="s">
        <v>363</v>
      </c>
      <c r="D1412" s="13"/>
      <c r="E1412" s="170"/>
      <c r="F1412" s="170"/>
      <c r="G1412" s="170"/>
      <c r="H1412" s="170"/>
      <c r="I1412" s="170"/>
    </row>
    <row r="1413" spans="1:9">
      <c r="A1413" s="471"/>
      <c r="B1413" s="602"/>
      <c r="C1413" s="603"/>
      <c r="D1413" s="13"/>
      <c r="E1413" s="170"/>
      <c r="F1413" s="170"/>
      <c r="G1413" s="170"/>
      <c r="H1413" s="170"/>
      <c r="I1413" s="170"/>
    </row>
    <row r="1414" spans="1:9">
      <c r="A1414" s="594"/>
      <c r="B1414" s="3547" t="s">
        <v>3700</v>
      </c>
      <c r="C1414" s="3548"/>
      <c r="D1414" s="3548"/>
      <c r="E1414" s="3548"/>
      <c r="F1414" s="3548"/>
      <c r="G1414" s="3548"/>
      <c r="H1414" s="3548"/>
      <c r="I1414" s="3549"/>
    </row>
    <row r="1415" spans="1:9">
      <c r="A1415" s="243" t="s">
        <v>1520</v>
      </c>
      <c r="B1415" s="179" t="s">
        <v>1521</v>
      </c>
      <c r="C1415" s="589" t="s">
        <v>140</v>
      </c>
      <c r="D1415" s="2" t="s">
        <v>343</v>
      </c>
      <c r="E1415" s="585" t="s">
        <v>344</v>
      </c>
      <c r="F1415" s="585" t="s">
        <v>482</v>
      </c>
      <c r="G1415" s="585" t="s">
        <v>483</v>
      </c>
      <c r="H1415" s="585" t="s">
        <v>232</v>
      </c>
      <c r="I1415" s="585" t="s">
        <v>171</v>
      </c>
    </row>
    <row r="1416" spans="1:9" ht="33.6">
      <c r="A1416" s="243"/>
      <c r="B1416" s="604" t="s">
        <v>1814</v>
      </c>
      <c r="C1416" s="583">
        <v>1</v>
      </c>
      <c r="D1416" s="6" t="s">
        <v>363</v>
      </c>
      <c r="E1416" s="585">
        <v>150000</v>
      </c>
      <c r="F1416" s="65"/>
      <c r="G1416" s="65"/>
      <c r="H1416" s="65">
        <f>+C1416*E1416</f>
        <v>150000</v>
      </c>
      <c r="I1416" s="65"/>
    </row>
    <row r="1417" spans="1:9">
      <c r="A1417" s="2"/>
      <c r="B1417" s="18" t="s">
        <v>189</v>
      </c>
      <c r="C1417" s="589">
        <v>1</v>
      </c>
      <c r="D1417" s="6" t="s">
        <v>583</v>
      </c>
      <c r="E1417" s="585">
        <f>0.05*H1416</f>
        <v>7500</v>
      </c>
      <c r="F1417" s="585"/>
      <c r="G1417" s="585" t="s">
        <v>441</v>
      </c>
      <c r="H1417" s="585"/>
      <c r="I1417" s="585">
        <f>+E1417*C1417</f>
        <v>7500</v>
      </c>
    </row>
    <row r="1418" spans="1:9">
      <c r="A1418" s="587" t="s">
        <v>190</v>
      </c>
      <c r="B1418" s="588">
        <f>SUM(G1418:I1418)</f>
        <v>157500</v>
      </c>
      <c r="C1418" s="589"/>
      <c r="D1418" s="601"/>
      <c r="E1418" s="585" t="s">
        <v>441</v>
      </c>
      <c r="F1418" s="585">
        <v>0</v>
      </c>
      <c r="G1418" s="585">
        <f>SUM(G1416:G1417)</f>
        <v>0</v>
      </c>
      <c r="H1418" s="585">
        <f>SUM(H1416:H1417)</f>
        <v>150000</v>
      </c>
      <c r="I1418" s="585">
        <f>SUM(I1417:I1417)</f>
        <v>7500</v>
      </c>
    </row>
    <row r="1419" spans="1:9">
      <c r="A1419" s="21" t="s">
        <v>3708</v>
      </c>
      <c r="B1419" s="39">
        <f>+B1418*AIU</f>
        <v>46576.29313063281</v>
      </c>
      <c r="C1419" s="589"/>
      <c r="D1419" s="13"/>
      <c r="E1419" s="170"/>
      <c r="F1419" s="170"/>
      <c r="G1419" s="170"/>
      <c r="H1419" s="170"/>
      <c r="I1419" s="170"/>
    </row>
    <row r="1420" spans="1:9">
      <c r="A1420" s="587" t="s">
        <v>191</v>
      </c>
      <c r="B1420" s="39">
        <f>SUM(B1418:B1419)</f>
        <v>204076.29313063281</v>
      </c>
      <c r="C1420" s="589" t="s">
        <v>363</v>
      </c>
      <c r="D1420" s="13"/>
      <c r="E1420" s="170"/>
      <c r="F1420" s="170"/>
      <c r="G1420" s="170"/>
      <c r="H1420" s="170"/>
      <c r="I1420" s="170"/>
    </row>
    <row r="1421" spans="1:9">
      <c r="A1421" s="471"/>
      <c r="B1421" s="602"/>
      <c r="C1421" s="603"/>
      <c r="D1421" s="13"/>
      <c r="E1421" s="170"/>
      <c r="F1421" s="170"/>
      <c r="G1421" s="170"/>
      <c r="H1421" s="170"/>
      <c r="I1421" s="170"/>
    </row>
    <row r="1422" spans="1:9">
      <c r="A1422" s="594" t="s">
        <v>441</v>
      </c>
      <c r="B1422" s="3547" t="s">
        <v>3701</v>
      </c>
      <c r="C1422" s="3548"/>
      <c r="D1422" s="3548"/>
      <c r="E1422" s="3548"/>
      <c r="F1422" s="3548"/>
      <c r="G1422" s="3548"/>
      <c r="H1422" s="3548"/>
      <c r="I1422" s="3549"/>
    </row>
    <row r="1423" spans="1:9">
      <c r="A1423" s="243" t="s">
        <v>1520</v>
      </c>
      <c r="B1423" s="179" t="s">
        <v>1521</v>
      </c>
      <c r="C1423" s="589" t="s">
        <v>140</v>
      </c>
      <c r="D1423" s="2" t="s">
        <v>343</v>
      </c>
      <c r="E1423" s="585" t="s">
        <v>344</v>
      </c>
      <c r="F1423" s="585" t="s">
        <v>482</v>
      </c>
      <c r="G1423" s="585" t="s">
        <v>483</v>
      </c>
      <c r="H1423" s="585" t="s">
        <v>232</v>
      </c>
      <c r="I1423" s="585" t="s">
        <v>171</v>
      </c>
    </row>
    <row r="1424" spans="1:9">
      <c r="A1424" s="530" t="s">
        <v>1637</v>
      </c>
      <c r="B1424" s="537" t="s">
        <v>1638</v>
      </c>
      <c r="C1424" s="589">
        <v>1</v>
      </c>
      <c r="D1424" s="6" t="s">
        <v>363</v>
      </c>
      <c r="E1424" s="585">
        <f>VLOOKUP(B1424,MATERIALES!B:C,2,0)</f>
        <v>718760</v>
      </c>
      <c r="F1424" s="585"/>
      <c r="G1424" s="585">
        <f>+C1424*E1424</f>
        <v>718760</v>
      </c>
      <c r="H1424" s="585"/>
      <c r="I1424" s="585"/>
    </row>
    <row r="1425" spans="1:9">
      <c r="A1425" s="530" t="s">
        <v>2130</v>
      </c>
      <c r="B1425" s="534" t="s">
        <v>2131</v>
      </c>
      <c r="C1425" s="583">
        <v>6</v>
      </c>
      <c r="D1425" s="6" t="s">
        <v>363</v>
      </c>
      <c r="E1425" s="585">
        <f>VLOOKUP(B1425,MATERIALES!B:C,2,0)</f>
        <v>12000</v>
      </c>
      <c r="F1425" s="65"/>
      <c r="G1425" s="65">
        <f>+C1425*E1425</f>
        <v>72000</v>
      </c>
      <c r="H1425" s="17"/>
      <c r="I1425" s="65"/>
    </row>
    <row r="1426" spans="1:9">
      <c r="A1426" s="2"/>
      <c r="B1426" s="180" t="s">
        <v>2236</v>
      </c>
      <c r="C1426" s="589">
        <v>0.01</v>
      </c>
      <c r="D1426" s="2" t="s">
        <v>583</v>
      </c>
      <c r="E1426" s="585">
        <f>VLOOKUP(B1426,MATERIALES!B:C,2,0)</f>
        <v>750000</v>
      </c>
      <c r="F1426" s="585"/>
      <c r="G1426" s="585" t="s">
        <v>441</v>
      </c>
      <c r="H1426" s="585"/>
      <c r="I1426" s="585">
        <f>+E1426*C1426</f>
        <v>7500</v>
      </c>
    </row>
    <row r="1427" spans="1:9">
      <c r="A1427" s="587" t="s">
        <v>190</v>
      </c>
      <c r="B1427" s="588">
        <f>SUM(G1427:I1427)</f>
        <v>798260</v>
      </c>
      <c r="C1427" s="589"/>
      <c r="D1427" s="601"/>
      <c r="E1427" s="585" t="s">
        <v>441</v>
      </c>
      <c r="F1427" s="585">
        <v>0</v>
      </c>
      <c r="G1427" s="585">
        <f>SUM(G1424:G1425)</f>
        <v>790760</v>
      </c>
      <c r="H1427" s="585" t="s">
        <v>441</v>
      </c>
      <c r="I1427" s="585">
        <f>SUM(I1426)</f>
        <v>7500</v>
      </c>
    </row>
    <row r="1428" spans="1:9">
      <c r="A1428" s="21" t="s">
        <v>3708</v>
      </c>
      <c r="B1428" s="39">
        <f>+B1427*AIU</f>
        <v>236063.43971085045</v>
      </c>
      <c r="C1428" s="589"/>
      <c r="D1428" s="13"/>
      <c r="E1428" s="170"/>
      <c r="F1428" s="170"/>
      <c r="G1428" s="170"/>
      <c r="H1428" s="170"/>
      <c r="I1428" s="170"/>
    </row>
    <row r="1429" spans="1:9">
      <c r="A1429" s="587" t="s">
        <v>191</v>
      </c>
      <c r="B1429" s="39">
        <f>SUM(B1427:B1428)</f>
        <v>1034323.4397108505</v>
      </c>
      <c r="C1429" s="589" t="s">
        <v>363</v>
      </c>
      <c r="D1429" s="13"/>
      <c r="E1429" s="170"/>
      <c r="F1429" s="170"/>
      <c r="G1429" s="170"/>
      <c r="H1429" s="170"/>
      <c r="I1429" s="170"/>
    </row>
    <row r="1430" spans="1:9">
      <c r="A1430" s="471"/>
      <c r="B1430" s="602"/>
      <c r="C1430" s="603"/>
      <c r="D1430" s="13"/>
      <c r="E1430" s="170"/>
      <c r="F1430" s="170"/>
      <c r="G1430" s="170"/>
      <c r="H1430" s="170"/>
      <c r="I1430" s="170"/>
    </row>
    <row r="1431" spans="1:9">
      <c r="A1431" s="594"/>
      <c r="B1431" s="3547" t="s">
        <v>1349</v>
      </c>
      <c r="C1431" s="3548"/>
      <c r="D1431" s="3548"/>
      <c r="E1431" s="3548"/>
      <c r="F1431" s="3548"/>
      <c r="G1431" s="3548"/>
      <c r="H1431" s="3548"/>
      <c r="I1431" s="3549"/>
    </row>
    <row r="1432" spans="1:9">
      <c r="A1432" s="243" t="s">
        <v>1520</v>
      </c>
      <c r="B1432" s="179" t="s">
        <v>1521</v>
      </c>
      <c r="C1432" s="589" t="s">
        <v>140</v>
      </c>
      <c r="D1432" s="2" t="s">
        <v>343</v>
      </c>
      <c r="E1432" s="585" t="s">
        <v>344</v>
      </c>
      <c r="F1432" s="585" t="s">
        <v>482</v>
      </c>
      <c r="G1432" s="585" t="s">
        <v>483</v>
      </c>
      <c r="H1432" s="585" t="s">
        <v>232</v>
      </c>
      <c r="I1432" s="585" t="s">
        <v>171</v>
      </c>
    </row>
    <row r="1433" spans="1:9" ht="33.6">
      <c r="A1433" s="243"/>
      <c r="B1433" s="604" t="s">
        <v>1814</v>
      </c>
      <c r="C1433" s="583">
        <v>1</v>
      </c>
      <c r="D1433" s="6" t="s">
        <v>363</v>
      </c>
      <c r="E1433" s="585">
        <v>150000</v>
      </c>
      <c r="F1433" s="65"/>
      <c r="G1433" s="65"/>
      <c r="H1433" s="65">
        <f>+C1433*E1433</f>
        <v>150000</v>
      </c>
      <c r="I1433" s="65"/>
    </row>
    <row r="1434" spans="1:9">
      <c r="A1434" s="2"/>
      <c r="B1434" s="18" t="s">
        <v>189</v>
      </c>
      <c r="C1434" s="589">
        <v>1</v>
      </c>
      <c r="D1434" s="6" t="s">
        <v>583</v>
      </c>
      <c r="E1434" s="585">
        <f>0.05*H1433</f>
        <v>7500</v>
      </c>
      <c r="F1434" s="585"/>
      <c r="G1434" s="585" t="s">
        <v>441</v>
      </c>
      <c r="H1434" s="585"/>
      <c r="I1434" s="585">
        <f>+E1434*C1434</f>
        <v>7500</v>
      </c>
    </row>
    <row r="1435" spans="1:9">
      <c r="A1435" s="587" t="s">
        <v>190</v>
      </c>
      <c r="B1435" s="588">
        <f>SUM(G1435:I1435)</f>
        <v>157500</v>
      </c>
      <c r="C1435" s="589"/>
      <c r="D1435" s="601"/>
      <c r="E1435" s="585" t="s">
        <v>441</v>
      </c>
      <c r="F1435" s="585">
        <v>0</v>
      </c>
      <c r="G1435" s="585">
        <f>SUM(G1433:G1434)</f>
        <v>0</v>
      </c>
      <c r="H1435" s="585">
        <f>SUM(H1433:H1434)</f>
        <v>150000</v>
      </c>
      <c r="I1435" s="585">
        <f>SUM(I1434:I1434)</f>
        <v>7500</v>
      </c>
    </row>
    <row r="1436" spans="1:9">
      <c r="A1436" s="21" t="s">
        <v>3708</v>
      </c>
      <c r="B1436" s="39">
        <f>+B1435*AIU</f>
        <v>46576.29313063281</v>
      </c>
      <c r="C1436" s="589"/>
      <c r="D1436" s="13"/>
      <c r="E1436" s="170"/>
      <c r="F1436" s="170"/>
      <c r="G1436" s="170"/>
      <c r="H1436" s="170"/>
      <c r="I1436" s="170"/>
    </row>
    <row r="1437" spans="1:9">
      <c r="A1437" s="587" t="s">
        <v>191</v>
      </c>
      <c r="B1437" s="39">
        <f>SUM(B1435:B1436)</f>
        <v>204076.29313063281</v>
      </c>
      <c r="C1437" s="589" t="s">
        <v>363</v>
      </c>
      <c r="D1437" s="13"/>
      <c r="E1437" s="170"/>
      <c r="F1437" s="170"/>
      <c r="G1437" s="170"/>
      <c r="H1437" s="170"/>
      <c r="I1437" s="170"/>
    </row>
    <row r="1438" spans="1:9">
      <c r="A1438" s="471"/>
      <c r="B1438" s="602"/>
      <c r="C1438" s="603"/>
      <c r="D1438" s="13"/>
      <c r="E1438" s="170"/>
      <c r="F1438" s="170"/>
      <c r="G1438" s="170"/>
      <c r="H1438" s="170"/>
      <c r="I1438" s="170"/>
    </row>
    <row r="1439" spans="1:9">
      <c r="A1439" s="594" t="s">
        <v>441</v>
      </c>
      <c r="B1439" s="3547" t="s">
        <v>3702</v>
      </c>
      <c r="C1439" s="3548"/>
      <c r="D1439" s="3548"/>
      <c r="E1439" s="3548"/>
      <c r="F1439" s="3548"/>
      <c r="G1439" s="3548"/>
      <c r="H1439" s="3548"/>
      <c r="I1439" s="3549"/>
    </row>
    <row r="1440" spans="1:9">
      <c r="A1440" s="243" t="s">
        <v>1520</v>
      </c>
      <c r="B1440" s="179" t="s">
        <v>1521</v>
      </c>
      <c r="C1440" s="589" t="s">
        <v>140</v>
      </c>
      <c r="D1440" s="2" t="s">
        <v>343</v>
      </c>
      <c r="E1440" s="585" t="s">
        <v>344</v>
      </c>
      <c r="F1440" s="585" t="s">
        <v>482</v>
      </c>
      <c r="G1440" s="585" t="s">
        <v>483</v>
      </c>
      <c r="H1440" s="585" t="s">
        <v>232</v>
      </c>
      <c r="I1440" s="585" t="s">
        <v>171</v>
      </c>
    </row>
    <row r="1441" spans="1:9">
      <c r="A1441" s="530" t="s">
        <v>1623</v>
      </c>
      <c r="B1441" s="537" t="s">
        <v>1624</v>
      </c>
      <c r="C1441" s="589">
        <v>1</v>
      </c>
      <c r="D1441" s="6" t="s">
        <v>363</v>
      </c>
      <c r="E1441" s="585">
        <f>VLOOKUP(B1441,MATERIALES!B:C,2,0)</f>
        <v>718760</v>
      </c>
      <c r="F1441" s="585"/>
      <c r="G1441" s="585">
        <f>+C1441*E1441</f>
        <v>718760</v>
      </c>
      <c r="H1441" s="585"/>
      <c r="I1441" s="585"/>
    </row>
    <row r="1442" spans="1:9">
      <c r="A1442" s="530" t="s">
        <v>2132</v>
      </c>
      <c r="B1442" s="534" t="s">
        <v>2133</v>
      </c>
      <c r="C1442" s="583">
        <v>6</v>
      </c>
      <c r="D1442" s="6" t="s">
        <v>363</v>
      </c>
      <c r="E1442" s="585">
        <f>VLOOKUP(B1442,MATERIALES!B:C,2,0)</f>
        <v>2500</v>
      </c>
      <c r="F1442" s="65"/>
      <c r="G1442" s="65">
        <f>+C1442*E1442</f>
        <v>15000</v>
      </c>
      <c r="H1442" s="17"/>
      <c r="I1442" s="65"/>
    </row>
    <row r="1443" spans="1:9">
      <c r="A1443" s="2"/>
      <c r="B1443" s="180" t="s">
        <v>2236</v>
      </c>
      <c r="C1443" s="589">
        <v>0.01</v>
      </c>
      <c r="D1443" s="2" t="s">
        <v>583</v>
      </c>
      <c r="E1443" s="585">
        <f>VLOOKUP(B1443,MATERIALES!B:C,2,0)</f>
        <v>750000</v>
      </c>
      <c r="F1443" s="585"/>
      <c r="G1443" s="585" t="s">
        <v>441</v>
      </c>
      <c r="H1443" s="585"/>
      <c r="I1443" s="585">
        <f>+E1443*C1443</f>
        <v>7500</v>
      </c>
    </row>
    <row r="1444" spans="1:9">
      <c r="A1444" s="587" t="s">
        <v>190</v>
      </c>
      <c r="B1444" s="588">
        <f>SUM(G1444:I1444)</f>
        <v>741260</v>
      </c>
      <c r="C1444" s="589"/>
      <c r="D1444" s="601"/>
      <c r="E1444" s="585" t="s">
        <v>441</v>
      </c>
      <c r="F1444" s="585">
        <v>0</v>
      </c>
      <c r="G1444" s="585">
        <f>SUM(G1441:G1442)</f>
        <v>733760</v>
      </c>
      <c r="H1444" s="585" t="s">
        <v>441</v>
      </c>
      <c r="I1444" s="585">
        <f>SUM(I1443)</f>
        <v>7500</v>
      </c>
    </row>
    <row r="1445" spans="1:9">
      <c r="A1445" s="21" t="s">
        <v>3708</v>
      </c>
      <c r="B1445" s="39">
        <f>+B1444*AIU</f>
        <v>219207.25743500239</v>
      </c>
      <c r="C1445" s="589"/>
      <c r="D1445" s="13"/>
      <c r="E1445" s="170"/>
      <c r="F1445" s="170"/>
      <c r="G1445" s="170"/>
      <c r="H1445" s="170"/>
      <c r="I1445" s="170"/>
    </row>
    <row r="1446" spans="1:9">
      <c r="A1446" s="587" t="s">
        <v>191</v>
      </c>
      <c r="B1446" s="39">
        <f>SUM(B1444:B1445)</f>
        <v>960467.25743500236</v>
      </c>
      <c r="C1446" s="589" t="s">
        <v>363</v>
      </c>
      <c r="D1446" s="13"/>
      <c r="E1446" s="170"/>
      <c r="F1446" s="170"/>
      <c r="G1446" s="170"/>
      <c r="H1446" s="170"/>
      <c r="I1446" s="170"/>
    </row>
    <row r="1447" spans="1:9">
      <c r="A1447" s="471"/>
      <c r="B1447" s="602"/>
      <c r="C1447" s="603"/>
      <c r="D1447" s="13"/>
      <c r="E1447" s="170"/>
      <c r="F1447" s="170"/>
      <c r="G1447" s="170"/>
      <c r="H1447" s="170"/>
      <c r="I1447" s="170"/>
    </row>
    <row r="1448" spans="1:9">
      <c r="A1448" s="594"/>
      <c r="B1448" s="3547" t="s">
        <v>3703</v>
      </c>
      <c r="C1448" s="3548"/>
      <c r="D1448" s="3548"/>
      <c r="E1448" s="3548"/>
      <c r="F1448" s="3548"/>
      <c r="G1448" s="3548"/>
      <c r="H1448" s="3548"/>
      <c r="I1448" s="3549"/>
    </row>
    <row r="1449" spans="1:9">
      <c r="A1449" s="243" t="s">
        <v>1520</v>
      </c>
      <c r="B1449" s="179" t="s">
        <v>1521</v>
      </c>
      <c r="C1449" s="589" t="s">
        <v>140</v>
      </c>
      <c r="D1449" s="2" t="s">
        <v>343</v>
      </c>
      <c r="E1449" s="585" t="s">
        <v>344</v>
      </c>
      <c r="F1449" s="585" t="s">
        <v>482</v>
      </c>
      <c r="G1449" s="585" t="s">
        <v>483</v>
      </c>
      <c r="H1449" s="585" t="s">
        <v>232</v>
      </c>
      <c r="I1449" s="585" t="s">
        <v>171</v>
      </c>
    </row>
    <row r="1450" spans="1:9" ht="33.6">
      <c r="A1450" s="243"/>
      <c r="B1450" s="604" t="s">
        <v>1814</v>
      </c>
      <c r="C1450" s="583">
        <v>1</v>
      </c>
      <c r="D1450" s="6" t="s">
        <v>363</v>
      </c>
      <c r="E1450" s="585">
        <v>150000</v>
      </c>
      <c r="F1450" s="65"/>
      <c r="G1450" s="65"/>
      <c r="H1450" s="65">
        <f>+C1450*E1450</f>
        <v>150000</v>
      </c>
      <c r="I1450" s="65"/>
    </row>
    <row r="1451" spans="1:9">
      <c r="A1451" s="2"/>
      <c r="B1451" s="18" t="s">
        <v>189</v>
      </c>
      <c r="C1451" s="589">
        <v>1</v>
      </c>
      <c r="D1451" s="6" t="s">
        <v>583</v>
      </c>
      <c r="E1451" s="585">
        <f>0.05*H1450</f>
        <v>7500</v>
      </c>
      <c r="F1451" s="585"/>
      <c r="G1451" s="585" t="s">
        <v>441</v>
      </c>
      <c r="H1451" s="585"/>
      <c r="I1451" s="585">
        <f>+E1451*C1451</f>
        <v>7500</v>
      </c>
    </row>
    <row r="1452" spans="1:9">
      <c r="A1452" s="587" t="s">
        <v>190</v>
      </c>
      <c r="B1452" s="588">
        <f>SUM(G1452:I1452)</f>
        <v>157500</v>
      </c>
      <c r="C1452" s="589"/>
      <c r="D1452" s="601"/>
      <c r="E1452" s="585" t="s">
        <v>441</v>
      </c>
      <c r="F1452" s="585">
        <v>0</v>
      </c>
      <c r="G1452" s="585">
        <f>SUM(G1450:G1451)</f>
        <v>0</v>
      </c>
      <c r="H1452" s="585">
        <f>SUM(H1450:H1451)</f>
        <v>150000</v>
      </c>
      <c r="I1452" s="585">
        <f>SUM(I1451:I1451)</f>
        <v>7500</v>
      </c>
    </row>
    <row r="1453" spans="1:9">
      <c r="A1453" s="21" t="s">
        <v>3708</v>
      </c>
      <c r="B1453" s="39">
        <f>+B1452*AIU</f>
        <v>46576.29313063281</v>
      </c>
      <c r="C1453" s="589"/>
      <c r="D1453" s="13"/>
      <c r="E1453" s="170"/>
      <c r="F1453" s="170"/>
      <c r="G1453" s="170"/>
      <c r="H1453" s="170"/>
      <c r="I1453" s="170"/>
    </row>
    <row r="1454" spans="1:9">
      <c r="A1454" s="587" t="s">
        <v>191</v>
      </c>
      <c r="B1454" s="39">
        <f>SUM(B1452:B1453)</f>
        <v>204076.29313063281</v>
      </c>
      <c r="C1454" s="589" t="s">
        <v>363</v>
      </c>
      <c r="D1454" s="13"/>
      <c r="E1454" s="170"/>
      <c r="F1454" s="170"/>
      <c r="G1454" s="170"/>
      <c r="H1454" s="170"/>
      <c r="I1454" s="170"/>
    </row>
    <row r="1455" spans="1:9">
      <c r="A1455" s="471"/>
      <c r="B1455" s="21" t="s">
        <v>3704</v>
      </c>
      <c r="C1455" s="603"/>
      <c r="D1455" s="13"/>
      <c r="E1455" s="170"/>
      <c r="F1455" s="170"/>
      <c r="G1455" s="170"/>
      <c r="H1455" s="170"/>
      <c r="I1455" s="170"/>
    </row>
    <row r="1456" spans="1:9">
      <c r="A1456" s="471"/>
      <c r="B1456" s="603"/>
      <c r="C1456" s="603"/>
      <c r="D1456" s="13"/>
      <c r="E1456" s="170"/>
      <c r="F1456" s="170"/>
      <c r="G1456" s="170"/>
      <c r="H1456" s="170"/>
      <c r="I1456" s="170"/>
    </row>
    <row r="1457" spans="1:9">
      <c r="A1457" s="594" t="s">
        <v>441</v>
      </c>
      <c r="B1457" s="3547" t="s">
        <v>3705</v>
      </c>
      <c r="C1457" s="3548"/>
      <c r="D1457" s="3548"/>
      <c r="E1457" s="3548"/>
      <c r="F1457" s="3548"/>
      <c r="G1457" s="3548"/>
      <c r="H1457" s="3548"/>
      <c r="I1457" s="3549"/>
    </row>
    <row r="1458" spans="1:9">
      <c r="A1458" s="243" t="s">
        <v>1520</v>
      </c>
      <c r="B1458" s="179" t="s">
        <v>1521</v>
      </c>
      <c r="C1458" s="589" t="s">
        <v>140</v>
      </c>
      <c r="D1458" s="2" t="s">
        <v>343</v>
      </c>
      <c r="E1458" s="585" t="s">
        <v>344</v>
      </c>
      <c r="F1458" s="585" t="s">
        <v>482</v>
      </c>
      <c r="G1458" s="585" t="s">
        <v>483</v>
      </c>
      <c r="H1458" s="585" t="s">
        <v>232</v>
      </c>
      <c r="I1458" s="585" t="s">
        <v>171</v>
      </c>
    </row>
    <row r="1459" spans="1:9">
      <c r="A1459" s="530" t="s">
        <v>1627</v>
      </c>
      <c r="B1459" s="537" t="s">
        <v>1628</v>
      </c>
      <c r="C1459" s="589">
        <v>1</v>
      </c>
      <c r="D1459" s="6" t="s">
        <v>363</v>
      </c>
      <c r="E1459" s="585">
        <f>VLOOKUP(B1459,MATERIALES!B:C,2,0)</f>
        <v>390320</v>
      </c>
      <c r="F1459" s="585"/>
      <c r="G1459" s="585">
        <f>+C1459*E1459</f>
        <v>390320</v>
      </c>
      <c r="H1459" s="585"/>
      <c r="I1459" s="585"/>
    </row>
    <row r="1460" spans="1:9">
      <c r="A1460" s="530" t="s">
        <v>2132</v>
      </c>
      <c r="B1460" s="534" t="s">
        <v>2133</v>
      </c>
      <c r="C1460" s="583">
        <v>6</v>
      </c>
      <c r="D1460" s="6" t="s">
        <v>363</v>
      </c>
      <c r="E1460" s="585">
        <f>VLOOKUP(B1460,MATERIALES!B:C,2,0)</f>
        <v>2500</v>
      </c>
      <c r="F1460" s="65"/>
      <c r="G1460" s="65">
        <f>+C1460*E1460</f>
        <v>15000</v>
      </c>
      <c r="H1460" s="17"/>
      <c r="I1460" s="65"/>
    </row>
    <row r="1461" spans="1:9">
      <c r="A1461" s="2"/>
      <c r="B1461" s="180" t="s">
        <v>2236</v>
      </c>
      <c r="C1461" s="589">
        <v>0.02</v>
      </c>
      <c r="D1461" s="2" t="s">
        <v>583</v>
      </c>
      <c r="E1461" s="585">
        <f>VLOOKUP(B1461,MATERIALES!B:C,2,0)</f>
        <v>750000</v>
      </c>
      <c r="F1461" s="585"/>
      <c r="G1461" s="585" t="s">
        <v>441</v>
      </c>
      <c r="H1461" s="585"/>
      <c r="I1461" s="585">
        <f>+E1461*C1461</f>
        <v>15000</v>
      </c>
    </row>
    <row r="1462" spans="1:9">
      <c r="A1462" s="587" t="s">
        <v>190</v>
      </c>
      <c r="B1462" s="588">
        <f>SUM(G1462:I1462)</f>
        <v>420320</v>
      </c>
      <c r="C1462" s="589"/>
      <c r="D1462" s="601"/>
      <c r="E1462" s="585" t="s">
        <v>441</v>
      </c>
      <c r="F1462" s="585">
        <v>0</v>
      </c>
      <c r="G1462" s="585">
        <f>SUM(G1459:G1461)</f>
        <v>405320</v>
      </c>
      <c r="H1462" s="585">
        <f>SUM(H1461:H1461)</f>
        <v>0</v>
      </c>
      <c r="I1462" s="585">
        <f>SUM(I1461:I1461)</f>
        <v>15000</v>
      </c>
    </row>
    <row r="1463" spans="1:9">
      <c r="A1463" s="21" t="s">
        <v>3708</v>
      </c>
      <c r="B1463" s="39">
        <f>+B1462*AIU</f>
        <v>124298.07954709575</v>
      </c>
      <c r="C1463" s="589"/>
      <c r="D1463" s="13"/>
      <c r="E1463" s="170"/>
      <c r="F1463" s="170"/>
      <c r="G1463" s="170"/>
      <c r="H1463" s="170"/>
      <c r="I1463" s="170"/>
    </row>
    <row r="1464" spans="1:9">
      <c r="A1464" s="587" t="s">
        <v>191</v>
      </c>
      <c r="B1464" s="39">
        <f>SUM(B1462:B1463)</f>
        <v>544618.07954709581</v>
      </c>
      <c r="C1464" s="589" t="s">
        <v>363</v>
      </c>
      <c r="D1464" s="13"/>
      <c r="E1464" s="170"/>
      <c r="F1464" s="170"/>
      <c r="G1464" s="170"/>
      <c r="H1464" s="170"/>
      <c r="I1464" s="170"/>
    </row>
    <row r="1465" spans="1:9">
      <c r="A1465" s="471"/>
      <c r="B1465" s="602"/>
      <c r="C1465" s="603"/>
      <c r="D1465" s="13"/>
      <c r="E1465" s="170"/>
      <c r="F1465" s="170"/>
      <c r="G1465" s="170"/>
      <c r="H1465" s="170"/>
      <c r="I1465" s="170"/>
    </row>
    <row r="1466" spans="1:9">
      <c r="A1466" s="594"/>
      <c r="B1466" s="3547" t="s">
        <v>3706</v>
      </c>
      <c r="C1466" s="3548"/>
      <c r="D1466" s="3548"/>
      <c r="E1466" s="3548"/>
      <c r="F1466" s="3548"/>
      <c r="G1466" s="3548"/>
      <c r="H1466" s="3548"/>
      <c r="I1466" s="3549"/>
    </row>
    <row r="1467" spans="1:9">
      <c r="A1467" s="243" t="s">
        <v>1520</v>
      </c>
      <c r="B1467" s="179" t="s">
        <v>1521</v>
      </c>
      <c r="C1467" s="589" t="s">
        <v>140</v>
      </c>
      <c r="D1467" s="2" t="s">
        <v>343</v>
      </c>
      <c r="E1467" s="585" t="s">
        <v>344</v>
      </c>
      <c r="F1467" s="585" t="s">
        <v>482</v>
      </c>
      <c r="G1467" s="585" t="s">
        <v>483</v>
      </c>
      <c r="H1467" s="585" t="s">
        <v>232</v>
      </c>
      <c r="I1467" s="585" t="s">
        <v>171</v>
      </c>
    </row>
    <row r="1468" spans="1:9" ht="33.6">
      <c r="A1468" s="243"/>
      <c r="B1468" s="604" t="s">
        <v>1814</v>
      </c>
      <c r="C1468" s="583">
        <v>1</v>
      </c>
      <c r="D1468" s="6" t="s">
        <v>363</v>
      </c>
      <c r="E1468" s="585">
        <v>150000</v>
      </c>
      <c r="F1468" s="65"/>
      <c r="G1468" s="65"/>
      <c r="H1468" s="65">
        <f>+C1468*E1468</f>
        <v>150000</v>
      </c>
      <c r="I1468" s="65"/>
    </row>
    <row r="1469" spans="1:9">
      <c r="A1469" s="2"/>
      <c r="B1469" s="18" t="s">
        <v>189</v>
      </c>
      <c r="C1469" s="589">
        <v>1</v>
      </c>
      <c r="D1469" s="6" t="s">
        <v>583</v>
      </c>
      <c r="E1469" s="585">
        <f>0.05*H1468</f>
        <v>7500</v>
      </c>
      <c r="F1469" s="585"/>
      <c r="G1469" s="585" t="s">
        <v>441</v>
      </c>
      <c r="H1469" s="585"/>
      <c r="I1469" s="585">
        <f>+E1469*C1469</f>
        <v>7500</v>
      </c>
    </row>
    <row r="1470" spans="1:9">
      <c r="A1470" s="587" t="s">
        <v>190</v>
      </c>
      <c r="B1470" s="588">
        <f>SUM(G1470:I1470)</f>
        <v>157500</v>
      </c>
      <c r="C1470" s="589"/>
      <c r="D1470" s="601"/>
      <c r="E1470" s="585" t="s">
        <v>441</v>
      </c>
      <c r="F1470" s="585">
        <v>0</v>
      </c>
      <c r="G1470" s="585">
        <f>SUM(G1468:G1469)</f>
        <v>0</v>
      </c>
      <c r="H1470" s="585">
        <f>SUM(H1468:H1469)</f>
        <v>150000</v>
      </c>
      <c r="I1470" s="585">
        <f>SUM(I1469:I1469)</f>
        <v>7500</v>
      </c>
    </row>
    <row r="1471" spans="1:9">
      <c r="A1471" s="21" t="s">
        <v>3708</v>
      </c>
      <c r="B1471" s="39">
        <f>+B1470*AIU</f>
        <v>46576.29313063281</v>
      </c>
      <c r="C1471" s="589"/>
      <c r="D1471" s="13"/>
      <c r="E1471" s="170"/>
      <c r="F1471" s="170"/>
      <c r="G1471" s="170"/>
      <c r="H1471" s="170"/>
      <c r="I1471" s="170"/>
    </row>
    <row r="1472" spans="1:9">
      <c r="A1472" s="587" t="s">
        <v>191</v>
      </c>
      <c r="B1472" s="39">
        <f>SUM(B1470:B1471)</f>
        <v>204076.29313063281</v>
      </c>
      <c r="C1472" s="589" t="s">
        <v>363</v>
      </c>
      <c r="D1472" s="13"/>
      <c r="E1472" s="170"/>
      <c r="F1472" s="170"/>
      <c r="G1472" s="170"/>
      <c r="H1472" s="170"/>
      <c r="I1472" s="170"/>
    </row>
    <row r="1473" spans="1:9">
      <c r="A1473" s="471"/>
      <c r="B1473" s="602"/>
      <c r="C1473" s="603"/>
      <c r="D1473" s="13"/>
      <c r="E1473" s="170"/>
      <c r="F1473" s="170"/>
      <c r="G1473" s="170"/>
      <c r="H1473" s="170"/>
      <c r="I1473" s="170"/>
    </row>
    <row r="1474" spans="1:9">
      <c r="A1474" s="594" t="s">
        <v>441</v>
      </c>
      <c r="B1474" s="3547" t="s">
        <v>3707</v>
      </c>
      <c r="C1474" s="3548"/>
      <c r="D1474" s="3548"/>
      <c r="E1474" s="3548"/>
      <c r="F1474" s="3548"/>
      <c r="G1474" s="3548"/>
      <c r="H1474" s="3548"/>
      <c r="I1474" s="3549"/>
    </row>
    <row r="1475" spans="1:9">
      <c r="A1475" s="243" t="s">
        <v>1520</v>
      </c>
      <c r="B1475" s="179" t="s">
        <v>1521</v>
      </c>
      <c r="C1475" s="589" t="s">
        <v>140</v>
      </c>
      <c r="D1475" s="2" t="s">
        <v>343</v>
      </c>
      <c r="E1475" s="585" t="s">
        <v>344</v>
      </c>
      <c r="F1475" s="585" t="s">
        <v>482</v>
      </c>
      <c r="G1475" s="585" t="s">
        <v>483</v>
      </c>
      <c r="H1475" s="585" t="s">
        <v>232</v>
      </c>
      <c r="I1475" s="585" t="s">
        <v>171</v>
      </c>
    </row>
    <row r="1476" spans="1:9">
      <c r="A1476" s="530" t="s">
        <v>1650</v>
      </c>
      <c r="B1476" s="538" t="s">
        <v>1651</v>
      </c>
      <c r="C1476" s="589">
        <v>1</v>
      </c>
      <c r="D1476" s="6" t="s">
        <v>363</v>
      </c>
      <c r="E1476" s="585">
        <f>VLOOKUP(B1476,MATERIALES!B:C,2,0)</f>
        <v>592858</v>
      </c>
      <c r="F1476" s="585"/>
      <c r="G1476" s="585">
        <f>+C1476*E1476</f>
        <v>592858</v>
      </c>
      <c r="H1476" s="585"/>
      <c r="I1476" s="585"/>
    </row>
    <row r="1477" spans="1:9">
      <c r="A1477" s="530" t="s">
        <v>2134</v>
      </c>
      <c r="B1477" s="534" t="s">
        <v>2135</v>
      </c>
      <c r="C1477" s="583">
        <v>6</v>
      </c>
      <c r="D1477" s="6" t="s">
        <v>363</v>
      </c>
      <c r="E1477" s="585">
        <f>VLOOKUP(B1477,MATERIALES!B:C,2,0)</f>
        <v>2000</v>
      </c>
      <c r="F1477" s="65"/>
      <c r="G1477" s="65">
        <f>+C1477*E1477</f>
        <v>12000</v>
      </c>
      <c r="H1477" s="17"/>
      <c r="I1477" s="65"/>
    </row>
    <row r="1478" spans="1:9">
      <c r="A1478" s="2"/>
      <c r="B1478" s="180" t="s">
        <v>2236</v>
      </c>
      <c r="C1478" s="589">
        <v>0.02</v>
      </c>
      <c r="D1478" s="2" t="s">
        <v>583</v>
      </c>
      <c r="E1478" s="585">
        <f>VLOOKUP(B1478,MATERIALES!B:C,2,0)</f>
        <v>750000</v>
      </c>
      <c r="F1478" s="585"/>
      <c r="G1478" s="585" t="s">
        <v>441</v>
      </c>
      <c r="H1478" s="585"/>
      <c r="I1478" s="585">
        <f>+E1478*C1478</f>
        <v>15000</v>
      </c>
    </row>
    <row r="1479" spans="1:9">
      <c r="A1479" s="21" t="s">
        <v>3622</v>
      </c>
      <c r="B1479" s="588">
        <f>SUM(G1479:I1479)</f>
        <v>619858</v>
      </c>
      <c r="C1479" s="589"/>
      <c r="D1479" s="601"/>
      <c r="E1479" s="585" t="s">
        <v>441</v>
      </c>
      <c r="F1479" s="585">
        <v>0</v>
      </c>
      <c r="G1479" s="585">
        <f>SUM(G1476:G1478)</f>
        <v>604858</v>
      </c>
      <c r="H1479" s="585">
        <f>SUM(H1478:H1478)</f>
        <v>0</v>
      </c>
      <c r="I1479" s="585">
        <f>SUM(I1478:I1478)</f>
        <v>15000</v>
      </c>
    </row>
    <row r="1480" spans="1:9">
      <c r="A1480" s="21" t="s">
        <v>3708</v>
      </c>
      <c r="B1480" s="39">
        <f>+B1479*AIU</f>
        <v>183305.95496741455</v>
      </c>
      <c r="C1480" s="589"/>
      <c r="D1480" s="13"/>
      <c r="E1480" s="170"/>
      <c r="F1480" s="170"/>
      <c r="G1480" s="170"/>
      <c r="H1480" s="170"/>
      <c r="I1480" s="170"/>
    </row>
    <row r="1481" spans="1:9">
      <c r="A1481" s="587" t="s">
        <v>191</v>
      </c>
      <c r="B1481" s="39">
        <f>SUM(B1479:B1480)</f>
        <v>803163.95496741449</v>
      </c>
      <c r="C1481" s="589" t="s">
        <v>363</v>
      </c>
      <c r="D1481" s="13"/>
      <c r="E1481" s="170"/>
      <c r="F1481" s="170"/>
      <c r="G1481" s="170"/>
      <c r="H1481" s="170"/>
      <c r="I1481" s="170"/>
    </row>
    <row r="1482" spans="1:9">
      <c r="A1482" s="471"/>
      <c r="B1482" s="602"/>
      <c r="C1482" s="603"/>
      <c r="D1482" s="13"/>
      <c r="E1482" s="170"/>
      <c r="F1482" s="170"/>
      <c r="G1482" s="170"/>
      <c r="H1482" s="170"/>
      <c r="I1482" s="170"/>
    </row>
    <row r="1483" spans="1:9">
      <c r="A1483" s="594"/>
      <c r="B1483" s="3547" t="s">
        <v>3709</v>
      </c>
      <c r="C1483" s="3548"/>
      <c r="D1483" s="3548"/>
      <c r="E1483" s="3548"/>
      <c r="F1483" s="3548"/>
      <c r="G1483" s="3548"/>
      <c r="H1483" s="3548"/>
      <c r="I1483" s="3549"/>
    </row>
    <row r="1484" spans="1:9">
      <c r="A1484" s="243" t="s">
        <v>1520</v>
      </c>
      <c r="B1484" s="179" t="s">
        <v>1521</v>
      </c>
      <c r="C1484" s="589" t="s">
        <v>140</v>
      </c>
      <c r="D1484" s="2" t="s">
        <v>343</v>
      </c>
      <c r="E1484" s="585" t="s">
        <v>344</v>
      </c>
      <c r="F1484" s="585" t="s">
        <v>482</v>
      </c>
      <c r="G1484" s="585" t="s">
        <v>483</v>
      </c>
      <c r="H1484" s="585" t="s">
        <v>232</v>
      </c>
      <c r="I1484" s="585" t="s">
        <v>171</v>
      </c>
    </row>
    <row r="1485" spans="1:9" ht="33.6">
      <c r="A1485" s="243"/>
      <c r="B1485" s="604" t="s">
        <v>1814</v>
      </c>
      <c r="C1485" s="583">
        <v>1</v>
      </c>
      <c r="D1485" s="6" t="s">
        <v>363</v>
      </c>
      <c r="E1485" s="585">
        <v>150000</v>
      </c>
      <c r="F1485" s="65"/>
      <c r="G1485" s="65"/>
      <c r="H1485" s="65">
        <f>+C1485*E1485</f>
        <v>150000</v>
      </c>
      <c r="I1485" s="65"/>
    </row>
    <row r="1486" spans="1:9">
      <c r="A1486" s="2"/>
      <c r="B1486" s="18" t="s">
        <v>189</v>
      </c>
      <c r="C1486" s="589">
        <v>1</v>
      </c>
      <c r="D1486" s="6" t="s">
        <v>583</v>
      </c>
      <c r="E1486" s="585">
        <f>0.05*H1485</f>
        <v>7500</v>
      </c>
      <c r="F1486" s="585"/>
      <c r="G1486" s="585" t="s">
        <v>441</v>
      </c>
      <c r="H1486" s="585"/>
      <c r="I1486" s="585">
        <f>+E1486*C1486</f>
        <v>7500</v>
      </c>
    </row>
    <row r="1487" spans="1:9">
      <c r="A1487" s="587" t="s">
        <v>190</v>
      </c>
      <c r="B1487" s="588">
        <f>SUM(G1487:I1487)</f>
        <v>157500</v>
      </c>
      <c r="C1487" s="589"/>
      <c r="D1487" s="601"/>
      <c r="E1487" s="585" t="s">
        <v>441</v>
      </c>
      <c r="F1487" s="585">
        <v>0</v>
      </c>
      <c r="G1487" s="585">
        <f>SUM(G1485:G1486)</f>
        <v>0</v>
      </c>
      <c r="H1487" s="585">
        <f>SUM(H1485:H1486)</f>
        <v>150000</v>
      </c>
      <c r="I1487" s="585">
        <f>SUM(I1486:I1486)</f>
        <v>7500</v>
      </c>
    </row>
    <row r="1488" spans="1:9">
      <c r="A1488" s="21" t="s">
        <v>3708</v>
      </c>
      <c r="B1488" s="39">
        <f>+B1487*AIU</f>
        <v>46576.29313063281</v>
      </c>
      <c r="C1488" s="589"/>
      <c r="D1488" s="13"/>
      <c r="E1488" s="170"/>
      <c r="F1488" s="170"/>
      <c r="G1488" s="170"/>
      <c r="H1488" s="170"/>
      <c r="I1488" s="170"/>
    </row>
    <row r="1489" spans="1:9">
      <c r="A1489" s="587" t="s">
        <v>191</v>
      </c>
      <c r="B1489" s="39">
        <f>SUM(B1487:B1488)</f>
        <v>204076.29313063281</v>
      </c>
      <c r="C1489" s="589" t="s">
        <v>363</v>
      </c>
      <c r="D1489" s="13"/>
      <c r="E1489" s="170"/>
      <c r="F1489" s="170"/>
      <c r="G1489" s="170"/>
      <c r="H1489" s="170"/>
      <c r="I1489" s="170"/>
    </row>
    <row r="1490" spans="1:9">
      <c r="A1490" s="471"/>
      <c r="B1490" s="602"/>
      <c r="C1490" s="603"/>
      <c r="D1490" s="13"/>
      <c r="E1490" s="170"/>
      <c r="F1490" s="170"/>
      <c r="G1490" s="170"/>
      <c r="H1490" s="170"/>
      <c r="I1490" s="170"/>
    </row>
    <row r="1491" spans="1:9" ht="42" customHeight="1">
      <c r="A1491" s="594" t="s">
        <v>441</v>
      </c>
      <c r="B1491" s="3547" t="s">
        <v>3710</v>
      </c>
      <c r="C1491" s="3548"/>
      <c r="D1491" s="3548"/>
      <c r="E1491" s="3548"/>
      <c r="F1491" s="3548"/>
      <c r="G1491" s="3548"/>
      <c r="H1491" s="3548"/>
      <c r="I1491" s="3549"/>
    </row>
    <row r="1492" spans="1:9">
      <c r="A1492" s="243" t="s">
        <v>1520</v>
      </c>
      <c r="B1492" s="179" t="s">
        <v>1521</v>
      </c>
      <c r="C1492" s="589" t="s">
        <v>140</v>
      </c>
      <c r="D1492" s="2" t="s">
        <v>343</v>
      </c>
      <c r="E1492" s="585" t="s">
        <v>344</v>
      </c>
      <c r="F1492" s="585" t="s">
        <v>482</v>
      </c>
      <c r="G1492" s="585" t="s">
        <v>483</v>
      </c>
      <c r="H1492" s="585" t="s">
        <v>232</v>
      </c>
      <c r="I1492" s="585" t="s">
        <v>171</v>
      </c>
    </row>
    <row r="1493" spans="1:9">
      <c r="A1493" s="530" t="s">
        <v>1619</v>
      </c>
      <c r="B1493" s="537" t="s">
        <v>1620</v>
      </c>
      <c r="C1493" s="589">
        <v>1</v>
      </c>
      <c r="D1493" s="6" t="s">
        <v>363</v>
      </c>
      <c r="E1493" s="585">
        <f>VLOOKUP(B1493,MATERIALES!B:C,2,0)</f>
        <v>122570</v>
      </c>
      <c r="F1493" s="585"/>
      <c r="G1493" s="585">
        <f>+C1493*E1493</f>
        <v>122570</v>
      </c>
      <c r="H1493" s="585"/>
      <c r="I1493" s="585"/>
    </row>
    <row r="1494" spans="1:9">
      <c r="A1494" s="530" t="s">
        <v>2134</v>
      </c>
      <c r="B1494" s="534" t="s">
        <v>2135</v>
      </c>
      <c r="C1494" s="583">
        <v>6</v>
      </c>
      <c r="D1494" s="6" t="s">
        <v>363</v>
      </c>
      <c r="E1494" s="585">
        <f>VLOOKUP(B1494,MATERIALES!B:C,2,0)</f>
        <v>2000</v>
      </c>
      <c r="F1494" s="65"/>
      <c r="G1494" s="65">
        <f>+C1494*E1494</f>
        <v>12000</v>
      </c>
      <c r="H1494" s="17"/>
      <c r="I1494" s="65"/>
    </row>
    <row r="1495" spans="1:9">
      <c r="A1495" s="2"/>
      <c r="B1495" s="180" t="s">
        <v>2236</v>
      </c>
      <c r="C1495" s="589">
        <v>0.02</v>
      </c>
      <c r="D1495" s="2" t="s">
        <v>583</v>
      </c>
      <c r="E1495" s="585">
        <f>VLOOKUP(B1495,MATERIALES!B:C,2,0)</f>
        <v>750000</v>
      </c>
      <c r="F1495" s="585"/>
      <c r="G1495" s="585" t="s">
        <v>441</v>
      </c>
      <c r="H1495" s="585"/>
      <c r="I1495" s="585">
        <f>+E1495*C1495</f>
        <v>15000</v>
      </c>
    </row>
    <row r="1496" spans="1:9">
      <c r="A1496" s="587" t="s">
        <v>190</v>
      </c>
      <c r="B1496" s="588">
        <f>SUM(G1496:I1496)</f>
        <v>149570</v>
      </c>
      <c r="C1496" s="589"/>
      <c r="D1496" s="601"/>
      <c r="E1496" s="585" t="s">
        <v>441</v>
      </c>
      <c r="F1496" s="585">
        <v>0</v>
      </c>
      <c r="G1496" s="585">
        <f>SUM(G1493:G1495)</f>
        <v>134570</v>
      </c>
      <c r="H1496" s="585">
        <f>SUM(H1495:H1495)</f>
        <v>0</v>
      </c>
      <c r="I1496" s="585">
        <f>SUM(I1495:I1495)</f>
        <v>15000</v>
      </c>
    </row>
    <row r="1497" spans="1:9">
      <c r="A1497" s="21" t="s">
        <v>3708</v>
      </c>
      <c r="B1497" s="39">
        <f>+B1496*AIU</f>
        <v>44231.213736817452</v>
      </c>
      <c r="C1497" s="589"/>
      <c r="D1497" s="13"/>
      <c r="E1497" s="170"/>
      <c r="F1497" s="170"/>
      <c r="G1497" s="170"/>
      <c r="H1497" s="170"/>
      <c r="I1497" s="170"/>
    </row>
    <row r="1498" spans="1:9">
      <c r="A1498" s="587" t="s">
        <v>191</v>
      </c>
      <c r="B1498" s="39">
        <f>SUM(B1496:B1497)</f>
        <v>193801.21373681744</v>
      </c>
      <c r="C1498" s="589" t="s">
        <v>363</v>
      </c>
      <c r="D1498" s="13"/>
      <c r="E1498" s="170"/>
      <c r="F1498" s="170"/>
      <c r="G1498" s="170"/>
      <c r="H1498" s="170"/>
      <c r="I1498" s="170"/>
    </row>
    <row r="1499" spans="1:9">
      <c r="A1499" s="471"/>
      <c r="B1499" s="602"/>
      <c r="C1499" s="603"/>
      <c r="D1499" s="13"/>
      <c r="E1499" s="170"/>
      <c r="F1499" s="170"/>
      <c r="G1499" s="170"/>
      <c r="H1499" s="170"/>
      <c r="I1499" s="170"/>
    </row>
    <row r="1500" spans="1:9" ht="32.25" customHeight="1">
      <c r="A1500" s="594"/>
      <c r="B1500" s="3547" t="s">
        <v>1351</v>
      </c>
      <c r="C1500" s="3548"/>
      <c r="D1500" s="3548"/>
      <c r="E1500" s="3548"/>
      <c r="F1500" s="3548"/>
      <c r="G1500" s="3548"/>
      <c r="H1500" s="3548"/>
      <c r="I1500" s="3549"/>
    </row>
    <row r="1501" spans="1:9">
      <c r="A1501" s="243" t="s">
        <v>1520</v>
      </c>
      <c r="B1501" s="179" t="s">
        <v>1521</v>
      </c>
      <c r="C1501" s="589" t="s">
        <v>140</v>
      </c>
      <c r="D1501" s="2" t="s">
        <v>343</v>
      </c>
      <c r="E1501" s="585" t="s">
        <v>344</v>
      </c>
      <c r="F1501" s="585" t="s">
        <v>482</v>
      </c>
      <c r="G1501" s="585" t="s">
        <v>483</v>
      </c>
      <c r="H1501" s="585" t="s">
        <v>232</v>
      </c>
      <c r="I1501" s="585" t="s">
        <v>171</v>
      </c>
    </row>
    <row r="1502" spans="1:9" ht="33.6">
      <c r="A1502" s="243"/>
      <c r="B1502" s="604" t="s">
        <v>1814</v>
      </c>
      <c r="C1502" s="583">
        <v>1</v>
      </c>
      <c r="D1502" s="6" t="s">
        <v>363</v>
      </c>
      <c r="E1502" s="585">
        <v>150000</v>
      </c>
      <c r="F1502" s="65"/>
      <c r="G1502" s="65"/>
      <c r="H1502" s="65">
        <f>+C1502*E1502</f>
        <v>150000</v>
      </c>
      <c r="I1502" s="65"/>
    </row>
    <row r="1503" spans="1:9">
      <c r="A1503" s="2"/>
      <c r="B1503" s="18" t="s">
        <v>189</v>
      </c>
      <c r="C1503" s="589">
        <v>1</v>
      </c>
      <c r="D1503" s="6" t="s">
        <v>583</v>
      </c>
      <c r="E1503" s="585">
        <f>0.05*H1502</f>
        <v>7500</v>
      </c>
      <c r="F1503" s="585"/>
      <c r="G1503" s="585" t="s">
        <v>441</v>
      </c>
      <c r="H1503" s="585"/>
      <c r="I1503" s="585">
        <f>+E1503*C1503</f>
        <v>7500</v>
      </c>
    </row>
    <row r="1504" spans="1:9">
      <c r="A1504" s="587" t="s">
        <v>190</v>
      </c>
      <c r="B1504" s="588">
        <f>SUM(G1504:I1504)</f>
        <v>157500</v>
      </c>
      <c r="C1504" s="589"/>
      <c r="D1504" s="601"/>
      <c r="E1504" s="585" t="s">
        <v>441</v>
      </c>
      <c r="F1504" s="585">
        <v>0</v>
      </c>
      <c r="G1504" s="585">
        <f>SUM(G1502:G1503)</f>
        <v>0</v>
      </c>
      <c r="H1504" s="585">
        <f>SUM(H1502:H1503)</f>
        <v>150000</v>
      </c>
      <c r="I1504" s="585">
        <f>SUM(I1503:I1503)</f>
        <v>7500</v>
      </c>
    </row>
    <row r="1505" spans="1:9">
      <c r="A1505" s="21" t="s">
        <v>3708</v>
      </c>
      <c r="B1505" s="39">
        <f>+B1504*AIU</f>
        <v>46576.29313063281</v>
      </c>
      <c r="C1505" s="589"/>
      <c r="D1505" s="13"/>
      <c r="E1505" s="170"/>
      <c r="F1505" s="170"/>
      <c r="G1505" s="170"/>
      <c r="H1505" s="170"/>
      <c r="I1505" s="170"/>
    </row>
    <row r="1506" spans="1:9">
      <c r="A1506" s="587" t="s">
        <v>191</v>
      </c>
      <c r="B1506" s="39">
        <f>SUM(B1504:B1505)</f>
        <v>204076.29313063281</v>
      </c>
      <c r="C1506" s="589" t="s">
        <v>363</v>
      </c>
      <c r="D1506" s="13"/>
      <c r="E1506" s="170"/>
      <c r="F1506" s="170"/>
      <c r="G1506" s="170"/>
      <c r="H1506" s="170"/>
      <c r="I1506" s="170"/>
    </row>
    <row r="1507" spans="1:9">
      <c r="A1507" s="471"/>
      <c r="B1507" s="602"/>
      <c r="C1507" s="603"/>
      <c r="D1507" s="13"/>
      <c r="E1507" s="170"/>
      <c r="F1507" s="170"/>
      <c r="G1507" s="170"/>
      <c r="H1507" s="170"/>
      <c r="I1507" s="170"/>
    </row>
    <row r="1508" spans="1:9" ht="30.75" customHeight="1">
      <c r="A1508" s="594" t="s">
        <v>441</v>
      </c>
      <c r="B1508" s="3547" t="s">
        <v>3711</v>
      </c>
      <c r="C1508" s="3548"/>
      <c r="D1508" s="3548"/>
      <c r="E1508" s="3548"/>
      <c r="F1508" s="3548"/>
      <c r="G1508" s="3548"/>
      <c r="H1508" s="3548"/>
      <c r="I1508" s="3549"/>
    </row>
    <row r="1509" spans="1:9">
      <c r="A1509" s="243" t="s">
        <v>1520</v>
      </c>
      <c r="B1509" s="179" t="s">
        <v>1521</v>
      </c>
      <c r="C1509" s="589" t="s">
        <v>140</v>
      </c>
      <c r="D1509" s="2" t="s">
        <v>343</v>
      </c>
      <c r="E1509" s="585" t="s">
        <v>344</v>
      </c>
      <c r="F1509" s="585" t="s">
        <v>482</v>
      </c>
      <c r="G1509" s="585" t="s">
        <v>483</v>
      </c>
      <c r="H1509" s="585" t="s">
        <v>232</v>
      </c>
      <c r="I1509" s="585" t="s">
        <v>171</v>
      </c>
    </row>
    <row r="1510" spans="1:9">
      <c r="A1510" s="530" t="s">
        <v>1617</v>
      </c>
      <c r="B1510" s="531" t="s">
        <v>1618</v>
      </c>
      <c r="C1510" s="589">
        <v>1</v>
      </c>
      <c r="D1510" s="6" t="s">
        <v>363</v>
      </c>
      <c r="E1510" s="585">
        <f>VLOOKUP(B1510,MATERIALES!B:C,2,0)</f>
        <v>122570</v>
      </c>
      <c r="F1510" s="585"/>
      <c r="G1510" s="585">
        <f>+C1510*E1510</f>
        <v>122570</v>
      </c>
      <c r="H1510" s="585"/>
      <c r="I1510" s="585"/>
    </row>
    <row r="1511" spans="1:9">
      <c r="A1511" s="530" t="s">
        <v>2134</v>
      </c>
      <c r="B1511" s="534" t="s">
        <v>2135</v>
      </c>
      <c r="C1511" s="583">
        <v>6</v>
      </c>
      <c r="D1511" s="6" t="s">
        <v>363</v>
      </c>
      <c r="E1511" s="585">
        <f>VLOOKUP(B1511,MATERIALES!B:C,2,0)</f>
        <v>2000</v>
      </c>
      <c r="F1511" s="65"/>
      <c r="G1511" s="65">
        <f>+C1511*E1511</f>
        <v>12000</v>
      </c>
      <c r="H1511" s="17"/>
      <c r="I1511" s="65"/>
    </row>
    <row r="1512" spans="1:9">
      <c r="A1512" s="2"/>
      <c r="B1512" s="180" t="s">
        <v>2236</v>
      </c>
      <c r="C1512" s="589">
        <v>0.02</v>
      </c>
      <c r="D1512" s="2" t="s">
        <v>583</v>
      </c>
      <c r="E1512" s="585">
        <f>VLOOKUP(B1512,MATERIALES!B:C,2,0)</f>
        <v>750000</v>
      </c>
      <c r="F1512" s="585"/>
      <c r="G1512" s="585" t="s">
        <v>441</v>
      </c>
      <c r="H1512" s="585"/>
      <c r="I1512" s="585">
        <f>+E1512*C1512</f>
        <v>15000</v>
      </c>
    </row>
    <row r="1513" spans="1:9">
      <c r="A1513" s="587" t="s">
        <v>190</v>
      </c>
      <c r="B1513" s="588">
        <f>SUM(G1513:I1513)</f>
        <v>149570</v>
      </c>
      <c r="C1513" s="589"/>
      <c r="D1513" s="601"/>
      <c r="E1513" s="585" t="s">
        <v>441</v>
      </c>
      <c r="F1513" s="585">
        <v>0</v>
      </c>
      <c r="G1513" s="585">
        <f>SUM(G1510:G1512)</f>
        <v>134570</v>
      </c>
      <c r="H1513" s="585">
        <f>SUM(H1512:H1512)</f>
        <v>0</v>
      </c>
      <c r="I1513" s="585">
        <f>SUM(I1512:I1512)</f>
        <v>15000</v>
      </c>
    </row>
    <row r="1514" spans="1:9">
      <c r="A1514" s="21" t="s">
        <v>3708</v>
      </c>
      <c r="B1514" s="39">
        <f>+B1513*AIU</f>
        <v>44231.213736817452</v>
      </c>
      <c r="C1514" s="589"/>
      <c r="D1514" s="13"/>
      <c r="E1514" s="170"/>
      <c r="F1514" s="170"/>
      <c r="G1514" s="170"/>
      <c r="H1514" s="170"/>
      <c r="I1514" s="170"/>
    </row>
    <row r="1515" spans="1:9">
      <c r="A1515" s="587" t="s">
        <v>191</v>
      </c>
      <c r="B1515" s="39">
        <f>SUM(B1513:B1514)</f>
        <v>193801.21373681744</v>
      </c>
      <c r="C1515" s="589" t="s">
        <v>363</v>
      </c>
      <c r="D1515" s="13"/>
      <c r="E1515" s="170"/>
      <c r="F1515" s="170"/>
      <c r="G1515" s="170"/>
      <c r="H1515" s="170"/>
      <c r="I1515" s="170"/>
    </row>
    <row r="1516" spans="1:9">
      <c r="A1516" s="471"/>
      <c r="B1516" s="602"/>
      <c r="C1516" s="603"/>
      <c r="D1516" s="13"/>
      <c r="E1516" s="170"/>
      <c r="F1516" s="170"/>
      <c r="G1516" s="170"/>
      <c r="H1516" s="170"/>
      <c r="I1516" s="170"/>
    </row>
    <row r="1517" spans="1:9" ht="30.75" customHeight="1">
      <c r="A1517" s="594"/>
      <c r="B1517" s="3547" t="s">
        <v>3712</v>
      </c>
      <c r="C1517" s="3548"/>
      <c r="D1517" s="3548"/>
      <c r="E1517" s="3548"/>
      <c r="F1517" s="3548"/>
      <c r="G1517" s="3548"/>
      <c r="H1517" s="3548"/>
      <c r="I1517" s="3549"/>
    </row>
    <row r="1518" spans="1:9">
      <c r="A1518" s="243" t="s">
        <v>1520</v>
      </c>
      <c r="B1518" s="179" t="s">
        <v>1521</v>
      </c>
      <c r="C1518" s="589" t="s">
        <v>140</v>
      </c>
      <c r="D1518" s="2" t="s">
        <v>343</v>
      </c>
      <c r="E1518" s="585" t="s">
        <v>344</v>
      </c>
      <c r="F1518" s="585" t="s">
        <v>482</v>
      </c>
      <c r="G1518" s="585" t="s">
        <v>483</v>
      </c>
      <c r="H1518" s="585" t="s">
        <v>232</v>
      </c>
      <c r="I1518" s="585" t="s">
        <v>171</v>
      </c>
    </row>
    <row r="1519" spans="1:9" ht="33.6">
      <c r="A1519" s="243"/>
      <c r="B1519" s="604" t="s">
        <v>1814</v>
      </c>
      <c r="C1519" s="583">
        <v>1</v>
      </c>
      <c r="D1519" s="6" t="s">
        <v>363</v>
      </c>
      <c r="E1519" s="585">
        <v>150000</v>
      </c>
      <c r="F1519" s="65"/>
      <c r="G1519" s="65"/>
      <c r="H1519" s="65">
        <f>+C1519*E1519</f>
        <v>150000</v>
      </c>
      <c r="I1519" s="65"/>
    </row>
    <row r="1520" spans="1:9">
      <c r="A1520" s="2"/>
      <c r="B1520" s="18" t="s">
        <v>189</v>
      </c>
      <c r="C1520" s="589">
        <v>1</v>
      </c>
      <c r="D1520" s="6" t="s">
        <v>583</v>
      </c>
      <c r="E1520" s="585">
        <f>0.05*H1519</f>
        <v>7500</v>
      </c>
      <c r="F1520" s="585"/>
      <c r="G1520" s="585" t="s">
        <v>441</v>
      </c>
      <c r="H1520" s="585"/>
      <c r="I1520" s="585">
        <f>+E1520*C1520</f>
        <v>7500</v>
      </c>
    </row>
    <row r="1521" spans="1:9">
      <c r="A1521" s="587" t="s">
        <v>190</v>
      </c>
      <c r="B1521" s="588">
        <f>SUM(G1521:I1521)</f>
        <v>157500</v>
      </c>
      <c r="C1521" s="589"/>
      <c r="D1521" s="601"/>
      <c r="E1521" s="585" t="s">
        <v>441</v>
      </c>
      <c r="F1521" s="585">
        <v>0</v>
      </c>
      <c r="G1521" s="585">
        <f>SUM(G1519:G1520)</f>
        <v>0</v>
      </c>
      <c r="H1521" s="585">
        <f>SUM(H1519:H1520)</f>
        <v>150000</v>
      </c>
      <c r="I1521" s="585">
        <f>SUM(I1520:I1520)</f>
        <v>7500</v>
      </c>
    </row>
    <row r="1522" spans="1:9">
      <c r="A1522" s="21" t="s">
        <v>3708</v>
      </c>
      <c r="B1522" s="39">
        <f>+B1521*AIU</f>
        <v>46576.29313063281</v>
      </c>
      <c r="C1522" s="589"/>
      <c r="D1522" s="13"/>
      <c r="E1522" s="170"/>
      <c r="F1522" s="170"/>
      <c r="G1522" s="170"/>
      <c r="H1522" s="170"/>
      <c r="I1522" s="170"/>
    </row>
    <row r="1523" spans="1:9">
      <c r="A1523" s="587" t="s">
        <v>191</v>
      </c>
      <c r="B1523" s="39">
        <f>SUM(B1521:B1522)</f>
        <v>204076.29313063281</v>
      </c>
      <c r="C1523" s="589" t="s">
        <v>363</v>
      </c>
      <c r="D1523" s="13"/>
      <c r="E1523" s="170"/>
      <c r="F1523" s="170"/>
      <c r="G1523" s="170"/>
      <c r="H1523" s="170"/>
      <c r="I1523" s="170"/>
    </row>
    <row r="1524" spans="1:9">
      <c r="A1524" s="471"/>
      <c r="B1524" s="602"/>
      <c r="C1524" s="603"/>
      <c r="D1524" s="13"/>
      <c r="E1524" s="170"/>
      <c r="F1524" s="170"/>
      <c r="G1524" s="170"/>
      <c r="H1524" s="170"/>
      <c r="I1524" s="170"/>
    </row>
    <row r="1525" spans="1:9" ht="42" customHeight="1">
      <c r="A1525" s="594" t="s">
        <v>441</v>
      </c>
      <c r="B1525" s="3547" t="s">
        <v>3713</v>
      </c>
      <c r="C1525" s="3548"/>
      <c r="D1525" s="3548"/>
      <c r="E1525" s="3548"/>
      <c r="F1525" s="3548"/>
      <c r="G1525" s="3548"/>
      <c r="H1525" s="3548"/>
      <c r="I1525" s="3549"/>
    </row>
    <row r="1526" spans="1:9">
      <c r="A1526" s="243" t="s">
        <v>1520</v>
      </c>
      <c r="B1526" s="179" t="s">
        <v>1521</v>
      </c>
      <c r="C1526" s="589" t="s">
        <v>140</v>
      </c>
      <c r="D1526" s="2" t="s">
        <v>343</v>
      </c>
      <c r="E1526" s="585" t="s">
        <v>344</v>
      </c>
      <c r="F1526" s="585" t="s">
        <v>482</v>
      </c>
      <c r="G1526" s="585" t="s">
        <v>483</v>
      </c>
      <c r="H1526" s="585" t="s">
        <v>232</v>
      </c>
      <c r="I1526" s="585" t="s">
        <v>171</v>
      </c>
    </row>
    <row r="1527" spans="1:9">
      <c r="A1527" s="530" t="s">
        <v>1615</v>
      </c>
      <c r="B1527" s="531" t="s">
        <v>1616</v>
      </c>
      <c r="C1527" s="589">
        <v>1</v>
      </c>
      <c r="D1527" s="6" t="s">
        <v>363</v>
      </c>
      <c r="E1527" s="585">
        <f>VLOOKUP(B1527,MATERIALES!B:C,2,0)</f>
        <v>121344.29999999999</v>
      </c>
      <c r="F1527" s="585"/>
      <c r="G1527" s="585">
        <f>+C1527*E1527</f>
        <v>121344.29999999999</v>
      </c>
      <c r="H1527" s="585"/>
      <c r="I1527" s="585"/>
    </row>
    <row r="1528" spans="1:9">
      <c r="A1528" s="530" t="s">
        <v>2134</v>
      </c>
      <c r="B1528" s="534" t="s">
        <v>2135</v>
      </c>
      <c r="C1528" s="583">
        <v>6</v>
      </c>
      <c r="D1528" s="6" t="s">
        <v>363</v>
      </c>
      <c r="E1528" s="585">
        <f>VLOOKUP(B1528,MATERIALES!B:C,2,0)</f>
        <v>2000</v>
      </c>
      <c r="F1528" s="65"/>
      <c r="G1528" s="65">
        <f>+C1528*E1528</f>
        <v>12000</v>
      </c>
      <c r="H1528" s="17"/>
      <c r="I1528" s="65"/>
    </row>
    <row r="1529" spans="1:9">
      <c r="A1529" s="2"/>
      <c r="B1529" s="180" t="s">
        <v>2236</v>
      </c>
      <c r="C1529" s="589">
        <v>0.02</v>
      </c>
      <c r="D1529" s="2" t="s">
        <v>583</v>
      </c>
      <c r="E1529" s="585">
        <f>VLOOKUP(B1529,MATERIALES!B:C,2,0)</f>
        <v>750000</v>
      </c>
      <c r="F1529" s="585"/>
      <c r="G1529" s="585" t="s">
        <v>441</v>
      </c>
      <c r="H1529" s="585"/>
      <c r="I1529" s="585">
        <f>+E1529*C1529</f>
        <v>15000</v>
      </c>
    </row>
    <row r="1530" spans="1:9">
      <c r="A1530" s="587" t="s">
        <v>190</v>
      </c>
      <c r="B1530" s="588">
        <f>SUM(G1530:I1530)</f>
        <v>148344.29999999999</v>
      </c>
      <c r="C1530" s="589"/>
      <c r="D1530" s="601"/>
      <c r="E1530" s="585" t="s">
        <v>441</v>
      </c>
      <c r="F1530" s="585">
        <v>0</v>
      </c>
      <c r="G1530" s="585">
        <f>SUM(G1527:G1529)</f>
        <v>133344.29999999999</v>
      </c>
      <c r="H1530" s="585">
        <f>SUM(H1529:H1529)</f>
        <v>0</v>
      </c>
      <c r="I1530" s="585">
        <f>SUM(I1529:I1529)</f>
        <v>15000</v>
      </c>
    </row>
    <row r="1531" spans="1:9">
      <c r="A1531" s="21" t="s">
        <v>3708</v>
      </c>
      <c r="B1531" s="39">
        <f>+B1530*AIU</f>
        <v>43868.746673387504</v>
      </c>
      <c r="C1531" s="589"/>
      <c r="D1531" s="13"/>
      <c r="E1531" s="170"/>
      <c r="F1531" s="170"/>
      <c r="G1531" s="170"/>
      <c r="H1531" s="170"/>
      <c r="I1531" s="170"/>
    </row>
    <row r="1532" spans="1:9">
      <c r="A1532" s="587" t="s">
        <v>191</v>
      </c>
      <c r="B1532" s="39">
        <f>SUM(B1530:B1531)</f>
        <v>192213.04667338749</v>
      </c>
      <c r="C1532" s="589" t="s">
        <v>363</v>
      </c>
      <c r="D1532" s="13"/>
      <c r="E1532" s="170"/>
      <c r="F1532" s="170"/>
      <c r="G1532" s="170"/>
      <c r="H1532" s="170"/>
      <c r="I1532" s="170"/>
    </row>
    <row r="1533" spans="1:9">
      <c r="A1533" s="471"/>
      <c r="B1533" s="602"/>
      <c r="C1533" s="603"/>
      <c r="D1533" s="13"/>
      <c r="E1533" s="170"/>
      <c r="F1533" s="170"/>
      <c r="G1533" s="170"/>
      <c r="H1533" s="170"/>
      <c r="I1533" s="170"/>
    </row>
    <row r="1534" spans="1:9" ht="18.75" customHeight="1">
      <c r="A1534" s="594"/>
      <c r="B1534" s="3547" t="s">
        <v>3714</v>
      </c>
      <c r="C1534" s="3548"/>
      <c r="D1534" s="3548"/>
      <c r="E1534" s="3548"/>
      <c r="F1534" s="3548"/>
      <c r="G1534" s="3548"/>
      <c r="H1534" s="3548"/>
      <c r="I1534" s="3549"/>
    </row>
    <row r="1535" spans="1:9">
      <c r="A1535" s="243" t="s">
        <v>1520</v>
      </c>
      <c r="B1535" s="179" t="s">
        <v>1521</v>
      </c>
      <c r="C1535" s="589" t="s">
        <v>140</v>
      </c>
      <c r="D1535" s="2" t="s">
        <v>343</v>
      </c>
      <c r="E1535" s="585" t="s">
        <v>344</v>
      </c>
      <c r="F1535" s="585" t="s">
        <v>482</v>
      </c>
      <c r="G1535" s="585" t="s">
        <v>483</v>
      </c>
      <c r="H1535" s="585" t="s">
        <v>232</v>
      </c>
      <c r="I1535" s="585" t="s">
        <v>171</v>
      </c>
    </row>
    <row r="1536" spans="1:9" ht="33.6">
      <c r="A1536" s="243"/>
      <c r="B1536" s="604" t="s">
        <v>1814</v>
      </c>
      <c r="C1536" s="583">
        <v>0.9</v>
      </c>
      <c r="D1536" s="6" t="s">
        <v>363</v>
      </c>
      <c r="E1536" s="585">
        <v>150000</v>
      </c>
      <c r="F1536" s="65"/>
      <c r="G1536" s="65"/>
      <c r="H1536" s="65">
        <f>+C1536*E1536</f>
        <v>135000</v>
      </c>
      <c r="I1536" s="65"/>
    </row>
    <row r="1537" spans="1:9">
      <c r="A1537" s="2"/>
      <c r="B1537" s="18" t="s">
        <v>189</v>
      </c>
      <c r="C1537" s="589">
        <v>1</v>
      </c>
      <c r="D1537" s="6" t="s">
        <v>583</v>
      </c>
      <c r="E1537" s="585">
        <f>0.05*H1536</f>
        <v>6750</v>
      </c>
      <c r="F1537" s="585"/>
      <c r="G1537" s="585" t="s">
        <v>441</v>
      </c>
      <c r="H1537" s="585"/>
      <c r="I1537" s="585">
        <f>+E1537*C1537</f>
        <v>6750</v>
      </c>
    </row>
    <row r="1538" spans="1:9">
      <c r="A1538" s="587" t="s">
        <v>190</v>
      </c>
      <c r="B1538" s="588">
        <f>SUM(G1538:I1538)</f>
        <v>141750</v>
      </c>
      <c r="C1538" s="589"/>
      <c r="D1538" s="601"/>
      <c r="E1538" s="585" t="s">
        <v>441</v>
      </c>
      <c r="F1538" s="585">
        <v>0</v>
      </c>
      <c r="G1538" s="585">
        <f>SUM(G1536:G1537)</f>
        <v>0</v>
      </c>
      <c r="H1538" s="585">
        <f>SUM(H1536:H1537)</f>
        <v>135000</v>
      </c>
      <c r="I1538" s="585">
        <f>SUM(I1537:I1537)</f>
        <v>6750</v>
      </c>
    </row>
    <row r="1539" spans="1:9">
      <c r="A1539" s="21" t="s">
        <v>3708</v>
      </c>
      <c r="B1539" s="39">
        <f>+B1538*AIU</f>
        <v>41918.663817569526</v>
      </c>
      <c r="C1539" s="589"/>
      <c r="D1539" s="13"/>
      <c r="E1539" s="170"/>
      <c r="F1539" s="170"/>
      <c r="G1539" s="170"/>
      <c r="H1539" s="170"/>
      <c r="I1539" s="170"/>
    </row>
    <row r="1540" spans="1:9">
      <c r="A1540" s="587" t="s">
        <v>191</v>
      </c>
      <c r="B1540" s="39">
        <f>SUM(B1538:B1539)</f>
        <v>183668.66381756953</v>
      </c>
      <c r="C1540" s="589" t="s">
        <v>363</v>
      </c>
      <c r="D1540" s="13"/>
      <c r="E1540" s="170"/>
      <c r="F1540" s="170"/>
      <c r="G1540" s="170"/>
      <c r="H1540" s="170"/>
      <c r="I1540" s="170"/>
    </row>
    <row r="1541" spans="1:9">
      <c r="A1541" s="471"/>
      <c r="B1541" s="602"/>
      <c r="C1541" s="603"/>
      <c r="D1541" s="13"/>
      <c r="E1541" s="170"/>
      <c r="F1541" s="170"/>
      <c r="G1541" s="170"/>
      <c r="H1541" s="170"/>
      <c r="I1541" s="170"/>
    </row>
    <row r="1542" spans="1:9" ht="64.5" customHeight="1">
      <c r="A1542" s="594" t="s">
        <v>441</v>
      </c>
      <c r="B1542" s="3547" t="s">
        <v>3715</v>
      </c>
      <c r="C1542" s="3548"/>
      <c r="D1542" s="3548"/>
      <c r="E1542" s="3548"/>
      <c r="F1542" s="3548"/>
      <c r="G1542" s="3548"/>
      <c r="H1542" s="3548"/>
      <c r="I1542" s="3549"/>
    </row>
    <row r="1543" spans="1:9">
      <c r="A1543" s="243" t="s">
        <v>1520</v>
      </c>
      <c r="B1543" s="179" t="s">
        <v>1521</v>
      </c>
      <c r="C1543" s="589" t="s">
        <v>140</v>
      </c>
      <c r="D1543" s="2" t="s">
        <v>343</v>
      </c>
      <c r="E1543" s="585" t="s">
        <v>344</v>
      </c>
      <c r="F1543" s="585" t="s">
        <v>482</v>
      </c>
      <c r="G1543" s="585" t="s">
        <v>483</v>
      </c>
      <c r="H1543" s="585" t="s">
        <v>232</v>
      </c>
      <c r="I1543" s="585" t="s">
        <v>171</v>
      </c>
    </row>
    <row r="1544" spans="1:9">
      <c r="A1544" s="535" t="s">
        <v>1884</v>
      </c>
      <c r="B1544" s="608" t="s">
        <v>1885</v>
      </c>
      <c r="C1544" s="589">
        <v>1</v>
      </c>
      <c r="D1544" s="6" t="s">
        <v>94</v>
      </c>
      <c r="E1544" s="585">
        <f>VLOOKUP(B1544,MATERIALES!B:C,2,0)</f>
        <v>2500000</v>
      </c>
      <c r="F1544" s="585"/>
      <c r="G1544" s="585">
        <f>+C1544*E1544</f>
        <v>2500000</v>
      </c>
      <c r="H1544" s="585"/>
      <c r="I1544" s="585"/>
    </row>
    <row r="1545" spans="1:9">
      <c r="A1545" s="539" t="s">
        <v>1843</v>
      </c>
      <c r="B1545" s="536" t="s">
        <v>1844</v>
      </c>
      <c r="C1545" s="583">
        <v>1</v>
      </c>
      <c r="D1545" s="6" t="s">
        <v>94</v>
      </c>
      <c r="E1545" s="585">
        <f>VLOOKUP(B1545,MATERIALES!B:C,2,0)</f>
        <v>85000</v>
      </c>
      <c r="F1545" s="65"/>
      <c r="G1545" s="65">
        <f>+C1545*E1545</f>
        <v>85000</v>
      </c>
      <c r="H1545" s="17"/>
      <c r="I1545" s="65"/>
    </row>
    <row r="1546" spans="1:9">
      <c r="A1546" s="539" t="s">
        <v>2098</v>
      </c>
      <c r="B1546" s="536" t="s">
        <v>2099</v>
      </c>
      <c r="C1546" s="583">
        <v>2</v>
      </c>
      <c r="D1546" s="6" t="s">
        <v>363</v>
      </c>
      <c r="E1546" s="585">
        <f>VLOOKUP(B1546,MATERIALES!B:C,2,0)</f>
        <v>35000</v>
      </c>
      <c r="F1546" s="65"/>
      <c r="G1546" s="65">
        <f>+C1546*E1546</f>
        <v>70000</v>
      </c>
      <c r="H1546" s="17"/>
      <c r="I1546" s="65"/>
    </row>
    <row r="1547" spans="1:9">
      <c r="A1547" s="2"/>
      <c r="B1547" s="180" t="s">
        <v>2236</v>
      </c>
      <c r="C1547" s="600">
        <v>0.6</v>
      </c>
      <c r="D1547" s="2" t="s">
        <v>583</v>
      </c>
      <c r="E1547" s="585">
        <f>VLOOKUP(B1547,MATERIALES!B:C,2,0)</f>
        <v>750000</v>
      </c>
      <c r="F1547" s="585"/>
      <c r="G1547" s="585" t="s">
        <v>441</v>
      </c>
      <c r="H1547" s="585"/>
      <c r="I1547" s="585">
        <f>+E1547*C1547</f>
        <v>450000</v>
      </c>
    </row>
    <row r="1548" spans="1:9">
      <c r="A1548" s="587" t="s">
        <v>190</v>
      </c>
      <c r="B1548" s="588">
        <f>SUM(G1548:I1548)</f>
        <v>3105000</v>
      </c>
      <c r="C1548" s="589"/>
      <c r="D1548" s="601"/>
      <c r="E1548" s="585">
        <f>SUM(E1544:E1547)</f>
        <v>3370000</v>
      </c>
      <c r="F1548" s="585">
        <v>0</v>
      </c>
      <c r="G1548" s="585">
        <f>SUM(G1544:G1547)</f>
        <v>2655000</v>
      </c>
      <c r="H1548" s="585">
        <f>SUM(H1547:H1547)</f>
        <v>0</v>
      </c>
      <c r="I1548" s="585">
        <f>SUM(I1547:I1547)</f>
        <v>450000</v>
      </c>
    </row>
    <row r="1549" spans="1:9">
      <c r="A1549" s="21" t="s">
        <v>3708</v>
      </c>
      <c r="B1549" s="39">
        <f>+B1548*AIU</f>
        <v>918218.35028961825</v>
      </c>
      <c r="C1549" s="589"/>
      <c r="D1549" s="13"/>
      <c r="E1549" s="170"/>
      <c r="F1549" s="170"/>
      <c r="G1549" s="170"/>
      <c r="H1549" s="170"/>
      <c r="I1549" s="170"/>
    </row>
    <row r="1550" spans="1:9">
      <c r="A1550" s="587" t="s">
        <v>191</v>
      </c>
      <c r="B1550" s="39">
        <f>SUM(B1548:B1549)</f>
        <v>4023218.3502896181</v>
      </c>
      <c r="C1550" s="589" t="s">
        <v>363</v>
      </c>
      <c r="D1550" s="13"/>
      <c r="E1550" s="170"/>
      <c r="F1550" s="170"/>
      <c r="G1550" s="170"/>
      <c r="H1550" s="170"/>
      <c r="I1550" s="170"/>
    </row>
    <row r="1551" spans="1:9">
      <c r="A1551" s="471"/>
      <c r="B1551" s="602"/>
      <c r="C1551" s="603"/>
      <c r="D1551" s="13"/>
      <c r="E1551" s="170"/>
      <c r="F1551" s="170"/>
      <c r="G1551" s="170"/>
      <c r="H1551" s="170"/>
      <c r="I1551" s="170"/>
    </row>
    <row r="1552" spans="1:9">
      <c r="A1552" s="596"/>
      <c r="B1552" s="597"/>
      <c r="C1552" s="598"/>
      <c r="D1552" s="596"/>
      <c r="E1552" s="599"/>
      <c r="F1552" s="599"/>
      <c r="G1552" s="599"/>
      <c r="H1552" s="599"/>
      <c r="I1552" s="599"/>
    </row>
    <row r="1553" spans="1:9" ht="63" customHeight="1">
      <c r="A1553" s="594" t="s">
        <v>441</v>
      </c>
      <c r="B1553" s="3547" t="s">
        <v>3716</v>
      </c>
      <c r="C1553" s="3548"/>
      <c r="D1553" s="3548"/>
      <c r="E1553" s="3548"/>
      <c r="F1553" s="3548"/>
      <c r="G1553" s="3548"/>
      <c r="H1553" s="3548"/>
      <c r="I1553" s="3549"/>
    </row>
    <row r="1554" spans="1:9">
      <c r="A1554" s="243" t="s">
        <v>1520</v>
      </c>
      <c r="B1554" s="179" t="s">
        <v>1521</v>
      </c>
      <c r="C1554" s="589" t="s">
        <v>140</v>
      </c>
      <c r="D1554" s="2" t="s">
        <v>343</v>
      </c>
      <c r="E1554" s="585" t="s">
        <v>344</v>
      </c>
      <c r="F1554" s="585" t="s">
        <v>482</v>
      </c>
      <c r="G1554" s="585" t="s">
        <v>483</v>
      </c>
      <c r="H1554" s="585" t="s">
        <v>232</v>
      </c>
      <c r="I1554" s="585" t="s">
        <v>171</v>
      </c>
    </row>
    <row r="1555" spans="1:9" ht="33.6">
      <c r="A1555" s="243"/>
      <c r="B1555" s="604" t="s">
        <v>1814</v>
      </c>
      <c r="C1555" s="583">
        <v>3</v>
      </c>
      <c r="D1555" s="6" t="s">
        <v>363</v>
      </c>
      <c r="E1555" s="585">
        <v>150000</v>
      </c>
      <c r="F1555" s="65"/>
      <c r="G1555" s="65"/>
      <c r="H1555" s="65">
        <f>+C1555*E1555</f>
        <v>450000</v>
      </c>
      <c r="I1555" s="65"/>
    </row>
    <row r="1556" spans="1:9">
      <c r="A1556" s="2"/>
      <c r="B1556" s="18" t="s">
        <v>189</v>
      </c>
      <c r="C1556" s="589">
        <v>1</v>
      </c>
      <c r="D1556" s="6" t="s">
        <v>583</v>
      </c>
      <c r="E1556" s="585">
        <f>0.05*H1555</f>
        <v>22500</v>
      </c>
      <c r="F1556" s="585"/>
      <c r="G1556" s="585" t="s">
        <v>441</v>
      </c>
      <c r="H1556" s="585"/>
      <c r="I1556" s="585">
        <f>+E1556*C1556</f>
        <v>22500</v>
      </c>
    </row>
    <row r="1557" spans="1:9">
      <c r="A1557" s="587" t="s">
        <v>190</v>
      </c>
      <c r="B1557" s="588">
        <f>SUM(G1557:I1557)</f>
        <v>472500</v>
      </c>
      <c r="C1557" s="589"/>
      <c r="D1557" s="601"/>
      <c r="E1557" s="585">
        <f>SUM(E1555:E1556)</f>
        <v>172500</v>
      </c>
      <c r="F1557" s="585">
        <v>0</v>
      </c>
      <c r="G1557" s="585">
        <f>SUM(G1555:G1556)</f>
        <v>0</v>
      </c>
      <c r="H1557" s="585">
        <f>SUM(H1555:H1556)</f>
        <v>450000</v>
      </c>
      <c r="I1557" s="585">
        <f>SUM(I1556:I1556)</f>
        <v>22500</v>
      </c>
    </row>
    <row r="1558" spans="1:9">
      <c r="A1558" s="21" t="s">
        <v>3708</v>
      </c>
      <c r="B1558" s="39">
        <f>+B1557*AIU</f>
        <v>139728.87939189843</v>
      </c>
      <c r="C1558" s="589"/>
      <c r="D1558" s="13"/>
      <c r="E1558" s="170"/>
      <c r="F1558" s="170"/>
      <c r="G1558" s="170"/>
      <c r="H1558" s="170"/>
      <c r="I1558" s="170"/>
    </row>
    <row r="1559" spans="1:9">
      <c r="A1559" s="587" t="s">
        <v>191</v>
      </c>
      <c r="B1559" s="39">
        <f>SUM(B1557:B1558)</f>
        <v>612228.8793918984</v>
      </c>
      <c r="C1559" s="589" t="s">
        <v>363</v>
      </c>
      <c r="D1559" s="13"/>
      <c r="E1559" s="170"/>
      <c r="F1559" s="170"/>
      <c r="G1559" s="170"/>
      <c r="H1559" s="170"/>
      <c r="I1559" s="170"/>
    </row>
    <row r="1560" spans="1:9">
      <c r="A1560" s="471"/>
      <c r="B1560" s="602"/>
      <c r="C1560" s="603"/>
      <c r="D1560" s="13"/>
      <c r="E1560" s="170"/>
      <c r="F1560" s="170"/>
      <c r="G1560" s="170"/>
      <c r="H1560" s="170"/>
      <c r="I1560" s="170"/>
    </row>
    <row r="1561" spans="1:9">
      <c r="A1561" s="596"/>
      <c r="B1561" s="597"/>
      <c r="C1561" s="598"/>
      <c r="D1561" s="596"/>
      <c r="E1561" s="599"/>
      <c r="F1561" s="599"/>
      <c r="G1561" s="599"/>
      <c r="H1561" s="599"/>
      <c r="I1561" s="599"/>
    </row>
    <row r="1562" spans="1:9" ht="78.75" customHeight="1">
      <c r="A1562" s="594" t="s">
        <v>441</v>
      </c>
      <c r="B1562" s="3547" t="s">
        <v>3717</v>
      </c>
      <c r="C1562" s="3548"/>
      <c r="D1562" s="3548"/>
      <c r="E1562" s="3548"/>
      <c r="F1562" s="3548"/>
      <c r="G1562" s="3548"/>
      <c r="H1562" s="3548"/>
      <c r="I1562" s="3549"/>
    </row>
    <row r="1563" spans="1:9" ht="21.75" customHeight="1">
      <c r="A1563" s="243" t="s">
        <v>1520</v>
      </c>
      <c r="B1563" s="179" t="s">
        <v>1521</v>
      </c>
      <c r="C1563" s="589" t="s">
        <v>140</v>
      </c>
      <c r="D1563" s="2" t="s">
        <v>343</v>
      </c>
      <c r="E1563" s="585" t="s">
        <v>344</v>
      </c>
      <c r="F1563" s="585" t="s">
        <v>482</v>
      </c>
      <c r="G1563" s="585" t="s">
        <v>483</v>
      </c>
      <c r="H1563" s="585" t="s">
        <v>232</v>
      </c>
      <c r="I1563" s="585" t="s">
        <v>171</v>
      </c>
    </row>
    <row r="1564" spans="1:9">
      <c r="A1564" s="535" t="s">
        <v>1884</v>
      </c>
      <c r="B1564" s="608" t="s">
        <v>1885</v>
      </c>
      <c r="C1564" s="589">
        <v>1</v>
      </c>
      <c r="D1564" s="6" t="s">
        <v>94</v>
      </c>
      <c r="E1564" s="585">
        <f>VLOOKUP(B1564,MATERIALES!B:C,2,0)</f>
        <v>2500000</v>
      </c>
      <c r="F1564" s="585"/>
      <c r="G1564" s="585">
        <f>+C1564*E1564</f>
        <v>2500000</v>
      </c>
      <c r="H1564" s="585"/>
      <c r="I1564" s="585"/>
    </row>
    <row r="1565" spans="1:9">
      <c r="A1565" s="539" t="s">
        <v>1843</v>
      </c>
      <c r="B1565" s="536" t="s">
        <v>1844</v>
      </c>
      <c r="C1565" s="583">
        <v>1</v>
      </c>
      <c r="D1565" s="6" t="s">
        <v>94</v>
      </c>
      <c r="E1565" s="585">
        <f>VLOOKUP(B1565,MATERIALES!B:C,2,0)</f>
        <v>85000</v>
      </c>
      <c r="F1565" s="65"/>
      <c r="G1565" s="65">
        <f>+C1565*E1565</f>
        <v>85000</v>
      </c>
      <c r="H1565" s="17"/>
      <c r="I1565" s="65"/>
    </row>
    <row r="1566" spans="1:9">
      <c r="A1566" s="539" t="s">
        <v>2098</v>
      </c>
      <c r="B1566" s="536" t="s">
        <v>2099</v>
      </c>
      <c r="C1566" s="583">
        <v>2</v>
      </c>
      <c r="D1566" s="6" t="s">
        <v>363</v>
      </c>
      <c r="E1566" s="585">
        <f>VLOOKUP(B1566,MATERIALES!B:C,2,0)</f>
        <v>35000</v>
      </c>
      <c r="F1566" s="65"/>
      <c r="G1566" s="65">
        <f>+C1566*E1566</f>
        <v>70000</v>
      </c>
      <c r="H1566" s="17"/>
      <c r="I1566" s="65"/>
    </row>
    <row r="1567" spans="1:9">
      <c r="A1567" s="2"/>
      <c r="B1567" s="180" t="s">
        <v>2236</v>
      </c>
      <c r="C1567" s="600">
        <v>0.6</v>
      </c>
      <c r="D1567" s="2" t="s">
        <v>583</v>
      </c>
      <c r="E1567" s="585">
        <f>VLOOKUP(B1567,MATERIALES!B:C,2,0)</f>
        <v>750000</v>
      </c>
      <c r="F1567" s="585"/>
      <c r="G1567" s="585" t="s">
        <v>441</v>
      </c>
      <c r="H1567" s="585"/>
      <c r="I1567" s="585">
        <f>+E1567*C1567</f>
        <v>450000</v>
      </c>
    </row>
    <row r="1568" spans="1:9">
      <c r="A1568" s="587" t="s">
        <v>190</v>
      </c>
      <c r="B1568" s="588">
        <f>SUM(G1568:I1568)</f>
        <v>3105000</v>
      </c>
      <c r="C1568" s="589"/>
      <c r="D1568" s="601"/>
      <c r="E1568" s="585">
        <f>SUM(E1564:E1567)</f>
        <v>3370000</v>
      </c>
      <c r="F1568" s="585">
        <v>0</v>
      </c>
      <c r="G1568" s="585">
        <f>SUM(G1564:G1567)</f>
        <v>2655000</v>
      </c>
      <c r="H1568" s="585">
        <f>SUM(H1567:H1567)</f>
        <v>0</v>
      </c>
      <c r="I1568" s="585">
        <f>SUM(I1567:I1567)</f>
        <v>450000</v>
      </c>
    </row>
    <row r="1569" spans="1:9">
      <c r="A1569" s="21" t="s">
        <v>3708</v>
      </c>
      <c r="B1569" s="39">
        <f>+B1568*AIU</f>
        <v>918218.35028961825</v>
      </c>
      <c r="C1569" s="589"/>
      <c r="D1569" s="13"/>
      <c r="E1569" s="170"/>
      <c r="F1569" s="170"/>
      <c r="G1569" s="170"/>
      <c r="H1569" s="170"/>
      <c r="I1569" s="170"/>
    </row>
    <row r="1570" spans="1:9">
      <c r="A1570" s="587" t="s">
        <v>191</v>
      </c>
      <c r="B1570" s="39">
        <f>SUM(B1568:B1569)</f>
        <v>4023218.3502896181</v>
      </c>
      <c r="C1570" s="589" t="s">
        <v>363</v>
      </c>
      <c r="D1570" s="13"/>
      <c r="E1570" s="170"/>
      <c r="F1570" s="170"/>
      <c r="G1570" s="170"/>
      <c r="H1570" s="170"/>
      <c r="I1570" s="170"/>
    </row>
    <row r="1571" spans="1:9">
      <c r="A1571" s="471"/>
      <c r="B1571" s="602"/>
      <c r="C1571" s="603"/>
      <c r="D1571" s="13"/>
      <c r="E1571" s="170"/>
      <c r="F1571" s="170"/>
      <c r="G1571" s="170"/>
      <c r="H1571" s="170"/>
      <c r="I1571" s="170"/>
    </row>
    <row r="1572" spans="1:9">
      <c r="A1572" s="596"/>
      <c r="B1572" s="597"/>
      <c r="C1572" s="598"/>
      <c r="D1572" s="596"/>
      <c r="E1572" s="599"/>
      <c r="F1572" s="599"/>
      <c r="G1572" s="599"/>
      <c r="H1572" s="599"/>
      <c r="I1572" s="599"/>
    </row>
    <row r="1573" spans="1:9" ht="96" customHeight="1">
      <c r="A1573" s="594" t="s">
        <v>441</v>
      </c>
      <c r="B1573" s="3547" t="s">
        <v>1339</v>
      </c>
      <c r="C1573" s="3548"/>
      <c r="D1573" s="3548"/>
      <c r="E1573" s="3548"/>
      <c r="F1573" s="3548"/>
      <c r="G1573" s="3548"/>
      <c r="H1573" s="3548"/>
      <c r="I1573" s="3549"/>
    </row>
    <row r="1574" spans="1:9">
      <c r="A1574" s="243" t="s">
        <v>1520</v>
      </c>
      <c r="B1574" s="179" t="s">
        <v>1521</v>
      </c>
      <c r="C1574" s="589" t="s">
        <v>140</v>
      </c>
      <c r="D1574" s="2" t="s">
        <v>343</v>
      </c>
      <c r="E1574" s="585" t="s">
        <v>344</v>
      </c>
      <c r="F1574" s="585" t="s">
        <v>482</v>
      </c>
      <c r="G1574" s="585" t="s">
        <v>483</v>
      </c>
      <c r="H1574" s="585" t="s">
        <v>232</v>
      </c>
      <c r="I1574" s="585" t="s">
        <v>171</v>
      </c>
    </row>
    <row r="1575" spans="1:9" ht="33.6">
      <c r="A1575" s="243"/>
      <c r="B1575" s="604" t="s">
        <v>1814</v>
      </c>
      <c r="C1575" s="583">
        <v>3</v>
      </c>
      <c r="D1575" s="6" t="s">
        <v>363</v>
      </c>
      <c r="E1575" s="585">
        <f>VLOOKUP(B1575,MATERIALES!B:C,2,0)</f>
        <v>150000</v>
      </c>
      <c r="F1575" s="65"/>
      <c r="G1575" s="65"/>
      <c r="H1575" s="65">
        <f>+C1575*E1575</f>
        <v>450000</v>
      </c>
      <c r="I1575" s="65"/>
    </row>
    <row r="1576" spans="1:9">
      <c r="A1576" s="2"/>
      <c r="B1576" s="18" t="s">
        <v>189</v>
      </c>
      <c r="C1576" s="589">
        <v>1</v>
      </c>
      <c r="D1576" s="6" t="s">
        <v>583</v>
      </c>
      <c r="E1576" s="585">
        <f>0.05*H1575</f>
        <v>22500</v>
      </c>
      <c r="F1576" s="585"/>
      <c r="G1576" s="585" t="s">
        <v>441</v>
      </c>
      <c r="H1576" s="585"/>
      <c r="I1576" s="585">
        <f>+E1576*C1576</f>
        <v>22500</v>
      </c>
    </row>
    <row r="1577" spans="1:9">
      <c r="A1577" s="587" t="s">
        <v>190</v>
      </c>
      <c r="B1577" s="588">
        <f>SUM(G1577:I1577)</f>
        <v>472500</v>
      </c>
      <c r="C1577" s="589"/>
      <c r="D1577" s="601"/>
      <c r="E1577" s="585">
        <f>SUM(E1575:E1576)</f>
        <v>172500</v>
      </c>
      <c r="F1577" s="585">
        <v>0</v>
      </c>
      <c r="G1577" s="585">
        <f>SUM(G1575:G1576)</f>
        <v>0</v>
      </c>
      <c r="H1577" s="585">
        <f>SUM(H1575:H1576)</f>
        <v>450000</v>
      </c>
      <c r="I1577" s="585">
        <f>SUM(I1576:I1576)</f>
        <v>22500</v>
      </c>
    </row>
    <row r="1578" spans="1:9">
      <c r="A1578" s="21" t="s">
        <v>3708</v>
      </c>
      <c r="B1578" s="39">
        <f>+B1577*AIU</f>
        <v>139728.87939189843</v>
      </c>
      <c r="C1578" s="589"/>
      <c r="D1578" s="13"/>
      <c r="E1578" s="170"/>
      <c r="F1578" s="170"/>
      <c r="G1578" s="170"/>
      <c r="H1578" s="170"/>
      <c r="I1578" s="170"/>
    </row>
    <row r="1579" spans="1:9">
      <c r="A1579" s="587" t="s">
        <v>191</v>
      </c>
      <c r="B1579" s="39">
        <f>SUM(B1577:B1578)</f>
        <v>612228.8793918984</v>
      </c>
      <c r="C1579" s="589" t="s">
        <v>363</v>
      </c>
      <c r="D1579" s="13"/>
      <c r="E1579" s="170"/>
      <c r="F1579" s="170"/>
      <c r="G1579" s="170"/>
      <c r="H1579" s="170"/>
      <c r="I1579" s="170"/>
    </row>
    <row r="1580" spans="1:9">
      <c r="A1580" s="471"/>
      <c r="B1580" s="602"/>
      <c r="C1580" s="603"/>
      <c r="D1580" s="13"/>
      <c r="E1580" s="170"/>
      <c r="F1580" s="170"/>
      <c r="G1580" s="170"/>
      <c r="H1580" s="170"/>
      <c r="I1580" s="170"/>
    </row>
    <row r="1581" spans="1:9">
      <c r="A1581" s="596"/>
      <c r="B1581" s="597"/>
      <c r="C1581" s="598"/>
      <c r="D1581" s="596"/>
      <c r="E1581" s="599"/>
      <c r="F1581" s="599"/>
      <c r="G1581" s="599"/>
      <c r="H1581" s="599"/>
      <c r="I1581" s="599"/>
    </row>
    <row r="1582" spans="1:9" ht="83.25" customHeight="1">
      <c r="A1582" s="594" t="s">
        <v>441</v>
      </c>
      <c r="B1582" s="3547" t="s">
        <v>3718</v>
      </c>
      <c r="C1582" s="3548"/>
      <c r="D1582" s="3548"/>
      <c r="E1582" s="3548"/>
      <c r="F1582" s="3548"/>
      <c r="G1582" s="3548"/>
      <c r="H1582" s="3548"/>
      <c r="I1582" s="3549"/>
    </row>
    <row r="1583" spans="1:9">
      <c r="A1583" s="243" t="s">
        <v>1520</v>
      </c>
      <c r="B1583" s="179" t="s">
        <v>1521</v>
      </c>
      <c r="C1583" s="589" t="s">
        <v>140</v>
      </c>
      <c r="D1583" s="2" t="s">
        <v>343</v>
      </c>
      <c r="E1583" s="585" t="s">
        <v>344</v>
      </c>
      <c r="F1583" s="585" t="s">
        <v>482</v>
      </c>
      <c r="G1583" s="585" t="s">
        <v>483</v>
      </c>
      <c r="H1583" s="585" t="s">
        <v>232</v>
      </c>
      <c r="I1583" s="585" t="s">
        <v>171</v>
      </c>
    </row>
    <row r="1584" spans="1:9">
      <c r="A1584" s="535" t="s">
        <v>1884</v>
      </c>
      <c r="B1584" s="608" t="s">
        <v>1885</v>
      </c>
      <c r="C1584" s="589">
        <v>1</v>
      </c>
      <c r="D1584" s="6" t="s">
        <v>94</v>
      </c>
      <c r="E1584" s="585">
        <f>VLOOKUP(B1584,MATERIALES!B:C,2,0)</f>
        <v>2500000</v>
      </c>
      <c r="F1584" s="585"/>
      <c r="G1584" s="585">
        <f>+C1584*E1584</f>
        <v>2500000</v>
      </c>
      <c r="H1584" s="585"/>
      <c r="I1584" s="585"/>
    </row>
    <row r="1585" spans="1:9">
      <c r="A1585" s="539" t="s">
        <v>1843</v>
      </c>
      <c r="B1585" s="536" t="s">
        <v>1844</v>
      </c>
      <c r="C1585" s="583">
        <v>1</v>
      </c>
      <c r="D1585" s="6" t="s">
        <v>94</v>
      </c>
      <c r="E1585" s="585">
        <f>VLOOKUP(B1585,MATERIALES!B:C,2,0)</f>
        <v>85000</v>
      </c>
      <c r="F1585" s="65"/>
      <c r="G1585" s="65">
        <f>+C1585*E1585</f>
        <v>85000</v>
      </c>
      <c r="H1585" s="17"/>
      <c r="I1585" s="65"/>
    </row>
    <row r="1586" spans="1:9">
      <c r="A1586" s="539" t="s">
        <v>2098</v>
      </c>
      <c r="B1586" s="536" t="s">
        <v>2099</v>
      </c>
      <c r="C1586" s="583">
        <v>1</v>
      </c>
      <c r="D1586" s="6" t="s">
        <v>363</v>
      </c>
      <c r="E1586" s="585">
        <f>VLOOKUP(B1586,MATERIALES!B:C,2,0)</f>
        <v>35000</v>
      </c>
      <c r="F1586" s="65"/>
      <c r="G1586" s="65">
        <f>+C1586*E1586</f>
        <v>35000</v>
      </c>
      <c r="H1586" s="17"/>
      <c r="I1586" s="65"/>
    </row>
    <row r="1587" spans="1:9">
      <c r="A1587" s="2"/>
      <c r="B1587" s="180" t="s">
        <v>2236</v>
      </c>
      <c r="C1587" s="600">
        <v>0.6</v>
      </c>
      <c r="D1587" s="2" t="s">
        <v>583</v>
      </c>
      <c r="E1587" s="585">
        <f>VLOOKUP(B1587,MATERIALES!B:C,2,0)</f>
        <v>750000</v>
      </c>
      <c r="F1587" s="585"/>
      <c r="G1587" s="585" t="s">
        <v>441</v>
      </c>
      <c r="H1587" s="585"/>
      <c r="I1587" s="585">
        <f>+E1587*C1587</f>
        <v>450000</v>
      </c>
    </row>
    <row r="1588" spans="1:9">
      <c r="A1588" s="587" t="s">
        <v>190</v>
      </c>
      <c r="B1588" s="588">
        <f>SUM(G1588:I1588)</f>
        <v>3070000</v>
      </c>
      <c r="C1588" s="589"/>
      <c r="D1588" s="601"/>
      <c r="E1588" s="585">
        <f>SUM(E1584:E1587)</f>
        <v>3370000</v>
      </c>
      <c r="F1588" s="585">
        <v>0</v>
      </c>
      <c r="G1588" s="585">
        <f>SUM(G1584:G1587)</f>
        <v>2620000</v>
      </c>
      <c r="H1588" s="585">
        <f>SUM(H1587:H1587)</f>
        <v>0</v>
      </c>
      <c r="I1588" s="585">
        <f>SUM(I1587:I1587)</f>
        <v>450000</v>
      </c>
    </row>
    <row r="1589" spans="1:9">
      <c r="A1589" s="21" t="s">
        <v>3708</v>
      </c>
      <c r="B1589" s="39">
        <f>+B1588*AIU</f>
        <v>907868.06292725541</v>
      </c>
      <c r="C1589" s="589"/>
      <c r="D1589" s="13"/>
      <c r="E1589" s="170"/>
      <c r="F1589" s="170"/>
      <c r="G1589" s="170"/>
      <c r="H1589" s="170"/>
      <c r="I1589" s="170"/>
    </row>
    <row r="1590" spans="1:9">
      <c r="A1590" s="587" t="s">
        <v>191</v>
      </c>
      <c r="B1590" s="39">
        <f>SUM(B1588:B1589)</f>
        <v>3977868.0629272554</v>
      </c>
      <c r="C1590" s="589" t="s">
        <v>363</v>
      </c>
      <c r="D1590" s="13"/>
      <c r="E1590" s="170"/>
      <c r="F1590" s="170"/>
      <c r="G1590" s="170"/>
      <c r="H1590" s="170"/>
      <c r="I1590" s="170"/>
    </row>
    <row r="1591" spans="1:9">
      <c r="A1591" s="471"/>
      <c r="B1591" s="602"/>
      <c r="C1591" s="603"/>
      <c r="D1591" s="13"/>
      <c r="E1591" s="170"/>
      <c r="F1591" s="170"/>
      <c r="G1591" s="170"/>
      <c r="H1591" s="170"/>
      <c r="I1591" s="170"/>
    </row>
    <row r="1592" spans="1:9">
      <c r="A1592" s="596"/>
      <c r="B1592" s="597"/>
      <c r="C1592" s="598"/>
      <c r="D1592" s="596"/>
      <c r="E1592" s="599"/>
      <c r="F1592" s="599"/>
      <c r="G1592" s="599"/>
      <c r="H1592" s="599"/>
      <c r="I1592" s="599"/>
    </row>
    <row r="1593" spans="1:9" ht="81" customHeight="1">
      <c r="A1593" s="594" t="s">
        <v>441</v>
      </c>
      <c r="B1593" s="3547" t="s">
        <v>1435</v>
      </c>
      <c r="C1593" s="3548"/>
      <c r="D1593" s="3548"/>
      <c r="E1593" s="3548"/>
      <c r="F1593" s="3548"/>
      <c r="G1593" s="3548"/>
      <c r="H1593" s="3548"/>
      <c r="I1593" s="3549"/>
    </row>
    <row r="1594" spans="1:9">
      <c r="A1594" s="243" t="s">
        <v>1520</v>
      </c>
      <c r="B1594" s="179" t="s">
        <v>1521</v>
      </c>
      <c r="C1594" s="589" t="s">
        <v>140</v>
      </c>
      <c r="D1594" s="2" t="s">
        <v>343</v>
      </c>
      <c r="E1594" s="585" t="s">
        <v>344</v>
      </c>
      <c r="F1594" s="585" t="s">
        <v>482</v>
      </c>
      <c r="G1594" s="585" t="s">
        <v>483</v>
      </c>
      <c r="H1594" s="585" t="s">
        <v>232</v>
      </c>
      <c r="I1594" s="585" t="s">
        <v>171</v>
      </c>
    </row>
    <row r="1595" spans="1:9" ht="33.6">
      <c r="A1595" s="243"/>
      <c r="B1595" s="604" t="s">
        <v>1814</v>
      </c>
      <c r="C1595" s="583">
        <v>1</v>
      </c>
      <c r="D1595" s="6" t="s">
        <v>363</v>
      </c>
      <c r="E1595" s="585">
        <f>VLOOKUP(B1595,MATERIALES!B:C,2,0)</f>
        <v>150000</v>
      </c>
      <c r="F1595" s="65"/>
      <c r="G1595" s="65"/>
      <c r="H1595" s="65">
        <f>+C1595*E1595</f>
        <v>150000</v>
      </c>
      <c r="I1595" s="65"/>
    </row>
    <row r="1596" spans="1:9">
      <c r="A1596" s="2"/>
      <c r="B1596" s="18" t="s">
        <v>189</v>
      </c>
      <c r="C1596" s="589">
        <v>1</v>
      </c>
      <c r="D1596" s="6" t="s">
        <v>583</v>
      </c>
      <c r="E1596" s="585">
        <f>0.05*H1595</f>
        <v>7500</v>
      </c>
      <c r="F1596" s="585"/>
      <c r="G1596" s="585" t="s">
        <v>441</v>
      </c>
      <c r="H1596" s="585"/>
      <c r="I1596" s="585">
        <f>+E1596*C1596</f>
        <v>7500</v>
      </c>
    </row>
    <row r="1597" spans="1:9">
      <c r="A1597" s="587" t="s">
        <v>190</v>
      </c>
      <c r="B1597" s="588">
        <f>SUM(G1597:I1597)</f>
        <v>157500</v>
      </c>
      <c r="C1597" s="589"/>
      <c r="D1597" s="601"/>
      <c r="E1597" s="585">
        <f>SUM(E1595:E1596)</f>
        <v>157500</v>
      </c>
      <c r="F1597" s="585">
        <v>0</v>
      </c>
      <c r="G1597" s="585">
        <f>SUM(G1595:G1596)</f>
        <v>0</v>
      </c>
      <c r="H1597" s="585">
        <f>SUM(H1595:H1596)</f>
        <v>150000</v>
      </c>
      <c r="I1597" s="585">
        <f>SUM(I1596:I1596)</f>
        <v>7500</v>
      </c>
    </row>
    <row r="1598" spans="1:9">
      <c r="A1598" s="21" t="s">
        <v>3708</v>
      </c>
      <c r="B1598" s="39">
        <f>+B1597*AIU</f>
        <v>46576.29313063281</v>
      </c>
      <c r="C1598" s="589"/>
      <c r="D1598" s="13"/>
      <c r="E1598" s="170"/>
      <c r="F1598" s="170"/>
      <c r="G1598" s="170"/>
      <c r="H1598" s="170"/>
      <c r="I1598" s="170"/>
    </row>
    <row r="1599" spans="1:9">
      <c r="A1599" s="587" t="s">
        <v>191</v>
      </c>
      <c r="B1599" s="39">
        <f>SUM(B1597:B1598)</f>
        <v>204076.29313063281</v>
      </c>
      <c r="C1599" s="589" t="s">
        <v>363</v>
      </c>
      <c r="D1599" s="13"/>
      <c r="E1599" s="170"/>
      <c r="F1599" s="170"/>
      <c r="G1599" s="170"/>
      <c r="H1599" s="170"/>
      <c r="I1599" s="170"/>
    </row>
    <row r="1600" spans="1:9">
      <c r="A1600" s="471"/>
      <c r="B1600" s="602"/>
      <c r="C1600" s="603"/>
      <c r="D1600" s="13"/>
      <c r="E1600" s="170"/>
      <c r="F1600" s="170"/>
      <c r="G1600" s="170"/>
      <c r="H1600" s="170"/>
      <c r="I1600" s="170"/>
    </row>
    <row r="1601" spans="1:9">
      <c r="A1601" s="596"/>
      <c r="B1601" s="597"/>
      <c r="C1601" s="598"/>
      <c r="D1601" s="596"/>
      <c r="E1601" s="599"/>
      <c r="F1601" s="599"/>
      <c r="G1601" s="599"/>
      <c r="H1601" s="599"/>
      <c r="I1601" s="599"/>
    </row>
    <row r="1602" spans="1:9" ht="49.5" customHeight="1">
      <c r="A1602" s="594" t="s">
        <v>441</v>
      </c>
      <c r="B1602" s="3547" t="s">
        <v>3719</v>
      </c>
      <c r="C1602" s="3548"/>
      <c r="D1602" s="3548"/>
      <c r="E1602" s="3548"/>
      <c r="F1602" s="3548"/>
      <c r="G1602" s="3548"/>
      <c r="H1602" s="3548"/>
      <c r="I1602" s="3549"/>
    </row>
    <row r="1603" spans="1:9" ht="49.5" customHeight="1">
      <c r="A1603" s="243" t="s">
        <v>1520</v>
      </c>
      <c r="B1603" s="179" t="s">
        <v>1521</v>
      </c>
      <c r="C1603" s="589" t="s">
        <v>140</v>
      </c>
      <c r="D1603" s="2" t="s">
        <v>343</v>
      </c>
      <c r="E1603" s="585" t="s">
        <v>344</v>
      </c>
      <c r="F1603" s="585" t="s">
        <v>482</v>
      </c>
      <c r="G1603" s="585" t="s">
        <v>483</v>
      </c>
      <c r="H1603" s="585" t="s">
        <v>232</v>
      </c>
      <c r="I1603" s="585" t="s">
        <v>171</v>
      </c>
    </row>
    <row r="1604" spans="1:9">
      <c r="A1604" s="546" t="s">
        <v>1886</v>
      </c>
      <c r="B1604" s="531" t="s">
        <v>1887</v>
      </c>
      <c r="C1604" s="589">
        <v>1</v>
      </c>
      <c r="D1604" s="6" t="s">
        <v>94</v>
      </c>
      <c r="E1604" s="585">
        <f>VLOOKUP(B1604,MATERIALES!B:C,2,0)</f>
        <v>2850000</v>
      </c>
      <c r="F1604" s="585"/>
      <c r="G1604" s="585">
        <f>+C1604*E1604</f>
        <v>2850000</v>
      </c>
      <c r="H1604" s="585"/>
      <c r="I1604" s="585"/>
    </row>
    <row r="1605" spans="1:9">
      <c r="A1605" s="539" t="s">
        <v>1843</v>
      </c>
      <c r="B1605" s="536" t="s">
        <v>1844</v>
      </c>
      <c r="C1605" s="583">
        <v>1</v>
      </c>
      <c r="D1605" s="6" t="s">
        <v>94</v>
      </c>
      <c r="E1605" s="585">
        <f>VLOOKUP(B1605,MATERIALES!B:C,2,0)</f>
        <v>85000</v>
      </c>
      <c r="F1605" s="65"/>
      <c r="G1605" s="65">
        <f>+C1605*E1605</f>
        <v>85000</v>
      </c>
      <c r="H1605" s="17"/>
      <c r="I1605" s="65"/>
    </row>
    <row r="1606" spans="1:9">
      <c r="A1606" s="539" t="s">
        <v>2098</v>
      </c>
      <c r="B1606" s="536" t="s">
        <v>2099</v>
      </c>
      <c r="C1606" s="583">
        <v>2</v>
      </c>
      <c r="D1606" s="6" t="s">
        <v>363</v>
      </c>
      <c r="E1606" s="585">
        <f>VLOOKUP(B1606,MATERIALES!B:C,2,0)</f>
        <v>35000</v>
      </c>
      <c r="F1606" s="65"/>
      <c r="G1606" s="65">
        <f>+C1606*E1606</f>
        <v>70000</v>
      </c>
      <c r="H1606" s="17"/>
      <c r="I1606" s="65"/>
    </row>
    <row r="1607" spans="1:9">
      <c r="A1607" s="2"/>
      <c r="B1607" s="180" t="s">
        <v>2236</v>
      </c>
      <c r="C1607" s="600">
        <v>0.6</v>
      </c>
      <c r="D1607" s="2" t="s">
        <v>583</v>
      </c>
      <c r="E1607" s="585">
        <f>VLOOKUP(B1607,MATERIALES!B:C,2,0)</f>
        <v>750000</v>
      </c>
      <c r="F1607" s="585"/>
      <c r="G1607" s="585" t="s">
        <v>441</v>
      </c>
      <c r="H1607" s="585"/>
      <c r="I1607" s="585">
        <f>+E1607*C1607</f>
        <v>450000</v>
      </c>
    </row>
    <row r="1608" spans="1:9">
      <c r="A1608" s="587" t="s">
        <v>190</v>
      </c>
      <c r="B1608" s="588">
        <f>SUM(G1608:I1608)</f>
        <v>3455000</v>
      </c>
      <c r="C1608" s="589"/>
      <c r="D1608" s="601"/>
      <c r="E1608" s="585">
        <f>SUM(E1604:E1607)</f>
        <v>3720000</v>
      </c>
      <c r="F1608" s="585">
        <v>0</v>
      </c>
      <c r="G1608" s="585">
        <f>SUM(G1604:G1607)</f>
        <v>3005000</v>
      </c>
      <c r="H1608" s="585">
        <f>SUM(H1607:H1607)</f>
        <v>0</v>
      </c>
      <c r="I1608" s="585">
        <f>SUM(I1607:I1607)</f>
        <v>450000</v>
      </c>
    </row>
    <row r="1609" spans="1:9">
      <c r="A1609" s="21" t="s">
        <v>3708</v>
      </c>
      <c r="B1609" s="39">
        <f>+B1608*AIU</f>
        <v>1021721.2239132466</v>
      </c>
      <c r="C1609" s="589"/>
      <c r="D1609" s="13"/>
      <c r="E1609" s="170"/>
      <c r="F1609" s="170"/>
      <c r="G1609" s="170"/>
      <c r="H1609" s="170"/>
      <c r="I1609" s="170"/>
    </row>
    <row r="1610" spans="1:9">
      <c r="A1610" s="587" t="s">
        <v>191</v>
      </c>
      <c r="B1610" s="39">
        <f>SUM(B1608:B1609)</f>
        <v>4476721.2239132468</v>
      </c>
      <c r="C1610" s="589" t="s">
        <v>363</v>
      </c>
      <c r="D1610" s="13"/>
      <c r="E1610" s="170"/>
      <c r="F1610" s="170"/>
      <c r="G1610" s="170"/>
      <c r="H1610" s="170"/>
      <c r="I1610" s="170"/>
    </row>
    <row r="1611" spans="1:9">
      <c r="A1611" s="471"/>
      <c r="B1611" s="602"/>
      <c r="C1611" s="603"/>
      <c r="D1611" s="13"/>
      <c r="E1611" s="170"/>
      <c r="F1611" s="170"/>
      <c r="G1611" s="170"/>
      <c r="H1611" s="170"/>
      <c r="I1611" s="170"/>
    </row>
    <row r="1612" spans="1:9">
      <c r="A1612" s="596"/>
      <c r="B1612" s="597"/>
      <c r="C1612" s="598"/>
      <c r="D1612" s="596"/>
      <c r="E1612" s="599"/>
      <c r="F1612" s="599"/>
      <c r="G1612" s="599"/>
      <c r="H1612" s="599"/>
      <c r="I1612" s="599"/>
    </row>
    <row r="1613" spans="1:9" ht="57.75" customHeight="1">
      <c r="A1613" s="594" t="s">
        <v>441</v>
      </c>
      <c r="B1613" s="3547" t="s">
        <v>3720</v>
      </c>
      <c r="C1613" s="3548"/>
      <c r="D1613" s="3548"/>
      <c r="E1613" s="3548"/>
      <c r="F1613" s="3548"/>
      <c r="G1613" s="3548"/>
      <c r="H1613" s="3548"/>
      <c r="I1613" s="3549"/>
    </row>
    <row r="1614" spans="1:9">
      <c r="A1614" s="243" t="s">
        <v>1520</v>
      </c>
      <c r="B1614" s="179" t="s">
        <v>1521</v>
      </c>
      <c r="C1614" s="589" t="s">
        <v>140</v>
      </c>
      <c r="D1614" s="2" t="s">
        <v>343</v>
      </c>
      <c r="E1614" s="585" t="s">
        <v>344</v>
      </c>
      <c r="F1614" s="585" t="s">
        <v>482</v>
      </c>
      <c r="G1614" s="585" t="s">
        <v>483</v>
      </c>
      <c r="H1614" s="585" t="s">
        <v>232</v>
      </c>
      <c r="I1614" s="585" t="s">
        <v>171</v>
      </c>
    </row>
    <row r="1615" spans="1:9" ht="33.6">
      <c r="A1615" s="243"/>
      <c r="B1615" s="604" t="s">
        <v>1814</v>
      </c>
      <c r="C1615" s="583">
        <v>1.5</v>
      </c>
      <c r="D1615" s="6" t="s">
        <v>363</v>
      </c>
      <c r="E1615" s="585">
        <v>150000</v>
      </c>
      <c r="F1615" s="65"/>
      <c r="G1615" s="65"/>
      <c r="H1615" s="65">
        <f>+C1615*E1615</f>
        <v>225000</v>
      </c>
      <c r="I1615" s="65"/>
    </row>
    <row r="1616" spans="1:9">
      <c r="A1616" s="2"/>
      <c r="B1616" s="18" t="s">
        <v>189</v>
      </c>
      <c r="C1616" s="589">
        <v>1</v>
      </c>
      <c r="D1616" s="6" t="s">
        <v>583</v>
      </c>
      <c r="E1616" s="585">
        <f>0.05*H1615</f>
        <v>11250</v>
      </c>
      <c r="F1616" s="585"/>
      <c r="G1616" s="585" t="s">
        <v>441</v>
      </c>
      <c r="H1616" s="585"/>
      <c r="I1616" s="585">
        <f>+E1616*C1616</f>
        <v>11250</v>
      </c>
    </row>
    <row r="1617" spans="1:9">
      <c r="A1617" s="587" t="s">
        <v>190</v>
      </c>
      <c r="B1617" s="588">
        <f>SUM(G1617:I1617)</f>
        <v>236250</v>
      </c>
      <c r="C1617" s="589"/>
      <c r="D1617" s="601"/>
      <c r="E1617" s="585">
        <f>SUM(E1615:E1616)</f>
        <v>161250</v>
      </c>
      <c r="F1617" s="585">
        <v>0</v>
      </c>
      <c r="G1617" s="585">
        <f>SUM(G1615:G1616)</f>
        <v>0</v>
      </c>
      <c r="H1617" s="585">
        <f>SUM(H1615:H1616)</f>
        <v>225000</v>
      </c>
      <c r="I1617" s="585">
        <f>SUM(I1616:I1616)</f>
        <v>11250</v>
      </c>
    </row>
    <row r="1618" spans="1:9">
      <c r="A1618" s="21" t="s">
        <v>3708</v>
      </c>
      <c r="B1618" s="39">
        <f>+B1617*AIU</f>
        <v>69864.439695949215</v>
      </c>
      <c r="C1618" s="589"/>
      <c r="D1618" s="13"/>
      <c r="E1618" s="170"/>
      <c r="F1618" s="170"/>
      <c r="G1618" s="170"/>
      <c r="H1618" s="170"/>
      <c r="I1618" s="170"/>
    </row>
    <row r="1619" spans="1:9">
      <c r="A1619" s="587" t="s">
        <v>191</v>
      </c>
      <c r="B1619" s="39">
        <f>SUM(B1617:B1618)</f>
        <v>306114.4396959492</v>
      </c>
      <c r="C1619" s="589" t="s">
        <v>363</v>
      </c>
      <c r="D1619" s="13"/>
      <c r="E1619" s="170"/>
      <c r="F1619" s="170"/>
      <c r="G1619" s="170"/>
      <c r="H1619" s="170"/>
      <c r="I1619" s="170"/>
    </row>
    <row r="1620" spans="1:9">
      <c r="A1620" s="471"/>
      <c r="B1620" s="602"/>
      <c r="C1620" s="603"/>
      <c r="D1620" s="13"/>
      <c r="E1620" s="170"/>
      <c r="F1620" s="170"/>
      <c r="G1620" s="170"/>
      <c r="H1620" s="170"/>
      <c r="I1620" s="170"/>
    </row>
    <row r="1621" spans="1:9">
      <c r="A1621" s="596"/>
      <c r="B1621" s="597"/>
      <c r="C1621" s="598"/>
      <c r="D1621" s="596"/>
      <c r="E1621" s="599"/>
      <c r="F1621" s="599"/>
      <c r="G1621" s="599"/>
      <c r="H1621" s="599"/>
      <c r="I1621" s="599"/>
    </row>
    <row r="1622" spans="1:9" ht="54.75" customHeight="1">
      <c r="A1622" s="594" t="s">
        <v>441</v>
      </c>
      <c r="B1622" s="3547" t="s">
        <v>3721</v>
      </c>
      <c r="C1622" s="3548"/>
      <c r="D1622" s="3548"/>
      <c r="E1622" s="3548"/>
      <c r="F1622" s="3548"/>
      <c r="G1622" s="3548"/>
      <c r="H1622" s="3548"/>
      <c r="I1622" s="3549"/>
    </row>
    <row r="1623" spans="1:9">
      <c r="A1623" s="243" t="s">
        <v>1520</v>
      </c>
      <c r="B1623" s="179" t="s">
        <v>1521</v>
      </c>
      <c r="C1623" s="589" t="s">
        <v>140</v>
      </c>
      <c r="D1623" s="2" t="s">
        <v>343</v>
      </c>
      <c r="E1623" s="585" t="s">
        <v>344</v>
      </c>
      <c r="F1623" s="585" t="s">
        <v>482</v>
      </c>
      <c r="G1623" s="585" t="s">
        <v>483</v>
      </c>
      <c r="H1623" s="585" t="s">
        <v>232</v>
      </c>
      <c r="I1623" s="585" t="s">
        <v>171</v>
      </c>
    </row>
    <row r="1624" spans="1:9" ht="41.4">
      <c r="A1624" s="2" t="s">
        <v>2100</v>
      </c>
      <c r="B1624" s="545" t="s">
        <v>2101</v>
      </c>
      <c r="C1624" s="589">
        <v>1</v>
      </c>
      <c r="D1624" s="6" t="s">
        <v>363</v>
      </c>
      <c r="E1624" s="585">
        <f>VLOOKUP(B1624,MATERIALES!B:C,2,0)</f>
        <v>1890000</v>
      </c>
      <c r="F1624" s="585"/>
      <c r="G1624" s="585">
        <f>+C1624*E1624</f>
        <v>1890000</v>
      </c>
      <c r="H1624" s="585"/>
      <c r="I1624" s="585"/>
    </row>
    <row r="1625" spans="1:9" ht="33.6">
      <c r="A1625" s="243"/>
      <c r="B1625" s="536" t="s">
        <v>2216</v>
      </c>
      <c r="C1625" s="583">
        <v>3</v>
      </c>
      <c r="D1625" s="6" t="s">
        <v>363</v>
      </c>
      <c r="E1625" s="585">
        <f>VLOOKUP(B1625,MATERIALES!B:C,2,0)</f>
        <v>65000</v>
      </c>
      <c r="F1625" s="65"/>
      <c r="G1625" s="65">
        <f>+C1625*E1625</f>
        <v>195000</v>
      </c>
      <c r="H1625" s="17"/>
      <c r="I1625" s="65"/>
    </row>
    <row r="1626" spans="1:9">
      <c r="A1626" s="243"/>
      <c r="B1626" s="536" t="s">
        <v>1719</v>
      </c>
      <c r="C1626" s="583">
        <v>1</v>
      </c>
      <c r="D1626" s="6" t="s">
        <v>363</v>
      </c>
      <c r="E1626" s="585">
        <f>VLOOKUP(B1626,MATERIALES!B:C,2,0)</f>
        <v>176000</v>
      </c>
      <c r="F1626" s="65"/>
      <c r="G1626" s="65">
        <f>+C1626*E1626</f>
        <v>176000</v>
      </c>
      <c r="H1626" s="17"/>
      <c r="I1626" s="65"/>
    </row>
    <row r="1627" spans="1:9">
      <c r="A1627" s="2"/>
      <c r="B1627" s="180" t="s">
        <v>2236</v>
      </c>
      <c r="C1627" s="589">
        <v>0.05</v>
      </c>
      <c r="D1627" s="2" t="s">
        <v>583</v>
      </c>
      <c r="E1627" s="585">
        <f>VLOOKUP(B1627,MATERIALES!B:C,2,0)</f>
        <v>750000</v>
      </c>
      <c r="F1627" s="585"/>
      <c r="G1627" s="585" t="s">
        <v>441</v>
      </c>
      <c r="H1627" s="585"/>
      <c r="I1627" s="585">
        <f>+E1627*C1627</f>
        <v>37500</v>
      </c>
    </row>
    <row r="1628" spans="1:9">
      <c r="A1628" s="21" t="s">
        <v>3622</v>
      </c>
      <c r="B1628" s="588">
        <f>SUM(G1628:I1628)</f>
        <v>2298500</v>
      </c>
      <c r="C1628" s="589"/>
      <c r="D1628" s="601"/>
      <c r="E1628" s="585" t="s">
        <v>441</v>
      </c>
      <c r="F1628" s="585">
        <v>0</v>
      </c>
      <c r="G1628" s="585">
        <f>SUM(G1624:G1627)</f>
        <v>2261000</v>
      </c>
      <c r="H1628" s="585">
        <f>SUM(H1627:H1627)</f>
        <v>0</v>
      </c>
      <c r="I1628" s="585">
        <f>SUM(I1627:I1627)</f>
        <v>37500</v>
      </c>
    </row>
    <row r="1629" spans="1:9">
      <c r="A1629" s="21" t="s">
        <v>3708</v>
      </c>
      <c r="B1629" s="39">
        <f>+B1628*AIU</f>
        <v>679718.15721117146</v>
      </c>
      <c r="C1629" s="589"/>
      <c r="D1629" s="13"/>
      <c r="E1629" s="170"/>
      <c r="F1629" s="170"/>
      <c r="G1629" s="170"/>
      <c r="H1629" s="170"/>
      <c r="I1629" s="170"/>
    </row>
    <row r="1630" spans="1:9">
      <c r="A1630" s="587" t="s">
        <v>191</v>
      </c>
      <c r="B1630" s="39">
        <f>SUM(B1628:B1629)</f>
        <v>2978218.1572111715</v>
      </c>
      <c r="C1630" s="589" t="s">
        <v>363</v>
      </c>
      <c r="D1630" s="13"/>
      <c r="E1630" s="170"/>
      <c r="F1630" s="170"/>
      <c r="G1630" s="170"/>
      <c r="H1630" s="170"/>
      <c r="I1630" s="170"/>
    </row>
    <row r="1631" spans="1:9">
      <c r="A1631" s="471"/>
      <c r="B1631" s="602"/>
      <c r="C1631" s="603"/>
      <c r="D1631" s="13"/>
      <c r="E1631" s="170"/>
      <c r="F1631" s="170"/>
      <c r="G1631" s="170"/>
      <c r="H1631" s="170"/>
      <c r="I1631" s="170"/>
    </row>
    <row r="1632" spans="1:9" ht="45" customHeight="1">
      <c r="A1632" s="594" t="s">
        <v>441</v>
      </c>
      <c r="B1632" s="3547" t="s">
        <v>3722</v>
      </c>
      <c r="C1632" s="3548"/>
      <c r="D1632" s="3548"/>
      <c r="E1632" s="3548"/>
      <c r="F1632" s="3548"/>
      <c r="G1632" s="3548"/>
      <c r="H1632" s="3548"/>
      <c r="I1632" s="3549"/>
    </row>
    <row r="1633" spans="1:9">
      <c r="A1633" s="243" t="s">
        <v>1520</v>
      </c>
      <c r="B1633" s="179" t="s">
        <v>1521</v>
      </c>
      <c r="C1633" s="589" t="s">
        <v>140</v>
      </c>
      <c r="D1633" s="2" t="s">
        <v>343</v>
      </c>
      <c r="E1633" s="585" t="s">
        <v>344</v>
      </c>
      <c r="F1633" s="585" t="s">
        <v>482</v>
      </c>
      <c r="G1633" s="585" t="s">
        <v>483</v>
      </c>
      <c r="H1633" s="585" t="s">
        <v>232</v>
      </c>
      <c r="I1633" s="585" t="s">
        <v>171</v>
      </c>
    </row>
    <row r="1634" spans="1:9" ht="33.6">
      <c r="A1634" s="243"/>
      <c r="B1634" s="604" t="s">
        <v>1814</v>
      </c>
      <c r="C1634" s="583">
        <v>6</v>
      </c>
      <c r="D1634" s="6" t="s">
        <v>363</v>
      </c>
      <c r="E1634" s="585">
        <v>150000</v>
      </c>
      <c r="F1634" s="65"/>
      <c r="G1634" s="65"/>
      <c r="H1634" s="65">
        <f>+C1634*E1634</f>
        <v>900000</v>
      </c>
      <c r="I1634" s="65"/>
    </row>
    <row r="1635" spans="1:9">
      <c r="A1635" s="2"/>
      <c r="B1635" s="18" t="s">
        <v>189</v>
      </c>
      <c r="C1635" s="589">
        <v>1</v>
      </c>
      <c r="D1635" s="6" t="s">
        <v>583</v>
      </c>
      <c r="E1635" s="585">
        <f>0.05*H1634</f>
        <v>45000</v>
      </c>
      <c r="F1635" s="585"/>
      <c r="G1635" s="585" t="s">
        <v>441</v>
      </c>
      <c r="H1635" s="585"/>
      <c r="I1635" s="585">
        <f>+E1635*C1635</f>
        <v>45000</v>
      </c>
    </row>
    <row r="1636" spans="1:9">
      <c r="A1636" s="587" t="s">
        <v>190</v>
      </c>
      <c r="B1636" s="588">
        <f>SUM(G1636:I1636)</f>
        <v>945000</v>
      </c>
      <c r="C1636" s="589"/>
      <c r="D1636" s="601"/>
      <c r="E1636" s="585" t="s">
        <v>441</v>
      </c>
      <c r="F1636" s="585">
        <v>0</v>
      </c>
      <c r="G1636" s="585">
        <f>SUM(G1634:G1635)</f>
        <v>0</v>
      </c>
      <c r="H1636" s="585">
        <f>SUM(H1634:H1635)</f>
        <v>900000</v>
      </c>
      <c r="I1636" s="585">
        <f>SUM(I1635:I1635)</f>
        <v>45000</v>
      </c>
    </row>
    <row r="1637" spans="1:9">
      <c r="A1637" s="21" t="s">
        <v>3708</v>
      </c>
      <c r="B1637" s="39">
        <f>+B1636*AIU</f>
        <v>279457.75878379686</v>
      </c>
      <c r="C1637" s="589"/>
      <c r="D1637" s="13"/>
      <c r="E1637" s="170"/>
      <c r="F1637" s="170"/>
      <c r="G1637" s="170"/>
      <c r="H1637" s="170"/>
      <c r="I1637" s="170"/>
    </row>
    <row r="1638" spans="1:9">
      <c r="A1638" s="587" t="s">
        <v>191</v>
      </c>
      <c r="B1638" s="39">
        <f>SUM(B1636:B1637)</f>
        <v>1224457.7587837968</v>
      </c>
      <c r="C1638" s="589" t="s">
        <v>363</v>
      </c>
      <c r="D1638" s="13"/>
      <c r="E1638" s="170"/>
      <c r="F1638" s="170"/>
      <c r="G1638" s="170"/>
      <c r="H1638" s="170"/>
      <c r="I1638" s="170"/>
    </row>
    <row r="1639" spans="1:9">
      <c r="A1639" s="471"/>
      <c r="B1639" s="602"/>
      <c r="C1639" s="603"/>
      <c r="D1639" s="13"/>
      <c r="E1639" s="170"/>
      <c r="F1639" s="170"/>
      <c r="G1639" s="170"/>
      <c r="H1639" s="170"/>
      <c r="I1639" s="170"/>
    </row>
    <row r="1640" spans="1:9" ht="47.25" customHeight="1">
      <c r="A1640" s="594" t="s">
        <v>441</v>
      </c>
      <c r="B1640" s="3547" t="s">
        <v>3723</v>
      </c>
      <c r="C1640" s="3548"/>
      <c r="D1640" s="3548"/>
      <c r="E1640" s="3548"/>
      <c r="F1640" s="3548"/>
      <c r="G1640" s="3548"/>
      <c r="H1640" s="3548"/>
      <c r="I1640" s="3549"/>
    </row>
    <row r="1641" spans="1:9">
      <c r="A1641" s="243" t="s">
        <v>1520</v>
      </c>
      <c r="B1641" s="179" t="s">
        <v>1521</v>
      </c>
      <c r="C1641" s="589" t="s">
        <v>140</v>
      </c>
      <c r="D1641" s="2" t="s">
        <v>343</v>
      </c>
      <c r="E1641" s="585" t="s">
        <v>344</v>
      </c>
      <c r="F1641" s="585" t="s">
        <v>482</v>
      </c>
      <c r="G1641" s="585" t="s">
        <v>483</v>
      </c>
      <c r="H1641" s="585" t="s">
        <v>232</v>
      </c>
      <c r="I1641" s="585" t="s">
        <v>171</v>
      </c>
    </row>
    <row r="1642" spans="1:9" ht="69">
      <c r="A1642" s="2" t="s">
        <v>2110</v>
      </c>
      <c r="B1642" s="545" t="s">
        <v>2111</v>
      </c>
      <c r="C1642" s="589">
        <v>1</v>
      </c>
      <c r="D1642" s="6" t="s">
        <v>363</v>
      </c>
      <c r="E1642" s="585">
        <f>VLOOKUP(B1642,MATERIALES!B:C,2,0)</f>
        <v>3300000</v>
      </c>
      <c r="F1642" s="585"/>
      <c r="G1642" s="585">
        <f>+C1642*E1642</f>
        <v>3300000</v>
      </c>
      <c r="H1642" s="585"/>
      <c r="I1642" s="585"/>
    </row>
    <row r="1643" spans="1:9">
      <c r="A1643" s="243"/>
      <c r="B1643" s="536" t="s">
        <v>1719</v>
      </c>
      <c r="C1643" s="583">
        <v>1</v>
      </c>
      <c r="D1643" s="6" t="s">
        <v>363</v>
      </c>
      <c r="E1643" s="585">
        <f>VLOOKUP(B1643,MATERIALES!B:C,2,0)</f>
        <v>176000</v>
      </c>
      <c r="F1643" s="65"/>
      <c r="G1643" s="65">
        <f>+C1643*E1643</f>
        <v>176000</v>
      </c>
      <c r="H1643" s="17"/>
      <c r="I1643" s="65"/>
    </row>
    <row r="1644" spans="1:9">
      <c r="A1644" s="2"/>
      <c r="B1644" s="180" t="s">
        <v>2236</v>
      </c>
      <c r="C1644" s="589">
        <v>0.05</v>
      </c>
      <c r="D1644" s="2" t="s">
        <v>583</v>
      </c>
      <c r="E1644" s="585">
        <f>VLOOKUP(B1644,MATERIALES!B:C,2,0)</f>
        <v>750000</v>
      </c>
      <c r="F1644" s="585"/>
      <c r="G1644" s="585" t="s">
        <v>441</v>
      </c>
      <c r="H1644" s="585"/>
      <c r="I1644" s="585">
        <f>+E1644*C1644</f>
        <v>37500</v>
      </c>
    </row>
    <row r="1645" spans="1:9">
      <c r="A1645" s="587" t="s">
        <v>190</v>
      </c>
      <c r="B1645" s="588">
        <f>SUM(G1645:I1645)</f>
        <v>3513500</v>
      </c>
      <c r="C1645" s="589"/>
      <c r="D1645" s="601"/>
      <c r="E1645" s="585" t="s">
        <v>441</v>
      </c>
      <c r="F1645" s="585">
        <v>0</v>
      </c>
      <c r="G1645" s="585">
        <f>SUM(G1642:G1644)</f>
        <v>3476000</v>
      </c>
      <c r="H1645" s="585">
        <f>SUM(H1644:H1644)</f>
        <v>0</v>
      </c>
      <c r="I1645" s="585">
        <f>SUM(I1644:I1644)</f>
        <v>37500</v>
      </c>
    </row>
    <row r="1646" spans="1:9">
      <c r="A1646" s="21" t="s">
        <v>3708</v>
      </c>
      <c r="B1646" s="39">
        <f>+B1645*AIU</f>
        <v>1039020.989933196</v>
      </c>
      <c r="C1646" s="589"/>
      <c r="D1646" s="13"/>
      <c r="E1646" s="170"/>
      <c r="F1646" s="170"/>
      <c r="G1646" s="170"/>
      <c r="H1646" s="170"/>
      <c r="I1646" s="170"/>
    </row>
    <row r="1647" spans="1:9">
      <c r="A1647" s="587" t="s">
        <v>191</v>
      </c>
      <c r="B1647" s="39">
        <f>SUM(B1645:B1646)</f>
        <v>4552520.9899331965</v>
      </c>
      <c r="C1647" s="589" t="s">
        <v>363</v>
      </c>
      <c r="D1647" s="13"/>
      <c r="E1647" s="170"/>
      <c r="F1647" s="170"/>
      <c r="G1647" s="170"/>
      <c r="H1647" s="170"/>
      <c r="I1647" s="170"/>
    </row>
    <row r="1648" spans="1:9">
      <c r="A1648" s="471"/>
      <c r="B1648" s="602"/>
      <c r="C1648" s="603"/>
      <c r="D1648" s="13"/>
      <c r="E1648" s="170"/>
      <c r="F1648" s="170"/>
      <c r="G1648" s="170"/>
      <c r="H1648" s="170"/>
      <c r="I1648" s="170"/>
    </row>
    <row r="1649" spans="1:9" ht="45.75" customHeight="1">
      <c r="A1649" s="594" t="s">
        <v>441</v>
      </c>
      <c r="B1649" s="3547" t="s">
        <v>3724</v>
      </c>
      <c r="C1649" s="3548"/>
      <c r="D1649" s="3548"/>
      <c r="E1649" s="3548"/>
      <c r="F1649" s="3548"/>
      <c r="G1649" s="3548"/>
      <c r="H1649" s="3548"/>
      <c r="I1649" s="3549"/>
    </row>
    <row r="1650" spans="1:9">
      <c r="A1650" s="243" t="s">
        <v>1520</v>
      </c>
      <c r="B1650" s="179" t="s">
        <v>1521</v>
      </c>
      <c r="C1650" s="589" t="s">
        <v>140</v>
      </c>
      <c r="D1650" s="2" t="s">
        <v>343</v>
      </c>
      <c r="E1650" s="585" t="s">
        <v>344</v>
      </c>
      <c r="F1650" s="585" t="s">
        <v>482</v>
      </c>
      <c r="G1650" s="585" t="s">
        <v>483</v>
      </c>
      <c r="H1650" s="585" t="s">
        <v>232</v>
      </c>
      <c r="I1650" s="585" t="s">
        <v>171</v>
      </c>
    </row>
    <row r="1651" spans="1:9" ht="33.6">
      <c r="A1651" s="243"/>
      <c r="B1651" s="604" t="s">
        <v>1814</v>
      </c>
      <c r="C1651" s="583">
        <v>6</v>
      </c>
      <c r="D1651" s="6" t="s">
        <v>363</v>
      </c>
      <c r="E1651" s="585">
        <v>150000</v>
      </c>
      <c r="F1651" s="65"/>
      <c r="G1651" s="65"/>
      <c r="H1651" s="65">
        <f>+C1651*E1651</f>
        <v>900000</v>
      </c>
      <c r="I1651" s="65"/>
    </row>
    <row r="1652" spans="1:9">
      <c r="A1652" s="2"/>
      <c r="B1652" s="18" t="s">
        <v>189</v>
      </c>
      <c r="C1652" s="589">
        <v>1</v>
      </c>
      <c r="D1652" s="6" t="s">
        <v>583</v>
      </c>
      <c r="E1652" s="585">
        <f>0.05*H1651</f>
        <v>45000</v>
      </c>
      <c r="F1652" s="585"/>
      <c r="G1652" s="585" t="s">
        <v>441</v>
      </c>
      <c r="H1652" s="585"/>
      <c r="I1652" s="585">
        <f>+E1652*C1652</f>
        <v>45000</v>
      </c>
    </row>
    <row r="1653" spans="1:9">
      <c r="A1653" s="587" t="s">
        <v>190</v>
      </c>
      <c r="B1653" s="588">
        <f>SUM(G1653:I1653)</f>
        <v>945000</v>
      </c>
      <c r="C1653" s="589"/>
      <c r="D1653" s="601"/>
      <c r="E1653" s="585" t="s">
        <v>441</v>
      </c>
      <c r="F1653" s="585">
        <v>0</v>
      </c>
      <c r="G1653" s="585">
        <f>SUM(G1651:G1652)</f>
        <v>0</v>
      </c>
      <c r="H1653" s="585">
        <f>SUM(H1651:H1652)</f>
        <v>900000</v>
      </c>
      <c r="I1653" s="585">
        <f>SUM(I1652:I1652)</f>
        <v>45000</v>
      </c>
    </row>
    <row r="1654" spans="1:9">
      <c r="A1654" s="21" t="s">
        <v>3708</v>
      </c>
      <c r="B1654" s="39">
        <f>+B1653*AIU</f>
        <v>279457.75878379686</v>
      </c>
      <c r="C1654" s="589"/>
      <c r="D1654" s="13"/>
      <c r="E1654" s="170"/>
      <c r="F1654" s="170"/>
      <c r="G1654" s="170"/>
      <c r="H1654" s="170"/>
      <c r="I1654" s="170"/>
    </row>
    <row r="1655" spans="1:9">
      <c r="A1655" s="587" t="s">
        <v>191</v>
      </c>
      <c r="B1655" s="39">
        <f>SUM(B1653:B1654)</f>
        <v>1224457.7587837968</v>
      </c>
      <c r="C1655" s="589" t="s">
        <v>363</v>
      </c>
      <c r="D1655" s="13"/>
      <c r="E1655" s="170"/>
      <c r="F1655" s="170"/>
      <c r="G1655" s="170"/>
      <c r="H1655" s="170"/>
      <c r="I1655" s="170"/>
    </row>
    <row r="1656" spans="1:9">
      <c r="A1656" s="471"/>
      <c r="B1656" s="602"/>
      <c r="C1656" s="603"/>
      <c r="D1656" s="13"/>
      <c r="E1656" s="170"/>
      <c r="F1656" s="170"/>
      <c r="G1656" s="170"/>
      <c r="H1656" s="170"/>
      <c r="I1656" s="170"/>
    </row>
    <row r="1657" spans="1:9" ht="78.75" customHeight="1">
      <c r="A1657" s="594" t="s">
        <v>441</v>
      </c>
      <c r="B1657" s="3547" t="s">
        <v>3725</v>
      </c>
      <c r="C1657" s="3548"/>
      <c r="D1657" s="3548"/>
      <c r="E1657" s="3548"/>
      <c r="F1657" s="3548"/>
      <c r="G1657" s="3548"/>
      <c r="H1657" s="3548"/>
      <c r="I1657" s="3549"/>
    </row>
    <row r="1658" spans="1:9">
      <c r="A1658" s="243" t="s">
        <v>1520</v>
      </c>
      <c r="B1658" s="179" t="s">
        <v>1521</v>
      </c>
      <c r="C1658" s="589" t="s">
        <v>140</v>
      </c>
      <c r="D1658" s="2" t="s">
        <v>343</v>
      </c>
      <c r="E1658" s="585" t="s">
        <v>344</v>
      </c>
      <c r="F1658" s="585" t="s">
        <v>482</v>
      </c>
      <c r="G1658" s="585" t="s">
        <v>483</v>
      </c>
      <c r="H1658" s="585" t="s">
        <v>232</v>
      </c>
      <c r="I1658" s="585" t="s">
        <v>171</v>
      </c>
    </row>
    <row r="1659" spans="1:9" ht="41.4">
      <c r="A1659" s="2" t="s">
        <v>1890</v>
      </c>
      <c r="B1659" s="545" t="s">
        <v>1891</v>
      </c>
      <c r="C1659" s="589">
        <v>1</v>
      </c>
      <c r="D1659" s="6" t="s">
        <v>363</v>
      </c>
      <c r="E1659" s="585">
        <f>VLOOKUP(B1659,MATERIALES!B:C,2,0)</f>
        <v>3550000</v>
      </c>
      <c r="F1659" s="585"/>
      <c r="G1659" s="585">
        <f>+C1659*E1659</f>
        <v>3550000</v>
      </c>
      <c r="H1659" s="585"/>
      <c r="I1659" s="585"/>
    </row>
    <row r="1660" spans="1:9">
      <c r="A1660" s="243"/>
      <c r="B1660" s="536" t="s">
        <v>1719</v>
      </c>
      <c r="C1660" s="583">
        <v>1</v>
      </c>
      <c r="D1660" s="6" t="s">
        <v>363</v>
      </c>
      <c r="E1660" s="585">
        <f>VLOOKUP(B1660,MATERIALES!B:C,2,0)</f>
        <v>176000</v>
      </c>
      <c r="F1660" s="65"/>
      <c r="G1660" s="65">
        <f>+C1660*E1660</f>
        <v>176000</v>
      </c>
      <c r="H1660" s="17"/>
      <c r="I1660" s="65"/>
    </row>
    <row r="1661" spans="1:9">
      <c r="A1661" s="2"/>
      <c r="B1661" s="180" t="s">
        <v>2236</v>
      </c>
      <c r="C1661" s="589">
        <v>0.05</v>
      </c>
      <c r="D1661" s="2" t="s">
        <v>583</v>
      </c>
      <c r="E1661" s="585">
        <f>VLOOKUP(B1661,MATERIALES!B:C,2,0)</f>
        <v>750000</v>
      </c>
      <c r="F1661" s="585"/>
      <c r="G1661" s="585" t="s">
        <v>441</v>
      </c>
      <c r="H1661" s="585"/>
      <c r="I1661" s="585">
        <f>+E1661*C1661</f>
        <v>37500</v>
      </c>
    </row>
    <row r="1662" spans="1:9">
      <c r="A1662" s="587" t="s">
        <v>190</v>
      </c>
      <c r="B1662" s="588">
        <f>SUM(G1662:I1662)</f>
        <v>3763500</v>
      </c>
      <c r="C1662" s="589"/>
      <c r="D1662" s="601"/>
      <c r="E1662" s="585" t="s">
        <v>441</v>
      </c>
      <c r="F1662" s="585">
        <v>0</v>
      </c>
      <c r="G1662" s="585">
        <f>SUM(G1659:G1661)</f>
        <v>3726000</v>
      </c>
      <c r="H1662" s="585">
        <f>SUM(H1661:H1661)</f>
        <v>0</v>
      </c>
      <c r="I1662" s="585">
        <f>SUM(I1661:I1661)</f>
        <v>37500</v>
      </c>
    </row>
    <row r="1663" spans="1:9">
      <c r="A1663" s="21" t="s">
        <v>3708</v>
      </c>
      <c r="B1663" s="39">
        <f>+B1662*AIU</f>
        <v>1112951.6139500735</v>
      </c>
      <c r="C1663" s="589"/>
      <c r="D1663" s="13"/>
      <c r="E1663" s="170"/>
      <c r="F1663" s="170"/>
      <c r="G1663" s="170"/>
      <c r="H1663" s="170"/>
      <c r="I1663" s="170"/>
    </row>
    <row r="1664" spans="1:9">
      <c r="A1664" s="587" t="s">
        <v>191</v>
      </c>
      <c r="B1664" s="39">
        <f>SUM(B1662:B1663)</f>
        <v>4876451.6139500737</v>
      </c>
      <c r="C1664" s="589" t="s">
        <v>363</v>
      </c>
      <c r="D1664" s="13"/>
      <c r="E1664" s="170"/>
      <c r="F1664" s="170"/>
      <c r="G1664" s="170"/>
      <c r="H1664" s="170"/>
      <c r="I1664" s="170"/>
    </row>
    <row r="1665" spans="1:9">
      <c r="A1665" s="471"/>
      <c r="B1665" s="602"/>
      <c r="C1665" s="603"/>
      <c r="D1665" s="13"/>
      <c r="E1665" s="170"/>
      <c r="F1665" s="170"/>
      <c r="G1665" s="170"/>
      <c r="H1665" s="170"/>
      <c r="I1665" s="170"/>
    </row>
    <row r="1666" spans="1:9">
      <c r="A1666" s="594" t="s">
        <v>441</v>
      </c>
      <c r="B1666" s="3547" t="s">
        <v>3726</v>
      </c>
      <c r="C1666" s="3548"/>
      <c r="D1666" s="3548"/>
      <c r="E1666" s="3548"/>
      <c r="F1666" s="3548"/>
      <c r="G1666" s="3548"/>
      <c r="H1666" s="3548"/>
      <c r="I1666" s="3549"/>
    </row>
    <row r="1667" spans="1:9">
      <c r="A1667" s="243" t="s">
        <v>1520</v>
      </c>
      <c r="B1667" s="179" t="s">
        <v>1521</v>
      </c>
      <c r="C1667" s="589" t="s">
        <v>140</v>
      </c>
      <c r="D1667" s="2" t="s">
        <v>343</v>
      </c>
      <c r="E1667" s="585" t="s">
        <v>344</v>
      </c>
      <c r="F1667" s="585" t="s">
        <v>482</v>
      </c>
      <c r="G1667" s="585" t="s">
        <v>483</v>
      </c>
      <c r="H1667" s="585" t="s">
        <v>232</v>
      </c>
      <c r="I1667" s="585" t="s">
        <v>171</v>
      </c>
    </row>
    <row r="1668" spans="1:9" ht="33.6">
      <c r="A1668" s="243"/>
      <c r="B1668" s="604" t="s">
        <v>1814</v>
      </c>
      <c r="C1668" s="583">
        <v>2</v>
      </c>
      <c r="D1668" s="6" t="s">
        <v>363</v>
      </c>
      <c r="E1668" s="585">
        <v>150000</v>
      </c>
      <c r="F1668" s="65"/>
      <c r="G1668" s="65"/>
      <c r="H1668" s="65">
        <f>+C1668*E1668</f>
        <v>300000</v>
      </c>
      <c r="I1668" s="65"/>
    </row>
    <row r="1669" spans="1:9">
      <c r="A1669" s="2"/>
      <c r="B1669" s="18" t="s">
        <v>189</v>
      </c>
      <c r="C1669" s="589">
        <v>1</v>
      </c>
      <c r="D1669" s="6" t="s">
        <v>583</v>
      </c>
      <c r="E1669" s="585">
        <f>0.05*H1668</f>
        <v>15000</v>
      </c>
      <c r="F1669" s="585"/>
      <c r="G1669" s="585" t="s">
        <v>441</v>
      </c>
      <c r="H1669" s="585"/>
      <c r="I1669" s="585">
        <f>+E1669*C1669</f>
        <v>15000</v>
      </c>
    </row>
    <row r="1670" spans="1:9">
      <c r="A1670" s="587" t="s">
        <v>190</v>
      </c>
      <c r="B1670" s="588">
        <f>SUM(G1670:I1670)</f>
        <v>315000</v>
      </c>
      <c r="C1670" s="589"/>
      <c r="D1670" s="601"/>
      <c r="E1670" s="585" t="s">
        <v>441</v>
      </c>
      <c r="F1670" s="585">
        <v>0</v>
      </c>
      <c r="G1670" s="585">
        <f>SUM(G1668:G1669)</f>
        <v>0</v>
      </c>
      <c r="H1670" s="585">
        <f>SUM(H1668:H1669)</f>
        <v>300000</v>
      </c>
      <c r="I1670" s="585">
        <f>SUM(I1669:I1669)</f>
        <v>15000</v>
      </c>
    </row>
    <row r="1671" spans="1:9">
      <c r="A1671" s="21" t="s">
        <v>3708</v>
      </c>
      <c r="B1671" s="39">
        <f>+B1670*AIU</f>
        <v>93152.58626126562</v>
      </c>
      <c r="C1671" s="589"/>
      <c r="D1671" s="13"/>
      <c r="E1671" s="170"/>
      <c r="F1671" s="170"/>
      <c r="G1671" s="170"/>
      <c r="H1671" s="170"/>
      <c r="I1671" s="170"/>
    </row>
    <row r="1672" spans="1:9">
      <c r="A1672" s="587" t="s">
        <v>191</v>
      </c>
      <c r="B1672" s="39">
        <f>SUM(B1670:B1671)</f>
        <v>408152.58626126562</v>
      </c>
      <c r="C1672" s="589" t="s">
        <v>363</v>
      </c>
      <c r="D1672" s="13"/>
      <c r="E1672" s="170"/>
      <c r="F1672" s="170"/>
      <c r="G1672" s="170"/>
      <c r="H1672" s="170"/>
      <c r="I1672" s="170"/>
    </row>
    <row r="1673" spans="1:9">
      <c r="A1673" s="471"/>
      <c r="B1673" s="602"/>
      <c r="C1673" s="603"/>
      <c r="D1673" s="13"/>
      <c r="E1673" s="170"/>
      <c r="F1673" s="170"/>
      <c r="G1673" s="170"/>
      <c r="H1673" s="170"/>
      <c r="I1673" s="170"/>
    </row>
    <row r="1674" spans="1:9">
      <c r="A1674" s="594" t="s">
        <v>441</v>
      </c>
      <c r="B1674" s="3547" t="s">
        <v>3727</v>
      </c>
      <c r="C1674" s="3548"/>
      <c r="D1674" s="3548"/>
      <c r="E1674" s="3548"/>
      <c r="F1674" s="3548"/>
      <c r="G1674" s="3548"/>
      <c r="H1674" s="3548"/>
      <c r="I1674" s="3549"/>
    </row>
    <row r="1675" spans="1:9">
      <c r="A1675" s="243" t="s">
        <v>1520</v>
      </c>
      <c r="B1675" s="179" t="s">
        <v>1521</v>
      </c>
      <c r="C1675" s="583" t="s">
        <v>140</v>
      </c>
      <c r="D1675" s="243" t="s">
        <v>343</v>
      </c>
      <c r="E1675" s="584" t="s">
        <v>344</v>
      </c>
      <c r="F1675" s="65" t="s">
        <v>482</v>
      </c>
      <c r="G1675" s="65" t="s">
        <v>483</v>
      </c>
      <c r="H1675" s="65" t="s">
        <v>232</v>
      </c>
      <c r="I1675" s="65" t="s">
        <v>171</v>
      </c>
    </row>
    <row r="1676" spans="1:9" ht="26.4">
      <c r="A1676" s="530" t="s">
        <v>2114</v>
      </c>
      <c r="B1676" s="531" t="s">
        <v>2115</v>
      </c>
      <c r="C1676" s="583">
        <v>1</v>
      </c>
      <c r="D1676" s="160" t="s">
        <v>363</v>
      </c>
      <c r="E1676" s="585">
        <f>VLOOKUP(B1676,MATERIALES!B:C,2,0)</f>
        <v>202276.19999999998</v>
      </c>
      <c r="F1676" s="65"/>
      <c r="G1676" s="585">
        <f>+C1676*E1676</f>
        <v>202276.19999999998</v>
      </c>
      <c r="H1676" s="65"/>
      <c r="I1676" s="65"/>
    </row>
    <row r="1677" spans="1:9">
      <c r="A1677" s="243" t="s">
        <v>1526</v>
      </c>
      <c r="B1677" s="179" t="s">
        <v>1655</v>
      </c>
      <c r="C1677" s="583">
        <v>12</v>
      </c>
      <c r="D1677" s="160" t="s">
        <v>363</v>
      </c>
      <c r="E1677" s="585">
        <f>VLOOKUP(B1677,MATERIALES!B:C,2,0)</f>
        <v>9026.15</v>
      </c>
      <c r="F1677" s="65"/>
      <c r="G1677" s="585">
        <f>+C1677*E1677</f>
        <v>108313.79999999999</v>
      </c>
      <c r="H1677" s="65"/>
      <c r="I1677" s="65"/>
    </row>
    <row r="1678" spans="1:9">
      <c r="A1678" s="243" t="s">
        <v>584</v>
      </c>
      <c r="B1678" s="180" t="s">
        <v>2236</v>
      </c>
      <c r="C1678" s="583">
        <v>2.8571428571428558E-3</v>
      </c>
      <c r="D1678" s="243" t="s">
        <v>583</v>
      </c>
      <c r="E1678" s="585">
        <f>VLOOKUP(B1678,MATERIALES!B:C,2,0)</f>
        <v>750000</v>
      </c>
      <c r="F1678" s="65"/>
      <c r="G1678" s="65"/>
      <c r="H1678" s="65"/>
      <c r="I1678" s="65">
        <v>2142.8571428571418</v>
      </c>
    </row>
    <row r="1679" spans="1:9">
      <c r="A1679" s="587" t="s">
        <v>190</v>
      </c>
      <c r="B1679" s="588">
        <f>SUM(G1679:I1679)</f>
        <v>312732.85714285716</v>
      </c>
      <c r="C1679" s="583"/>
      <c r="D1679" s="169"/>
      <c r="E1679" s="585"/>
      <c r="F1679" s="65">
        <v>0</v>
      </c>
      <c r="G1679" s="65">
        <f>SUM(G1676:G1677)</f>
        <v>310590</v>
      </c>
      <c r="H1679" s="65" t="s">
        <v>441</v>
      </c>
      <c r="I1679" s="65">
        <f>SUM(I1678:I1678)</f>
        <v>2142.8571428571418</v>
      </c>
    </row>
    <row r="1680" spans="1:9">
      <c r="A1680" s="21" t="s">
        <v>3708</v>
      </c>
      <c r="B1680" s="39">
        <f>+B1679*AIU</f>
        <v>92482.14111660971</v>
      </c>
      <c r="C1680" s="589"/>
      <c r="D1680" s="31"/>
      <c r="E1680" s="170"/>
      <c r="F1680" s="590"/>
      <c r="G1680" s="590"/>
      <c r="H1680" s="590"/>
      <c r="I1680" s="590"/>
    </row>
    <row r="1681" spans="1:9">
      <c r="A1681" s="587" t="s">
        <v>191</v>
      </c>
      <c r="B1681" s="39">
        <f>SUM(B1679:B1680)</f>
        <v>405214.99825946684</v>
      </c>
      <c r="C1681" s="591" t="s">
        <v>363</v>
      </c>
      <c r="D1681" s="13"/>
      <c r="E1681" s="170"/>
      <c r="F1681" s="170"/>
      <c r="G1681" s="170"/>
      <c r="H1681" s="170"/>
      <c r="I1681" s="170"/>
    </row>
    <row r="1682" spans="1:9">
      <c r="A1682" s="596"/>
      <c r="B1682" s="597"/>
      <c r="C1682" s="598"/>
      <c r="D1682" s="596"/>
      <c r="E1682" s="599"/>
      <c r="F1682" s="599"/>
      <c r="G1682" s="599"/>
      <c r="H1682" s="599"/>
      <c r="I1682" s="599"/>
    </row>
    <row r="1683" spans="1:9">
      <c r="A1683" s="594" t="s">
        <v>441</v>
      </c>
      <c r="B1683" s="3547" t="s">
        <v>1356</v>
      </c>
      <c r="C1683" s="3548"/>
      <c r="D1683" s="3548"/>
      <c r="E1683" s="3548"/>
      <c r="F1683" s="3548"/>
      <c r="G1683" s="3548"/>
      <c r="H1683" s="3548"/>
      <c r="I1683" s="3549"/>
    </row>
    <row r="1684" spans="1:9">
      <c r="A1684" s="243" t="s">
        <v>1520</v>
      </c>
      <c r="B1684" s="179" t="s">
        <v>1521</v>
      </c>
      <c r="C1684" s="583" t="s">
        <v>140</v>
      </c>
      <c r="D1684" s="243" t="s">
        <v>343</v>
      </c>
      <c r="E1684" s="584" t="s">
        <v>344</v>
      </c>
      <c r="F1684" s="65" t="s">
        <v>482</v>
      </c>
      <c r="G1684" s="65" t="s">
        <v>483</v>
      </c>
      <c r="H1684" s="65" t="s">
        <v>232</v>
      </c>
      <c r="I1684" s="65" t="s">
        <v>171</v>
      </c>
    </row>
    <row r="1685" spans="1:9">
      <c r="A1685" s="243" t="s">
        <v>345</v>
      </c>
      <c r="B1685" s="592" t="s">
        <v>1997</v>
      </c>
      <c r="C1685" s="583">
        <v>4</v>
      </c>
      <c r="D1685" s="243" t="s">
        <v>346</v>
      </c>
      <c r="E1685" s="585">
        <f>VLOOKUP(B1685,MATERIALES!B:C,2,0)</f>
        <v>56105.478000000003</v>
      </c>
      <c r="F1685" s="65"/>
      <c r="G1685" s="65"/>
      <c r="H1685" s="65">
        <f>+C1685*E1685</f>
        <v>224421.91200000001</v>
      </c>
      <c r="I1685" s="65"/>
    </row>
    <row r="1686" spans="1:9">
      <c r="A1686" s="243" t="s">
        <v>347</v>
      </c>
      <c r="B1686" s="592" t="s">
        <v>1576</v>
      </c>
      <c r="C1686" s="583">
        <v>1</v>
      </c>
      <c r="D1686" s="243" t="s">
        <v>346</v>
      </c>
      <c r="E1686" s="585">
        <f>VLOOKUP(B1686,MATERIALES!B:C,2,0)</f>
        <v>42079.108500000002</v>
      </c>
      <c r="F1686" s="65"/>
      <c r="G1686" s="65"/>
      <c r="H1686" s="65">
        <f>+C1686*E1686</f>
        <v>42079.108500000002</v>
      </c>
      <c r="I1686" s="65"/>
    </row>
    <row r="1687" spans="1:9">
      <c r="A1687" s="243" t="s">
        <v>172</v>
      </c>
      <c r="B1687" s="179" t="s">
        <v>189</v>
      </c>
      <c r="C1687" s="583">
        <v>1</v>
      </c>
      <c r="D1687" s="160" t="s">
        <v>583</v>
      </c>
      <c r="E1687" s="585">
        <f>0.05*H1688</f>
        <v>13325.051025000001</v>
      </c>
      <c r="F1687" s="65"/>
      <c r="G1687" s="65"/>
      <c r="H1687" s="65"/>
      <c r="I1687" s="65">
        <v>7334.0494117647077</v>
      </c>
    </row>
    <row r="1688" spans="1:9">
      <c r="A1688" s="587" t="s">
        <v>190</v>
      </c>
      <c r="B1688" s="588">
        <f>SUM(G1688:I1688)</f>
        <v>273835.0699117647</v>
      </c>
      <c r="C1688" s="583"/>
      <c r="D1688" s="169"/>
      <c r="E1688" s="585"/>
      <c r="F1688" s="65">
        <v>0</v>
      </c>
      <c r="G1688" s="65" t="s">
        <v>441</v>
      </c>
      <c r="H1688" s="65">
        <f>SUM(H1685:H1686)</f>
        <v>266501.02049999998</v>
      </c>
      <c r="I1688" s="65">
        <f>SUM(I1687:I1687)</f>
        <v>7334.0494117647077</v>
      </c>
    </row>
    <row r="1689" spans="1:9">
      <c r="A1689" s="21" t="s">
        <v>3708</v>
      </c>
      <c r="B1689" s="39">
        <f>+B1688*AIU</f>
        <v>80979.190385128139</v>
      </c>
      <c r="C1689" s="589"/>
      <c r="D1689" s="31"/>
      <c r="E1689" s="170"/>
      <c r="F1689" s="590"/>
      <c r="G1689" s="590"/>
      <c r="H1689" s="590"/>
      <c r="I1689" s="590"/>
    </row>
    <row r="1690" spans="1:9">
      <c r="A1690" s="587" t="s">
        <v>191</v>
      </c>
      <c r="B1690" s="39">
        <f>SUM(B1688:B1689)</f>
        <v>354814.26029689284</v>
      </c>
      <c r="C1690" s="591" t="s">
        <v>363</v>
      </c>
      <c r="D1690" s="13"/>
      <c r="E1690" s="170"/>
      <c r="F1690" s="170"/>
      <c r="G1690" s="170"/>
      <c r="H1690" s="170"/>
      <c r="I1690" s="170"/>
    </row>
    <row r="1691" spans="1:9">
      <c r="A1691" s="596"/>
      <c r="B1691" s="597"/>
      <c r="C1691" s="598"/>
      <c r="D1691" s="596"/>
      <c r="E1691" s="599"/>
      <c r="F1691" s="599"/>
      <c r="G1691" s="599"/>
      <c r="H1691" s="599"/>
      <c r="I1691" s="599"/>
    </row>
    <row r="1692" spans="1:9">
      <c r="A1692" s="594" t="s">
        <v>441</v>
      </c>
      <c r="B1692" s="3547" t="s">
        <v>3728</v>
      </c>
      <c r="C1692" s="3548"/>
      <c r="D1692" s="3548"/>
      <c r="E1692" s="3548"/>
      <c r="F1692" s="3548"/>
      <c r="G1692" s="3548"/>
      <c r="H1692" s="3548"/>
      <c r="I1692" s="3549"/>
    </row>
    <row r="1693" spans="1:9">
      <c r="A1693" s="243" t="s">
        <v>1520</v>
      </c>
      <c r="B1693" s="179" t="s">
        <v>1521</v>
      </c>
      <c r="C1693" s="583" t="s">
        <v>140</v>
      </c>
      <c r="D1693" s="243" t="s">
        <v>343</v>
      </c>
      <c r="E1693" s="585" t="s">
        <v>344</v>
      </c>
      <c r="F1693" s="65" t="s">
        <v>482</v>
      </c>
      <c r="G1693" s="65" t="s">
        <v>483</v>
      </c>
      <c r="H1693" s="65" t="s">
        <v>232</v>
      </c>
      <c r="I1693" s="65" t="s">
        <v>171</v>
      </c>
    </row>
    <row r="1694" spans="1:9">
      <c r="A1694" s="530" t="s">
        <v>1926</v>
      </c>
      <c r="B1694" s="534" t="s">
        <v>1927</v>
      </c>
      <c r="C1694" s="583">
        <v>1</v>
      </c>
      <c r="D1694" s="160" t="s">
        <v>363</v>
      </c>
      <c r="E1694" s="585">
        <f>VLOOKUP(B1694,MATERIALES!B:C,2,0)</f>
        <v>50277.5</v>
      </c>
      <c r="F1694" s="65"/>
      <c r="G1694" s="585">
        <f>+C1694*E1694</f>
        <v>50277.5</v>
      </c>
      <c r="H1694" s="65"/>
      <c r="I1694" s="65"/>
    </row>
    <row r="1695" spans="1:9">
      <c r="A1695" s="243" t="s">
        <v>584</v>
      </c>
      <c r="B1695" s="180" t="s">
        <v>2236</v>
      </c>
      <c r="C1695" s="595">
        <v>2.2857142857143058E-3</v>
      </c>
      <c r="D1695" s="243" t="s">
        <v>583</v>
      </c>
      <c r="E1695" s="585">
        <f>VLOOKUP(B1695,MATERIALES!B:C,2,0)</f>
        <v>750000</v>
      </c>
      <c r="F1695" s="65"/>
      <c r="G1695" s="65"/>
      <c r="H1695" s="65"/>
      <c r="I1695" s="65">
        <f>+E1695*C1695</f>
        <v>1714.2857142857295</v>
      </c>
    </row>
    <row r="1696" spans="1:9">
      <c r="A1696" s="587" t="s">
        <v>190</v>
      </c>
      <c r="B1696" s="588">
        <f>SUM(G1696:I1696)</f>
        <v>51991.785714285732</v>
      </c>
      <c r="C1696" s="583"/>
      <c r="D1696" s="169"/>
      <c r="E1696" s="585"/>
      <c r="F1696" s="65">
        <v>0</v>
      </c>
      <c r="G1696" s="65">
        <f>SUM(G1694)</f>
        <v>50277.5</v>
      </c>
      <c r="H1696" s="65">
        <f>SUM(H1695:H1695)</f>
        <v>0</v>
      </c>
      <c r="I1696" s="65">
        <f>SUM(I1695:I1695)</f>
        <v>1714.2857142857295</v>
      </c>
    </row>
    <row r="1697" spans="1:9">
      <c r="A1697" s="21" t="s">
        <v>3708</v>
      </c>
      <c r="B1697" s="39">
        <f>+B1696*AIU</f>
        <v>15375.140646435679</v>
      </c>
      <c r="C1697" s="589"/>
      <c r="D1697" s="31"/>
      <c r="E1697" s="170"/>
      <c r="F1697" s="590"/>
      <c r="G1697" s="590"/>
      <c r="H1697" s="590"/>
      <c r="I1697" s="590"/>
    </row>
    <row r="1698" spans="1:9">
      <c r="A1698" s="587" t="s">
        <v>191</v>
      </c>
      <c r="B1698" s="39">
        <f>SUM(B1696:B1697)</f>
        <v>67366.926360721409</v>
      </c>
      <c r="C1698" s="591" t="s">
        <v>363</v>
      </c>
      <c r="D1698" s="13"/>
      <c r="E1698" s="170"/>
      <c r="F1698" s="170"/>
      <c r="G1698" s="170"/>
      <c r="H1698" s="170"/>
      <c r="I1698" s="170"/>
    </row>
    <row r="1699" spans="1:9">
      <c r="A1699" s="596"/>
      <c r="B1699" s="597"/>
      <c r="C1699" s="598"/>
      <c r="D1699" s="596"/>
      <c r="E1699" s="599"/>
      <c r="F1699" s="599"/>
      <c r="G1699" s="599"/>
      <c r="H1699" s="599"/>
      <c r="I1699" s="599"/>
    </row>
    <row r="1700" spans="1:9">
      <c r="A1700" s="594" t="s">
        <v>441</v>
      </c>
      <c r="B1700" s="3547" t="s">
        <v>3729</v>
      </c>
      <c r="C1700" s="3548"/>
      <c r="D1700" s="3548"/>
      <c r="E1700" s="3548"/>
      <c r="F1700" s="3548"/>
      <c r="G1700" s="3548"/>
      <c r="H1700" s="3548"/>
      <c r="I1700" s="3549"/>
    </row>
    <row r="1701" spans="1:9">
      <c r="A1701" s="243" t="s">
        <v>1520</v>
      </c>
      <c r="B1701" s="179" t="s">
        <v>1521</v>
      </c>
      <c r="C1701" s="583" t="s">
        <v>140</v>
      </c>
      <c r="D1701" s="243" t="s">
        <v>343</v>
      </c>
      <c r="E1701" s="585" t="s">
        <v>344</v>
      </c>
      <c r="F1701" s="65" t="s">
        <v>482</v>
      </c>
      <c r="G1701" s="65" t="s">
        <v>483</v>
      </c>
      <c r="H1701" s="65" t="s">
        <v>232</v>
      </c>
      <c r="I1701" s="65" t="s">
        <v>171</v>
      </c>
    </row>
    <row r="1702" spans="1:9">
      <c r="A1702" s="243" t="s">
        <v>345</v>
      </c>
      <c r="B1702" s="592" t="s">
        <v>1997</v>
      </c>
      <c r="C1702" s="583">
        <v>0.5</v>
      </c>
      <c r="D1702" s="243" t="s">
        <v>346</v>
      </c>
      <c r="E1702" s="585">
        <f>VLOOKUP(B1702,MATERIALES!B:C,2,0)</f>
        <v>56105.478000000003</v>
      </c>
      <c r="F1702" s="65"/>
      <c r="G1702" s="65"/>
      <c r="H1702" s="65">
        <f>+E1702*C1702</f>
        <v>28052.739000000001</v>
      </c>
      <c r="I1702" s="65"/>
    </row>
    <row r="1703" spans="1:9">
      <c r="A1703" s="243" t="s">
        <v>347</v>
      </c>
      <c r="B1703" s="592" t="s">
        <v>1576</v>
      </c>
      <c r="C1703" s="583">
        <v>0.5</v>
      </c>
      <c r="D1703" s="243" t="s">
        <v>346</v>
      </c>
      <c r="E1703" s="585">
        <f>VLOOKUP(B1703,MATERIALES!B:C,2,0)</f>
        <v>42079.108500000002</v>
      </c>
      <c r="F1703" s="65"/>
      <c r="G1703" s="65"/>
      <c r="H1703" s="65">
        <f>+E1703*C1703</f>
        <v>21039.554250000001</v>
      </c>
      <c r="I1703" s="65"/>
    </row>
    <row r="1704" spans="1:9">
      <c r="A1704" s="243" t="s">
        <v>172</v>
      </c>
      <c r="B1704" s="179" t="s">
        <v>189</v>
      </c>
      <c r="C1704" s="583">
        <v>1</v>
      </c>
      <c r="D1704" s="160" t="s">
        <v>583</v>
      </c>
      <c r="E1704" s="585">
        <f>0.05*H1705</f>
        <v>2454.6146625000001</v>
      </c>
      <c r="F1704" s="65"/>
      <c r="G1704" s="65"/>
      <c r="H1704" s="65"/>
      <c r="I1704" s="65">
        <f>+E1704*C1704</f>
        <v>2454.6146625000001</v>
      </c>
    </row>
    <row r="1705" spans="1:9">
      <c r="A1705" s="587" t="s">
        <v>190</v>
      </c>
      <c r="B1705" s="588">
        <f>SUM(G1705:I1705)</f>
        <v>51546.907912499999</v>
      </c>
      <c r="C1705" s="583"/>
      <c r="D1705" s="169"/>
      <c r="E1705" s="585"/>
      <c r="F1705" s="65">
        <v>0</v>
      </c>
      <c r="G1705" s="65" t="s">
        <v>441</v>
      </c>
      <c r="H1705" s="65">
        <f>SUM(H1702:H1704)</f>
        <v>49092.293250000002</v>
      </c>
      <c r="I1705" s="65">
        <f>SUM(I1704:I1704)</f>
        <v>2454.6146625000001</v>
      </c>
    </row>
    <row r="1706" spans="1:9">
      <c r="A1706" s="21" t="s">
        <v>3708</v>
      </c>
      <c r="B1706" s="39">
        <f>+B1705*AIU</f>
        <v>15243.580272446576</v>
      </c>
      <c r="C1706" s="589"/>
      <c r="D1706" s="31"/>
      <c r="E1706" s="170"/>
      <c r="F1706" s="590"/>
      <c r="G1706" s="590"/>
      <c r="H1706" s="590"/>
      <c r="I1706" s="590"/>
    </row>
    <row r="1707" spans="1:9">
      <c r="A1707" s="587" t="s">
        <v>191</v>
      </c>
      <c r="B1707" s="39">
        <f>SUM(B1705:B1706)</f>
        <v>66790.488184946575</v>
      </c>
      <c r="C1707" s="591" t="s">
        <v>363</v>
      </c>
      <c r="D1707" s="13"/>
      <c r="E1707" s="170"/>
      <c r="F1707" s="170"/>
      <c r="G1707" s="170"/>
      <c r="H1707" s="170"/>
      <c r="I1707" s="170"/>
    </row>
    <row r="1708" spans="1:9">
      <c r="A1708" s="596"/>
      <c r="B1708" s="597"/>
      <c r="C1708" s="598"/>
      <c r="D1708" s="596"/>
      <c r="E1708" s="599"/>
      <c r="F1708" s="599"/>
      <c r="G1708" s="599"/>
      <c r="H1708" s="599"/>
      <c r="I1708" s="599"/>
    </row>
    <row r="1709" spans="1:9">
      <c r="A1709" s="594" t="s">
        <v>441</v>
      </c>
      <c r="B1709" s="3547" t="s">
        <v>3730</v>
      </c>
      <c r="C1709" s="3548"/>
      <c r="D1709" s="3548"/>
      <c r="E1709" s="3548"/>
      <c r="F1709" s="3548"/>
      <c r="G1709" s="3548"/>
      <c r="H1709" s="3548"/>
      <c r="I1709" s="3549"/>
    </row>
    <row r="1710" spans="1:9">
      <c r="A1710" s="243" t="s">
        <v>1520</v>
      </c>
      <c r="B1710" s="179" t="s">
        <v>1521</v>
      </c>
      <c r="C1710" s="583" t="s">
        <v>140</v>
      </c>
      <c r="D1710" s="243" t="s">
        <v>343</v>
      </c>
      <c r="E1710" s="584" t="s">
        <v>344</v>
      </c>
      <c r="F1710" s="65" t="s">
        <v>482</v>
      </c>
      <c r="G1710" s="65" t="s">
        <v>483</v>
      </c>
      <c r="H1710" s="65" t="s">
        <v>232</v>
      </c>
      <c r="I1710" s="65" t="s">
        <v>171</v>
      </c>
    </row>
    <row r="1711" spans="1:9">
      <c r="A1711" s="530" t="s">
        <v>2261</v>
      </c>
      <c r="B1711" s="531" t="s">
        <v>2262</v>
      </c>
      <c r="C1711" s="583">
        <v>2</v>
      </c>
      <c r="D1711" s="160" t="s">
        <v>94</v>
      </c>
      <c r="E1711" s="585">
        <f>VLOOKUP(B1711,MATERIALES!B:C,2,0)</f>
        <v>8527.16</v>
      </c>
      <c r="F1711" s="65"/>
      <c r="G1711" s="65">
        <f>+E1711*C1711</f>
        <v>17054.32</v>
      </c>
      <c r="H1711" s="65"/>
      <c r="I1711" s="65"/>
    </row>
    <row r="1712" spans="1:9">
      <c r="A1712" s="530" t="s">
        <v>2279</v>
      </c>
      <c r="B1712" s="531" t="s">
        <v>2280</v>
      </c>
      <c r="C1712" s="589">
        <v>1</v>
      </c>
      <c r="D1712" s="6" t="s">
        <v>363</v>
      </c>
      <c r="E1712" s="585">
        <f>VLOOKUP(B1712,MATERIALES!B:C,2,0)</f>
        <v>522</v>
      </c>
      <c r="F1712" s="585"/>
      <c r="G1712" s="585">
        <f>+C1712*E1712</f>
        <v>522</v>
      </c>
      <c r="H1712" s="585"/>
      <c r="I1712" s="585"/>
    </row>
    <row r="1713" spans="1:9">
      <c r="A1713" s="2"/>
      <c r="B1713" s="18" t="s">
        <v>1757</v>
      </c>
      <c r="C1713" s="589">
        <v>9</v>
      </c>
      <c r="D1713" s="6" t="s">
        <v>94</v>
      </c>
      <c r="E1713" s="585">
        <f>VLOOKUP(B1713,MATERIALES!B:C,2,0)</f>
        <v>1300</v>
      </c>
      <c r="F1713" s="585"/>
      <c r="G1713" s="585">
        <f>+C1713*E1713</f>
        <v>11700</v>
      </c>
      <c r="H1713" s="585"/>
      <c r="I1713" s="585"/>
    </row>
    <row r="1714" spans="1:9">
      <c r="A1714" s="2"/>
      <c r="B1714" s="18" t="s">
        <v>1905</v>
      </c>
      <c r="C1714" s="589">
        <v>3</v>
      </c>
      <c r="D1714" s="6" t="s">
        <v>94</v>
      </c>
      <c r="E1714" s="585">
        <f>VLOOKUP(B1714,MATERIALES!B:C,2,0)</f>
        <v>870</v>
      </c>
      <c r="F1714" s="585"/>
      <c r="G1714" s="585">
        <f>+C1714*E1714</f>
        <v>2610</v>
      </c>
      <c r="H1714" s="585"/>
      <c r="I1714" s="585"/>
    </row>
    <row r="1715" spans="1:9">
      <c r="A1715" s="530" t="s">
        <v>1863</v>
      </c>
      <c r="B1715" s="531" t="s">
        <v>1864</v>
      </c>
      <c r="C1715" s="589">
        <v>1</v>
      </c>
      <c r="D1715" s="6" t="s">
        <v>94</v>
      </c>
      <c r="E1715" s="585">
        <f>VLOOKUP(B1715,MATERIALES!B:C,2,0)</f>
        <v>568.4</v>
      </c>
      <c r="F1715" s="585"/>
      <c r="G1715" s="585">
        <f>+C1715*E1715</f>
        <v>568.4</v>
      </c>
      <c r="H1715" s="585"/>
      <c r="I1715" s="585"/>
    </row>
    <row r="1716" spans="1:9">
      <c r="A1716" s="530" t="s">
        <v>1829</v>
      </c>
      <c r="B1716" s="534" t="s">
        <v>1830</v>
      </c>
      <c r="C1716" s="589">
        <v>1</v>
      </c>
      <c r="D1716" s="6" t="s">
        <v>94</v>
      </c>
      <c r="E1716" s="585">
        <f>VLOOKUP(B1716,MATERIALES!B:C,2,0)</f>
        <v>625</v>
      </c>
      <c r="F1716" s="585"/>
      <c r="G1716" s="585">
        <f>+C1716*E1716</f>
        <v>625</v>
      </c>
      <c r="H1716" s="585"/>
      <c r="I1716" s="585"/>
    </row>
    <row r="1717" spans="1:9">
      <c r="A1717" s="243" t="s">
        <v>584</v>
      </c>
      <c r="B1717" s="180" t="s">
        <v>2236</v>
      </c>
      <c r="C1717" s="595">
        <v>1E-3</v>
      </c>
      <c r="D1717" s="243" t="s">
        <v>583</v>
      </c>
      <c r="E1717" s="585">
        <f>VLOOKUP(B1717,MATERIALES!B:C,2,0)</f>
        <v>750000</v>
      </c>
      <c r="F1717" s="65"/>
      <c r="G1717" s="65"/>
      <c r="H1717" s="65"/>
      <c r="I1717" s="65">
        <f>+C1717*E1717</f>
        <v>750</v>
      </c>
    </row>
    <row r="1718" spans="1:9">
      <c r="A1718" s="587" t="s">
        <v>190</v>
      </c>
      <c r="B1718" s="588">
        <f>SUM(G1718:I1718)</f>
        <v>33204.720000000001</v>
      </c>
      <c r="C1718" s="583"/>
      <c r="D1718" s="169"/>
      <c r="E1718" s="585"/>
      <c r="F1718" s="65">
        <v>0</v>
      </c>
      <c r="G1718" s="65">
        <f>SUM(G1711:G1715)</f>
        <v>32454.720000000001</v>
      </c>
      <c r="H1718" s="65">
        <f>SUM(H1717:H1717)</f>
        <v>0</v>
      </c>
      <c r="I1718" s="65">
        <f>SUM(I1717:I1717)</f>
        <v>750</v>
      </c>
    </row>
    <row r="1719" spans="1:9">
      <c r="A1719" s="21" t="s">
        <v>3708</v>
      </c>
      <c r="B1719" s="39">
        <f>+B1718*AIU</f>
        <v>9819.3826796227677</v>
      </c>
      <c r="C1719" s="589"/>
      <c r="D1719" s="31"/>
      <c r="E1719" s="170"/>
      <c r="F1719" s="590"/>
      <c r="G1719" s="590"/>
      <c r="H1719" s="590"/>
      <c r="I1719" s="590"/>
    </row>
    <row r="1720" spans="1:9">
      <c r="A1720" s="587" t="s">
        <v>191</v>
      </c>
      <c r="B1720" s="39">
        <f>SUM(B1718:B1719)</f>
        <v>43024.102679622767</v>
      </c>
      <c r="C1720" s="591" t="s">
        <v>363</v>
      </c>
      <c r="D1720" s="13"/>
      <c r="E1720" s="170"/>
      <c r="F1720" s="170"/>
      <c r="G1720" s="170"/>
      <c r="H1720" s="170"/>
      <c r="I1720" s="170"/>
    </row>
    <row r="1721" spans="1:9">
      <c r="A1721" s="596"/>
      <c r="B1721" s="597"/>
      <c r="C1721" s="598"/>
      <c r="D1721" s="596"/>
      <c r="E1721" s="599"/>
      <c r="F1721" s="599"/>
      <c r="G1721" s="599"/>
      <c r="H1721" s="599"/>
      <c r="I1721" s="599"/>
    </row>
    <row r="1722" spans="1:9">
      <c r="A1722" s="594" t="s">
        <v>441</v>
      </c>
      <c r="B1722" s="3547" t="s">
        <v>3731</v>
      </c>
      <c r="C1722" s="3548"/>
      <c r="D1722" s="3548"/>
      <c r="E1722" s="3548"/>
      <c r="F1722" s="3548"/>
      <c r="G1722" s="3548"/>
      <c r="H1722" s="3548"/>
      <c r="I1722" s="3549"/>
    </row>
    <row r="1723" spans="1:9">
      <c r="A1723" s="243" t="s">
        <v>1520</v>
      </c>
      <c r="B1723" s="179" t="s">
        <v>1521</v>
      </c>
      <c r="C1723" s="583" t="s">
        <v>140</v>
      </c>
      <c r="D1723" s="243" t="s">
        <v>343</v>
      </c>
      <c r="E1723" s="584" t="s">
        <v>344</v>
      </c>
      <c r="F1723" s="65" t="s">
        <v>482</v>
      </c>
      <c r="G1723" s="65" t="s">
        <v>483</v>
      </c>
      <c r="H1723" s="65" t="s">
        <v>232</v>
      </c>
      <c r="I1723" s="65" t="s">
        <v>171</v>
      </c>
    </row>
    <row r="1724" spans="1:9">
      <c r="A1724" s="243" t="s">
        <v>3627</v>
      </c>
      <c r="B1724" s="592" t="s">
        <v>1820</v>
      </c>
      <c r="C1724" s="583">
        <v>0.08</v>
      </c>
      <c r="D1724" s="243" t="s">
        <v>346</v>
      </c>
      <c r="E1724" s="585">
        <v>150000</v>
      </c>
      <c r="F1724" s="65"/>
      <c r="G1724" s="65"/>
      <c r="H1724" s="65">
        <f>+C1724*E1724</f>
        <v>12000</v>
      </c>
      <c r="I1724" s="65"/>
    </row>
    <row r="1725" spans="1:9">
      <c r="A1725" s="243" t="s">
        <v>172</v>
      </c>
      <c r="B1725" s="179" t="s">
        <v>189</v>
      </c>
      <c r="C1725" s="583">
        <v>1</v>
      </c>
      <c r="D1725" s="160" t="s">
        <v>583</v>
      </c>
      <c r="E1725" s="585">
        <f>+H1724*0.05</f>
        <v>600</v>
      </c>
      <c r="F1725" s="65"/>
      <c r="G1725" s="65"/>
      <c r="H1725" s="65"/>
      <c r="I1725" s="65">
        <f>+C1725*E1725</f>
        <v>600</v>
      </c>
    </row>
    <row r="1726" spans="1:9">
      <c r="A1726" s="587" t="s">
        <v>190</v>
      </c>
      <c r="B1726" s="588">
        <f>SUM(G1726:I1726)</f>
        <v>12600</v>
      </c>
      <c r="C1726" s="583"/>
      <c r="D1726" s="169"/>
      <c r="E1726" s="585"/>
      <c r="F1726" s="65">
        <v>0</v>
      </c>
      <c r="G1726" s="65" t="s">
        <v>441</v>
      </c>
      <c r="H1726" s="65">
        <f>SUM(H1724:H1725)</f>
        <v>12000</v>
      </c>
      <c r="I1726" s="65">
        <f>SUM(I1725:I1725)</f>
        <v>600</v>
      </c>
    </row>
    <row r="1727" spans="1:9">
      <c r="A1727" s="21" t="s">
        <v>3708</v>
      </c>
      <c r="B1727" s="39">
        <f>+B1726*AIU</f>
        <v>3726.1034504506247</v>
      </c>
      <c r="C1727" s="589"/>
      <c r="D1727" s="31"/>
      <c r="E1727" s="170"/>
      <c r="F1727" s="590"/>
      <c r="G1727" s="590"/>
      <c r="H1727" s="590"/>
      <c r="I1727" s="590"/>
    </row>
    <row r="1728" spans="1:9">
      <c r="A1728" s="587" t="s">
        <v>191</v>
      </c>
      <c r="B1728" s="39">
        <f>SUM(B1726:B1727)</f>
        <v>16326.103450450624</v>
      </c>
      <c r="C1728" s="591" t="s">
        <v>363</v>
      </c>
      <c r="D1728" s="13"/>
      <c r="E1728" s="170"/>
      <c r="F1728" s="170"/>
      <c r="G1728" s="170"/>
      <c r="H1728" s="170"/>
      <c r="I1728" s="170"/>
    </row>
    <row r="1729" spans="1:9">
      <c r="A1729" s="596"/>
      <c r="B1729" s="597"/>
      <c r="C1729" s="598"/>
      <c r="D1729" s="596"/>
      <c r="E1729" s="599"/>
      <c r="F1729" s="599"/>
      <c r="G1729" s="599"/>
      <c r="H1729" s="599"/>
      <c r="I1729" s="599"/>
    </row>
    <row r="1730" spans="1:9">
      <c r="A1730" s="596"/>
      <c r="B1730" s="597"/>
      <c r="C1730" s="598"/>
      <c r="D1730" s="596"/>
      <c r="E1730" s="599"/>
      <c r="F1730" s="599"/>
      <c r="G1730" s="599"/>
      <c r="H1730" s="599"/>
      <c r="I1730" s="599"/>
    </row>
    <row r="1731" spans="1:9">
      <c r="A1731" s="594" t="s">
        <v>441</v>
      </c>
      <c r="B1731" s="3547" t="s">
        <v>3732</v>
      </c>
      <c r="C1731" s="3548"/>
      <c r="D1731" s="3548"/>
      <c r="E1731" s="3548"/>
      <c r="F1731" s="3548"/>
      <c r="G1731" s="3548"/>
      <c r="H1731" s="3548"/>
      <c r="I1731" s="3549"/>
    </row>
    <row r="1732" spans="1:9">
      <c r="A1732" s="243" t="s">
        <v>1520</v>
      </c>
      <c r="B1732" s="179" t="s">
        <v>1521</v>
      </c>
      <c r="C1732" s="583" t="s">
        <v>140</v>
      </c>
      <c r="D1732" s="243" t="s">
        <v>343</v>
      </c>
      <c r="E1732" s="584" t="s">
        <v>344</v>
      </c>
      <c r="F1732" s="65" t="s">
        <v>482</v>
      </c>
      <c r="G1732" s="65" t="s">
        <v>483</v>
      </c>
      <c r="H1732" s="65" t="s">
        <v>232</v>
      </c>
      <c r="I1732" s="65" t="s">
        <v>171</v>
      </c>
    </row>
    <row r="1733" spans="1:9">
      <c r="A1733" s="243" t="s">
        <v>1526</v>
      </c>
      <c r="B1733" s="179" t="s">
        <v>1729</v>
      </c>
      <c r="C1733" s="583">
        <v>1</v>
      </c>
      <c r="D1733" s="160" t="s">
        <v>363</v>
      </c>
      <c r="E1733" s="585">
        <f>VLOOKUP(B1733,MATERIALES!B:C,2,0)</f>
        <v>80000</v>
      </c>
      <c r="F1733" s="65"/>
      <c r="G1733" s="65">
        <v>80000</v>
      </c>
      <c r="H1733" s="65"/>
      <c r="I1733" s="65"/>
    </row>
    <row r="1734" spans="1:9">
      <c r="A1734" s="243" t="s">
        <v>584</v>
      </c>
      <c r="B1734" s="180" t="s">
        <v>2236</v>
      </c>
      <c r="C1734" s="583">
        <v>1.4285714285714284E-2</v>
      </c>
      <c r="D1734" s="243" t="s">
        <v>583</v>
      </c>
      <c r="E1734" s="585">
        <f>VLOOKUP(B1734,MATERIALES!B:C,2,0)</f>
        <v>750000</v>
      </c>
      <c r="F1734" s="65"/>
      <c r="G1734" s="65"/>
      <c r="H1734" s="65"/>
      <c r="I1734" s="65">
        <v>10714.285714285712</v>
      </c>
    </row>
    <row r="1735" spans="1:9">
      <c r="A1735" s="587" t="s">
        <v>190</v>
      </c>
      <c r="B1735" s="588">
        <f>SUM(G1735:I1735)</f>
        <v>106115.7894789916</v>
      </c>
      <c r="C1735" s="583"/>
      <c r="D1735" s="169"/>
      <c r="E1735" s="585"/>
      <c r="F1735" s="65">
        <v>0</v>
      </c>
      <c r="G1735" s="65">
        <v>80000</v>
      </c>
      <c r="H1735" s="65">
        <v>14668.098823529415</v>
      </c>
      <c r="I1735" s="65">
        <v>11447.690655462182</v>
      </c>
    </row>
    <row r="1736" spans="1:9">
      <c r="A1736" s="21" t="s">
        <v>3708</v>
      </c>
      <c r="B1736" s="39">
        <f>+B1735*AIU</f>
        <v>31380.8261369018</v>
      </c>
      <c r="C1736" s="589"/>
      <c r="D1736" s="31"/>
      <c r="E1736" s="170"/>
      <c r="F1736" s="590"/>
      <c r="G1736" s="590"/>
      <c r="H1736" s="590"/>
      <c r="I1736" s="590"/>
    </row>
    <row r="1737" spans="1:9">
      <c r="A1737" s="587" t="s">
        <v>191</v>
      </c>
      <c r="B1737" s="39">
        <v>129461</v>
      </c>
      <c r="C1737" s="591" t="s">
        <v>363</v>
      </c>
      <c r="D1737" s="13"/>
      <c r="E1737" s="170"/>
      <c r="F1737" s="170"/>
      <c r="G1737" s="170"/>
      <c r="H1737" s="170"/>
      <c r="I1737" s="170"/>
    </row>
    <row r="1738" spans="1:9">
      <c r="A1738" s="471"/>
      <c r="B1738" s="602"/>
      <c r="C1738" s="603"/>
      <c r="D1738" s="13"/>
      <c r="E1738" s="170"/>
      <c r="F1738" s="170"/>
      <c r="G1738" s="170"/>
      <c r="H1738" s="170"/>
      <c r="I1738" s="170"/>
    </row>
    <row r="1739" spans="1:9">
      <c r="A1739" s="594" t="s">
        <v>441</v>
      </c>
      <c r="B1739" s="3547" t="s">
        <v>1359</v>
      </c>
      <c r="C1739" s="3548"/>
      <c r="D1739" s="3548"/>
      <c r="E1739" s="3548"/>
      <c r="F1739" s="3548"/>
      <c r="G1739" s="3548"/>
      <c r="H1739" s="3548"/>
      <c r="I1739" s="3549"/>
    </row>
    <row r="1740" spans="1:9">
      <c r="A1740" s="243" t="s">
        <v>1520</v>
      </c>
      <c r="B1740" s="179" t="s">
        <v>1521</v>
      </c>
      <c r="C1740" s="583" t="s">
        <v>140</v>
      </c>
      <c r="D1740" s="243" t="s">
        <v>343</v>
      </c>
      <c r="E1740" s="584" t="s">
        <v>344</v>
      </c>
      <c r="F1740" s="65" t="s">
        <v>482</v>
      </c>
      <c r="G1740" s="65" t="s">
        <v>483</v>
      </c>
      <c r="H1740" s="65" t="s">
        <v>232</v>
      </c>
      <c r="I1740" s="65" t="s">
        <v>171</v>
      </c>
    </row>
    <row r="1741" spans="1:9">
      <c r="A1741" s="243" t="s">
        <v>345</v>
      </c>
      <c r="B1741" s="592" t="s">
        <v>1997</v>
      </c>
      <c r="C1741" s="583">
        <v>0.14939309056956118</v>
      </c>
      <c r="D1741" s="243" t="s">
        <v>346</v>
      </c>
      <c r="E1741" s="585">
        <f>VLOOKUP(B1741,MATERIALES!B:C,2,0)</f>
        <v>56105.478000000003</v>
      </c>
      <c r="F1741" s="65"/>
      <c r="G1741" s="65"/>
      <c r="H1741" s="65">
        <v>8381.7707563025233</v>
      </c>
      <c r="I1741" s="65"/>
    </row>
    <row r="1742" spans="1:9">
      <c r="A1742" s="243" t="s">
        <v>347</v>
      </c>
      <c r="B1742" s="592" t="s">
        <v>1576</v>
      </c>
      <c r="C1742" s="583">
        <v>0.14939309056956118</v>
      </c>
      <c r="D1742" s="243" t="s">
        <v>346</v>
      </c>
      <c r="E1742" s="585">
        <f>VLOOKUP(B1742,MATERIALES!B:C,2,0)</f>
        <v>42079.108500000002</v>
      </c>
      <c r="F1742" s="65"/>
      <c r="G1742" s="65"/>
      <c r="H1742" s="65">
        <v>6286.328067226892</v>
      </c>
      <c r="I1742" s="65"/>
    </row>
    <row r="1743" spans="1:9">
      <c r="A1743" s="243" t="s">
        <v>172</v>
      </c>
      <c r="B1743" s="179" t="s">
        <v>189</v>
      </c>
      <c r="C1743" s="583">
        <v>1</v>
      </c>
      <c r="D1743" s="160" t="s">
        <v>583</v>
      </c>
      <c r="E1743" s="585">
        <f>0.05*H1744</f>
        <v>733.40494117647086</v>
      </c>
      <c r="F1743" s="65"/>
      <c r="G1743" s="65"/>
      <c r="H1743" s="65"/>
      <c r="I1743" s="65">
        <v>733.40494117647086</v>
      </c>
    </row>
    <row r="1744" spans="1:9">
      <c r="A1744" s="587" t="s">
        <v>190</v>
      </c>
      <c r="B1744" s="588">
        <f>SUM(G1744:I1744)</f>
        <v>26115.789478991595</v>
      </c>
      <c r="C1744" s="583"/>
      <c r="D1744" s="169"/>
      <c r="E1744" s="585"/>
      <c r="F1744" s="65">
        <v>0</v>
      </c>
      <c r="G1744" s="65" t="s">
        <v>441</v>
      </c>
      <c r="H1744" s="65">
        <v>14668.098823529415</v>
      </c>
      <c r="I1744" s="65">
        <v>11447.690655462182</v>
      </c>
    </row>
    <row r="1745" spans="1:9">
      <c r="A1745" s="21" t="s">
        <v>3708</v>
      </c>
      <c r="B1745" s="39">
        <f>+B1744*AIU</f>
        <v>7723.0264515010085</v>
      </c>
      <c r="C1745" s="589"/>
      <c r="D1745" s="31"/>
      <c r="E1745" s="170"/>
      <c r="F1745" s="590"/>
      <c r="G1745" s="590"/>
      <c r="H1745" s="590"/>
      <c r="I1745" s="590"/>
    </row>
    <row r="1746" spans="1:9">
      <c r="A1746" s="587" t="s">
        <v>191</v>
      </c>
      <c r="B1746" s="39">
        <v>129461</v>
      </c>
      <c r="C1746" s="591" t="s">
        <v>363</v>
      </c>
      <c r="D1746" s="13"/>
      <c r="E1746" s="170"/>
      <c r="F1746" s="170"/>
      <c r="G1746" s="170"/>
      <c r="H1746" s="170"/>
      <c r="I1746" s="170"/>
    </row>
    <row r="1747" spans="1:9">
      <c r="A1747" s="471"/>
      <c r="B1747" s="602"/>
      <c r="C1747" s="603"/>
      <c r="D1747" s="13"/>
      <c r="E1747" s="170"/>
      <c r="F1747" s="170"/>
      <c r="G1747" s="170"/>
      <c r="H1747" s="170"/>
      <c r="I1747" s="170"/>
    </row>
    <row r="1748" spans="1:9">
      <c r="A1748" s="594" t="s">
        <v>441</v>
      </c>
      <c r="B1748" s="3547" t="s">
        <v>3733</v>
      </c>
      <c r="C1748" s="3548"/>
      <c r="D1748" s="3548"/>
      <c r="E1748" s="3548"/>
      <c r="F1748" s="3548"/>
      <c r="G1748" s="3548"/>
      <c r="H1748" s="3548"/>
      <c r="I1748" s="3549"/>
    </row>
    <row r="1749" spans="1:9">
      <c r="A1749" s="243" t="s">
        <v>1520</v>
      </c>
      <c r="B1749" s="179" t="s">
        <v>1521</v>
      </c>
      <c r="C1749" s="583" t="s">
        <v>140</v>
      </c>
      <c r="D1749" s="243" t="s">
        <v>343</v>
      </c>
      <c r="E1749" s="584" t="s">
        <v>344</v>
      </c>
      <c r="F1749" s="65" t="s">
        <v>482</v>
      </c>
      <c r="G1749" s="65" t="s">
        <v>483</v>
      </c>
      <c r="H1749" s="65" t="s">
        <v>232</v>
      </c>
      <c r="I1749" s="65" t="s">
        <v>171</v>
      </c>
    </row>
    <row r="1750" spans="1:9">
      <c r="A1750" s="243" t="s">
        <v>1526</v>
      </c>
      <c r="B1750" s="179" t="s">
        <v>1527</v>
      </c>
      <c r="C1750" s="583">
        <v>1</v>
      </c>
      <c r="D1750" s="160" t="s">
        <v>94</v>
      </c>
      <c r="E1750" s="585">
        <v>15000</v>
      </c>
      <c r="F1750" s="65"/>
      <c r="G1750" s="65">
        <f>C1750*E1750</f>
        <v>15000</v>
      </c>
      <c r="H1750" s="65"/>
      <c r="I1750" s="65"/>
    </row>
    <row r="1751" spans="1:9">
      <c r="A1751" s="243" t="s">
        <v>584</v>
      </c>
      <c r="B1751" s="180" t="s">
        <v>2236</v>
      </c>
      <c r="C1751" s="583">
        <v>1E-3</v>
      </c>
      <c r="D1751" s="243" t="s">
        <v>583</v>
      </c>
      <c r="E1751" s="585">
        <v>750000</v>
      </c>
      <c r="F1751" s="65"/>
      <c r="G1751" s="65"/>
      <c r="H1751" s="65"/>
      <c r="I1751" s="65">
        <f>+C1751*E1751</f>
        <v>750</v>
      </c>
    </row>
    <row r="1752" spans="1:9">
      <c r="A1752" s="587" t="s">
        <v>190</v>
      </c>
      <c r="B1752" s="588">
        <f>SUM(C1752:I1752)</f>
        <v>15750</v>
      </c>
      <c r="C1752" s="583"/>
      <c r="D1752" s="169"/>
      <c r="E1752" s="585"/>
      <c r="F1752" s="65">
        <v>0</v>
      </c>
      <c r="G1752" s="65">
        <f>SUM(G1750:G1751)</f>
        <v>15000</v>
      </c>
      <c r="H1752" s="65">
        <f>SUM(H1751:H1751)</f>
        <v>0</v>
      </c>
      <c r="I1752" s="65">
        <f>SUM(I1751:I1751)</f>
        <v>750</v>
      </c>
    </row>
    <row r="1753" spans="1:9">
      <c r="A1753" s="21" t="s">
        <v>3708</v>
      </c>
      <c r="B1753" s="39">
        <f>+B1752*AIU</f>
        <v>4657.6293130632812</v>
      </c>
      <c r="C1753" s="589"/>
      <c r="D1753" s="31"/>
      <c r="E1753" s="170"/>
      <c r="F1753" s="590"/>
      <c r="G1753" s="590"/>
      <c r="H1753" s="590"/>
      <c r="I1753" s="590"/>
    </row>
    <row r="1754" spans="1:9">
      <c r="A1754" s="587" t="s">
        <v>191</v>
      </c>
      <c r="B1754" s="39">
        <v>7614</v>
      </c>
      <c r="C1754" s="591" t="s">
        <v>94</v>
      </c>
      <c r="D1754" s="13"/>
      <c r="E1754" s="170"/>
      <c r="F1754" s="170"/>
      <c r="G1754" s="170"/>
      <c r="H1754" s="170"/>
      <c r="I1754" s="170"/>
    </row>
    <row r="1755" spans="1:9">
      <c r="A1755" s="596"/>
      <c r="B1755" s="597"/>
      <c r="C1755" s="598"/>
      <c r="D1755" s="596"/>
      <c r="E1755" s="599"/>
      <c r="F1755" s="599"/>
      <c r="G1755" s="599"/>
      <c r="H1755" s="599"/>
      <c r="I1755" s="599"/>
    </row>
    <row r="1756" spans="1:9">
      <c r="A1756" s="594" t="s">
        <v>441</v>
      </c>
      <c r="B1756" s="3547" t="s">
        <v>3734</v>
      </c>
      <c r="C1756" s="3548"/>
      <c r="D1756" s="3548"/>
      <c r="E1756" s="3548"/>
      <c r="F1756" s="3548"/>
      <c r="G1756" s="3548"/>
      <c r="H1756" s="3548"/>
      <c r="I1756" s="3549"/>
    </row>
    <row r="1757" spans="1:9">
      <c r="A1757" s="243" t="s">
        <v>1520</v>
      </c>
      <c r="B1757" s="179" t="s">
        <v>1521</v>
      </c>
      <c r="C1757" s="583" t="s">
        <v>140</v>
      </c>
      <c r="D1757" s="243" t="s">
        <v>343</v>
      </c>
      <c r="E1757" s="584" t="s">
        <v>344</v>
      </c>
      <c r="F1757" s="65" t="s">
        <v>482</v>
      </c>
      <c r="G1757" s="65" t="s">
        <v>483</v>
      </c>
      <c r="H1757" s="65" t="s">
        <v>232</v>
      </c>
      <c r="I1757" s="65" t="s">
        <v>171</v>
      </c>
    </row>
    <row r="1758" spans="1:9">
      <c r="A1758" s="243" t="s">
        <v>345</v>
      </c>
      <c r="B1758" s="592" t="s">
        <v>1997</v>
      </c>
      <c r="C1758" s="583">
        <v>0.05</v>
      </c>
      <c r="D1758" s="243" t="s">
        <v>346</v>
      </c>
      <c r="E1758" s="585">
        <f>VLOOKUP(B1758,MATERIALES!B:C,2,0)</f>
        <v>56105.478000000003</v>
      </c>
      <c r="F1758" s="65"/>
      <c r="G1758" s="65"/>
      <c r="H1758" s="65">
        <f>C1758*E1758</f>
        <v>2805.2739000000001</v>
      </c>
      <c r="I1758" s="65"/>
    </row>
    <row r="1759" spans="1:9">
      <c r="A1759" s="243" t="s">
        <v>347</v>
      </c>
      <c r="B1759" s="592" t="s">
        <v>1576</v>
      </c>
      <c r="C1759" s="583">
        <v>0.05</v>
      </c>
      <c r="D1759" s="243" t="s">
        <v>346</v>
      </c>
      <c r="E1759" s="585">
        <f>VLOOKUP(B1759,MATERIALES!B:C,2,0)</f>
        <v>42079.108500000002</v>
      </c>
      <c r="F1759" s="65"/>
      <c r="G1759" s="65"/>
      <c r="H1759" s="65">
        <f>C1759*E1759</f>
        <v>2103.9554250000001</v>
      </c>
      <c r="I1759" s="65"/>
    </row>
    <row r="1760" spans="1:9">
      <c r="A1760" s="243" t="s">
        <v>172</v>
      </c>
      <c r="B1760" s="179" t="s">
        <v>189</v>
      </c>
      <c r="C1760" s="583">
        <v>1</v>
      </c>
      <c r="D1760" s="160" t="s">
        <v>583</v>
      </c>
      <c r="E1760" s="585">
        <f>0.05*H1761</f>
        <v>245.46146625000003</v>
      </c>
      <c r="F1760" s="65"/>
      <c r="G1760" s="65"/>
      <c r="H1760" s="65"/>
      <c r="I1760" s="65">
        <f>+C1760*E1760</f>
        <v>245.46146625000003</v>
      </c>
    </row>
    <row r="1761" spans="1:9">
      <c r="A1761" s="587" t="s">
        <v>190</v>
      </c>
      <c r="B1761" s="588">
        <f>SUM(C1761:I1761)</f>
        <v>5154.6907912500001</v>
      </c>
      <c r="C1761" s="583"/>
      <c r="D1761" s="169"/>
      <c r="E1761" s="585"/>
      <c r="F1761" s="65">
        <v>0</v>
      </c>
      <c r="G1761" s="65" t="s">
        <v>441</v>
      </c>
      <c r="H1761" s="65">
        <f>SUM(H1758:H1760)</f>
        <v>4909.2293250000002</v>
      </c>
      <c r="I1761" s="65">
        <f>SUM(I1760:I1760)</f>
        <v>245.46146625000003</v>
      </c>
    </row>
    <row r="1762" spans="1:9">
      <c r="A1762" s="21" t="s">
        <v>3708</v>
      </c>
      <c r="B1762" s="39">
        <f>+B1761*AIU</f>
        <v>1524.3580272446575</v>
      </c>
      <c r="C1762" s="589"/>
      <c r="D1762" s="31"/>
      <c r="E1762" s="170"/>
      <c r="F1762" s="590"/>
      <c r="G1762" s="590"/>
      <c r="H1762" s="590"/>
      <c r="I1762" s="590"/>
    </row>
    <row r="1763" spans="1:9">
      <c r="A1763" s="587" t="s">
        <v>191</v>
      </c>
      <c r="B1763" s="39">
        <v>7614</v>
      </c>
      <c r="C1763" s="591" t="s">
        <v>94</v>
      </c>
      <c r="D1763" s="13"/>
      <c r="E1763" s="170"/>
      <c r="F1763" s="170"/>
      <c r="G1763" s="170"/>
      <c r="H1763" s="170"/>
      <c r="I1763" s="170"/>
    </row>
    <row r="1764" spans="1:9">
      <c r="A1764" s="596"/>
      <c r="B1764" s="597"/>
      <c r="C1764" s="598"/>
      <c r="D1764" s="596"/>
      <c r="E1764" s="599"/>
      <c r="F1764" s="599"/>
      <c r="G1764" s="599"/>
      <c r="H1764" s="599"/>
      <c r="I1764" s="599"/>
    </row>
    <row r="1765" spans="1:9">
      <c r="A1765" s="594" t="s">
        <v>441</v>
      </c>
      <c r="B1765" s="3547" t="s">
        <v>3735</v>
      </c>
      <c r="C1765" s="3548"/>
      <c r="D1765" s="3548"/>
      <c r="E1765" s="3548"/>
      <c r="F1765" s="3548"/>
      <c r="G1765" s="3548"/>
      <c r="H1765" s="3548"/>
      <c r="I1765" s="3549"/>
    </row>
    <row r="1766" spans="1:9">
      <c r="A1766" s="243" t="s">
        <v>1520</v>
      </c>
      <c r="B1766" s="179" t="s">
        <v>1521</v>
      </c>
      <c r="C1766" s="583" t="s">
        <v>140</v>
      </c>
      <c r="D1766" s="243" t="s">
        <v>343</v>
      </c>
      <c r="E1766" s="584" t="s">
        <v>344</v>
      </c>
      <c r="F1766" s="65" t="s">
        <v>482</v>
      </c>
      <c r="G1766" s="65" t="s">
        <v>483</v>
      </c>
      <c r="H1766" s="65" t="s">
        <v>232</v>
      </c>
      <c r="I1766" s="65" t="s">
        <v>171</v>
      </c>
    </row>
    <row r="1767" spans="1:9" ht="33.6">
      <c r="A1767" s="243" t="s">
        <v>441</v>
      </c>
      <c r="B1767" s="536" t="s">
        <v>3582</v>
      </c>
      <c r="C1767" s="583">
        <v>1</v>
      </c>
      <c r="D1767" s="6" t="s">
        <v>363</v>
      </c>
      <c r="E1767" s="585">
        <f>VLOOKUP(B1767,MATERIALES!B:C,2,0)</f>
        <v>64344.49</v>
      </c>
      <c r="F1767" s="179"/>
      <c r="G1767" s="65">
        <f>+C1767*E1767</f>
        <v>64344.49</v>
      </c>
      <c r="H1767" s="179"/>
      <c r="I1767" s="179"/>
    </row>
    <row r="1768" spans="1:9">
      <c r="A1768" s="243" t="s">
        <v>584</v>
      </c>
      <c r="B1768" s="180" t="s">
        <v>2236</v>
      </c>
      <c r="C1768" s="583">
        <v>2.2857142857142859E-3</v>
      </c>
      <c r="D1768" s="243" t="s">
        <v>583</v>
      </c>
      <c r="E1768" s="585">
        <f>VLOOKUP(B1768,MATERIALES!B:C,2,0)</f>
        <v>750000</v>
      </c>
      <c r="F1768" s="65"/>
      <c r="G1768" s="65"/>
      <c r="H1768" s="65"/>
      <c r="I1768" s="65">
        <v>1714.2857142857144</v>
      </c>
    </row>
    <row r="1769" spans="1:9">
      <c r="A1769" s="587" t="s">
        <v>190</v>
      </c>
      <c r="B1769" s="588">
        <f>SUM(C1769:I1769)</f>
        <v>66058.775714285715</v>
      </c>
      <c r="C1769" s="583"/>
      <c r="D1769" s="169"/>
      <c r="E1769" s="585"/>
      <c r="F1769" s="65">
        <v>0</v>
      </c>
      <c r="G1769" s="65">
        <f>SUM(G1767:G1768)</f>
        <v>64344.49</v>
      </c>
      <c r="H1769" s="65">
        <f>SUM(H1768:H1768)</f>
        <v>0</v>
      </c>
      <c r="I1769" s="65">
        <f>SUM(I1768:I1768)</f>
        <v>1714.2857142857144</v>
      </c>
    </row>
    <row r="1770" spans="1:9">
      <c r="A1770" s="21" t="s">
        <v>3708</v>
      </c>
      <c r="B1770" s="39">
        <f>+B1769*AIU</f>
        <v>19535.066041392376</v>
      </c>
      <c r="C1770" s="589"/>
      <c r="D1770" s="31"/>
      <c r="E1770" s="170"/>
      <c r="F1770" s="590"/>
      <c r="G1770" s="590"/>
      <c r="H1770" s="590"/>
      <c r="I1770" s="590"/>
    </row>
    <row r="1771" spans="1:9">
      <c r="A1771" s="587" t="s">
        <v>191</v>
      </c>
      <c r="B1771" s="39">
        <f>SUM(B1769:B1770)</f>
        <v>85593.841755678091</v>
      </c>
      <c r="C1771" s="591" t="s">
        <v>94</v>
      </c>
      <c r="D1771" s="13"/>
      <c r="E1771" s="170"/>
      <c r="F1771" s="170"/>
      <c r="G1771" s="170"/>
      <c r="H1771" s="170"/>
      <c r="I1771" s="170"/>
    </row>
    <row r="1772" spans="1:9">
      <c r="A1772" s="471"/>
      <c r="B1772" s="602"/>
      <c r="C1772" s="603"/>
      <c r="D1772" s="13"/>
      <c r="E1772" s="170"/>
      <c r="F1772" s="170"/>
      <c r="G1772" s="170"/>
      <c r="H1772" s="170"/>
      <c r="I1772" s="170"/>
    </row>
    <row r="1773" spans="1:9">
      <c r="A1773" s="594" t="s">
        <v>441</v>
      </c>
      <c r="B1773" s="3547" t="s">
        <v>3736</v>
      </c>
      <c r="C1773" s="3548"/>
      <c r="D1773" s="3548"/>
      <c r="E1773" s="3548"/>
      <c r="F1773" s="3548"/>
      <c r="G1773" s="3548"/>
      <c r="H1773" s="3548"/>
      <c r="I1773" s="3549"/>
    </row>
    <row r="1774" spans="1:9">
      <c r="A1774" s="243" t="s">
        <v>1520</v>
      </c>
      <c r="B1774" s="179" t="s">
        <v>1521</v>
      </c>
      <c r="C1774" s="583" t="s">
        <v>140</v>
      </c>
      <c r="D1774" s="243" t="s">
        <v>343</v>
      </c>
      <c r="E1774" s="584" t="s">
        <v>344</v>
      </c>
      <c r="F1774" s="65" t="s">
        <v>482</v>
      </c>
      <c r="G1774" s="65" t="s">
        <v>483</v>
      </c>
      <c r="H1774" s="65" t="s">
        <v>232</v>
      </c>
      <c r="I1774" s="65" t="s">
        <v>171</v>
      </c>
    </row>
    <row r="1775" spans="1:9" ht="33.6">
      <c r="A1775" s="243"/>
      <c r="B1775" s="604" t="s">
        <v>1814</v>
      </c>
      <c r="C1775" s="583">
        <v>1</v>
      </c>
      <c r="D1775" s="6" t="s">
        <v>363</v>
      </c>
      <c r="E1775" s="585">
        <f>VLOOKUP(B1775,MATERIALES!B:C,2,0)</f>
        <v>150000</v>
      </c>
      <c r="F1775" s="65"/>
      <c r="G1775" s="65"/>
      <c r="H1775" s="65">
        <f>+C1775*E1775</f>
        <v>150000</v>
      </c>
      <c r="I1775" s="65"/>
    </row>
    <row r="1776" spans="1:9">
      <c r="A1776" s="243" t="s">
        <v>172</v>
      </c>
      <c r="B1776" s="179" t="s">
        <v>189</v>
      </c>
      <c r="C1776" s="583">
        <v>1</v>
      </c>
      <c r="D1776" s="160" t="s">
        <v>583</v>
      </c>
      <c r="E1776" s="585">
        <v>440.04296470588247</v>
      </c>
      <c r="F1776" s="65"/>
      <c r="G1776" s="65"/>
      <c r="H1776" s="65"/>
      <c r="I1776" s="65">
        <v>440.04296470588247</v>
      </c>
    </row>
    <row r="1777" spans="1:9">
      <c r="A1777" s="587" t="s">
        <v>190</v>
      </c>
      <c r="B1777" s="588">
        <f>SUM(C1777:I1777)</f>
        <v>150440.04296470588</v>
      </c>
      <c r="C1777" s="583"/>
      <c r="D1777" s="169"/>
      <c r="E1777" s="585"/>
      <c r="F1777" s="65">
        <v>0</v>
      </c>
      <c r="G1777" s="65">
        <f>SUM(G1775:G1776)</f>
        <v>0</v>
      </c>
      <c r="H1777" s="65">
        <f>SUM(H1775:H1776)</f>
        <v>150000</v>
      </c>
      <c r="I1777" s="65">
        <f>SUM(I1776:I1776)</f>
        <v>440.04296470588247</v>
      </c>
    </row>
    <row r="1778" spans="1:9">
      <c r="A1778" s="21" t="s">
        <v>3708</v>
      </c>
      <c r="B1778" s="39">
        <f>+B1777*AIU</f>
        <v>44488.505014026254</v>
      </c>
      <c r="C1778" s="589"/>
      <c r="D1778" s="31"/>
      <c r="E1778" s="170"/>
      <c r="F1778" s="590"/>
      <c r="G1778" s="590"/>
      <c r="H1778" s="590"/>
      <c r="I1778" s="590"/>
    </row>
    <row r="1779" spans="1:9">
      <c r="A1779" s="587" t="s">
        <v>191</v>
      </c>
      <c r="B1779" s="39">
        <f>SUM(B1777:B1778)</f>
        <v>194928.54797873212</v>
      </c>
      <c r="C1779" s="591" t="s">
        <v>94</v>
      </c>
      <c r="D1779" s="13"/>
      <c r="E1779" s="170"/>
      <c r="F1779" s="170"/>
      <c r="G1779" s="170"/>
      <c r="H1779" s="170"/>
      <c r="I1779" s="170"/>
    </row>
    <row r="1780" spans="1:9">
      <c r="A1780" s="471"/>
      <c r="B1780" s="602"/>
      <c r="C1780" s="603"/>
      <c r="D1780" s="13"/>
      <c r="E1780" s="170"/>
      <c r="F1780" s="170"/>
      <c r="G1780" s="170"/>
      <c r="H1780" s="170"/>
      <c r="I1780" s="170"/>
    </row>
    <row r="1781" spans="1:9">
      <c r="A1781" s="594" t="s">
        <v>441</v>
      </c>
      <c r="B1781" s="3547" t="s">
        <v>3737</v>
      </c>
      <c r="C1781" s="3548"/>
      <c r="D1781" s="3548"/>
      <c r="E1781" s="3548"/>
      <c r="F1781" s="3548"/>
      <c r="G1781" s="3548"/>
      <c r="H1781" s="3548"/>
      <c r="I1781" s="3549"/>
    </row>
    <row r="1782" spans="1:9">
      <c r="A1782" s="243" t="s">
        <v>1520</v>
      </c>
      <c r="B1782" s="179" t="s">
        <v>1521</v>
      </c>
      <c r="C1782" s="583" t="s">
        <v>140</v>
      </c>
      <c r="D1782" s="243" t="s">
        <v>343</v>
      </c>
      <c r="E1782" s="585" t="s">
        <v>344</v>
      </c>
      <c r="F1782" s="65" t="s">
        <v>482</v>
      </c>
      <c r="G1782" s="65" t="s">
        <v>483</v>
      </c>
      <c r="H1782" s="65" t="s">
        <v>232</v>
      </c>
      <c r="I1782" s="65" t="s">
        <v>171</v>
      </c>
    </row>
    <row r="1783" spans="1:9">
      <c r="A1783" s="530" t="s">
        <v>2150</v>
      </c>
      <c r="B1783" s="531" t="s">
        <v>2151</v>
      </c>
      <c r="C1783" s="583">
        <v>1</v>
      </c>
      <c r="D1783" s="160" t="s">
        <v>363</v>
      </c>
      <c r="E1783" s="585">
        <f>VLOOKUP(B1783,MATERIALES!B:C,2,0)</f>
        <v>6843.9999999999991</v>
      </c>
      <c r="F1783" s="65"/>
      <c r="G1783" s="585">
        <f t="shared" ref="G1783:G1787" si="5">+C1783*E1783</f>
        <v>6843.9999999999991</v>
      </c>
      <c r="H1783" s="65"/>
      <c r="I1783" s="65"/>
    </row>
    <row r="1784" spans="1:9">
      <c r="A1784" s="530" t="s">
        <v>1554</v>
      </c>
      <c r="B1784" s="534" t="s">
        <v>1555</v>
      </c>
      <c r="C1784" s="583">
        <v>18</v>
      </c>
      <c r="D1784" s="160" t="s">
        <v>363</v>
      </c>
      <c r="E1784" s="585">
        <f>VLOOKUP(B1784,MATERIALES!B:C,2,0)</f>
        <v>736.59999999999991</v>
      </c>
      <c r="F1784" s="65"/>
      <c r="G1784" s="585">
        <f t="shared" si="5"/>
        <v>13258.8</v>
      </c>
      <c r="H1784" s="65"/>
      <c r="I1784" s="65"/>
    </row>
    <row r="1785" spans="1:9">
      <c r="A1785" s="530" t="s">
        <v>2259</v>
      </c>
      <c r="B1785" s="531" t="s">
        <v>2260</v>
      </c>
      <c r="C1785" s="583">
        <v>6</v>
      </c>
      <c r="D1785" s="160" t="s">
        <v>363</v>
      </c>
      <c r="E1785" s="585">
        <f>VLOOKUP(B1785,MATERIALES!B:C,2,0)</f>
        <v>631.81333333333328</v>
      </c>
      <c r="F1785" s="65"/>
      <c r="G1785" s="585">
        <f t="shared" si="5"/>
        <v>3790.8799999999997</v>
      </c>
      <c r="H1785" s="65"/>
      <c r="I1785" s="65"/>
    </row>
    <row r="1786" spans="1:9">
      <c r="A1786" s="530" t="s">
        <v>1726</v>
      </c>
      <c r="B1786" s="534" t="s">
        <v>1727</v>
      </c>
      <c r="C1786" s="583">
        <v>1</v>
      </c>
      <c r="D1786" s="160" t="s">
        <v>363</v>
      </c>
      <c r="E1786" s="585">
        <f>VLOOKUP(B1786,MATERIALES!B:C,2,0)</f>
        <v>371.2</v>
      </c>
      <c r="F1786" s="65"/>
      <c r="G1786" s="585">
        <f t="shared" si="5"/>
        <v>371.2</v>
      </c>
      <c r="H1786" s="65"/>
      <c r="I1786" s="65"/>
    </row>
    <row r="1787" spans="1:9">
      <c r="A1787" s="530" t="s">
        <v>1827</v>
      </c>
      <c r="B1787" s="534" t="s">
        <v>1828</v>
      </c>
      <c r="C1787" s="583">
        <v>2</v>
      </c>
      <c r="D1787" s="160" t="s">
        <v>363</v>
      </c>
      <c r="E1787" s="585">
        <f>VLOOKUP(B1787,MATERIALES!B:C,2,0)</f>
        <v>174</v>
      </c>
      <c r="F1787" s="65"/>
      <c r="G1787" s="585">
        <f t="shared" si="5"/>
        <v>348</v>
      </c>
      <c r="H1787" s="65"/>
      <c r="I1787" s="65"/>
    </row>
    <row r="1788" spans="1:9">
      <c r="A1788" s="243" t="s">
        <v>584</v>
      </c>
      <c r="B1788" s="180" t="s">
        <v>2236</v>
      </c>
      <c r="C1788" s="595">
        <v>1E-3</v>
      </c>
      <c r="D1788" s="243" t="s">
        <v>583</v>
      </c>
      <c r="E1788" s="585">
        <f>VLOOKUP(B1788,MATERIALES!B:C,2,0)</f>
        <v>750000</v>
      </c>
      <c r="F1788" s="65"/>
      <c r="G1788" s="65"/>
      <c r="H1788" s="65"/>
      <c r="I1788" s="65">
        <f>+E1788*C1788</f>
        <v>750</v>
      </c>
    </row>
    <row r="1789" spans="1:9">
      <c r="A1789" s="587" t="s">
        <v>190</v>
      </c>
      <c r="B1789" s="588">
        <f>SUM(G1789:I1789)</f>
        <v>25362.880000000001</v>
      </c>
      <c r="C1789" s="583"/>
      <c r="D1789" s="169"/>
      <c r="E1789" s="585"/>
      <c r="F1789" s="65">
        <v>0</v>
      </c>
      <c r="G1789" s="65">
        <f>SUM(G1783:G1788)</f>
        <v>24612.880000000001</v>
      </c>
      <c r="H1789" s="65">
        <f>SUM(H1785:H1788)</f>
        <v>0</v>
      </c>
      <c r="I1789" s="65">
        <f>SUM(I1788:I1788)</f>
        <v>750</v>
      </c>
    </row>
    <row r="1790" spans="1:9">
      <c r="A1790" s="21" t="s">
        <v>3708</v>
      </c>
      <c r="B1790" s="39">
        <f>+B1789*AIU</f>
        <v>7500.3741810607253</v>
      </c>
      <c r="C1790" s="589"/>
      <c r="D1790" s="31"/>
      <c r="E1790" s="170"/>
      <c r="F1790" s="590"/>
      <c r="G1790" s="590"/>
      <c r="H1790" s="590"/>
      <c r="I1790" s="590"/>
    </row>
    <row r="1791" spans="1:9">
      <c r="A1791" s="587" t="s">
        <v>191</v>
      </c>
      <c r="B1791" s="39">
        <f>SUM(B1789:B1790)</f>
        <v>32863.254181060729</v>
      </c>
      <c r="C1791" s="591" t="s">
        <v>363</v>
      </c>
      <c r="D1791" s="13"/>
      <c r="E1791" s="170"/>
      <c r="F1791" s="170"/>
      <c r="G1791" s="170"/>
      <c r="H1791" s="170"/>
      <c r="I1791" s="170"/>
    </row>
    <row r="1793" spans="1:9">
      <c r="A1793" s="594" t="s">
        <v>441</v>
      </c>
      <c r="B1793" s="3547" t="s">
        <v>1362</v>
      </c>
      <c r="C1793" s="3548"/>
      <c r="D1793" s="3548"/>
      <c r="E1793" s="3548"/>
      <c r="F1793" s="3548"/>
      <c r="G1793" s="3548"/>
      <c r="H1793" s="3548"/>
      <c r="I1793" s="3549"/>
    </row>
    <row r="1794" spans="1:9">
      <c r="A1794" s="243" t="s">
        <v>1520</v>
      </c>
      <c r="B1794" s="179" t="s">
        <v>1521</v>
      </c>
      <c r="C1794" s="583" t="s">
        <v>140</v>
      </c>
      <c r="D1794" s="243" t="s">
        <v>343</v>
      </c>
      <c r="E1794" s="585" t="s">
        <v>344</v>
      </c>
      <c r="F1794" s="65" t="s">
        <v>482</v>
      </c>
      <c r="G1794" s="65" t="s">
        <v>483</v>
      </c>
      <c r="H1794" s="65" t="s">
        <v>232</v>
      </c>
      <c r="I1794" s="65" t="s">
        <v>171</v>
      </c>
    </row>
    <row r="1795" spans="1:9">
      <c r="A1795" s="243" t="s">
        <v>345</v>
      </c>
      <c r="B1795" s="592" t="s">
        <v>1997</v>
      </c>
      <c r="C1795" s="583">
        <v>0.25</v>
      </c>
      <c r="D1795" s="243" t="s">
        <v>346</v>
      </c>
      <c r="E1795" s="585">
        <f>VLOOKUP(B1795,MATERIALES!B:C,2,0)</f>
        <v>56105.478000000003</v>
      </c>
      <c r="F1795" s="65"/>
      <c r="G1795" s="65"/>
      <c r="H1795" s="65">
        <f>+E1795*C1795</f>
        <v>14026.369500000001</v>
      </c>
      <c r="I1795" s="65"/>
    </row>
    <row r="1796" spans="1:9">
      <c r="A1796" s="243" t="s">
        <v>347</v>
      </c>
      <c r="B1796" s="592" t="s">
        <v>1576</v>
      </c>
      <c r="C1796" s="583">
        <v>0.25</v>
      </c>
      <c r="D1796" s="243" t="s">
        <v>346</v>
      </c>
      <c r="E1796" s="585">
        <f>VLOOKUP(B1796,MATERIALES!B:C,2,0)</f>
        <v>42079.108500000002</v>
      </c>
      <c r="F1796" s="65"/>
      <c r="G1796" s="65"/>
      <c r="H1796" s="65">
        <f>+E1796*C1796</f>
        <v>10519.777125000001</v>
      </c>
      <c r="I1796" s="65"/>
    </row>
    <row r="1797" spans="1:9">
      <c r="A1797" s="243" t="s">
        <v>172</v>
      </c>
      <c r="B1797" s="179" t="s">
        <v>189</v>
      </c>
      <c r="C1797" s="583">
        <v>1</v>
      </c>
      <c r="D1797" s="160" t="s">
        <v>583</v>
      </c>
      <c r="E1797" s="585">
        <f>0.05*H1798</f>
        <v>1227.3073312500001</v>
      </c>
      <c r="F1797" s="65"/>
      <c r="G1797" s="65"/>
      <c r="H1797" s="65"/>
      <c r="I1797" s="65">
        <f>+E1797*C1797</f>
        <v>1227.3073312500001</v>
      </c>
    </row>
    <row r="1798" spans="1:9">
      <c r="A1798" s="587" t="s">
        <v>190</v>
      </c>
      <c r="B1798" s="588">
        <f>SUM(G1798:I1798)</f>
        <v>25773.453956249999</v>
      </c>
      <c r="C1798" s="583"/>
      <c r="D1798" s="169"/>
      <c r="E1798" s="585"/>
      <c r="F1798" s="65">
        <v>0</v>
      </c>
      <c r="G1798" s="65">
        <f>SUM(G1795:G1797)</f>
        <v>0</v>
      </c>
      <c r="H1798" s="65">
        <f>SUM(H1795:H1797)</f>
        <v>24546.146625000001</v>
      </c>
      <c r="I1798" s="65">
        <f>SUM(I1797:I1797)</f>
        <v>1227.3073312500001</v>
      </c>
    </row>
    <row r="1799" spans="1:9">
      <c r="A1799" s="21" t="s">
        <v>3708</v>
      </c>
      <c r="B1799" s="39">
        <f>+B1798*AIU</f>
        <v>7621.7901362232878</v>
      </c>
      <c r="C1799" s="589"/>
      <c r="D1799" s="31"/>
      <c r="E1799" s="170"/>
      <c r="F1799" s="590"/>
      <c r="G1799" s="590"/>
      <c r="H1799" s="590"/>
      <c r="I1799" s="590"/>
    </row>
    <row r="1800" spans="1:9">
      <c r="A1800" s="587" t="s">
        <v>191</v>
      </c>
      <c r="B1800" s="39">
        <f>SUM(B1798:B1799)</f>
        <v>33395.244092473287</v>
      </c>
      <c r="C1800" s="591" t="s">
        <v>363</v>
      </c>
      <c r="D1800" s="13"/>
      <c r="E1800" s="170"/>
      <c r="F1800" s="170"/>
      <c r="G1800" s="170"/>
      <c r="H1800" s="170"/>
      <c r="I1800" s="170"/>
    </row>
    <row r="1802" spans="1:9">
      <c r="A1802" s="594" t="s">
        <v>441</v>
      </c>
      <c r="B1802" s="3547" t="s">
        <v>3738</v>
      </c>
      <c r="C1802" s="3548"/>
      <c r="D1802" s="3548"/>
      <c r="E1802" s="3548"/>
      <c r="F1802" s="3548"/>
      <c r="G1802" s="3548"/>
      <c r="H1802" s="3548"/>
      <c r="I1802" s="3549"/>
    </row>
    <row r="1803" spans="1:9">
      <c r="A1803" s="243" t="s">
        <v>1520</v>
      </c>
      <c r="B1803" s="179" t="s">
        <v>1521</v>
      </c>
      <c r="C1803" s="583" t="s">
        <v>140</v>
      </c>
      <c r="D1803" s="243" t="s">
        <v>343</v>
      </c>
      <c r="E1803" s="585" t="s">
        <v>344</v>
      </c>
      <c r="F1803" s="65" t="s">
        <v>482</v>
      </c>
      <c r="G1803" s="65" t="s">
        <v>483</v>
      </c>
      <c r="H1803" s="65" t="s">
        <v>232</v>
      </c>
      <c r="I1803" s="65" t="s">
        <v>171</v>
      </c>
    </row>
    <row r="1804" spans="1:9" ht="26.4">
      <c r="A1804" s="530" t="s">
        <v>2152</v>
      </c>
      <c r="B1804" s="531" t="s">
        <v>2153</v>
      </c>
      <c r="C1804" s="583">
        <v>1</v>
      </c>
      <c r="D1804" s="160" t="s">
        <v>363</v>
      </c>
      <c r="E1804" s="585">
        <f>VLOOKUP(B1804,MATERIALES!B:C,2,0)</f>
        <v>25000</v>
      </c>
      <c r="F1804" s="65"/>
      <c r="G1804" s="585">
        <f t="shared" ref="G1804:G1808" si="6">+C1804*E1804</f>
        <v>25000</v>
      </c>
      <c r="H1804" s="65"/>
      <c r="I1804" s="65"/>
    </row>
    <row r="1805" spans="1:9">
      <c r="A1805" s="530" t="s">
        <v>1554</v>
      </c>
      <c r="B1805" s="534" t="s">
        <v>1555</v>
      </c>
      <c r="C1805" s="583">
        <v>18</v>
      </c>
      <c r="D1805" s="160" t="s">
        <v>363</v>
      </c>
      <c r="E1805" s="585">
        <f>VLOOKUP(B1805,MATERIALES!B:C,2,0)</f>
        <v>736.59999999999991</v>
      </c>
      <c r="F1805" s="65"/>
      <c r="G1805" s="585">
        <f t="shared" si="6"/>
        <v>13258.8</v>
      </c>
      <c r="H1805" s="65"/>
      <c r="I1805" s="65"/>
    </row>
    <row r="1806" spans="1:9">
      <c r="A1806" s="530" t="s">
        <v>2259</v>
      </c>
      <c r="B1806" s="531" t="s">
        <v>2260</v>
      </c>
      <c r="C1806" s="583">
        <v>6</v>
      </c>
      <c r="D1806" s="160" t="s">
        <v>363</v>
      </c>
      <c r="E1806" s="585">
        <f>VLOOKUP(B1806,MATERIALES!B:C,2,0)</f>
        <v>631.81333333333328</v>
      </c>
      <c r="F1806" s="65"/>
      <c r="G1806" s="585">
        <f t="shared" si="6"/>
        <v>3790.8799999999997</v>
      </c>
      <c r="H1806" s="65"/>
      <c r="I1806" s="65"/>
    </row>
    <row r="1807" spans="1:9">
      <c r="A1807" s="530" t="s">
        <v>1726</v>
      </c>
      <c r="B1807" s="534" t="s">
        <v>1727</v>
      </c>
      <c r="C1807" s="583">
        <v>1</v>
      </c>
      <c r="D1807" s="160" t="s">
        <v>363</v>
      </c>
      <c r="E1807" s="585">
        <f>VLOOKUP(B1807,MATERIALES!B:C,2,0)</f>
        <v>371.2</v>
      </c>
      <c r="F1807" s="65"/>
      <c r="G1807" s="585">
        <f t="shared" si="6"/>
        <v>371.2</v>
      </c>
      <c r="H1807" s="65"/>
      <c r="I1807" s="65"/>
    </row>
    <row r="1808" spans="1:9">
      <c r="A1808" s="530" t="s">
        <v>1827</v>
      </c>
      <c r="B1808" s="534" t="s">
        <v>1828</v>
      </c>
      <c r="C1808" s="583">
        <v>2</v>
      </c>
      <c r="D1808" s="160" t="s">
        <v>363</v>
      </c>
      <c r="E1808" s="585">
        <f>VLOOKUP(B1808,MATERIALES!B:C,2,0)</f>
        <v>174</v>
      </c>
      <c r="F1808" s="65"/>
      <c r="G1808" s="585">
        <f t="shared" si="6"/>
        <v>348</v>
      </c>
      <c r="H1808" s="65"/>
      <c r="I1808" s="65"/>
    </row>
    <row r="1809" spans="1:9">
      <c r="A1809" s="243" t="s">
        <v>584</v>
      </c>
      <c r="B1809" s="180" t="s">
        <v>2236</v>
      </c>
      <c r="C1809" s="595">
        <v>1E-3</v>
      </c>
      <c r="D1809" s="243" t="s">
        <v>583</v>
      </c>
      <c r="E1809" s="585">
        <f>VLOOKUP(B1809,MATERIALES!B:C,2,0)</f>
        <v>750000</v>
      </c>
      <c r="F1809" s="65"/>
      <c r="G1809" s="65"/>
      <c r="H1809" s="65"/>
      <c r="I1809" s="65">
        <f>+E1809*C1809</f>
        <v>750</v>
      </c>
    </row>
    <row r="1810" spans="1:9">
      <c r="A1810" s="587" t="s">
        <v>190</v>
      </c>
      <c r="B1810" s="588">
        <f>SUM(G1810:I1810)</f>
        <v>43518.879999999997</v>
      </c>
      <c r="C1810" s="583"/>
      <c r="D1810" s="169"/>
      <c r="E1810" s="585"/>
      <c r="F1810" s="65">
        <v>0</v>
      </c>
      <c r="G1810" s="65">
        <f>SUM(G1804:G1809)</f>
        <v>42768.88</v>
      </c>
      <c r="H1810" s="65">
        <f>SUM(H1806:H1809)</f>
        <v>0</v>
      </c>
      <c r="I1810" s="65">
        <f>SUM(I1809:I1809)</f>
        <v>750</v>
      </c>
    </row>
    <row r="1811" spans="1:9">
      <c r="A1811" s="21" t="s">
        <v>3708</v>
      </c>
      <c r="B1811" s="39">
        <f>+B1810*AIU</f>
        <v>12869.511819662433</v>
      </c>
      <c r="C1811" s="589"/>
      <c r="D1811" s="31"/>
      <c r="E1811" s="170"/>
      <c r="F1811" s="590"/>
      <c r="G1811" s="590"/>
      <c r="H1811" s="590"/>
      <c r="I1811" s="590"/>
    </row>
    <row r="1812" spans="1:9">
      <c r="A1812" s="587" t="s">
        <v>191</v>
      </c>
      <c r="B1812" s="39">
        <f>SUM(B1810:B1811)</f>
        <v>56388.391819662429</v>
      </c>
      <c r="C1812" s="591" t="s">
        <v>363</v>
      </c>
      <c r="D1812" s="13"/>
      <c r="E1812" s="170"/>
      <c r="F1812" s="170"/>
      <c r="G1812" s="170"/>
      <c r="H1812" s="170"/>
      <c r="I1812" s="170"/>
    </row>
    <row r="1813" spans="1:9">
      <c r="A1813" s="596"/>
      <c r="B1813" s="597"/>
      <c r="C1813" s="598"/>
      <c r="D1813" s="596"/>
      <c r="E1813" s="599"/>
      <c r="F1813" s="599"/>
      <c r="G1813" s="599"/>
      <c r="H1813" s="599"/>
      <c r="I1813" s="599"/>
    </row>
    <row r="1814" spans="1:9">
      <c r="A1814" s="594" t="s">
        <v>441</v>
      </c>
      <c r="B1814" s="3547" t="s">
        <v>3739</v>
      </c>
      <c r="C1814" s="3548"/>
      <c r="D1814" s="3548"/>
      <c r="E1814" s="3548"/>
      <c r="F1814" s="3548"/>
      <c r="G1814" s="3548"/>
      <c r="H1814" s="3548"/>
      <c r="I1814" s="3549"/>
    </row>
    <row r="1815" spans="1:9">
      <c r="A1815" s="243" t="s">
        <v>1520</v>
      </c>
      <c r="B1815" s="179" t="s">
        <v>1521</v>
      </c>
      <c r="C1815" s="583" t="s">
        <v>140</v>
      </c>
      <c r="D1815" s="243" t="s">
        <v>343</v>
      </c>
      <c r="E1815" s="585" t="s">
        <v>344</v>
      </c>
      <c r="F1815" s="65" t="s">
        <v>482</v>
      </c>
      <c r="G1815" s="65" t="s">
        <v>483</v>
      </c>
      <c r="H1815" s="65" t="s">
        <v>232</v>
      </c>
      <c r="I1815" s="65" t="s">
        <v>171</v>
      </c>
    </row>
    <row r="1816" spans="1:9">
      <c r="A1816" s="243" t="s">
        <v>345</v>
      </c>
      <c r="B1816" s="592" t="s">
        <v>1997</v>
      </c>
      <c r="C1816" s="583">
        <v>0.25</v>
      </c>
      <c r="D1816" s="243" t="s">
        <v>346</v>
      </c>
      <c r="E1816" s="585">
        <f>VLOOKUP(B1816,MATERIALES!B:C,2,0)</f>
        <v>56105.478000000003</v>
      </c>
      <c r="F1816" s="65"/>
      <c r="G1816" s="65"/>
      <c r="H1816" s="65">
        <f>+E1816*C1816</f>
        <v>14026.369500000001</v>
      </c>
      <c r="I1816" s="65"/>
    </row>
    <row r="1817" spans="1:9">
      <c r="A1817" s="243" t="s">
        <v>347</v>
      </c>
      <c r="B1817" s="592" t="s">
        <v>1576</v>
      </c>
      <c r="C1817" s="583">
        <v>0.25</v>
      </c>
      <c r="D1817" s="243" t="s">
        <v>346</v>
      </c>
      <c r="E1817" s="585">
        <f>VLOOKUP(B1817,MATERIALES!B:C,2,0)</f>
        <v>42079.108500000002</v>
      </c>
      <c r="F1817" s="65"/>
      <c r="G1817" s="65"/>
      <c r="H1817" s="65">
        <f>+E1817*C1817</f>
        <v>10519.777125000001</v>
      </c>
      <c r="I1817" s="65"/>
    </row>
    <row r="1818" spans="1:9">
      <c r="A1818" s="243" t="s">
        <v>172</v>
      </c>
      <c r="B1818" s="179" t="s">
        <v>189</v>
      </c>
      <c r="C1818" s="583">
        <v>1</v>
      </c>
      <c r="D1818" s="160" t="s">
        <v>583</v>
      </c>
      <c r="E1818" s="585">
        <f>0.05*H1819</f>
        <v>1227.3073312500001</v>
      </c>
      <c r="F1818" s="65"/>
      <c r="G1818" s="65"/>
      <c r="H1818" s="65"/>
      <c r="I1818" s="65">
        <f>+E1818*C1818</f>
        <v>1227.3073312500001</v>
      </c>
    </row>
    <row r="1819" spans="1:9">
      <c r="A1819" s="587" t="s">
        <v>190</v>
      </c>
      <c r="B1819" s="588">
        <f>SUM(G1819:I1819)</f>
        <v>25773.453956249999</v>
      </c>
      <c r="C1819" s="583"/>
      <c r="D1819" s="169"/>
      <c r="E1819" s="585"/>
      <c r="F1819" s="65">
        <v>0</v>
      </c>
      <c r="G1819" s="65">
        <f>SUM(G1816:G1818)</f>
        <v>0</v>
      </c>
      <c r="H1819" s="65">
        <f>SUM(H1816:H1818)</f>
        <v>24546.146625000001</v>
      </c>
      <c r="I1819" s="65">
        <f>SUM(I1818:I1818)</f>
        <v>1227.3073312500001</v>
      </c>
    </row>
    <row r="1820" spans="1:9">
      <c r="A1820" s="21" t="s">
        <v>3708</v>
      </c>
      <c r="B1820" s="39">
        <f>+B1819*AIU</f>
        <v>7621.7901362232878</v>
      </c>
      <c r="C1820" s="589"/>
      <c r="D1820" s="31"/>
      <c r="E1820" s="170"/>
      <c r="F1820" s="590"/>
      <c r="G1820" s="590"/>
      <c r="H1820" s="590"/>
      <c r="I1820" s="590"/>
    </row>
    <row r="1821" spans="1:9">
      <c r="A1821" s="587" t="s">
        <v>191</v>
      </c>
      <c r="B1821" s="39">
        <f>SUM(B1819:B1820)</f>
        <v>33395.244092473287</v>
      </c>
      <c r="C1821" s="591" t="s">
        <v>363</v>
      </c>
      <c r="D1821" s="13"/>
      <c r="E1821" s="170"/>
      <c r="F1821" s="170"/>
      <c r="G1821" s="170"/>
      <c r="H1821" s="170"/>
      <c r="I1821" s="170"/>
    </row>
    <row r="1822" spans="1:9">
      <c r="A1822" s="596"/>
      <c r="B1822" s="597"/>
      <c r="C1822" s="598"/>
      <c r="D1822" s="596"/>
      <c r="E1822" s="599"/>
      <c r="F1822" s="599"/>
      <c r="G1822" s="599"/>
      <c r="H1822" s="599"/>
      <c r="I1822" s="599"/>
    </row>
    <row r="1823" spans="1:9">
      <c r="A1823" s="594" t="s">
        <v>441</v>
      </c>
      <c r="B1823" s="3547" t="s">
        <v>3740</v>
      </c>
      <c r="C1823" s="3548"/>
      <c r="D1823" s="3548"/>
      <c r="E1823" s="3548"/>
      <c r="F1823" s="3548"/>
      <c r="G1823" s="3548"/>
      <c r="H1823" s="3548"/>
      <c r="I1823" s="3549"/>
    </row>
    <row r="1824" spans="1:9">
      <c r="A1824" s="243" t="s">
        <v>1520</v>
      </c>
      <c r="B1824" s="179" t="s">
        <v>1521</v>
      </c>
      <c r="C1824" s="583" t="s">
        <v>140</v>
      </c>
      <c r="D1824" s="243" t="s">
        <v>343</v>
      </c>
      <c r="E1824" s="585" t="s">
        <v>344</v>
      </c>
      <c r="F1824" s="65" t="s">
        <v>482</v>
      </c>
      <c r="G1824" s="65" t="s">
        <v>483</v>
      </c>
      <c r="H1824" s="65" t="s">
        <v>232</v>
      </c>
      <c r="I1824" s="65" t="s">
        <v>171</v>
      </c>
    </row>
    <row r="1825" spans="1:9">
      <c r="A1825" s="530" t="s">
        <v>2148</v>
      </c>
      <c r="B1825" s="531" t="s">
        <v>2149</v>
      </c>
      <c r="C1825" s="583">
        <v>1</v>
      </c>
      <c r="D1825" s="160" t="s">
        <v>363</v>
      </c>
      <c r="E1825" s="585">
        <f>VLOOKUP(B1825,MATERIALES!B:C,2,0)</f>
        <v>7191.9999999999991</v>
      </c>
      <c r="F1825" s="65"/>
      <c r="G1825" s="585">
        <f t="shared" ref="G1825:G1829" si="7">+C1825*E1825</f>
        <v>7191.9999999999991</v>
      </c>
      <c r="H1825" s="65"/>
      <c r="I1825" s="65"/>
    </row>
    <row r="1826" spans="1:9">
      <c r="A1826" s="530" t="s">
        <v>1554</v>
      </c>
      <c r="B1826" s="534" t="s">
        <v>1555</v>
      </c>
      <c r="C1826" s="583">
        <v>18</v>
      </c>
      <c r="D1826" s="160" t="s">
        <v>363</v>
      </c>
      <c r="E1826" s="585">
        <f>VLOOKUP(B1826,MATERIALES!B:C,2,0)</f>
        <v>736.59999999999991</v>
      </c>
      <c r="F1826" s="65"/>
      <c r="G1826" s="585">
        <f t="shared" si="7"/>
        <v>13258.8</v>
      </c>
      <c r="H1826" s="65"/>
      <c r="I1826" s="65"/>
    </row>
    <row r="1827" spans="1:9">
      <c r="A1827" s="530" t="s">
        <v>2259</v>
      </c>
      <c r="B1827" s="531" t="s">
        <v>2260</v>
      </c>
      <c r="C1827" s="583">
        <v>6</v>
      </c>
      <c r="D1827" s="160" t="s">
        <v>363</v>
      </c>
      <c r="E1827" s="585">
        <f>VLOOKUP(B1827,MATERIALES!B:C,2,0)</f>
        <v>631.81333333333328</v>
      </c>
      <c r="F1827" s="65"/>
      <c r="G1827" s="585">
        <f t="shared" si="7"/>
        <v>3790.8799999999997</v>
      </c>
      <c r="H1827" s="65"/>
      <c r="I1827" s="65"/>
    </row>
    <row r="1828" spans="1:9">
      <c r="A1828" s="530" t="s">
        <v>1726</v>
      </c>
      <c r="B1828" s="534" t="s">
        <v>1727</v>
      </c>
      <c r="C1828" s="583">
        <v>1</v>
      </c>
      <c r="D1828" s="160" t="s">
        <v>363</v>
      </c>
      <c r="E1828" s="585">
        <f>VLOOKUP(B1828,MATERIALES!B:C,2,0)</f>
        <v>371.2</v>
      </c>
      <c r="F1828" s="65"/>
      <c r="G1828" s="585">
        <f t="shared" si="7"/>
        <v>371.2</v>
      </c>
      <c r="H1828" s="65"/>
      <c r="I1828" s="65"/>
    </row>
    <row r="1829" spans="1:9">
      <c r="A1829" s="530" t="s">
        <v>1827</v>
      </c>
      <c r="B1829" s="534" t="s">
        <v>1828</v>
      </c>
      <c r="C1829" s="583">
        <v>2</v>
      </c>
      <c r="D1829" s="160" t="s">
        <v>363</v>
      </c>
      <c r="E1829" s="585">
        <f>VLOOKUP(B1829,MATERIALES!B:C,2,0)</f>
        <v>174</v>
      </c>
      <c r="F1829" s="65"/>
      <c r="G1829" s="585">
        <f t="shared" si="7"/>
        <v>348</v>
      </c>
      <c r="H1829" s="65"/>
      <c r="I1829" s="65"/>
    </row>
    <row r="1830" spans="1:9">
      <c r="A1830" s="243" t="s">
        <v>345</v>
      </c>
      <c r="B1830" s="592" t="s">
        <v>1997</v>
      </c>
      <c r="C1830" s="583">
        <v>0.25</v>
      </c>
      <c r="D1830" s="243" t="s">
        <v>346</v>
      </c>
      <c r="E1830" s="585">
        <f>VLOOKUP(B1830,MATERIALES!B:C,2,0)</f>
        <v>56105.478000000003</v>
      </c>
      <c r="F1830" s="65"/>
      <c r="G1830" s="65"/>
      <c r="H1830" s="65">
        <f>+E1830*C1830</f>
        <v>14026.369500000001</v>
      </c>
      <c r="I1830" s="65"/>
    </row>
    <row r="1831" spans="1:9">
      <c r="A1831" s="243" t="s">
        <v>347</v>
      </c>
      <c r="B1831" s="592" t="s">
        <v>1576</v>
      </c>
      <c r="C1831" s="583">
        <v>0.25</v>
      </c>
      <c r="D1831" s="243" t="s">
        <v>346</v>
      </c>
      <c r="E1831" s="585">
        <f>VLOOKUP(B1831,MATERIALES!B:C,2,0)</f>
        <v>42079.108500000002</v>
      </c>
      <c r="F1831" s="65"/>
      <c r="G1831" s="65"/>
      <c r="H1831" s="65">
        <f>+E1831*C1831</f>
        <v>10519.777125000001</v>
      </c>
      <c r="I1831" s="65"/>
    </row>
    <row r="1832" spans="1:9">
      <c r="A1832" s="243" t="s">
        <v>584</v>
      </c>
      <c r="B1832" s="180" t="s">
        <v>2236</v>
      </c>
      <c r="C1832" s="595">
        <v>1E-3</v>
      </c>
      <c r="D1832" s="243" t="s">
        <v>583</v>
      </c>
      <c r="E1832" s="585">
        <f>VLOOKUP(B1832,MATERIALES!B:C,2,0)</f>
        <v>750000</v>
      </c>
      <c r="F1832" s="65"/>
      <c r="G1832" s="65"/>
      <c r="H1832" s="65"/>
      <c r="I1832" s="65">
        <f>+E1832*C1832</f>
        <v>750</v>
      </c>
    </row>
    <row r="1833" spans="1:9">
      <c r="A1833" s="243" t="s">
        <v>172</v>
      </c>
      <c r="B1833" s="179" t="s">
        <v>189</v>
      </c>
      <c r="C1833" s="583">
        <v>1</v>
      </c>
      <c r="D1833" s="160" t="s">
        <v>583</v>
      </c>
      <c r="E1833" s="585">
        <f>0.05*H1834</f>
        <v>1227.3073312500001</v>
      </c>
      <c r="F1833" s="65"/>
      <c r="G1833" s="65"/>
      <c r="H1833" s="65"/>
      <c r="I1833" s="65">
        <f>+E1833*C1833</f>
        <v>1227.3073312500001</v>
      </c>
    </row>
    <row r="1834" spans="1:9">
      <c r="A1834" s="587" t="s">
        <v>190</v>
      </c>
      <c r="B1834" s="588">
        <f>SUM(G1834:I1834)</f>
        <v>51484.333956249997</v>
      </c>
      <c r="C1834" s="583"/>
      <c r="D1834" s="169"/>
      <c r="E1834" s="585"/>
      <c r="F1834" s="65">
        <v>0</v>
      </c>
      <c r="G1834" s="65">
        <f>SUM(G1825:G1833)</f>
        <v>24960.880000000001</v>
      </c>
      <c r="H1834" s="65">
        <f>SUM(H1827:H1833)</f>
        <v>24546.146625000001</v>
      </c>
      <c r="I1834" s="65">
        <f>SUM(I1832:I1833)</f>
        <v>1977.3073312500001</v>
      </c>
    </row>
    <row r="1835" spans="1:9">
      <c r="A1835" s="21" t="s">
        <v>3708</v>
      </c>
      <c r="B1835" s="39">
        <f>+B1834*AIU</f>
        <v>15225.075745915505</v>
      </c>
      <c r="C1835" s="589"/>
      <c r="D1835" s="31"/>
      <c r="E1835" s="170"/>
      <c r="F1835" s="590"/>
      <c r="G1835" s="590"/>
      <c r="H1835" s="590"/>
      <c r="I1835" s="590"/>
    </row>
    <row r="1836" spans="1:9">
      <c r="A1836" s="587" t="s">
        <v>191</v>
      </c>
      <c r="B1836" s="39">
        <f>SUM(B1834:B1835)</f>
        <v>66709.409702165503</v>
      </c>
      <c r="C1836" s="591" t="s">
        <v>363</v>
      </c>
      <c r="D1836" s="13"/>
      <c r="E1836" s="170"/>
      <c r="F1836" s="170"/>
      <c r="G1836" s="170"/>
      <c r="H1836" s="170"/>
      <c r="I1836" s="170"/>
    </row>
    <row r="1838" spans="1:9">
      <c r="A1838" s="594" t="s">
        <v>441</v>
      </c>
      <c r="B1838" s="3547" t="s">
        <v>3741</v>
      </c>
      <c r="C1838" s="3548"/>
      <c r="D1838" s="3548"/>
      <c r="E1838" s="3548"/>
      <c r="F1838" s="3548"/>
      <c r="G1838" s="3548"/>
      <c r="H1838" s="3548"/>
      <c r="I1838" s="3549"/>
    </row>
    <row r="1839" spans="1:9">
      <c r="A1839" s="243" t="s">
        <v>1520</v>
      </c>
      <c r="B1839" s="179" t="s">
        <v>1521</v>
      </c>
      <c r="C1839" s="583" t="s">
        <v>140</v>
      </c>
      <c r="D1839" s="243" t="s">
        <v>343</v>
      </c>
      <c r="E1839" s="585" t="s">
        <v>344</v>
      </c>
      <c r="F1839" s="65" t="s">
        <v>482</v>
      </c>
      <c r="G1839" s="65" t="s">
        <v>483</v>
      </c>
      <c r="H1839" s="65" t="s">
        <v>232</v>
      </c>
      <c r="I1839" s="65" t="s">
        <v>171</v>
      </c>
    </row>
    <row r="1840" spans="1:9">
      <c r="A1840" s="243" t="s">
        <v>345</v>
      </c>
      <c r="B1840" s="592" t="s">
        <v>1997</v>
      </c>
      <c r="C1840" s="583">
        <v>0.25</v>
      </c>
      <c r="D1840" s="243" t="s">
        <v>346</v>
      </c>
      <c r="E1840" s="585">
        <f>VLOOKUP(B1840,MATERIALES!B:C,2,0)</f>
        <v>56105.478000000003</v>
      </c>
      <c r="F1840" s="65"/>
      <c r="G1840" s="65"/>
      <c r="H1840" s="65">
        <f>+E1840*C1840</f>
        <v>14026.369500000001</v>
      </c>
      <c r="I1840" s="65"/>
    </row>
    <row r="1841" spans="1:9">
      <c r="A1841" s="243" t="s">
        <v>347</v>
      </c>
      <c r="B1841" s="592" t="s">
        <v>1576</v>
      </c>
      <c r="C1841" s="583">
        <v>0.25</v>
      </c>
      <c r="D1841" s="243" t="s">
        <v>346</v>
      </c>
      <c r="E1841" s="585">
        <f>VLOOKUP(B1841,MATERIALES!B:C,2,0)</f>
        <v>42079.108500000002</v>
      </c>
      <c r="F1841" s="65"/>
      <c r="G1841" s="65"/>
      <c r="H1841" s="65">
        <f>+E1841*C1841</f>
        <v>10519.777125000001</v>
      </c>
      <c r="I1841" s="65"/>
    </row>
    <row r="1842" spans="1:9">
      <c r="A1842" s="243" t="s">
        <v>172</v>
      </c>
      <c r="B1842" s="179" t="s">
        <v>189</v>
      </c>
      <c r="C1842" s="583">
        <v>1</v>
      </c>
      <c r="D1842" s="160" t="s">
        <v>583</v>
      </c>
      <c r="E1842" s="585">
        <f>0.05*H1843</f>
        <v>1227.3073312500001</v>
      </c>
      <c r="F1842" s="65"/>
      <c r="G1842" s="65"/>
      <c r="H1842" s="65"/>
      <c r="I1842" s="65">
        <f>+E1842*C1842</f>
        <v>1227.3073312500001</v>
      </c>
    </row>
    <row r="1843" spans="1:9">
      <c r="A1843" s="587" t="s">
        <v>190</v>
      </c>
      <c r="B1843" s="588">
        <f>SUM(G1843:I1843)</f>
        <v>25773.453956249999</v>
      </c>
      <c r="C1843" s="583"/>
      <c r="D1843" s="169"/>
      <c r="E1843" s="585"/>
      <c r="F1843" s="65">
        <v>0</v>
      </c>
      <c r="G1843" s="65">
        <f>SUM(G1840:G1842)</f>
        <v>0</v>
      </c>
      <c r="H1843" s="65">
        <f>SUM(H1840:H1842)</f>
        <v>24546.146625000001</v>
      </c>
      <c r="I1843" s="65">
        <f>SUM(I1842:I1842)</f>
        <v>1227.3073312500001</v>
      </c>
    </row>
    <row r="1844" spans="1:9">
      <c r="A1844" s="21" t="s">
        <v>3708</v>
      </c>
      <c r="B1844" s="39">
        <f>+B1843*AIU</f>
        <v>7621.7901362232878</v>
      </c>
      <c r="C1844" s="589"/>
      <c r="D1844" s="31"/>
      <c r="E1844" s="170"/>
      <c r="F1844" s="590"/>
      <c r="G1844" s="590"/>
      <c r="H1844" s="590"/>
      <c r="I1844" s="590"/>
    </row>
    <row r="1845" spans="1:9">
      <c r="A1845" s="587" t="s">
        <v>191</v>
      </c>
      <c r="B1845" s="39">
        <f>SUM(B1843:B1844)</f>
        <v>33395.244092473287</v>
      </c>
      <c r="C1845" s="591" t="s">
        <v>363</v>
      </c>
      <c r="D1845" s="13"/>
      <c r="E1845" s="170"/>
      <c r="F1845" s="170"/>
      <c r="G1845" s="170"/>
      <c r="H1845" s="170"/>
      <c r="I1845" s="170"/>
    </row>
    <row r="1847" spans="1:9">
      <c r="A1847" s="594" t="s">
        <v>441</v>
      </c>
      <c r="B1847" s="3547" t="s">
        <v>3742</v>
      </c>
      <c r="C1847" s="3548"/>
      <c r="D1847" s="3548"/>
      <c r="E1847" s="3548"/>
      <c r="F1847" s="3548"/>
      <c r="G1847" s="3548"/>
      <c r="H1847" s="3548"/>
      <c r="I1847" s="3549"/>
    </row>
    <row r="1848" spans="1:9">
      <c r="A1848" s="243" t="s">
        <v>1520</v>
      </c>
      <c r="B1848" s="179" t="s">
        <v>1521</v>
      </c>
      <c r="C1848" s="583" t="s">
        <v>140</v>
      </c>
      <c r="D1848" s="243" t="s">
        <v>343</v>
      </c>
      <c r="E1848" s="585" t="s">
        <v>344</v>
      </c>
      <c r="F1848" s="65" t="s">
        <v>482</v>
      </c>
      <c r="G1848" s="65" t="s">
        <v>483</v>
      </c>
      <c r="H1848" s="65" t="s">
        <v>232</v>
      </c>
      <c r="I1848" s="65" t="s">
        <v>171</v>
      </c>
    </row>
    <row r="1849" spans="1:9">
      <c r="A1849" s="530" t="s">
        <v>2044</v>
      </c>
      <c r="B1849" s="531" t="s">
        <v>2045</v>
      </c>
      <c r="C1849" s="583">
        <v>1</v>
      </c>
      <c r="D1849" s="160" t="s">
        <v>363</v>
      </c>
      <c r="E1849" s="585">
        <f>VLOOKUP(B1849,MATERIALES!B:C,2,0)</f>
        <v>2198.1999999999998</v>
      </c>
      <c r="F1849" s="65"/>
      <c r="G1849" s="585">
        <f t="shared" ref="G1849:G1853" si="8">+C1849*E1849</f>
        <v>2198.1999999999998</v>
      </c>
      <c r="H1849" s="65"/>
      <c r="I1849" s="65"/>
    </row>
    <row r="1850" spans="1:9">
      <c r="A1850" s="530" t="s">
        <v>1554</v>
      </c>
      <c r="B1850" s="534" t="s">
        <v>1555</v>
      </c>
      <c r="C1850" s="583">
        <v>18</v>
      </c>
      <c r="D1850" s="160" t="s">
        <v>363</v>
      </c>
      <c r="E1850" s="585">
        <f>VLOOKUP(B1850,MATERIALES!B:C,2,0)</f>
        <v>736.59999999999991</v>
      </c>
      <c r="F1850" s="65"/>
      <c r="G1850" s="585">
        <f t="shared" si="8"/>
        <v>13258.8</v>
      </c>
      <c r="H1850" s="65"/>
      <c r="I1850" s="65"/>
    </row>
    <row r="1851" spans="1:9">
      <c r="A1851" s="530" t="s">
        <v>2259</v>
      </c>
      <c r="B1851" s="531" t="s">
        <v>2260</v>
      </c>
      <c r="C1851" s="583">
        <v>6</v>
      </c>
      <c r="D1851" s="160" t="s">
        <v>363</v>
      </c>
      <c r="E1851" s="585">
        <f>VLOOKUP(B1851,MATERIALES!B:C,2,0)</f>
        <v>631.81333333333328</v>
      </c>
      <c r="F1851" s="65"/>
      <c r="G1851" s="585">
        <f t="shared" si="8"/>
        <v>3790.8799999999997</v>
      </c>
      <c r="H1851" s="65"/>
      <c r="I1851" s="65"/>
    </row>
    <row r="1852" spans="1:9">
      <c r="A1852" s="530" t="s">
        <v>1726</v>
      </c>
      <c r="B1852" s="534" t="s">
        <v>1727</v>
      </c>
      <c r="C1852" s="583">
        <v>1</v>
      </c>
      <c r="D1852" s="160" t="s">
        <v>363</v>
      </c>
      <c r="E1852" s="585">
        <f>VLOOKUP(B1852,MATERIALES!B:C,2,0)</f>
        <v>371.2</v>
      </c>
      <c r="F1852" s="65"/>
      <c r="G1852" s="585">
        <f t="shared" si="8"/>
        <v>371.2</v>
      </c>
      <c r="H1852" s="65"/>
      <c r="I1852" s="65"/>
    </row>
    <row r="1853" spans="1:9">
      <c r="A1853" s="530" t="s">
        <v>1827</v>
      </c>
      <c r="B1853" s="534" t="s">
        <v>1828</v>
      </c>
      <c r="C1853" s="583">
        <v>2</v>
      </c>
      <c r="D1853" s="160" t="s">
        <v>363</v>
      </c>
      <c r="E1853" s="585">
        <f>VLOOKUP(B1853,MATERIALES!B:C,2,0)</f>
        <v>174</v>
      </c>
      <c r="F1853" s="65"/>
      <c r="G1853" s="585">
        <f t="shared" si="8"/>
        <v>348</v>
      </c>
      <c r="H1853" s="65"/>
      <c r="I1853" s="65"/>
    </row>
    <row r="1854" spans="1:9">
      <c r="A1854" s="243" t="s">
        <v>584</v>
      </c>
      <c r="B1854" s="180" t="s">
        <v>2236</v>
      </c>
      <c r="C1854" s="595">
        <v>1E-3</v>
      </c>
      <c r="D1854" s="243" t="s">
        <v>583</v>
      </c>
      <c r="E1854" s="585">
        <f>VLOOKUP(B1854,MATERIALES!B:C,2,0)</f>
        <v>750000</v>
      </c>
      <c r="F1854" s="65"/>
      <c r="G1854" s="65"/>
      <c r="H1854" s="65"/>
      <c r="I1854" s="65">
        <f>+E1854*C1854</f>
        <v>750</v>
      </c>
    </row>
    <row r="1855" spans="1:9">
      <c r="A1855" s="587" t="s">
        <v>190</v>
      </c>
      <c r="B1855" s="588">
        <f>SUM(G1855:I1855)</f>
        <v>20717.080000000002</v>
      </c>
      <c r="C1855" s="583"/>
      <c r="D1855" s="169"/>
      <c r="E1855" s="585"/>
      <c r="F1855" s="65">
        <v>0</v>
      </c>
      <c r="G1855" s="65">
        <f>SUM(G1849:G1854)</f>
        <v>19967.080000000002</v>
      </c>
      <c r="H1855" s="65">
        <f>SUM(H1851:H1854)</f>
        <v>0</v>
      </c>
      <c r="I1855" s="65">
        <f>SUM(I1854:I1854)</f>
        <v>750</v>
      </c>
    </row>
    <row r="1856" spans="1:9">
      <c r="A1856" s="21" t="s">
        <v>3708</v>
      </c>
      <c r="B1856" s="39">
        <f>+B1855*AIU</f>
        <v>6126.5066088302883</v>
      </c>
      <c r="C1856" s="589"/>
      <c r="D1856" s="31"/>
      <c r="E1856" s="170"/>
      <c r="F1856" s="590"/>
      <c r="G1856" s="590"/>
      <c r="H1856" s="590"/>
      <c r="I1856" s="590"/>
    </row>
    <row r="1857" spans="1:9">
      <c r="A1857" s="587" t="s">
        <v>191</v>
      </c>
      <c r="B1857" s="39">
        <f>SUM(B1855:B1856)</f>
        <v>26843.58660883029</v>
      </c>
      <c r="C1857" s="591" t="s">
        <v>363</v>
      </c>
      <c r="D1857" s="13"/>
      <c r="E1857" s="170"/>
      <c r="F1857" s="170"/>
      <c r="G1857" s="170"/>
      <c r="H1857" s="170"/>
      <c r="I1857" s="170"/>
    </row>
    <row r="1859" spans="1:9">
      <c r="A1859" s="594" t="s">
        <v>441</v>
      </c>
      <c r="B1859" s="3547" t="s">
        <v>3743</v>
      </c>
      <c r="C1859" s="3548"/>
      <c r="D1859" s="3548"/>
      <c r="E1859" s="3548"/>
      <c r="F1859" s="3548"/>
      <c r="G1859" s="3548"/>
      <c r="H1859" s="3548"/>
      <c r="I1859" s="3549"/>
    </row>
    <row r="1860" spans="1:9">
      <c r="A1860" s="243" t="s">
        <v>1520</v>
      </c>
      <c r="B1860" s="179" t="s">
        <v>1521</v>
      </c>
      <c r="C1860" s="583" t="s">
        <v>140</v>
      </c>
      <c r="D1860" s="243" t="s">
        <v>343</v>
      </c>
      <c r="E1860" s="585" t="s">
        <v>344</v>
      </c>
      <c r="F1860" s="65" t="s">
        <v>482</v>
      </c>
      <c r="G1860" s="65" t="s">
        <v>483</v>
      </c>
      <c r="H1860" s="65" t="s">
        <v>232</v>
      </c>
      <c r="I1860" s="65" t="s">
        <v>171</v>
      </c>
    </row>
    <row r="1861" spans="1:9">
      <c r="A1861" s="243" t="s">
        <v>345</v>
      </c>
      <c r="B1861" s="592" t="s">
        <v>1997</v>
      </c>
      <c r="C1861" s="583">
        <v>0.25</v>
      </c>
      <c r="D1861" s="243" t="s">
        <v>346</v>
      </c>
      <c r="E1861" s="585">
        <f>VLOOKUP(B1861,MATERIALES!B:C,2,0)</f>
        <v>56105.478000000003</v>
      </c>
      <c r="F1861" s="65"/>
      <c r="G1861" s="65"/>
      <c r="H1861" s="65">
        <f>+E1861*C1861</f>
        <v>14026.369500000001</v>
      </c>
      <c r="I1861" s="65"/>
    </row>
    <row r="1862" spans="1:9">
      <c r="A1862" s="243" t="s">
        <v>347</v>
      </c>
      <c r="B1862" s="592" t="s">
        <v>1576</v>
      </c>
      <c r="C1862" s="583">
        <v>0.25</v>
      </c>
      <c r="D1862" s="243" t="s">
        <v>346</v>
      </c>
      <c r="E1862" s="585">
        <f>VLOOKUP(B1862,MATERIALES!B:C,2,0)</f>
        <v>42079.108500000002</v>
      </c>
      <c r="F1862" s="65"/>
      <c r="G1862" s="65"/>
      <c r="H1862" s="65">
        <f>+E1862*C1862</f>
        <v>10519.777125000001</v>
      </c>
      <c r="I1862" s="65"/>
    </row>
    <row r="1863" spans="1:9">
      <c r="A1863" s="243" t="s">
        <v>172</v>
      </c>
      <c r="B1863" s="179" t="s">
        <v>189</v>
      </c>
      <c r="C1863" s="583">
        <v>1</v>
      </c>
      <c r="D1863" s="160" t="s">
        <v>583</v>
      </c>
      <c r="E1863" s="585">
        <f>0.05*H1864</f>
        <v>1227.3073312500001</v>
      </c>
      <c r="F1863" s="65"/>
      <c r="G1863" s="65"/>
      <c r="H1863" s="65"/>
      <c r="I1863" s="65">
        <f>+E1863*C1863</f>
        <v>1227.3073312500001</v>
      </c>
    </row>
    <row r="1864" spans="1:9">
      <c r="A1864" s="587" t="s">
        <v>190</v>
      </c>
      <c r="B1864" s="588">
        <f>SUM(G1864:I1864)</f>
        <v>25773.453956249999</v>
      </c>
      <c r="C1864" s="583"/>
      <c r="D1864" s="169"/>
      <c r="E1864" s="585"/>
      <c r="F1864" s="65">
        <v>0</v>
      </c>
      <c r="G1864" s="65">
        <f>SUM(G1861:G1863)</f>
        <v>0</v>
      </c>
      <c r="H1864" s="65">
        <f>SUM(H1861:H1863)</f>
        <v>24546.146625000001</v>
      </c>
      <c r="I1864" s="65">
        <f>SUM(I1863:I1863)</f>
        <v>1227.3073312500001</v>
      </c>
    </row>
    <row r="1865" spans="1:9">
      <c r="A1865" s="21" t="s">
        <v>3708</v>
      </c>
      <c r="B1865" s="39">
        <f>+B1864*AIU</f>
        <v>7621.7901362232878</v>
      </c>
      <c r="C1865" s="589"/>
      <c r="D1865" s="31"/>
      <c r="E1865" s="170"/>
      <c r="F1865" s="590"/>
      <c r="G1865" s="590"/>
      <c r="H1865" s="590"/>
      <c r="I1865" s="590"/>
    </row>
    <row r="1866" spans="1:9">
      <c r="A1866" s="587" t="s">
        <v>191</v>
      </c>
      <c r="B1866" s="39">
        <f>SUM(B1864:B1865)</f>
        <v>33395.244092473287</v>
      </c>
      <c r="C1866" s="591" t="s">
        <v>363</v>
      </c>
      <c r="D1866" s="13"/>
      <c r="E1866" s="170"/>
      <c r="F1866" s="170"/>
      <c r="G1866" s="170"/>
      <c r="H1866" s="170"/>
      <c r="I1866" s="170"/>
    </row>
    <row r="1868" spans="1:9">
      <c r="A1868" s="594" t="s">
        <v>441</v>
      </c>
      <c r="B1868" s="3547" t="s">
        <v>3744</v>
      </c>
      <c r="C1868" s="3548"/>
      <c r="D1868" s="3548"/>
      <c r="E1868" s="3548"/>
      <c r="F1868" s="3548"/>
      <c r="G1868" s="3548"/>
      <c r="H1868" s="3548"/>
      <c r="I1868" s="3549"/>
    </row>
    <row r="1869" spans="1:9">
      <c r="A1869" s="243" t="s">
        <v>1520</v>
      </c>
      <c r="B1869" s="179" t="s">
        <v>1521</v>
      </c>
      <c r="C1869" s="583" t="s">
        <v>140</v>
      </c>
      <c r="D1869" s="243" t="s">
        <v>343</v>
      </c>
      <c r="E1869" s="585" t="s">
        <v>344</v>
      </c>
      <c r="F1869" s="65" t="s">
        <v>482</v>
      </c>
      <c r="G1869" s="65" t="s">
        <v>483</v>
      </c>
      <c r="H1869" s="65" t="s">
        <v>232</v>
      </c>
      <c r="I1869" s="65" t="s">
        <v>171</v>
      </c>
    </row>
    <row r="1870" spans="1:9">
      <c r="A1870" s="547" t="s">
        <v>2112</v>
      </c>
      <c r="B1870" s="534" t="s">
        <v>2113</v>
      </c>
      <c r="C1870" s="583">
        <v>1</v>
      </c>
      <c r="D1870" s="160" t="s">
        <v>363</v>
      </c>
      <c r="E1870" s="585">
        <f>VLOOKUP(B1870,MATERIALES!B:C,2,0)</f>
        <v>5800</v>
      </c>
      <c r="F1870" s="65"/>
      <c r="G1870" s="585">
        <f t="shared" ref="G1870:G1874" si="9">+C1870*E1870</f>
        <v>5800</v>
      </c>
      <c r="H1870" s="65"/>
      <c r="I1870" s="65"/>
    </row>
    <row r="1871" spans="1:9">
      <c r="A1871" s="530" t="s">
        <v>1554</v>
      </c>
      <c r="B1871" s="534" t="s">
        <v>1555</v>
      </c>
      <c r="C1871" s="583">
        <v>18</v>
      </c>
      <c r="D1871" s="160" t="s">
        <v>363</v>
      </c>
      <c r="E1871" s="585">
        <f>VLOOKUP(B1871,MATERIALES!B:C,2,0)</f>
        <v>736.59999999999991</v>
      </c>
      <c r="F1871" s="65"/>
      <c r="G1871" s="585">
        <f t="shared" si="9"/>
        <v>13258.8</v>
      </c>
      <c r="H1871" s="65"/>
      <c r="I1871" s="65"/>
    </row>
    <row r="1872" spans="1:9">
      <c r="A1872" s="530" t="s">
        <v>2259</v>
      </c>
      <c r="B1872" s="531" t="s">
        <v>2260</v>
      </c>
      <c r="C1872" s="583">
        <v>6</v>
      </c>
      <c r="D1872" s="160" t="s">
        <v>363</v>
      </c>
      <c r="E1872" s="585">
        <f>VLOOKUP(B1872,MATERIALES!B:C,2,0)</f>
        <v>631.81333333333328</v>
      </c>
      <c r="F1872" s="65"/>
      <c r="G1872" s="585">
        <f t="shared" si="9"/>
        <v>3790.8799999999997</v>
      </c>
      <c r="H1872" s="65"/>
      <c r="I1872" s="65"/>
    </row>
    <row r="1873" spans="1:9">
      <c r="A1873" s="530" t="s">
        <v>1726</v>
      </c>
      <c r="B1873" s="534" t="s">
        <v>1727</v>
      </c>
      <c r="C1873" s="583">
        <v>1</v>
      </c>
      <c r="D1873" s="160" t="s">
        <v>363</v>
      </c>
      <c r="E1873" s="585">
        <f>VLOOKUP(B1873,MATERIALES!B:C,2,0)</f>
        <v>371.2</v>
      </c>
      <c r="F1873" s="65"/>
      <c r="G1873" s="585">
        <f t="shared" si="9"/>
        <v>371.2</v>
      </c>
      <c r="H1873" s="65"/>
      <c r="I1873" s="65"/>
    </row>
    <row r="1874" spans="1:9">
      <c r="A1874" s="530" t="s">
        <v>1827</v>
      </c>
      <c r="B1874" s="534" t="s">
        <v>1828</v>
      </c>
      <c r="C1874" s="583">
        <v>2</v>
      </c>
      <c r="D1874" s="160" t="s">
        <v>363</v>
      </c>
      <c r="E1874" s="585">
        <f>VLOOKUP(B1874,MATERIALES!B:C,2,0)</f>
        <v>174</v>
      </c>
      <c r="F1874" s="65"/>
      <c r="G1874" s="585">
        <f t="shared" si="9"/>
        <v>348</v>
      </c>
      <c r="H1874" s="65"/>
      <c r="I1874" s="65"/>
    </row>
    <row r="1875" spans="1:9">
      <c r="A1875" s="243" t="s">
        <v>584</v>
      </c>
      <c r="B1875" s="180" t="s">
        <v>2236</v>
      </c>
      <c r="C1875" s="595">
        <v>1E-3</v>
      </c>
      <c r="D1875" s="243" t="s">
        <v>583</v>
      </c>
      <c r="E1875" s="585">
        <f>VLOOKUP(B1875,MATERIALES!B:C,2,0)</f>
        <v>750000</v>
      </c>
      <c r="F1875" s="65"/>
      <c r="G1875" s="65"/>
      <c r="H1875" s="65"/>
      <c r="I1875" s="65">
        <f>+E1875*C1875</f>
        <v>750</v>
      </c>
    </row>
    <row r="1876" spans="1:9">
      <c r="A1876" s="587" t="s">
        <v>190</v>
      </c>
      <c r="B1876" s="588">
        <f>SUM(G1876:I1876)</f>
        <v>24318.880000000001</v>
      </c>
      <c r="C1876" s="583"/>
      <c r="D1876" s="169"/>
      <c r="E1876" s="585"/>
      <c r="F1876" s="65">
        <v>0</v>
      </c>
      <c r="G1876" s="65">
        <f>SUM(G1870:G1875)</f>
        <v>23568.880000000001</v>
      </c>
      <c r="H1876" s="65">
        <f>SUM(H1872:H1875)</f>
        <v>0</v>
      </c>
      <c r="I1876" s="65">
        <f>SUM(I1875:I1875)</f>
        <v>750</v>
      </c>
    </row>
    <row r="1877" spans="1:9">
      <c r="A1877" s="21" t="s">
        <v>3708</v>
      </c>
      <c r="B1877" s="39">
        <f>+B1876*AIU</f>
        <v>7191.639895166245</v>
      </c>
      <c r="C1877" s="589"/>
      <c r="D1877" s="31"/>
      <c r="E1877" s="170"/>
      <c r="F1877" s="590"/>
      <c r="G1877" s="590"/>
      <c r="H1877" s="590"/>
      <c r="I1877" s="590"/>
    </row>
    <row r="1878" spans="1:9">
      <c r="A1878" s="587" t="s">
        <v>191</v>
      </c>
      <c r="B1878" s="39">
        <f>SUM(B1876:B1877)</f>
        <v>31510.519895166246</v>
      </c>
      <c r="C1878" s="591" t="s">
        <v>363</v>
      </c>
      <c r="D1878" s="13"/>
      <c r="E1878" s="170"/>
      <c r="F1878" s="170"/>
      <c r="G1878" s="170"/>
      <c r="H1878" s="170"/>
      <c r="I1878" s="170"/>
    </row>
    <row r="1880" spans="1:9">
      <c r="A1880" s="594" t="s">
        <v>441</v>
      </c>
      <c r="B1880" s="3547" t="s">
        <v>3745</v>
      </c>
      <c r="C1880" s="3548"/>
      <c r="D1880" s="3548"/>
      <c r="E1880" s="3548"/>
      <c r="F1880" s="3548"/>
      <c r="G1880" s="3548"/>
      <c r="H1880" s="3548"/>
      <c r="I1880" s="3549"/>
    </row>
    <row r="1881" spans="1:9">
      <c r="A1881" s="243" t="s">
        <v>1520</v>
      </c>
      <c r="B1881" s="179" t="s">
        <v>1521</v>
      </c>
      <c r="C1881" s="583" t="s">
        <v>140</v>
      </c>
      <c r="D1881" s="243" t="s">
        <v>343</v>
      </c>
      <c r="E1881" s="585" t="s">
        <v>344</v>
      </c>
      <c r="F1881" s="65" t="s">
        <v>482</v>
      </c>
      <c r="G1881" s="65" t="s">
        <v>483</v>
      </c>
      <c r="H1881" s="65" t="s">
        <v>232</v>
      </c>
      <c r="I1881" s="65" t="s">
        <v>171</v>
      </c>
    </row>
    <row r="1882" spans="1:9">
      <c r="A1882" s="243" t="s">
        <v>345</v>
      </c>
      <c r="B1882" s="592" t="s">
        <v>1997</v>
      </c>
      <c r="C1882" s="583">
        <v>0.25</v>
      </c>
      <c r="D1882" s="243" t="s">
        <v>346</v>
      </c>
      <c r="E1882" s="585">
        <f>VLOOKUP(B1882,MATERIALES!B:C,2,0)</f>
        <v>56105.478000000003</v>
      </c>
      <c r="F1882" s="65"/>
      <c r="G1882" s="65"/>
      <c r="H1882" s="65">
        <f>+E1882*C1882</f>
        <v>14026.369500000001</v>
      </c>
      <c r="I1882" s="65"/>
    </row>
    <row r="1883" spans="1:9">
      <c r="A1883" s="243" t="s">
        <v>347</v>
      </c>
      <c r="B1883" s="592" t="s">
        <v>1576</v>
      </c>
      <c r="C1883" s="583">
        <v>0.25</v>
      </c>
      <c r="D1883" s="243" t="s">
        <v>346</v>
      </c>
      <c r="E1883" s="585">
        <f>VLOOKUP(B1883,MATERIALES!B:C,2,0)</f>
        <v>42079.108500000002</v>
      </c>
      <c r="F1883" s="65"/>
      <c r="G1883" s="65"/>
      <c r="H1883" s="65">
        <f>+E1883*C1883</f>
        <v>10519.777125000001</v>
      </c>
      <c r="I1883" s="65"/>
    </row>
    <row r="1884" spans="1:9">
      <c r="A1884" s="243" t="s">
        <v>172</v>
      </c>
      <c r="B1884" s="179" t="s">
        <v>189</v>
      </c>
      <c r="C1884" s="583">
        <v>1</v>
      </c>
      <c r="D1884" s="160" t="s">
        <v>583</v>
      </c>
      <c r="E1884" s="585">
        <f>0.05*H1885</f>
        <v>1227.3073312500001</v>
      </c>
      <c r="F1884" s="65"/>
      <c r="G1884" s="65"/>
      <c r="H1884" s="65"/>
      <c r="I1884" s="65">
        <f>+E1884*C1884</f>
        <v>1227.3073312500001</v>
      </c>
    </row>
    <row r="1885" spans="1:9">
      <c r="A1885" s="587" t="s">
        <v>190</v>
      </c>
      <c r="B1885" s="588">
        <f>SUM(G1885:I1885)</f>
        <v>25773.453956249999</v>
      </c>
      <c r="C1885" s="583"/>
      <c r="D1885" s="169"/>
      <c r="E1885" s="585"/>
      <c r="F1885" s="65">
        <v>0</v>
      </c>
      <c r="G1885" s="65">
        <f>SUM(G1882:G1884)</f>
        <v>0</v>
      </c>
      <c r="H1885" s="65">
        <f>SUM(H1882:H1884)</f>
        <v>24546.146625000001</v>
      </c>
      <c r="I1885" s="65">
        <f>SUM(I1884:I1884)</f>
        <v>1227.3073312500001</v>
      </c>
    </row>
    <row r="1886" spans="1:9">
      <c r="A1886" s="21" t="s">
        <v>3708</v>
      </c>
      <c r="B1886" s="39">
        <f>+B1885*AIU</f>
        <v>7621.7901362232878</v>
      </c>
      <c r="C1886" s="589"/>
      <c r="D1886" s="31"/>
      <c r="E1886" s="170"/>
      <c r="F1886" s="590"/>
      <c r="G1886" s="590"/>
      <c r="H1886" s="590"/>
      <c r="I1886" s="590"/>
    </row>
    <row r="1887" spans="1:9">
      <c r="A1887" s="587" t="s">
        <v>191</v>
      </c>
      <c r="B1887" s="39">
        <f>SUM(B1885:B1886)</f>
        <v>33395.244092473287</v>
      </c>
      <c r="C1887" s="591" t="s">
        <v>363</v>
      </c>
      <c r="D1887" s="13"/>
      <c r="E1887" s="170"/>
      <c r="F1887" s="170"/>
      <c r="G1887" s="170"/>
      <c r="H1887" s="170"/>
      <c r="I1887" s="170"/>
    </row>
    <row r="1889" spans="1:9">
      <c r="A1889" s="594" t="s">
        <v>441</v>
      </c>
      <c r="B1889" s="3547" t="s">
        <v>3746</v>
      </c>
      <c r="C1889" s="3548"/>
      <c r="D1889" s="3548"/>
      <c r="E1889" s="3548"/>
      <c r="F1889" s="3548"/>
      <c r="G1889" s="3548"/>
      <c r="H1889" s="3548"/>
      <c r="I1889" s="3549"/>
    </row>
    <row r="1890" spans="1:9">
      <c r="A1890" s="243" t="s">
        <v>1520</v>
      </c>
      <c r="B1890" s="179" t="s">
        <v>1521</v>
      </c>
      <c r="C1890" s="583" t="s">
        <v>140</v>
      </c>
      <c r="D1890" s="243" t="s">
        <v>343</v>
      </c>
      <c r="E1890" s="585" t="s">
        <v>344</v>
      </c>
      <c r="F1890" s="65" t="s">
        <v>482</v>
      </c>
      <c r="G1890" s="65" t="s">
        <v>483</v>
      </c>
      <c r="H1890" s="65" t="s">
        <v>232</v>
      </c>
      <c r="I1890" s="65" t="s">
        <v>171</v>
      </c>
    </row>
    <row r="1891" spans="1:9">
      <c r="A1891" s="530" t="s">
        <v>2154</v>
      </c>
      <c r="B1891" s="531" t="s">
        <v>2155</v>
      </c>
      <c r="C1891" s="583">
        <v>1</v>
      </c>
      <c r="D1891" s="160" t="s">
        <v>363</v>
      </c>
      <c r="E1891" s="585">
        <f>VLOOKUP(B1891,MATERIALES!B:C,2,0)</f>
        <v>2922.64</v>
      </c>
      <c r="F1891" s="65"/>
      <c r="G1891" s="585">
        <f t="shared" ref="G1891:G1895" si="10">+C1891*E1891</f>
        <v>2922.64</v>
      </c>
      <c r="H1891" s="65"/>
      <c r="I1891" s="65"/>
    </row>
    <row r="1892" spans="1:9">
      <c r="A1892" s="530" t="s">
        <v>1669</v>
      </c>
      <c r="B1892" s="531" t="s">
        <v>1670</v>
      </c>
      <c r="C1892" s="583">
        <v>15</v>
      </c>
      <c r="D1892" s="160" t="s">
        <v>363</v>
      </c>
      <c r="E1892" s="585">
        <f>VLOOKUP(B1892,MATERIALES!B:C,2,0)</f>
        <v>1000</v>
      </c>
      <c r="F1892" s="65"/>
      <c r="G1892" s="585">
        <f t="shared" si="10"/>
        <v>15000</v>
      </c>
      <c r="H1892" s="65"/>
      <c r="I1892" s="65"/>
    </row>
    <row r="1893" spans="1:9">
      <c r="A1893" s="530" t="s">
        <v>2257</v>
      </c>
      <c r="B1893" s="531" t="s">
        <v>2258</v>
      </c>
      <c r="C1893" s="583">
        <v>6</v>
      </c>
      <c r="D1893" s="160" t="s">
        <v>363</v>
      </c>
      <c r="E1893" s="585">
        <f>VLOOKUP(B1893,MATERIALES!B:C,2,0)</f>
        <v>1200</v>
      </c>
      <c r="F1893" s="65"/>
      <c r="G1893" s="585">
        <f t="shared" si="10"/>
        <v>7200</v>
      </c>
      <c r="H1893" s="65"/>
      <c r="I1893" s="65"/>
    </row>
    <row r="1894" spans="1:9">
      <c r="A1894" s="530" t="s">
        <v>1726</v>
      </c>
      <c r="B1894" s="534" t="s">
        <v>1727</v>
      </c>
      <c r="C1894" s="583">
        <v>1</v>
      </c>
      <c r="D1894" s="160" t="s">
        <v>363</v>
      </c>
      <c r="E1894" s="585">
        <f>VLOOKUP(B1894,MATERIALES!B:C,2,0)</f>
        <v>371.2</v>
      </c>
      <c r="F1894" s="65"/>
      <c r="G1894" s="585">
        <f t="shared" si="10"/>
        <v>371.2</v>
      </c>
      <c r="H1894" s="65"/>
      <c r="I1894" s="65"/>
    </row>
    <row r="1895" spans="1:9">
      <c r="A1895" s="530" t="s">
        <v>1827</v>
      </c>
      <c r="B1895" s="534" t="s">
        <v>1828</v>
      </c>
      <c r="C1895" s="583">
        <v>2</v>
      </c>
      <c r="D1895" s="160" t="s">
        <v>363</v>
      </c>
      <c r="E1895" s="585">
        <f>VLOOKUP(B1895,MATERIALES!B:C,2,0)</f>
        <v>174</v>
      </c>
      <c r="F1895" s="65"/>
      <c r="G1895" s="585">
        <f t="shared" si="10"/>
        <v>348</v>
      </c>
      <c r="H1895" s="65"/>
      <c r="I1895" s="65"/>
    </row>
    <row r="1896" spans="1:9">
      <c r="A1896" s="243" t="s">
        <v>584</v>
      </c>
      <c r="B1896" s="180" t="s">
        <v>2236</v>
      </c>
      <c r="C1896" s="595">
        <v>1E-3</v>
      </c>
      <c r="D1896" s="243" t="s">
        <v>583</v>
      </c>
      <c r="E1896" s="585">
        <f>VLOOKUP(B1896,MATERIALES!B:C,2,0)</f>
        <v>750000</v>
      </c>
      <c r="F1896" s="65"/>
      <c r="G1896" s="65"/>
      <c r="H1896" s="65"/>
      <c r="I1896" s="65">
        <f>+E1896*C1896</f>
        <v>750</v>
      </c>
    </row>
    <row r="1897" spans="1:9">
      <c r="A1897" s="587" t="s">
        <v>190</v>
      </c>
      <c r="B1897" s="588">
        <f>SUM(G1897:I1897)</f>
        <v>26591.84</v>
      </c>
      <c r="C1897" s="583"/>
      <c r="D1897" s="169"/>
      <c r="E1897" s="585"/>
      <c r="F1897" s="65">
        <v>0</v>
      </c>
      <c r="G1897" s="65">
        <f>SUM(G1891:G1896)</f>
        <v>25841.84</v>
      </c>
      <c r="H1897" s="65">
        <f>SUM(H1893:H1896)</f>
        <v>0</v>
      </c>
      <c r="I1897" s="65">
        <f>SUM(I1896:I1896)</f>
        <v>750</v>
      </c>
    </row>
    <row r="1898" spans="1:9">
      <c r="A1898" s="21" t="s">
        <v>3708</v>
      </c>
      <c r="B1898" s="39">
        <f>+B1897*AIU</f>
        <v>7863.8052998278517</v>
      </c>
      <c r="C1898" s="589"/>
      <c r="D1898" s="31"/>
      <c r="E1898" s="170"/>
      <c r="F1898" s="590"/>
      <c r="G1898" s="590"/>
      <c r="H1898" s="590"/>
      <c r="I1898" s="590"/>
    </row>
    <row r="1899" spans="1:9">
      <c r="A1899" s="587" t="s">
        <v>191</v>
      </c>
      <c r="B1899" s="39">
        <f>SUM(B1897:B1898)</f>
        <v>34455.645299827855</v>
      </c>
      <c r="C1899" s="591" t="s">
        <v>363</v>
      </c>
      <c r="D1899" s="13"/>
      <c r="E1899" s="170"/>
      <c r="F1899" s="170"/>
      <c r="G1899" s="170"/>
      <c r="H1899" s="170"/>
      <c r="I1899" s="170"/>
    </row>
    <row r="1901" spans="1:9">
      <c r="A1901" s="594" t="s">
        <v>441</v>
      </c>
      <c r="B1901" s="3547" t="s">
        <v>3747</v>
      </c>
      <c r="C1901" s="3548"/>
      <c r="D1901" s="3548"/>
      <c r="E1901" s="3548"/>
      <c r="F1901" s="3548"/>
      <c r="G1901" s="3548"/>
      <c r="H1901" s="3548"/>
      <c r="I1901" s="3549"/>
    </row>
    <row r="1902" spans="1:9">
      <c r="A1902" s="243" t="s">
        <v>1520</v>
      </c>
      <c r="B1902" s="179" t="s">
        <v>1521</v>
      </c>
      <c r="C1902" s="583" t="s">
        <v>140</v>
      </c>
      <c r="D1902" s="243" t="s">
        <v>343</v>
      </c>
      <c r="E1902" s="585" t="s">
        <v>344</v>
      </c>
      <c r="F1902" s="65" t="s">
        <v>482</v>
      </c>
      <c r="G1902" s="65" t="s">
        <v>483</v>
      </c>
      <c r="H1902" s="65" t="s">
        <v>232</v>
      </c>
      <c r="I1902" s="65" t="s">
        <v>171</v>
      </c>
    </row>
    <row r="1903" spans="1:9">
      <c r="A1903" s="243" t="s">
        <v>345</v>
      </c>
      <c r="B1903" s="592" t="s">
        <v>1997</v>
      </c>
      <c r="C1903" s="583">
        <v>0.25</v>
      </c>
      <c r="D1903" s="243" t="s">
        <v>346</v>
      </c>
      <c r="E1903" s="585">
        <f>VLOOKUP(B1903,MATERIALES!B:C,2,0)</f>
        <v>56105.478000000003</v>
      </c>
      <c r="F1903" s="65"/>
      <c r="G1903" s="65"/>
      <c r="H1903" s="65">
        <f>+E1903*C1903</f>
        <v>14026.369500000001</v>
      </c>
      <c r="I1903" s="65"/>
    </row>
    <row r="1904" spans="1:9">
      <c r="A1904" s="243" t="s">
        <v>347</v>
      </c>
      <c r="B1904" s="592" t="s">
        <v>1576</v>
      </c>
      <c r="C1904" s="583">
        <v>0.25</v>
      </c>
      <c r="D1904" s="243" t="s">
        <v>346</v>
      </c>
      <c r="E1904" s="585">
        <f>VLOOKUP(B1904,MATERIALES!B:C,2,0)</f>
        <v>42079.108500000002</v>
      </c>
      <c r="F1904" s="65"/>
      <c r="G1904" s="65"/>
      <c r="H1904" s="65">
        <f>+E1904*C1904</f>
        <v>10519.777125000001</v>
      </c>
      <c r="I1904" s="65"/>
    </row>
    <row r="1905" spans="1:9">
      <c r="A1905" s="243" t="s">
        <v>172</v>
      </c>
      <c r="B1905" s="179" t="s">
        <v>189</v>
      </c>
      <c r="C1905" s="583">
        <v>1</v>
      </c>
      <c r="D1905" s="160" t="s">
        <v>583</v>
      </c>
      <c r="E1905" s="585">
        <f>0.05*H1906</f>
        <v>1227.3073312500001</v>
      </c>
      <c r="F1905" s="65"/>
      <c r="G1905" s="65"/>
      <c r="H1905" s="65"/>
      <c r="I1905" s="65">
        <f>+E1905*C1905</f>
        <v>1227.3073312500001</v>
      </c>
    </row>
    <row r="1906" spans="1:9">
      <c r="A1906" s="587" t="s">
        <v>190</v>
      </c>
      <c r="B1906" s="588">
        <f>SUM(G1906:I1906)</f>
        <v>25773.453956249999</v>
      </c>
      <c r="C1906" s="583"/>
      <c r="D1906" s="169"/>
      <c r="E1906" s="585"/>
      <c r="F1906" s="65">
        <v>0</v>
      </c>
      <c r="G1906" s="65">
        <f>SUM(G1903:G1905)</f>
        <v>0</v>
      </c>
      <c r="H1906" s="65">
        <f>SUM(H1903:H1905)</f>
        <v>24546.146625000001</v>
      </c>
      <c r="I1906" s="65">
        <f>SUM(I1905:I1905)</f>
        <v>1227.3073312500001</v>
      </c>
    </row>
    <row r="1907" spans="1:9">
      <c r="A1907" s="21" t="s">
        <v>3708</v>
      </c>
      <c r="B1907" s="39">
        <f>+B1906*AIU</f>
        <v>7621.7901362232878</v>
      </c>
      <c r="C1907" s="589"/>
      <c r="D1907" s="31"/>
      <c r="E1907" s="170"/>
      <c r="F1907" s="590"/>
      <c r="G1907" s="590"/>
      <c r="H1907" s="590"/>
      <c r="I1907" s="590"/>
    </row>
    <row r="1908" spans="1:9">
      <c r="A1908" s="587" t="s">
        <v>191</v>
      </c>
      <c r="B1908" s="39">
        <f>SUM(B1906:B1907)</f>
        <v>33395.244092473287</v>
      </c>
      <c r="C1908" s="591" t="s">
        <v>363</v>
      </c>
      <c r="D1908" s="13"/>
      <c r="E1908" s="170"/>
      <c r="F1908" s="170"/>
      <c r="G1908" s="170"/>
      <c r="H1908" s="170"/>
      <c r="I1908" s="170"/>
    </row>
    <row r="1910" spans="1:9">
      <c r="A1910" s="594" t="s">
        <v>441</v>
      </c>
      <c r="B1910" s="3547" t="s">
        <v>3748</v>
      </c>
      <c r="C1910" s="3548"/>
      <c r="D1910" s="3548"/>
      <c r="E1910" s="3548"/>
      <c r="F1910" s="3548"/>
      <c r="G1910" s="3548"/>
      <c r="H1910" s="3548"/>
      <c r="I1910" s="3549"/>
    </row>
    <row r="1911" spans="1:9">
      <c r="A1911" s="243" t="s">
        <v>1520</v>
      </c>
      <c r="B1911" s="179" t="s">
        <v>1521</v>
      </c>
      <c r="C1911" s="583" t="s">
        <v>140</v>
      </c>
      <c r="D1911" s="243" t="s">
        <v>343</v>
      </c>
      <c r="E1911" s="585" t="s">
        <v>344</v>
      </c>
      <c r="F1911" s="65" t="s">
        <v>482</v>
      </c>
      <c r="G1911" s="65" t="s">
        <v>483</v>
      </c>
      <c r="H1911" s="65" t="s">
        <v>232</v>
      </c>
      <c r="I1911" s="65" t="s">
        <v>171</v>
      </c>
    </row>
    <row r="1912" spans="1:9" ht="26.4">
      <c r="A1912" s="530" t="s">
        <v>2002</v>
      </c>
      <c r="B1912" s="531" t="s">
        <v>2003</v>
      </c>
      <c r="C1912" s="583">
        <v>1</v>
      </c>
      <c r="D1912" s="160" t="s">
        <v>363</v>
      </c>
      <c r="E1912" s="585">
        <f>VLOOKUP(B1912,MATERIALES!B:C,2,0)</f>
        <v>74404.75</v>
      </c>
      <c r="F1912" s="65"/>
      <c r="G1912" s="585">
        <f t="shared" ref="G1912:G1917" si="11">+C1912*E1912</f>
        <v>74404.75</v>
      </c>
      <c r="H1912" s="65"/>
      <c r="I1912" s="65"/>
    </row>
    <row r="1913" spans="1:9">
      <c r="A1913" s="530" t="s">
        <v>2296</v>
      </c>
      <c r="B1913" s="531" t="s">
        <v>2297</v>
      </c>
      <c r="C1913" s="583">
        <v>3</v>
      </c>
      <c r="D1913" s="160" t="s">
        <v>363</v>
      </c>
      <c r="E1913" s="585">
        <f>VLOOKUP(B1913,MATERIALES!B:C,2,0)</f>
        <v>114597</v>
      </c>
      <c r="F1913" s="65"/>
      <c r="G1913" s="585">
        <f t="shared" si="11"/>
        <v>343791</v>
      </c>
      <c r="H1913" s="65"/>
      <c r="I1913" s="65"/>
    </row>
    <row r="1914" spans="1:9">
      <c r="A1914" s="530" t="s">
        <v>2261</v>
      </c>
      <c r="B1914" s="531" t="s">
        <v>2262</v>
      </c>
      <c r="C1914" s="583">
        <v>20</v>
      </c>
      <c r="D1914" s="160" t="s">
        <v>363</v>
      </c>
      <c r="E1914" s="585">
        <f>VLOOKUP(B1914,MATERIALES!B:C,2,0)</f>
        <v>8527.16</v>
      </c>
      <c r="F1914" s="65"/>
      <c r="G1914" s="585">
        <f t="shared" si="11"/>
        <v>170543.2</v>
      </c>
      <c r="H1914" s="65"/>
      <c r="I1914" s="65"/>
    </row>
    <row r="1915" spans="1:9">
      <c r="A1915" s="2" t="s">
        <v>2102</v>
      </c>
      <c r="B1915" s="534" t="s">
        <v>2103</v>
      </c>
      <c r="C1915" s="583">
        <v>5</v>
      </c>
      <c r="D1915" s="160" t="s">
        <v>363</v>
      </c>
      <c r="E1915" s="585">
        <f>VLOOKUP(B1915,MATERIALES!B:C,2,0)</f>
        <v>55000</v>
      </c>
      <c r="F1915" s="65"/>
      <c r="G1915" s="585">
        <f t="shared" si="11"/>
        <v>275000</v>
      </c>
      <c r="H1915" s="65"/>
      <c r="I1915" s="65"/>
    </row>
    <row r="1916" spans="1:9">
      <c r="A1916" s="530" t="s">
        <v>1689</v>
      </c>
      <c r="B1916" s="531" t="s">
        <v>1690</v>
      </c>
      <c r="C1916" s="583">
        <v>20</v>
      </c>
      <c r="D1916" s="160" t="s">
        <v>363</v>
      </c>
      <c r="E1916" s="585">
        <f>VLOOKUP(B1916,MATERIALES!B:C,2,0)</f>
        <v>13520</v>
      </c>
      <c r="F1916" s="65"/>
      <c r="G1916" s="585">
        <f t="shared" si="11"/>
        <v>270400</v>
      </c>
      <c r="H1916" s="65"/>
      <c r="I1916" s="65"/>
    </row>
    <row r="1917" spans="1:9">
      <c r="A1917" s="530" t="s">
        <v>1843</v>
      </c>
      <c r="B1917" s="534" t="s">
        <v>1844</v>
      </c>
      <c r="C1917" s="583">
        <v>1</v>
      </c>
      <c r="D1917" s="160" t="s">
        <v>363</v>
      </c>
      <c r="E1917" s="585">
        <f>VLOOKUP(B1917,MATERIALES!B:C,2,0)</f>
        <v>85000</v>
      </c>
      <c r="F1917" s="65"/>
      <c r="G1917" s="585">
        <f t="shared" si="11"/>
        <v>85000</v>
      </c>
      <c r="H1917" s="65"/>
      <c r="I1917" s="65"/>
    </row>
    <row r="1918" spans="1:9">
      <c r="A1918" s="243" t="s">
        <v>584</v>
      </c>
      <c r="B1918" s="180" t="s">
        <v>2236</v>
      </c>
      <c r="C1918" s="595">
        <v>1E-3</v>
      </c>
      <c r="D1918" s="243" t="s">
        <v>583</v>
      </c>
      <c r="E1918" s="585">
        <f>VLOOKUP(B1918,MATERIALES!B:C,2,0)</f>
        <v>750000</v>
      </c>
      <c r="F1918" s="65"/>
      <c r="G1918" s="65"/>
      <c r="H1918" s="65"/>
      <c r="I1918" s="65">
        <f>+E1918*C1918</f>
        <v>750</v>
      </c>
    </row>
    <row r="1919" spans="1:9">
      <c r="A1919" s="587" t="s">
        <v>190</v>
      </c>
      <c r="B1919" s="588">
        <f>SUM(G1919:I1919)</f>
        <v>1219888.95</v>
      </c>
      <c r="C1919" s="583"/>
      <c r="D1919" s="169"/>
      <c r="E1919" s="585"/>
      <c r="F1919" s="65">
        <v>0</v>
      </c>
      <c r="G1919" s="65">
        <f>SUM(G1912:G1918)</f>
        <v>1219138.95</v>
      </c>
      <c r="H1919" s="65">
        <f>SUM(H1914:H1918)</f>
        <v>0</v>
      </c>
      <c r="I1919" s="65">
        <f>SUM(I1918:I1918)</f>
        <v>750</v>
      </c>
    </row>
    <row r="1920" spans="1:9">
      <c r="A1920" s="21" t="s">
        <v>3708</v>
      </c>
      <c r="B1920" s="39">
        <f>+B1919*AIU</f>
        <v>360748.60521917377</v>
      </c>
      <c r="C1920" s="589"/>
      <c r="D1920" s="31"/>
      <c r="E1920" s="170"/>
      <c r="F1920" s="590"/>
      <c r="G1920" s="590"/>
      <c r="H1920" s="590"/>
      <c r="I1920" s="590"/>
    </row>
    <row r="1921" spans="1:9">
      <c r="A1921" s="587" t="s">
        <v>191</v>
      </c>
      <c r="B1921" s="39">
        <f>SUM(B1919:B1920)</f>
        <v>1580637.5552191737</v>
      </c>
      <c r="C1921" s="591" t="s">
        <v>363</v>
      </c>
      <c r="D1921" s="13"/>
      <c r="E1921" s="170"/>
      <c r="F1921" s="170"/>
      <c r="G1921" s="170"/>
      <c r="H1921" s="170"/>
      <c r="I1921" s="170"/>
    </row>
    <row r="1923" spans="1:9">
      <c r="A1923" s="594" t="s">
        <v>441</v>
      </c>
      <c r="B1923" s="3547" t="s">
        <v>3749</v>
      </c>
      <c r="C1923" s="3548"/>
      <c r="D1923" s="3548"/>
      <c r="E1923" s="3548"/>
      <c r="F1923" s="3548"/>
      <c r="G1923" s="3548"/>
      <c r="H1923" s="3548"/>
      <c r="I1923" s="3549"/>
    </row>
    <row r="1924" spans="1:9">
      <c r="A1924" s="243" t="s">
        <v>1520</v>
      </c>
      <c r="B1924" s="179" t="s">
        <v>1521</v>
      </c>
      <c r="C1924" s="583" t="s">
        <v>140</v>
      </c>
      <c r="D1924" s="243" t="s">
        <v>343</v>
      </c>
      <c r="E1924" s="585" t="s">
        <v>344</v>
      </c>
      <c r="F1924" s="65" t="s">
        <v>482</v>
      </c>
      <c r="G1924" s="65" t="s">
        <v>483</v>
      </c>
      <c r="H1924" s="65" t="s">
        <v>232</v>
      </c>
      <c r="I1924" s="65" t="s">
        <v>171</v>
      </c>
    </row>
    <row r="1925" spans="1:9">
      <c r="A1925" s="243" t="s">
        <v>345</v>
      </c>
      <c r="B1925" s="592" t="s">
        <v>1997</v>
      </c>
      <c r="C1925" s="583">
        <v>2</v>
      </c>
      <c r="D1925" s="243" t="s">
        <v>346</v>
      </c>
      <c r="E1925" s="585">
        <f>VLOOKUP(B1925,MATERIALES!B:C,2,0)</f>
        <v>56105.478000000003</v>
      </c>
      <c r="F1925" s="65"/>
      <c r="G1925" s="65"/>
      <c r="H1925" s="65">
        <f>+E1925*C1925</f>
        <v>112210.95600000001</v>
      </c>
      <c r="I1925" s="65"/>
    </row>
    <row r="1926" spans="1:9">
      <c r="A1926" s="243" t="s">
        <v>347</v>
      </c>
      <c r="B1926" s="592" t="s">
        <v>1576</v>
      </c>
      <c r="C1926" s="583">
        <v>2</v>
      </c>
      <c r="D1926" s="243" t="s">
        <v>346</v>
      </c>
      <c r="E1926" s="585">
        <f>VLOOKUP(B1926,MATERIALES!B:C,2,0)</f>
        <v>42079.108500000002</v>
      </c>
      <c r="F1926" s="65"/>
      <c r="G1926" s="65"/>
      <c r="H1926" s="65">
        <f>+E1926*C1926</f>
        <v>84158.217000000004</v>
      </c>
      <c r="I1926" s="65"/>
    </row>
    <row r="1927" spans="1:9">
      <c r="A1927" s="243" t="s">
        <v>172</v>
      </c>
      <c r="B1927" s="179" t="s">
        <v>189</v>
      </c>
      <c r="C1927" s="583">
        <v>1</v>
      </c>
      <c r="D1927" s="160" t="s">
        <v>583</v>
      </c>
      <c r="E1927" s="585">
        <f>0.05*H1928</f>
        <v>9818.4586500000005</v>
      </c>
      <c r="F1927" s="65"/>
      <c r="G1927" s="65"/>
      <c r="H1927" s="65"/>
      <c r="I1927" s="65">
        <f>+E1927*C1927</f>
        <v>9818.4586500000005</v>
      </c>
    </row>
    <row r="1928" spans="1:9">
      <c r="A1928" s="587" t="s">
        <v>190</v>
      </c>
      <c r="B1928" s="588">
        <f>SUM(G1928:I1928)</f>
        <v>206187.63165</v>
      </c>
      <c r="C1928" s="583"/>
      <c r="D1928" s="169"/>
      <c r="E1928" s="585"/>
      <c r="F1928" s="65">
        <v>0</v>
      </c>
      <c r="G1928" s="65">
        <f>SUM(G1925:G1927)</f>
        <v>0</v>
      </c>
      <c r="H1928" s="65">
        <f>SUM(H1925:H1927)</f>
        <v>196369.17300000001</v>
      </c>
      <c r="I1928" s="65">
        <f>SUM(I1927:I1927)</f>
        <v>9818.4586500000005</v>
      </c>
    </row>
    <row r="1929" spans="1:9">
      <c r="A1929" s="21" t="s">
        <v>3708</v>
      </c>
      <c r="B1929" s="39">
        <f>+B1928*AIU</f>
        <v>60974.321089786303</v>
      </c>
      <c r="C1929" s="589"/>
      <c r="D1929" s="31"/>
      <c r="E1929" s="170"/>
      <c r="F1929" s="590"/>
      <c r="G1929" s="590"/>
      <c r="H1929" s="590"/>
      <c r="I1929" s="590"/>
    </row>
    <row r="1930" spans="1:9">
      <c r="A1930" s="587" t="s">
        <v>191</v>
      </c>
      <c r="B1930" s="39">
        <f>SUM(B1928:B1929)</f>
        <v>267161.9527397863</v>
      </c>
      <c r="C1930" s="591" t="s">
        <v>363</v>
      </c>
      <c r="D1930" s="13"/>
      <c r="E1930" s="170"/>
      <c r="F1930" s="170"/>
      <c r="G1930" s="170"/>
      <c r="H1930" s="170"/>
      <c r="I1930" s="170"/>
    </row>
    <row r="1932" spans="1:9">
      <c r="A1932" s="594" t="s">
        <v>441</v>
      </c>
      <c r="B1932" s="3547" t="s">
        <v>3750</v>
      </c>
      <c r="C1932" s="3548"/>
      <c r="D1932" s="3548"/>
      <c r="E1932" s="3548"/>
      <c r="F1932" s="3548"/>
      <c r="G1932" s="3548"/>
      <c r="H1932" s="3548"/>
      <c r="I1932" s="3549"/>
    </row>
    <row r="1933" spans="1:9">
      <c r="A1933" s="243" t="s">
        <v>1520</v>
      </c>
      <c r="B1933" s="179" t="s">
        <v>1521</v>
      </c>
      <c r="C1933" s="583" t="s">
        <v>140</v>
      </c>
      <c r="D1933" s="243" t="s">
        <v>343</v>
      </c>
      <c r="E1933" s="584" t="s">
        <v>344</v>
      </c>
      <c r="F1933" s="65" t="s">
        <v>482</v>
      </c>
      <c r="G1933" s="65" t="s">
        <v>483</v>
      </c>
      <c r="H1933" s="65" t="s">
        <v>232</v>
      </c>
      <c r="I1933" s="65" t="s">
        <v>171</v>
      </c>
    </row>
    <row r="1934" spans="1:9" ht="26.4">
      <c r="A1934" s="530" t="s">
        <v>1748</v>
      </c>
      <c r="B1934" s="531" t="s">
        <v>1749</v>
      </c>
      <c r="C1934" s="583">
        <v>1</v>
      </c>
      <c r="D1934" s="243" t="s">
        <v>583</v>
      </c>
      <c r="E1934" s="585">
        <f>VLOOKUP(B1934,MATERIALES!B:C,2,0)</f>
        <v>4500000</v>
      </c>
      <c r="F1934" s="65"/>
      <c r="G1934" s="65">
        <f>+E1934*C1934</f>
        <v>4500000</v>
      </c>
      <c r="H1934" s="65"/>
      <c r="I1934" s="65"/>
    </row>
    <row r="1935" spans="1:9">
      <c r="A1935" s="587" t="s">
        <v>190</v>
      </c>
      <c r="B1935" s="588">
        <f>SUM(C1935:I1935)</f>
        <v>4500000</v>
      </c>
      <c r="C1935" s="583"/>
      <c r="D1935" s="169"/>
      <c r="E1935" s="585"/>
      <c r="F1935" s="65">
        <v>0</v>
      </c>
      <c r="G1935" s="65">
        <f>SUM(G1934)</f>
        <v>4500000</v>
      </c>
      <c r="H1935" s="65">
        <v>0</v>
      </c>
      <c r="I1935" s="65">
        <v>0</v>
      </c>
    </row>
    <row r="1936" spans="1:9">
      <c r="A1936" s="21" t="s">
        <v>3708</v>
      </c>
      <c r="B1936" s="39">
        <f>+B1935*AIU</f>
        <v>1330751.2323037945</v>
      </c>
      <c r="C1936" s="589"/>
      <c r="D1936" s="31"/>
      <c r="E1936" s="170"/>
      <c r="F1936" s="590"/>
      <c r="G1936" s="590"/>
      <c r="H1936" s="590"/>
      <c r="I1936" s="590"/>
    </row>
    <row r="1937" spans="1:9">
      <c r="A1937" s="587" t="s">
        <v>191</v>
      </c>
      <c r="B1937" s="39">
        <f>SUM(B1935:B1936)</f>
        <v>5830751.2323037945</v>
      </c>
      <c r="C1937" s="591" t="s">
        <v>94</v>
      </c>
      <c r="D1937" s="13"/>
      <c r="E1937" s="170"/>
      <c r="F1937" s="170"/>
      <c r="G1937" s="170"/>
      <c r="H1937" s="170"/>
      <c r="I1937" s="170"/>
    </row>
    <row r="1938" spans="1:9">
      <c r="A1938" s="170"/>
      <c r="B1938" s="13"/>
      <c r="C1938" s="13"/>
      <c r="D1938" s="13"/>
      <c r="E1938" s="170"/>
      <c r="F1938" s="170"/>
      <c r="G1938" s="170"/>
      <c r="H1938" s="170"/>
      <c r="I1938" s="170"/>
    </row>
    <row r="1943" spans="1:9" ht="19.2">
      <c r="A1943" s="1116" t="s">
        <v>4332</v>
      </c>
      <c r="B1943" s="932"/>
    </row>
    <row r="1944" spans="1:9" ht="19.2">
      <c r="A1944" s="932"/>
      <c r="B1944" s="932" t="s">
        <v>4330</v>
      </c>
    </row>
    <row r="1945" spans="1:9" ht="19.2">
      <c r="A1945" s="932"/>
      <c r="B1945" s="932"/>
    </row>
    <row r="1946" spans="1:9" ht="19.2">
      <c r="A1946" s="932"/>
      <c r="B1946" s="932"/>
    </row>
    <row r="1947" spans="1:9" ht="19.2">
      <c r="A1947" s="932"/>
      <c r="B1947" s="932"/>
    </row>
    <row r="1948" spans="1:9" ht="19.2">
      <c r="A1948" s="933"/>
      <c r="B1948" s="933"/>
    </row>
    <row r="1949" spans="1:9" ht="19.2">
      <c r="A1949" s="1117" t="s">
        <v>4333</v>
      </c>
      <c r="B1949" s="933"/>
    </row>
    <row r="1950" spans="1:9" ht="19.2">
      <c r="A1950" s="933"/>
      <c r="B1950" s="933" t="s">
        <v>4335</v>
      </c>
    </row>
    <row r="1951" spans="1:9" ht="19.2">
      <c r="A1951" s="933"/>
      <c r="B1951" s="933"/>
    </row>
    <row r="1952" spans="1:9" ht="26.25" customHeight="1">
      <c r="A1952" s="933"/>
      <c r="B1952" s="933"/>
    </row>
    <row r="1953" spans="1:2" ht="19.2">
      <c r="A1953" s="933"/>
      <c r="B1953" s="933"/>
    </row>
    <row r="1954" spans="1:2" ht="19.2">
      <c r="A1954" s="933"/>
      <c r="B1954" s="933"/>
    </row>
    <row r="1955" spans="1:2" ht="19.2">
      <c r="A1955" s="933" t="s">
        <v>4336</v>
      </c>
      <c r="B1955" s="933" t="s">
        <v>4990</v>
      </c>
    </row>
    <row r="1956" spans="1:2" ht="19.2">
      <c r="A1956" s="933"/>
      <c r="B1956" s="933"/>
    </row>
    <row r="1957" spans="1:2">
      <c r="A1957" s="103"/>
      <c r="B1957" s="56"/>
    </row>
  </sheetData>
  <mergeCells count="140">
    <mergeCell ref="A666:I666"/>
    <mergeCell ref="B1923:I1923"/>
    <mergeCell ref="B1932:I1932"/>
    <mergeCell ref="B1859:I1859"/>
    <mergeCell ref="B1868:I1868"/>
    <mergeCell ref="B1880:I1880"/>
    <mergeCell ref="B1889:I1889"/>
    <mergeCell ref="B1901:I1901"/>
    <mergeCell ref="B1910:I1910"/>
    <mergeCell ref="B1793:I1793"/>
    <mergeCell ref="B1802:I1802"/>
    <mergeCell ref="B1814:I1814"/>
    <mergeCell ref="B1823:I1823"/>
    <mergeCell ref="B1838:I1838"/>
    <mergeCell ref="B1847:I1847"/>
    <mergeCell ref="B1739:I1739"/>
    <mergeCell ref="B1748:I1748"/>
    <mergeCell ref="B1756:I1756"/>
    <mergeCell ref="B1765:I1765"/>
    <mergeCell ref="B1773:I1773"/>
    <mergeCell ref="B1781:I1781"/>
    <mergeCell ref="B1683:I1683"/>
    <mergeCell ref="B1692:I1692"/>
    <mergeCell ref="B1700:I1700"/>
    <mergeCell ref="B1709:I1709"/>
    <mergeCell ref="B1722:I1722"/>
    <mergeCell ref="B1731:I1731"/>
    <mergeCell ref="B1632:I1632"/>
    <mergeCell ref="B1640:I1640"/>
    <mergeCell ref="B1649:I1649"/>
    <mergeCell ref="B1657:I1657"/>
    <mergeCell ref="B1666:I1666"/>
    <mergeCell ref="B1674:I1674"/>
    <mergeCell ref="B1573:I1573"/>
    <mergeCell ref="B1582:I1582"/>
    <mergeCell ref="B1593:I1593"/>
    <mergeCell ref="B1602:I1602"/>
    <mergeCell ref="B1613:I1613"/>
    <mergeCell ref="B1622:I1622"/>
    <mergeCell ref="B1517:I1517"/>
    <mergeCell ref="B1525:I1525"/>
    <mergeCell ref="B1534:I1534"/>
    <mergeCell ref="B1542:I1542"/>
    <mergeCell ref="B1553:I1553"/>
    <mergeCell ref="B1562:I1562"/>
    <mergeCell ref="B1466:I1466"/>
    <mergeCell ref="B1474:I1474"/>
    <mergeCell ref="B1483:I1483"/>
    <mergeCell ref="B1491:I1491"/>
    <mergeCell ref="B1500:I1500"/>
    <mergeCell ref="B1508:I1508"/>
    <mergeCell ref="B1414:I1414"/>
    <mergeCell ref="B1422:I1422"/>
    <mergeCell ref="B1431:I1431"/>
    <mergeCell ref="B1439:I1439"/>
    <mergeCell ref="B1448:I1448"/>
    <mergeCell ref="B1457:I1457"/>
    <mergeCell ref="B1363:I1363"/>
    <mergeCell ref="B1371:I1371"/>
    <mergeCell ref="B1380:I1380"/>
    <mergeCell ref="B1388:I1388"/>
    <mergeCell ref="B1397:I1397"/>
    <mergeCell ref="B1405:I1405"/>
    <mergeCell ref="B1311:I1311"/>
    <mergeCell ref="B1319:I1319"/>
    <mergeCell ref="B1329:I1329"/>
    <mergeCell ref="B1337:I1337"/>
    <mergeCell ref="B1346:I1346"/>
    <mergeCell ref="B1354:I1354"/>
    <mergeCell ref="B1254:I1254"/>
    <mergeCell ref="B1262:I1262"/>
    <mergeCell ref="B1274:I1274"/>
    <mergeCell ref="B1282:I1282"/>
    <mergeCell ref="B1294:I1294"/>
    <mergeCell ref="B1302:I1302"/>
    <mergeCell ref="B1206:I1206"/>
    <mergeCell ref="B1214:I1214"/>
    <mergeCell ref="B1222:I1222"/>
    <mergeCell ref="B1230:I1230"/>
    <mergeCell ref="B1238:I1238"/>
    <mergeCell ref="B1246:I1246"/>
    <mergeCell ref="B1155:I1155"/>
    <mergeCell ref="B1163:I1163"/>
    <mergeCell ref="B1173:I1173"/>
    <mergeCell ref="B1181:I1181"/>
    <mergeCell ref="B1189:I1189"/>
    <mergeCell ref="B1198:I1198"/>
    <mergeCell ref="B1102:I1102"/>
    <mergeCell ref="B1110:I1110"/>
    <mergeCell ref="B1121:I1121"/>
    <mergeCell ref="B1129:I1129"/>
    <mergeCell ref="B1138:I1138"/>
    <mergeCell ref="B1146:I1146"/>
    <mergeCell ref="B1051:I1051"/>
    <mergeCell ref="B1059:I1059"/>
    <mergeCell ref="B1068:I1068"/>
    <mergeCell ref="B1076:I1076"/>
    <mergeCell ref="B1085:I1085"/>
    <mergeCell ref="B1093:I1093"/>
    <mergeCell ref="B998:I998"/>
    <mergeCell ref="B1006:I1006"/>
    <mergeCell ref="B1016:I1016"/>
    <mergeCell ref="B1024:I1024"/>
    <mergeCell ref="B1033:I1033"/>
    <mergeCell ref="B1042:I1042"/>
    <mergeCell ref="B945:I945"/>
    <mergeCell ref="B953:I953"/>
    <mergeCell ref="B962:I962"/>
    <mergeCell ref="B970:I970"/>
    <mergeCell ref="B980:I980"/>
    <mergeCell ref="B988:I988"/>
    <mergeCell ref="B891:I891"/>
    <mergeCell ref="B899:I899"/>
    <mergeCell ref="B909:I909"/>
    <mergeCell ref="B917:I917"/>
    <mergeCell ref="B927:I927"/>
    <mergeCell ref="B935:I935"/>
    <mergeCell ref="B669:I669"/>
    <mergeCell ref="B681:I681"/>
    <mergeCell ref="B837:I837"/>
    <mergeCell ref="B845:I845"/>
    <mergeCell ref="B855:I855"/>
    <mergeCell ref="B863:I863"/>
    <mergeCell ref="B873:I873"/>
    <mergeCell ref="B881:I881"/>
    <mergeCell ref="B689:I689"/>
    <mergeCell ref="B701:I701"/>
    <mergeCell ref="B709:I709"/>
    <mergeCell ref="B781:I781"/>
    <mergeCell ref="B789:I789"/>
    <mergeCell ref="B800:I800"/>
    <mergeCell ref="B809:I809"/>
    <mergeCell ref="B818:I818"/>
    <mergeCell ref="B827:I827"/>
    <mergeCell ref="B721:I721"/>
    <mergeCell ref="B729:I729"/>
    <mergeCell ref="B741:I741"/>
    <mergeCell ref="B749:I749"/>
    <mergeCell ref="B760:I760"/>
    <mergeCell ref="B769:I769"/>
  </mergeCells>
  <pageMargins left="0.70866141732283472" right="0.70866141732283472" top="0.74803149606299213" bottom="0.74803149606299213"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I93"/>
  <sheetViews>
    <sheetView workbookViewId="0">
      <selection sqref="A1:A3"/>
    </sheetView>
  </sheetViews>
  <sheetFormatPr baseColWidth="10" defaultColWidth="10.6640625" defaultRowHeight="18"/>
  <cols>
    <col min="1" max="1" width="14" style="516" customWidth="1"/>
    <col min="2" max="2" width="73.88671875" style="516" customWidth="1"/>
    <col min="3" max="3" width="15.109375" style="516" customWidth="1"/>
    <col min="4" max="4" width="13.33203125" style="516" bestFit="1" customWidth="1"/>
    <col min="5" max="5" width="20.6640625" style="638" customWidth="1"/>
    <col min="6" max="6" width="20.6640625" style="516" customWidth="1"/>
  </cols>
  <sheetData>
    <row r="1" spans="1:9" ht="33.75" customHeight="1">
      <c r="A1" s="3317"/>
      <c r="B1" s="3322" t="s">
        <v>4258</v>
      </c>
      <c r="C1" s="3323"/>
      <c r="D1" s="3323"/>
      <c r="E1" s="3324"/>
      <c r="F1" s="952"/>
      <c r="G1" s="952"/>
      <c r="H1" s="3304"/>
      <c r="I1" s="3304"/>
    </row>
    <row r="2" spans="1:9" ht="19.2">
      <c r="A2" s="3317"/>
      <c r="B2" s="3325" t="s">
        <v>8539</v>
      </c>
      <c r="C2" s="3326"/>
      <c r="D2" s="3326"/>
      <c r="E2" s="3327"/>
      <c r="F2" s="953"/>
      <c r="G2" s="953"/>
      <c r="H2" s="3304"/>
      <c r="I2" s="3304"/>
    </row>
    <row r="3" spans="1:9" ht="19.2">
      <c r="A3" s="3317"/>
      <c r="B3" s="3321" t="s">
        <v>3859</v>
      </c>
      <c r="C3" s="3321"/>
      <c r="D3" s="3328" t="s">
        <v>4259</v>
      </c>
      <c r="E3" s="3330"/>
      <c r="F3" s="474"/>
      <c r="G3" s="474"/>
      <c r="H3" s="3304"/>
      <c r="I3" s="3304"/>
    </row>
    <row r="4" spans="1:9" ht="17.399999999999999" thickBot="1">
      <c r="A4" s="178"/>
      <c r="B4" s="578"/>
      <c r="C4" s="666"/>
      <c r="D4" s="17"/>
      <c r="E4" s="581"/>
      <c r="F4" s="581"/>
      <c r="G4" s="581"/>
      <c r="H4" s="581"/>
      <c r="I4" s="581"/>
    </row>
    <row r="5" spans="1:9" ht="13.8">
      <c r="A5" s="3681" t="s">
        <v>3844</v>
      </c>
      <c r="B5" s="3682"/>
      <c r="C5" s="3682"/>
      <c r="D5" s="3682"/>
      <c r="E5" s="3682"/>
      <c r="F5" s="3683"/>
    </row>
    <row r="6" spans="1:9" ht="27.6">
      <c r="A6" s="611" t="s">
        <v>22</v>
      </c>
      <c r="B6" s="612" t="s">
        <v>23</v>
      </c>
      <c r="C6" s="612" t="s">
        <v>3818</v>
      </c>
      <c r="D6" s="612" t="s">
        <v>1037</v>
      </c>
      <c r="E6" s="612" t="s">
        <v>3819</v>
      </c>
      <c r="F6" s="613" t="s">
        <v>3820</v>
      </c>
    </row>
    <row r="7" spans="1:9" ht="13.8">
      <c r="A7" s="3684" t="s">
        <v>3821</v>
      </c>
      <c r="B7" s="3685"/>
      <c r="C7" s="3685"/>
      <c r="D7" s="3685"/>
      <c r="E7" s="3685"/>
      <c r="F7" s="3686"/>
    </row>
    <row r="8" spans="1:9" ht="13.8">
      <c r="A8" s="614"/>
      <c r="B8" s="614" t="s">
        <v>3822</v>
      </c>
      <c r="C8" s="614"/>
      <c r="D8" s="614"/>
      <c r="E8" s="614"/>
      <c r="F8" s="614"/>
    </row>
    <row r="9" spans="1:9" ht="67.2">
      <c r="A9" s="615" t="s">
        <v>34</v>
      </c>
      <c r="B9" s="616" t="s">
        <v>3751</v>
      </c>
      <c r="C9" s="615" t="s">
        <v>150</v>
      </c>
      <c r="D9" s="615">
        <v>1</v>
      </c>
      <c r="E9" s="617">
        <v>7414281.7300000004</v>
      </c>
      <c r="F9" s="617">
        <f>ROUND(+D9*E9,0)</f>
        <v>7414282</v>
      </c>
    </row>
    <row r="10" spans="1:9" ht="33.6">
      <c r="A10" s="615" t="s">
        <v>1443</v>
      </c>
      <c r="B10" s="616" t="s">
        <v>3753</v>
      </c>
      <c r="C10" s="615" t="s">
        <v>150</v>
      </c>
      <c r="D10" s="615">
        <v>1</v>
      </c>
      <c r="E10" s="617">
        <v>630000</v>
      </c>
      <c r="F10" s="617">
        <f t="shared" ref="F10:F31" si="0">ROUND(+D10*E10,0)</f>
        <v>630000</v>
      </c>
    </row>
    <row r="11" spans="1:9" ht="100.8">
      <c r="A11" s="615">
        <v>2</v>
      </c>
      <c r="B11" s="616" t="s">
        <v>3840</v>
      </c>
      <c r="C11" s="615" t="s">
        <v>150</v>
      </c>
      <c r="D11" s="615">
        <v>1</v>
      </c>
      <c r="E11" s="617">
        <v>105472000</v>
      </c>
      <c r="F11" s="617">
        <f t="shared" si="0"/>
        <v>105472000</v>
      </c>
    </row>
    <row r="12" spans="1:9" ht="16.8">
      <c r="A12" s="615">
        <v>3</v>
      </c>
      <c r="B12" s="616" t="s">
        <v>3824</v>
      </c>
      <c r="C12" s="615" t="s">
        <v>150</v>
      </c>
      <c r="D12" s="615">
        <v>6</v>
      </c>
      <c r="E12" s="617">
        <v>184892.85714285713</v>
      </c>
      <c r="F12" s="617">
        <f t="shared" si="0"/>
        <v>1109357</v>
      </c>
    </row>
    <row r="13" spans="1:9" ht="16.8">
      <c r="A13" s="615">
        <v>4</v>
      </c>
      <c r="B13" s="616" t="s">
        <v>3631</v>
      </c>
      <c r="C13" s="615" t="s">
        <v>150</v>
      </c>
      <c r="D13" s="615">
        <v>3</v>
      </c>
      <c r="E13" s="617">
        <v>112652</v>
      </c>
      <c r="F13" s="617">
        <f t="shared" si="0"/>
        <v>337956</v>
      </c>
    </row>
    <row r="14" spans="1:9" ht="67.2">
      <c r="A14" s="615">
        <v>5</v>
      </c>
      <c r="B14" s="616" t="s">
        <v>3641</v>
      </c>
      <c r="C14" s="615" t="s">
        <v>94</v>
      </c>
      <c r="D14" s="615">
        <v>150</v>
      </c>
      <c r="E14" s="617">
        <v>209360</v>
      </c>
      <c r="F14" s="617">
        <f t="shared" si="0"/>
        <v>31404000</v>
      </c>
    </row>
    <row r="15" spans="1:9" ht="100.8">
      <c r="A15" s="615">
        <v>6</v>
      </c>
      <c r="B15" s="616" t="s">
        <v>3646</v>
      </c>
      <c r="C15" s="615" t="s">
        <v>94</v>
      </c>
      <c r="D15" s="615">
        <v>30</v>
      </c>
      <c r="E15" s="617">
        <v>209360</v>
      </c>
      <c r="F15" s="617">
        <f t="shared" si="0"/>
        <v>6280800</v>
      </c>
    </row>
    <row r="16" spans="1:9" ht="134.4">
      <c r="A16" s="615">
        <v>7</v>
      </c>
      <c r="B16" s="616" t="s">
        <v>3845</v>
      </c>
      <c r="C16" s="615" t="s">
        <v>150</v>
      </c>
      <c r="D16" s="615">
        <v>1</v>
      </c>
      <c r="E16" s="617">
        <v>3105000</v>
      </c>
      <c r="F16" s="617">
        <f t="shared" si="0"/>
        <v>3105000</v>
      </c>
    </row>
    <row r="17" spans="1:6" ht="67.2">
      <c r="A17" s="615">
        <v>8</v>
      </c>
      <c r="B17" s="616" t="s">
        <v>3841</v>
      </c>
      <c r="C17" s="615" t="s">
        <v>150</v>
      </c>
      <c r="D17" s="615">
        <v>1</v>
      </c>
      <c r="E17" s="617">
        <v>3902500</v>
      </c>
      <c r="F17" s="617">
        <f t="shared" si="0"/>
        <v>3902500</v>
      </c>
    </row>
    <row r="18" spans="1:6" ht="100.8">
      <c r="A18" s="615">
        <v>9</v>
      </c>
      <c r="B18" s="616" t="s">
        <v>3846</v>
      </c>
      <c r="C18" s="615" t="s">
        <v>150</v>
      </c>
      <c r="D18" s="615">
        <v>3</v>
      </c>
      <c r="E18" s="617">
        <v>26486000</v>
      </c>
      <c r="F18" s="617">
        <f t="shared" si="0"/>
        <v>79458000</v>
      </c>
    </row>
    <row r="19" spans="1:6" ht="67.2">
      <c r="A19" s="615">
        <v>10</v>
      </c>
      <c r="B19" s="616" t="s">
        <v>3670</v>
      </c>
      <c r="C19" s="615" t="s">
        <v>150</v>
      </c>
      <c r="D19" s="615">
        <v>2</v>
      </c>
      <c r="E19" s="617">
        <v>3560000</v>
      </c>
      <c r="F19" s="617">
        <f t="shared" si="0"/>
        <v>7120000</v>
      </c>
    </row>
    <row r="20" spans="1:6" ht="67.2">
      <c r="A20" s="615">
        <v>11</v>
      </c>
      <c r="B20" s="616" t="s">
        <v>3679</v>
      </c>
      <c r="C20" s="615" t="s">
        <v>150</v>
      </c>
      <c r="D20" s="615">
        <v>3</v>
      </c>
      <c r="E20" s="617">
        <v>30514119.999999996</v>
      </c>
      <c r="F20" s="617">
        <f t="shared" si="0"/>
        <v>91542360</v>
      </c>
    </row>
    <row r="21" spans="1:6" ht="50.4">
      <c r="A21" s="615">
        <v>12</v>
      </c>
      <c r="B21" s="616" t="s">
        <v>3826</v>
      </c>
      <c r="C21" s="615" t="s">
        <v>150</v>
      </c>
      <c r="D21" s="615">
        <v>4</v>
      </c>
      <c r="E21" s="617">
        <v>1223000</v>
      </c>
      <c r="F21" s="617">
        <f t="shared" si="0"/>
        <v>4892000</v>
      </c>
    </row>
    <row r="22" spans="1:6" ht="67.2">
      <c r="A22" s="615">
        <v>13</v>
      </c>
      <c r="B22" s="616" t="s">
        <v>3689</v>
      </c>
      <c r="C22" s="615" t="s">
        <v>150</v>
      </c>
      <c r="D22" s="615">
        <v>1</v>
      </c>
      <c r="E22" s="617">
        <v>1830000</v>
      </c>
      <c r="F22" s="617">
        <f t="shared" si="0"/>
        <v>1830000</v>
      </c>
    </row>
    <row r="23" spans="1:6" ht="50.4">
      <c r="A23" s="615">
        <v>14</v>
      </c>
      <c r="B23" s="616" t="s">
        <v>3691</v>
      </c>
      <c r="C23" s="615" t="s">
        <v>150</v>
      </c>
      <c r="D23" s="615">
        <v>1</v>
      </c>
      <c r="E23" s="617">
        <v>2908500</v>
      </c>
      <c r="F23" s="617">
        <f t="shared" si="0"/>
        <v>2908500</v>
      </c>
    </row>
    <row r="24" spans="1:6" ht="33.6">
      <c r="A24" s="615">
        <v>15</v>
      </c>
      <c r="B24" s="616" t="s">
        <v>3827</v>
      </c>
      <c r="C24" s="615" t="s">
        <v>150</v>
      </c>
      <c r="D24" s="615">
        <v>1</v>
      </c>
      <c r="E24" s="617">
        <v>3093500</v>
      </c>
      <c r="F24" s="617">
        <f t="shared" si="0"/>
        <v>3093500</v>
      </c>
    </row>
    <row r="25" spans="1:6" ht="16.8">
      <c r="A25" s="615">
        <v>16</v>
      </c>
      <c r="B25" s="616" t="s">
        <v>3699</v>
      </c>
      <c r="C25" s="615" t="s">
        <v>150</v>
      </c>
      <c r="D25" s="615">
        <v>2</v>
      </c>
      <c r="E25" s="617">
        <v>839500</v>
      </c>
      <c r="F25" s="617">
        <f t="shared" si="0"/>
        <v>1679000</v>
      </c>
    </row>
    <row r="26" spans="1:6" ht="16.8">
      <c r="A26" s="615">
        <v>17</v>
      </c>
      <c r="B26" s="616" t="s">
        <v>3701</v>
      </c>
      <c r="C26" s="615" t="s">
        <v>150</v>
      </c>
      <c r="D26" s="615">
        <v>2</v>
      </c>
      <c r="E26" s="617">
        <v>829500</v>
      </c>
      <c r="F26" s="617">
        <f t="shared" si="0"/>
        <v>1659000</v>
      </c>
    </row>
    <row r="27" spans="1:6" ht="33.6">
      <c r="A27" s="615">
        <v>18</v>
      </c>
      <c r="B27" s="616" t="s">
        <v>3828</v>
      </c>
      <c r="C27" s="615" t="s">
        <v>150</v>
      </c>
      <c r="D27" s="615">
        <v>1</v>
      </c>
      <c r="E27" s="617">
        <v>184000</v>
      </c>
      <c r="F27" s="617">
        <f t="shared" si="0"/>
        <v>184000</v>
      </c>
    </row>
    <row r="28" spans="1:6" ht="16.8">
      <c r="A28" s="615">
        <v>19</v>
      </c>
      <c r="B28" s="616" t="s">
        <v>3710</v>
      </c>
      <c r="C28" s="615" t="s">
        <v>150</v>
      </c>
      <c r="D28" s="615">
        <v>4</v>
      </c>
      <c r="E28" s="617">
        <v>184000</v>
      </c>
      <c r="F28" s="617">
        <f t="shared" si="0"/>
        <v>736000</v>
      </c>
    </row>
    <row r="29" spans="1:6" ht="100.8">
      <c r="A29" s="615">
        <v>20</v>
      </c>
      <c r="B29" s="616" t="s">
        <v>3829</v>
      </c>
      <c r="C29" s="615" t="s">
        <v>150</v>
      </c>
      <c r="D29" s="615">
        <v>1</v>
      </c>
      <c r="E29" s="617">
        <v>2298500</v>
      </c>
      <c r="F29" s="617">
        <f t="shared" si="0"/>
        <v>2298500</v>
      </c>
    </row>
    <row r="30" spans="1:6" ht="50.4">
      <c r="A30" s="615">
        <v>21</v>
      </c>
      <c r="B30" s="616" t="s">
        <v>3830</v>
      </c>
      <c r="C30" s="615" t="s">
        <v>150</v>
      </c>
      <c r="D30" s="615">
        <v>1</v>
      </c>
      <c r="E30" s="617">
        <v>3513500</v>
      </c>
      <c r="F30" s="617">
        <f t="shared" si="0"/>
        <v>3513500</v>
      </c>
    </row>
    <row r="31" spans="1:6" ht="117.6">
      <c r="A31" s="615">
        <v>22</v>
      </c>
      <c r="B31" s="616" t="s">
        <v>3831</v>
      </c>
      <c r="C31" s="615" t="s">
        <v>150</v>
      </c>
      <c r="D31" s="615">
        <v>1</v>
      </c>
      <c r="E31" s="617">
        <v>3763500</v>
      </c>
      <c r="F31" s="617">
        <f t="shared" si="0"/>
        <v>3763500</v>
      </c>
    </row>
    <row r="32" spans="1:6" ht="13.8">
      <c r="A32" s="618"/>
      <c r="B32" s="618" t="s">
        <v>3832</v>
      </c>
      <c r="C32" s="618"/>
      <c r="D32" s="618"/>
      <c r="E32" s="618"/>
      <c r="F32" s="618"/>
    </row>
    <row r="33" spans="1:6" ht="33.6">
      <c r="A33" s="615">
        <v>23</v>
      </c>
      <c r="B33" s="616" t="s">
        <v>3727</v>
      </c>
      <c r="C33" s="615" t="s">
        <v>150</v>
      </c>
      <c r="D33" s="615">
        <v>1</v>
      </c>
      <c r="E33" s="617">
        <v>472442.85714285716</v>
      </c>
      <c r="F33" s="617">
        <f>+ROUND(D33*E33,0)</f>
        <v>472443</v>
      </c>
    </row>
    <row r="34" spans="1:6" ht="16.8">
      <c r="A34" s="615">
        <v>24</v>
      </c>
      <c r="B34" s="616" t="s">
        <v>3728</v>
      </c>
      <c r="C34" s="615" t="s">
        <v>150</v>
      </c>
      <c r="D34" s="615">
        <v>6</v>
      </c>
      <c r="E34" s="617">
        <v>372914.28571428574</v>
      </c>
      <c r="F34" s="617">
        <f t="shared" ref="F34:F46" si="1">+ROUND(D34*E34,0)</f>
        <v>2237486</v>
      </c>
    </row>
    <row r="35" spans="1:6" ht="16.8">
      <c r="A35" s="615">
        <v>25</v>
      </c>
      <c r="B35" s="616" t="s">
        <v>3730</v>
      </c>
      <c r="C35" s="615" t="s">
        <v>150</v>
      </c>
      <c r="D35" s="615">
        <v>6</v>
      </c>
      <c r="E35" s="617">
        <v>33204.720000000001</v>
      </c>
      <c r="F35" s="617">
        <f t="shared" si="1"/>
        <v>199228</v>
      </c>
    </row>
    <row r="36" spans="1:6" ht="16.8">
      <c r="A36" s="615">
        <v>26</v>
      </c>
      <c r="B36" s="616" t="s">
        <v>3732</v>
      </c>
      <c r="C36" s="615" t="s">
        <v>150</v>
      </c>
      <c r="D36" s="615">
        <v>7</v>
      </c>
      <c r="E36" s="617">
        <v>106115.7894789916</v>
      </c>
      <c r="F36" s="617">
        <f t="shared" si="1"/>
        <v>742811</v>
      </c>
    </row>
    <row r="37" spans="1:6" ht="33.6">
      <c r="A37" s="615">
        <v>27</v>
      </c>
      <c r="B37" s="616" t="s">
        <v>3733</v>
      </c>
      <c r="C37" s="615" t="s">
        <v>94</v>
      </c>
      <c r="D37" s="615">
        <v>180</v>
      </c>
      <c r="E37" s="617">
        <v>15750</v>
      </c>
      <c r="F37" s="617">
        <f t="shared" si="1"/>
        <v>2835000</v>
      </c>
    </row>
    <row r="38" spans="1:6" ht="16.8">
      <c r="A38" s="615">
        <v>28</v>
      </c>
      <c r="B38" s="616" t="s">
        <v>3735</v>
      </c>
      <c r="C38" s="615" t="s">
        <v>150</v>
      </c>
      <c r="D38" s="615">
        <v>6</v>
      </c>
      <c r="E38" s="617">
        <v>251714.28571428571</v>
      </c>
      <c r="F38" s="617">
        <f t="shared" si="1"/>
        <v>1510286</v>
      </c>
    </row>
    <row r="39" spans="1:6" ht="33.6">
      <c r="A39" s="615">
        <v>29</v>
      </c>
      <c r="B39" s="616" t="s">
        <v>3737</v>
      </c>
      <c r="C39" s="615" t="s">
        <v>150</v>
      </c>
      <c r="D39" s="615">
        <v>2</v>
      </c>
      <c r="E39" s="617">
        <v>25362.880000000001</v>
      </c>
      <c r="F39" s="617">
        <f t="shared" si="1"/>
        <v>50726</v>
      </c>
    </row>
    <row r="40" spans="1:6" ht="50.4">
      <c r="A40" s="615">
        <v>30</v>
      </c>
      <c r="B40" s="616" t="s">
        <v>3738</v>
      </c>
      <c r="C40" s="615" t="s">
        <v>150</v>
      </c>
      <c r="D40" s="615">
        <v>6</v>
      </c>
      <c r="E40" s="617">
        <v>43518.879999999997</v>
      </c>
      <c r="F40" s="617">
        <f t="shared" si="1"/>
        <v>261113</v>
      </c>
    </row>
    <row r="41" spans="1:6" ht="50.4">
      <c r="A41" s="615">
        <v>31</v>
      </c>
      <c r="B41" s="616" t="s">
        <v>3740</v>
      </c>
      <c r="C41" s="615" t="s">
        <v>150</v>
      </c>
      <c r="D41" s="615">
        <v>3</v>
      </c>
      <c r="E41" s="617">
        <v>51484.333956249997</v>
      </c>
      <c r="F41" s="617">
        <f t="shared" si="1"/>
        <v>154453</v>
      </c>
    </row>
    <row r="42" spans="1:6" ht="50.4">
      <c r="A42" s="615">
        <v>32</v>
      </c>
      <c r="B42" s="616" t="s">
        <v>3742</v>
      </c>
      <c r="C42" s="615" t="s">
        <v>150</v>
      </c>
      <c r="D42" s="615">
        <v>13</v>
      </c>
      <c r="E42" s="617">
        <v>20717.080000000002</v>
      </c>
      <c r="F42" s="617">
        <f t="shared" si="1"/>
        <v>269322</v>
      </c>
    </row>
    <row r="43" spans="1:6" ht="50.4">
      <c r="A43" s="615">
        <v>33</v>
      </c>
      <c r="B43" s="616" t="s">
        <v>3744</v>
      </c>
      <c r="C43" s="615" t="s">
        <v>150</v>
      </c>
      <c r="D43" s="615">
        <v>5</v>
      </c>
      <c r="E43" s="617">
        <v>24318.880000000001</v>
      </c>
      <c r="F43" s="617">
        <f t="shared" si="1"/>
        <v>121594</v>
      </c>
    </row>
    <row r="44" spans="1:6" ht="33.6">
      <c r="A44" s="615">
        <v>34</v>
      </c>
      <c r="B44" s="616" t="s">
        <v>3833</v>
      </c>
      <c r="C44" s="615" t="s">
        <v>150</v>
      </c>
      <c r="D44" s="615">
        <v>1</v>
      </c>
      <c r="E44" s="617">
        <v>30169.200000000001</v>
      </c>
      <c r="F44" s="617">
        <f t="shared" si="1"/>
        <v>30169</v>
      </c>
    </row>
    <row r="45" spans="1:6" ht="50.4">
      <c r="A45" s="615">
        <v>35</v>
      </c>
      <c r="B45" s="616" t="s">
        <v>3834</v>
      </c>
      <c r="C45" s="615" t="s">
        <v>150</v>
      </c>
      <c r="D45" s="615">
        <v>6</v>
      </c>
      <c r="E45" s="617">
        <v>1063381.2</v>
      </c>
      <c r="F45" s="617">
        <f t="shared" si="1"/>
        <v>6380287</v>
      </c>
    </row>
    <row r="46" spans="1:6" ht="33.6">
      <c r="A46" s="615">
        <v>36</v>
      </c>
      <c r="B46" s="616" t="s">
        <v>3835</v>
      </c>
      <c r="C46" s="615" t="s">
        <v>150</v>
      </c>
      <c r="D46" s="615">
        <v>1</v>
      </c>
      <c r="E46" s="617">
        <v>4500000</v>
      </c>
      <c r="F46" s="617">
        <f t="shared" si="1"/>
        <v>4500000</v>
      </c>
    </row>
    <row r="47" spans="1:6" ht="17.399999999999999" thickBot="1">
      <c r="A47" s="3687" t="s">
        <v>3836</v>
      </c>
      <c r="B47" s="3687"/>
      <c r="C47" s="3687"/>
      <c r="D47" s="3687"/>
      <c r="E47" s="3687"/>
      <c r="F47" s="619">
        <f>SUM(F9:F46)</f>
        <v>384098673</v>
      </c>
    </row>
    <row r="48" spans="1:6" ht="13.8">
      <c r="A48" s="3688" t="s">
        <v>1331</v>
      </c>
      <c r="B48" s="3689"/>
      <c r="C48" s="3689"/>
      <c r="D48" s="3689"/>
      <c r="E48" s="3689"/>
      <c r="F48" s="3690"/>
    </row>
    <row r="49" spans="1:6" ht="27.6">
      <c r="A49" s="618"/>
      <c r="B49" s="618" t="s">
        <v>1332</v>
      </c>
      <c r="C49" s="618"/>
      <c r="D49" s="618"/>
      <c r="E49" s="618"/>
      <c r="F49" s="618"/>
    </row>
    <row r="50" spans="1:6" ht="67.2">
      <c r="A50" s="615" t="s">
        <v>34</v>
      </c>
      <c r="B50" s="616" t="s">
        <v>1333</v>
      </c>
      <c r="C50" s="615" t="s">
        <v>150</v>
      </c>
      <c r="D50" s="615">
        <v>1</v>
      </c>
      <c r="E50" s="617">
        <v>945000</v>
      </c>
      <c r="F50" s="617">
        <f>+ROUND(D50*E50,0)</f>
        <v>945000</v>
      </c>
    </row>
    <row r="51" spans="1:6" ht="100.8">
      <c r="A51" s="615">
        <v>2</v>
      </c>
      <c r="B51" s="616" t="s">
        <v>3842</v>
      </c>
      <c r="C51" s="615" t="s">
        <v>150</v>
      </c>
      <c r="D51" s="615">
        <v>1</v>
      </c>
      <c r="E51" s="617">
        <v>1575000</v>
      </c>
      <c r="F51" s="617">
        <f t="shared" ref="F51:F71" si="2">+ROUND(D51*E51,0)</f>
        <v>1575000</v>
      </c>
    </row>
    <row r="52" spans="1:6" ht="16.8">
      <c r="A52" s="615">
        <v>3</v>
      </c>
      <c r="B52" s="616" t="s">
        <v>1335</v>
      </c>
      <c r="C52" s="615" t="s">
        <v>150</v>
      </c>
      <c r="D52" s="615">
        <v>6</v>
      </c>
      <c r="E52" s="617">
        <v>31500</v>
      </c>
      <c r="F52" s="617">
        <f t="shared" si="2"/>
        <v>189000</v>
      </c>
    </row>
    <row r="53" spans="1:6" ht="16.8">
      <c r="A53" s="615">
        <v>4</v>
      </c>
      <c r="B53" s="616" t="s">
        <v>1336</v>
      </c>
      <c r="C53" s="615" t="s">
        <v>150</v>
      </c>
      <c r="D53" s="615">
        <v>3</v>
      </c>
      <c r="E53" s="617">
        <v>40500</v>
      </c>
      <c r="F53" s="617">
        <f t="shared" si="2"/>
        <v>121500</v>
      </c>
    </row>
    <row r="54" spans="1:6" ht="84">
      <c r="A54" s="615">
        <v>5</v>
      </c>
      <c r="B54" s="616" t="s">
        <v>1337</v>
      </c>
      <c r="C54" s="615" t="s">
        <v>94</v>
      </c>
      <c r="D54" s="615">
        <v>150</v>
      </c>
      <c r="E54" s="617">
        <v>31500</v>
      </c>
      <c r="F54" s="617">
        <f t="shared" si="2"/>
        <v>4725000</v>
      </c>
    </row>
    <row r="55" spans="1:6" ht="100.8">
      <c r="A55" s="615">
        <v>6</v>
      </c>
      <c r="B55" s="616" t="s">
        <v>3647</v>
      </c>
      <c r="C55" s="615" t="s">
        <v>94</v>
      </c>
      <c r="D55" s="615">
        <v>30</v>
      </c>
      <c r="E55" s="617">
        <v>12600</v>
      </c>
      <c r="F55" s="617">
        <f t="shared" si="2"/>
        <v>378000</v>
      </c>
    </row>
    <row r="56" spans="1:6" ht="134.4">
      <c r="A56" s="615">
        <v>7</v>
      </c>
      <c r="B56" s="616" t="s">
        <v>3847</v>
      </c>
      <c r="C56" s="615" t="s">
        <v>150</v>
      </c>
      <c r="D56" s="615">
        <v>1</v>
      </c>
      <c r="E56" s="617">
        <v>472500</v>
      </c>
      <c r="F56" s="617">
        <f t="shared" si="2"/>
        <v>472500</v>
      </c>
    </row>
    <row r="57" spans="1:6" ht="67.2">
      <c r="A57" s="615">
        <v>8</v>
      </c>
      <c r="B57" s="616" t="s">
        <v>1340</v>
      </c>
      <c r="C57" s="615" t="s">
        <v>150</v>
      </c>
      <c r="D57" s="615">
        <v>1</v>
      </c>
      <c r="E57" s="617">
        <v>157500</v>
      </c>
      <c r="F57" s="617">
        <f t="shared" si="2"/>
        <v>157500</v>
      </c>
    </row>
    <row r="58" spans="1:6" ht="100.8">
      <c r="A58" s="615">
        <v>9</v>
      </c>
      <c r="B58" s="616" t="s">
        <v>3848</v>
      </c>
      <c r="C58" s="615" t="s">
        <v>150</v>
      </c>
      <c r="D58" s="615">
        <v>2</v>
      </c>
      <c r="E58" s="617">
        <v>787500</v>
      </c>
      <c r="F58" s="617">
        <f t="shared" si="2"/>
        <v>1575000</v>
      </c>
    </row>
    <row r="59" spans="1:6" ht="67.2">
      <c r="A59" s="615">
        <v>10</v>
      </c>
      <c r="B59" s="616" t="s">
        <v>1342</v>
      </c>
      <c r="C59" s="615" t="s">
        <v>150</v>
      </c>
      <c r="D59" s="615">
        <v>2</v>
      </c>
      <c r="E59" s="617">
        <v>472500</v>
      </c>
      <c r="F59" s="617">
        <f t="shared" si="2"/>
        <v>945000</v>
      </c>
    </row>
    <row r="60" spans="1:6" ht="67.2">
      <c r="A60" s="615">
        <v>11</v>
      </c>
      <c r="B60" s="616" t="s">
        <v>3680</v>
      </c>
      <c r="C60" s="615" t="s">
        <v>150</v>
      </c>
      <c r="D60" s="615">
        <v>3</v>
      </c>
      <c r="E60" s="617">
        <v>472500</v>
      </c>
      <c r="F60" s="617">
        <f t="shared" si="2"/>
        <v>1417500</v>
      </c>
    </row>
    <row r="61" spans="1:6" ht="67.2">
      <c r="A61" s="615">
        <v>12</v>
      </c>
      <c r="B61" s="616" t="s">
        <v>3837</v>
      </c>
      <c r="C61" s="615" t="s">
        <v>150</v>
      </c>
      <c r="D61" s="615">
        <v>4</v>
      </c>
      <c r="E61" s="617">
        <v>315000</v>
      </c>
      <c r="F61" s="617">
        <f t="shared" si="2"/>
        <v>1260000</v>
      </c>
    </row>
    <row r="62" spans="1:6" ht="67.2">
      <c r="A62" s="615">
        <v>13</v>
      </c>
      <c r="B62" s="616" t="s">
        <v>1345</v>
      </c>
      <c r="C62" s="615" t="s">
        <v>150</v>
      </c>
      <c r="D62" s="615">
        <v>1</v>
      </c>
      <c r="E62" s="617">
        <v>315000</v>
      </c>
      <c r="F62" s="617">
        <f t="shared" si="2"/>
        <v>315000</v>
      </c>
    </row>
    <row r="63" spans="1:6" ht="50.4">
      <c r="A63" s="615">
        <v>14</v>
      </c>
      <c r="B63" s="616" t="s">
        <v>1346</v>
      </c>
      <c r="C63" s="615" t="s">
        <v>150</v>
      </c>
      <c r="D63" s="615">
        <v>1</v>
      </c>
      <c r="E63" s="617">
        <v>315000</v>
      </c>
      <c r="F63" s="617">
        <f t="shared" si="2"/>
        <v>315000</v>
      </c>
    </row>
    <row r="64" spans="1:6" ht="33.6">
      <c r="A64" s="615">
        <v>15</v>
      </c>
      <c r="B64" s="616" t="s">
        <v>1347</v>
      </c>
      <c r="C64" s="615" t="s">
        <v>150</v>
      </c>
      <c r="D64" s="615">
        <v>1</v>
      </c>
      <c r="E64" s="617">
        <v>78750</v>
      </c>
      <c r="F64" s="617">
        <f t="shared" si="2"/>
        <v>78750</v>
      </c>
    </row>
    <row r="65" spans="1:6" ht="33.6">
      <c r="A65" s="615">
        <v>16</v>
      </c>
      <c r="B65" s="616" t="s">
        <v>1348</v>
      </c>
      <c r="C65" s="615" t="s">
        <v>150</v>
      </c>
      <c r="D65" s="615">
        <v>2</v>
      </c>
      <c r="E65" s="617">
        <v>157500</v>
      </c>
      <c r="F65" s="617">
        <f t="shared" si="2"/>
        <v>315000</v>
      </c>
    </row>
    <row r="66" spans="1:6" ht="33.6">
      <c r="A66" s="615">
        <v>17</v>
      </c>
      <c r="B66" s="616" t="s">
        <v>1349</v>
      </c>
      <c r="C66" s="615" t="s">
        <v>150</v>
      </c>
      <c r="D66" s="615">
        <v>2</v>
      </c>
      <c r="E66" s="617">
        <v>157500</v>
      </c>
      <c r="F66" s="617">
        <f t="shared" si="2"/>
        <v>315000</v>
      </c>
    </row>
    <row r="67" spans="1:6" ht="33.6">
      <c r="A67" s="615">
        <v>18</v>
      </c>
      <c r="B67" s="616" t="s">
        <v>1350</v>
      </c>
      <c r="C67" s="615" t="s">
        <v>150</v>
      </c>
      <c r="D67" s="615">
        <v>1</v>
      </c>
      <c r="E67" s="617">
        <v>157500</v>
      </c>
      <c r="F67" s="617">
        <f t="shared" si="2"/>
        <v>157500</v>
      </c>
    </row>
    <row r="68" spans="1:6" ht="33.6">
      <c r="A68" s="615">
        <v>19</v>
      </c>
      <c r="B68" s="616" t="s">
        <v>1351</v>
      </c>
      <c r="C68" s="615" t="s">
        <v>150</v>
      </c>
      <c r="D68" s="615">
        <v>4</v>
      </c>
      <c r="E68" s="617">
        <v>157500</v>
      </c>
      <c r="F68" s="617">
        <f t="shared" si="2"/>
        <v>630000</v>
      </c>
    </row>
    <row r="69" spans="1:6" ht="100.8">
      <c r="A69" s="615">
        <v>20</v>
      </c>
      <c r="B69" s="616" t="s">
        <v>1352</v>
      </c>
      <c r="C69" s="615" t="s">
        <v>150</v>
      </c>
      <c r="D69" s="615">
        <v>1</v>
      </c>
      <c r="E69" s="617">
        <v>945000</v>
      </c>
      <c r="F69" s="617">
        <f t="shared" si="2"/>
        <v>945000</v>
      </c>
    </row>
    <row r="70" spans="1:6" ht="50.4">
      <c r="A70" s="615">
        <v>21</v>
      </c>
      <c r="B70" s="616" t="s">
        <v>1353</v>
      </c>
      <c r="C70" s="615" t="s">
        <v>150</v>
      </c>
      <c r="D70" s="615">
        <v>1</v>
      </c>
      <c r="E70" s="617">
        <v>945000</v>
      </c>
      <c r="F70" s="617">
        <f t="shared" si="2"/>
        <v>945000</v>
      </c>
    </row>
    <row r="71" spans="1:6" ht="117.6">
      <c r="A71" s="615">
        <v>22</v>
      </c>
      <c r="B71" s="616" t="s">
        <v>1354</v>
      </c>
      <c r="C71" s="615" t="s">
        <v>150</v>
      </c>
      <c r="D71" s="615">
        <v>1</v>
      </c>
      <c r="E71" s="617">
        <v>315000</v>
      </c>
      <c r="F71" s="617">
        <f t="shared" si="2"/>
        <v>315000</v>
      </c>
    </row>
    <row r="72" spans="1:6" ht="27.6">
      <c r="A72" s="618"/>
      <c r="B72" s="618" t="s">
        <v>1355</v>
      </c>
      <c r="C72" s="618"/>
      <c r="D72" s="618" t="s">
        <v>441</v>
      </c>
      <c r="E72" s="618"/>
      <c r="F72" s="618"/>
    </row>
    <row r="73" spans="1:6" ht="33.6">
      <c r="A73" s="615">
        <v>23</v>
      </c>
      <c r="B73" s="616" t="s">
        <v>1356</v>
      </c>
      <c r="C73" s="615" t="s">
        <v>150</v>
      </c>
      <c r="D73" s="615">
        <v>1</v>
      </c>
      <c r="E73" s="617">
        <v>273835.0699117647</v>
      </c>
      <c r="F73" s="617">
        <f>+ROUND(D73*E73,0)</f>
        <v>273835</v>
      </c>
    </row>
    <row r="74" spans="1:6" ht="33.6">
      <c r="A74" s="615">
        <v>24</v>
      </c>
      <c r="B74" s="616" t="s">
        <v>1357</v>
      </c>
      <c r="C74" s="615" t="s">
        <v>150</v>
      </c>
      <c r="D74" s="615">
        <v>6</v>
      </c>
      <c r="E74" s="617">
        <v>51546.907912499999</v>
      </c>
      <c r="F74" s="617">
        <f t="shared" ref="F74:F85" si="3">+ROUND(D74*E74,0)</f>
        <v>309281</v>
      </c>
    </row>
    <row r="75" spans="1:6" ht="16.8">
      <c r="A75" s="615">
        <v>25</v>
      </c>
      <c r="B75" s="616" t="s">
        <v>1358</v>
      </c>
      <c r="C75" s="615" t="s">
        <v>150</v>
      </c>
      <c r="D75" s="615">
        <v>6</v>
      </c>
      <c r="E75" s="617">
        <v>12600</v>
      </c>
      <c r="F75" s="617">
        <f t="shared" si="3"/>
        <v>75600</v>
      </c>
    </row>
    <row r="76" spans="1:6" ht="16.8">
      <c r="A76" s="615">
        <v>26</v>
      </c>
      <c r="B76" s="616" t="s">
        <v>1359</v>
      </c>
      <c r="C76" s="615" t="s">
        <v>150</v>
      </c>
      <c r="D76" s="615">
        <v>7</v>
      </c>
      <c r="E76" s="617">
        <v>26115.789478991595</v>
      </c>
      <c r="F76" s="617">
        <f t="shared" si="3"/>
        <v>182811</v>
      </c>
    </row>
    <row r="77" spans="1:6" ht="33.6">
      <c r="A77" s="615">
        <v>27</v>
      </c>
      <c r="B77" s="616" t="s">
        <v>1360</v>
      </c>
      <c r="C77" s="615" t="s">
        <v>94</v>
      </c>
      <c r="D77" s="615">
        <v>180</v>
      </c>
      <c r="E77" s="617">
        <v>5154.6907912500001</v>
      </c>
      <c r="F77" s="617">
        <f t="shared" si="3"/>
        <v>927844</v>
      </c>
    </row>
    <row r="78" spans="1:6" ht="33.6">
      <c r="A78" s="615">
        <v>28</v>
      </c>
      <c r="B78" s="616" t="s">
        <v>1361</v>
      </c>
      <c r="C78" s="615" t="s">
        <v>150</v>
      </c>
      <c r="D78" s="615">
        <v>6</v>
      </c>
      <c r="E78" s="617">
        <v>150440.04296470588</v>
      </c>
      <c r="F78" s="617">
        <f t="shared" si="3"/>
        <v>902640</v>
      </c>
    </row>
    <row r="79" spans="1:6" ht="33.6">
      <c r="A79" s="615">
        <v>29</v>
      </c>
      <c r="B79" s="616" t="s">
        <v>1362</v>
      </c>
      <c r="C79" s="615" t="s">
        <v>150</v>
      </c>
      <c r="D79" s="615">
        <v>2</v>
      </c>
      <c r="E79" s="617">
        <v>25773.453956249999</v>
      </c>
      <c r="F79" s="617">
        <f t="shared" si="3"/>
        <v>51547</v>
      </c>
    </row>
    <row r="80" spans="1:6" ht="50.4">
      <c r="A80" s="615">
        <v>30</v>
      </c>
      <c r="B80" s="616" t="s">
        <v>1363</v>
      </c>
      <c r="C80" s="615" t="s">
        <v>150</v>
      </c>
      <c r="D80" s="615">
        <v>6</v>
      </c>
      <c r="E80" s="617">
        <v>25773.453956249999</v>
      </c>
      <c r="F80" s="617">
        <f t="shared" si="3"/>
        <v>154641</v>
      </c>
    </row>
    <row r="81" spans="1:6" ht="50.4">
      <c r="A81" s="615">
        <v>31</v>
      </c>
      <c r="B81" s="616" t="s">
        <v>1364</v>
      </c>
      <c r="C81" s="615" t="s">
        <v>150</v>
      </c>
      <c r="D81" s="615">
        <v>3</v>
      </c>
      <c r="E81" s="617">
        <v>25773.453956249999</v>
      </c>
      <c r="F81" s="617">
        <f t="shared" si="3"/>
        <v>77320</v>
      </c>
    </row>
    <row r="82" spans="1:6" ht="50.4">
      <c r="A82" s="615">
        <v>32</v>
      </c>
      <c r="B82" s="616" t="s">
        <v>1365</v>
      </c>
      <c r="C82" s="615" t="s">
        <v>150</v>
      </c>
      <c r="D82" s="615">
        <v>13</v>
      </c>
      <c r="E82" s="617">
        <v>25773.453956249999</v>
      </c>
      <c r="F82" s="617">
        <f t="shared" si="3"/>
        <v>335055</v>
      </c>
    </row>
    <row r="83" spans="1:6" ht="50.4">
      <c r="A83" s="615">
        <v>33</v>
      </c>
      <c r="B83" s="616" t="s">
        <v>1366</v>
      </c>
      <c r="C83" s="615" t="s">
        <v>150</v>
      </c>
      <c r="D83" s="615">
        <v>5</v>
      </c>
      <c r="E83" s="617">
        <v>25773.453956249999</v>
      </c>
      <c r="F83" s="617">
        <f t="shared" si="3"/>
        <v>128867</v>
      </c>
    </row>
    <row r="84" spans="1:6" ht="50.4">
      <c r="A84" s="615">
        <v>34</v>
      </c>
      <c r="B84" s="616" t="s">
        <v>1367</v>
      </c>
      <c r="C84" s="615" t="s">
        <v>150</v>
      </c>
      <c r="D84" s="615">
        <v>1</v>
      </c>
      <c r="E84" s="617">
        <v>25773.453956249999</v>
      </c>
      <c r="F84" s="617">
        <f t="shared" si="3"/>
        <v>25773</v>
      </c>
    </row>
    <row r="85" spans="1:6" ht="50.4">
      <c r="A85" s="615">
        <v>35</v>
      </c>
      <c r="B85" s="616" t="s">
        <v>1368</v>
      </c>
      <c r="C85" s="615" t="s">
        <v>150</v>
      </c>
      <c r="D85" s="615">
        <v>6</v>
      </c>
      <c r="E85" s="617">
        <v>206187.63165</v>
      </c>
      <c r="F85" s="617">
        <f t="shared" si="3"/>
        <v>1237126</v>
      </c>
    </row>
    <row r="86" spans="1:6" ht="17.399999999999999" thickBot="1">
      <c r="A86" s="3687" t="s">
        <v>1369</v>
      </c>
      <c r="B86" s="3687"/>
      <c r="C86" s="3687"/>
      <c r="D86" s="3687"/>
      <c r="E86" s="3687"/>
      <c r="F86" s="619">
        <f>SUM(F50:F85)</f>
        <v>22774590</v>
      </c>
    </row>
    <row r="87" spans="1:6" ht="14.4" thickBot="1">
      <c r="A87" s="620"/>
      <c r="B87" s="621"/>
      <c r="C87" s="622"/>
      <c r="D87" s="622"/>
      <c r="E87" s="623"/>
      <c r="F87" s="624"/>
    </row>
    <row r="88" spans="1:6" ht="16.8">
      <c r="A88" s="625"/>
      <c r="B88" s="3677" t="s">
        <v>3838</v>
      </c>
      <c r="C88" s="3677"/>
      <c r="D88" s="3677"/>
      <c r="E88" s="3677"/>
      <c r="F88" s="626">
        <f>F86+F47</f>
        <v>406873263</v>
      </c>
    </row>
    <row r="89" spans="1:6" ht="16.8">
      <c r="A89" s="277"/>
      <c r="B89" s="627" t="s">
        <v>3619</v>
      </c>
      <c r="C89" s="627"/>
      <c r="D89" s="628"/>
      <c r="E89" s="629">
        <f>+AIU</f>
        <v>0.29572249606750989</v>
      </c>
      <c r="F89" s="626">
        <f>F86*E89</f>
        <v>6734958.60171415</v>
      </c>
    </row>
    <row r="90" spans="1:6" ht="16.8">
      <c r="A90" s="277"/>
      <c r="B90" s="630" t="s">
        <v>803</v>
      </c>
      <c r="C90" s="627"/>
      <c r="D90" s="628"/>
      <c r="E90" s="629">
        <f>+ADMINISTRA</f>
        <v>0.24572249606750993</v>
      </c>
      <c r="F90" s="631">
        <f>+F47*E90</f>
        <v>94381684.665778279</v>
      </c>
    </row>
    <row r="91" spans="1:6" ht="17.399999999999999" thickBot="1">
      <c r="A91" s="277"/>
      <c r="B91" s="3678" t="s">
        <v>3839</v>
      </c>
      <c r="C91" s="3678"/>
      <c r="D91" s="3678"/>
      <c r="E91" s="3678"/>
      <c r="F91" s="632">
        <f>SUM(F88:F90)</f>
        <v>507989906.26749241</v>
      </c>
    </row>
    <row r="92" spans="1:6" ht="13.8">
      <c r="A92" s="633"/>
      <c r="B92" s="634"/>
      <c r="C92" s="634"/>
      <c r="D92" s="634"/>
      <c r="E92" s="634"/>
      <c r="F92" s="635"/>
    </row>
    <row r="93" spans="1:6" ht="16.8">
      <c r="A93" s="636"/>
      <c r="B93" s="3679" t="s">
        <v>3849</v>
      </c>
      <c r="C93" s="3679"/>
      <c r="D93" s="3679"/>
      <c r="E93" s="3680"/>
      <c r="F93" s="637">
        <f>+F91</f>
        <v>507989906.26749241</v>
      </c>
    </row>
  </sheetData>
  <mergeCells count="14">
    <mergeCell ref="B88:E88"/>
    <mergeCell ref="B91:E91"/>
    <mergeCell ref="B93:E93"/>
    <mergeCell ref="A5:F5"/>
    <mergeCell ref="A7:F7"/>
    <mergeCell ref="A47:E47"/>
    <mergeCell ref="A48:F48"/>
    <mergeCell ref="A86:E86"/>
    <mergeCell ref="A1:A3"/>
    <mergeCell ref="H1:I3"/>
    <mergeCell ref="B3:C3"/>
    <mergeCell ref="B1:E1"/>
    <mergeCell ref="D3:E3"/>
    <mergeCell ref="B2:E2"/>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5" tint="0.59999389629810485"/>
  </sheetPr>
  <dimension ref="A1:I559"/>
  <sheetViews>
    <sheetView workbookViewId="0">
      <selection sqref="A1:A3"/>
    </sheetView>
  </sheetViews>
  <sheetFormatPr baseColWidth="10" defaultColWidth="10.6640625" defaultRowHeight="16.8"/>
  <cols>
    <col min="1" max="1" width="18.6640625" style="178" customWidth="1"/>
    <col min="2" max="2" width="57.88671875" style="578" customWidth="1"/>
    <col min="3" max="3" width="11.44140625" style="579"/>
    <col min="4" max="4" width="9.33203125" style="17" customWidth="1"/>
    <col min="5" max="5" width="15.88671875" style="607" customWidth="1"/>
    <col min="6" max="6" width="8.88671875" style="581" customWidth="1"/>
    <col min="7" max="7" width="14.5546875" style="581" customWidth="1"/>
    <col min="8" max="8" width="13" style="581" customWidth="1"/>
    <col min="9" max="9" width="13" style="581" bestFit="1" customWidth="1"/>
  </cols>
  <sheetData>
    <row r="1" spans="1:9" ht="37.5" customHeight="1">
      <c r="A1" s="3317"/>
      <c r="B1" s="3691" t="s">
        <v>4262</v>
      </c>
      <c r="C1" s="3692"/>
      <c r="D1" s="3692"/>
      <c r="E1" s="3692"/>
      <c r="F1" s="3692"/>
      <c r="G1" s="3692"/>
      <c r="H1" s="3304"/>
      <c r="I1" s="3304"/>
    </row>
    <row r="2" spans="1:9" ht="19.2">
      <c r="A2" s="3317"/>
      <c r="B2" s="3628" t="s">
        <v>8539</v>
      </c>
      <c r="C2" s="3629"/>
      <c r="D2" s="3629"/>
      <c r="E2" s="3629"/>
      <c r="F2" s="3629"/>
      <c r="G2" s="3629"/>
      <c r="H2" s="3304"/>
      <c r="I2" s="3304"/>
    </row>
    <row r="3" spans="1:9" ht="19.2">
      <c r="A3" s="3317"/>
      <c r="B3" s="3321" t="s">
        <v>3859</v>
      </c>
      <c r="C3" s="3321"/>
      <c r="D3" s="3693" t="s">
        <v>5054</v>
      </c>
      <c r="E3" s="3693"/>
      <c r="F3" s="3693"/>
      <c r="G3" s="3693"/>
      <c r="H3" s="3304"/>
      <c r="I3" s="3304"/>
    </row>
    <row r="4" spans="1:9">
      <c r="C4" s="666"/>
      <c r="E4" s="581"/>
    </row>
    <row r="5" spans="1:9">
      <c r="A5" s="3694" t="s">
        <v>3618</v>
      </c>
      <c r="B5" s="3695"/>
      <c r="C5" s="572"/>
      <c r="D5" s="573"/>
      <c r="E5" s="574" t="s">
        <v>3619</v>
      </c>
      <c r="F5" s="575">
        <v>0.3</v>
      </c>
      <c r="G5" s="576" t="s">
        <v>441</v>
      </c>
      <c r="H5" s="573"/>
      <c r="I5" s="577"/>
    </row>
    <row r="6" spans="1:9" ht="33.75" customHeight="1">
      <c r="A6" s="609" t="s">
        <v>441</v>
      </c>
      <c r="B6" s="3547" t="s">
        <v>3751</v>
      </c>
      <c r="C6" s="3548"/>
      <c r="D6" s="3548"/>
      <c r="E6" s="3548"/>
      <c r="F6" s="3548"/>
      <c r="G6" s="3548"/>
      <c r="H6" s="3548"/>
      <c r="I6" s="3549"/>
    </row>
    <row r="7" spans="1:9">
      <c r="A7" s="243"/>
      <c r="B7" s="179"/>
      <c r="C7" s="583" t="s">
        <v>140</v>
      </c>
      <c r="D7" s="243" t="s">
        <v>343</v>
      </c>
      <c r="E7" s="584" t="s">
        <v>344</v>
      </c>
      <c r="F7" s="65" t="s">
        <v>482</v>
      </c>
      <c r="G7" s="65" t="s">
        <v>483</v>
      </c>
      <c r="H7" s="65" t="s">
        <v>232</v>
      </c>
      <c r="I7" s="65" t="s">
        <v>171</v>
      </c>
    </row>
    <row r="8" spans="1:9">
      <c r="A8" s="530" t="s">
        <v>2184</v>
      </c>
      <c r="B8" s="531" t="s">
        <v>2185</v>
      </c>
      <c r="C8" s="583">
        <v>1</v>
      </c>
      <c r="D8" s="160" t="s">
        <v>363</v>
      </c>
      <c r="E8" s="585">
        <f>VLOOKUP(B8,MATERIALES!B:C,2,0)</f>
        <v>18486650</v>
      </c>
      <c r="F8" s="65"/>
      <c r="G8" s="65">
        <f t="shared" ref="G8:G21" si="0">+E8*C8</f>
        <v>18486650</v>
      </c>
      <c r="H8" s="585"/>
      <c r="I8" s="585"/>
    </row>
    <row r="9" spans="1:9">
      <c r="A9" s="243" t="s">
        <v>3752</v>
      </c>
      <c r="B9" s="179" t="s">
        <v>2163</v>
      </c>
      <c r="C9" s="583">
        <v>3</v>
      </c>
      <c r="D9" s="160" t="s">
        <v>363</v>
      </c>
      <c r="E9" s="585">
        <f>VLOOKUP(B9,MATERIALES!B:C,2,0)</f>
        <v>9907.7199999999993</v>
      </c>
      <c r="F9" s="65"/>
      <c r="G9" s="65">
        <f t="shared" si="0"/>
        <v>29723.159999999996</v>
      </c>
      <c r="H9" s="585"/>
      <c r="I9" s="585"/>
    </row>
    <row r="10" spans="1:9">
      <c r="A10" s="2" t="s">
        <v>1876</v>
      </c>
      <c r="B10" s="18" t="s">
        <v>1877</v>
      </c>
      <c r="C10" s="589">
        <v>3</v>
      </c>
      <c r="D10" s="6" t="s">
        <v>363</v>
      </c>
      <c r="E10" s="585">
        <f>VLOOKUP(B10,MATERIALES!B:C,2,0)</f>
        <v>4332.5999999999995</v>
      </c>
      <c r="F10" s="585"/>
      <c r="G10" s="65">
        <f t="shared" si="0"/>
        <v>12997.8</v>
      </c>
      <c r="H10" s="585"/>
      <c r="I10" s="585"/>
    </row>
    <row r="11" spans="1:9">
      <c r="A11" s="2" t="s">
        <v>1807</v>
      </c>
      <c r="B11" s="18" t="s">
        <v>1808</v>
      </c>
      <c r="C11" s="589">
        <v>3</v>
      </c>
      <c r="D11" s="6" t="s">
        <v>363</v>
      </c>
      <c r="E11" s="585">
        <f>VLOOKUP(B11,MATERIALES!B:C,2,0)</f>
        <v>131731.91999999998</v>
      </c>
      <c r="F11" s="585"/>
      <c r="G11" s="65">
        <f t="shared" si="0"/>
        <v>395195.75999999995</v>
      </c>
      <c r="H11" s="585"/>
      <c r="I11" s="585"/>
    </row>
    <row r="12" spans="1:9">
      <c r="A12" s="243" t="s">
        <v>1782</v>
      </c>
      <c r="B12" s="179" t="s">
        <v>1786</v>
      </c>
      <c r="C12" s="583">
        <v>3</v>
      </c>
      <c r="D12" s="160" t="s">
        <v>363</v>
      </c>
      <c r="E12" s="585">
        <f>VLOOKUP(B12,MATERIALES!B:C,2,0)</f>
        <v>5568</v>
      </c>
      <c r="F12" s="65"/>
      <c r="G12" s="65">
        <f t="shared" si="0"/>
        <v>16704</v>
      </c>
      <c r="H12" s="65"/>
      <c r="I12" s="65"/>
    </row>
    <row r="13" spans="1:9">
      <c r="A13" s="2" t="s">
        <v>2000</v>
      </c>
      <c r="B13" s="18" t="s">
        <v>2001</v>
      </c>
      <c r="C13" s="589">
        <v>3</v>
      </c>
      <c r="D13" s="6" t="s">
        <v>363</v>
      </c>
      <c r="E13" s="585">
        <f>VLOOKUP(B13,MATERIALES!B:C,2,0)</f>
        <v>75904.599999999991</v>
      </c>
      <c r="F13" s="585" t="s">
        <v>4254</v>
      </c>
      <c r="G13" s="65">
        <f t="shared" si="0"/>
        <v>227713.8</v>
      </c>
      <c r="H13" s="585"/>
      <c r="I13" s="585"/>
    </row>
    <row r="14" spans="1:9">
      <c r="A14" s="2" t="s">
        <v>1837</v>
      </c>
      <c r="B14" s="18" t="s">
        <v>1838</v>
      </c>
      <c r="C14" s="589">
        <v>2</v>
      </c>
      <c r="D14" s="6" t="s">
        <v>363</v>
      </c>
      <c r="E14" s="585">
        <f>VLOOKUP(B14,MATERIALES!B:C,2,0)</f>
        <v>74936</v>
      </c>
      <c r="F14" s="585"/>
      <c r="G14" s="65">
        <f t="shared" si="0"/>
        <v>149872</v>
      </c>
      <c r="H14" s="585"/>
      <c r="I14" s="585"/>
    </row>
    <row r="15" spans="1:9">
      <c r="A15" s="530" t="s">
        <v>1789</v>
      </c>
      <c r="B15" s="531" t="s">
        <v>1790</v>
      </c>
      <c r="C15" s="589">
        <v>4</v>
      </c>
      <c r="D15" s="6" t="s">
        <v>363</v>
      </c>
      <c r="E15" s="585">
        <f>VLOOKUP(B15,MATERIALES!B:C,2,0)</f>
        <v>17800</v>
      </c>
      <c r="F15" s="585"/>
      <c r="G15" s="65">
        <f t="shared" si="0"/>
        <v>71200</v>
      </c>
      <c r="H15" s="585"/>
      <c r="I15" s="585"/>
    </row>
    <row r="16" spans="1:9">
      <c r="A16" s="530" t="s">
        <v>1843</v>
      </c>
      <c r="B16" s="534" t="s">
        <v>1844</v>
      </c>
      <c r="C16" s="589">
        <v>1</v>
      </c>
      <c r="D16" s="6" t="s">
        <v>363</v>
      </c>
      <c r="E16" s="585">
        <f>VLOOKUP(B16,MATERIALES!B:C,2,0)</f>
        <v>85000</v>
      </c>
      <c r="F16" s="585"/>
      <c r="G16" s="65">
        <f t="shared" si="0"/>
        <v>85000</v>
      </c>
      <c r="H16" s="585"/>
      <c r="I16" s="585"/>
    </row>
    <row r="17" spans="1:9">
      <c r="A17" s="243" t="s">
        <v>1663</v>
      </c>
      <c r="B17" s="548" t="s">
        <v>1664</v>
      </c>
      <c r="C17" s="583">
        <v>3</v>
      </c>
      <c r="D17" s="160" t="s">
        <v>363</v>
      </c>
      <c r="E17" s="585">
        <f>VLOOKUP(B17,MATERIALES!B:C,2,0)</f>
        <v>4906.7999999999993</v>
      </c>
      <c r="F17" s="65"/>
      <c r="G17" s="65">
        <f t="shared" si="0"/>
        <v>14720.399999999998</v>
      </c>
      <c r="H17" s="585"/>
      <c r="I17" s="585"/>
    </row>
    <row r="18" spans="1:9">
      <c r="A18" s="530" t="s">
        <v>1918</v>
      </c>
      <c r="B18" s="531" t="s">
        <v>1919</v>
      </c>
      <c r="C18" s="583">
        <v>1</v>
      </c>
      <c r="D18" s="160" t="s">
        <v>363</v>
      </c>
      <c r="E18" s="585">
        <f>VLOOKUP(B18,MATERIALES!B:C,2,0)</f>
        <v>525000</v>
      </c>
      <c r="F18" s="65"/>
      <c r="G18" s="65">
        <f t="shared" si="0"/>
        <v>525000</v>
      </c>
      <c r="H18" s="585"/>
      <c r="I18" s="585"/>
    </row>
    <row r="19" spans="1:9">
      <c r="A19" s="530" t="s">
        <v>1916</v>
      </c>
      <c r="B19" s="531" t="s">
        <v>1917</v>
      </c>
      <c r="C19" s="583">
        <v>2</v>
      </c>
      <c r="D19" s="160" t="s">
        <v>363</v>
      </c>
      <c r="E19" s="585">
        <f>VLOOKUP(B19,MATERIALES!B:C,2,0)</f>
        <v>750000</v>
      </c>
      <c r="F19" s="65"/>
      <c r="G19" s="65">
        <f t="shared" si="0"/>
        <v>1500000</v>
      </c>
      <c r="H19" s="585"/>
      <c r="I19" s="585"/>
    </row>
    <row r="20" spans="1:9">
      <c r="A20" s="243" t="s">
        <v>584</v>
      </c>
      <c r="B20" s="180" t="s">
        <v>2236</v>
      </c>
      <c r="C20" s="583">
        <v>1.5</v>
      </c>
      <c r="D20" s="243" t="s">
        <v>583</v>
      </c>
      <c r="E20" s="585">
        <f>VLOOKUP(B20,MATERIALES!B:C,2,0)</f>
        <v>750000</v>
      </c>
      <c r="F20" s="65"/>
      <c r="G20" s="65"/>
      <c r="H20" s="65"/>
      <c r="I20" s="65">
        <f>+E20*C20</f>
        <v>1125000</v>
      </c>
    </row>
    <row r="21" spans="1:9">
      <c r="A21" s="2" t="s">
        <v>2084</v>
      </c>
      <c r="B21" s="18" t="s">
        <v>2085</v>
      </c>
      <c r="C21" s="589">
        <v>1</v>
      </c>
      <c r="D21" s="6" t="s">
        <v>363</v>
      </c>
      <c r="E21" s="585">
        <f>VLOOKUP(B21,MATERIALES!B:C,2,0)</f>
        <v>100000</v>
      </c>
      <c r="F21" s="585"/>
      <c r="G21" s="65">
        <f t="shared" si="0"/>
        <v>100000</v>
      </c>
      <c r="H21" s="585"/>
      <c r="I21" s="585"/>
    </row>
    <row r="22" spans="1:9">
      <c r="A22" s="587" t="s">
        <v>190</v>
      </c>
      <c r="B22" s="588">
        <f>SUM(G22:I22)</f>
        <v>22739776.920000002</v>
      </c>
      <c r="C22" s="583"/>
      <c r="D22" s="169"/>
      <c r="E22" s="585"/>
      <c r="F22" s="65">
        <v>0</v>
      </c>
      <c r="G22" s="65">
        <f>SUM(G8:G21)</f>
        <v>21614776.920000002</v>
      </c>
      <c r="H22" s="65" t="s">
        <v>441</v>
      </c>
      <c r="I22" s="65">
        <f>SUM(I20:I21)</f>
        <v>1125000</v>
      </c>
    </row>
    <row r="23" spans="1:9">
      <c r="A23" s="21" t="s">
        <v>3622</v>
      </c>
      <c r="B23" s="39">
        <f>+B22*AIU</f>
        <v>6724663.5908007529</v>
      </c>
      <c r="C23" s="589"/>
      <c r="D23" s="31"/>
      <c r="E23" s="170"/>
      <c r="F23" s="590"/>
      <c r="G23" s="590"/>
      <c r="H23" s="590"/>
      <c r="I23" s="590"/>
    </row>
    <row r="24" spans="1:9">
      <c r="A24" s="587" t="s">
        <v>191</v>
      </c>
      <c r="B24" s="39">
        <f>SUM(B22:B23)</f>
        <v>29464440.510800757</v>
      </c>
      <c r="C24" s="591" t="s">
        <v>363</v>
      </c>
      <c r="D24" s="13"/>
      <c r="E24" s="170"/>
      <c r="F24" s="170"/>
      <c r="G24" s="170"/>
      <c r="H24" s="170"/>
      <c r="I24" s="170"/>
    </row>
    <row r="25" spans="1:9">
      <c r="E25" s="580"/>
    </row>
    <row r="26" spans="1:9" ht="32.25" customHeight="1">
      <c r="A26" s="609" t="s">
        <v>441</v>
      </c>
      <c r="B26" s="3547" t="s">
        <v>1333</v>
      </c>
      <c r="C26" s="3548"/>
      <c r="D26" s="3548"/>
      <c r="E26" s="3548"/>
      <c r="F26" s="3548"/>
      <c r="G26" s="3548"/>
      <c r="H26" s="3548"/>
      <c r="I26" s="3549"/>
    </row>
    <row r="27" spans="1:9">
      <c r="A27" s="243"/>
      <c r="B27" s="179"/>
      <c r="C27" s="583" t="s">
        <v>140</v>
      </c>
      <c r="D27" s="243" t="s">
        <v>343</v>
      </c>
      <c r="E27" s="584" t="s">
        <v>344</v>
      </c>
      <c r="F27" s="65" t="s">
        <v>482</v>
      </c>
      <c r="G27" s="65" t="s">
        <v>483</v>
      </c>
      <c r="H27" s="65" t="s">
        <v>232</v>
      </c>
      <c r="I27" s="65" t="s">
        <v>171</v>
      </c>
    </row>
    <row r="28" spans="1:9">
      <c r="A28" s="243" t="s">
        <v>3627</v>
      </c>
      <c r="B28" s="592" t="s">
        <v>1820</v>
      </c>
      <c r="C28" s="583">
        <v>6</v>
      </c>
      <c r="D28" s="243" t="s">
        <v>346</v>
      </c>
      <c r="E28" s="585">
        <f>VLOOKUP(B28,MATERIALES!B:C,2,0)</f>
        <v>150000</v>
      </c>
      <c r="F28" s="65"/>
      <c r="G28" s="65" t="s">
        <v>441</v>
      </c>
      <c r="H28" s="65">
        <f>+E28*C28</f>
        <v>900000</v>
      </c>
      <c r="I28" s="65"/>
    </row>
    <row r="29" spans="1:9">
      <c r="A29" s="243" t="s">
        <v>172</v>
      </c>
      <c r="B29" s="179" t="s">
        <v>189</v>
      </c>
      <c r="C29" s="583">
        <v>1</v>
      </c>
      <c r="D29" s="160" t="s">
        <v>583</v>
      </c>
      <c r="E29" s="585">
        <f>0.05*H28</f>
        <v>45000</v>
      </c>
      <c r="F29" s="65"/>
      <c r="G29" s="65"/>
      <c r="H29" s="65"/>
      <c r="I29" s="65">
        <f>+E29*C29</f>
        <v>45000</v>
      </c>
    </row>
    <row r="30" spans="1:9">
      <c r="A30" s="587" t="s">
        <v>190</v>
      </c>
      <c r="B30" s="588">
        <f>SUM(G30:I30)</f>
        <v>945000</v>
      </c>
      <c r="C30" s="583"/>
      <c r="D30" s="169"/>
      <c r="E30" s="585"/>
      <c r="F30" s="65">
        <v>0</v>
      </c>
      <c r="G30" s="65">
        <f>SUM(G28:G29)</f>
        <v>0</v>
      </c>
      <c r="H30" s="65">
        <f>SUM(H28:H29)</f>
        <v>900000</v>
      </c>
      <c r="I30" s="65">
        <f>SUM(I29:I29)</f>
        <v>45000</v>
      </c>
    </row>
    <row r="31" spans="1:9">
      <c r="A31" s="21" t="s">
        <v>3622</v>
      </c>
      <c r="B31" s="39">
        <f>+B30*AIU</f>
        <v>279457.75878379686</v>
      </c>
      <c r="C31" s="589"/>
      <c r="D31" s="31"/>
      <c r="E31" s="170"/>
      <c r="F31" s="590"/>
      <c r="G31" s="590"/>
      <c r="H31" s="590"/>
      <c r="I31" s="590"/>
    </row>
    <row r="32" spans="1:9">
      <c r="A32" s="587" t="s">
        <v>191</v>
      </c>
      <c r="B32" s="39">
        <f>SUM(B30:B31)</f>
        <v>1224457.7587837968</v>
      </c>
      <c r="C32" s="591" t="s">
        <v>363</v>
      </c>
      <c r="D32" s="13"/>
      <c r="E32" s="170"/>
      <c r="F32" s="170"/>
      <c r="G32" s="170"/>
      <c r="H32" s="170"/>
      <c r="I32" s="170"/>
    </row>
    <row r="33" spans="1:9">
      <c r="E33" s="580"/>
    </row>
    <row r="34" spans="1:9">
      <c r="A34" s="609" t="s">
        <v>441</v>
      </c>
      <c r="B34" s="3547" t="s">
        <v>3753</v>
      </c>
      <c r="C34" s="3548"/>
      <c r="D34" s="3548"/>
      <c r="E34" s="3548"/>
      <c r="F34" s="3548"/>
      <c r="G34" s="3548"/>
      <c r="H34" s="3548"/>
      <c r="I34" s="3549"/>
    </row>
    <row r="35" spans="1:9">
      <c r="A35" s="243"/>
      <c r="B35" s="179"/>
      <c r="C35" s="583" t="s">
        <v>140</v>
      </c>
      <c r="D35" s="243" t="s">
        <v>343</v>
      </c>
      <c r="E35" s="584" t="s">
        <v>344</v>
      </c>
      <c r="F35" s="65" t="s">
        <v>482</v>
      </c>
      <c r="G35" s="65" t="s">
        <v>483</v>
      </c>
      <c r="H35" s="65" t="s">
        <v>232</v>
      </c>
      <c r="I35" s="65" t="s">
        <v>171</v>
      </c>
    </row>
    <row r="36" spans="1:9">
      <c r="A36" s="243" t="s">
        <v>3627</v>
      </c>
      <c r="B36" s="592" t="s">
        <v>1820</v>
      </c>
      <c r="C36" s="583">
        <v>4</v>
      </c>
      <c r="D36" s="243" t="s">
        <v>346</v>
      </c>
      <c r="E36" s="585">
        <f>VLOOKUP(B36,MATERIALES!B:C,2,0)</f>
        <v>150000</v>
      </c>
      <c r="F36" s="65"/>
      <c r="G36" s="65" t="s">
        <v>441</v>
      </c>
      <c r="H36" s="65">
        <f>+E36*C36</f>
        <v>600000</v>
      </c>
      <c r="I36" s="65"/>
    </row>
    <row r="37" spans="1:9">
      <c r="A37" s="243" t="s">
        <v>172</v>
      </c>
      <c r="B37" s="179" t="s">
        <v>189</v>
      </c>
      <c r="C37" s="583">
        <v>1</v>
      </c>
      <c r="D37" s="160" t="s">
        <v>583</v>
      </c>
      <c r="E37" s="585">
        <f>0.05*H36</f>
        <v>30000</v>
      </c>
      <c r="F37" s="65"/>
      <c r="G37" s="65"/>
      <c r="H37" s="65"/>
      <c r="I37" s="65">
        <f>+E37*C37</f>
        <v>30000</v>
      </c>
    </row>
    <row r="38" spans="1:9">
      <c r="A38" s="587" t="s">
        <v>190</v>
      </c>
      <c r="B38" s="588">
        <f>SUM(G38:I38)</f>
        <v>630000</v>
      </c>
      <c r="C38" s="583"/>
      <c r="D38" s="169"/>
      <c r="E38" s="585"/>
      <c r="F38" s="65">
        <v>0</v>
      </c>
      <c r="G38" s="65">
        <f>SUM(G36:G37)</f>
        <v>0</v>
      </c>
      <c r="H38" s="65">
        <f>SUM(H36:H37)</f>
        <v>600000</v>
      </c>
      <c r="I38" s="65">
        <f>SUM(I37:I37)</f>
        <v>30000</v>
      </c>
    </row>
    <row r="39" spans="1:9">
      <c r="A39" s="21" t="s">
        <v>3622</v>
      </c>
      <c r="B39" s="39">
        <f>+B38*AIU</f>
        <v>186305.17252253124</v>
      </c>
      <c r="C39" s="589"/>
      <c r="D39" s="31"/>
      <c r="E39" s="170"/>
      <c r="F39" s="590"/>
      <c r="G39" s="590"/>
      <c r="H39" s="590"/>
      <c r="I39" s="590"/>
    </row>
    <row r="40" spans="1:9">
      <c r="A40" s="587" t="s">
        <v>191</v>
      </c>
      <c r="B40" s="39">
        <f>SUM(B38:B39)</f>
        <v>816305.17252253124</v>
      </c>
      <c r="C40" s="591" t="s">
        <v>363</v>
      </c>
      <c r="D40" s="13"/>
      <c r="E40" s="170"/>
      <c r="F40" s="170"/>
      <c r="G40" s="170"/>
      <c r="H40" s="170"/>
      <c r="I40" s="170"/>
    </row>
    <row r="41" spans="1:9">
      <c r="E41" s="580"/>
    </row>
    <row r="42" spans="1:9">
      <c r="A42" s="609" t="s">
        <v>441</v>
      </c>
      <c r="B42" s="3547" t="s">
        <v>3754</v>
      </c>
      <c r="C42" s="3548"/>
      <c r="D42" s="3548"/>
      <c r="E42" s="3548"/>
      <c r="F42" s="3548"/>
      <c r="G42" s="3548"/>
      <c r="H42" s="3548"/>
      <c r="I42" s="3549"/>
    </row>
    <row r="43" spans="1:9">
      <c r="A43" s="243"/>
      <c r="B43" s="179"/>
      <c r="C43" s="583" t="s">
        <v>140</v>
      </c>
      <c r="D43" s="243" t="s">
        <v>343</v>
      </c>
      <c r="E43" s="584" t="s">
        <v>344</v>
      </c>
      <c r="F43" s="65" t="s">
        <v>482</v>
      </c>
      <c r="G43" s="65" t="s">
        <v>483</v>
      </c>
      <c r="H43" s="65" t="s">
        <v>232</v>
      </c>
      <c r="I43" s="65" t="s">
        <v>171</v>
      </c>
    </row>
    <row r="44" spans="1:9">
      <c r="A44" s="243" t="s">
        <v>3627</v>
      </c>
      <c r="B44" s="592" t="s">
        <v>1820</v>
      </c>
      <c r="C44" s="583">
        <v>4</v>
      </c>
      <c r="D44" s="243" t="s">
        <v>346</v>
      </c>
      <c r="E44" s="585">
        <f>VLOOKUP(B44,MATERIALES!B:C,2,0)</f>
        <v>150000</v>
      </c>
      <c r="F44" s="65"/>
      <c r="G44" s="65" t="s">
        <v>441</v>
      </c>
      <c r="H44" s="65">
        <f>+E44*C44</f>
        <v>600000</v>
      </c>
      <c r="I44" s="65"/>
    </row>
    <row r="45" spans="1:9">
      <c r="A45" s="243" t="s">
        <v>172</v>
      </c>
      <c r="B45" s="179" t="s">
        <v>189</v>
      </c>
      <c r="C45" s="583">
        <v>1</v>
      </c>
      <c r="D45" s="160" t="s">
        <v>583</v>
      </c>
      <c r="E45" s="585">
        <f>0.05*H44</f>
        <v>30000</v>
      </c>
      <c r="F45" s="65"/>
      <c r="G45" s="65"/>
      <c r="H45" s="65"/>
      <c r="I45" s="65">
        <f>+E45*C45</f>
        <v>30000</v>
      </c>
    </row>
    <row r="46" spans="1:9">
      <c r="A46" s="587" t="s">
        <v>190</v>
      </c>
      <c r="B46" s="588">
        <f>SUM(G46:I46)</f>
        <v>630000</v>
      </c>
      <c r="C46" s="583"/>
      <c r="D46" s="169"/>
      <c r="E46" s="585"/>
      <c r="F46" s="65">
        <v>0</v>
      </c>
      <c r="G46" s="65">
        <f>SUM(G44:G45)</f>
        <v>0</v>
      </c>
      <c r="H46" s="65">
        <f>SUM(H44:H45)</f>
        <v>600000</v>
      </c>
      <c r="I46" s="65">
        <f>SUM(I45:I45)</f>
        <v>30000</v>
      </c>
    </row>
    <row r="47" spans="1:9">
      <c r="A47" s="21" t="s">
        <v>3622</v>
      </c>
      <c r="B47" s="39">
        <f>+B46*AIU</f>
        <v>186305.17252253124</v>
      </c>
      <c r="C47" s="589"/>
      <c r="D47" s="31"/>
      <c r="E47" s="170"/>
      <c r="F47" s="590"/>
      <c r="G47" s="590"/>
      <c r="H47" s="590"/>
      <c r="I47" s="590"/>
    </row>
    <row r="48" spans="1:9">
      <c r="A48" s="587" t="s">
        <v>191</v>
      </c>
      <c r="B48" s="39">
        <f>SUM(B46:B47)</f>
        <v>816305.17252253124</v>
      </c>
      <c r="C48" s="591" t="s">
        <v>363</v>
      </c>
      <c r="D48" s="13"/>
      <c r="E48" s="170"/>
      <c r="F48" s="170"/>
      <c r="G48" s="170"/>
      <c r="H48" s="170"/>
      <c r="I48" s="170"/>
    </row>
    <row r="49" spans="1:9">
      <c r="E49" s="580"/>
    </row>
    <row r="50" spans="1:9">
      <c r="A50" s="609" t="s">
        <v>441</v>
      </c>
      <c r="B50" s="3547" t="s">
        <v>3755</v>
      </c>
      <c r="C50" s="3548"/>
      <c r="D50" s="3548"/>
      <c r="E50" s="3548"/>
      <c r="F50" s="3548"/>
      <c r="G50" s="3548"/>
      <c r="H50" s="3548"/>
      <c r="I50" s="3549"/>
    </row>
    <row r="51" spans="1:9">
      <c r="A51" s="243"/>
      <c r="B51" s="179"/>
      <c r="C51" s="583" t="s">
        <v>140</v>
      </c>
      <c r="D51" s="243" t="s">
        <v>343</v>
      </c>
      <c r="E51" s="584" t="s">
        <v>344</v>
      </c>
      <c r="F51" s="65" t="s">
        <v>482</v>
      </c>
      <c r="G51" s="65" t="s">
        <v>483</v>
      </c>
      <c r="H51" s="65" t="s">
        <v>232</v>
      </c>
      <c r="I51" s="65" t="s">
        <v>171</v>
      </c>
    </row>
    <row r="52" spans="1:9">
      <c r="A52" s="530" t="s">
        <v>2194</v>
      </c>
      <c r="B52" s="531" t="s">
        <v>2195</v>
      </c>
      <c r="C52" s="583">
        <v>1</v>
      </c>
      <c r="D52" s="160" t="s">
        <v>363</v>
      </c>
      <c r="E52" s="585">
        <f>VLOOKUP(B52,MATERIALES!B:C,2,0)</f>
        <v>6054720</v>
      </c>
      <c r="F52" s="65"/>
      <c r="G52" s="65">
        <f t="shared" ref="G52:G65" si="1">+E52*C52</f>
        <v>6054720</v>
      </c>
      <c r="H52" s="585"/>
      <c r="I52" s="585"/>
    </row>
    <row r="53" spans="1:9" ht="26.4">
      <c r="A53" s="243" t="s">
        <v>1671</v>
      </c>
      <c r="B53" s="531" t="s">
        <v>1672</v>
      </c>
      <c r="C53" s="583">
        <v>15</v>
      </c>
      <c r="D53" s="160" t="s">
        <v>363</v>
      </c>
      <c r="E53" s="585">
        <f>VLOOKUP(B53,MATERIALES!B:C,2,0)</f>
        <v>5690</v>
      </c>
      <c r="F53" s="65"/>
      <c r="G53" s="65">
        <f t="shared" si="1"/>
        <v>85350</v>
      </c>
      <c r="H53" s="585"/>
      <c r="I53" s="585"/>
    </row>
    <row r="54" spans="1:9">
      <c r="A54" s="243" t="s">
        <v>3752</v>
      </c>
      <c r="B54" s="179" t="s">
        <v>2163</v>
      </c>
      <c r="C54" s="583">
        <v>3</v>
      </c>
      <c r="D54" s="160" t="s">
        <v>363</v>
      </c>
      <c r="E54" s="585">
        <f>VLOOKUP(B54,MATERIALES!B:C,2,0)</f>
        <v>9907.7199999999993</v>
      </c>
      <c r="F54" s="65"/>
      <c r="G54" s="65">
        <f t="shared" si="1"/>
        <v>29723.159999999996</v>
      </c>
      <c r="H54" s="585"/>
      <c r="I54" s="585"/>
    </row>
    <row r="55" spans="1:9">
      <c r="A55" s="2" t="s">
        <v>1876</v>
      </c>
      <c r="B55" s="18" t="s">
        <v>1877</v>
      </c>
      <c r="C55" s="589">
        <v>3</v>
      </c>
      <c r="D55" s="6" t="s">
        <v>363</v>
      </c>
      <c r="E55" s="585">
        <f>VLOOKUP(B55,MATERIALES!B:C,2,0)</f>
        <v>4332.5999999999995</v>
      </c>
      <c r="F55" s="585"/>
      <c r="G55" s="65">
        <f t="shared" si="1"/>
        <v>12997.8</v>
      </c>
      <c r="H55" s="585"/>
      <c r="I55" s="585"/>
    </row>
    <row r="56" spans="1:9">
      <c r="A56" s="2" t="s">
        <v>1807</v>
      </c>
      <c r="B56" s="18" t="s">
        <v>1808</v>
      </c>
      <c r="C56" s="589">
        <v>3</v>
      </c>
      <c r="D56" s="6" t="s">
        <v>363</v>
      </c>
      <c r="E56" s="585">
        <f>VLOOKUP(B56,MATERIALES!B:C,2,0)</f>
        <v>131731.91999999998</v>
      </c>
      <c r="F56" s="585"/>
      <c r="G56" s="65">
        <f t="shared" si="1"/>
        <v>395195.75999999995</v>
      </c>
      <c r="H56" s="585"/>
      <c r="I56" s="585"/>
    </row>
    <row r="57" spans="1:9">
      <c r="A57" s="243" t="s">
        <v>1782</v>
      </c>
      <c r="B57" s="179" t="s">
        <v>1786</v>
      </c>
      <c r="C57" s="583">
        <v>3</v>
      </c>
      <c r="D57" s="160" t="s">
        <v>363</v>
      </c>
      <c r="E57" s="585">
        <f>VLOOKUP(B57,MATERIALES!B:C,2,0)</f>
        <v>5568</v>
      </c>
      <c r="F57" s="65"/>
      <c r="G57" s="65">
        <f t="shared" si="1"/>
        <v>16704</v>
      </c>
      <c r="H57" s="65"/>
      <c r="I57" s="65"/>
    </row>
    <row r="58" spans="1:9">
      <c r="A58" s="2" t="s">
        <v>2000</v>
      </c>
      <c r="B58" s="18" t="s">
        <v>2001</v>
      </c>
      <c r="C58" s="589">
        <v>3</v>
      </c>
      <c r="D58" s="6" t="s">
        <v>363</v>
      </c>
      <c r="E58" s="585">
        <f>VLOOKUP(B58,MATERIALES!B:C,2,0)</f>
        <v>75904.599999999991</v>
      </c>
      <c r="F58" s="585"/>
      <c r="G58" s="65">
        <f t="shared" si="1"/>
        <v>227713.8</v>
      </c>
      <c r="H58" s="585"/>
      <c r="I58" s="585"/>
    </row>
    <row r="59" spans="1:9">
      <c r="A59" s="2" t="s">
        <v>1837</v>
      </c>
      <c r="B59" s="18" t="s">
        <v>1838</v>
      </c>
      <c r="C59" s="589">
        <v>2</v>
      </c>
      <c r="D59" s="6" t="s">
        <v>363</v>
      </c>
      <c r="E59" s="585">
        <f>VLOOKUP(B59,MATERIALES!B:C,2,0)</f>
        <v>74936</v>
      </c>
      <c r="F59" s="585"/>
      <c r="G59" s="65">
        <f t="shared" si="1"/>
        <v>149872</v>
      </c>
      <c r="H59" s="585"/>
      <c r="I59" s="585"/>
    </row>
    <row r="60" spans="1:9">
      <c r="A60" s="530" t="s">
        <v>1789</v>
      </c>
      <c r="B60" s="531" t="s">
        <v>1790</v>
      </c>
      <c r="C60" s="589">
        <v>4</v>
      </c>
      <c r="D60" s="6" t="s">
        <v>363</v>
      </c>
      <c r="E60" s="585">
        <f>VLOOKUP(B60,MATERIALES!B:C,2,0)</f>
        <v>17800</v>
      </c>
      <c r="F60" s="585"/>
      <c r="G60" s="65">
        <f t="shared" si="1"/>
        <v>71200</v>
      </c>
      <c r="H60" s="585"/>
      <c r="I60" s="585"/>
    </row>
    <row r="61" spans="1:9">
      <c r="A61" s="530" t="s">
        <v>1843</v>
      </c>
      <c r="B61" s="534" t="s">
        <v>1844</v>
      </c>
      <c r="C61" s="589">
        <v>1</v>
      </c>
      <c r="D61" s="6" t="s">
        <v>363</v>
      </c>
      <c r="E61" s="585">
        <f>VLOOKUP(B61,MATERIALES!B:C,2,0)</f>
        <v>85000</v>
      </c>
      <c r="F61" s="585"/>
      <c r="G61" s="65">
        <f t="shared" si="1"/>
        <v>85000</v>
      </c>
      <c r="H61" s="585"/>
      <c r="I61" s="585"/>
    </row>
    <row r="62" spans="1:9">
      <c r="A62" s="243" t="s">
        <v>1663</v>
      </c>
      <c r="B62" s="548" t="s">
        <v>1664</v>
      </c>
      <c r="C62" s="583">
        <v>3</v>
      </c>
      <c r="D62" s="160" t="s">
        <v>363</v>
      </c>
      <c r="E62" s="585">
        <f>VLOOKUP(B62,MATERIALES!B:C,2,0)</f>
        <v>4906.7999999999993</v>
      </c>
      <c r="F62" s="65"/>
      <c r="G62" s="65">
        <f t="shared" si="1"/>
        <v>14720.399999999998</v>
      </c>
      <c r="H62" s="585"/>
      <c r="I62" s="585"/>
    </row>
    <row r="63" spans="1:9">
      <c r="A63" s="2" t="s">
        <v>2084</v>
      </c>
      <c r="B63" s="18" t="s">
        <v>2085</v>
      </c>
      <c r="C63" s="589">
        <v>1</v>
      </c>
      <c r="D63" s="6" t="s">
        <v>363</v>
      </c>
      <c r="E63" s="585">
        <f>VLOOKUP(B63,MATERIALES!B:C,2,0)</f>
        <v>100000</v>
      </c>
      <c r="F63" s="585"/>
      <c r="G63" s="65">
        <f t="shared" si="1"/>
        <v>100000</v>
      </c>
      <c r="H63" s="585"/>
      <c r="I63" s="585"/>
    </row>
    <row r="64" spans="1:9">
      <c r="A64" s="243" t="s">
        <v>3756</v>
      </c>
      <c r="B64" s="179" t="s">
        <v>1553</v>
      </c>
      <c r="C64" s="583">
        <v>15</v>
      </c>
      <c r="D64" s="160" t="s">
        <v>94</v>
      </c>
      <c r="E64" s="585">
        <f>VLOOKUP(B64,MATERIALES!B:C,2,0)</f>
        <v>3595.9999999999995</v>
      </c>
      <c r="F64" s="65"/>
      <c r="G64" s="65">
        <f t="shared" si="1"/>
        <v>53939.999999999993</v>
      </c>
      <c r="H64" s="65"/>
      <c r="I64" s="65"/>
    </row>
    <row r="65" spans="1:9">
      <c r="A65" s="243" t="s">
        <v>1910</v>
      </c>
      <c r="B65" s="179" t="s">
        <v>1911</v>
      </c>
      <c r="C65" s="583">
        <v>3</v>
      </c>
      <c r="D65" s="160" t="s">
        <v>363</v>
      </c>
      <c r="E65" s="585">
        <f>VLOOKUP(B65,MATERIALES!B:C,2,0)</f>
        <v>6000</v>
      </c>
      <c r="F65" s="65"/>
      <c r="G65" s="65">
        <f t="shared" si="1"/>
        <v>18000</v>
      </c>
      <c r="H65" s="65"/>
      <c r="I65" s="65"/>
    </row>
    <row r="66" spans="1:9">
      <c r="A66" s="587" t="s">
        <v>190</v>
      </c>
      <c r="B66" s="588">
        <f>SUM(G66:I66)</f>
        <v>7315136.9199999999</v>
      </c>
      <c r="C66" s="583"/>
      <c r="D66" s="169"/>
      <c r="E66" s="585"/>
      <c r="F66" s="65">
        <v>0</v>
      </c>
      <c r="G66" s="65">
        <f>SUM(G52:G65)</f>
        <v>7315136.9199999999</v>
      </c>
      <c r="H66" s="65" t="s">
        <v>441</v>
      </c>
      <c r="I66" s="65" t="s">
        <v>441</v>
      </c>
    </row>
    <row r="67" spans="1:9">
      <c r="A67" s="21" t="s">
        <v>3622</v>
      </c>
      <c r="B67" s="39">
        <f>+B66*AIU</f>
        <v>2163250.5490579964</v>
      </c>
      <c r="C67" s="589"/>
      <c r="D67" s="31"/>
      <c r="E67" s="170"/>
      <c r="F67" s="590"/>
      <c r="G67" s="590"/>
      <c r="H67" s="590"/>
      <c r="I67" s="590"/>
    </row>
    <row r="68" spans="1:9">
      <c r="A68" s="587" t="s">
        <v>191</v>
      </c>
      <c r="B68" s="39">
        <f>SUM(B66:B67)</f>
        <v>9478387.4690579958</v>
      </c>
      <c r="C68" s="591" t="s">
        <v>363</v>
      </c>
      <c r="D68" s="13"/>
      <c r="E68" s="170"/>
      <c r="F68" s="170"/>
      <c r="G68" s="170"/>
      <c r="H68" s="170"/>
      <c r="I68" s="170"/>
    </row>
    <row r="69" spans="1:9">
      <c r="E69" s="580"/>
    </row>
    <row r="70" spans="1:9">
      <c r="A70" s="609" t="s">
        <v>441</v>
      </c>
      <c r="B70" s="3547" t="s">
        <v>3757</v>
      </c>
      <c r="C70" s="3548"/>
      <c r="D70" s="3548"/>
      <c r="E70" s="3548"/>
      <c r="F70" s="3548"/>
      <c r="G70" s="3548"/>
      <c r="H70" s="3548"/>
      <c r="I70" s="3549"/>
    </row>
    <row r="71" spans="1:9">
      <c r="A71" s="243"/>
      <c r="B71" s="179"/>
      <c r="C71" s="583" t="s">
        <v>140</v>
      </c>
      <c r="D71" s="243" t="s">
        <v>343</v>
      </c>
      <c r="E71" s="584" t="s">
        <v>344</v>
      </c>
      <c r="F71" s="65" t="s">
        <v>482</v>
      </c>
      <c r="G71" s="65" t="s">
        <v>483</v>
      </c>
      <c r="H71" s="65" t="s">
        <v>232</v>
      </c>
      <c r="I71" s="65" t="s">
        <v>171</v>
      </c>
    </row>
    <row r="72" spans="1:9">
      <c r="A72" s="243" t="s">
        <v>3627</v>
      </c>
      <c r="B72" s="592" t="s">
        <v>1820</v>
      </c>
      <c r="C72" s="583">
        <v>4</v>
      </c>
      <c r="D72" s="243" t="s">
        <v>346</v>
      </c>
      <c r="E72" s="585">
        <v>150000</v>
      </c>
      <c r="F72" s="65"/>
      <c r="G72" s="65" t="s">
        <v>441</v>
      </c>
      <c r="H72" s="65">
        <f>+E72*C72</f>
        <v>600000</v>
      </c>
      <c r="I72" s="65"/>
    </row>
    <row r="73" spans="1:9">
      <c r="A73" s="243" t="s">
        <v>172</v>
      </c>
      <c r="B73" s="179" t="s">
        <v>189</v>
      </c>
      <c r="C73" s="583">
        <v>1</v>
      </c>
      <c r="D73" s="160" t="s">
        <v>583</v>
      </c>
      <c r="E73" s="585">
        <f>0.05*H72</f>
        <v>30000</v>
      </c>
      <c r="F73" s="65"/>
      <c r="G73" s="65"/>
      <c r="H73" s="65"/>
      <c r="I73" s="65">
        <f>+E73*C73</f>
        <v>30000</v>
      </c>
    </row>
    <row r="74" spans="1:9">
      <c r="A74" s="587" t="s">
        <v>190</v>
      </c>
      <c r="B74" s="588">
        <f>SUM(G74:I74)</f>
        <v>630000</v>
      </c>
      <c r="C74" s="583"/>
      <c r="D74" s="169"/>
      <c r="E74" s="585"/>
      <c r="F74" s="65">
        <v>0</v>
      </c>
      <c r="G74" s="65">
        <f>SUM(G72:G73)</f>
        <v>0</v>
      </c>
      <c r="H74" s="65">
        <f>SUM(H72:H73)</f>
        <v>600000</v>
      </c>
      <c r="I74" s="65">
        <f>SUM(I73:I73)</f>
        <v>30000</v>
      </c>
    </row>
    <row r="75" spans="1:9">
      <c r="A75" s="21" t="s">
        <v>3622</v>
      </c>
      <c r="B75" s="39">
        <f>+B74*AIU</f>
        <v>186305.17252253124</v>
      </c>
      <c r="C75" s="589"/>
      <c r="D75" s="31"/>
      <c r="E75" s="170"/>
      <c r="F75" s="590"/>
      <c r="G75" s="590"/>
      <c r="H75" s="590"/>
      <c r="I75" s="590"/>
    </row>
    <row r="76" spans="1:9">
      <c r="A76" s="587" t="s">
        <v>191</v>
      </c>
      <c r="B76" s="39">
        <f>SUM(B74:B75)</f>
        <v>816305.17252253124</v>
      </c>
      <c r="C76" s="591" t="s">
        <v>363</v>
      </c>
      <c r="D76" s="13"/>
      <c r="E76" s="170"/>
      <c r="F76" s="170"/>
      <c r="G76" s="170"/>
      <c r="H76" s="170"/>
      <c r="I76" s="170"/>
    </row>
    <row r="77" spans="1:9">
      <c r="E77" s="580"/>
    </row>
    <row r="78" spans="1:9">
      <c r="A78" s="609" t="s">
        <v>441</v>
      </c>
      <c r="B78" s="3547" t="s">
        <v>3758</v>
      </c>
      <c r="C78" s="3548"/>
      <c r="D78" s="3548"/>
      <c r="E78" s="3548"/>
      <c r="F78" s="3548"/>
      <c r="G78" s="3548"/>
      <c r="H78" s="3548"/>
      <c r="I78" s="3549"/>
    </row>
    <row r="79" spans="1:9">
      <c r="A79" s="243"/>
      <c r="B79" s="179"/>
      <c r="C79" s="583" t="s">
        <v>140</v>
      </c>
      <c r="D79" s="243" t="s">
        <v>343</v>
      </c>
      <c r="E79" s="584" t="s">
        <v>344</v>
      </c>
      <c r="F79" s="65" t="s">
        <v>482</v>
      </c>
      <c r="G79" s="65" t="s">
        <v>483</v>
      </c>
      <c r="H79" s="65" t="s">
        <v>232</v>
      </c>
      <c r="I79" s="65" t="s">
        <v>171</v>
      </c>
    </row>
    <row r="80" spans="1:9">
      <c r="A80" s="530" t="s">
        <v>2190</v>
      </c>
      <c r="B80" s="531" t="s">
        <v>2191</v>
      </c>
      <c r="C80" s="583">
        <v>1</v>
      </c>
      <c r="D80" s="160" t="s">
        <v>363</v>
      </c>
      <c r="E80" s="585">
        <f>VLOOKUP(B80,MATERIALES!B:C,2,0)</f>
        <v>7197120</v>
      </c>
      <c r="F80" s="65"/>
      <c r="G80" s="65">
        <f t="shared" ref="G80:G93" si="2">+E80*C80</f>
        <v>7197120</v>
      </c>
      <c r="H80" s="585"/>
      <c r="I80" s="585"/>
    </row>
    <row r="81" spans="1:9" ht="26.4">
      <c r="A81" s="243" t="s">
        <v>1671</v>
      </c>
      <c r="B81" s="531" t="s">
        <v>1672</v>
      </c>
      <c r="C81" s="583">
        <v>15</v>
      </c>
      <c r="D81" s="160" t="s">
        <v>363</v>
      </c>
      <c r="E81" s="585">
        <f>VLOOKUP(B81,MATERIALES!B:C,2,0)</f>
        <v>5690</v>
      </c>
      <c r="F81" s="65"/>
      <c r="G81" s="65">
        <f t="shared" si="2"/>
        <v>85350</v>
      </c>
      <c r="H81" s="585"/>
      <c r="I81" s="585"/>
    </row>
    <row r="82" spans="1:9">
      <c r="A82" s="243" t="s">
        <v>3752</v>
      </c>
      <c r="B82" s="179" t="s">
        <v>2163</v>
      </c>
      <c r="C82" s="583">
        <v>3</v>
      </c>
      <c r="D82" s="160" t="s">
        <v>363</v>
      </c>
      <c r="E82" s="585">
        <f>VLOOKUP(B82,MATERIALES!B:C,2,0)</f>
        <v>9907.7199999999993</v>
      </c>
      <c r="F82" s="65"/>
      <c r="G82" s="65">
        <f t="shared" si="2"/>
        <v>29723.159999999996</v>
      </c>
      <c r="H82" s="585"/>
      <c r="I82" s="585"/>
    </row>
    <row r="83" spans="1:9">
      <c r="A83" s="2" t="s">
        <v>1876</v>
      </c>
      <c r="B83" s="18" t="s">
        <v>1877</v>
      </c>
      <c r="C83" s="589">
        <v>3</v>
      </c>
      <c r="D83" s="6" t="s">
        <v>363</v>
      </c>
      <c r="E83" s="585">
        <f>VLOOKUP(B83,MATERIALES!B:C,2,0)</f>
        <v>4332.5999999999995</v>
      </c>
      <c r="F83" s="585"/>
      <c r="G83" s="65">
        <f t="shared" si="2"/>
        <v>12997.8</v>
      </c>
      <c r="H83" s="585"/>
      <c r="I83" s="585"/>
    </row>
    <row r="84" spans="1:9">
      <c r="A84" s="2" t="s">
        <v>1807</v>
      </c>
      <c r="B84" s="18" t="s">
        <v>1808</v>
      </c>
      <c r="C84" s="589">
        <v>3</v>
      </c>
      <c r="D84" s="6" t="s">
        <v>363</v>
      </c>
      <c r="E84" s="585">
        <f>VLOOKUP(B84,MATERIALES!B:C,2,0)</f>
        <v>131731.91999999998</v>
      </c>
      <c r="F84" s="585"/>
      <c r="G84" s="65">
        <f t="shared" si="2"/>
        <v>395195.75999999995</v>
      </c>
      <c r="H84" s="585"/>
      <c r="I84" s="585"/>
    </row>
    <row r="85" spans="1:9">
      <c r="A85" s="243" t="s">
        <v>1782</v>
      </c>
      <c r="B85" s="179" t="s">
        <v>1786</v>
      </c>
      <c r="C85" s="583">
        <v>3</v>
      </c>
      <c r="D85" s="160" t="s">
        <v>363</v>
      </c>
      <c r="E85" s="585">
        <f>VLOOKUP(B85,MATERIALES!B:C,2,0)</f>
        <v>5568</v>
      </c>
      <c r="F85" s="65"/>
      <c r="G85" s="65">
        <f t="shared" si="2"/>
        <v>16704</v>
      </c>
      <c r="H85" s="65"/>
      <c r="I85" s="65"/>
    </row>
    <row r="86" spans="1:9">
      <c r="A86" s="2" t="s">
        <v>2000</v>
      </c>
      <c r="B86" s="18" t="s">
        <v>2001</v>
      </c>
      <c r="C86" s="589">
        <v>3</v>
      </c>
      <c r="D86" s="6" t="s">
        <v>363</v>
      </c>
      <c r="E86" s="585">
        <f>VLOOKUP(B86,MATERIALES!B:C,2,0)</f>
        <v>75904.599999999991</v>
      </c>
      <c r="F86" s="585"/>
      <c r="G86" s="65">
        <f t="shared" si="2"/>
        <v>227713.8</v>
      </c>
      <c r="H86" s="585"/>
      <c r="I86" s="585"/>
    </row>
    <row r="87" spans="1:9">
      <c r="A87" s="2" t="s">
        <v>1837</v>
      </c>
      <c r="B87" s="18" t="s">
        <v>1838</v>
      </c>
      <c r="C87" s="589">
        <v>2</v>
      </c>
      <c r="D87" s="6" t="s">
        <v>363</v>
      </c>
      <c r="E87" s="585">
        <f>VLOOKUP(B87,MATERIALES!B:C,2,0)</f>
        <v>74936</v>
      </c>
      <c r="F87" s="585"/>
      <c r="G87" s="65">
        <f t="shared" si="2"/>
        <v>149872</v>
      </c>
      <c r="H87" s="585"/>
      <c r="I87" s="585"/>
    </row>
    <row r="88" spans="1:9">
      <c r="A88" s="530" t="s">
        <v>1789</v>
      </c>
      <c r="B88" s="531" t="s">
        <v>1790</v>
      </c>
      <c r="C88" s="589">
        <v>4</v>
      </c>
      <c r="D88" s="6" t="s">
        <v>363</v>
      </c>
      <c r="E88" s="585">
        <f>VLOOKUP(B88,MATERIALES!B:C,2,0)</f>
        <v>17800</v>
      </c>
      <c r="F88" s="585"/>
      <c r="G88" s="65">
        <f t="shared" si="2"/>
        <v>71200</v>
      </c>
      <c r="H88" s="585"/>
      <c r="I88" s="585"/>
    </row>
    <row r="89" spans="1:9">
      <c r="A89" s="530" t="s">
        <v>1843</v>
      </c>
      <c r="B89" s="534" t="s">
        <v>1844</v>
      </c>
      <c r="C89" s="589">
        <v>1</v>
      </c>
      <c r="D89" s="6" t="s">
        <v>363</v>
      </c>
      <c r="E89" s="585">
        <f>VLOOKUP(B89,MATERIALES!B:C,2,0)</f>
        <v>85000</v>
      </c>
      <c r="F89" s="585"/>
      <c r="G89" s="65">
        <f t="shared" si="2"/>
        <v>85000</v>
      </c>
      <c r="H89" s="585"/>
      <c r="I89" s="585"/>
    </row>
    <row r="90" spans="1:9">
      <c r="A90" s="243" t="s">
        <v>1663</v>
      </c>
      <c r="B90" s="548" t="s">
        <v>1664</v>
      </c>
      <c r="C90" s="583">
        <v>3</v>
      </c>
      <c r="D90" s="160" t="s">
        <v>363</v>
      </c>
      <c r="E90" s="585">
        <f>VLOOKUP(B90,MATERIALES!B:C,2,0)</f>
        <v>4906.7999999999993</v>
      </c>
      <c r="F90" s="65"/>
      <c r="G90" s="65">
        <f t="shared" si="2"/>
        <v>14720.399999999998</v>
      </c>
      <c r="H90" s="585"/>
      <c r="I90" s="585"/>
    </row>
    <row r="91" spans="1:9">
      <c r="A91" s="2" t="s">
        <v>2084</v>
      </c>
      <c r="B91" s="18" t="s">
        <v>2085</v>
      </c>
      <c r="C91" s="589">
        <v>1</v>
      </c>
      <c r="D91" s="6" t="s">
        <v>363</v>
      </c>
      <c r="E91" s="585">
        <f>VLOOKUP(B91,MATERIALES!B:C,2,0)</f>
        <v>100000</v>
      </c>
      <c r="F91" s="585"/>
      <c r="G91" s="65">
        <f t="shared" si="2"/>
        <v>100000</v>
      </c>
      <c r="H91" s="585"/>
      <c r="I91" s="585"/>
    </row>
    <row r="92" spans="1:9">
      <c r="A92" s="243" t="s">
        <v>3756</v>
      </c>
      <c r="B92" s="179" t="s">
        <v>1553</v>
      </c>
      <c r="C92" s="583">
        <v>15</v>
      </c>
      <c r="D92" s="160" t="s">
        <v>94</v>
      </c>
      <c r="E92" s="585">
        <f>VLOOKUP(B92,MATERIALES!B:C,2,0)</f>
        <v>3595.9999999999995</v>
      </c>
      <c r="F92" s="65"/>
      <c r="G92" s="65">
        <f t="shared" si="2"/>
        <v>53939.999999999993</v>
      </c>
      <c r="H92" s="65"/>
      <c r="I92" s="65"/>
    </row>
    <row r="93" spans="1:9">
      <c r="A93" s="243" t="s">
        <v>1910</v>
      </c>
      <c r="B93" s="179" t="s">
        <v>1911</v>
      </c>
      <c r="C93" s="583">
        <v>3</v>
      </c>
      <c r="D93" s="160" t="s">
        <v>363</v>
      </c>
      <c r="E93" s="585">
        <f>VLOOKUP(B93,MATERIALES!B:C,2,0)</f>
        <v>6000</v>
      </c>
      <c r="F93" s="65"/>
      <c r="G93" s="65">
        <f t="shared" si="2"/>
        <v>18000</v>
      </c>
      <c r="H93" s="65"/>
      <c r="I93" s="65"/>
    </row>
    <row r="94" spans="1:9">
      <c r="A94" s="587" t="s">
        <v>190</v>
      </c>
      <c r="B94" s="588">
        <f>SUM(G94:I94)</f>
        <v>8457536.9199999999</v>
      </c>
      <c r="C94" s="583"/>
      <c r="D94" s="169"/>
      <c r="E94" s="585"/>
      <c r="F94" s="65">
        <v>0</v>
      </c>
      <c r="G94" s="65">
        <f>SUM(G80:G93)</f>
        <v>8457536.9199999999</v>
      </c>
      <c r="H94" s="65" t="s">
        <v>441</v>
      </c>
      <c r="I94" s="65" t="s">
        <v>441</v>
      </c>
    </row>
    <row r="95" spans="1:9">
      <c r="A95" s="21" t="s">
        <v>3622</v>
      </c>
      <c r="B95" s="39">
        <f>+B94*AIU</f>
        <v>2501083.9285655199</v>
      </c>
      <c r="C95" s="589"/>
      <c r="D95" s="31"/>
      <c r="E95" s="170"/>
      <c r="F95" s="590"/>
      <c r="G95" s="590"/>
      <c r="H95" s="590"/>
      <c r="I95" s="590"/>
    </row>
    <row r="96" spans="1:9">
      <c r="A96" s="587" t="s">
        <v>191</v>
      </c>
      <c r="B96" s="39">
        <f>SUM(B94:B95)</f>
        <v>10958620.848565519</v>
      </c>
      <c r="C96" s="591" t="s">
        <v>363</v>
      </c>
      <c r="D96" s="13"/>
      <c r="E96" s="170"/>
      <c r="F96" s="170"/>
      <c r="G96" s="170"/>
      <c r="H96" s="170"/>
      <c r="I96" s="170"/>
    </row>
    <row r="97" spans="1:9">
      <c r="E97" s="580"/>
    </row>
    <row r="98" spans="1:9">
      <c r="A98" s="609" t="s">
        <v>441</v>
      </c>
      <c r="B98" s="3547" t="s">
        <v>3759</v>
      </c>
      <c r="C98" s="3548"/>
      <c r="D98" s="3548"/>
      <c r="E98" s="3548"/>
      <c r="F98" s="3548"/>
      <c r="G98" s="3548"/>
      <c r="H98" s="3548"/>
      <c r="I98" s="3549"/>
    </row>
    <row r="99" spans="1:9">
      <c r="A99" s="243"/>
      <c r="B99" s="179"/>
      <c r="C99" s="583" t="s">
        <v>140</v>
      </c>
      <c r="D99" s="243" t="s">
        <v>343</v>
      </c>
      <c r="E99" s="584" t="s">
        <v>344</v>
      </c>
      <c r="F99" s="65" t="s">
        <v>482</v>
      </c>
      <c r="G99" s="65" t="s">
        <v>483</v>
      </c>
      <c r="H99" s="65" t="s">
        <v>232</v>
      </c>
      <c r="I99" s="65" t="s">
        <v>171</v>
      </c>
    </row>
    <row r="100" spans="1:9">
      <c r="A100" s="243" t="s">
        <v>3627</v>
      </c>
      <c r="B100" s="592" t="s">
        <v>1820</v>
      </c>
      <c r="C100" s="583">
        <v>4</v>
      </c>
      <c r="D100" s="243" t="s">
        <v>346</v>
      </c>
      <c r="E100" s="585">
        <v>150000</v>
      </c>
      <c r="F100" s="65"/>
      <c r="G100" s="65" t="s">
        <v>441</v>
      </c>
      <c r="H100" s="65">
        <f>+E100*C100</f>
        <v>600000</v>
      </c>
      <c r="I100" s="65"/>
    </row>
    <row r="101" spans="1:9">
      <c r="A101" s="243" t="s">
        <v>172</v>
      </c>
      <c r="B101" s="179" t="s">
        <v>189</v>
      </c>
      <c r="C101" s="583">
        <v>1</v>
      </c>
      <c r="D101" s="160" t="s">
        <v>583</v>
      </c>
      <c r="E101" s="585">
        <f>0.05*H100</f>
        <v>30000</v>
      </c>
      <c r="F101" s="65"/>
      <c r="G101" s="65"/>
      <c r="H101" s="65"/>
      <c r="I101" s="65">
        <f>+E101*C101</f>
        <v>30000</v>
      </c>
    </row>
    <row r="102" spans="1:9">
      <c r="A102" s="587" t="s">
        <v>190</v>
      </c>
      <c r="B102" s="588">
        <f>SUM(G102:I102)</f>
        <v>630000</v>
      </c>
      <c r="C102" s="583"/>
      <c r="D102" s="169"/>
      <c r="E102" s="585"/>
      <c r="F102" s="65">
        <v>0</v>
      </c>
      <c r="G102" s="65">
        <f>SUM(G100:G101)</f>
        <v>0</v>
      </c>
      <c r="H102" s="65">
        <f>SUM(H100:H101)</f>
        <v>600000</v>
      </c>
      <c r="I102" s="65">
        <f>SUM(I101:I101)</f>
        <v>30000</v>
      </c>
    </row>
    <row r="103" spans="1:9">
      <c r="A103" s="21" t="s">
        <v>3622</v>
      </c>
      <c r="B103" s="39">
        <f>+B102*AIU</f>
        <v>186305.17252253124</v>
      </c>
      <c r="C103" s="589"/>
      <c r="D103" s="31"/>
      <c r="E103" s="170"/>
      <c r="F103" s="590"/>
      <c r="G103" s="590"/>
      <c r="H103" s="590"/>
      <c r="I103" s="590"/>
    </row>
    <row r="104" spans="1:9">
      <c r="A104" s="587" t="s">
        <v>191</v>
      </c>
      <c r="B104" s="39">
        <f>SUM(B102:B103)</f>
        <v>816305.17252253124</v>
      </c>
      <c r="C104" s="591" t="s">
        <v>363</v>
      </c>
      <c r="D104" s="13"/>
      <c r="E104" s="170"/>
      <c r="F104" s="170"/>
      <c r="G104" s="170"/>
      <c r="H104" s="170"/>
      <c r="I104" s="170"/>
    </row>
    <row r="105" spans="1:9">
      <c r="E105" s="580"/>
    </row>
    <row r="106" spans="1:9">
      <c r="A106" s="609" t="s">
        <v>441</v>
      </c>
      <c r="B106" s="3547" t="s">
        <v>3760</v>
      </c>
      <c r="C106" s="3548"/>
      <c r="D106" s="3548"/>
      <c r="E106" s="3548"/>
      <c r="F106" s="3548"/>
      <c r="G106" s="3548"/>
      <c r="H106" s="3548"/>
      <c r="I106" s="3549"/>
    </row>
    <row r="107" spans="1:9">
      <c r="A107" s="243"/>
      <c r="B107" s="179"/>
      <c r="C107" s="583" t="s">
        <v>140</v>
      </c>
      <c r="D107" s="243" t="s">
        <v>343</v>
      </c>
      <c r="E107" s="584" t="s">
        <v>344</v>
      </c>
      <c r="F107" s="65" t="s">
        <v>482</v>
      </c>
      <c r="G107" s="65" t="s">
        <v>483</v>
      </c>
      <c r="H107" s="65" t="s">
        <v>232</v>
      </c>
      <c r="I107" s="65" t="s">
        <v>171</v>
      </c>
    </row>
    <row r="108" spans="1:9">
      <c r="A108" s="530" t="s">
        <v>2198</v>
      </c>
      <c r="B108" s="531" t="s">
        <v>2199</v>
      </c>
      <c r="C108" s="583">
        <v>1</v>
      </c>
      <c r="D108" s="160" t="s">
        <v>363</v>
      </c>
      <c r="E108" s="585">
        <f>VLOOKUP(B108,MATERIALES!B:C,2,0)</f>
        <v>3922240</v>
      </c>
      <c r="F108" s="65"/>
      <c r="G108" s="65">
        <f t="shared" ref="G108:G121" si="3">+E108*C108</f>
        <v>3922240</v>
      </c>
      <c r="H108" s="585"/>
      <c r="I108" s="585"/>
    </row>
    <row r="109" spans="1:9" ht="26.4">
      <c r="A109" s="243" t="s">
        <v>1671</v>
      </c>
      <c r="B109" s="531" t="s">
        <v>1672</v>
      </c>
      <c r="C109" s="583">
        <v>5</v>
      </c>
      <c r="D109" s="160" t="s">
        <v>363</v>
      </c>
      <c r="E109" s="585">
        <f>VLOOKUP(B109,MATERIALES!B:C,2,0)</f>
        <v>5690</v>
      </c>
      <c r="F109" s="65"/>
      <c r="G109" s="65">
        <f t="shared" si="3"/>
        <v>28450</v>
      </c>
      <c r="H109" s="585"/>
      <c r="I109" s="585"/>
    </row>
    <row r="110" spans="1:9">
      <c r="A110" s="243" t="s">
        <v>3752</v>
      </c>
      <c r="B110" s="179" t="s">
        <v>2163</v>
      </c>
      <c r="C110" s="583">
        <v>3</v>
      </c>
      <c r="D110" s="160" t="s">
        <v>363</v>
      </c>
      <c r="E110" s="585">
        <f>VLOOKUP(B110,MATERIALES!B:C,2,0)</f>
        <v>9907.7199999999993</v>
      </c>
      <c r="F110" s="65"/>
      <c r="G110" s="65">
        <f t="shared" si="3"/>
        <v>29723.159999999996</v>
      </c>
      <c r="H110" s="585"/>
      <c r="I110" s="585"/>
    </row>
    <row r="111" spans="1:9">
      <c r="A111" s="2" t="s">
        <v>1876</v>
      </c>
      <c r="B111" s="18" t="s">
        <v>1877</v>
      </c>
      <c r="C111" s="589">
        <v>1</v>
      </c>
      <c r="D111" s="6" t="s">
        <v>363</v>
      </c>
      <c r="E111" s="585">
        <f>VLOOKUP(B111,MATERIALES!B:C,2,0)</f>
        <v>4332.5999999999995</v>
      </c>
      <c r="F111" s="585"/>
      <c r="G111" s="65">
        <f t="shared" si="3"/>
        <v>4332.5999999999995</v>
      </c>
      <c r="H111" s="585"/>
      <c r="I111" s="585"/>
    </row>
    <row r="112" spans="1:9">
      <c r="A112" s="2" t="s">
        <v>1807</v>
      </c>
      <c r="B112" s="18" t="s">
        <v>1808</v>
      </c>
      <c r="C112" s="589">
        <v>1</v>
      </c>
      <c r="D112" s="6" t="s">
        <v>363</v>
      </c>
      <c r="E112" s="585">
        <f>VLOOKUP(B112,MATERIALES!B:C,2,0)</f>
        <v>131731.91999999998</v>
      </c>
      <c r="F112" s="585"/>
      <c r="G112" s="65">
        <f t="shared" si="3"/>
        <v>131731.91999999998</v>
      </c>
      <c r="H112" s="585"/>
      <c r="I112" s="585"/>
    </row>
    <row r="113" spans="1:9">
      <c r="A113" s="243" t="s">
        <v>1782</v>
      </c>
      <c r="B113" s="179" t="s">
        <v>1786</v>
      </c>
      <c r="C113" s="583">
        <v>3</v>
      </c>
      <c r="D113" s="160" t="s">
        <v>363</v>
      </c>
      <c r="E113" s="585">
        <f>VLOOKUP(B113,MATERIALES!B:C,2,0)</f>
        <v>5568</v>
      </c>
      <c r="F113" s="65"/>
      <c r="G113" s="65">
        <f t="shared" si="3"/>
        <v>16704</v>
      </c>
      <c r="H113" s="65"/>
      <c r="I113" s="65"/>
    </row>
    <row r="114" spans="1:9">
      <c r="A114" s="2" t="s">
        <v>2000</v>
      </c>
      <c r="B114" s="18" t="s">
        <v>2001</v>
      </c>
      <c r="C114" s="589">
        <v>1</v>
      </c>
      <c r="D114" s="6" t="s">
        <v>363</v>
      </c>
      <c r="E114" s="585">
        <f>VLOOKUP(B114,MATERIALES!B:C,2,0)</f>
        <v>75904.599999999991</v>
      </c>
      <c r="F114" s="585"/>
      <c r="G114" s="65">
        <f t="shared" si="3"/>
        <v>75904.599999999991</v>
      </c>
      <c r="H114" s="585"/>
      <c r="I114" s="585"/>
    </row>
    <row r="115" spans="1:9">
      <c r="A115" s="2" t="s">
        <v>1837</v>
      </c>
      <c r="B115" s="18" t="s">
        <v>1838</v>
      </c>
      <c r="C115" s="589">
        <v>1</v>
      </c>
      <c r="D115" s="6" t="s">
        <v>363</v>
      </c>
      <c r="E115" s="585">
        <f>VLOOKUP(B115,MATERIALES!B:C,2,0)</f>
        <v>74936</v>
      </c>
      <c r="F115" s="585"/>
      <c r="G115" s="65">
        <f t="shared" si="3"/>
        <v>74936</v>
      </c>
      <c r="H115" s="585"/>
      <c r="I115" s="585"/>
    </row>
    <row r="116" spans="1:9">
      <c r="A116" s="530" t="s">
        <v>1789</v>
      </c>
      <c r="B116" s="531" t="s">
        <v>1790</v>
      </c>
      <c r="C116" s="589">
        <v>1</v>
      </c>
      <c r="D116" s="6" t="s">
        <v>363</v>
      </c>
      <c r="E116" s="585">
        <f>VLOOKUP(B116,MATERIALES!B:C,2,0)</f>
        <v>17800</v>
      </c>
      <c r="F116" s="585"/>
      <c r="G116" s="65">
        <f t="shared" si="3"/>
        <v>17800</v>
      </c>
      <c r="H116" s="585"/>
      <c r="I116" s="585"/>
    </row>
    <row r="117" spans="1:9">
      <c r="A117" s="530" t="s">
        <v>1843</v>
      </c>
      <c r="B117" s="534" t="s">
        <v>1844</v>
      </c>
      <c r="C117" s="589">
        <v>0.3</v>
      </c>
      <c r="D117" s="6" t="s">
        <v>363</v>
      </c>
      <c r="E117" s="585">
        <f>VLOOKUP(B117,MATERIALES!B:C,2,0)</f>
        <v>85000</v>
      </c>
      <c r="F117" s="585"/>
      <c r="G117" s="65">
        <f t="shared" si="3"/>
        <v>25500</v>
      </c>
      <c r="H117" s="585"/>
      <c r="I117" s="585"/>
    </row>
    <row r="118" spans="1:9">
      <c r="A118" s="243" t="s">
        <v>1663</v>
      </c>
      <c r="B118" s="548" t="s">
        <v>1664</v>
      </c>
      <c r="C118" s="583">
        <v>2</v>
      </c>
      <c r="D118" s="160" t="s">
        <v>363</v>
      </c>
      <c r="E118" s="585">
        <f>VLOOKUP(B118,MATERIALES!B:C,2,0)</f>
        <v>4906.7999999999993</v>
      </c>
      <c r="F118" s="65"/>
      <c r="G118" s="65">
        <f t="shared" si="3"/>
        <v>9813.5999999999985</v>
      </c>
      <c r="H118" s="585"/>
      <c r="I118" s="585"/>
    </row>
    <row r="119" spans="1:9">
      <c r="A119" s="2" t="s">
        <v>2084</v>
      </c>
      <c r="B119" s="18" t="s">
        <v>2085</v>
      </c>
      <c r="C119" s="589">
        <v>1</v>
      </c>
      <c r="D119" s="6" t="s">
        <v>363</v>
      </c>
      <c r="E119" s="585">
        <f>VLOOKUP(B119,MATERIALES!B:C,2,0)</f>
        <v>100000</v>
      </c>
      <c r="F119" s="585"/>
      <c r="G119" s="65">
        <f t="shared" si="3"/>
        <v>100000</v>
      </c>
      <c r="H119" s="585"/>
      <c r="I119" s="585"/>
    </row>
    <row r="120" spans="1:9">
      <c r="A120" s="243" t="s">
        <v>3756</v>
      </c>
      <c r="B120" s="179" t="s">
        <v>1553</v>
      </c>
      <c r="C120" s="583">
        <v>15</v>
      </c>
      <c r="D120" s="160" t="s">
        <v>94</v>
      </c>
      <c r="E120" s="585">
        <f>VLOOKUP(B120,MATERIALES!B:C,2,0)</f>
        <v>3595.9999999999995</v>
      </c>
      <c r="F120" s="65"/>
      <c r="G120" s="65">
        <f t="shared" si="3"/>
        <v>53939.999999999993</v>
      </c>
      <c r="H120" s="65"/>
      <c r="I120" s="65"/>
    </row>
    <row r="121" spans="1:9">
      <c r="A121" s="243" t="s">
        <v>1910</v>
      </c>
      <c r="B121" s="179" t="s">
        <v>1911</v>
      </c>
      <c r="C121" s="583">
        <v>1</v>
      </c>
      <c r="D121" s="160" t="s">
        <v>363</v>
      </c>
      <c r="E121" s="585">
        <f>VLOOKUP(B121,MATERIALES!B:C,2,0)</f>
        <v>6000</v>
      </c>
      <c r="F121" s="65"/>
      <c r="G121" s="65">
        <f t="shared" si="3"/>
        <v>6000</v>
      </c>
      <c r="H121" s="65"/>
      <c r="I121" s="65"/>
    </row>
    <row r="122" spans="1:9">
      <c r="A122" s="243" t="s">
        <v>3627</v>
      </c>
      <c r="B122" s="592" t="s">
        <v>1820</v>
      </c>
      <c r="C122" s="583">
        <v>0.8</v>
      </c>
      <c r="D122" s="243" t="s">
        <v>346</v>
      </c>
      <c r="E122" s="585">
        <f>VLOOKUP(B122,MATERIALES!B:C,2,0)</f>
        <v>150000</v>
      </c>
      <c r="F122" s="65"/>
      <c r="G122" s="65" t="s">
        <v>441</v>
      </c>
      <c r="H122" s="65">
        <f>+E122*C122</f>
        <v>120000</v>
      </c>
      <c r="I122" s="65"/>
    </row>
    <row r="123" spans="1:9">
      <c r="A123" s="243" t="s">
        <v>584</v>
      </c>
      <c r="B123" s="180" t="s">
        <v>2236</v>
      </c>
      <c r="C123" s="583">
        <v>0.5</v>
      </c>
      <c r="D123" s="243" t="s">
        <v>583</v>
      </c>
      <c r="E123" s="585">
        <f>VLOOKUP(B123,MATERIALES!B:C,2,0)</f>
        <v>750000</v>
      </c>
      <c r="F123" s="65"/>
      <c r="G123" s="65"/>
      <c r="H123" s="65"/>
      <c r="I123" s="65">
        <f>+E123*C123</f>
        <v>375000</v>
      </c>
    </row>
    <row r="124" spans="1:9">
      <c r="A124" s="243" t="s">
        <v>172</v>
      </c>
      <c r="B124" s="179" t="s">
        <v>189</v>
      </c>
      <c r="C124" s="583">
        <v>1</v>
      </c>
      <c r="D124" s="160" t="s">
        <v>583</v>
      </c>
      <c r="E124" s="585">
        <f>0.05*H122</f>
        <v>6000</v>
      </c>
      <c r="F124" s="65"/>
      <c r="G124" s="65"/>
      <c r="H124" s="65"/>
      <c r="I124" s="65">
        <f>+E124*C124</f>
        <v>6000</v>
      </c>
    </row>
    <row r="125" spans="1:9">
      <c r="A125" s="587" t="s">
        <v>190</v>
      </c>
      <c r="B125" s="588">
        <f>SUM(G125:I125)</f>
        <v>4998075.88</v>
      </c>
      <c r="C125" s="583"/>
      <c r="D125" s="169"/>
      <c r="E125" s="585"/>
      <c r="F125" s="65">
        <v>0</v>
      </c>
      <c r="G125" s="65">
        <f>SUM(G108:G124)</f>
        <v>4497075.88</v>
      </c>
      <c r="H125" s="65">
        <f>SUM(H122:H124)</f>
        <v>120000</v>
      </c>
      <c r="I125" s="65">
        <f>SUM(I123:I124)</f>
        <v>381000</v>
      </c>
    </row>
    <row r="126" spans="1:9">
      <c r="A126" s="21" t="s">
        <v>3622</v>
      </c>
      <c r="B126" s="39">
        <f>+B125*AIU</f>
        <v>1478043.474768416</v>
      </c>
      <c r="C126" s="589"/>
      <c r="D126" s="31"/>
      <c r="E126" s="170"/>
      <c r="F126" s="590"/>
      <c r="G126" s="590"/>
      <c r="H126" s="590"/>
      <c r="I126" s="590"/>
    </row>
    <row r="127" spans="1:9">
      <c r="A127" s="587" t="s">
        <v>191</v>
      </c>
      <c r="B127" s="39">
        <f>SUM(B125:B126)</f>
        <v>6476119.3547684159</v>
      </c>
      <c r="C127" s="591" t="s">
        <v>363</v>
      </c>
      <c r="D127" s="13"/>
      <c r="E127" s="170"/>
      <c r="F127" s="170"/>
      <c r="G127" s="170"/>
      <c r="H127" s="170"/>
      <c r="I127" s="170"/>
    </row>
    <row r="128" spans="1:9">
      <c r="E128" s="580"/>
    </row>
    <row r="129" spans="1:9">
      <c r="A129" s="609" t="s">
        <v>441</v>
      </c>
      <c r="B129" s="3547" t="s">
        <v>3761</v>
      </c>
      <c r="C129" s="3548"/>
      <c r="D129" s="3548"/>
      <c r="E129" s="3548"/>
      <c r="F129" s="3548"/>
      <c r="G129" s="3548"/>
      <c r="H129" s="3548"/>
      <c r="I129" s="3549"/>
    </row>
    <row r="130" spans="1:9">
      <c r="A130" s="243"/>
      <c r="B130" s="179"/>
      <c r="C130" s="583" t="s">
        <v>140</v>
      </c>
      <c r="D130" s="243" t="s">
        <v>343</v>
      </c>
      <c r="E130" s="584" t="s">
        <v>344</v>
      </c>
      <c r="F130" s="65" t="s">
        <v>482</v>
      </c>
      <c r="G130" s="65" t="s">
        <v>483</v>
      </c>
      <c r="H130" s="65" t="s">
        <v>232</v>
      </c>
      <c r="I130" s="65" t="s">
        <v>171</v>
      </c>
    </row>
    <row r="131" spans="1:9">
      <c r="A131" s="243" t="s">
        <v>3627</v>
      </c>
      <c r="B131" s="592" t="s">
        <v>1820</v>
      </c>
      <c r="C131" s="583">
        <v>2</v>
      </c>
      <c r="D131" s="243" t="s">
        <v>346</v>
      </c>
      <c r="E131" s="585">
        <f>VLOOKUP(B131,MATERIALES!B:C,2,0)</f>
        <v>150000</v>
      </c>
      <c r="F131" s="65"/>
      <c r="G131" s="65" t="s">
        <v>441</v>
      </c>
      <c r="H131" s="65">
        <f>+E131*C131</f>
        <v>300000</v>
      </c>
      <c r="I131" s="65"/>
    </row>
    <row r="132" spans="1:9">
      <c r="A132" s="243" t="s">
        <v>172</v>
      </c>
      <c r="B132" s="179" t="s">
        <v>189</v>
      </c>
      <c r="C132" s="583">
        <v>1</v>
      </c>
      <c r="D132" s="160" t="s">
        <v>583</v>
      </c>
      <c r="E132" s="585">
        <f>0.05*H131</f>
        <v>15000</v>
      </c>
      <c r="F132" s="65"/>
      <c r="G132" s="65"/>
      <c r="H132" s="65"/>
      <c r="I132" s="65">
        <f>+E132*C132</f>
        <v>15000</v>
      </c>
    </row>
    <row r="133" spans="1:9">
      <c r="A133" s="587" t="s">
        <v>190</v>
      </c>
      <c r="B133" s="588">
        <f>SUM(G133:I133)</f>
        <v>315000</v>
      </c>
      <c r="C133" s="583"/>
      <c r="D133" s="169"/>
      <c r="E133" s="585"/>
      <c r="F133" s="65">
        <v>0</v>
      </c>
      <c r="G133" s="65">
        <f>SUM(G131:G132)</f>
        <v>0</v>
      </c>
      <c r="H133" s="65">
        <f>SUM(H131:H132)</f>
        <v>300000</v>
      </c>
      <c r="I133" s="65">
        <f>SUM(I132:I132)</f>
        <v>15000</v>
      </c>
    </row>
    <row r="134" spans="1:9">
      <c r="A134" s="21" t="s">
        <v>3622</v>
      </c>
      <c r="B134" s="39">
        <f>+B133*AIU</f>
        <v>93152.58626126562</v>
      </c>
      <c r="C134" s="589"/>
      <c r="D134" s="31"/>
      <c r="E134" s="170"/>
      <c r="F134" s="590"/>
      <c r="G134" s="590"/>
      <c r="H134" s="590"/>
      <c r="I134" s="590"/>
    </row>
    <row r="135" spans="1:9">
      <c r="A135" s="587" t="s">
        <v>191</v>
      </c>
      <c r="B135" s="39">
        <f>SUM(B133:B134)</f>
        <v>408152.58626126562</v>
      </c>
      <c r="C135" s="591" t="s">
        <v>363</v>
      </c>
      <c r="D135" s="13"/>
      <c r="E135" s="170"/>
      <c r="F135" s="170"/>
      <c r="G135" s="170"/>
      <c r="H135" s="170"/>
      <c r="I135" s="170"/>
    </row>
    <row r="136" spans="1:9">
      <c r="E136" s="580"/>
    </row>
    <row r="137" spans="1:9">
      <c r="A137" s="594" t="s">
        <v>441</v>
      </c>
      <c r="B137" s="3547" t="s">
        <v>3762</v>
      </c>
      <c r="C137" s="3548"/>
      <c r="D137" s="3548"/>
      <c r="E137" s="3548"/>
      <c r="F137" s="3548"/>
      <c r="G137" s="3548"/>
      <c r="H137" s="3548"/>
      <c r="I137" s="3549"/>
    </row>
    <row r="138" spans="1:9">
      <c r="A138" s="243"/>
      <c r="B138" s="179"/>
      <c r="C138" s="583" t="s">
        <v>140</v>
      </c>
      <c r="D138" s="243" t="s">
        <v>343</v>
      </c>
      <c r="E138" s="584" t="s">
        <v>344</v>
      </c>
      <c r="F138" s="65" t="s">
        <v>482</v>
      </c>
      <c r="G138" s="65" t="s">
        <v>483</v>
      </c>
      <c r="H138" s="65" t="s">
        <v>232</v>
      </c>
      <c r="I138" s="65" t="s">
        <v>171</v>
      </c>
    </row>
    <row r="139" spans="1:9">
      <c r="A139" s="530" t="s">
        <v>2052</v>
      </c>
      <c r="B139" s="531" t="s">
        <v>2053</v>
      </c>
      <c r="C139" s="589">
        <v>1</v>
      </c>
      <c r="D139" s="6" t="s">
        <v>363</v>
      </c>
      <c r="E139" s="585">
        <f>VLOOKUP(B139,MATERIALES!B:C,2,0)</f>
        <v>1900000</v>
      </c>
      <c r="F139" s="585"/>
      <c r="G139" s="585">
        <f>+C139*E139</f>
        <v>1900000</v>
      </c>
      <c r="H139" s="585"/>
      <c r="I139" s="585"/>
    </row>
    <row r="140" spans="1:9">
      <c r="A140" s="243" t="s">
        <v>2219</v>
      </c>
      <c r="B140" s="180" t="s">
        <v>2220</v>
      </c>
      <c r="C140" s="583">
        <v>1</v>
      </c>
      <c r="D140" s="243" t="s">
        <v>583</v>
      </c>
      <c r="E140" s="585">
        <f>VLOOKUP(B140,MATERIALES!B:C,2,0)</f>
        <v>800000</v>
      </c>
      <c r="F140" s="65"/>
      <c r="G140" s="65"/>
      <c r="H140" s="65"/>
      <c r="I140" s="65">
        <f>+E140*C140</f>
        <v>800000</v>
      </c>
    </row>
    <row r="141" spans="1:9">
      <c r="A141" s="587" t="s">
        <v>190</v>
      </c>
      <c r="B141" s="588">
        <f>SUM(G141:I141)</f>
        <v>2700000</v>
      </c>
      <c r="C141" s="583"/>
      <c r="D141" s="169"/>
      <c r="E141" s="585"/>
      <c r="F141" s="65">
        <v>0</v>
      </c>
      <c r="G141" s="65">
        <f>SUM(G139:G140)</f>
        <v>1900000</v>
      </c>
      <c r="H141" s="65">
        <f>SUM(H140:H140)</f>
        <v>0</v>
      </c>
      <c r="I141" s="65">
        <f>SUM(I140:I140)</f>
        <v>800000</v>
      </c>
    </row>
    <row r="142" spans="1:9">
      <c r="A142" s="21" t="s">
        <v>3622</v>
      </c>
      <c r="B142" s="39">
        <f>+B141*AIU</f>
        <v>798450.73938227666</v>
      </c>
      <c r="C142" s="589"/>
      <c r="D142" s="31"/>
      <c r="E142" s="170"/>
      <c r="F142" s="590"/>
      <c r="G142" s="590"/>
      <c r="H142" s="590"/>
      <c r="I142" s="590"/>
    </row>
    <row r="143" spans="1:9">
      <c r="A143" s="587" t="s">
        <v>191</v>
      </c>
      <c r="B143" s="39">
        <f>SUM(B141:B142)</f>
        <v>3498450.7393822768</v>
      </c>
      <c r="C143" s="591" t="s">
        <v>363</v>
      </c>
      <c r="D143" s="13"/>
      <c r="E143" s="170"/>
      <c r="F143" s="170"/>
      <c r="G143" s="170"/>
      <c r="H143" s="170"/>
      <c r="I143" s="170"/>
    </row>
    <row r="144" spans="1:9">
      <c r="E144" s="170"/>
    </row>
    <row r="145" spans="1:9">
      <c r="A145" s="594" t="s">
        <v>441</v>
      </c>
      <c r="B145" s="3547" t="s">
        <v>3763</v>
      </c>
      <c r="C145" s="3548"/>
      <c r="D145" s="3548"/>
      <c r="E145" s="3548"/>
      <c r="F145" s="3548"/>
      <c r="G145" s="3548"/>
      <c r="H145" s="3548"/>
      <c r="I145" s="3549"/>
    </row>
    <row r="146" spans="1:9">
      <c r="A146" s="243"/>
      <c r="B146" s="179"/>
      <c r="C146" s="583" t="s">
        <v>140</v>
      </c>
      <c r="D146" s="243" t="s">
        <v>343</v>
      </c>
      <c r="E146" s="584" t="s">
        <v>344</v>
      </c>
      <c r="F146" s="65" t="s">
        <v>482</v>
      </c>
      <c r="G146" s="65" t="s">
        <v>483</v>
      </c>
      <c r="H146" s="65" t="s">
        <v>232</v>
      </c>
      <c r="I146" s="65" t="s">
        <v>171</v>
      </c>
    </row>
    <row r="147" spans="1:9">
      <c r="A147" s="243" t="s">
        <v>3627</v>
      </c>
      <c r="B147" s="592" t="s">
        <v>1820</v>
      </c>
      <c r="C147" s="583">
        <v>2</v>
      </c>
      <c r="D147" s="243" t="s">
        <v>346</v>
      </c>
      <c r="E147" s="585">
        <f>VLOOKUP(B147,MATERIALES!B:C,2,0)</f>
        <v>150000</v>
      </c>
      <c r="F147" s="65"/>
      <c r="G147" s="65"/>
      <c r="H147" s="65">
        <f>+C147*E147</f>
        <v>300000</v>
      </c>
      <c r="I147" s="65"/>
    </row>
    <row r="148" spans="1:9">
      <c r="A148" s="243" t="s">
        <v>172</v>
      </c>
      <c r="B148" s="179" t="s">
        <v>189</v>
      </c>
      <c r="C148" s="583">
        <v>1</v>
      </c>
      <c r="D148" s="160" t="s">
        <v>583</v>
      </c>
      <c r="E148" s="585">
        <f>0.05*H147</f>
        <v>15000</v>
      </c>
      <c r="F148" s="65"/>
      <c r="G148" s="65"/>
      <c r="H148" s="65"/>
      <c r="I148" s="65">
        <f>+E148*C148</f>
        <v>15000</v>
      </c>
    </row>
    <row r="149" spans="1:9">
      <c r="A149" s="587" t="s">
        <v>190</v>
      </c>
      <c r="B149" s="588">
        <f>SUM(G149:I149)</f>
        <v>315000</v>
      </c>
      <c r="C149" s="583"/>
      <c r="D149" s="169"/>
      <c r="E149" s="585"/>
      <c r="F149" s="65">
        <v>0</v>
      </c>
      <c r="G149" s="65">
        <f>SUM(G147:G148)</f>
        <v>0</v>
      </c>
      <c r="H149" s="65">
        <f>SUM(H147:H148)</f>
        <v>300000</v>
      </c>
      <c r="I149" s="65">
        <f>SUM(I148:I148)</f>
        <v>15000</v>
      </c>
    </row>
    <row r="150" spans="1:9">
      <c r="A150" s="21" t="s">
        <v>3622</v>
      </c>
      <c r="B150" s="39">
        <f>+B149*AIU</f>
        <v>93152.58626126562</v>
      </c>
      <c r="C150" s="589"/>
      <c r="D150" s="31"/>
      <c r="E150" s="170"/>
      <c r="F150" s="590"/>
      <c r="G150" s="590"/>
      <c r="H150" s="590"/>
      <c r="I150" s="590"/>
    </row>
    <row r="151" spans="1:9">
      <c r="A151" s="587" t="s">
        <v>191</v>
      </c>
      <c r="B151" s="39">
        <f>SUM(B149:B150)</f>
        <v>408152.58626126562</v>
      </c>
      <c r="C151" s="591" t="s">
        <v>363</v>
      </c>
      <c r="D151" s="13"/>
      <c r="E151" s="170"/>
      <c r="F151" s="170"/>
      <c r="G151" s="170"/>
      <c r="H151" s="170"/>
      <c r="I151" s="170"/>
    </row>
    <row r="152" spans="1:9">
      <c r="C152" s="610"/>
      <c r="E152" s="170"/>
    </row>
    <row r="153" spans="1:9">
      <c r="A153" s="594" t="s">
        <v>441</v>
      </c>
      <c r="B153" s="3547" t="s">
        <v>3764</v>
      </c>
      <c r="C153" s="3548"/>
      <c r="D153" s="3548"/>
      <c r="E153" s="3548"/>
      <c r="F153" s="3548"/>
      <c r="G153" s="3548"/>
      <c r="H153" s="3548"/>
      <c r="I153" s="3549"/>
    </row>
    <row r="154" spans="1:9">
      <c r="A154" s="243"/>
      <c r="B154" s="179"/>
      <c r="C154" s="583" t="s">
        <v>140</v>
      </c>
      <c r="D154" s="243" t="s">
        <v>343</v>
      </c>
      <c r="E154" s="584" t="s">
        <v>344</v>
      </c>
      <c r="F154" s="65" t="s">
        <v>482</v>
      </c>
      <c r="G154" s="65" t="s">
        <v>483</v>
      </c>
      <c r="H154" s="65" t="s">
        <v>232</v>
      </c>
      <c r="I154" s="65" t="s">
        <v>171</v>
      </c>
    </row>
    <row r="155" spans="1:9">
      <c r="A155" s="530" t="s">
        <v>2054</v>
      </c>
      <c r="B155" s="531" t="s">
        <v>2055</v>
      </c>
      <c r="C155" s="589">
        <v>1</v>
      </c>
      <c r="D155" s="6" t="s">
        <v>363</v>
      </c>
      <c r="E155" s="585">
        <f>VLOOKUP(B155,MATERIALES!B:C,2,0)</f>
        <v>1550000</v>
      </c>
      <c r="F155" s="585"/>
      <c r="G155" s="585">
        <f>+C155*E155</f>
        <v>1550000</v>
      </c>
      <c r="H155" s="585"/>
      <c r="I155" s="585"/>
    </row>
    <row r="156" spans="1:9">
      <c r="A156" s="243" t="s">
        <v>2219</v>
      </c>
      <c r="B156" s="180" t="s">
        <v>2220</v>
      </c>
      <c r="C156" s="583">
        <v>0.95</v>
      </c>
      <c r="D156" s="243" t="s">
        <v>583</v>
      </c>
      <c r="E156" s="585">
        <f>VLOOKUP(B156,MATERIALES!B:C,2,0)</f>
        <v>800000</v>
      </c>
      <c r="F156" s="65"/>
      <c r="G156" s="65"/>
      <c r="H156" s="65"/>
      <c r="I156" s="65">
        <f>+E156*C156</f>
        <v>760000</v>
      </c>
    </row>
    <row r="157" spans="1:9">
      <c r="A157" s="587" t="s">
        <v>190</v>
      </c>
      <c r="B157" s="588">
        <f>SUM(G157:I157)</f>
        <v>2310000</v>
      </c>
      <c r="C157" s="583"/>
      <c r="D157" s="169"/>
      <c r="E157" s="585"/>
      <c r="F157" s="65">
        <v>0</v>
      </c>
      <c r="G157" s="65">
        <f>SUM(G155:G156)</f>
        <v>1550000</v>
      </c>
      <c r="H157" s="65">
        <f>SUM(H156:H156)</f>
        <v>0</v>
      </c>
      <c r="I157" s="65">
        <f>SUM(I156:I156)</f>
        <v>760000</v>
      </c>
    </row>
    <row r="158" spans="1:9">
      <c r="A158" s="21" t="s">
        <v>3622</v>
      </c>
      <c r="B158" s="39">
        <f>+B157*AIU</f>
        <v>683118.9659159478</v>
      </c>
      <c r="C158" s="589"/>
      <c r="D158" s="31"/>
      <c r="E158" s="170"/>
      <c r="F158" s="590"/>
      <c r="G158" s="590"/>
      <c r="H158" s="590"/>
      <c r="I158" s="590"/>
    </row>
    <row r="159" spans="1:9">
      <c r="A159" s="587" t="s">
        <v>191</v>
      </c>
      <c r="B159" s="39">
        <f>SUM(B157:B158)</f>
        <v>2993118.9659159477</v>
      </c>
      <c r="C159" s="591" t="s">
        <v>363</v>
      </c>
      <c r="D159" s="13"/>
      <c r="E159" s="170"/>
      <c r="F159" s="170"/>
      <c r="G159" s="170"/>
      <c r="H159" s="170"/>
      <c r="I159" s="170"/>
    </row>
    <row r="160" spans="1:9">
      <c r="E160" s="170"/>
    </row>
    <row r="161" spans="1:9">
      <c r="A161" s="594" t="s">
        <v>441</v>
      </c>
      <c r="B161" s="3547" t="s">
        <v>3765</v>
      </c>
      <c r="C161" s="3548"/>
      <c r="D161" s="3548"/>
      <c r="E161" s="3548"/>
      <c r="F161" s="3548"/>
      <c r="G161" s="3548"/>
      <c r="H161" s="3548"/>
      <c r="I161" s="3549"/>
    </row>
    <row r="162" spans="1:9">
      <c r="A162" s="243"/>
      <c r="B162" s="179"/>
      <c r="C162" s="583" t="s">
        <v>140</v>
      </c>
      <c r="D162" s="243" t="s">
        <v>343</v>
      </c>
      <c r="E162" s="584" t="s">
        <v>344</v>
      </c>
      <c r="F162" s="65" t="s">
        <v>482</v>
      </c>
      <c r="G162" s="65" t="s">
        <v>483</v>
      </c>
      <c r="H162" s="65" t="s">
        <v>232</v>
      </c>
      <c r="I162" s="65" t="s">
        <v>171</v>
      </c>
    </row>
    <row r="163" spans="1:9">
      <c r="A163" s="243" t="s">
        <v>3627</v>
      </c>
      <c r="B163" s="592" t="s">
        <v>1820</v>
      </c>
      <c r="C163" s="583">
        <v>2</v>
      </c>
      <c r="D163" s="243" t="s">
        <v>346</v>
      </c>
      <c r="E163" s="585">
        <f>VLOOKUP(B163,MATERIALES!B:C,2,0)</f>
        <v>150000</v>
      </c>
      <c r="F163" s="65"/>
      <c r="G163" s="65"/>
      <c r="H163" s="65">
        <f>+C163*E163</f>
        <v>300000</v>
      </c>
      <c r="I163" s="65"/>
    </row>
    <row r="164" spans="1:9">
      <c r="A164" s="243" t="s">
        <v>172</v>
      </c>
      <c r="B164" s="179" t="s">
        <v>189</v>
      </c>
      <c r="C164" s="583">
        <v>1</v>
      </c>
      <c r="D164" s="160" t="s">
        <v>583</v>
      </c>
      <c r="E164" s="585">
        <f>0.05*H163</f>
        <v>15000</v>
      </c>
      <c r="F164" s="65"/>
      <c r="G164" s="65"/>
      <c r="H164" s="65"/>
      <c r="I164" s="65">
        <f>+E164*C164</f>
        <v>15000</v>
      </c>
    </row>
    <row r="165" spans="1:9">
      <c r="A165" s="587" t="s">
        <v>190</v>
      </c>
      <c r="B165" s="588">
        <f>SUM(G165:I165)</f>
        <v>315000</v>
      </c>
      <c r="C165" s="583"/>
      <c r="D165" s="169"/>
      <c r="E165" s="585"/>
      <c r="F165" s="65">
        <v>0</v>
      </c>
      <c r="G165" s="65">
        <f>SUM(G163:G164)</f>
        <v>0</v>
      </c>
      <c r="H165" s="65">
        <f>SUM(H163:H164)</f>
        <v>300000</v>
      </c>
      <c r="I165" s="65">
        <f>SUM(I164:I164)</f>
        <v>15000</v>
      </c>
    </row>
    <row r="166" spans="1:9">
      <c r="A166" s="21" t="s">
        <v>3622</v>
      </c>
      <c r="B166" s="39">
        <f>+B165*AIU</f>
        <v>93152.58626126562</v>
      </c>
      <c r="C166" s="589"/>
      <c r="D166" s="31"/>
      <c r="E166" s="170"/>
      <c r="F166" s="590"/>
      <c r="G166" s="590"/>
      <c r="H166" s="590"/>
      <c r="I166" s="590"/>
    </row>
    <row r="167" spans="1:9">
      <c r="A167" s="587" t="s">
        <v>191</v>
      </c>
      <c r="B167" s="39">
        <f>SUM(B165:B166)</f>
        <v>408152.58626126562</v>
      </c>
      <c r="C167" s="591" t="s">
        <v>363</v>
      </c>
      <c r="D167" s="13"/>
      <c r="E167" s="170"/>
      <c r="F167" s="170"/>
      <c r="G167" s="170"/>
      <c r="H167" s="170"/>
      <c r="I167" s="170"/>
    </row>
    <row r="168" spans="1:9">
      <c r="C168" s="610"/>
      <c r="E168" s="170"/>
    </row>
    <row r="169" spans="1:9">
      <c r="A169" s="594" t="s">
        <v>441</v>
      </c>
      <c r="B169" s="3547" t="s">
        <v>3766</v>
      </c>
      <c r="C169" s="3548"/>
      <c r="D169" s="3548"/>
      <c r="E169" s="3548"/>
      <c r="F169" s="3548"/>
      <c r="G169" s="3548"/>
      <c r="H169" s="3548"/>
      <c r="I169" s="3549"/>
    </row>
    <row r="170" spans="1:9">
      <c r="A170" s="243"/>
      <c r="B170" s="179"/>
      <c r="C170" s="583" t="s">
        <v>140</v>
      </c>
      <c r="D170" s="243" t="s">
        <v>343</v>
      </c>
      <c r="E170" s="584" t="s">
        <v>344</v>
      </c>
      <c r="F170" s="65" t="s">
        <v>482</v>
      </c>
      <c r="G170" s="65" t="s">
        <v>483</v>
      </c>
      <c r="H170" s="65" t="s">
        <v>232</v>
      </c>
      <c r="I170" s="65" t="s">
        <v>171</v>
      </c>
    </row>
    <row r="171" spans="1:9">
      <c r="A171" s="2" t="s">
        <v>3767</v>
      </c>
      <c r="B171" s="18" t="s">
        <v>2061</v>
      </c>
      <c r="C171" s="589">
        <v>1</v>
      </c>
      <c r="D171" s="6" t="s">
        <v>363</v>
      </c>
      <c r="E171" s="585">
        <f>VLOOKUP(B171,MATERIALES!B:C,2,0)</f>
        <v>756320</v>
      </c>
      <c r="F171" s="585"/>
      <c r="G171" s="585">
        <f>+C171*E171</f>
        <v>756320</v>
      </c>
      <c r="H171" s="585"/>
      <c r="I171" s="585"/>
    </row>
    <row r="172" spans="1:9">
      <c r="A172" s="243" t="s">
        <v>584</v>
      </c>
      <c r="B172" s="180" t="s">
        <v>2218</v>
      </c>
      <c r="C172" s="583">
        <v>0.2</v>
      </c>
      <c r="D172" s="243" t="s">
        <v>583</v>
      </c>
      <c r="E172" s="585">
        <f>VLOOKUP(B172,MATERIALES!B:C,2,0)</f>
        <v>750000</v>
      </c>
      <c r="F172" s="65"/>
      <c r="G172" s="65"/>
      <c r="H172" s="65"/>
      <c r="I172" s="65">
        <f>+E172*C172</f>
        <v>150000</v>
      </c>
    </row>
    <row r="173" spans="1:9">
      <c r="A173" s="587" t="s">
        <v>190</v>
      </c>
      <c r="B173" s="588">
        <f>SUM(G173:I173)</f>
        <v>906320</v>
      </c>
      <c r="C173" s="583"/>
      <c r="D173" s="169"/>
      <c r="E173" s="585"/>
      <c r="F173" s="65">
        <v>0</v>
      </c>
      <c r="G173" s="65">
        <f>SUM(G171:G172)</f>
        <v>756320</v>
      </c>
      <c r="H173" s="65">
        <f>SUM(H172:H172)</f>
        <v>0</v>
      </c>
      <c r="I173" s="65">
        <f>SUM(I172:I172)</f>
        <v>150000</v>
      </c>
    </row>
    <row r="174" spans="1:9">
      <c r="A174" s="21" t="s">
        <v>3622</v>
      </c>
      <c r="B174" s="39">
        <f>+B173*AIU</f>
        <v>268019.21263590554</v>
      </c>
      <c r="C174" s="589"/>
      <c r="D174" s="31"/>
      <c r="E174" s="170"/>
      <c r="F174" s="590"/>
      <c r="G174" s="590"/>
      <c r="H174" s="590"/>
      <c r="I174" s="590"/>
    </row>
    <row r="175" spans="1:9">
      <c r="A175" s="587" t="s">
        <v>191</v>
      </c>
      <c r="B175" s="39">
        <f>SUM(B173:B174)</f>
        <v>1174339.2126359055</v>
      </c>
      <c r="C175" s="591" t="s">
        <v>363</v>
      </c>
      <c r="D175" s="13"/>
      <c r="E175" s="170"/>
      <c r="F175" s="170"/>
      <c r="G175" s="170"/>
      <c r="H175" s="170"/>
      <c r="I175" s="170"/>
    </row>
    <row r="176" spans="1:9">
      <c r="E176" s="170"/>
    </row>
    <row r="177" spans="1:9">
      <c r="A177" s="594" t="s">
        <v>441</v>
      </c>
      <c r="B177" s="3547" t="s">
        <v>3768</v>
      </c>
      <c r="C177" s="3548"/>
      <c r="D177" s="3548"/>
      <c r="E177" s="3548"/>
      <c r="F177" s="3548"/>
      <c r="G177" s="3548"/>
      <c r="H177" s="3548"/>
      <c r="I177" s="3549"/>
    </row>
    <row r="178" spans="1:9">
      <c r="A178" s="243"/>
      <c r="B178" s="179"/>
      <c r="C178" s="583" t="s">
        <v>140</v>
      </c>
      <c r="D178" s="243" t="s">
        <v>343</v>
      </c>
      <c r="E178" s="584" t="s">
        <v>344</v>
      </c>
      <c r="F178" s="65" t="s">
        <v>482</v>
      </c>
      <c r="G178" s="65" t="s">
        <v>483</v>
      </c>
      <c r="H178" s="65" t="s">
        <v>232</v>
      </c>
      <c r="I178" s="65" t="s">
        <v>171</v>
      </c>
    </row>
    <row r="179" spans="1:9">
      <c r="A179" s="243" t="s">
        <v>3627</v>
      </c>
      <c r="B179" s="592" t="s">
        <v>1820</v>
      </c>
      <c r="C179" s="583">
        <v>1</v>
      </c>
      <c r="D179" s="243" t="s">
        <v>346</v>
      </c>
      <c r="E179" s="585">
        <v>150000</v>
      </c>
      <c r="F179" s="65"/>
      <c r="G179" s="65"/>
      <c r="H179" s="65">
        <f>+C179*E179</f>
        <v>150000</v>
      </c>
      <c r="I179" s="65"/>
    </row>
    <row r="180" spans="1:9">
      <c r="A180" s="243" t="s">
        <v>172</v>
      </c>
      <c r="B180" s="179" t="s">
        <v>189</v>
      </c>
      <c r="C180" s="583">
        <v>1</v>
      </c>
      <c r="D180" s="160" t="s">
        <v>583</v>
      </c>
      <c r="E180" s="585">
        <f>0.05*H179</f>
        <v>7500</v>
      </c>
      <c r="F180" s="65"/>
      <c r="G180" s="65"/>
      <c r="H180" s="65"/>
      <c r="I180" s="65">
        <f>+E180*C180</f>
        <v>7500</v>
      </c>
    </row>
    <row r="181" spans="1:9">
      <c r="A181" s="587" t="s">
        <v>190</v>
      </c>
      <c r="B181" s="588">
        <f>SUM(G181:I181)</f>
        <v>157500</v>
      </c>
      <c r="C181" s="583"/>
      <c r="D181" s="169"/>
      <c r="E181" s="585"/>
      <c r="F181" s="65">
        <v>0</v>
      </c>
      <c r="G181" s="65">
        <f>SUM(G179:G180)</f>
        <v>0</v>
      </c>
      <c r="H181" s="65">
        <f>SUM(H179:H180)</f>
        <v>150000</v>
      </c>
      <c r="I181" s="65">
        <f>SUM(I180:I180)</f>
        <v>7500</v>
      </c>
    </row>
    <row r="182" spans="1:9">
      <c r="A182" s="21" t="s">
        <v>3622</v>
      </c>
      <c r="B182" s="39">
        <f>+B181*AIU</f>
        <v>46576.29313063281</v>
      </c>
      <c r="C182" s="589"/>
      <c r="D182" s="31"/>
      <c r="E182" s="170"/>
      <c r="F182" s="590"/>
      <c r="G182" s="590"/>
      <c r="H182" s="590"/>
      <c r="I182" s="590"/>
    </row>
    <row r="183" spans="1:9">
      <c r="A183" s="587" t="s">
        <v>191</v>
      </c>
      <c r="B183" s="39">
        <f>SUM(B181:B182)</f>
        <v>204076.29313063281</v>
      </c>
      <c r="C183" s="591" t="s">
        <v>363</v>
      </c>
      <c r="D183" s="13"/>
      <c r="E183" s="170"/>
      <c r="F183" s="170"/>
      <c r="G183" s="170"/>
      <c r="H183" s="170"/>
      <c r="I183" s="170"/>
    </row>
    <row r="184" spans="1:9">
      <c r="E184" s="170"/>
    </row>
    <row r="185" spans="1:9">
      <c r="A185" s="594" t="s">
        <v>441</v>
      </c>
      <c r="B185" s="3547" t="s">
        <v>3769</v>
      </c>
      <c r="C185" s="3548"/>
      <c r="D185" s="3548"/>
      <c r="E185" s="3548"/>
      <c r="F185" s="3548"/>
      <c r="G185" s="3548"/>
      <c r="H185" s="3548"/>
      <c r="I185" s="3549"/>
    </row>
    <row r="186" spans="1:9">
      <c r="A186" s="243"/>
      <c r="B186" s="179"/>
      <c r="C186" s="583" t="s">
        <v>140</v>
      </c>
      <c r="D186" s="243" t="s">
        <v>343</v>
      </c>
      <c r="E186" s="584" t="s">
        <v>344</v>
      </c>
      <c r="F186" s="65" t="s">
        <v>482</v>
      </c>
      <c r="G186" s="65" t="s">
        <v>483</v>
      </c>
      <c r="H186" s="65" t="s">
        <v>232</v>
      </c>
      <c r="I186" s="65" t="s">
        <v>171</v>
      </c>
    </row>
    <row r="187" spans="1:9">
      <c r="A187" s="530" t="s">
        <v>2062</v>
      </c>
      <c r="B187" s="531" t="s">
        <v>2063</v>
      </c>
      <c r="C187" s="589">
        <v>1</v>
      </c>
      <c r="D187" s="6" t="s">
        <v>363</v>
      </c>
      <c r="E187" s="585">
        <f>VLOOKUP(B187,MATERIALES!B:C,2,0)</f>
        <v>415280</v>
      </c>
      <c r="F187" s="585"/>
      <c r="G187" s="585">
        <f>+C187*E187</f>
        <v>415280</v>
      </c>
      <c r="H187" s="585"/>
      <c r="I187" s="585"/>
    </row>
    <row r="188" spans="1:9">
      <c r="A188" s="243" t="s">
        <v>584</v>
      </c>
      <c r="B188" s="180" t="s">
        <v>2218</v>
      </c>
      <c r="C188" s="583">
        <v>0.2</v>
      </c>
      <c r="D188" s="243" t="s">
        <v>583</v>
      </c>
      <c r="E188" s="585">
        <f>VLOOKUP(B188,MATERIALES!B:C,2,0)</f>
        <v>750000</v>
      </c>
      <c r="F188" s="65"/>
      <c r="G188" s="65"/>
      <c r="H188" s="65"/>
      <c r="I188" s="65">
        <f>+E188*C188</f>
        <v>150000</v>
      </c>
    </row>
    <row r="189" spans="1:9">
      <c r="A189" s="587" t="s">
        <v>190</v>
      </c>
      <c r="B189" s="588">
        <f>SUM(G189:I189)</f>
        <v>565280</v>
      </c>
      <c r="C189" s="583"/>
      <c r="D189" s="169"/>
      <c r="E189" s="585"/>
      <c r="F189" s="65">
        <v>0</v>
      </c>
      <c r="G189" s="65">
        <f>SUM(G187:G188)</f>
        <v>415280</v>
      </c>
      <c r="H189" s="65">
        <f>SUM(H188:H188)</f>
        <v>0</v>
      </c>
      <c r="I189" s="65">
        <f>SUM(I188:I188)</f>
        <v>150000</v>
      </c>
    </row>
    <row r="190" spans="1:9">
      <c r="A190" s="21" t="s">
        <v>3622</v>
      </c>
      <c r="B190" s="39">
        <f>+B189*AIU</f>
        <v>167166.01257704198</v>
      </c>
      <c r="C190" s="589"/>
      <c r="D190" s="31"/>
      <c r="E190" s="170"/>
      <c r="F190" s="590"/>
      <c r="G190" s="590"/>
      <c r="H190" s="590"/>
      <c r="I190" s="590"/>
    </row>
    <row r="191" spans="1:9">
      <c r="A191" s="587" t="s">
        <v>191</v>
      </c>
      <c r="B191" s="39">
        <f>SUM(B189:B190)</f>
        <v>732446.01257704198</v>
      </c>
      <c r="C191" s="591" t="s">
        <v>363</v>
      </c>
      <c r="D191" s="13"/>
      <c r="E191" s="170"/>
      <c r="F191" s="170"/>
      <c r="G191" s="170"/>
      <c r="H191" s="170"/>
      <c r="I191" s="170"/>
    </row>
    <row r="192" spans="1:9">
      <c r="E192" s="170"/>
    </row>
    <row r="193" spans="1:9">
      <c r="A193" s="594" t="s">
        <v>441</v>
      </c>
      <c r="B193" s="3547" t="s">
        <v>3770</v>
      </c>
      <c r="C193" s="3548"/>
      <c r="D193" s="3548"/>
      <c r="E193" s="3548"/>
      <c r="F193" s="3548"/>
      <c r="G193" s="3548"/>
      <c r="H193" s="3548"/>
      <c r="I193" s="3549"/>
    </row>
    <row r="194" spans="1:9">
      <c r="A194" s="243"/>
      <c r="B194" s="179"/>
      <c r="C194" s="583" t="s">
        <v>140</v>
      </c>
      <c r="D194" s="243" t="s">
        <v>343</v>
      </c>
      <c r="E194" s="584" t="s">
        <v>344</v>
      </c>
      <c r="F194" s="65" t="s">
        <v>482</v>
      </c>
      <c r="G194" s="65" t="s">
        <v>483</v>
      </c>
      <c r="H194" s="65" t="s">
        <v>232</v>
      </c>
      <c r="I194" s="65" t="s">
        <v>171</v>
      </c>
    </row>
    <row r="195" spans="1:9">
      <c r="A195" s="243" t="s">
        <v>3627</v>
      </c>
      <c r="B195" s="592" t="s">
        <v>1820</v>
      </c>
      <c r="C195" s="583">
        <v>1</v>
      </c>
      <c r="D195" s="243" t="s">
        <v>346</v>
      </c>
      <c r="E195" s="585">
        <f>VLOOKUP(B195,MATERIALES!B:C,2,0)</f>
        <v>150000</v>
      </c>
      <c r="F195" s="65"/>
      <c r="G195" s="65"/>
      <c r="H195" s="65">
        <f>+C195*E195</f>
        <v>150000</v>
      </c>
      <c r="I195" s="65"/>
    </row>
    <row r="196" spans="1:9">
      <c r="A196" s="243" t="s">
        <v>172</v>
      </c>
      <c r="B196" s="179" t="s">
        <v>189</v>
      </c>
      <c r="C196" s="583">
        <v>1</v>
      </c>
      <c r="D196" s="160" t="s">
        <v>583</v>
      </c>
      <c r="E196" s="585">
        <f>0.05*H195</f>
        <v>7500</v>
      </c>
      <c r="F196" s="65"/>
      <c r="G196" s="65"/>
      <c r="H196" s="65"/>
      <c r="I196" s="65">
        <f>+E196*C196</f>
        <v>7500</v>
      </c>
    </row>
    <row r="197" spans="1:9">
      <c r="A197" s="587" t="s">
        <v>190</v>
      </c>
      <c r="B197" s="588">
        <f>SUM(G197:I197)</f>
        <v>157500</v>
      </c>
      <c r="C197" s="583"/>
      <c r="D197" s="169"/>
      <c r="E197" s="585"/>
      <c r="F197" s="65">
        <v>0</v>
      </c>
      <c r="G197" s="65">
        <f>SUM(G195:G196)</f>
        <v>0</v>
      </c>
      <c r="H197" s="65">
        <f>SUM(H195:H196)</f>
        <v>150000</v>
      </c>
      <c r="I197" s="65">
        <f>SUM(I196:I196)</f>
        <v>7500</v>
      </c>
    </row>
    <row r="198" spans="1:9">
      <c r="A198" s="21" t="s">
        <v>3622</v>
      </c>
      <c r="B198" s="39">
        <f>+B197*AIU</f>
        <v>46576.29313063281</v>
      </c>
      <c r="C198" s="589"/>
      <c r="D198" s="31"/>
      <c r="E198" s="170"/>
      <c r="F198" s="590"/>
      <c r="G198" s="590"/>
      <c r="H198" s="590"/>
      <c r="I198" s="590"/>
    </row>
    <row r="199" spans="1:9">
      <c r="A199" s="587" t="s">
        <v>191</v>
      </c>
      <c r="B199" s="39">
        <f>SUM(B197:B198)</f>
        <v>204076.29313063281</v>
      </c>
      <c r="C199" s="591" t="s">
        <v>363</v>
      </c>
      <c r="D199" s="13"/>
      <c r="E199" s="170"/>
      <c r="F199" s="170"/>
      <c r="G199" s="170"/>
      <c r="H199" s="170"/>
      <c r="I199" s="170"/>
    </row>
    <row r="200" spans="1:9">
      <c r="E200" s="170"/>
    </row>
    <row r="201" spans="1:9">
      <c r="A201" s="594" t="s">
        <v>441</v>
      </c>
      <c r="B201" s="3547" t="s">
        <v>3771</v>
      </c>
      <c r="C201" s="3548"/>
      <c r="D201" s="3548"/>
      <c r="E201" s="3548"/>
      <c r="F201" s="3548"/>
      <c r="G201" s="3548"/>
      <c r="H201" s="3548"/>
      <c r="I201" s="3549"/>
    </row>
    <row r="202" spans="1:9">
      <c r="A202" s="243"/>
      <c r="B202" s="179"/>
      <c r="C202" s="583" t="s">
        <v>140</v>
      </c>
      <c r="D202" s="243" t="s">
        <v>343</v>
      </c>
      <c r="E202" s="584" t="s">
        <v>344</v>
      </c>
      <c r="F202" s="65" t="s">
        <v>482</v>
      </c>
      <c r="G202" s="65" t="s">
        <v>483</v>
      </c>
      <c r="H202" s="65" t="s">
        <v>232</v>
      </c>
      <c r="I202" s="65" t="s">
        <v>171</v>
      </c>
    </row>
    <row r="203" spans="1:9">
      <c r="A203" s="2" t="s">
        <v>1710</v>
      </c>
      <c r="B203" s="18" t="s">
        <v>1711</v>
      </c>
      <c r="C203" s="589">
        <v>4</v>
      </c>
      <c r="D203" s="6" t="s">
        <v>94</v>
      </c>
      <c r="E203" s="585">
        <f>VLOOKUP(B203,MATERIALES!B:C,2,0)</f>
        <v>2500</v>
      </c>
      <c r="F203" s="585"/>
      <c r="G203" s="585">
        <f>+C203*E203</f>
        <v>10000</v>
      </c>
      <c r="H203" s="585"/>
      <c r="I203" s="585"/>
    </row>
    <row r="204" spans="1:9">
      <c r="A204" s="243" t="s">
        <v>584</v>
      </c>
      <c r="B204" s="180" t="s">
        <v>2236</v>
      </c>
      <c r="C204" s="595">
        <v>1E-3</v>
      </c>
      <c r="D204" s="243" t="s">
        <v>583</v>
      </c>
      <c r="E204" s="585">
        <f>VLOOKUP(B204,MATERIALES!B:C,2,0)</f>
        <v>750000</v>
      </c>
      <c r="F204" s="65"/>
      <c r="G204" s="65"/>
      <c r="H204" s="65"/>
      <c r="I204" s="65">
        <f>+E204*C204</f>
        <v>750</v>
      </c>
    </row>
    <row r="205" spans="1:9">
      <c r="A205" s="587" t="s">
        <v>190</v>
      </c>
      <c r="B205" s="588">
        <f>SUM(G205:I205)</f>
        <v>10750</v>
      </c>
      <c r="C205" s="583"/>
      <c r="D205" s="169"/>
      <c r="E205" s="585"/>
      <c r="F205" s="65">
        <v>0</v>
      </c>
      <c r="G205" s="65">
        <f>SUM(G202:G204)</f>
        <v>10000</v>
      </c>
      <c r="H205" s="65">
        <f>SUM(H203:H204)</f>
        <v>0</v>
      </c>
      <c r="I205" s="65">
        <f>SUM(I204:I204)</f>
        <v>750</v>
      </c>
    </row>
    <row r="206" spans="1:9">
      <c r="A206" s="21" t="s">
        <v>3622</v>
      </c>
      <c r="B206" s="39">
        <f>+B205*AIU</f>
        <v>3179.0168327257311</v>
      </c>
      <c r="C206" s="589"/>
      <c r="D206" s="31"/>
      <c r="E206" s="170"/>
      <c r="F206" s="590"/>
      <c r="G206" s="590"/>
      <c r="H206" s="590"/>
      <c r="I206" s="590"/>
    </row>
    <row r="207" spans="1:9">
      <c r="A207" s="587" t="s">
        <v>191</v>
      </c>
      <c r="B207" s="39">
        <f>SUM(B205:B206)</f>
        <v>13929.016832725731</v>
      </c>
      <c r="C207" s="591" t="s">
        <v>94</v>
      </c>
      <c r="D207" s="13"/>
      <c r="E207" s="170"/>
      <c r="F207" s="170"/>
      <c r="G207" s="170"/>
      <c r="H207" s="170"/>
      <c r="I207" s="170"/>
    </row>
    <row r="208" spans="1:9">
      <c r="A208" s="596"/>
      <c r="B208" s="597"/>
      <c r="C208" s="598"/>
      <c r="D208" s="596"/>
      <c r="E208" s="599"/>
      <c r="F208" s="599"/>
      <c r="G208" s="599"/>
      <c r="H208" s="599"/>
      <c r="I208" s="599"/>
    </row>
    <row r="209" spans="1:9">
      <c r="A209" s="594" t="s">
        <v>441</v>
      </c>
      <c r="B209" s="3547" t="s">
        <v>3772</v>
      </c>
      <c r="C209" s="3548"/>
      <c r="D209" s="3548"/>
      <c r="E209" s="3548"/>
      <c r="F209" s="3548"/>
      <c r="G209" s="3548"/>
      <c r="H209" s="3548"/>
      <c r="I209" s="3549"/>
    </row>
    <row r="210" spans="1:9">
      <c r="A210" s="243"/>
      <c r="B210" s="179"/>
      <c r="C210" s="583" t="s">
        <v>140</v>
      </c>
      <c r="D210" s="243" t="s">
        <v>343</v>
      </c>
      <c r="E210" s="584" t="s">
        <v>344</v>
      </c>
      <c r="F210" s="65" t="s">
        <v>482</v>
      </c>
      <c r="G210" s="65" t="s">
        <v>483</v>
      </c>
      <c r="H210" s="65" t="s">
        <v>232</v>
      </c>
      <c r="I210" s="65" t="s">
        <v>171</v>
      </c>
    </row>
    <row r="211" spans="1:9">
      <c r="A211" s="243" t="s">
        <v>3627</v>
      </c>
      <c r="B211" s="592" t="s">
        <v>1820</v>
      </c>
      <c r="C211" s="583">
        <v>0.05</v>
      </c>
      <c r="D211" s="243" t="s">
        <v>346</v>
      </c>
      <c r="E211" s="585">
        <f>VLOOKUP(B211,MATERIALES!B:C,2,0)</f>
        <v>150000</v>
      </c>
      <c r="F211" s="65"/>
      <c r="G211" s="65"/>
      <c r="H211" s="65">
        <f>+C211*E211</f>
        <v>7500</v>
      </c>
      <c r="I211" s="65"/>
    </row>
    <row r="212" spans="1:9">
      <c r="A212" s="243" t="s">
        <v>172</v>
      </c>
      <c r="B212" s="179" t="s">
        <v>189</v>
      </c>
      <c r="C212" s="583">
        <v>1</v>
      </c>
      <c r="D212" s="160" t="s">
        <v>583</v>
      </c>
      <c r="E212" s="585">
        <v>128.34586470588258</v>
      </c>
      <c r="F212" s="65"/>
      <c r="G212" s="65"/>
      <c r="H212" s="65"/>
      <c r="I212" s="65">
        <f>+E212*C212</f>
        <v>128.34586470588258</v>
      </c>
    </row>
    <row r="213" spans="1:9">
      <c r="A213" s="587" t="s">
        <v>190</v>
      </c>
      <c r="B213" s="588">
        <f>SUM(G213:I213)</f>
        <v>7628.3458647058824</v>
      </c>
      <c r="C213" s="583"/>
      <c r="D213" s="169"/>
      <c r="E213" s="585"/>
      <c r="F213" s="65">
        <v>0</v>
      </c>
      <c r="G213" s="65">
        <f>SUM(G210:G212)</f>
        <v>0</v>
      </c>
      <c r="H213" s="65">
        <f>SUM(H211:H212)</f>
        <v>7500</v>
      </c>
      <c r="I213" s="65">
        <f>SUM(I212:I212)</f>
        <v>128.34586470588258</v>
      </c>
    </row>
    <row r="214" spans="1:9">
      <c r="A214" s="21" t="s">
        <v>3622</v>
      </c>
      <c r="B214" s="39">
        <f>+B213*AIU</f>
        <v>2255.8734799770905</v>
      </c>
      <c r="C214" s="589"/>
      <c r="D214" s="31"/>
      <c r="E214" s="170"/>
      <c r="F214" s="590"/>
      <c r="G214" s="590"/>
      <c r="H214" s="590"/>
      <c r="I214" s="590"/>
    </row>
    <row r="215" spans="1:9">
      <c r="A215" s="587" t="s">
        <v>191</v>
      </c>
      <c r="B215" s="39">
        <f>SUM(B213:B214)</f>
        <v>9884.2193446829733</v>
      </c>
      <c r="C215" s="591" t="s">
        <v>94</v>
      </c>
      <c r="D215" s="13"/>
      <c r="E215" s="170"/>
      <c r="F215" s="170"/>
      <c r="G215" s="170"/>
      <c r="H215" s="170"/>
      <c r="I215" s="170"/>
    </row>
    <row r="216" spans="1:9">
      <c r="A216" s="596"/>
      <c r="B216" s="597"/>
      <c r="C216" s="598"/>
      <c r="D216" s="596"/>
      <c r="E216" s="599"/>
      <c r="F216" s="599"/>
      <c r="G216" s="599"/>
      <c r="H216" s="599"/>
      <c r="I216" s="599"/>
    </row>
    <row r="217" spans="1:9">
      <c r="A217" s="594" t="s">
        <v>441</v>
      </c>
      <c r="B217" s="3547" t="s">
        <v>3773</v>
      </c>
      <c r="C217" s="3548"/>
      <c r="D217" s="3548"/>
      <c r="E217" s="3548"/>
      <c r="F217" s="3548"/>
      <c r="G217" s="3548"/>
      <c r="H217" s="3548"/>
      <c r="I217" s="3549"/>
    </row>
    <row r="218" spans="1:9">
      <c r="A218" s="243"/>
      <c r="B218" s="179"/>
      <c r="C218" s="583" t="s">
        <v>140</v>
      </c>
      <c r="D218" s="243" t="s">
        <v>343</v>
      </c>
      <c r="E218" s="584" t="s">
        <v>344</v>
      </c>
      <c r="F218" s="65" t="s">
        <v>482</v>
      </c>
      <c r="G218" s="65" t="s">
        <v>483</v>
      </c>
      <c r="H218" s="65" t="s">
        <v>232</v>
      </c>
      <c r="I218" s="65" t="s">
        <v>171</v>
      </c>
    </row>
    <row r="219" spans="1:9">
      <c r="A219" s="2" t="s">
        <v>3774</v>
      </c>
      <c r="B219" s="18" t="s">
        <v>1810</v>
      </c>
      <c r="C219" s="589">
        <v>2</v>
      </c>
      <c r="D219" s="6" t="s">
        <v>363</v>
      </c>
      <c r="E219" s="585">
        <f>VLOOKUP(B219,MATERIALES!B:C,2,0)</f>
        <v>61479.999999999993</v>
      </c>
      <c r="F219" s="585"/>
      <c r="G219" s="585">
        <f t="shared" ref="G219:G225" si="4">+C219*E219</f>
        <v>122959.99999999999</v>
      </c>
      <c r="H219" s="585"/>
      <c r="I219" s="585"/>
    </row>
    <row r="220" spans="1:9">
      <c r="A220" s="2" t="s">
        <v>3775</v>
      </c>
      <c r="B220" s="18" t="s">
        <v>2145</v>
      </c>
      <c r="C220" s="589">
        <v>2</v>
      </c>
      <c r="D220" s="6" t="s">
        <v>363</v>
      </c>
      <c r="E220" s="585">
        <f>VLOOKUP(B220,MATERIALES!B:C,2,0)</f>
        <v>20300</v>
      </c>
      <c r="F220" s="585"/>
      <c r="G220" s="585">
        <f t="shared" si="4"/>
        <v>40600</v>
      </c>
      <c r="H220" s="585"/>
      <c r="I220" s="585"/>
    </row>
    <row r="221" spans="1:9">
      <c r="A221" s="2" t="s">
        <v>3752</v>
      </c>
      <c r="B221" s="18" t="s">
        <v>2161</v>
      </c>
      <c r="C221" s="589">
        <v>5</v>
      </c>
      <c r="D221" s="6" t="s">
        <v>363</v>
      </c>
      <c r="E221" s="585">
        <f>VLOOKUP(B221,MATERIALES!B:C,2,0)</f>
        <v>8900</v>
      </c>
      <c r="F221" s="585"/>
      <c r="G221" s="585">
        <f t="shared" si="4"/>
        <v>44500</v>
      </c>
      <c r="H221" s="585"/>
      <c r="I221" s="585"/>
    </row>
    <row r="222" spans="1:9">
      <c r="A222" s="2" t="s">
        <v>3776</v>
      </c>
      <c r="B222" s="18" t="s">
        <v>1541</v>
      </c>
      <c r="C222" s="589">
        <v>6</v>
      </c>
      <c r="D222" s="6" t="s">
        <v>363</v>
      </c>
      <c r="E222" s="585">
        <f>VLOOKUP(B222,MATERIALES!B:C,2,0)</f>
        <v>18993.84</v>
      </c>
      <c r="F222" s="585"/>
      <c r="G222" s="585">
        <f t="shared" si="4"/>
        <v>113963.04000000001</v>
      </c>
      <c r="H222" s="585"/>
      <c r="I222" s="585"/>
    </row>
    <row r="223" spans="1:9">
      <c r="A223" s="2" t="s">
        <v>3752</v>
      </c>
      <c r="B223" s="18" t="s">
        <v>2159</v>
      </c>
      <c r="C223" s="589">
        <v>1</v>
      </c>
      <c r="D223" s="6" t="s">
        <v>363</v>
      </c>
      <c r="E223" s="585">
        <f>VLOOKUP(B223,MATERIALES!B:C,2,0)</f>
        <v>7907.7199999999993</v>
      </c>
      <c r="F223" s="585"/>
      <c r="G223" s="585">
        <f t="shared" si="4"/>
        <v>7907.7199999999993</v>
      </c>
      <c r="H223" s="585"/>
      <c r="I223" s="585"/>
    </row>
    <row r="224" spans="1:9">
      <c r="A224" s="2" t="s">
        <v>1896</v>
      </c>
      <c r="B224" s="18" t="s">
        <v>1897</v>
      </c>
      <c r="C224" s="589">
        <v>6</v>
      </c>
      <c r="D224" s="6" t="s">
        <v>363</v>
      </c>
      <c r="E224" s="585">
        <f>VLOOKUP(B224,MATERIALES!B:C,2,0)</f>
        <v>21135.199999999997</v>
      </c>
      <c r="F224" s="585"/>
      <c r="G224" s="585">
        <f t="shared" si="4"/>
        <v>126811.19999999998</v>
      </c>
      <c r="H224" s="585"/>
      <c r="I224" s="585"/>
    </row>
    <row r="225" spans="1:9">
      <c r="A225" s="2" t="s">
        <v>3777</v>
      </c>
      <c r="B225" s="18" t="s">
        <v>2268</v>
      </c>
      <c r="C225" s="589">
        <v>6</v>
      </c>
      <c r="D225" s="6" t="s">
        <v>363</v>
      </c>
      <c r="E225" s="585">
        <f>VLOOKUP(B225,MATERIALES!B:C,2,0)</f>
        <v>5754.7599999999993</v>
      </c>
      <c r="F225" s="585"/>
      <c r="G225" s="585">
        <f t="shared" si="4"/>
        <v>34528.559999999998</v>
      </c>
      <c r="H225" s="585"/>
      <c r="I225" s="585"/>
    </row>
    <row r="226" spans="1:9">
      <c r="A226" s="2" t="s">
        <v>584</v>
      </c>
      <c r="B226" s="180" t="s">
        <v>2236</v>
      </c>
      <c r="C226" s="589">
        <v>1.0714285714285704E-2</v>
      </c>
      <c r="D226" s="2" t="s">
        <v>583</v>
      </c>
      <c r="E226" s="585">
        <f>VLOOKUP(B226,MATERIALES!B:C,2,0)</f>
        <v>750000</v>
      </c>
      <c r="F226" s="585"/>
      <c r="G226" s="585" t="s">
        <v>441</v>
      </c>
      <c r="H226" s="585"/>
      <c r="I226" s="585">
        <f>+E226*C226</f>
        <v>8035.714285714278</v>
      </c>
    </row>
    <row r="227" spans="1:9">
      <c r="A227" s="587" t="s">
        <v>190</v>
      </c>
      <c r="B227" s="588">
        <f>SUM(G227:I227)</f>
        <v>335746.23428571422</v>
      </c>
      <c r="C227" s="583"/>
      <c r="D227" s="169"/>
      <c r="E227" s="585"/>
      <c r="F227" s="65">
        <v>0</v>
      </c>
      <c r="G227" s="65">
        <f>SUM(G221:G225)</f>
        <v>327710.51999999996</v>
      </c>
      <c r="H227" s="65">
        <f>SUM(H226:H226)</f>
        <v>0</v>
      </c>
      <c r="I227" s="65">
        <f>SUM(I226:I226)</f>
        <v>8035.714285714278</v>
      </c>
    </row>
    <row r="228" spans="1:9">
      <c r="A228" s="21" t="s">
        <v>3622</v>
      </c>
      <c r="B228" s="39">
        <f>+B227*AIU</f>
        <v>99287.714448238374</v>
      </c>
      <c r="C228" s="589"/>
      <c r="D228" s="31"/>
      <c r="E228" s="170"/>
      <c r="F228" s="590"/>
      <c r="G228" s="590"/>
      <c r="H228" s="590"/>
      <c r="I228" s="590"/>
    </row>
    <row r="229" spans="1:9">
      <c r="A229" s="587" t="s">
        <v>191</v>
      </c>
      <c r="B229" s="39">
        <f>SUM(B227:B228)</f>
        <v>435033.94873395259</v>
      </c>
      <c r="C229" s="591" t="s">
        <v>363</v>
      </c>
      <c r="D229" s="13"/>
      <c r="E229" s="170"/>
      <c r="F229" s="170"/>
      <c r="G229" s="170"/>
      <c r="H229" s="170"/>
      <c r="I229" s="170"/>
    </row>
    <row r="230" spans="1:9">
      <c r="A230" s="596"/>
      <c r="B230" s="597"/>
      <c r="C230" s="598"/>
      <c r="D230" s="596"/>
      <c r="E230" s="599"/>
      <c r="F230" s="599"/>
      <c r="G230" s="599"/>
      <c r="H230" s="599"/>
      <c r="I230" s="599"/>
    </row>
    <row r="231" spans="1:9">
      <c r="A231" s="594" t="s">
        <v>441</v>
      </c>
      <c r="B231" s="3547" t="s">
        <v>3778</v>
      </c>
      <c r="C231" s="3548"/>
      <c r="D231" s="3548"/>
      <c r="E231" s="3548"/>
      <c r="F231" s="3548"/>
      <c r="G231" s="3548"/>
      <c r="H231" s="3548"/>
      <c r="I231" s="3549"/>
    </row>
    <row r="232" spans="1:9">
      <c r="A232" s="243"/>
      <c r="B232" s="179"/>
      <c r="C232" s="583" t="s">
        <v>140</v>
      </c>
      <c r="D232" s="243" t="s">
        <v>343</v>
      </c>
      <c r="E232" s="584" t="s">
        <v>344</v>
      </c>
      <c r="F232" s="65" t="s">
        <v>482</v>
      </c>
      <c r="G232" s="65" t="s">
        <v>483</v>
      </c>
      <c r="H232" s="65" t="s">
        <v>232</v>
      </c>
      <c r="I232" s="65" t="s">
        <v>171</v>
      </c>
    </row>
    <row r="233" spans="1:9">
      <c r="A233" s="2" t="s">
        <v>3627</v>
      </c>
      <c r="B233" s="100" t="s">
        <v>1820</v>
      </c>
      <c r="C233" s="589">
        <v>0.5</v>
      </c>
      <c r="D233" s="2" t="s">
        <v>346</v>
      </c>
      <c r="E233" s="585">
        <f>VLOOKUP(B233,MATERIALES!B:C,2,0)</f>
        <v>150000</v>
      </c>
      <c r="F233" s="585"/>
      <c r="G233" s="585"/>
      <c r="H233" s="585">
        <f>+C233*E233</f>
        <v>75000</v>
      </c>
      <c r="I233" s="585"/>
    </row>
    <row r="234" spans="1:9">
      <c r="A234" s="2" t="s">
        <v>172</v>
      </c>
      <c r="B234" s="18" t="s">
        <v>189</v>
      </c>
      <c r="C234" s="589">
        <v>1</v>
      </c>
      <c r="D234" s="6" t="s">
        <v>583</v>
      </c>
      <c r="E234" s="585">
        <f>+H233*0.05</f>
        <v>3750</v>
      </c>
      <c r="F234" s="585"/>
      <c r="G234" s="585" t="s">
        <v>441</v>
      </c>
      <c r="H234" s="585"/>
      <c r="I234" s="585">
        <f>+E234*C234</f>
        <v>3750</v>
      </c>
    </row>
    <row r="235" spans="1:9">
      <c r="A235" s="587" t="s">
        <v>190</v>
      </c>
      <c r="B235" s="588">
        <f>SUM(G235:I235)</f>
        <v>78750</v>
      </c>
      <c r="C235" s="583"/>
      <c r="D235" s="169"/>
      <c r="E235" s="585"/>
      <c r="F235" s="65">
        <v>0</v>
      </c>
      <c r="G235" s="65" t="s">
        <v>441</v>
      </c>
      <c r="H235" s="65">
        <f>SUM(H233:H234)</f>
        <v>75000</v>
      </c>
      <c r="I235" s="65">
        <f>SUM(I234:I234)</f>
        <v>3750</v>
      </c>
    </row>
    <row r="236" spans="1:9">
      <c r="A236" s="21" t="s">
        <v>3622</v>
      </c>
      <c r="B236" s="39">
        <f>+B235*AIU</f>
        <v>23288.146565316405</v>
      </c>
      <c r="C236" s="589"/>
      <c r="D236" s="31"/>
      <c r="E236" s="170"/>
      <c r="F236" s="590"/>
      <c r="G236" s="590"/>
      <c r="H236" s="590"/>
      <c r="I236" s="590"/>
    </row>
    <row r="237" spans="1:9">
      <c r="A237" s="587" t="s">
        <v>191</v>
      </c>
      <c r="B237" s="39">
        <f>SUM(B235:B236)</f>
        <v>102038.14656531641</v>
      </c>
      <c r="C237" s="591" t="s">
        <v>363</v>
      </c>
      <c r="D237" s="13"/>
      <c r="E237" s="170"/>
      <c r="F237" s="170"/>
      <c r="G237" s="170"/>
      <c r="H237" s="170"/>
      <c r="I237" s="170"/>
    </row>
    <row r="238" spans="1:9">
      <c r="A238" s="596"/>
      <c r="B238" s="597"/>
      <c r="C238" s="598"/>
      <c r="D238" s="596"/>
      <c r="E238" s="599"/>
      <c r="F238" s="599"/>
      <c r="G238" s="599"/>
      <c r="H238" s="599"/>
      <c r="I238" s="599"/>
    </row>
    <row r="239" spans="1:9">
      <c r="A239" s="594" t="s">
        <v>441</v>
      </c>
      <c r="B239" s="3547" t="s">
        <v>3779</v>
      </c>
      <c r="C239" s="3548"/>
      <c r="D239" s="3548"/>
      <c r="E239" s="3548"/>
      <c r="F239" s="3548"/>
      <c r="G239" s="3548"/>
      <c r="H239" s="3548"/>
      <c r="I239" s="3549"/>
    </row>
    <row r="240" spans="1:9">
      <c r="A240" s="243"/>
      <c r="B240" s="179"/>
      <c r="C240" s="583" t="s">
        <v>140</v>
      </c>
      <c r="D240" s="243" t="s">
        <v>343</v>
      </c>
      <c r="E240" s="584" t="s">
        <v>344</v>
      </c>
      <c r="F240" s="65" t="s">
        <v>482</v>
      </c>
      <c r="G240" s="65" t="s">
        <v>483</v>
      </c>
      <c r="H240" s="65" t="s">
        <v>232</v>
      </c>
      <c r="I240" s="65" t="s">
        <v>171</v>
      </c>
    </row>
    <row r="241" spans="1:9">
      <c r="A241" s="2" t="s">
        <v>3780</v>
      </c>
      <c r="B241" s="18" t="s">
        <v>1810</v>
      </c>
      <c r="C241" s="589">
        <v>2</v>
      </c>
      <c r="D241" s="6" t="s">
        <v>363</v>
      </c>
      <c r="E241" s="585">
        <f>VLOOKUP(B241,MATERIALES!B:C,2,0)</f>
        <v>61479.999999999993</v>
      </c>
      <c r="F241" s="585"/>
      <c r="G241" s="585">
        <f t="shared" ref="G241:G252" si="5">+C241*E241</f>
        <v>122959.99999999999</v>
      </c>
      <c r="H241" s="585"/>
      <c r="I241" s="585"/>
    </row>
    <row r="242" spans="1:9">
      <c r="A242" s="2" t="s">
        <v>3781</v>
      </c>
      <c r="B242" s="18" t="s">
        <v>2141</v>
      </c>
      <c r="C242" s="589">
        <v>2</v>
      </c>
      <c r="D242" s="6" t="s">
        <v>363</v>
      </c>
      <c r="E242" s="585">
        <f>VLOOKUP(B242,MATERIALES!B:C,2,0)</f>
        <v>20300</v>
      </c>
      <c r="F242" s="585"/>
      <c r="G242" s="585">
        <f t="shared" si="5"/>
        <v>40600</v>
      </c>
      <c r="H242" s="585"/>
      <c r="I242" s="585"/>
    </row>
    <row r="243" spans="1:9">
      <c r="A243" s="2" t="s">
        <v>3752</v>
      </c>
      <c r="B243" s="18" t="s">
        <v>2159</v>
      </c>
      <c r="C243" s="589">
        <v>1</v>
      </c>
      <c r="D243" s="6" t="s">
        <v>363</v>
      </c>
      <c r="E243" s="585">
        <f>VLOOKUP(B243,MATERIALES!B:C,2,0)</f>
        <v>7907.7199999999993</v>
      </c>
      <c r="F243" s="585"/>
      <c r="G243" s="585">
        <f t="shared" si="5"/>
        <v>7907.7199999999993</v>
      </c>
      <c r="H243" s="585"/>
      <c r="I243" s="585"/>
    </row>
    <row r="244" spans="1:9">
      <c r="A244" s="2" t="s">
        <v>3776</v>
      </c>
      <c r="B244" s="18" t="s">
        <v>1537</v>
      </c>
      <c r="C244" s="589">
        <v>1</v>
      </c>
      <c r="D244" s="6" t="s">
        <v>363</v>
      </c>
      <c r="E244" s="585">
        <f>VLOOKUP(B244,MATERIALES!B:C,2,0)</f>
        <v>18993.84</v>
      </c>
      <c r="F244" s="585"/>
      <c r="G244" s="585">
        <f t="shared" si="5"/>
        <v>18993.84</v>
      </c>
      <c r="H244" s="585"/>
      <c r="I244" s="585"/>
    </row>
    <row r="245" spans="1:9">
      <c r="A245" s="2" t="s">
        <v>3776</v>
      </c>
      <c r="B245" s="18" t="s">
        <v>1539</v>
      </c>
      <c r="C245" s="589">
        <v>12</v>
      </c>
      <c r="D245" s="6" t="s">
        <v>363</v>
      </c>
      <c r="E245" s="585">
        <f>VLOOKUP(B245,MATERIALES!B:C,2,0)</f>
        <v>18993.84</v>
      </c>
      <c r="F245" s="585"/>
      <c r="G245" s="585">
        <f t="shared" si="5"/>
        <v>227926.08000000002</v>
      </c>
      <c r="H245" s="585"/>
      <c r="I245" s="585"/>
    </row>
    <row r="246" spans="1:9">
      <c r="A246" s="2" t="s">
        <v>3752</v>
      </c>
      <c r="B246" s="18" t="s">
        <v>2161</v>
      </c>
      <c r="C246" s="589">
        <v>6</v>
      </c>
      <c r="D246" s="6" t="s">
        <v>363</v>
      </c>
      <c r="E246" s="585">
        <f>VLOOKUP(B246,MATERIALES!B:C,2,0)</f>
        <v>8900</v>
      </c>
      <c r="F246" s="585"/>
      <c r="G246" s="585">
        <f t="shared" si="5"/>
        <v>53400</v>
      </c>
      <c r="H246" s="585"/>
      <c r="I246" s="585"/>
    </row>
    <row r="247" spans="1:9">
      <c r="A247" s="2" t="s">
        <v>3752</v>
      </c>
      <c r="B247" s="18" t="s">
        <v>2165</v>
      </c>
      <c r="C247" s="589">
        <v>6</v>
      </c>
      <c r="D247" s="6" t="s">
        <v>363</v>
      </c>
      <c r="E247" s="585">
        <f>VLOOKUP(B247,MATERIALES!B:C,2,0)</f>
        <v>5286.12</v>
      </c>
      <c r="F247" s="585"/>
      <c r="G247" s="585">
        <f t="shared" si="5"/>
        <v>31716.720000000001</v>
      </c>
      <c r="H247" s="585"/>
      <c r="I247" s="585"/>
    </row>
    <row r="248" spans="1:9">
      <c r="A248" s="2" t="s">
        <v>1896</v>
      </c>
      <c r="B248" s="18" t="s">
        <v>1897</v>
      </c>
      <c r="C248" s="589">
        <v>8</v>
      </c>
      <c r="D248" s="6" t="s">
        <v>363</v>
      </c>
      <c r="E248" s="585">
        <f>VLOOKUP(B248,MATERIALES!B:C,2,0)</f>
        <v>21135.199999999997</v>
      </c>
      <c r="F248" s="585"/>
      <c r="G248" s="585">
        <f t="shared" si="5"/>
        <v>169081.59999999998</v>
      </c>
      <c r="H248" s="585"/>
      <c r="I248" s="585"/>
    </row>
    <row r="249" spans="1:9">
      <c r="A249" s="2" t="s">
        <v>1782</v>
      </c>
      <c r="B249" s="18" t="s">
        <v>2268</v>
      </c>
      <c r="C249" s="589">
        <v>2</v>
      </c>
      <c r="D249" s="6" t="s">
        <v>363</v>
      </c>
      <c r="E249" s="585">
        <f>VLOOKUP(B249,MATERIALES!B:C,2,0)</f>
        <v>5754.7599999999993</v>
      </c>
      <c r="F249" s="585"/>
      <c r="G249" s="585">
        <f t="shared" si="5"/>
        <v>11509.519999999999</v>
      </c>
      <c r="H249" s="585"/>
      <c r="I249" s="585"/>
    </row>
    <row r="250" spans="1:9">
      <c r="A250" s="2" t="s">
        <v>3782</v>
      </c>
      <c r="B250" s="18" t="s">
        <v>1842</v>
      </c>
      <c r="C250" s="589">
        <v>2</v>
      </c>
      <c r="D250" s="6" t="s">
        <v>363</v>
      </c>
      <c r="E250" s="585">
        <f>VLOOKUP(B250,MATERIALES!B:C,2,0)</f>
        <v>5755</v>
      </c>
      <c r="F250" s="585"/>
      <c r="G250" s="585">
        <f t="shared" si="5"/>
        <v>11510</v>
      </c>
      <c r="H250" s="585"/>
      <c r="I250" s="585"/>
    </row>
    <row r="251" spans="1:9" ht="33.6">
      <c r="A251" s="2" t="s">
        <v>1784</v>
      </c>
      <c r="B251" s="608" t="s">
        <v>1785</v>
      </c>
      <c r="C251" s="589">
        <v>2</v>
      </c>
      <c r="D251" s="6" t="s">
        <v>363</v>
      </c>
      <c r="E251" s="585">
        <f>VLOOKUP(B251,MATERIALES!B:C,2,0)</f>
        <v>5754.7599999999993</v>
      </c>
      <c r="F251" s="585"/>
      <c r="G251" s="585">
        <f t="shared" si="5"/>
        <v>11509.519999999999</v>
      </c>
      <c r="H251" s="585"/>
      <c r="I251" s="585"/>
    </row>
    <row r="252" spans="1:9">
      <c r="A252" s="2" t="s">
        <v>3783</v>
      </c>
      <c r="B252" s="18" t="s">
        <v>1596</v>
      </c>
      <c r="C252" s="589">
        <v>1</v>
      </c>
      <c r="D252" s="6" t="s">
        <v>363</v>
      </c>
      <c r="E252" s="585">
        <f>VLOOKUP(B252,MATERIALES!B:C,2,0)</f>
        <v>5754.7599999999993</v>
      </c>
      <c r="F252" s="585"/>
      <c r="G252" s="585">
        <f t="shared" si="5"/>
        <v>5754.7599999999993</v>
      </c>
      <c r="H252" s="585"/>
      <c r="I252" s="585"/>
    </row>
    <row r="253" spans="1:9">
      <c r="A253" s="243" t="s">
        <v>584</v>
      </c>
      <c r="B253" s="180" t="s">
        <v>2236</v>
      </c>
      <c r="C253" s="583">
        <v>1.0714285714285704E-2</v>
      </c>
      <c r="D253" s="243" t="s">
        <v>583</v>
      </c>
      <c r="E253" s="585">
        <f>VLOOKUP(B253,MATERIALES!B:C,2,0)</f>
        <v>750000</v>
      </c>
      <c r="F253" s="65"/>
      <c r="G253" s="585" t="s">
        <v>441</v>
      </c>
      <c r="H253" s="65"/>
      <c r="I253" s="65">
        <f>+E253*C253</f>
        <v>8035.714285714278</v>
      </c>
    </row>
    <row r="254" spans="1:9">
      <c r="A254" s="587" t="s">
        <v>190</v>
      </c>
      <c r="B254" s="588">
        <f>SUM(G254:I254)</f>
        <v>720905.47428571433</v>
      </c>
      <c r="C254" s="583"/>
      <c r="D254" s="169"/>
      <c r="E254" s="585"/>
      <c r="F254" s="65">
        <v>0</v>
      </c>
      <c r="G254" s="65">
        <f>SUM(G241:G252)</f>
        <v>712869.76</v>
      </c>
      <c r="H254" s="65">
        <f>SUM(H253:H253)</f>
        <v>0</v>
      </c>
      <c r="I254" s="65">
        <f>SUM(I253:I253)</f>
        <v>8035.714285714278</v>
      </c>
    </row>
    <row r="255" spans="1:9">
      <c r="A255" s="21" t="s">
        <v>3622</v>
      </c>
      <c r="B255" s="39">
        <f>+B254*AIU</f>
        <v>213187.96628450352</v>
      </c>
      <c r="C255" s="589"/>
      <c r="D255" s="31"/>
      <c r="E255" s="170"/>
      <c r="F255" s="590"/>
      <c r="G255" s="590"/>
      <c r="H255" s="590"/>
      <c r="I255" s="590"/>
    </row>
    <row r="256" spans="1:9">
      <c r="A256" s="587" t="s">
        <v>191</v>
      </c>
      <c r="B256" s="39">
        <f>SUM(B254:B255)</f>
        <v>934093.44057021779</v>
      </c>
      <c r="C256" s="591" t="s">
        <v>363</v>
      </c>
      <c r="D256" s="13"/>
      <c r="E256" s="170"/>
      <c r="F256" s="170"/>
      <c r="G256" s="170"/>
      <c r="H256" s="170"/>
      <c r="I256" s="170"/>
    </row>
    <row r="257" spans="1:9">
      <c r="A257" s="596"/>
      <c r="B257" s="597"/>
      <c r="C257" s="598"/>
      <c r="D257" s="596"/>
      <c r="E257" s="599"/>
      <c r="F257" s="599"/>
      <c r="G257" s="599"/>
      <c r="H257" s="599"/>
      <c r="I257" s="599"/>
    </row>
    <row r="258" spans="1:9">
      <c r="A258" s="594"/>
      <c r="B258" s="3547" t="s">
        <v>3784</v>
      </c>
      <c r="C258" s="3548"/>
      <c r="D258" s="3548"/>
      <c r="E258" s="3548"/>
      <c r="F258" s="3548"/>
      <c r="G258" s="3548"/>
      <c r="H258" s="3548"/>
      <c r="I258" s="3549"/>
    </row>
    <row r="259" spans="1:9">
      <c r="A259" s="243"/>
      <c r="B259" s="179"/>
      <c r="C259" s="583" t="s">
        <v>140</v>
      </c>
      <c r="D259" s="243" t="s">
        <v>343</v>
      </c>
      <c r="E259" s="584" t="s">
        <v>344</v>
      </c>
      <c r="F259" s="65" t="s">
        <v>482</v>
      </c>
      <c r="G259" s="65" t="s">
        <v>483</v>
      </c>
      <c r="H259" s="65" t="s">
        <v>232</v>
      </c>
      <c r="I259" s="65" t="s">
        <v>171</v>
      </c>
    </row>
    <row r="260" spans="1:9">
      <c r="A260" s="243" t="s">
        <v>3627</v>
      </c>
      <c r="B260" s="592" t="s">
        <v>1820</v>
      </c>
      <c r="C260" s="583">
        <v>0.5</v>
      </c>
      <c r="D260" s="243" t="s">
        <v>346</v>
      </c>
      <c r="E260" s="585">
        <f>VLOOKUP(B260,MATERIALES!B:C,2,0)</f>
        <v>150000</v>
      </c>
      <c r="F260" s="65"/>
      <c r="G260" s="65"/>
      <c r="H260" s="65">
        <f>+C260*E260</f>
        <v>75000</v>
      </c>
      <c r="I260" s="65"/>
    </row>
    <row r="261" spans="1:9">
      <c r="A261" s="243" t="s">
        <v>172</v>
      </c>
      <c r="B261" s="179" t="s">
        <v>189</v>
      </c>
      <c r="C261" s="583">
        <v>1</v>
      </c>
      <c r="D261" s="160" t="s">
        <v>583</v>
      </c>
      <c r="E261" s="585">
        <f>+H260*0.05</f>
        <v>3750</v>
      </c>
      <c r="F261" s="65"/>
      <c r="G261" s="585" t="s">
        <v>441</v>
      </c>
      <c r="H261" s="65"/>
      <c r="I261" s="65">
        <f>+E261*C261</f>
        <v>3750</v>
      </c>
    </row>
    <row r="262" spans="1:9">
      <c r="A262" s="587" t="s">
        <v>190</v>
      </c>
      <c r="B262" s="588">
        <f>SUM(G262:I262)</f>
        <v>78750</v>
      </c>
      <c r="C262" s="583"/>
      <c r="D262" s="169"/>
      <c r="E262" s="585"/>
      <c r="F262" s="65">
        <v>0</v>
      </c>
      <c r="G262" s="65" t="s">
        <v>441</v>
      </c>
      <c r="H262" s="65">
        <f>SUM(H260:H261)</f>
        <v>75000</v>
      </c>
      <c r="I262" s="65">
        <f>SUM(I261:I261)</f>
        <v>3750</v>
      </c>
    </row>
    <row r="263" spans="1:9">
      <c r="A263" s="21" t="s">
        <v>3622</v>
      </c>
      <c r="B263" s="39">
        <f>+B262*AIU</f>
        <v>23288.146565316405</v>
      </c>
      <c r="C263" s="589"/>
      <c r="D263" s="31"/>
      <c r="E263" s="170"/>
      <c r="F263" s="590"/>
      <c r="G263" s="590"/>
      <c r="H263" s="590"/>
      <c r="I263" s="590"/>
    </row>
    <row r="264" spans="1:9">
      <c r="A264" s="587" t="s">
        <v>191</v>
      </c>
      <c r="B264" s="39">
        <f>SUM(B262:B263)</f>
        <v>102038.14656531641</v>
      </c>
      <c r="C264" s="591" t="s">
        <v>363</v>
      </c>
      <c r="D264" s="13"/>
      <c r="E264" s="170"/>
      <c r="F264" s="170"/>
      <c r="G264" s="170"/>
      <c r="H264" s="170"/>
      <c r="I264" s="170"/>
    </row>
    <row r="265" spans="1:9">
      <c r="A265" s="596"/>
      <c r="B265" s="597"/>
      <c r="C265" s="598"/>
      <c r="D265" s="596"/>
      <c r="E265" s="599"/>
      <c r="F265" s="599"/>
      <c r="G265" s="599"/>
      <c r="H265" s="599"/>
      <c r="I265" s="599"/>
    </row>
    <row r="266" spans="1:9">
      <c r="A266" s="594" t="s">
        <v>441</v>
      </c>
      <c r="B266" s="3547" t="s">
        <v>3785</v>
      </c>
      <c r="C266" s="3548"/>
      <c r="D266" s="3548"/>
      <c r="E266" s="3548"/>
      <c r="F266" s="3548"/>
      <c r="G266" s="3548"/>
      <c r="H266" s="3548"/>
      <c r="I266" s="3549"/>
    </row>
    <row r="267" spans="1:9">
      <c r="A267" s="243"/>
      <c r="B267" s="179"/>
      <c r="C267" s="583" t="s">
        <v>140</v>
      </c>
      <c r="D267" s="243" t="s">
        <v>343</v>
      </c>
      <c r="E267" s="584" t="s">
        <v>344</v>
      </c>
      <c r="F267" s="65" t="s">
        <v>482</v>
      </c>
      <c r="G267" s="65" t="s">
        <v>483</v>
      </c>
      <c r="H267" s="65" t="s">
        <v>232</v>
      </c>
      <c r="I267" s="65" t="s">
        <v>171</v>
      </c>
    </row>
    <row r="268" spans="1:9">
      <c r="A268" s="2" t="s">
        <v>3780</v>
      </c>
      <c r="B268" s="18" t="s">
        <v>1810</v>
      </c>
      <c r="C268" s="589">
        <v>1</v>
      </c>
      <c r="D268" s="6" t="s">
        <v>363</v>
      </c>
      <c r="E268" s="585">
        <f>VLOOKUP(B268,MATERIALES!B:C,2,0)</f>
        <v>61479.999999999993</v>
      </c>
      <c r="F268" s="585"/>
      <c r="G268" s="585">
        <f t="shared" ref="G268:G280" si="6">+C268*E268</f>
        <v>61479.999999999993</v>
      </c>
      <c r="H268" s="585"/>
      <c r="I268" s="585"/>
    </row>
    <row r="269" spans="1:9">
      <c r="A269" s="2" t="s">
        <v>3781</v>
      </c>
      <c r="B269" s="18" t="s">
        <v>2141</v>
      </c>
      <c r="C269" s="589">
        <v>1</v>
      </c>
      <c r="D269" s="6" t="s">
        <v>363</v>
      </c>
      <c r="E269" s="585">
        <f>VLOOKUP(B269,MATERIALES!B:C,2,0)</f>
        <v>20300</v>
      </c>
      <c r="F269" s="585"/>
      <c r="G269" s="585">
        <f t="shared" si="6"/>
        <v>20300</v>
      </c>
      <c r="H269" s="585"/>
      <c r="I269" s="585"/>
    </row>
    <row r="270" spans="1:9">
      <c r="A270" s="2" t="s">
        <v>3752</v>
      </c>
      <c r="B270" s="18" t="s">
        <v>2159</v>
      </c>
      <c r="C270" s="589">
        <v>4</v>
      </c>
      <c r="D270" s="6" t="s">
        <v>363</v>
      </c>
      <c r="E270" s="585">
        <f>VLOOKUP(B270,MATERIALES!B:C,2,0)</f>
        <v>7907.7199999999993</v>
      </c>
      <c r="F270" s="585"/>
      <c r="G270" s="585">
        <f t="shared" si="6"/>
        <v>31630.879999999997</v>
      </c>
      <c r="H270" s="585"/>
      <c r="I270" s="585"/>
    </row>
    <row r="271" spans="1:9">
      <c r="A271" s="2" t="s">
        <v>3776</v>
      </c>
      <c r="B271" s="18" t="s">
        <v>1537</v>
      </c>
      <c r="C271" s="589">
        <v>3</v>
      </c>
      <c r="D271" s="6" t="s">
        <v>363</v>
      </c>
      <c r="E271" s="585">
        <f>VLOOKUP(B271,MATERIALES!B:C,2,0)</f>
        <v>18993.84</v>
      </c>
      <c r="F271" s="585"/>
      <c r="G271" s="585">
        <f t="shared" si="6"/>
        <v>56981.520000000004</v>
      </c>
      <c r="H271" s="585"/>
      <c r="I271" s="585"/>
    </row>
    <row r="272" spans="1:9">
      <c r="A272" s="2" t="s">
        <v>3786</v>
      </c>
      <c r="B272" s="18" t="s">
        <v>1848</v>
      </c>
      <c r="C272" s="589">
        <v>1</v>
      </c>
      <c r="D272" s="6" t="s">
        <v>363</v>
      </c>
      <c r="E272" s="585">
        <f>VLOOKUP(B272,MATERIALES!B:C,2,0)</f>
        <v>18993.84</v>
      </c>
      <c r="F272" s="585"/>
      <c r="G272" s="585">
        <f t="shared" si="6"/>
        <v>18993.84</v>
      </c>
      <c r="H272" s="585"/>
      <c r="I272" s="585"/>
    </row>
    <row r="273" spans="1:9">
      <c r="A273" s="2" t="s">
        <v>3786</v>
      </c>
      <c r="B273" s="18" t="s">
        <v>1850</v>
      </c>
      <c r="C273" s="589">
        <v>2</v>
      </c>
      <c r="D273" s="6" t="s">
        <v>363</v>
      </c>
      <c r="E273" s="585">
        <f>VLOOKUP(B273,MATERIALES!B:C,2,0)</f>
        <v>18993.84</v>
      </c>
      <c r="F273" s="585"/>
      <c r="G273" s="585">
        <f t="shared" si="6"/>
        <v>37987.68</v>
      </c>
      <c r="H273" s="585"/>
      <c r="I273" s="585"/>
    </row>
    <row r="274" spans="1:9">
      <c r="A274" s="2" t="s">
        <v>3787</v>
      </c>
      <c r="B274" s="18" t="s">
        <v>1895</v>
      </c>
      <c r="C274" s="589">
        <v>2</v>
      </c>
      <c r="D274" s="6" t="s">
        <v>363</v>
      </c>
      <c r="E274" s="585">
        <f>VLOOKUP(B274,MATERIALES!B:C,2,0)</f>
        <v>5286.12</v>
      </c>
      <c r="F274" s="585"/>
      <c r="G274" s="585">
        <f t="shared" si="6"/>
        <v>10572.24</v>
      </c>
      <c r="H274" s="585"/>
      <c r="I274" s="585"/>
    </row>
    <row r="275" spans="1:9">
      <c r="A275" s="2" t="s">
        <v>3752</v>
      </c>
      <c r="B275" s="18" t="s">
        <v>2165</v>
      </c>
      <c r="C275" s="589">
        <v>2</v>
      </c>
      <c r="D275" s="6" t="s">
        <v>363</v>
      </c>
      <c r="E275" s="585">
        <f>VLOOKUP(B275,MATERIALES!B:C,2,0)</f>
        <v>5286.12</v>
      </c>
      <c r="F275" s="585"/>
      <c r="G275" s="585">
        <f t="shared" si="6"/>
        <v>10572.24</v>
      </c>
      <c r="H275" s="585"/>
      <c r="I275" s="585"/>
    </row>
    <row r="276" spans="1:9">
      <c r="A276" s="2" t="s">
        <v>3788</v>
      </c>
      <c r="B276" s="18" t="s">
        <v>1600</v>
      </c>
      <c r="C276" s="589">
        <v>1</v>
      </c>
      <c r="D276" s="6" t="s">
        <v>363</v>
      </c>
      <c r="E276" s="585">
        <f>VLOOKUP(B276,MATERIALES!B:C,2,0)</f>
        <v>21135.199999999997</v>
      </c>
      <c r="F276" s="585"/>
      <c r="G276" s="585">
        <f t="shared" si="6"/>
        <v>21135.199999999997</v>
      </c>
      <c r="H276" s="585"/>
      <c r="I276" s="585"/>
    </row>
    <row r="277" spans="1:9">
      <c r="A277" s="2" t="s">
        <v>1782</v>
      </c>
      <c r="B277" s="18" t="s">
        <v>2268</v>
      </c>
      <c r="C277" s="589">
        <v>2</v>
      </c>
      <c r="D277" s="6" t="s">
        <v>363</v>
      </c>
      <c r="E277" s="585">
        <f>VLOOKUP(B277,MATERIALES!B:C,2,0)</f>
        <v>5754.7599999999993</v>
      </c>
      <c r="F277" s="585"/>
      <c r="G277" s="585">
        <f t="shared" si="6"/>
        <v>11509.519999999999</v>
      </c>
      <c r="H277" s="585"/>
      <c r="I277" s="585"/>
    </row>
    <row r="278" spans="1:9">
      <c r="A278" s="2" t="s">
        <v>3782</v>
      </c>
      <c r="B278" s="18" t="s">
        <v>1842</v>
      </c>
      <c r="C278" s="589">
        <v>1</v>
      </c>
      <c r="D278" s="6" t="s">
        <v>363</v>
      </c>
      <c r="E278" s="585">
        <f>VLOOKUP(B278,MATERIALES!B:C,2,0)</f>
        <v>5755</v>
      </c>
      <c r="F278" s="585"/>
      <c r="G278" s="585">
        <f t="shared" si="6"/>
        <v>5755</v>
      </c>
      <c r="H278" s="585"/>
      <c r="I278" s="585"/>
    </row>
    <row r="279" spans="1:9">
      <c r="A279" s="2" t="s">
        <v>1998</v>
      </c>
      <c r="B279" s="18" t="s">
        <v>1999</v>
      </c>
      <c r="C279" s="589">
        <v>1</v>
      </c>
      <c r="D279" s="6" t="s">
        <v>363</v>
      </c>
      <c r="E279" s="585">
        <f>VLOOKUP(B279,MATERIALES!B:C,2,0)</f>
        <v>5754.7599999999993</v>
      </c>
      <c r="F279" s="585"/>
      <c r="G279" s="585">
        <f t="shared" si="6"/>
        <v>5754.7599999999993</v>
      </c>
      <c r="H279" s="585"/>
      <c r="I279" s="585"/>
    </row>
    <row r="280" spans="1:9">
      <c r="A280" s="2" t="s">
        <v>3783</v>
      </c>
      <c r="B280" s="18" t="s">
        <v>1598</v>
      </c>
      <c r="C280" s="589">
        <v>1</v>
      </c>
      <c r="D280" s="6" t="s">
        <v>363</v>
      </c>
      <c r="E280" s="585">
        <f>VLOOKUP(B280,MATERIALES!B:C,2,0)</f>
        <v>5754.7599999999993</v>
      </c>
      <c r="F280" s="585"/>
      <c r="G280" s="585">
        <f t="shared" si="6"/>
        <v>5754.7599999999993</v>
      </c>
      <c r="H280" s="585"/>
      <c r="I280" s="585"/>
    </row>
    <row r="281" spans="1:9">
      <c r="A281" s="2" t="s">
        <v>584</v>
      </c>
      <c r="B281" s="180" t="s">
        <v>2236</v>
      </c>
      <c r="C281" s="589">
        <v>1.0714285714285704E-2</v>
      </c>
      <c r="D281" s="2" t="s">
        <v>583</v>
      </c>
      <c r="E281" s="585">
        <f>VLOOKUP(B281,MATERIALES!B:C,2,0)</f>
        <v>750000</v>
      </c>
      <c r="F281" s="585"/>
      <c r="G281" s="585" t="s">
        <v>441</v>
      </c>
      <c r="H281" s="585"/>
      <c r="I281" s="585">
        <f>+E281*C281</f>
        <v>8035.714285714278</v>
      </c>
    </row>
    <row r="282" spans="1:9">
      <c r="A282" s="587" t="s">
        <v>190</v>
      </c>
      <c r="B282" s="588">
        <f>SUM(G282:I282)</f>
        <v>306463.35428571427</v>
      </c>
      <c r="C282" s="583"/>
      <c r="D282" s="169"/>
      <c r="E282" s="585"/>
      <c r="F282" s="65">
        <v>0</v>
      </c>
      <c r="G282" s="65">
        <f>SUM(G268:G280)</f>
        <v>298427.64</v>
      </c>
      <c r="H282" s="65">
        <f>SUM(H281:H281)</f>
        <v>0</v>
      </c>
      <c r="I282" s="65">
        <f>SUM(I281:I281)</f>
        <v>8035.714285714278</v>
      </c>
    </row>
    <row r="283" spans="1:9">
      <c r="A283" s="21" t="s">
        <v>3622</v>
      </c>
      <c r="B283" s="39">
        <f>+B282*AIU</f>
        <v>90628.108082593026</v>
      </c>
      <c r="C283" s="589"/>
      <c r="D283" s="31"/>
      <c r="E283" s="170"/>
      <c r="F283" s="590"/>
      <c r="G283" s="590"/>
      <c r="H283" s="590"/>
      <c r="I283" s="590"/>
    </row>
    <row r="284" spans="1:9">
      <c r="A284" s="587" t="s">
        <v>191</v>
      </c>
      <c r="B284" s="39">
        <f>SUM(B282:B283)</f>
        <v>397091.46236830729</v>
      </c>
      <c r="C284" s="591" t="s">
        <v>363</v>
      </c>
      <c r="D284" s="13"/>
      <c r="E284" s="170"/>
      <c r="F284" s="170"/>
      <c r="G284" s="170"/>
      <c r="H284" s="170"/>
      <c r="I284" s="170"/>
    </row>
    <row r="285" spans="1:9">
      <c r="A285" s="596"/>
      <c r="B285" s="597"/>
      <c r="C285" s="598"/>
      <c r="D285" s="596"/>
      <c r="E285" s="599"/>
      <c r="F285" s="599"/>
      <c r="G285" s="599"/>
      <c r="H285" s="599"/>
      <c r="I285" s="599"/>
    </row>
    <row r="286" spans="1:9">
      <c r="A286" s="594" t="s">
        <v>441</v>
      </c>
      <c r="B286" s="3547" t="s">
        <v>3789</v>
      </c>
      <c r="C286" s="3548"/>
      <c r="D286" s="3548"/>
      <c r="E286" s="3548"/>
      <c r="F286" s="3548"/>
      <c r="G286" s="3548"/>
      <c r="H286" s="3548"/>
      <c r="I286" s="3549"/>
    </row>
    <row r="287" spans="1:9">
      <c r="A287" s="243"/>
      <c r="B287" s="179"/>
      <c r="C287" s="583" t="s">
        <v>140</v>
      </c>
      <c r="D287" s="243" t="s">
        <v>343</v>
      </c>
      <c r="E287" s="584" t="s">
        <v>344</v>
      </c>
      <c r="F287" s="65" t="s">
        <v>482</v>
      </c>
      <c r="G287" s="65" t="s">
        <v>483</v>
      </c>
      <c r="H287" s="65" t="s">
        <v>232</v>
      </c>
      <c r="I287" s="65" t="s">
        <v>171</v>
      </c>
    </row>
    <row r="288" spans="1:9">
      <c r="A288" s="2" t="s">
        <v>3627</v>
      </c>
      <c r="B288" s="100" t="s">
        <v>1820</v>
      </c>
      <c r="C288" s="589">
        <v>0.5</v>
      </c>
      <c r="D288" s="2" t="s">
        <v>346</v>
      </c>
      <c r="E288" s="585">
        <f>VLOOKUP(B288,MATERIALES!B:C,2,0)</f>
        <v>150000</v>
      </c>
      <c r="F288" s="585"/>
      <c r="G288" s="585"/>
      <c r="H288" s="585">
        <f>+C288*E288</f>
        <v>75000</v>
      </c>
      <c r="I288" s="585"/>
    </row>
    <row r="289" spans="1:9">
      <c r="A289" s="2" t="s">
        <v>172</v>
      </c>
      <c r="B289" s="18" t="s">
        <v>189</v>
      </c>
      <c r="C289" s="589">
        <v>1</v>
      </c>
      <c r="D289" s="6" t="s">
        <v>583</v>
      </c>
      <c r="E289" s="585">
        <f>+H288*0.05</f>
        <v>3750</v>
      </c>
      <c r="F289" s="585"/>
      <c r="G289" s="585" t="s">
        <v>441</v>
      </c>
      <c r="H289" s="585"/>
      <c r="I289" s="585">
        <f>+E289*C289</f>
        <v>3750</v>
      </c>
    </row>
    <row r="290" spans="1:9">
      <c r="A290" s="587" t="s">
        <v>190</v>
      </c>
      <c r="B290" s="588">
        <f>SUM(G290:I290)</f>
        <v>78750</v>
      </c>
      <c r="C290" s="583"/>
      <c r="D290" s="169"/>
      <c r="E290" s="585"/>
      <c r="F290" s="65">
        <v>0</v>
      </c>
      <c r="G290" s="65" t="s">
        <v>441</v>
      </c>
      <c r="H290" s="65">
        <f>SUM(H288:H289)</f>
        <v>75000</v>
      </c>
      <c r="I290" s="65">
        <f>SUM(I289:I289)</f>
        <v>3750</v>
      </c>
    </row>
    <row r="291" spans="1:9">
      <c r="A291" s="21" t="s">
        <v>3622</v>
      </c>
      <c r="B291" s="39">
        <f>+B290*AIU</f>
        <v>23288.146565316405</v>
      </c>
      <c r="C291" s="589"/>
      <c r="D291" s="31"/>
      <c r="E291" s="170"/>
      <c r="F291" s="590"/>
      <c r="G291" s="590"/>
      <c r="H291" s="590"/>
      <c r="I291" s="590"/>
    </row>
    <row r="292" spans="1:9">
      <c r="A292" s="587" t="s">
        <v>191</v>
      </c>
      <c r="B292" s="39">
        <f>SUM(B290:B291)</f>
        <v>102038.14656531641</v>
      </c>
      <c r="C292" s="591" t="s">
        <v>363</v>
      </c>
      <c r="D292" s="13"/>
      <c r="E292" s="170"/>
      <c r="F292" s="170"/>
      <c r="G292" s="170"/>
      <c r="H292" s="170"/>
      <c r="I292" s="170"/>
    </row>
    <row r="293" spans="1:9">
      <c r="A293" s="596"/>
      <c r="B293" s="597"/>
      <c r="C293" s="598"/>
      <c r="D293" s="596"/>
      <c r="E293" s="599"/>
      <c r="F293" s="599"/>
      <c r="G293" s="599"/>
      <c r="H293" s="599"/>
      <c r="I293" s="599"/>
    </row>
    <row r="294" spans="1:9">
      <c r="A294" s="594" t="s">
        <v>441</v>
      </c>
      <c r="B294" s="3547" t="s">
        <v>3790</v>
      </c>
      <c r="C294" s="3548"/>
      <c r="D294" s="3548"/>
      <c r="E294" s="3548"/>
      <c r="F294" s="3548"/>
      <c r="G294" s="3548"/>
      <c r="H294" s="3548"/>
      <c r="I294" s="3549"/>
    </row>
    <row r="295" spans="1:9">
      <c r="A295" s="243"/>
      <c r="B295" s="179"/>
      <c r="C295" s="583" t="s">
        <v>140</v>
      </c>
      <c r="D295" s="243" t="s">
        <v>343</v>
      </c>
      <c r="E295" s="584" t="s">
        <v>344</v>
      </c>
      <c r="F295" s="65" t="s">
        <v>482</v>
      </c>
      <c r="G295" s="65" t="s">
        <v>483</v>
      </c>
      <c r="H295" s="65" t="s">
        <v>232</v>
      </c>
      <c r="I295" s="65" t="s">
        <v>171</v>
      </c>
    </row>
    <row r="296" spans="1:9">
      <c r="A296" s="2" t="s">
        <v>3780</v>
      </c>
      <c r="B296" s="18" t="s">
        <v>1810</v>
      </c>
      <c r="C296" s="589">
        <v>1</v>
      </c>
      <c r="D296" s="6" t="s">
        <v>363</v>
      </c>
      <c r="E296" s="585">
        <f>VLOOKUP(B296,MATERIALES!B:C,2,0)</f>
        <v>61479.999999999993</v>
      </c>
      <c r="F296" s="585"/>
      <c r="G296" s="585">
        <f t="shared" ref="G296:G308" si="7">+C296*E296</f>
        <v>61479.999999999993</v>
      </c>
      <c r="H296" s="585"/>
      <c r="I296" s="585"/>
    </row>
    <row r="297" spans="1:9">
      <c r="A297" s="2" t="s">
        <v>3781</v>
      </c>
      <c r="B297" s="18" t="s">
        <v>2141</v>
      </c>
      <c r="C297" s="589">
        <v>1</v>
      </c>
      <c r="D297" s="6" t="s">
        <v>363</v>
      </c>
      <c r="E297" s="585">
        <f>VLOOKUP(B297,MATERIALES!B:C,2,0)</f>
        <v>20300</v>
      </c>
      <c r="F297" s="585"/>
      <c r="G297" s="585">
        <f t="shared" si="7"/>
        <v>20300</v>
      </c>
      <c r="H297" s="585"/>
      <c r="I297" s="585"/>
    </row>
    <row r="298" spans="1:9">
      <c r="A298" s="2" t="s">
        <v>3752</v>
      </c>
      <c r="B298" s="18" t="s">
        <v>2159</v>
      </c>
      <c r="C298" s="589">
        <v>4</v>
      </c>
      <c r="D298" s="6" t="s">
        <v>363</v>
      </c>
      <c r="E298" s="585">
        <f>VLOOKUP(B298,MATERIALES!B:C,2,0)</f>
        <v>7907.7199999999993</v>
      </c>
      <c r="F298" s="585"/>
      <c r="G298" s="585">
        <f t="shared" si="7"/>
        <v>31630.879999999997</v>
      </c>
      <c r="H298" s="585"/>
      <c r="I298" s="585"/>
    </row>
    <row r="299" spans="1:9">
      <c r="A299" s="2" t="s">
        <v>3776</v>
      </c>
      <c r="B299" s="18" t="s">
        <v>1537</v>
      </c>
      <c r="C299" s="589">
        <v>3</v>
      </c>
      <c r="D299" s="6" t="s">
        <v>363</v>
      </c>
      <c r="E299" s="585">
        <f>VLOOKUP(B299,MATERIALES!B:C,2,0)</f>
        <v>18993.84</v>
      </c>
      <c r="F299" s="585"/>
      <c r="G299" s="585">
        <f t="shared" si="7"/>
        <v>56981.520000000004</v>
      </c>
      <c r="H299" s="585"/>
      <c r="I299" s="585"/>
    </row>
    <row r="300" spans="1:9">
      <c r="A300" s="2" t="s">
        <v>3786</v>
      </c>
      <c r="B300" s="18" t="s">
        <v>1848</v>
      </c>
      <c r="C300" s="589">
        <v>1</v>
      </c>
      <c r="D300" s="6" t="s">
        <v>363</v>
      </c>
      <c r="E300" s="585">
        <f>VLOOKUP(B300,MATERIALES!B:C,2,0)</f>
        <v>18993.84</v>
      </c>
      <c r="F300" s="585"/>
      <c r="G300" s="585">
        <f t="shared" si="7"/>
        <v>18993.84</v>
      </c>
      <c r="H300" s="585"/>
      <c r="I300" s="585"/>
    </row>
    <row r="301" spans="1:9">
      <c r="A301" s="2" t="s">
        <v>3786</v>
      </c>
      <c r="B301" s="18" t="s">
        <v>1850</v>
      </c>
      <c r="C301" s="589">
        <v>2</v>
      </c>
      <c r="D301" s="6" t="s">
        <v>363</v>
      </c>
      <c r="E301" s="585">
        <f>VLOOKUP(B301,MATERIALES!B:C,2,0)</f>
        <v>18993.84</v>
      </c>
      <c r="F301" s="585"/>
      <c r="G301" s="585">
        <f t="shared" si="7"/>
        <v>37987.68</v>
      </c>
      <c r="H301" s="585"/>
      <c r="I301" s="585"/>
    </row>
    <row r="302" spans="1:9">
      <c r="A302" s="2" t="s">
        <v>3787</v>
      </c>
      <c r="B302" s="18" t="s">
        <v>1895</v>
      </c>
      <c r="C302" s="589">
        <v>1</v>
      </c>
      <c r="D302" s="6" t="s">
        <v>363</v>
      </c>
      <c r="E302" s="585">
        <f>VLOOKUP(B302,MATERIALES!B:C,2,0)</f>
        <v>5286.12</v>
      </c>
      <c r="F302" s="585"/>
      <c r="G302" s="585">
        <f t="shared" si="7"/>
        <v>5286.12</v>
      </c>
      <c r="H302" s="585"/>
      <c r="I302" s="585"/>
    </row>
    <row r="303" spans="1:9">
      <c r="A303" s="2" t="s">
        <v>3752</v>
      </c>
      <c r="B303" s="18" t="s">
        <v>2165</v>
      </c>
      <c r="C303" s="589">
        <v>2</v>
      </c>
      <c r="D303" s="6" t="s">
        <v>363</v>
      </c>
      <c r="E303" s="585">
        <f>VLOOKUP(B303,MATERIALES!B:C,2,0)</f>
        <v>5286.12</v>
      </c>
      <c r="F303" s="585"/>
      <c r="G303" s="585">
        <f t="shared" si="7"/>
        <v>10572.24</v>
      </c>
      <c r="H303" s="585"/>
      <c r="I303" s="585"/>
    </row>
    <row r="304" spans="1:9">
      <c r="A304" s="2" t="s">
        <v>3788</v>
      </c>
      <c r="B304" s="18" t="s">
        <v>1600</v>
      </c>
      <c r="C304" s="589">
        <v>1</v>
      </c>
      <c r="D304" s="6" t="s">
        <v>363</v>
      </c>
      <c r="E304" s="585">
        <f>VLOOKUP(B304,MATERIALES!B:C,2,0)</f>
        <v>21135.199999999997</v>
      </c>
      <c r="F304" s="585"/>
      <c r="G304" s="585">
        <f t="shared" si="7"/>
        <v>21135.199999999997</v>
      </c>
      <c r="H304" s="585"/>
      <c r="I304" s="585"/>
    </row>
    <row r="305" spans="1:9">
      <c r="A305" s="2" t="s">
        <v>1782</v>
      </c>
      <c r="B305" s="18" t="s">
        <v>2268</v>
      </c>
      <c r="C305" s="589">
        <v>2</v>
      </c>
      <c r="D305" s="6" t="s">
        <v>363</v>
      </c>
      <c r="E305" s="585">
        <f>VLOOKUP(B305,MATERIALES!B:C,2,0)</f>
        <v>5754.7599999999993</v>
      </c>
      <c r="F305" s="585"/>
      <c r="G305" s="585">
        <f t="shared" si="7"/>
        <v>11509.519999999999</v>
      </c>
      <c r="H305" s="585"/>
      <c r="I305" s="585"/>
    </row>
    <row r="306" spans="1:9">
      <c r="A306" s="2" t="s">
        <v>3782</v>
      </c>
      <c r="B306" s="18" t="s">
        <v>1842</v>
      </c>
      <c r="C306" s="589">
        <v>1</v>
      </c>
      <c r="D306" s="6" t="s">
        <v>363</v>
      </c>
      <c r="E306" s="585">
        <f>VLOOKUP(B306,MATERIALES!B:C,2,0)</f>
        <v>5755</v>
      </c>
      <c r="F306" s="585"/>
      <c r="G306" s="585">
        <f t="shared" si="7"/>
        <v>5755</v>
      </c>
      <c r="H306" s="585"/>
      <c r="I306" s="585"/>
    </row>
    <row r="307" spans="1:9">
      <c r="A307" s="2" t="s">
        <v>1998</v>
      </c>
      <c r="B307" s="18" t="s">
        <v>1999</v>
      </c>
      <c r="C307" s="589">
        <v>1</v>
      </c>
      <c r="D307" s="6" t="s">
        <v>363</v>
      </c>
      <c r="E307" s="585">
        <f>VLOOKUP(B307,MATERIALES!B:C,2,0)</f>
        <v>5754.7599999999993</v>
      </c>
      <c r="F307" s="585"/>
      <c r="G307" s="585">
        <f t="shared" si="7"/>
        <v>5754.7599999999993</v>
      </c>
      <c r="H307" s="585"/>
      <c r="I307" s="585"/>
    </row>
    <row r="308" spans="1:9">
      <c r="A308" s="2" t="s">
        <v>3783</v>
      </c>
      <c r="B308" s="18" t="s">
        <v>1598</v>
      </c>
      <c r="C308" s="589">
        <v>1</v>
      </c>
      <c r="D308" s="6" t="s">
        <v>363</v>
      </c>
      <c r="E308" s="585">
        <f>VLOOKUP(B308,MATERIALES!B:C,2,0)</f>
        <v>5754.7599999999993</v>
      </c>
      <c r="F308" s="585"/>
      <c r="G308" s="585">
        <f t="shared" si="7"/>
        <v>5754.7599999999993</v>
      </c>
      <c r="H308" s="585"/>
      <c r="I308" s="585"/>
    </row>
    <row r="309" spans="1:9">
      <c r="A309" s="2" t="s">
        <v>584</v>
      </c>
      <c r="B309" s="180" t="s">
        <v>2236</v>
      </c>
      <c r="C309" s="589">
        <v>1.0714285714285704E-2</v>
      </c>
      <c r="D309" s="2" t="s">
        <v>583</v>
      </c>
      <c r="E309" s="585">
        <f>VLOOKUP(B309,MATERIALES!B:C,2,0)</f>
        <v>750000</v>
      </c>
      <c r="F309" s="585"/>
      <c r="G309" s="585" t="s">
        <v>441</v>
      </c>
      <c r="H309" s="585"/>
      <c r="I309" s="585">
        <f>+E309*C309</f>
        <v>8035.714285714278</v>
      </c>
    </row>
    <row r="310" spans="1:9">
      <c r="A310" s="587" t="s">
        <v>190</v>
      </c>
      <c r="B310" s="588">
        <f>SUM(G310:I310)</f>
        <v>301177.23428571428</v>
      </c>
      <c r="C310" s="583"/>
      <c r="D310" s="169"/>
      <c r="E310" s="585"/>
      <c r="F310" s="65">
        <v>0</v>
      </c>
      <c r="G310" s="65">
        <f>SUM(G296:G308)</f>
        <v>293141.52</v>
      </c>
      <c r="H310" s="65">
        <f>SUM(H309:H309)</f>
        <v>0</v>
      </c>
      <c r="I310" s="65">
        <f>SUM(I309:I309)</f>
        <v>8035.714285714278</v>
      </c>
    </row>
    <row r="311" spans="1:9">
      <c r="A311" s="21" t="s">
        <v>3622</v>
      </c>
      <c r="B311" s="39">
        <f>+B310*AIU</f>
        <v>89064.883481680648</v>
      </c>
      <c r="C311" s="589"/>
      <c r="D311" s="31"/>
      <c r="E311" s="170"/>
      <c r="F311" s="590"/>
      <c r="G311" s="590"/>
      <c r="H311" s="590"/>
      <c r="I311" s="590"/>
    </row>
    <row r="312" spans="1:9">
      <c r="A312" s="587" t="s">
        <v>191</v>
      </c>
      <c r="B312" s="39">
        <f>SUM(B310:B311)</f>
        <v>390242.11776739493</v>
      </c>
      <c r="C312" s="591" t="s">
        <v>363</v>
      </c>
      <c r="D312" s="13"/>
      <c r="E312" s="170"/>
      <c r="F312" s="170"/>
      <c r="G312" s="170"/>
      <c r="H312" s="170"/>
      <c r="I312" s="170"/>
    </row>
    <row r="313" spans="1:9">
      <c r="A313" s="596"/>
      <c r="B313" s="597"/>
      <c r="C313" s="598"/>
      <c r="D313" s="596"/>
      <c r="E313" s="599"/>
      <c r="F313" s="599"/>
      <c r="G313" s="599"/>
      <c r="H313" s="599"/>
      <c r="I313" s="599"/>
    </row>
    <row r="314" spans="1:9">
      <c r="A314" s="594" t="s">
        <v>441</v>
      </c>
      <c r="B314" s="3547" t="s">
        <v>3791</v>
      </c>
      <c r="C314" s="3548"/>
      <c r="D314" s="3548"/>
      <c r="E314" s="3548"/>
      <c r="F314" s="3548"/>
      <c r="G314" s="3548"/>
      <c r="H314" s="3548"/>
      <c r="I314" s="3549"/>
    </row>
    <row r="315" spans="1:9">
      <c r="A315" s="243"/>
      <c r="B315" s="179"/>
      <c r="C315" s="583" t="s">
        <v>140</v>
      </c>
      <c r="D315" s="243" t="s">
        <v>343</v>
      </c>
      <c r="E315" s="584" t="s">
        <v>344</v>
      </c>
      <c r="F315" s="65" t="s">
        <v>482</v>
      </c>
      <c r="G315" s="65" t="s">
        <v>483</v>
      </c>
      <c r="H315" s="65" t="s">
        <v>232</v>
      </c>
      <c r="I315" s="65" t="s">
        <v>171</v>
      </c>
    </row>
    <row r="316" spans="1:9">
      <c r="A316" s="2" t="s">
        <v>3627</v>
      </c>
      <c r="B316" s="100" t="s">
        <v>1820</v>
      </c>
      <c r="C316" s="589">
        <v>0.5</v>
      </c>
      <c r="D316" s="2" t="s">
        <v>346</v>
      </c>
      <c r="E316" s="585">
        <f>VLOOKUP(B316,MATERIALES!B:C,2,0)</f>
        <v>150000</v>
      </c>
      <c r="F316" s="585"/>
      <c r="G316" s="585"/>
      <c r="H316" s="585">
        <f>+C316*E316</f>
        <v>75000</v>
      </c>
      <c r="I316" s="585"/>
    </row>
    <row r="317" spans="1:9">
      <c r="A317" s="2" t="s">
        <v>172</v>
      </c>
      <c r="B317" s="18" t="s">
        <v>189</v>
      </c>
      <c r="C317" s="589">
        <v>1</v>
      </c>
      <c r="D317" s="6" t="s">
        <v>583</v>
      </c>
      <c r="E317" s="585">
        <f>+H316*0.05</f>
        <v>3750</v>
      </c>
      <c r="F317" s="585"/>
      <c r="G317" s="585" t="s">
        <v>441</v>
      </c>
      <c r="H317" s="585"/>
      <c r="I317" s="585">
        <f>+E317*C317</f>
        <v>3750</v>
      </c>
    </row>
    <row r="318" spans="1:9">
      <c r="A318" s="587" t="s">
        <v>190</v>
      </c>
      <c r="B318" s="588">
        <f>SUM(G318:I318)</f>
        <v>78750</v>
      </c>
      <c r="C318" s="583"/>
      <c r="D318" s="169"/>
      <c r="E318" s="585"/>
      <c r="F318" s="65">
        <v>0</v>
      </c>
      <c r="G318" s="65" t="s">
        <v>441</v>
      </c>
      <c r="H318" s="65">
        <f>SUM(H316:H317)</f>
        <v>75000</v>
      </c>
      <c r="I318" s="65">
        <f>SUM(I317:I317)</f>
        <v>3750</v>
      </c>
    </row>
    <row r="319" spans="1:9">
      <c r="A319" s="21" t="s">
        <v>3622</v>
      </c>
      <c r="B319" s="39">
        <f>+B318*AIU</f>
        <v>23288.146565316405</v>
      </c>
      <c r="C319" s="589"/>
      <c r="D319" s="31"/>
      <c r="E319" s="170"/>
      <c r="F319" s="590"/>
      <c r="G319" s="590"/>
      <c r="H319" s="590"/>
      <c r="I319" s="590"/>
    </row>
    <row r="320" spans="1:9">
      <c r="A320" s="587" t="s">
        <v>191</v>
      </c>
      <c r="B320" s="39">
        <f>SUM(B318:B319)</f>
        <v>102038.14656531641</v>
      </c>
      <c r="C320" s="591" t="s">
        <v>363</v>
      </c>
      <c r="D320" s="13"/>
      <c r="E320" s="170"/>
      <c r="F320" s="170"/>
      <c r="G320" s="170"/>
      <c r="H320" s="170"/>
      <c r="I320" s="170"/>
    </row>
    <row r="321" spans="1:9">
      <c r="A321" s="596"/>
      <c r="B321" s="597"/>
      <c r="C321" s="598"/>
      <c r="D321" s="596"/>
      <c r="E321" s="599"/>
      <c r="F321" s="599"/>
      <c r="G321" s="599"/>
      <c r="H321" s="599"/>
      <c r="I321" s="599"/>
    </row>
    <row r="322" spans="1:9">
      <c r="A322" s="594" t="s">
        <v>441</v>
      </c>
      <c r="B322" s="3547" t="s">
        <v>3792</v>
      </c>
      <c r="C322" s="3548"/>
      <c r="D322" s="3548"/>
      <c r="E322" s="3548"/>
      <c r="F322" s="3548"/>
      <c r="G322" s="3548"/>
      <c r="H322" s="3548"/>
      <c r="I322" s="3549"/>
    </row>
    <row r="323" spans="1:9">
      <c r="A323" s="243"/>
      <c r="B323" s="179"/>
      <c r="C323" s="583" t="s">
        <v>140</v>
      </c>
      <c r="D323" s="243" t="s">
        <v>343</v>
      </c>
      <c r="E323" s="584" t="s">
        <v>344</v>
      </c>
      <c r="F323" s="65" t="s">
        <v>482</v>
      </c>
      <c r="G323" s="65" t="s">
        <v>483</v>
      </c>
      <c r="H323" s="65" t="s">
        <v>232</v>
      </c>
      <c r="I323" s="65" t="s">
        <v>171</v>
      </c>
    </row>
    <row r="324" spans="1:9">
      <c r="A324" s="2" t="s">
        <v>3780</v>
      </c>
      <c r="B324" s="18" t="s">
        <v>1812</v>
      </c>
      <c r="C324" s="589">
        <v>1</v>
      </c>
      <c r="D324" s="6" t="s">
        <v>363</v>
      </c>
      <c r="E324" s="585">
        <f>VLOOKUP(B324,MATERIALES!B:C,2,0)</f>
        <v>97440</v>
      </c>
      <c r="F324" s="585"/>
      <c r="G324" s="585">
        <f>+C324*E324</f>
        <v>97440</v>
      </c>
      <c r="H324" s="585"/>
      <c r="I324" s="585"/>
    </row>
    <row r="325" spans="1:9">
      <c r="A325" s="2" t="s">
        <v>3781</v>
      </c>
      <c r="B325" s="18" t="s">
        <v>2143</v>
      </c>
      <c r="C325" s="589">
        <v>1</v>
      </c>
      <c r="D325" s="6" t="s">
        <v>363</v>
      </c>
      <c r="E325" s="585">
        <f>VLOOKUP(B325,MATERIALES!B:C,2,0)</f>
        <v>20300</v>
      </c>
      <c r="F325" s="585"/>
      <c r="G325" s="585">
        <f>+C325*E325</f>
        <v>20300</v>
      </c>
      <c r="H325" s="585"/>
      <c r="I325" s="585"/>
    </row>
    <row r="326" spans="1:9">
      <c r="A326" s="2" t="s">
        <v>1782</v>
      </c>
      <c r="B326" s="18" t="s">
        <v>1783</v>
      </c>
      <c r="C326" s="589">
        <v>1</v>
      </c>
      <c r="D326" s="6" t="s">
        <v>363</v>
      </c>
      <c r="E326" s="585">
        <f>VLOOKUP(B326,MATERIALES!B:C,2,0)</f>
        <v>2459.1999999999998</v>
      </c>
      <c r="F326" s="585"/>
      <c r="G326" s="585">
        <f>+C326*E326</f>
        <v>2459.1999999999998</v>
      </c>
      <c r="H326" s="585"/>
      <c r="I326" s="585"/>
    </row>
    <row r="327" spans="1:9">
      <c r="A327" s="2" t="s">
        <v>3793</v>
      </c>
      <c r="B327" s="18" t="s">
        <v>2157</v>
      </c>
      <c r="C327" s="589">
        <v>2</v>
      </c>
      <c r="D327" s="6" t="s">
        <v>363</v>
      </c>
      <c r="E327" s="585">
        <f>VLOOKUP(B327,MATERIALES!B:C,2,0)</f>
        <v>5286.12</v>
      </c>
      <c r="F327" s="585"/>
      <c r="G327" s="585">
        <f>+C327*E327</f>
        <v>10572.24</v>
      </c>
      <c r="H327" s="585"/>
      <c r="I327" s="585"/>
    </row>
    <row r="328" spans="1:9">
      <c r="A328" s="2" t="s">
        <v>1876</v>
      </c>
      <c r="B328" s="18" t="s">
        <v>1877</v>
      </c>
      <c r="C328" s="589">
        <v>3</v>
      </c>
      <c r="D328" s="6" t="s">
        <v>363</v>
      </c>
      <c r="E328" s="585">
        <f>VLOOKUP(B328,MATERIALES!B:C,2,0)</f>
        <v>4332.5999999999995</v>
      </c>
      <c r="F328" s="585"/>
      <c r="G328" s="585">
        <f>+C328*E328</f>
        <v>12997.8</v>
      </c>
      <c r="H328" s="585"/>
      <c r="I328" s="585"/>
    </row>
    <row r="329" spans="1:9">
      <c r="A329" s="2" t="s">
        <v>1807</v>
      </c>
      <c r="B329" s="18" t="s">
        <v>1808</v>
      </c>
      <c r="C329" s="589">
        <v>3</v>
      </c>
      <c r="D329" s="6" t="s">
        <v>363</v>
      </c>
      <c r="E329" s="585">
        <f>VLOOKUP(B329,MATERIALES!B:C,2,0)</f>
        <v>131731.91999999998</v>
      </c>
      <c r="F329" s="585"/>
      <c r="G329" s="65">
        <f>+E329*C329</f>
        <v>395195.75999999995</v>
      </c>
      <c r="H329" s="585"/>
      <c r="I329" s="585"/>
    </row>
    <row r="330" spans="1:9">
      <c r="A330" s="243" t="s">
        <v>3756</v>
      </c>
      <c r="B330" s="179" t="s">
        <v>1553</v>
      </c>
      <c r="C330" s="583">
        <v>18</v>
      </c>
      <c r="D330" s="160" t="s">
        <v>94</v>
      </c>
      <c r="E330" s="585">
        <f>VLOOKUP(B330,MATERIALES!B:C,2,0)</f>
        <v>3595.9999999999995</v>
      </c>
      <c r="F330" s="65"/>
      <c r="G330" s="65">
        <f>+E330*C330</f>
        <v>64727.999999999993</v>
      </c>
      <c r="H330" s="65"/>
      <c r="I330" s="65"/>
    </row>
    <row r="331" spans="1:9">
      <c r="A331" s="2" t="s">
        <v>2000</v>
      </c>
      <c r="B331" s="18" t="s">
        <v>2001</v>
      </c>
      <c r="C331" s="589">
        <v>3</v>
      </c>
      <c r="D331" s="6" t="s">
        <v>363</v>
      </c>
      <c r="E331" s="585">
        <f>VLOOKUP(B331,MATERIALES!B:C,2,0)</f>
        <v>75904.599999999991</v>
      </c>
      <c r="F331" s="585"/>
      <c r="G331" s="65">
        <f>+E331*C331</f>
        <v>227713.8</v>
      </c>
      <c r="H331" s="585"/>
      <c r="I331" s="585"/>
    </row>
    <row r="332" spans="1:9">
      <c r="A332" s="2" t="s">
        <v>1910</v>
      </c>
      <c r="B332" s="18" t="s">
        <v>1852</v>
      </c>
      <c r="C332" s="589">
        <v>6</v>
      </c>
      <c r="D332" s="6" t="s">
        <v>363</v>
      </c>
      <c r="E332" s="585">
        <f>VLOOKUP(B332,MATERIALES!B:C,2,0)</f>
        <v>10000</v>
      </c>
      <c r="F332" s="585"/>
      <c r="G332" s="65">
        <f>+E332*C332</f>
        <v>60000</v>
      </c>
      <c r="H332" s="585"/>
      <c r="I332" s="585"/>
    </row>
    <row r="333" spans="1:9">
      <c r="A333" s="243" t="s">
        <v>584</v>
      </c>
      <c r="B333" s="180" t="s">
        <v>2236</v>
      </c>
      <c r="C333" s="583">
        <v>7.857142857142849E-3</v>
      </c>
      <c r="D333" s="243" t="s">
        <v>583</v>
      </c>
      <c r="E333" s="585">
        <f>VLOOKUP(B333,MATERIALES!B:C,2,0)</f>
        <v>750000</v>
      </c>
      <c r="F333" s="65"/>
      <c r="G333" s="65"/>
      <c r="H333" s="65"/>
      <c r="I333" s="65">
        <v>5892.8571428571368</v>
      </c>
    </row>
    <row r="334" spans="1:9">
      <c r="A334" s="587" t="s">
        <v>190</v>
      </c>
      <c r="B334" s="588">
        <f>SUM(G334:I334)</f>
        <v>897299.65714285721</v>
      </c>
      <c r="C334" s="583"/>
      <c r="D334" s="169"/>
      <c r="E334" s="585"/>
      <c r="F334" s="65">
        <v>0</v>
      </c>
      <c r="G334" s="65">
        <f>SUM(G324:G332)</f>
        <v>891406.8</v>
      </c>
      <c r="H334" s="65">
        <f>SUM(H333:H333)</f>
        <v>0</v>
      </c>
      <c r="I334" s="65">
        <f>SUM(I333:I333)</f>
        <v>5892.8571428571368</v>
      </c>
    </row>
    <row r="335" spans="1:9">
      <c r="A335" s="21" t="s">
        <v>3622</v>
      </c>
      <c r="B335" s="39">
        <f>+B334*AIU</f>
        <v>265351.69433080655</v>
      </c>
      <c r="C335" s="589"/>
      <c r="D335" s="31"/>
      <c r="E335" s="170"/>
      <c r="F335" s="590"/>
      <c r="G335" s="590"/>
      <c r="H335" s="590"/>
      <c r="I335" s="590"/>
    </row>
    <row r="336" spans="1:9">
      <c r="A336" s="587" t="s">
        <v>191</v>
      </c>
      <c r="B336" s="39">
        <f>SUM(B334:B335)</f>
        <v>1162651.3514736637</v>
      </c>
      <c r="C336" s="591" t="s">
        <v>363</v>
      </c>
      <c r="D336" s="13"/>
      <c r="E336" s="170"/>
      <c r="F336" s="170"/>
      <c r="G336" s="170"/>
      <c r="H336" s="170"/>
      <c r="I336" s="170"/>
    </row>
    <row r="337" spans="1:9">
      <c r="A337" s="596"/>
      <c r="B337" s="597"/>
      <c r="C337" s="598"/>
      <c r="D337" s="596"/>
      <c r="E337" s="599"/>
      <c r="F337" s="599"/>
      <c r="G337" s="599"/>
      <c r="H337" s="599"/>
      <c r="I337" s="599"/>
    </row>
    <row r="338" spans="1:9">
      <c r="A338" s="594" t="s">
        <v>441</v>
      </c>
      <c r="B338" s="3547" t="s">
        <v>3794</v>
      </c>
      <c r="C338" s="3548"/>
      <c r="D338" s="3548"/>
      <c r="E338" s="3548"/>
      <c r="F338" s="3548"/>
      <c r="G338" s="3548"/>
      <c r="H338" s="3548"/>
      <c r="I338" s="3549"/>
    </row>
    <row r="339" spans="1:9">
      <c r="A339" s="243"/>
      <c r="B339" s="179"/>
      <c r="C339" s="583" t="s">
        <v>140</v>
      </c>
      <c r="D339" s="243" t="s">
        <v>343</v>
      </c>
      <c r="E339" s="584" t="s">
        <v>344</v>
      </c>
      <c r="F339" s="65" t="s">
        <v>482</v>
      </c>
      <c r="G339" s="65" t="s">
        <v>483</v>
      </c>
      <c r="H339" s="65" t="s">
        <v>232</v>
      </c>
      <c r="I339" s="65" t="s">
        <v>171</v>
      </c>
    </row>
    <row r="340" spans="1:9">
      <c r="A340" s="243" t="s">
        <v>3627</v>
      </c>
      <c r="B340" s="592" t="s">
        <v>1820</v>
      </c>
      <c r="C340" s="583">
        <v>0.4</v>
      </c>
      <c r="D340" s="243" t="s">
        <v>346</v>
      </c>
      <c r="E340" s="585">
        <f>VLOOKUP(B340,MATERIALES!B:C,2,0)</f>
        <v>150000</v>
      </c>
      <c r="F340" s="65"/>
      <c r="G340" s="65"/>
      <c r="H340" s="65">
        <f>+C340*E340</f>
        <v>60000</v>
      </c>
      <c r="I340" s="65"/>
    </row>
    <row r="341" spans="1:9">
      <c r="A341" s="243" t="s">
        <v>172</v>
      </c>
      <c r="B341" s="179" t="s">
        <v>189</v>
      </c>
      <c r="C341" s="583">
        <v>1</v>
      </c>
      <c r="D341" s="160" t="s">
        <v>583</v>
      </c>
      <c r="E341" s="585">
        <f>+H340*0.05</f>
        <v>3000</v>
      </c>
      <c r="F341" s="65"/>
      <c r="G341" s="65"/>
      <c r="H341" s="65"/>
      <c r="I341" s="65">
        <v>2700.0761287500009</v>
      </c>
    </row>
    <row r="342" spans="1:9">
      <c r="A342" s="587" t="s">
        <v>190</v>
      </c>
      <c r="B342" s="588">
        <f>SUM(G342:I342)</f>
        <v>62700.076128749999</v>
      </c>
      <c r="C342" s="583"/>
      <c r="D342" s="169"/>
      <c r="E342" s="585"/>
      <c r="F342" s="65">
        <v>0</v>
      </c>
      <c r="G342" s="65" t="s">
        <v>441</v>
      </c>
      <c r="H342" s="65">
        <f>SUM(H340:H341)</f>
        <v>60000</v>
      </c>
      <c r="I342" s="65">
        <f>SUM(I341:I341)</f>
        <v>2700.0761287500009</v>
      </c>
    </row>
    <row r="343" spans="1:9">
      <c r="A343" s="21" t="s">
        <v>3622</v>
      </c>
      <c r="B343" s="39">
        <f>+B342*AIU</f>
        <v>18541.823016416842</v>
      </c>
      <c r="C343" s="589"/>
      <c r="D343" s="31"/>
      <c r="E343" s="170"/>
      <c r="F343" s="590"/>
      <c r="G343" s="590"/>
      <c r="H343" s="590"/>
      <c r="I343" s="590"/>
    </row>
    <row r="344" spans="1:9">
      <c r="A344" s="587" t="s">
        <v>191</v>
      </c>
      <c r="B344" s="39">
        <f>SUM(B342:B343)</f>
        <v>81241.899145166841</v>
      </c>
      <c r="C344" s="591" t="s">
        <v>363</v>
      </c>
      <c r="D344" s="13"/>
      <c r="E344" s="170"/>
      <c r="F344" s="170"/>
      <c r="G344" s="170"/>
      <c r="H344" s="170"/>
      <c r="I344" s="170"/>
    </row>
    <row r="345" spans="1:9">
      <c r="A345" s="596"/>
      <c r="B345" s="597"/>
      <c r="C345" s="598"/>
      <c r="D345" s="596"/>
      <c r="E345" s="599"/>
      <c r="F345" s="599"/>
      <c r="G345" s="599"/>
      <c r="H345" s="599"/>
      <c r="I345" s="599"/>
    </row>
    <row r="346" spans="1:9">
      <c r="A346" s="594" t="s">
        <v>441</v>
      </c>
      <c r="B346" s="3547" t="s">
        <v>3795</v>
      </c>
      <c r="C346" s="3548"/>
      <c r="D346" s="3548"/>
      <c r="E346" s="3548"/>
      <c r="F346" s="3548"/>
      <c r="G346" s="3548"/>
      <c r="H346" s="3548"/>
      <c r="I346" s="3549"/>
    </row>
    <row r="347" spans="1:9">
      <c r="A347" s="243"/>
      <c r="B347" s="179"/>
      <c r="C347" s="583" t="s">
        <v>140</v>
      </c>
      <c r="D347" s="243" t="s">
        <v>343</v>
      </c>
      <c r="E347" s="584" t="s">
        <v>344</v>
      </c>
      <c r="F347" s="65" t="s">
        <v>482</v>
      </c>
      <c r="G347" s="65" t="s">
        <v>483</v>
      </c>
      <c r="H347" s="65" t="s">
        <v>232</v>
      </c>
      <c r="I347" s="65" t="s">
        <v>171</v>
      </c>
    </row>
    <row r="348" spans="1:9">
      <c r="A348" s="2" t="s">
        <v>3627</v>
      </c>
      <c r="B348" s="100" t="s">
        <v>1820</v>
      </c>
      <c r="C348" s="589">
        <v>3</v>
      </c>
      <c r="D348" s="2" t="s">
        <v>346</v>
      </c>
      <c r="E348" s="585">
        <f>VLOOKUP(B348,MATERIALES!B:C,2,0)</f>
        <v>150000</v>
      </c>
      <c r="F348" s="585"/>
      <c r="G348" s="585"/>
      <c r="H348" s="585">
        <f>+C348*E348</f>
        <v>450000</v>
      </c>
      <c r="I348" s="585"/>
    </row>
    <row r="349" spans="1:9">
      <c r="A349" s="2" t="s">
        <v>584</v>
      </c>
      <c r="B349" s="180" t="s">
        <v>2236</v>
      </c>
      <c r="C349" s="589">
        <v>1.0714285714285704E-2</v>
      </c>
      <c r="D349" s="2" t="s">
        <v>583</v>
      </c>
      <c r="E349" s="585">
        <f>VLOOKUP(B349,MATERIALES!B:C,2,0)</f>
        <v>750000</v>
      </c>
      <c r="F349" s="585"/>
      <c r="G349" s="585" t="s">
        <v>441</v>
      </c>
      <c r="H349" s="585"/>
      <c r="I349" s="585">
        <f>+E349*C349</f>
        <v>8035.714285714278</v>
      </c>
    </row>
    <row r="350" spans="1:9">
      <c r="A350" s="2" t="s">
        <v>172</v>
      </c>
      <c r="B350" s="18" t="s">
        <v>189</v>
      </c>
      <c r="C350" s="589">
        <v>1</v>
      </c>
      <c r="D350" s="6" t="s">
        <v>583</v>
      </c>
      <c r="E350" s="585">
        <f>+H348*0.05</f>
        <v>22500</v>
      </c>
      <c r="F350" s="585"/>
      <c r="G350" s="585" t="s">
        <v>441</v>
      </c>
      <c r="H350" s="585"/>
      <c r="I350" s="585">
        <f>+E350*C350</f>
        <v>22500</v>
      </c>
    </row>
    <row r="351" spans="1:9">
      <c r="A351" s="587" t="s">
        <v>190</v>
      </c>
      <c r="B351" s="588">
        <f>SUM(G351:I351)</f>
        <v>480535.71428571426</v>
      </c>
      <c r="C351" s="583"/>
      <c r="D351" s="169"/>
      <c r="E351" s="585"/>
      <c r="F351" s="65">
        <v>0</v>
      </c>
      <c r="G351" s="65">
        <v>0</v>
      </c>
      <c r="H351" s="65">
        <f>SUM(H348:H350)</f>
        <v>450000</v>
      </c>
      <c r="I351" s="65">
        <f>SUM(I349:I350)</f>
        <v>30535.714285714279</v>
      </c>
    </row>
    <row r="352" spans="1:9">
      <c r="A352" s="21" t="s">
        <v>3622</v>
      </c>
      <c r="B352" s="39">
        <f>+B351*AIU</f>
        <v>142105.2208781552</v>
      </c>
      <c r="C352" s="589"/>
      <c r="D352" s="31"/>
      <c r="E352" s="170"/>
      <c r="F352" s="590"/>
      <c r="G352" s="590"/>
      <c r="H352" s="590"/>
      <c r="I352" s="590"/>
    </row>
    <row r="353" spans="1:9">
      <c r="A353" s="587" t="s">
        <v>191</v>
      </c>
      <c r="B353" s="39">
        <f>SUM(B351:B352)</f>
        <v>622640.93516386952</v>
      </c>
      <c r="C353" s="591" t="s">
        <v>363</v>
      </c>
      <c r="D353" s="13"/>
      <c r="E353" s="170"/>
      <c r="F353" s="170"/>
      <c r="G353" s="170"/>
      <c r="H353" s="170"/>
      <c r="I353" s="170"/>
    </row>
    <row r="354" spans="1:9">
      <c r="A354" s="596"/>
      <c r="B354" s="597"/>
      <c r="C354" s="598"/>
      <c r="D354" s="596"/>
      <c r="E354" s="599"/>
      <c r="F354" s="599"/>
      <c r="G354" s="599"/>
      <c r="H354" s="599"/>
      <c r="I354" s="599"/>
    </row>
    <row r="355" spans="1:9">
      <c r="A355" s="594" t="s">
        <v>441</v>
      </c>
      <c r="B355" s="3547" t="s">
        <v>3796</v>
      </c>
      <c r="C355" s="3548"/>
      <c r="D355" s="3548"/>
      <c r="E355" s="3548"/>
      <c r="F355" s="3548"/>
      <c r="G355" s="3548"/>
      <c r="H355" s="3548"/>
      <c r="I355" s="3549"/>
    </row>
    <row r="356" spans="1:9">
      <c r="A356" s="243"/>
      <c r="B356" s="179"/>
      <c r="C356" s="583" t="s">
        <v>140</v>
      </c>
      <c r="D356" s="243" t="s">
        <v>343</v>
      </c>
      <c r="E356" s="584" t="s">
        <v>344</v>
      </c>
      <c r="F356" s="65" t="s">
        <v>482</v>
      </c>
      <c r="G356" s="65" t="s">
        <v>483</v>
      </c>
      <c r="H356" s="65" t="s">
        <v>232</v>
      </c>
      <c r="I356" s="65" t="s">
        <v>171</v>
      </c>
    </row>
    <row r="357" spans="1:9">
      <c r="A357" s="2" t="s">
        <v>3797</v>
      </c>
      <c r="B357" s="18" t="s">
        <v>1549</v>
      </c>
      <c r="C357" s="589">
        <v>1</v>
      </c>
      <c r="D357" s="6" t="s">
        <v>363</v>
      </c>
      <c r="E357" s="585">
        <f>VLOOKUP(B357,MATERIALES!B:C,2,0)</f>
        <v>8036.48</v>
      </c>
      <c r="F357" s="585"/>
      <c r="G357" s="585">
        <f t="shared" ref="G357:G363" si="8">+C357*E357</f>
        <v>8036.48</v>
      </c>
      <c r="H357" s="585"/>
      <c r="I357" s="585"/>
    </row>
    <row r="358" spans="1:9">
      <c r="A358" s="2" t="s">
        <v>3798</v>
      </c>
      <c r="B358" s="18" t="s">
        <v>1713</v>
      </c>
      <c r="C358" s="589">
        <v>15</v>
      </c>
      <c r="D358" s="6" t="s">
        <v>94</v>
      </c>
      <c r="E358" s="585">
        <f>VLOOKUP(B358,MATERIALES!B:C,2,0)</f>
        <v>1303.8399999999999</v>
      </c>
      <c r="F358" s="585"/>
      <c r="G358" s="585">
        <f t="shared" si="8"/>
        <v>19557.599999999999</v>
      </c>
      <c r="H358" s="585"/>
      <c r="I358" s="585"/>
    </row>
    <row r="359" spans="1:9">
      <c r="A359" s="2" t="s">
        <v>1900</v>
      </c>
      <c r="B359" s="18" t="s">
        <v>1901</v>
      </c>
      <c r="C359" s="589">
        <v>1</v>
      </c>
      <c r="D359" s="6" t="s">
        <v>363</v>
      </c>
      <c r="E359" s="585">
        <f>VLOOKUP(B359,MATERIALES!B:C,2,0)</f>
        <v>1250.48</v>
      </c>
      <c r="F359" s="585"/>
      <c r="G359" s="585">
        <f t="shared" si="8"/>
        <v>1250.48</v>
      </c>
      <c r="H359" s="585"/>
      <c r="I359" s="585"/>
    </row>
    <row r="360" spans="1:9">
      <c r="A360" s="2" t="s">
        <v>3799</v>
      </c>
      <c r="B360" s="18" t="s">
        <v>2299</v>
      </c>
      <c r="C360" s="589">
        <v>1</v>
      </c>
      <c r="D360" s="6" t="s">
        <v>363</v>
      </c>
      <c r="E360" s="585">
        <f>VLOOKUP(B360,MATERIALES!B:C,2,0)</f>
        <v>17665.64</v>
      </c>
      <c r="F360" s="585"/>
      <c r="G360" s="585">
        <f t="shared" si="8"/>
        <v>17665.64</v>
      </c>
      <c r="H360" s="585"/>
      <c r="I360" s="585"/>
    </row>
    <row r="361" spans="1:9">
      <c r="A361" s="2" t="s">
        <v>3800</v>
      </c>
      <c r="B361" s="18" t="s">
        <v>1602</v>
      </c>
      <c r="C361" s="589">
        <v>1</v>
      </c>
      <c r="D361" s="6" t="s">
        <v>363</v>
      </c>
      <c r="E361" s="585">
        <f>VLOOKUP(B361,MATERIALES!B:C,2,0)</f>
        <v>11062.92</v>
      </c>
      <c r="F361" s="585"/>
      <c r="G361" s="585">
        <f t="shared" si="8"/>
        <v>11062.92</v>
      </c>
      <c r="H361" s="585"/>
      <c r="I361" s="585"/>
    </row>
    <row r="362" spans="1:9">
      <c r="A362" s="2" t="s">
        <v>3801</v>
      </c>
      <c r="B362" s="18" t="s">
        <v>1569</v>
      </c>
      <c r="C362" s="589">
        <v>1</v>
      </c>
      <c r="D362" s="6" t="s">
        <v>363</v>
      </c>
      <c r="E362" s="585">
        <f>VLOOKUP(B362,MATERIALES!B:C,2,0)</f>
        <v>2228.3599999999997</v>
      </c>
      <c r="F362" s="585"/>
      <c r="G362" s="585">
        <f t="shared" si="8"/>
        <v>2228.3599999999997</v>
      </c>
      <c r="H362" s="585"/>
      <c r="I362" s="585"/>
    </row>
    <row r="363" spans="1:9">
      <c r="A363" s="2" t="s">
        <v>3802</v>
      </c>
      <c r="B363" s="18" t="s">
        <v>2266</v>
      </c>
      <c r="C363" s="589">
        <v>2</v>
      </c>
      <c r="D363" s="6" t="s">
        <v>94</v>
      </c>
      <c r="E363" s="585">
        <f>VLOOKUP(B363,MATERIALES!B:C,2,0)</f>
        <v>2259.6799999999998</v>
      </c>
      <c r="F363" s="585"/>
      <c r="G363" s="585">
        <f t="shared" si="8"/>
        <v>4519.3599999999997</v>
      </c>
      <c r="H363" s="585"/>
      <c r="I363" s="585"/>
    </row>
    <row r="364" spans="1:9">
      <c r="A364" s="243" t="s">
        <v>584</v>
      </c>
      <c r="B364" s="180" t="s">
        <v>2236</v>
      </c>
      <c r="C364" s="583">
        <v>0.01</v>
      </c>
      <c r="D364" s="243" t="s">
        <v>583</v>
      </c>
      <c r="E364" s="585">
        <f>VLOOKUP(B364,MATERIALES!B:C,2,0)</f>
        <v>750000</v>
      </c>
      <c r="F364" s="65"/>
      <c r="G364" s="65"/>
      <c r="H364" s="65"/>
      <c r="I364" s="65">
        <f>+C364*E364</f>
        <v>7500</v>
      </c>
    </row>
    <row r="365" spans="1:9">
      <c r="A365" s="587" t="s">
        <v>190</v>
      </c>
      <c r="B365" s="588">
        <f>SUM(G365:I365)</f>
        <v>71820.84</v>
      </c>
      <c r="C365" s="583"/>
      <c r="D365" s="169"/>
      <c r="E365" s="585"/>
      <c r="F365" s="65">
        <v>0</v>
      </c>
      <c r="G365" s="65">
        <f>SUM(G357:G363)</f>
        <v>64320.84</v>
      </c>
      <c r="H365" s="65">
        <f>SUM(H364:H364)</f>
        <v>0</v>
      </c>
      <c r="I365" s="65">
        <f>SUM(I364:I364)</f>
        <v>7500</v>
      </c>
    </row>
    <row r="366" spans="1:9">
      <c r="A366" s="21" t="s">
        <v>3622</v>
      </c>
      <c r="B366" s="39">
        <f>+B365*AIU</f>
        <v>21239.038074465258</v>
      </c>
      <c r="C366" s="589"/>
      <c r="D366" s="31"/>
      <c r="E366" s="170"/>
      <c r="F366" s="590"/>
      <c r="G366" s="590"/>
      <c r="H366" s="590"/>
      <c r="I366" s="590"/>
    </row>
    <row r="367" spans="1:9">
      <c r="A367" s="587" t="s">
        <v>191</v>
      </c>
      <c r="B367" s="39">
        <f>SUM(B365:B366)</f>
        <v>93059.878074465261</v>
      </c>
      <c r="C367" s="591" t="s">
        <v>363</v>
      </c>
      <c r="D367" s="13"/>
      <c r="E367" s="170"/>
      <c r="F367" s="170"/>
      <c r="G367" s="170"/>
      <c r="H367" s="170"/>
      <c r="I367" s="170"/>
    </row>
    <row r="368" spans="1:9">
      <c r="A368" s="596"/>
      <c r="B368" s="597"/>
      <c r="C368" s="598"/>
      <c r="D368" s="596"/>
      <c r="E368" s="599"/>
      <c r="F368" s="599"/>
      <c r="G368" s="599"/>
      <c r="H368" s="599"/>
      <c r="I368" s="599"/>
    </row>
    <row r="369" spans="1:9">
      <c r="A369" s="594" t="s">
        <v>441</v>
      </c>
      <c r="B369" s="3547" t="s">
        <v>3803</v>
      </c>
      <c r="C369" s="3548"/>
      <c r="D369" s="3548"/>
      <c r="E369" s="3548"/>
      <c r="F369" s="3548"/>
      <c r="G369" s="3548"/>
      <c r="H369" s="3548"/>
      <c r="I369" s="3549"/>
    </row>
    <row r="370" spans="1:9">
      <c r="A370" s="243"/>
      <c r="B370" s="179"/>
      <c r="C370" s="583" t="s">
        <v>140</v>
      </c>
      <c r="D370" s="243" t="s">
        <v>343</v>
      </c>
      <c r="E370" s="584" t="s">
        <v>344</v>
      </c>
      <c r="F370" s="65" t="s">
        <v>482</v>
      </c>
      <c r="G370" s="65" t="s">
        <v>483</v>
      </c>
      <c r="H370" s="65" t="s">
        <v>232</v>
      </c>
      <c r="I370" s="65" t="s">
        <v>171</v>
      </c>
    </row>
    <row r="371" spans="1:9">
      <c r="A371" s="243" t="s">
        <v>3627</v>
      </c>
      <c r="B371" s="592" t="s">
        <v>1820</v>
      </c>
      <c r="C371" s="583">
        <v>0.5</v>
      </c>
      <c r="D371" s="243" t="s">
        <v>346</v>
      </c>
      <c r="E371" s="585">
        <f>VLOOKUP(B371,MATERIALES!B:C,2,0)</f>
        <v>150000</v>
      </c>
      <c r="F371" s="65"/>
      <c r="G371" s="65"/>
      <c r="H371" s="65">
        <f>+C371*E371</f>
        <v>75000</v>
      </c>
      <c r="I371" s="65"/>
    </row>
    <row r="372" spans="1:9">
      <c r="A372" s="243" t="s">
        <v>172</v>
      </c>
      <c r="B372" s="179" t="s">
        <v>189</v>
      </c>
      <c r="C372" s="583">
        <v>1</v>
      </c>
      <c r="D372" s="160" t="s">
        <v>583</v>
      </c>
      <c r="E372" s="585">
        <f>+H371*0.05</f>
        <v>3750</v>
      </c>
      <c r="F372" s="65"/>
      <c r="G372" s="65"/>
      <c r="H372" s="65"/>
      <c r="I372" s="65">
        <f>+C372*E372</f>
        <v>3750</v>
      </c>
    </row>
    <row r="373" spans="1:9">
      <c r="A373" s="587" t="s">
        <v>190</v>
      </c>
      <c r="B373" s="588">
        <f>SUM(G373:I373)</f>
        <v>78750</v>
      </c>
      <c r="C373" s="583"/>
      <c r="D373" s="169"/>
      <c r="E373" s="585"/>
      <c r="F373" s="65">
        <v>0</v>
      </c>
      <c r="G373" s="65" t="s">
        <v>441</v>
      </c>
      <c r="H373" s="65">
        <f>SUM(H371:H372)</f>
        <v>75000</v>
      </c>
      <c r="I373" s="65">
        <f>SUM(I372:I372)</f>
        <v>3750</v>
      </c>
    </row>
    <row r="374" spans="1:9">
      <c r="A374" s="21" t="s">
        <v>3622</v>
      </c>
      <c r="B374" s="39">
        <f>+B373*AIU</f>
        <v>23288.146565316405</v>
      </c>
      <c r="C374" s="589"/>
      <c r="D374" s="31"/>
      <c r="E374" s="170"/>
      <c r="F374" s="590"/>
      <c r="G374" s="590"/>
      <c r="H374" s="590"/>
      <c r="I374" s="590"/>
    </row>
    <row r="375" spans="1:9">
      <c r="A375" s="587" t="s">
        <v>191</v>
      </c>
      <c r="B375" s="39">
        <f>SUM(B373:B374)</f>
        <v>102038.14656531641</v>
      </c>
      <c r="C375" s="591" t="s">
        <v>363</v>
      </c>
      <c r="D375" s="13"/>
      <c r="E375" s="170"/>
      <c r="F375" s="170"/>
      <c r="G375" s="170"/>
      <c r="H375" s="170"/>
      <c r="I375" s="170"/>
    </row>
    <row r="376" spans="1:9">
      <c r="A376" s="596"/>
      <c r="B376" s="597"/>
      <c r="C376" s="598"/>
      <c r="D376" s="596"/>
      <c r="E376" s="599"/>
      <c r="F376" s="599"/>
      <c r="G376" s="599"/>
      <c r="H376" s="599"/>
      <c r="I376" s="599"/>
    </row>
    <row r="377" spans="1:9">
      <c r="A377" s="594" t="s">
        <v>441</v>
      </c>
      <c r="B377" s="3547" t="s">
        <v>3804</v>
      </c>
      <c r="C377" s="3548"/>
      <c r="D377" s="3548"/>
      <c r="E377" s="3548"/>
      <c r="F377" s="3548"/>
      <c r="G377" s="3548"/>
      <c r="H377" s="3548"/>
      <c r="I377" s="3549"/>
    </row>
    <row r="378" spans="1:9">
      <c r="A378" s="243"/>
      <c r="B378" s="179"/>
      <c r="C378" s="583" t="s">
        <v>140</v>
      </c>
      <c r="D378" s="243" t="s">
        <v>343</v>
      </c>
      <c r="E378" s="584" t="s">
        <v>344</v>
      </c>
      <c r="F378" s="65" t="s">
        <v>482</v>
      </c>
      <c r="G378" s="65" t="s">
        <v>483</v>
      </c>
      <c r="H378" s="65" t="s">
        <v>232</v>
      </c>
      <c r="I378" s="65" t="s">
        <v>171</v>
      </c>
    </row>
    <row r="379" spans="1:9">
      <c r="A379" s="2" t="s">
        <v>3797</v>
      </c>
      <c r="B379" s="18" t="s">
        <v>1549</v>
      </c>
      <c r="C379" s="589">
        <v>1</v>
      </c>
      <c r="D379" s="6" t="s">
        <v>363</v>
      </c>
      <c r="E379" s="585">
        <f>VLOOKUP(B379,MATERIALES!B:C,2,0)</f>
        <v>8036.48</v>
      </c>
      <c r="F379" s="585"/>
      <c r="G379" s="585">
        <f t="shared" ref="G379:G386" si="9">+C379*E379</f>
        <v>8036.48</v>
      </c>
      <c r="H379" s="585"/>
      <c r="I379" s="585"/>
    </row>
    <row r="380" spans="1:9">
      <c r="A380" s="2" t="s">
        <v>3798</v>
      </c>
      <c r="B380" s="18" t="s">
        <v>1713</v>
      </c>
      <c r="C380" s="589">
        <v>15</v>
      </c>
      <c r="D380" s="6" t="s">
        <v>94</v>
      </c>
      <c r="E380" s="585">
        <f>VLOOKUP(B380,MATERIALES!B:C,2,0)</f>
        <v>1303.8399999999999</v>
      </c>
      <c r="F380" s="585"/>
      <c r="G380" s="585">
        <f t="shared" si="9"/>
        <v>19557.599999999999</v>
      </c>
      <c r="H380" s="585"/>
      <c r="I380" s="585"/>
    </row>
    <row r="381" spans="1:9">
      <c r="A381" s="2" t="s">
        <v>1900</v>
      </c>
      <c r="B381" s="18" t="s">
        <v>1901</v>
      </c>
      <c r="C381" s="589">
        <v>1</v>
      </c>
      <c r="D381" s="6" t="s">
        <v>363</v>
      </c>
      <c r="E381" s="585">
        <f>VLOOKUP(B381,MATERIALES!B:C,2,0)</f>
        <v>1250.48</v>
      </c>
      <c r="F381" s="585"/>
      <c r="G381" s="585">
        <f t="shared" si="9"/>
        <v>1250.48</v>
      </c>
      <c r="H381" s="585"/>
      <c r="I381" s="585"/>
    </row>
    <row r="382" spans="1:9">
      <c r="A382" s="2" t="s">
        <v>3799</v>
      </c>
      <c r="B382" s="18" t="s">
        <v>2299</v>
      </c>
      <c r="C382" s="589">
        <v>1</v>
      </c>
      <c r="D382" s="6" t="s">
        <v>363</v>
      </c>
      <c r="E382" s="585">
        <f>VLOOKUP(B382,MATERIALES!B:C,2,0)</f>
        <v>17665.64</v>
      </c>
      <c r="F382" s="585"/>
      <c r="G382" s="585">
        <f t="shared" si="9"/>
        <v>17665.64</v>
      </c>
      <c r="H382" s="585"/>
      <c r="I382" s="585"/>
    </row>
    <row r="383" spans="1:9">
      <c r="A383" s="2" t="s">
        <v>3800</v>
      </c>
      <c r="B383" s="18" t="s">
        <v>1602</v>
      </c>
      <c r="C383" s="589">
        <v>1</v>
      </c>
      <c r="D383" s="6" t="s">
        <v>363</v>
      </c>
      <c r="E383" s="585">
        <f>VLOOKUP(B383,MATERIALES!B:C,2,0)</f>
        <v>11062.92</v>
      </c>
      <c r="F383" s="585"/>
      <c r="G383" s="585">
        <f t="shared" si="9"/>
        <v>11062.92</v>
      </c>
      <c r="H383" s="585"/>
      <c r="I383" s="585"/>
    </row>
    <row r="384" spans="1:9">
      <c r="A384" s="2" t="s">
        <v>3801</v>
      </c>
      <c r="B384" s="18" t="s">
        <v>1569</v>
      </c>
      <c r="C384" s="589">
        <v>1</v>
      </c>
      <c r="D384" s="6" t="s">
        <v>363</v>
      </c>
      <c r="E384" s="585">
        <f>VLOOKUP(B384,MATERIALES!B:C,2,0)</f>
        <v>2228.3599999999997</v>
      </c>
      <c r="F384" s="585"/>
      <c r="G384" s="585">
        <f t="shared" si="9"/>
        <v>2228.3599999999997</v>
      </c>
      <c r="H384" s="585"/>
      <c r="I384" s="585"/>
    </row>
    <row r="385" spans="1:9">
      <c r="A385" s="2" t="s">
        <v>3802</v>
      </c>
      <c r="B385" s="18" t="s">
        <v>2266</v>
      </c>
      <c r="C385" s="589">
        <v>2</v>
      </c>
      <c r="D385" s="6" t="s">
        <v>94</v>
      </c>
      <c r="E385" s="585">
        <f>VLOOKUP(B385,MATERIALES!B:C,2,0)</f>
        <v>2259.6799999999998</v>
      </c>
      <c r="F385" s="585"/>
      <c r="G385" s="585">
        <f t="shared" si="9"/>
        <v>4519.3599999999997</v>
      </c>
      <c r="H385" s="585"/>
      <c r="I385" s="585"/>
    </row>
    <row r="386" spans="1:9">
      <c r="A386" s="2" t="s">
        <v>1613</v>
      </c>
      <c r="B386" s="18" t="s">
        <v>1614</v>
      </c>
      <c r="C386" s="589">
        <v>1</v>
      </c>
      <c r="D386" s="6" t="s">
        <v>94</v>
      </c>
      <c r="E386" s="585">
        <f>VLOOKUP(B386,MATERIALES!B:C,2,0)</f>
        <v>23000</v>
      </c>
      <c r="F386" s="585"/>
      <c r="G386" s="585">
        <f t="shared" si="9"/>
        <v>23000</v>
      </c>
      <c r="H386" s="585"/>
      <c r="I386" s="585"/>
    </row>
    <row r="387" spans="1:9">
      <c r="A387" s="243" t="s">
        <v>584</v>
      </c>
      <c r="B387" s="180" t="s">
        <v>2236</v>
      </c>
      <c r="C387" s="583">
        <v>0.01</v>
      </c>
      <c r="D387" s="243" t="s">
        <v>583</v>
      </c>
      <c r="E387" s="585">
        <f>VLOOKUP(B387,MATERIALES!B:C,2,0)</f>
        <v>750000</v>
      </c>
      <c r="F387" s="65"/>
      <c r="G387" s="65"/>
      <c r="H387" s="65"/>
      <c r="I387" s="65">
        <f>+C387*E387</f>
        <v>7500</v>
      </c>
    </row>
    <row r="388" spans="1:9">
      <c r="A388" s="587" t="s">
        <v>190</v>
      </c>
      <c r="B388" s="588">
        <f>SUM(G388:I388)</f>
        <v>94820.84</v>
      </c>
      <c r="C388" s="583"/>
      <c r="D388" s="169"/>
      <c r="E388" s="585"/>
      <c r="F388" s="65">
        <v>0</v>
      </c>
      <c r="G388" s="65">
        <f>SUM(G379:G386)</f>
        <v>87320.84</v>
      </c>
      <c r="H388" s="65">
        <f>SUM(H387:H387)</f>
        <v>0</v>
      </c>
      <c r="I388" s="65">
        <f>SUM(I387:I387)</f>
        <v>7500</v>
      </c>
    </row>
    <row r="389" spans="1:9">
      <c r="A389" s="21" t="s">
        <v>3622</v>
      </c>
      <c r="B389" s="39">
        <f>+B388*AIU</f>
        <v>28040.655484017982</v>
      </c>
      <c r="C389" s="589"/>
      <c r="D389" s="31"/>
      <c r="E389" s="170"/>
      <c r="F389" s="590"/>
      <c r="G389" s="590"/>
      <c r="H389" s="590"/>
      <c r="I389" s="590"/>
    </row>
    <row r="390" spans="1:9">
      <c r="A390" s="587" t="s">
        <v>191</v>
      </c>
      <c r="B390" s="39">
        <f>SUM(B388:B389)</f>
        <v>122861.49548401797</v>
      </c>
      <c r="C390" s="591" t="s">
        <v>363</v>
      </c>
      <c r="D390" s="13"/>
      <c r="E390" s="170"/>
      <c r="F390" s="170"/>
      <c r="G390" s="170"/>
      <c r="H390" s="170"/>
      <c r="I390" s="170"/>
    </row>
    <row r="391" spans="1:9">
      <c r="A391" s="596"/>
      <c r="B391" s="597"/>
      <c r="C391" s="598"/>
      <c r="D391" s="596"/>
      <c r="E391" s="599"/>
      <c r="F391" s="599"/>
      <c r="G391" s="599"/>
      <c r="H391" s="599"/>
      <c r="I391" s="599"/>
    </row>
    <row r="392" spans="1:9">
      <c r="A392" s="594" t="s">
        <v>441</v>
      </c>
      <c r="B392" s="3547" t="s">
        <v>3805</v>
      </c>
      <c r="C392" s="3548"/>
      <c r="D392" s="3548"/>
      <c r="E392" s="3548"/>
      <c r="F392" s="3548"/>
      <c r="G392" s="3548"/>
      <c r="H392" s="3548"/>
      <c r="I392" s="3549"/>
    </row>
    <row r="393" spans="1:9">
      <c r="A393" s="243"/>
      <c r="B393" s="179"/>
      <c r="C393" s="583" t="s">
        <v>140</v>
      </c>
      <c r="D393" s="243" t="s">
        <v>343</v>
      </c>
      <c r="E393" s="584" t="s">
        <v>344</v>
      </c>
      <c r="F393" s="65" t="s">
        <v>482</v>
      </c>
      <c r="G393" s="65" t="s">
        <v>483</v>
      </c>
      <c r="H393" s="65" t="s">
        <v>232</v>
      </c>
      <c r="I393" s="65" t="s">
        <v>171</v>
      </c>
    </row>
    <row r="394" spans="1:9">
      <c r="A394" s="243" t="s">
        <v>3627</v>
      </c>
      <c r="B394" s="592" t="s">
        <v>1820</v>
      </c>
      <c r="C394" s="583">
        <v>0.5</v>
      </c>
      <c r="D394" s="243" t="s">
        <v>346</v>
      </c>
      <c r="E394" s="585">
        <f>VLOOKUP(B394,MATERIALES!B:C,2,0)</f>
        <v>150000</v>
      </c>
      <c r="F394" s="65"/>
      <c r="G394" s="65"/>
      <c r="H394" s="65">
        <f>+C394*E394</f>
        <v>75000</v>
      </c>
      <c r="I394" s="65"/>
    </row>
    <row r="395" spans="1:9">
      <c r="A395" s="243" t="s">
        <v>172</v>
      </c>
      <c r="B395" s="179" t="s">
        <v>189</v>
      </c>
      <c r="C395" s="583">
        <v>1</v>
      </c>
      <c r="D395" s="160" t="s">
        <v>583</v>
      </c>
      <c r="E395" s="585">
        <f>+H394*0.05</f>
        <v>3750</v>
      </c>
      <c r="F395" s="65"/>
      <c r="G395" s="65"/>
      <c r="H395" s="65"/>
      <c r="I395" s="65">
        <f>+C395*E395</f>
        <v>3750</v>
      </c>
    </row>
    <row r="396" spans="1:9">
      <c r="A396" s="587" t="s">
        <v>190</v>
      </c>
      <c r="B396" s="588">
        <f>SUM(G396:I396)</f>
        <v>78750</v>
      </c>
      <c r="C396" s="583"/>
      <c r="D396" s="169"/>
      <c r="E396" s="585"/>
      <c r="F396" s="65">
        <v>0</v>
      </c>
      <c r="G396" s="65" t="s">
        <v>441</v>
      </c>
      <c r="H396" s="65">
        <f>SUM(H394:H395)</f>
        <v>75000</v>
      </c>
      <c r="I396" s="65">
        <f>SUM(I395:I395)</f>
        <v>3750</v>
      </c>
    </row>
    <row r="397" spans="1:9">
      <c r="A397" s="21" t="s">
        <v>3622</v>
      </c>
      <c r="B397" s="39">
        <f>+B396*AIU</f>
        <v>23288.146565316405</v>
      </c>
      <c r="C397" s="589"/>
      <c r="D397" s="31"/>
      <c r="E397" s="170"/>
      <c r="F397" s="590"/>
      <c r="G397" s="590"/>
      <c r="H397" s="590"/>
      <c r="I397" s="590"/>
    </row>
    <row r="398" spans="1:9">
      <c r="A398" s="587" t="s">
        <v>191</v>
      </c>
      <c r="B398" s="39">
        <f>SUM(B396:B397)</f>
        <v>102038.14656531641</v>
      </c>
      <c r="C398" s="591" t="s">
        <v>363</v>
      </c>
      <c r="D398" s="13"/>
      <c r="E398" s="170"/>
      <c r="F398" s="170"/>
      <c r="G398" s="170"/>
      <c r="H398" s="170"/>
      <c r="I398" s="170"/>
    </row>
    <row r="399" spans="1:9">
      <c r="A399" s="596"/>
      <c r="B399" s="597"/>
      <c r="C399" s="598"/>
      <c r="D399" s="596"/>
      <c r="E399" s="599"/>
      <c r="F399" s="599"/>
      <c r="G399" s="599"/>
      <c r="H399" s="599"/>
      <c r="I399" s="599"/>
    </row>
    <row r="400" spans="1:9">
      <c r="A400" s="609" t="s">
        <v>441</v>
      </c>
      <c r="B400" s="3547" t="s">
        <v>3806</v>
      </c>
      <c r="C400" s="3548"/>
      <c r="D400" s="3548"/>
      <c r="E400" s="3548"/>
      <c r="F400" s="3548"/>
      <c r="G400" s="3548"/>
      <c r="H400" s="3548"/>
      <c r="I400" s="3549"/>
    </row>
    <row r="401" spans="1:9">
      <c r="A401" s="243"/>
      <c r="B401" s="179"/>
      <c r="C401" s="583" t="s">
        <v>140</v>
      </c>
      <c r="D401" s="243" t="s">
        <v>343</v>
      </c>
      <c r="E401" s="584" t="s">
        <v>344</v>
      </c>
      <c r="F401" s="65" t="s">
        <v>482</v>
      </c>
      <c r="G401" s="65" t="s">
        <v>483</v>
      </c>
      <c r="H401" s="65" t="s">
        <v>232</v>
      </c>
      <c r="I401" s="65" t="s">
        <v>171</v>
      </c>
    </row>
    <row r="402" spans="1:9">
      <c r="A402" s="2" t="s">
        <v>1876</v>
      </c>
      <c r="B402" s="18" t="s">
        <v>1877</v>
      </c>
      <c r="C402" s="589">
        <v>1</v>
      </c>
      <c r="D402" s="6" t="s">
        <v>363</v>
      </c>
      <c r="E402" s="585">
        <f>VLOOKUP(B402,MATERIALES!B:C,2,0)</f>
        <v>4332.5999999999995</v>
      </c>
      <c r="F402" s="585"/>
      <c r="G402" s="585">
        <f>+C402*E402</f>
        <v>4332.5999999999995</v>
      </c>
      <c r="H402" s="585"/>
      <c r="I402" s="585"/>
    </row>
    <row r="403" spans="1:9">
      <c r="A403" s="2" t="s">
        <v>1782</v>
      </c>
      <c r="B403" s="18" t="s">
        <v>1783</v>
      </c>
      <c r="C403" s="589">
        <v>1</v>
      </c>
      <c r="D403" s="6" t="s">
        <v>363</v>
      </c>
      <c r="E403" s="585">
        <f>VLOOKUP(B403,MATERIALES!B:C,2,0)</f>
        <v>2459.1999999999998</v>
      </c>
      <c r="F403" s="585"/>
      <c r="G403" s="585">
        <f>+C403*E403</f>
        <v>2459.1999999999998</v>
      </c>
      <c r="H403" s="585"/>
      <c r="I403" s="585"/>
    </row>
    <row r="404" spans="1:9">
      <c r="A404" s="530" t="s">
        <v>1789</v>
      </c>
      <c r="B404" s="531" t="s">
        <v>1790</v>
      </c>
      <c r="C404" s="589">
        <v>1</v>
      </c>
      <c r="D404" s="6" t="s">
        <v>363</v>
      </c>
      <c r="E404" s="585">
        <f>VLOOKUP(B404,MATERIALES!B:C,2,0)</f>
        <v>17800</v>
      </c>
      <c r="F404" s="585"/>
      <c r="G404" s="65">
        <f>+E404*C404</f>
        <v>17800</v>
      </c>
      <c r="H404" s="585"/>
      <c r="I404" s="585"/>
    </row>
    <row r="405" spans="1:9">
      <c r="A405" s="2" t="s">
        <v>1807</v>
      </c>
      <c r="B405" s="18" t="s">
        <v>1808</v>
      </c>
      <c r="C405" s="589">
        <v>1</v>
      </c>
      <c r="D405" s="6" t="s">
        <v>363</v>
      </c>
      <c r="E405" s="585">
        <f>VLOOKUP(B405,MATERIALES!B:C,2,0)</f>
        <v>131731.91999999998</v>
      </c>
      <c r="F405" s="585"/>
      <c r="G405" s="65">
        <f>+E405*C405</f>
        <v>131731.91999999998</v>
      </c>
      <c r="H405" s="585"/>
      <c r="I405" s="585"/>
    </row>
    <row r="406" spans="1:9">
      <c r="A406" s="530" t="s">
        <v>2162</v>
      </c>
      <c r="B406" s="531" t="s">
        <v>2163</v>
      </c>
      <c r="C406" s="589">
        <v>2</v>
      </c>
      <c r="D406" s="6" t="s">
        <v>363</v>
      </c>
      <c r="E406" s="585">
        <f>VLOOKUP(B406,MATERIALES!B:C,2,0)</f>
        <v>9907.7199999999993</v>
      </c>
      <c r="F406" s="585"/>
      <c r="G406" s="585">
        <f>+C406*E406</f>
        <v>19815.439999999999</v>
      </c>
      <c r="H406" s="585"/>
      <c r="I406" s="585"/>
    </row>
    <row r="407" spans="1:9">
      <c r="A407" s="243" t="s">
        <v>3756</v>
      </c>
      <c r="B407" s="179" t="s">
        <v>1553</v>
      </c>
      <c r="C407" s="583">
        <v>6</v>
      </c>
      <c r="D407" s="160" t="s">
        <v>94</v>
      </c>
      <c r="E407" s="585">
        <f>VLOOKUP(B407,MATERIALES!B:C,2,0)</f>
        <v>3595.9999999999995</v>
      </c>
      <c r="F407" s="65"/>
      <c r="G407" s="65">
        <f>+E407*C407</f>
        <v>21575.999999999996</v>
      </c>
      <c r="H407" s="65"/>
      <c r="I407" s="65"/>
    </row>
    <row r="408" spans="1:9">
      <c r="A408" s="2" t="s">
        <v>2000</v>
      </c>
      <c r="B408" s="18" t="s">
        <v>2001</v>
      </c>
      <c r="C408" s="589">
        <v>1</v>
      </c>
      <c r="D408" s="6" t="s">
        <v>363</v>
      </c>
      <c r="E408" s="585">
        <f>VLOOKUP(B408,MATERIALES!B:C,2,0)</f>
        <v>75904.599999999991</v>
      </c>
      <c r="F408" s="585"/>
      <c r="G408" s="65">
        <f>+E408*C408</f>
        <v>75904.599999999991</v>
      </c>
      <c r="H408" s="585"/>
      <c r="I408" s="585"/>
    </row>
    <row r="409" spans="1:9">
      <c r="A409" s="2" t="s">
        <v>1910</v>
      </c>
      <c r="B409" s="18" t="s">
        <v>1852</v>
      </c>
      <c r="C409" s="589">
        <v>2</v>
      </c>
      <c r="D409" s="6" t="s">
        <v>363</v>
      </c>
      <c r="E409" s="585">
        <f>VLOOKUP(B409,MATERIALES!B:C,2,0)</f>
        <v>10000</v>
      </c>
      <c r="F409" s="585"/>
      <c r="G409" s="65">
        <f>+E409*C409</f>
        <v>20000</v>
      </c>
      <c r="H409" s="585"/>
      <c r="I409" s="585"/>
    </row>
    <row r="410" spans="1:9">
      <c r="A410" s="243" t="s">
        <v>3627</v>
      </c>
      <c r="B410" s="592" t="s">
        <v>1820</v>
      </c>
      <c r="C410" s="583">
        <v>0.4</v>
      </c>
      <c r="D410" s="243" t="s">
        <v>346</v>
      </c>
      <c r="E410" s="585">
        <f>VLOOKUP(B410,MATERIALES!B:C,2,0)</f>
        <v>150000</v>
      </c>
      <c r="F410" s="65"/>
      <c r="G410" s="65"/>
      <c r="H410" s="65">
        <f>+C410*E410</f>
        <v>60000</v>
      </c>
      <c r="I410" s="65"/>
    </row>
    <row r="411" spans="1:9">
      <c r="A411" s="243" t="s">
        <v>584</v>
      </c>
      <c r="B411" s="180" t="s">
        <v>2236</v>
      </c>
      <c r="C411" s="583">
        <v>7.857142857142849E-3</v>
      </c>
      <c r="D411" s="243" t="s">
        <v>583</v>
      </c>
      <c r="E411" s="585">
        <f>VLOOKUP(B411,MATERIALES!B:C,2,0)</f>
        <v>750000</v>
      </c>
      <c r="F411" s="65"/>
      <c r="G411" s="65"/>
      <c r="H411" s="65"/>
      <c r="I411" s="65">
        <v>5892.8571428571368</v>
      </c>
    </row>
    <row r="412" spans="1:9">
      <c r="A412" s="243" t="s">
        <v>172</v>
      </c>
      <c r="B412" s="179" t="s">
        <v>189</v>
      </c>
      <c r="C412" s="583">
        <v>1</v>
      </c>
      <c r="D412" s="160" t="s">
        <v>583</v>
      </c>
      <c r="E412" s="585">
        <f>+H410*0.05</f>
        <v>3000</v>
      </c>
      <c r="F412" s="65"/>
      <c r="G412" s="65"/>
      <c r="H412" s="65"/>
      <c r="I412" s="65">
        <v>2700.0761287500009</v>
      </c>
    </row>
    <row r="413" spans="1:9">
      <c r="A413" s="587" t="s">
        <v>190</v>
      </c>
      <c r="B413" s="588">
        <f>SUM(G413:I413)</f>
        <v>362212.6932716071</v>
      </c>
      <c r="C413" s="583"/>
      <c r="D413" s="169"/>
      <c r="E413" s="585"/>
      <c r="F413" s="65">
        <v>0</v>
      </c>
      <c r="G413" s="65">
        <f>SUM(G402:G409)</f>
        <v>293619.75999999995</v>
      </c>
      <c r="H413" s="65">
        <f>SUM(H410:H412)</f>
        <v>60000</v>
      </c>
      <c r="I413" s="65">
        <f>SUM(I411:I412)</f>
        <v>8592.9332716071367</v>
      </c>
    </row>
    <row r="414" spans="1:9">
      <c r="A414" s="21" t="s">
        <v>3622</v>
      </c>
      <c r="B414" s="39">
        <f>+B413*AIU</f>
        <v>107114.441761615</v>
      </c>
      <c r="C414" s="589"/>
      <c r="D414" s="31"/>
      <c r="E414" s="170"/>
      <c r="F414" s="590"/>
      <c r="G414" s="590"/>
      <c r="H414" s="590"/>
      <c r="I414" s="590"/>
    </row>
    <row r="415" spans="1:9">
      <c r="A415" s="587" t="s">
        <v>191</v>
      </c>
      <c r="B415" s="39">
        <f>SUM(B413:B414)</f>
        <v>469327.13503322209</v>
      </c>
      <c r="C415" s="591" t="s">
        <v>363</v>
      </c>
      <c r="D415" s="13"/>
      <c r="E415" s="170"/>
      <c r="F415" s="170"/>
      <c r="G415" s="170"/>
      <c r="H415" s="170"/>
      <c r="I415" s="170"/>
    </row>
    <row r="416" spans="1:9">
      <c r="A416" s="596"/>
      <c r="B416" s="597"/>
      <c r="C416" s="598"/>
      <c r="D416" s="596"/>
      <c r="E416" s="599"/>
      <c r="F416" s="599"/>
      <c r="G416" s="599"/>
      <c r="H416" s="599"/>
      <c r="I416" s="599"/>
    </row>
    <row r="417" spans="1:9">
      <c r="A417" s="609" t="s">
        <v>441</v>
      </c>
      <c r="B417" s="3547" t="s">
        <v>3807</v>
      </c>
      <c r="C417" s="3548"/>
      <c r="D417" s="3548"/>
      <c r="E417" s="3548"/>
      <c r="F417" s="3548"/>
      <c r="G417" s="3548"/>
      <c r="H417" s="3548"/>
      <c r="I417" s="3549"/>
    </row>
    <row r="418" spans="1:9">
      <c r="A418" s="243"/>
      <c r="B418" s="179"/>
      <c r="C418" s="583" t="s">
        <v>140</v>
      </c>
      <c r="D418" s="243" t="s">
        <v>343</v>
      </c>
      <c r="E418" s="584" t="s">
        <v>344</v>
      </c>
      <c r="F418" s="65" t="s">
        <v>482</v>
      </c>
      <c r="G418" s="65" t="s">
        <v>483</v>
      </c>
      <c r="H418" s="65" t="s">
        <v>232</v>
      </c>
      <c r="I418" s="65" t="s">
        <v>171</v>
      </c>
    </row>
    <row r="419" spans="1:9">
      <c r="A419" s="243" t="s">
        <v>3627</v>
      </c>
      <c r="B419" s="592" t="s">
        <v>1820</v>
      </c>
      <c r="C419" s="583">
        <v>0.4</v>
      </c>
      <c r="D419" s="243" t="s">
        <v>346</v>
      </c>
      <c r="E419" s="585">
        <f>VLOOKUP(B419,MATERIALES!B:C,2,0)</f>
        <v>150000</v>
      </c>
      <c r="F419" s="65"/>
      <c r="G419" s="65"/>
      <c r="H419" s="65">
        <f>+C419*E419</f>
        <v>60000</v>
      </c>
      <c r="I419" s="65"/>
    </row>
    <row r="420" spans="1:9">
      <c r="A420" s="243" t="s">
        <v>172</v>
      </c>
      <c r="B420" s="179" t="s">
        <v>189</v>
      </c>
      <c r="C420" s="583">
        <v>1</v>
      </c>
      <c r="D420" s="160" t="s">
        <v>583</v>
      </c>
      <c r="E420" s="585">
        <f>+H419*0.05</f>
        <v>3000</v>
      </c>
      <c r="F420" s="65"/>
      <c r="G420" s="65"/>
      <c r="H420" s="65"/>
      <c r="I420" s="65">
        <v>2700.0761287500009</v>
      </c>
    </row>
    <row r="421" spans="1:9">
      <c r="A421" s="587" t="s">
        <v>190</v>
      </c>
      <c r="B421" s="588">
        <f>SUM(G421:I421)</f>
        <v>62700.076128749999</v>
      </c>
      <c r="C421" s="583"/>
      <c r="D421" s="169"/>
      <c r="E421" s="585"/>
      <c r="F421" s="65">
        <v>0</v>
      </c>
      <c r="G421" s="65" t="s">
        <v>441</v>
      </c>
      <c r="H421" s="65">
        <f>SUM(H419:H420)</f>
        <v>60000</v>
      </c>
      <c r="I421" s="65">
        <f>SUM(I420:I420)</f>
        <v>2700.0761287500009</v>
      </c>
    </row>
    <row r="422" spans="1:9">
      <c r="A422" s="21" t="s">
        <v>3622</v>
      </c>
      <c r="B422" s="39">
        <f>+B421*AIU</f>
        <v>18541.823016416842</v>
      </c>
      <c r="C422" s="589"/>
      <c r="D422" s="31"/>
      <c r="E422" s="170"/>
      <c r="F422" s="590"/>
      <c r="G422" s="590"/>
      <c r="H422" s="590"/>
      <c r="I422" s="590"/>
    </row>
    <row r="423" spans="1:9">
      <c r="A423" s="587" t="s">
        <v>191</v>
      </c>
      <c r="B423" s="39">
        <f>SUM(B421:B422)</f>
        <v>81241.899145166841</v>
      </c>
      <c r="C423" s="591" t="s">
        <v>363</v>
      </c>
      <c r="D423" s="13"/>
      <c r="E423" s="170"/>
      <c r="F423" s="170"/>
      <c r="G423" s="170"/>
      <c r="H423" s="170"/>
      <c r="I423" s="170"/>
    </row>
    <row r="424" spans="1:9">
      <c r="A424" s="596"/>
      <c r="B424" s="597"/>
      <c r="C424" s="598"/>
      <c r="D424" s="596"/>
      <c r="E424" s="599"/>
      <c r="F424" s="599"/>
      <c r="G424" s="599"/>
      <c r="H424" s="599"/>
      <c r="I424" s="599"/>
    </row>
    <row r="425" spans="1:9">
      <c r="A425" s="609" t="s">
        <v>441</v>
      </c>
      <c r="B425" s="3547" t="s">
        <v>3808</v>
      </c>
      <c r="C425" s="3548"/>
      <c r="D425" s="3548"/>
      <c r="E425" s="3548"/>
      <c r="F425" s="3548"/>
      <c r="G425" s="3548"/>
      <c r="H425" s="3548"/>
      <c r="I425" s="3549"/>
    </row>
    <row r="426" spans="1:9">
      <c r="A426" s="243"/>
      <c r="B426" s="179"/>
      <c r="C426" s="583" t="s">
        <v>140</v>
      </c>
      <c r="D426" s="243" t="s">
        <v>343</v>
      </c>
      <c r="E426" s="584" t="s">
        <v>344</v>
      </c>
      <c r="F426" s="65" t="s">
        <v>482</v>
      </c>
      <c r="G426" s="65" t="s">
        <v>483</v>
      </c>
      <c r="H426" s="65" t="s">
        <v>232</v>
      </c>
      <c r="I426" s="65" t="s">
        <v>171</v>
      </c>
    </row>
    <row r="427" spans="1:9">
      <c r="A427" s="530" t="s">
        <v>2160</v>
      </c>
      <c r="B427" s="531" t="s">
        <v>2161</v>
      </c>
      <c r="C427" s="589">
        <v>1</v>
      </c>
      <c r="D427" s="6" t="s">
        <v>363</v>
      </c>
      <c r="E427" s="585">
        <f>VLOOKUP(B427,MATERIALES!B:C,2,0)</f>
        <v>8900</v>
      </c>
      <c r="F427" s="585"/>
      <c r="G427" s="585">
        <f>+C427*E427</f>
        <v>8900</v>
      </c>
      <c r="H427" s="585"/>
      <c r="I427" s="585"/>
    </row>
    <row r="428" spans="1:9">
      <c r="A428" s="2" t="s">
        <v>3776</v>
      </c>
      <c r="B428" s="18" t="s">
        <v>1541</v>
      </c>
      <c r="C428" s="589">
        <v>2</v>
      </c>
      <c r="D428" s="6" t="s">
        <v>363</v>
      </c>
      <c r="E428" s="585">
        <f>VLOOKUP(B428,MATERIALES!B:C,2,0)</f>
        <v>18993.84</v>
      </c>
      <c r="F428" s="585"/>
      <c r="G428" s="585">
        <f>+C428*E428</f>
        <v>37987.68</v>
      </c>
      <c r="H428" s="585"/>
      <c r="I428" s="585"/>
    </row>
    <row r="429" spans="1:9">
      <c r="A429" s="530" t="s">
        <v>2162</v>
      </c>
      <c r="B429" s="531" t="s">
        <v>2163</v>
      </c>
      <c r="C429" s="589">
        <v>1</v>
      </c>
      <c r="D429" s="6" t="s">
        <v>363</v>
      </c>
      <c r="E429" s="585">
        <f>VLOOKUP(B429,MATERIALES!B:C,2,0)</f>
        <v>9907.7199999999993</v>
      </c>
      <c r="F429" s="585"/>
      <c r="G429" s="585">
        <f>+C429*E429</f>
        <v>9907.7199999999993</v>
      </c>
      <c r="H429" s="585"/>
      <c r="I429" s="585"/>
    </row>
    <row r="430" spans="1:9">
      <c r="A430" s="2" t="s">
        <v>1896</v>
      </c>
      <c r="B430" s="18" t="s">
        <v>1897</v>
      </c>
      <c r="C430" s="589">
        <v>2</v>
      </c>
      <c r="D430" s="6" t="s">
        <v>363</v>
      </c>
      <c r="E430" s="585">
        <f>VLOOKUP(B430,MATERIALES!B:C,2,0)</f>
        <v>21135.199999999997</v>
      </c>
      <c r="F430" s="585"/>
      <c r="G430" s="585">
        <f>+C430*E430</f>
        <v>42270.399999999994</v>
      </c>
      <c r="H430" s="585"/>
      <c r="I430" s="585"/>
    </row>
    <row r="431" spans="1:9">
      <c r="A431" s="2" t="s">
        <v>3777</v>
      </c>
      <c r="B431" s="18" t="s">
        <v>2268</v>
      </c>
      <c r="C431" s="589">
        <v>2</v>
      </c>
      <c r="D431" s="6" t="s">
        <v>363</v>
      </c>
      <c r="E431" s="585">
        <f>VLOOKUP(B431,MATERIALES!B:C,2,0)</f>
        <v>5754.7599999999993</v>
      </c>
      <c r="F431" s="585"/>
      <c r="G431" s="585">
        <f>+C431*E431</f>
        <v>11509.519999999999</v>
      </c>
      <c r="H431" s="585"/>
      <c r="I431" s="585"/>
    </row>
    <row r="432" spans="1:9">
      <c r="A432" s="2" t="s">
        <v>3627</v>
      </c>
      <c r="B432" s="100" t="s">
        <v>1820</v>
      </c>
      <c r="C432" s="589">
        <v>0.3</v>
      </c>
      <c r="D432" s="2" t="s">
        <v>346</v>
      </c>
      <c r="E432" s="585">
        <f>VLOOKUP(B432,MATERIALES!B:C,2,0)</f>
        <v>150000</v>
      </c>
      <c r="F432" s="585"/>
      <c r="G432" s="585"/>
      <c r="H432" s="585">
        <f>+C432*E432</f>
        <v>45000</v>
      </c>
      <c r="I432" s="585"/>
    </row>
    <row r="433" spans="1:9">
      <c r="A433" s="2" t="s">
        <v>584</v>
      </c>
      <c r="B433" s="180" t="s">
        <v>2236</v>
      </c>
      <c r="C433" s="589">
        <v>1.0714285714285704E-2</v>
      </c>
      <c r="D433" s="2" t="s">
        <v>583</v>
      </c>
      <c r="E433" s="585">
        <f>VLOOKUP(B433,MATERIALES!B:C,2,0)</f>
        <v>750000</v>
      </c>
      <c r="F433" s="585"/>
      <c r="G433" s="585" t="s">
        <v>441</v>
      </c>
      <c r="H433" s="585"/>
      <c r="I433" s="585">
        <f>+E433*C433</f>
        <v>8035.714285714278</v>
      </c>
    </row>
    <row r="434" spans="1:9">
      <c r="A434" s="2" t="s">
        <v>172</v>
      </c>
      <c r="B434" s="18" t="s">
        <v>189</v>
      </c>
      <c r="C434" s="589">
        <v>1</v>
      </c>
      <c r="D434" s="6" t="s">
        <v>583</v>
      </c>
      <c r="E434" s="585">
        <f>+H432*0.05</f>
        <v>2250</v>
      </c>
      <c r="F434" s="585"/>
      <c r="G434" s="585" t="s">
        <v>441</v>
      </c>
      <c r="H434" s="585"/>
      <c r="I434" s="585">
        <f>+E434*C434</f>
        <v>2250</v>
      </c>
    </row>
    <row r="435" spans="1:9">
      <c r="A435" s="587" t="s">
        <v>190</v>
      </c>
      <c r="B435" s="588">
        <f>SUM(G435:I435)</f>
        <v>165861.0342857143</v>
      </c>
      <c r="C435" s="583"/>
      <c r="D435" s="169"/>
      <c r="E435" s="585"/>
      <c r="F435" s="65">
        <v>0</v>
      </c>
      <c r="G435" s="65">
        <f>SUM(G427:G431)</f>
        <v>110575.31999999999</v>
      </c>
      <c r="H435" s="65">
        <f>SUM(H432:H434)</f>
        <v>45000</v>
      </c>
      <c r="I435" s="65">
        <f>SUM(I433:I434)</f>
        <v>10285.714285714279</v>
      </c>
    </row>
    <row r="436" spans="1:9">
      <c r="A436" s="21" t="s">
        <v>3622</v>
      </c>
      <c r="B436" s="39">
        <f>+B435*AIU</f>
        <v>49048.839059310267</v>
      </c>
      <c r="C436" s="589"/>
      <c r="D436" s="31"/>
      <c r="E436" s="170"/>
      <c r="F436" s="590"/>
      <c r="G436" s="590"/>
      <c r="H436" s="590"/>
      <c r="I436" s="590"/>
    </row>
    <row r="437" spans="1:9">
      <c r="A437" s="587" t="s">
        <v>191</v>
      </c>
      <c r="B437" s="39">
        <f>SUM(B435:B436)</f>
        <v>214909.87334502456</v>
      </c>
      <c r="C437" s="591" t="s">
        <v>363</v>
      </c>
      <c r="D437" s="13"/>
      <c r="E437" s="170"/>
      <c r="F437" s="170"/>
      <c r="G437" s="170"/>
      <c r="H437" s="170"/>
      <c r="I437" s="170"/>
    </row>
    <row r="438" spans="1:9">
      <c r="A438" s="596"/>
      <c r="B438" s="597"/>
      <c r="C438" s="598"/>
      <c r="D438" s="596"/>
      <c r="E438" s="599"/>
      <c r="F438" s="599"/>
      <c r="G438" s="599"/>
      <c r="H438" s="599"/>
      <c r="I438" s="599"/>
    </row>
    <row r="439" spans="1:9">
      <c r="A439" s="609" t="s">
        <v>441</v>
      </c>
      <c r="B439" s="3547" t="s">
        <v>3809</v>
      </c>
      <c r="C439" s="3548"/>
      <c r="D439" s="3548"/>
      <c r="E439" s="3548"/>
      <c r="F439" s="3548"/>
      <c r="G439" s="3548"/>
      <c r="H439" s="3548"/>
      <c r="I439" s="3549"/>
    </row>
    <row r="440" spans="1:9">
      <c r="A440" s="243"/>
      <c r="B440" s="179"/>
      <c r="C440" s="583" t="s">
        <v>140</v>
      </c>
      <c r="D440" s="243" t="s">
        <v>343</v>
      </c>
      <c r="E440" s="584" t="s">
        <v>344</v>
      </c>
      <c r="F440" s="65" t="s">
        <v>482</v>
      </c>
      <c r="G440" s="65" t="s">
        <v>483</v>
      </c>
      <c r="H440" s="65" t="s">
        <v>232</v>
      </c>
      <c r="I440" s="65" t="s">
        <v>171</v>
      </c>
    </row>
    <row r="441" spans="1:9">
      <c r="A441" s="2" t="s">
        <v>3627</v>
      </c>
      <c r="B441" s="100" t="s">
        <v>1820</v>
      </c>
      <c r="C441" s="589">
        <v>0.3</v>
      </c>
      <c r="D441" s="2" t="s">
        <v>346</v>
      </c>
      <c r="E441" s="585">
        <f>VLOOKUP(B441,MATERIALES!B:C,2,0)</f>
        <v>150000</v>
      </c>
      <c r="F441" s="585"/>
      <c r="G441" s="585"/>
      <c r="H441" s="585">
        <f>+C441*E441</f>
        <v>45000</v>
      </c>
      <c r="I441" s="585"/>
    </row>
    <row r="442" spans="1:9">
      <c r="A442" s="2" t="s">
        <v>172</v>
      </c>
      <c r="B442" s="18" t="s">
        <v>189</v>
      </c>
      <c r="C442" s="589">
        <v>1</v>
      </c>
      <c r="D442" s="6" t="s">
        <v>583</v>
      </c>
      <c r="E442" s="585">
        <f>+H441*0.05</f>
        <v>2250</v>
      </c>
      <c r="F442" s="585"/>
      <c r="G442" s="585" t="s">
        <v>441</v>
      </c>
      <c r="H442" s="585"/>
      <c r="I442" s="585">
        <f>+E442*C442</f>
        <v>2250</v>
      </c>
    </row>
    <row r="443" spans="1:9">
      <c r="A443" s="587" t="s">
        <v>190</v>
      </c>
      <c r="B443" s="588">
        <f>SUM(G443:I443)</f>
        <v>47250</v>
      </c>
      <c r="C443" s="583"/>
      <c r="D443" s="169"/>
      <c r="E443" s="585"/>
      <c r="F443" s="65">
        <v>0</v>
      </c>
      <c r="G443" s="65" t="s">
        <v>441</v>
      </c>
      <c r="H443" s="65">
        <f>SUM(H441:H442)</f>
        <v>45000</v>
      </c>
      <c r="I443" s="65">
        <f>SUM(I442:I442)</f>
        <v>2250</v>
      </c>
    </row>
    <row r="444" spans="1:9">
      <c r="A444" s="21" t="s">
        <v>3622</v>
      </c>
      <c r="B444" s="39">
        <f>+B443*AIU</f>
        <v>13972.887939189843</v>
      </c>
      <c r="C444" s="589"/>
      <c r="D444" s="31"/>
      <c r="E444" s="170"/>
      <c r="F444" s="590"/>
      <c r="G444" s="590"/>
      <c r="H444" s="590"/>
      <c r="I444" s="590"/>
    </row>
    <row r="445" spans="1:9">
      <c r="A445" s="587" t="s">
        <v>191</v>
      </c>
      <c r="B445" s="39">
        <f>SUM(B443:B444)</f>
        <v>61222.887939189844</v>
      </c>
      <c r="C445" s="591" t="s">
        <v>363</v>
      </c>
      <c r="D445" s="13"/>
      <c r="E445" s="170"/>
      <c r="F445" s="170"/>
      <c r="G445" s="170"/>
      <c r="H445" s="170"/>
      <c r="I445" s="170"/>
    </row>
    <row r="446" spans="1:9">
      <c r="A446" s="596"/>
      <c r="B446" s="597"/>
      <c r="C446" s="598"/>
      <c r="D446" s="596"/>
      <c r="E446" s="599"/>
      <c r="F446" s="599"/>
      <c r="G446" s="599"/>
      <c r="H446" s="599"/>
      <c r="I446" s="599"/>
    </row>
    <row r="447" spans="1:9">
      <c r="A447" s="609" t="s">
        <v>441</v>
      </c>
      <c r="B447" s="3547" t="s">
        <v>3810</v>
      </c>
      <c r="C447" s="3548"/>
      <c r="D447" s="3548"/>
      <c r="E447" s="3548"/>
      <c r="F447" s="3548"/>
      <c r="G447" s="3548"/>
      <c r="H447" s="3548"/>
      <c r="I447" s="3549"/>
    </row>
    <row r="448" spans="1:9">
      <c r="A448" s="243"/>
      <c r="B448" s="179"/>
      <c r="C448" s="583" t="s">
        <v>140</v>
      </c>
      <c r="D448" s="243" t="s">
        <v>343</v>
      </c>
      <c r="E448" s="584" t="s">
        <v>344</v>
      </c>
      <c r="F448" s="65" t="s">
        <v>482</v>
      </c>
      <c r="G448" s="65" t="s">
        <v>483</v>
      </c>
      <c r="H448" s="65" t="s">
        <v>232</v>
      </c>
      <c r="I448" s="65" t="s">
        <v>171</v>
      </c>
    </row>
    <row r="449" spans="1:9">
      <c r="A449" s="530" t="s">
        <v>2162</v>
      </c>
      <c r="B449" s="531" t="s">
        <v>2163</v>
      </c>
      <c r="C449" s="589">
        <v>1</v>
      </c>
      <c r="D449" s="6" t="s">
        <v>363</v>
      </c>
      <c r="E449" s="585">
        <f>VLOOKUP(B449,MATERIALES!B:C,2,0)</f>
        <v>9907.7199999999993</v>
      </c>
      <c r="F449" s="585"/>
      <c r="G449" s="585">
        <f t="shared" ref="G449:G458" si="10">+C449*E449</f>
        <v>9907.7199999999993</v>
      </c>
      <c r="H449" s="585"/>
      <c r="I449" s="585"/>
    </row>
    <row r="450" spans="1:9">
      <c r="A450" s="2" t="s">
        <v>3776</v>
      </c>
      <c r="B450" s="18" t="s">
        <v>1537</v>
      </c>
      <c r="C450" s="589">
        <v>1</v>
      </c>
      <c r="D450" s="6" t="s">
        <v>363</v>
      </c>
      <c r="E450" s="585">
        <f>VLOOKUP(B450,MATERIALES!B:C,2,0)</f>
        <v>18993.84</v>
      </c>
      <c r="F450" s="585"/>
      <c r="G450" s="585">
        <f t="shared" si="10"/>
        <v>18993.84</v>
      </c>
      <c r="H450" s="585"/>
      <c r="I450" s="585"/>
    </row>
    <row r="451" spans="1:9">
      <c r="A451" s="2" t="s">
        <v>3776</v>
      </c>
      <c r="B451" s="18" t="s">
        <v>1539</v>
      </c>
      <c r="C451" s="589">
        <v>4</v>
      </c>
      <c r="D451" s="6" t="s">
        <v>363</v>
      </c>
      <c r="E451" s="585">
        <f>VLOOKUP(B451,MATERIALES!B:C,2,0)</f>
        <v>18993.84</v>
      </c>
      <c r="F451" s="585"/>
      <c r="G451" s="585">
        <f t="shared" si="10"/>
        <v>75975.360000000001</v>
      </c>
      <c r="H451" s="585"/>
      <c r="I451" s="585"/>
    </row>
    <row r="452" spans="1:9">
      <c r="A452" s="530" t="s">
        <v>1867</v>
      </c>
      <c r="B452" s="531" t="s">
        <v>1868</v>
      </c>
      <c r="C452" s="589">
        <v>2</v>
      </c>
      <c r="D452" s="6" t="s">
        <v>363</v>
      </c>
      <c r="E452" s="585">
        <f>VLOOKUP(B452,MATERIALES!B:C,2,0)</f>
        <v>6380</v>
      </c>
      <c r="F452" s="585"/>
      <c r="G452" s="585">
        <f t="shared" si="10"/>
        <v>12760</v>
      </c>
      <c r="H452" s="585"/>
      <c r="I452" s="585"/>
    </row>
    <row r="453" spans="1:9">
      <c r="A453" s="530" t="s">
        <v>1847</v>
      </c>
      <c r="B453" s="531" t="s">
        <v>1848</v>
      </c>
      <c r="C453" s="589">
        <v>1</v>
      </c>
      <c r="D453" s="6" t="s">
        <v>363</v>
      </c>
      <c r="E453" s="585">
        <f>VLOOKUP(B453,MATERIALES!B:C,2,0)</f>
        <v>18993.84</v>
      </c>
      <c r="F453" s="585"/>
      <c r="G453" s="585">
        <f t="shared" si="10"/>
        <v>18993.84</v>
      </c>
      <c r="H453" s="585"/>
      <c r="I453" s="585"/>
    </row>
    <row r="454" spans="1:9">
      <c r="A454" s="2" t="s">
        <v>3752</v>
      </c>
      <c r="B454" s="18" t="s">
        <v>2161</v>
      </c>
      <c r="C454" s="589">
        <v>1</v>
      </c>
      <c r="D454" s="6" t="s">
        <v>363</v>
      </c>
      <c r="E454" s="585">
        <f>VLOOKUP(B454,MATERIALES!B:C,2,0)</f>
        <v>8900</v>
      </c>
      <c r="F454" s="585"/>
      <c r="G454" s="585">
        <f t="shared" si="10"/>
        <v>8900</v>
      </c>
      <c r="H454" s="585"/>
      <c r="I454" s="585"/>
    </row>
    <row r="455" spans="1:9">
      <c r="A455" s="2" t="s">
        <v>1896</v>
      </c>
      <c r="B455" s="18" t="s">
        <v>1897</v>
      </c>
      <c r="C455" s="589">
        <v>4</v>
      </c>
      <c r="D455" s="6" t="s">
        <v>363</v>
      </c>
      <c r="E455" s="585">
        <f>VLOOKUP(B455,MATERIALES!B:C,2,0)</f>
        <v>21135.199999999997</v>
      </c>
      <c r="F455" s="585"/>
      <c r="G455" s="585">
        <f t="shared" si="10"/>
        <v>84540.799999999988</v>
      </c>
      <c r="H455" s="585"/>
      <c r="I455" s="585"/>
    </row>
    <row r="456" spans="1:9">
      <c r="A456" s="2" t="s">
        <v>1782</v>
      </c>
      <c r="B456" s="18" t="s">
        <v>2268</v>
      </c>
      <c r="C456" s="589">
        <v>4</v>
      </c>
      <c r="D456" s="6" t="s">
        <v>363</v>
      </c>
      <c r="E456" s="585">
        <f>VLOOKUP(B456,MATERIALES!B:C,2,0)</f>
        <v>5754.7599999999993</v>
      </c>
      <c r="F456" s="585"/>
      <c r="G456" s="585">
        <f t="shared" si="10"/>
        <v>23019.039999999997</v>
      </c>
      <c r="H456" s="585"/>
      <c r="I456" s="585"/>
    </row>
    <row r="457" spans="1:9">
      <c r="A457" s="2" t="s">
        <v>3782</v>
      </c>
      <c r="B457" s="18" t="s">
        <v>1842</v>
      </c>
      <c r="C457" s="589">
        <v>2</v>
      </c>
      <c r="D457" s="6" t="s">
        <v>363</v>
      </c>
      <c r="E457" s="585">
        <f>VLOOKUP(B457,MATERIALES!B:C,2,0)</f>
        <v>5755</v>
      </c>
      <c r="F457" s="585"/>
      <c r="G457" s="585">
        <f t="shared" si="10"/>
        <v>11510</v>
      </c>
      <c r="H457" s="585"/>
      <c r="I457" s="585"/>
    </row>
    <row r="458" spans="1:9" ht="33.6">
      <c r="A458" s="2" t="s">
        <v>1784</v>
      </c>
      <c r="B458" s="608" t="s">
        <v>1785</v>
      </c>
      <c r="C458" s="589">
        <v>3</v>
      </c>
      <c r="D458" s="6" t="s">
        <v>363</v>
      </c>
      <c r="E458" s="585">
        <f>VLOOKUP(B458,MATERIALES!B:C,2,0)</f>
        <v>5754.7599999999993</v>
      </c>
      <c r="F458" s="585"/>
      <c r="G458" s="585">
        <f t="shared" si="10"/>
        <v>17264.28</v>
      </c>
      <c r="H458" s="585"/>
      <c r="I458" s="585"/>
    </row>
    <row r="459" spans="1:9">
      <c r="A459" s="243" t="s">
        <v>3627</v>
      </c>
      <c r="B459" s="592" t="s">
        <v>1820</v>
      </c>
      <c r="C459" s="583">
        <v>0.3</v>
      </c>
      <c r="D459" s="243" t="s">
        <v>346</v>
      </c>
      <c r="E459" s="585">
        <f>VLOOKUP(B459,MATERIALES!B:C,2,0)</f>
        <v>150000</v>
      </c>
      <c r="F459" s="65"/>
      <c r="G459" s="65"/>
      <c r="H459" s="65">
        <f>+C459*E459</f>
        <v>45000</v>
      </c>
      <c r="I459" s="65"/>
    </row>
    <row r="460" spans="1:9">
      <c r="A460" s="243" t="s">
        <v>584</v>
      </c>
      <c r="B460" s="180" t="s">
        <v>2236</v>
      </c>
      <c r="C460" s="583">
        <v>1.0714285714285704E-2</v>
      </c>
      <c r="D460" s="243" t="s">
        <v>583</v>
      </c>
      <c r="E460" s="585">
        <f>VLOOKUP(B460,MATERIALES!B:C,2,0)</f>
        <v>750000</v>
      </c>
      <c r="F460" s="65"/>
      <c r="G460" s="585" t="s">
        <v>441</v>
      </c>
      <c r="H460" s="65"/>
      <c r="I460" s="65">
        <f>+E460*C460</f>
        <v>8035.714285714278</v>
      </c>
    </row>
    <row r="461" spans="1:9">
      <c r="A461" s="243" t="s">
        <v>172</v>
      </c>
      <c r="B461" s="179" t="s">
        <v>189</v>
      </c>
      <c r="C461" s="583">
        <v>1</v>
      </c>
      <c r="D461" s="160" t="s">
        <v>583</v>
      </c>
      <c r="E461" s="585">
        <f>+H459*0.05</f>
        <v>2250</v>
      </c>
      <c r="F461" s="65"/>
      <c r="G461" s="585" t="s">
        <v>441</v>
      </c>
      <c r="H461" s="65"/>
      <c r="I461" s="65">
        <f>+E461*C461</f>
        <v>2250</v>
      </c>
    </row>
    <row r="462" spans="1:9">
      <c r="A462" s="587" t="s">
        <v>190</v>
      </c>
      <c r="B462" s="588">
        <f>SUM(G462:I462)</f>
        <v>337150.59428571427</v>
      </c>
      <c r="C462" s="583"/>
      <c r="D462" s="169"/>
      <c r="E462" s="585"/>
      <c r="F462" s="65">
        <v>0</v>
      </c>
      <c r="G462" s="65">
        <f>SUM(G449:G458)</f>
        <v>281864.88</v>
      </c>
      <c r="H462" s="65">
        <f>SUM(H459:H461)</f>
        <v>45000</v>
      </c>
      <c r="I462" s="65">
        <f>SUM(I460:I461)</f>
        <v>10285.714285714279</v>
      </c>
    </row>
    <row r="463" spans="1:9">
      <c r="A463" s="21" t="s">
        <v>3622</v>
      </c>
      <c r="B463" s="39">
        <f>+B462*AIU</f>
        <v>99703.015292815762</v>
      </c>
      <c r="C463" s="589"/>
      <c r="D463" s="31"/>
      <c r="E463" s="170"/>
      <c r="F463" s="590"/>
      <c r="G463" s="590"/>
      <c r="H463" s="590"/>
      <c r="I463" s="590"/>
    </row>
    <row r="464" spans="1:9">
      <c r="A464" s="587" t="s">
        <v>191</v>
      </c>
      <c r="B464" s="39">
        <f>SUM(B462:B463)</f>
        <v>436853.60957853001</v>
      </c>
      <c r="C464" s="591" t="s">
        <v>363</v>
      </c>
      <c r="D464" s="13"/>
      <c r="E464" s="170"/>
      <c r="F464" s="170"/>
      <c r="G464" s="170"/>
      <c r="H464" s="170"/>
      <c r="I464" s="170"/>
    </row>
    <row r="465" spans="1:9">
      <c r="A465" s="596"/>
      <c r="B465" s="597"/>
      <c r="C465" s="598"/>
      <c r="D465" s="596"/>
      <c r="E465" s="599"/>
      <c r="F465" s="599"/>
      <c r="G465" s="599"/>
      <c r="H465" s="599"/>
      <c r="I465" s="599"/>
    </row>
    <row r="466" spans="1:9">
      <c r="A466" s="609" t="s">
        <v>441</v>
      </c>
      <c r="B466" s="3547" t="s">
        <v>3811</v>
      </c>
      <c r="C466" s="3548"/>
      <c r="D466" s="3548"/>
      <c r="E466" s="3548"/>
      <c r="F466" s="3548"/>
      <c r="G466" s="3548"/>
      <c r="H466" s="3548"/>
      <c r="I466" s="3549"/>
    </row>
    <row r="467" spans="1:9">
      <c r="A467" s="243"/>
      <c r="B467" s="179"/>
      <c r="C467" s="583" t="s">
        <v>140</v>
      </c>
      <c r="D467" s="243" t="s">
        <v>343</v>
      </c>
      <c r="E467" s="584" t="s">
        <v>344</v>
      </c>
      <c r="F467" s="65" t="s">
        <v>482</v>
      </c>
      <c r="G467" s="65" t="s">
        <v>483</v>
      </c>
      <c r="H467" s="65" t="s">
        <v>232</v>
      </c>
      <c r="I467" s="65" t="s">
        <v>171</v>
      </c>
    </row>
    <row r="468" spans="1:9">
      <c r="A468" s="243" t="s">
        <v>3627</v>
      </c>
      <c r="B468" s="592" t="s">
        <v>1820</v>
      </c>
      <c r="C468" s="583">
        <v>0.3</v>
      </c>
      <c r="D468" s="243" t="s">
        <v>346</v>
      </c>
      <c r="E468" s="585">
        <v>150000</v>
      </c>
      <c r="F468" s="65"/>
      <c r="G468" s="65"/>
      <c r="H468" s="65">
        <f>+C468*E468</f>
        <v>45000</v>
      </c>
      <c r="I468" s="65"/>
    </row>
    <row r="469" spans="1:9">
      <c r="A469" s="243" t="s">
        <v>172</v>
      </c>
      <c r="B469" s="179" t="s">
        <v>189</v>
      </c>
      <c r="C469" s="583">
        <v>1</v>
      </c>
      <c r="D469" s="160" t="s">
        <v>583</v>
      </c>
      <c r="E469" s="585">
        <f>+H468*0.05</f>
        <v>2250</v>
      </c>
      <c r="F469" s="65"/>
      <c r="G469" s="585" t="s">
        <v>441</v>
      </c>
      <c r="H469" s="65"/>
      <c r="I469" s="65">
        <f>+E469*C469</f>
        <v>2250</v>
      </c>
    </row>
    <row r="470" spans="1:9">
      <c r="A470" s="587" t="s">
        <v>190</v>
      </c>
      <c r="B470" s="588">
        <f>SUM(G470:I470)</f>
        <v>47250</v>
      </c>
      <c r="C470" s="583"/>
      <c r="D470" s="169"/>
      <c r="E470" s="585"/>
      <c r="F470" s="65">
        <v>0</v>
      </c>
      <c r="G470" s="65" t="s">
        <v>441</v>
      </c>
      <c r="H470" s="65">
        <f>SUM(H468:H469)</f>
        <v>45000</v>
      </c>
      <c r="I470" s="65">
        <f>SUM(I469:I469)</f>
        <v>2250</v>
      </c>
    </row>
    <row r="471" spans="1:9">
      <c r="A471" s="21" t="s">
        <v>3708</v>
      </c>
      <c r="B471" s="39">
        <f>+B470*AIU</f>
        <v>13972.887939189843</v>
      </c>
      <c r="C471" s="589"/>
      <c r="D471" s="31"/>
      <c r="E471" s="170"/>
      <c r="F471" s="590"/>
      <c r="G471" s="590"/>
      <c r="H471" s="590"/>
      <c r="I471" s="590"/>
    </row>
    <row r="472" spans="1:9">
      <c r="A472" s="587" t="s">
        <v>191</v>
      </c>
      <c r="B472" s="39">
        <f>SUM(B470:B471)</f>
        <v>61222.887939189844</v>
      </c>
      <c r="C472" s="591" t="s">
        <v>363</v>
      </c>
      <c r="D472" s="13"/>
      <c r="E472" s="170"/>
      <c r="F472" s="170"/>
      <c r="G472" s="170"/>
      <c r="H472" s="170"/>
      <c r="I472" s="170"/>
    </row>
    <row r="473" spans="1:9">
      <c r="A473" s="596"/>
      <c r="B473" s="597"/>
      <c r="C473" s="598"/>
      <c r="D473" s="596"/>
      <c r="E473" s="599"/>
      <c r="F473" s="599"/>
      <c r="G473" s="599"/>
      <c r="H473" s="599"/>
      <c r="I473" s="599"/>
    </row>
    <row r="474" spans="1:9">
      <c r="A474" s="609" t="s">
        <v>441</v>
      </c>
      <c r="B474" s="3547" t="s">
        <v>3812</v>
      </c>
      <c r="C474" s="3548"/>
      <c r="D474" s="3548"/>
      <c r="E474" s="3548"/>
      <c r="F474" s="3548"/>
      <c r="G474" s="3548"/>
      <c r="H474" s="3548"/>
      <c r="I474" s="3549"/>
    </row>
    <row r="475" spans="1:9">
      <c r="A475" s="243"/>
      <c r="B475" s="179"/>
      <c r="C475" s="583" t="s">
        <v>140</v>
      </c>
      <c r="D475" s="243" t="s">
        <v>343</v>
      </c>
      <c r="E475" s="584" t="s">
        <v>344</v>
      </c>
      <c r="F475" s="65" t="s">
        <v>482</v>
      </c>
      <c r="G475" s="65" t="s">
        <v>483</v>
      </c>
      <c r="H475" s="65" t="s">
        <v>232</v>
      </c>
      <c r="I475" s="65" t="s">
        <v>171</v>
      </c>
    </row>
    <row r="476" spans="1:9">
      <c r="A476" s="530" t="s">
        <v>2162</v>
      </c>
      <c r="B476" s="531" t="s">
        <v>2163</v>
      </c>
      <c r="C476" s="589">
        <v>1</v>
      </c>
      <c r="D476" s="6" t="s">
        <v>363</v>
      </c>
      <c r="E476" s="585">
        <f>VLOOKUP(B476,MATERIALES!B:C,2,0)</f>
        <v>9907.7199999999993</v>
      </c>
      <c r="F476" s="585"/>
      <c r="G476" s="585">
        <f>+C476*E476</f>
        <v>9907.7199999999993</v>
      </c>
      <c r="H476" s="585"/>
      <c r="I476" s="585"/>
    </row>
    <row r="477" spans="1:9">
      <c r="A477" s="2" t="s">
        <v>3776</v>
      </c>
      <c r="B477" s="18" t="s">
        <v>1537</v>
      </c>
      <c r="C477" s="589">
        <v>1</v>
      </c>
      <c r="D477" s="6" t="s">
        <v>363</v>
      </c>
      <c r="E477" s="585">
        <f>VLOOKUP(B477,MATERIALES!B:C,2,0)</f>
        <v>18993.84</v>
      </c>
      <c r="F477" s="585"/>
      <c r="G477" s="585">
        <f>+C477*E477</f>
        <v>18993.84</v>
      </c>
      <c r="H477" s="585"/>
      <c r="I477" s="585"/>
    </row>
    <row r="478" spans="1:9">
      <c r="A478" s="2" t="s">
        <v>3786</v>
      </c>
      <c r="B478" s="18" t="s">
        <v>1848</v>
      </c>
      <c r="C478" s="589">
        <v>1</v>
      </c>
      <c r="D478" s="6" t="s">
        <v>363</v>
      </c>
      <c r="E478" s="585">
        <f>VLOOKUP(B478,MATERIALES!B:C,2,0)</f>
        <v>18993.84</v>
      </c>
      <c r="F478" s="585"/>
      <c r="G478" s="585">
        <f>+C478*E478</f>
        <v>18993.84</v>
      </c>
      <c r="H478" s="585"/>
      <c r="I478" s="585"/>
    </row>
    <row r="479" spans="1:9">
      <c r="A479" s="530" t="s">
        <v>1542</v>
      </c>
      <c r="B479" s="531" t="s">
        <v>1543</v>
      </c>
      <c r="C479" s="589">
        <v>1</v>
      </c>
      <c r="D479" s="6" t="s">
        <v>363</v>
      </c>
      <c r="E479" s="585">
        <f>VLOOKUP(B479,MATERIALES!B:C,2,0)</f>
        <v>2100</v>
      </c>
      <c r="F479" s="585"/>
      <c r="G479" s="585">
        <f>+C479*E479</f>
        <v>2100</v>
      </c>
      <c r="H479" s="585"/>
      <c r="I479" s="585"/>
    </row>
    <row r="480" spans="1:9">
      <c r="A480" s="2" t="s">
        <v>3627</v>
      </c>
      <c r="B480" s="100" t="s">
        <v>1820</v>
      </c>
      <c r="C480" s="589">
        <v>0.5</v>
      </c>
      <c r="D480" s="2" t="s">
        <v>346</v>
      </c>
      <c r="E480" s="585">
        <f>VLOOKUP(B480,MATERIALES!B:C,2,0)</f>
        <v>150000</v>
      </c>
      <c r="F480" s="585"/>
      <c r="G480" s="585"/>
      <c r="H480" s="585">
        <f>+C480*E480</f>
        <v>75000</v>
      </c>
      <c r="I480" s="585"/>
    </row>
    <row r="481" spans="1:9">
      <c r="A481" s="2" t="s">
        <v>584</v>
      </c>
      <c r="B481" s="180" t="s">
        <v>2236</v>
      </c>
      <c r="C481" s="589">
        <v>1.0714285714285704E-2</v>
      </c>
      <c r="D481" s="2" t="s">
        <v>583</v>
      </c>
      <c r="E481" s="585">
        <f>VLOOKUP(B481,MATERIALES!B:C,2,0)</f>
        <v>750000</v>
      </c>
      <c r="F481" s="585"/>
      <c r="G481" s="585" t="s">
        <v>441</v>
      </c>
      <c r="H481" s="585"/>
      <c r="I481" s="585">
        <f>+E481*C481</f>
        <v>8035.714285714278</v>
      </c>
    </row>
    <row r="482" spans="1:9">
      <c r="A482" s="2" t="s">
        <v>172</v>
      </c>
      <c r="B482" s="18" t="s">
        <v>189</v>
      </c>
      <c r="C482" s="589">
        <v>1</v>
      </c>
      <c r="D482" s="6" t="s">
        <v>583</v>
      </c>
      <c r="E482" s="585">
        <f>+H480*0.05</f>
        <v>3750</v>
      </c>
      <c r="F482" s="585"/>
      <c r="G482" s="585" t="s">
        <v>441</v>
      </c>
      <c r="H482" s="585"/>
      <c r="I482" s="585">
        <f>+E482*C482</f>
        <v>3750</v>
      </c>
    </row>
    <row r="483" spans="1:9">
      <c r="A483" s="587" t="s">
        <v>190</v>
      </c>
      <c r="B483" s="588">
        <f>SUM(G483:I483)</f>
        <v>136781.11428571428</v>
      </c>
      <c r="C483" s="583"/>
      <c r="D483" s="169"/>
      <c r="E483" s="585"/>
      <c r="F483" s="65">
        <v>0</v>
      </c>
      <c r="G483" s="65">
        <f>SUM(G476:G479)</f>
        <v>49995.399999999994</v>
      </c>
      <c r="H483" s="65">
        <f>SUM(H480:H482)</f>
        <v>75000</v>
      </c>
      <c r="I483" s="65">
        <f>SUM(I481:I482)</f>
        <v>11785.714285714279</v>
      </c>
    </row>
    <row r="484" spans="1:9">
      <c r="A484" s="21" t="s">
        <v>3622</v>
      </c>
      <c r="B484" s="39">
        <f>+B483*AIU</f>
        <v>40449.252531466766</v>
      </c>
      <c r="C484" s="589"/>
      <c r="D484" s="31"/>
      <c r="E484" s="170"/>
      <c r="F484" s="590"/>
      <c r="G484" s="590"/>
      <c r="H484" s="590"/>
      <c r="I484" s="590"/>
    </row>
    <row r="485" spans="1:9">
      <c r="A485" s="587" t="s">
        <v>191</v>
      </c>
      <c r="B485" s="39">
        <f>SUM(B483:B484)</f>
        <v>177230.36681718106</v>
      </c>
      <c r="C485" s="591" t="s">
        <v>363</v>
      </c>
      <c r="D485" s="13"/>
      <c r="E485" s="170"/>
      <c r="F485" s="170"/>
      <c r="G485" s="170"/>
      <c r="H485" s="170"/>
      <c r="I485" s="170"/>
    </row>
    <row r="486" spans="1:9">
      <c r="A486" s="596"/>
      <c r="B486" s="597"/>
      <c r="C486" s="598"/>
      <c r="D486" s="596"/>
      <c r="E486" s="599"/>
      <c r="F486" s="599"/>
      <c r="G486" s="599"/>
      <c r="H486" s="599"/>
      <c r="I486" s="599"/>
    </row>
    <row r="487" spans="1:9">
      <c r="A487" s="609" t="s">
        <v>441</v>
      </c>
      <c r="B487" s="3547" t="s">
        <v>3813</v>
      </c>
      <c r="C487" s="3548"/>
      <c r="D487" s="3548"/>
      <c r="E487" s="3548"/>
      <c r="F487" s="3548"/>
      <c r="G487" s="3548"/>
      <c r="H487" s="3548"/>
      <c r="I487" s="3549"/>
    </row>
    <row r="488" spans="1:9">
      <c r="A488" s="243"/>
      <c r="B488" s="179"/>
      <c r="C488" s="583" t="s">
        <v>140</v>
      </c>
      <c r="D488" s="243" t="s">
        <v>343</v>
      </c>
      <c r="E488" s="584" t="s">
        <v>344</v>
      </c>
      <c r="F488" s="65" t="s">
        <v>482</v>
      </c>
      <c r="G488" s="65" t="s">
        <v>483</v>
      </c>
      <c r="H488" s="65" t="s">
        <v>232</v>
      </c>
      <c r="I488" s="65" t="s">
        <v>171</v>
      </c>
    </row>
    <row r="489" spans="1:9">
      <c r="A489" s="530" t="s">
        <v>2162</v>
      </c>
      <c r="B489" s="531" t="s">
        <v>2163</v>
      </c>
      <c r="C489" s="589">
        <v>1</v>
      </c>
      <c r="D489" s="6" t="s">
        <v>363</v>
      </c>
      <c r="E489" s="585">
        <f>VLOOKUP(B489,MATERIALES!B:C,2,0)</f>
        <v>9907.7199999999993</v>
      </c>
      <c r="F489" s="585"/>
      <c r="G489" s="585">
        <f>+C489*E489</f>
        <v>9907.7199999999993</v>
      </c>
      <c r="H489" s="585"/>
      <c r="I489" s="585"/>
    </row>
    <row r="490" spans="1:9">
      <c r="A490" s="2" t="s">
        <v>3776</v>
      </c>
      <c r="B490" s="18" t="s">
        <v>1537</v>
      </c>
      <c r="C490" s="589">
        <v>1</v>
      </c>
      <c r="D490" s="6" t="s">
        <v>363</v>
      </c>
      <c r="E490" s="585">
        <f>VLOOKUP(B490,MATERIALES!B:C,2,0)</f>
        <v>18993.84</v>
      </c>
      <c r="F490" s="585"/>
      <c r="G490" s="585">
        <f>+C490*E490</f>
        <v>18993.84</v>
      </c>
      <c r="H490" s="585"/>
      <c r="I490" s="585"/>
    </row>
    <row r="491" spans="1:9">
      <c r="A491" s="2" t="s">
        <v>3786</v>
      </c>
      <c r="B491" s="18" t="s">
        <v>1848</v>
      </c>
      <c r="C491" s="589">
        <v>1</v>
      </c>
      <c r="D491" s="6" t="s">
        <v>363</v>
      </c>
      <c r="E491" s="585">
        <f>VLOOKUP(B491,MATERIALES!B:C,2,0)</f>
        <v>18993.84</v>
      </c>
      <c r="F491" s="585"/>
      <c r="G491" s="585">
        <f>+C491*E491</f>
        <v>18993.84</v>
      </c>
      <c r="H491" s="585"/>
      <c r="I491" s="585"/>
    </row>
    <row r="492" spans="1:9">
      <c r="A492" s="530" t="s">
        <v>1542</v>
      </c>
      <c r="B492" s="531" t="s">
        <v>1543</v>
      </c>
      <c r="C492" s="589">
        <v>1</v>
      </c>
      <c r="D492" s="6" t="s">
        <v>363</v>
      </c>
      <c r="E492" s="585">
        <f>VLOOKUP(B492,MATERIALES!B:C,2,0)</f>
        <v>2100</v>
      </c>
      <c r="F492" s="585"/>
      <c r="G492" s="585">
        <f>+C492*E492</f>
        <v>2100</v>
      </c>
      <c r="H492" s="585"/>
      <c r="I492" s="585"/>
    </row>
    <row r="493" spans="1:9">
      <c r="A493" s="2" t="s">
        <v>3627</v>
      </c>
      <c r="B493" s="100" t="s">
        <v>1820</v>
      </c>
      <c r="C493" s="589">
        <v>0.5</v>
      </c>
      <c r="D493" s="2" t="s">
        <v>346</v>
      </c>
      <c r="E493" s="585">
        <f>VLOOKUP(B493,MATERIALES!B:C,2,0)</f>
        <v>150000</v>
      </c>
      <c r="F493" s="585"/>
      <c r="G493" s="585"/>
      <c r="H493" s="585">
        <f>+C493*E493</f>
        <v>75000</v>
      </c>
      <c r="I493" s="585"/>
    </row>
    <row r="494" spans="1:9">
      <c r="A494" s="2" t="s">
        <v>584</v>
      </c>
      <c r="B494" s="180" t="s">
        <v>2236</v>
      </c>
      <c r="C494" s="589">
        <v>1.0714285714285704E-2</v>
      </c>
      <c r="D494" s="2" t="s">
        <v>583</v>
      </c>
      <c r="E494" s="585">
        <f>VLOOKUP(B494,MATERIALES!B:C,2,0)</f>
        <v>750000</v>
      </c>
      <c r="F494" s="585"/>
      <c r="G494" s="585" t="s">
        <v>441</v>
      </c>
      <c r="H494" s="585"/>
      <c r="I494" s="585">
        <f>+E494*C494</f>
        <v>8035.714285714278</v>
      </c>
    </row>
    <row r="495" spans="1:9">
      <c r="A495" s="2" t="s">
        <v>172</v>
      </c>
      <c r="B495" s="18" t="s">
        <v>189</v>
      </c>
      <c r="C495" s="589">
        <v>1</v>
      </c>
      <c r="D495" s="6" t="s">
        <v>583</v>
      </c>
      <c r="E495" s="585">
        <f>+H493*0.05</f>
        <v>3750</v>
      </c>
      <c r="F495" s="585"/>
      <c r="G495" s="585" t="s">
        <v>441</v>
      </c>
      <c r="H495" s="585"/>
      <c r="I495" s="585">
        <f>+E495*C495</f>
        <v>3750</v>
      </c>
    </row>
    <row r="496" spans="1:9">
      <c r="A496" s="587" t="s">
        <v>190</v>
      </c>
      <c r="B496" s="588">
        <f>SUM(G496:I496)</f>
        <v>136781.11428571428</v>
      </c>
      <c r="C496" s="583"/>
      <c r="D496" s="169"/>
      <c r="E496" s="585"/>
      <c r="F496" s="65">
        <v>0</v>
      </c>
      <c r="G496" s="65">
        <f>SUM(G489:G492)</f>
        <v>49995.399999999994</v>
      </c>
      <c r="H496" s="65">
        <f>SUM(H493:H495)</f>
        <v>75000</v>
      </c>
      <c r="I496" s="65">
        <f>SUM(I494:I495)</f>
        <v>11785.714285714279</v>
      </c>
    </row>
    <row r="497" spans="1:9">
      <c r="A497" s="21" t="s">
        <v>3622</v>
      </c>
      <c r="B497" s="39">
        <f>+B496*AIU</f>
        <v>40449.252531466766</v>
      </c>
      <c r="C497" s="589"/>
      <c r="D497" s="31"/>
      <c r="E497" s="170"/>
      <c r="F497" s="590"/>
      <c r="G497" s="590"/>
      <c r="H497" s="590"/>
      <c r="I497" s="590"/>
    </row>
    <row r="498" spans="1:9">
      <c r="A498" s="587" t="s">
        <v>191</v>
      </c>
      <c r="B498" s="39">
        <f>SUM(B496:B497)</f>
        <v>177230.36681718106</v>
      </c>
      <c r="C498" s="591" t="s">
        <v>363</v>
      </c>
      <c r="D498" s="13"/>
      <c r="E498" s="170"/>
      <c r="F498" s="170"/>
      <c r="G498" s="170"/>
      <c r="H498" s="170"/>
      <c r="I498" s="170"/>
    </row>
    <row r="499" spans="1:9">
      <c r="A499" s="596"/>
      <c r="B499" s="597"/>
      <c r="C499" s="598"/>
      <c r="D499" s="596"/>
      <c r="E499" s="599"/>
      <c r="F499" s="599"/>
      <c r="G499" s="599"/>
      <c r="H499" s="599"/>
      <c r="I499" s="599"/>
    </row>
    <row r="500" spans="1:9">
      <c r="A500" s="609" t="s">
        <v>441</v>
      </c>
      <c r="B500" s="3547" t="s">
        <v>3814</v>
      </c>
      <c r="C500" s="3548"/>
      <c r="D500" s="3548"/>
      <c r="E500" s="3548"/>
      <c r="F500" s="3548"/>
      <c r="G500" s="3548"/>
      <c r="H500" s="3548"/>
      <c r="I500" s="3549"/>
    </row>
    <row r="501" spans="1:9">
      <c r="A501" s="243"/>
      <c r="B501" s="179"/>
      <c r="C501" s="583" t="s">
        <v>140</v>
      </c>
      <c r="D501" s="243" t="s">
        <v>343</v>
      </c>
      <c r="E501" s="584" t="s">
        <v>344</v>
      </c>
      <c r="F501" s="65" t="s">
        <v>482</v>
      </c>
      <c r="G501" s="65" t="s">
        <v>483</v>
      </c>
      <c r="H501" s="65" t="s">
        <v>232</v>
      </c>
      <c r="I501" s="65" t="s">
        <v>171</v>
      </c>
    </row>
    <row r="502" spans="1:9">
      <c r="A502" s="530" t="s">
        <v>2162</v>
      </c>
      <c r="B502" s="531" t="s">
        <v>2163</v>
      </c>
      <c r="C502" s="589">
        <v>1</v>
      </c>
      <c r="D502" s="6" t="s">
        <v>363</v>
      </c>
      <c r="E502" s="585">
        <f>VLOOKUP(B502,MATERIALES!B:C,2,0)</f>
        <v>9907.7199999999993</v>
      </c>
      <c r="F502" s="585"/>
      <c r="G502" s="585">
        <f t="shared" ref="G502:G508" si="11">+C502*E502</f>
        <v>9907.7199999999993</v>
      </c>
      <c r="H502" s="585"/>
      <c r="I502" s="585"/>
    </row>
    <row r="503" spans="1:9">
      <c r="A503" s="530" t="s">
        <v>2160</v>
      </c>
      <c r="B503" s="531" t="s">
        <v>2161</v>
      </c>
      <c r="C503" s="589">
        <v>1</v>
      </c>
      <c r="D503" s="6" t="s">
        <v>363</v>
      </c>
      <c r="E503" s="585">
        <f>VLOOKUP(B503,MATERIALES!B:C,2,0)</f>
        <v>8900</v>
      </c>
      <c r="F503" s="585"/>
      <c r="G503" s="585">
        <f t="shared" si="11"/>
        <v>8900</v>
      </c>
      <c r="H503" s="585"/>
      <c r="I503" s="585"/>
    </row>
    <row r="504" spans="1:9">
      <c r="A504" s="546" t="s">
        <v>2006</v>
      </c>
      <c r="B504" s="531" t="s">
        <v>2007</v>
      </c>
      <c r="C504" s="589">
        <v>1</v>
      </c>
      <c r="D504" s="6" t="s">
        <v>363</v>
      </c>
      <c r="E504" s="585">
        <f>VLOOKUP(B504,MATERIALES!B:C,2,0)</f>
        <v>5974</v>
      </c>
      <c r="F504" s="585"/>
      <c r="G504" s="585">
        <f t="shared" si="11"/>
        <v>5974</v>
      </c>
      <c r="H504" s="585"/>
      <c r="I504" s="585"/>
    </row>
    <row r="505" spans="1:9">
      <c r="A505" s="530" t="s">
        <v>2160</v>
      </c>
      <c r="B505" s="531" t="s">
        <v>2161</v>
      </c>
      <c r="C505" s="589">
        <v>1</v>
      </c>
      <c r="D505" s="6" t="s">
        <v>363</v>
      </c>
      <c r="E505" s="585">
        <f>VLOOKUP(B505,MATERIALES!B:C,2,0)</f>
        <v>8900</v>
      </c>
      <c r="F505" s="585"/>
      <c r="G505" s="585">
        <f t="shared" si="11"/>
        <v>8900</v>
      </c>
      <c r="H505" s="585"/>
      <c r="I505" s="585"/>
    </row>
    <row r="506" spans="1:9">
      <c r="A506" s="530" t="s">
        <v>1538</v>
      </c>
      <c r="B506" s="531" t="s">
        <v>1539</v>
      </c>
      <c r="C506" s="589">
        <v>2</v>
      </c>
      <c r="D506" s="6" t="s">
        <v>363</v>
      </c>
      <c r="E506" s="585">
        <f>VLOOKUP(B506,MATERIALES!B:C,2,0)</f>
        <v>18993.84</v>
      </c>
      <c r="F506" s="585"/>
      <c r="G506" s="585">
        <f t="shared" si="11"/>
        <v>37987.68</v>
      </c>
      <c r="H506" s="585"/>
      <c r="I506" s="585"/>
    </row>
    <row r="507" spans="1:9">
      <c r="A507" s="530" t="s">
        <v>1894</v>
      </c>
      <c r="B507" s="531" t="s">
        <v>1895</v>
      </c>
      <c r="C507" s="589">
        <v>1</v>
      </c>
      <c r="D507" s="6" t="s">
        <v>363</v>
      </c>
      <c r="E507" s="585">
        <f>VLOOKUP(B507,MATERIALES!B:C,2,0)</f>
        <v>5286.12</v>
      </c>
      <c r="F507" s="585"/>
      <c r="G507" s="585">
        <f t="shared" si="11"/>
        <v>5286.12</v>
      </c>
      <c r="H507" s="585"/>
      <c r="I507" s="585"/>
    </row>
    <row r="508" spans="1:9">
      <c r="A508" s="2" t="s">
        <v>1782</v>
      </c>
      <c r="B508" s="18" t="s">
        <v>2268</v>
      </c>
      <c r="C508" s="589">
        <v>1</v>
      </c>
      <c r="D508" s="6" t="s">
        <v>363</v>
      </c>
      <c r="E508" s="585">
        <f>VLOOKUP(B508,MATERIALES!B:C,2,0)</f>
        <v>5754.7599999999993</v>
      </c>
      <c r="F508" s="585"/>
      <c r="G508" s="585">
        <f t="shared" si="11"/>
        <v>5754.7599999999993</v>
      </c>
      <c r="H508" s="585"/>
      <c r="I508" s="585"/>
    </row>
    <row r="509" spans="1:9">
      <c r="A509" s="2" t="s">
        <v>3627</v>
      </c>
      <c r="B509" s="100" t="s">
        <v>1820</v>
      </c>
      <c r="C509" s="589">
        <v>0.5</v>
      </c>
      <c r="D509" s="2" t="s">
        <v>346</v>
      </c>
      <c r="E509" s="585">
        <f>VLOOKUP(B509,MATERIALES!B:C,2,0)</f>
        <v>150000</v>
      </c>
      <c r="F509" s="585"/>
      <c r="G509" s="585"/>
      <c r="H509" s="585">
        <f>+C509*E509</f>
        <v>75000</v>
      </c>
      <c r="I509" s="585"/>
    </row>
    <row r="510" spans="1:9">
      <c r="A510" s="2" t="s">
        <v>584</v>
      </c>
      <c r="B510" s="180" t="s">
        <v>2236</v>
      </c>
      <c r="C510" s="589">
        <v>1.0714285714285704E-2</v>
      </c>
      <c r="D510" s="2" t="s">
        <v>583</v>
      </c>
      <c r="E510" s="585">
        <f>VLOOKUP(B510,MATERIALES!B:C,2,0)</f>
        <v>750000</v>
      </c>
      <c r="F510" s="585"/>
      <c r="G510" s="585" t="s">
        <v>441</v>
      </c>
      <c r="H510" s="585"/>
      <c r="I510" s="585">
        <f>+E510*C510</f>
        <v>8035.714285714278</v>
      </c>
    </row>
    <row r="511" spans="1:9">
      <c r="A511" s="2" t="s">
        <v>172</v>
      </c>
      <c r="B511" s="18" t="s">
        <v>189</v>
      </c>
      <c r="C511" s="589">
        <v>1</v>
      </c>
      <c r="D511" s="6" t="s">
        <v>583</v>
      </c>
      <c r="E511" s="585">
        <f>+H509*0.05</f>
        <v>3750</v>
      </c>
      <c r="F511" s="585"/>
      <c r="G511" s="585" t="s">
        <v>441</v>
      </c>
      <c r="H511" s="585"/>
      <c r="I511" s="585">
        <f>+E511*C511</f>
        <v>3750</v>
      </c>
    </row>
    <row r="512" spans="1:9">
      <c r="A512" s="587" t="s">
        <v>190</v>
      </c>
      <c r="B512" s="588">
        <f>SUM(G512:I512)</f>
        <v>169495.99428571426</v>
      </c>
      <c r="C512" s="583"/>
      <c r="D512" s="169"/>
      <c r="E512" s="585"/>
      <c r="F512" s="65">
        <v>0</v>
      </c>
      <c r="G512" s="65">
        <f>SUM(G502:G508)</f>
        <v>82710.279999999984</v>
      </c>
      <c r="H512" s="65">
        <f>SUM(H509:H511)</f>
        <v>75000</v>
      </c>
      <c r="I512" s="65">
        <f>SUM(I510:I511)</f>
        <v>11785.714285714279</v>
      </c>
    </row>
    <row r="513" spans="1:9">
      <c r="A513" s="21" t="s">
        <v>3622</v>
      </c>
      <c r="B513" s="39">
        <f>+B512*AIU</f>
        <v>50123.778503615817</v>
      </c>
      <c r="C513" s="589"/>
      <c r="D513" s="31"/>
      <c r="E513" s="170"/>
      <c r="F513" s="590"/>
      <c r="G513" s="590"/>
      <c r="H513" s="590"/>
      <c r="I513" s="590"/>
    </row>
    <row r="514" spans="1:9">
      <c r="A514" s="587" t="s">
        <v>191</v>
      </c>
      <c r="B514" s="39">
        <f>SUM(B512:B513)</f>
        <v>219619.77278933008</v>
      </c>
      <c r="C514" s="591" t="s">
        <v>363</v>
      </c>
      <c r="D514" s="13"/>
      <c r="E514" s="170"/>
      <c r="F514" s="170"/>
      <c r="G514" s="170"/>
      <c r="H514" s="170"/>
      <c r="I514" s="170"/>
    </row>
    <row r="515" spans="1:9">
      <c r="A515" s="596"/>
      <c r="B515" s="597"/>
      <c r="C515" s="598"/>
      <c r="D515" s="596"/>
      <c r="E515" s="599"/>
      <c r="F515" s="599"/>
      <c r="G515" s="599"/>
      <c r="H515" s="599"/>
      <c r="I515" s="599"/>
    </row>
    <row r="516" spans="1:9">
      <c r="A516" s="609" t="s">
        <v>441</v>
      </c>
      <c r="B516" s="3547" t="s">
        <v>3815</v>
      </c>
      <c r="C516" s="3548"/>
      <c r="D516" s="3548"/>
      <c r="E516" s="3548"/>
      <c r="F516" s="3548"/>
      <c r="G516" s="3548"/>
      <c r="H516" s="3548"/>
      <c r="I516" s="3549"/>
    </row>
    <row r="517" spans="1:9">
      <c r="A517" s="243"/>
      <c r="B517" s="179"/>
      <c r="C517" s="583" t="s">
        <v>140</v>
      </c>
      <c r="D517" s="243" t="s">
        <v>343</v>
      </c>
      <c r="E517" s="584" t="s">
        <v>344</v>
      </c>
      <c r="F517" s="65" t="s">
        <v>482</v>
      </c>
      <c r="G517" s="65" t="s">
        <v>483</v>
      </c>
      <c r="H517" s="65" t="s">
        <v>232</v>
      </c>
      <c r="I517" s="65" t="s">
        <v>171</v>
      </c>
    </row>
    <row r="518" spans="1:9">
      <c r="A518" s="2" t="s">
        <v>3627</v>
      </c>
      <c r="B518" s="100" t="s">
        <v>1820</v>
      </c>
      <c r="C518" s="589">
        <v>0.5</v>
      </c>
      <c r="D518" s="2" t="s">
        <v>346</v>
      </c>
      <c r="E518" s="585">
        <f>VLOOKUP(B518,MATERIALES!B:C,2,0)</f>
        <v>150000</v>
      </c>
      <c r="F518" s="585"/>
      <c r="G518" s="585"/>
      <c r="H518" s="585">
        <f>+C518*E518</f>
        <v>75000</v>
      </c>
      <c r="I518" s="585"/>
    </row>
    <row r="519" spans="1:9">
      <c r="A519" s="2" t="s">
        <v>172</v>
      </c>
      <c r="B519" s="18" t="s">
        <v>189</v>
      </c>
      <c r="C519" s="589">
        <v>1</v>
      </c>
      <c r="D519" s="6" t="s">
        <v>583</v>
      </c>
      <c r="E519" s="585">
        <f>+H518*0.05</f>
        <v>3750</v>
      </c>
      <c r="F519" s="585"/>
      <c r="G519" s="585" t="s">
        <v>441</v>
      </c>
      <c r="H519" s="585"/>
      <c r="I519" s="585">
        <f>+E519*C519</f>
        <v>3750</v>
      </c>
    </row>
    <row r="520" spans="1:9">
      <c r="A520" s="587" t="s">
        <v>190</v>
      </c>
      <c r="B520" s="588">
        <f>SUM(G520:I520)</f>
        <v>78750</v>
      </c>
      <c r="C520" s="583"/>
      <c r="D520" s="169"/>
      <c r="E520" s="585"/>
      <c r="F520" s="65">
        <v>0</v>
      </c>
      <c r="G520" s="65" t="s">
        <v>441</v>
      </c>
      <c r="H520" s="65">
        <f>SUM(H518:H519)</f>
        <v>75000</v>
      </c>
      <c r="I520" s="65">
        <f>SUM(I519:I519)</f>
        <v>3750</v>
      </c>
    </row>
    <row r="521" spans="1:9">
      <c r="A521" s="21" t="s">
        <v>3622</v>
      </c>
      <c r="B521" s="39">
        <f>+B520*AIU</f>
        <v>23288.146565316405</v>
      </c>
      <c r="C521" s="589"/>
      <c r="D521" s="31"/>
      <c r="E521" s="170"/>
      <c r="F521" s="590"/>
      <c r="G521" s="590"/>
      <c r="H521" s="590"/>
      <c r="I521" s="590"/>
    </row>
    <row r="522" spans="1:9">
      <c r="A522" s="587" t="s">
        <v>191</v>
      </c>
      <c r="B522" s="39">
        <f>SUM(B520:B521)</f>
        <v>102038.14656531641</v>
      </c>
      <c r="C522" s="591" t="s">
        <v>363</v>
      </c>
      <c r="D522" s="13"/>
      <c r="E522" s="170"/>
      <c r="F522" s="170"/>
      <c r="G522" s="170"/>
      <c r="H522" s="170"/>
      <c r="I522" s="170"/>
    </row>
    <row r="523" spans="1:9">
      <c r="A523" s="596"/>
      <c r="B523" s="597"/>
      <c r="C523" s="598"/>
      <c r="D523" s="596"/>
      <c r="E523" s="599"/>
      <c r="F523" s="599"/>
      <c r="G523" s="599"/>
      <c r="H523" s="599"/>
      <c r="I523" s="599"/>
    </row>
    <row r="524" spans="1:9">
      <c r="A524" s="594" t="s">
        <v>441</v>
      </c>
      <c r="B524" s="3547" t="s">
        <v>3816</v>
      </c>
      <c r="C524" s="3548"/>
      <c r="D524" s="3548"/>
      <c r="E524" s="3548"/>
      <c r="F524" s="3548"/>
      <c r="G524" s="3548"/>
      <c r="H524" s="3548"/>
      <c r="I524" s="3549"/>
    </row>
    <row r="525" spans="1:9">
      <c r="A525" s="243" t="s">
        <v>1520</v>
      </c>
      <c r="B525" s="179" t="s">
        <v>1521</v>
      </c>
      <c r="C525" s="583" t="s">
        <v>140</v>
      </c>
      <c r="D525" s="243" t="s">
        <v>343</v>
      </c>
      <c r="E525" s="584" t="s">
        <v>344</v>
      </c>
      <c r="F525" s="65" t="s">
        <v>482</v>
      </c>
      <c r="G525" s="65" t="s">
        <v>483</v>
      </c>
      <c r="H525" s="65" t="s">
        <v>232</v>
      </c>
      <c r="I525" s="65" t="s">
        <v>171</v>
      </c>
    </row>
    <row r="526" spans="1:9">
      <c r="A526" s="2" t="s">
        <v>2048</v>
      </c>
      <c r="B526" s="18" t="s">
        <v>2049</v>
      </c>
      <c r="C526" s="589">
        <v>1</v>
      </c>
      <c r="D526" s="6" t="s">
        <v>363</v>
      </c>
      <c r="E526" s="585">
        <f>VLOOKUP(B526,MATERIALES!B:C,2,0)</f>
        <v>14267.999999999998</v>
      </c>
      <c r="F526" s="585"/>
      <c r="G526" s="585">
        <f t="shared" ref="G526:G527" si="12">+C526*E526</f>
        <v>14267.999999999998</v>
      </c>
      <c r="H526" s="585"/>
      <c r="I526" s="585"/>
    </row>
    <row r="527" spans="1:9">
      <c r="A527" s="2" t="s">
        <v>3752</v>
      </c>
      <c r="B527" s="18" t="s">
        <v>2159</v>
      </c>
      <c r="C527" s="589">
        <v>1</v>
      </c>
      <c r="D527" s="6" t="s">
        <v>363</v>
      </c>
      <c r="E527" s="585">
        <f>VLOOKUP(B527,MATERIALES!B:C,2,0)</f>
        <v>7907.7199999999993</v>
      </c>
      <c r="F527" s="585"/>
      <c r="G527" s="585">
        <f t="shared" si="12"/>
        <v>7907.7199999999993</v>
      </c>
      <c r="H527" s="585"/>
      <c r="I527" s="585"/>
    </row>
    <row r="528" spans="1:9">
      <c r="A528" s="2" t="s">
        <v>584</v>
      </c>
      <c r="B528" s="180" t="s">
        <v>2236</v>
      </c>
      <c r="C528" s="589">
        <v>1.0714285714285704E-2</v>
      </c>
      <c r="D528" s="2" t="s">
        <v>583</v>
      </c>
      <c r="E528" s="585">
        <f>VLOOKUP(B528,MATERIALES!B:C,2,0)</f>
        <v>750000</v>
      </c>
      <c r="F528" s="585"/>
      <c r="G528" s="585" t="s">
        <v>441</v>
      </c>
      <c r="H528" s="585"/>
      <c r="I528" s="585">
        <f>+E528*C528</f>
        <v>8035.714285714278</v>
      </c>
    </row>
    <row r="529" spans="1:9">
      <c r="A529" s="587" t="s">
        <v>190</v>
      </c>
      <c r="B529" s="588">
        <f>SUM(G529:I529)</f>
        <v>30211.434285714276</v>
      </c>
      <c r="C529" s="583"/>
      <c r="D529" s="169"/>
      <c r="E529" s="585"/>
      <c r="F529" s="65">
        <v>0</v>
      </c>
      <c r="G529" s="65">
        <f>SUM(G526:G527)</f>
        <v>22175.719999999998</v>
      </c>
      <c r="H529" s="65">
        <f>SUM(H528:H528)</f>
        <v>0</v>
      </c>
      <c r="I529" s="65">
        <f>SUM(I528:I528)</f>
        <v>8035.714285714278</v>
      </c>
    </row>
    <row r="530" spans="1:9">
      <c r="A530" s="21" t="s">
        <v>3622</v>
      </c>
      <c r="B530" s="39">
        <f>+B529*AIU</f>
        <v>8934.2007567509736</v>
      </c>
      <c r="C530" s="589"/>
      <c r="D530" s="31"/>
      <c r="E530" s="170"/>
      <c r="F530" s="590"/>
      <c r="G530" s="590"/>
      <c r="H530" s="590"/>
      <c r="I530" s="590"/>
    </row>
    <row r="531" spans="1:9">
      <c r="A531" s="587" t="s">
        <v>191</v>
      </c>
      <c r="B531" s="39">
        <f>SUM(B529:B530)</f>
        <v>39145.635042465248</v>
      </c>
      <c r="C531" s="591" t="s">
        <v>363</v>
      </c>
      <c r="D531" s="13"/>
      <c r="E531" s="170"/>
      <c r="F531" s="170"/>
      <c r="G531" s="170"/>
      <c r="H531" s="170"/>
      <c r="I531" s="170"/>
    </row>
    <row r="532" spans="1:9">
      <c r="A532" s="596"/>
      <c r="B532" s="597"/>
      <c r="C532" s="598"/>
      <c r="D532" s="596"/>
      <c r="E532" s="599"/>
      <c r="F532" s="599"/>
      <c r="G532" s="599"/>
      <c r="H532" s="599"/>
      <c r="I532" s="599"/>
    </row>
    <row r="533" spans="1:9">
      <c r="A533" s="594" t="s">
        <v>441</v>
      </c>
      <c r="B533" s="3547" t="s">
        <v>3817</v>
      </c>
      <c r="C533" s="3548"/>
      <c r="D533" s="3548"/>
      <c r="E533" s="3548"/>
      <c r="F533" s="3548"/>
      <c r="G533" s="3548"/>
      <c r="H533" s="3548"/>
      <c r="I533" s="3549"/>
    </row>
    <row r="534" spans="1:9">
      <c r="A534" s="243" t="s">
        <v>1520</v>
      </c>
      <c r="B534" s="179" t="s">
        <v>1521</v>
      </c>
      <c r="C534" s="583" t="s">
        <v>140</v>
      </c>
      <c r="D534" s="243" t="s">
        <v>343</v>
      </c>
      <c r="E534" s="584" t="s">
        <v>344</v>
      </c>
      <c r="F534" s="65" t="s">
        <v>482</v>
      </c>
      <c r="G534" s="65" t="s">
        <v>483</v>
      </c>
      <c r="H534" s="65" t="s">
        <v>232</v>
      </c>
      <c r="I534" s="65" t="s">
        <v>171</v>
      </c>
    </row>
    <row r="535" spans="1:9">
      <c r="A535" s="2" t="s">
        <v>3627</v>
      </c>
      <c r="B535" s="100" t="s">
        <v>1820</v>
      </c>
      <c r="C535" s="589">
        <v>0.15</v>
      </c>
      <c r="D535" s="2" t="s">
        <v>346</v>
      </c>
      <c r="E535" s="585">
        <f>VLOOKUP(B535,MATERIALES!B:C,2,0)</f>
        <v>150000</v>
      </c>
      <c r="F535" s="585"/>
      <c r="G535" s="585"/>
      <c r="H535" s="585">
        <f>+C535*E535</f>
        <v>22500</v>
      </c>
      <c r="I535" s="585"/>
    </row>
    <row r="536" spans="1:9">
      <c r="A536" s="2" t="s">
        <v>172</v>
      </c>
      <c r="B536" s="18" t="s">
        <v>189</v>
      </c>
      <c r="C536" s="589">
        <v>1</v>
      </c>
      <c r="D536" s="6" t="s">
        <v>583</v>
      </c>
      <c r="E536" s="585">
        <f>0.05*E535</f>
        <v>7500</v>
      </c>
      <c r="F536" s="585"/>
      <c r="G536" s="585" t="s">
        <v>441</v>
      </c>
      <c r="H536" s="585"/>
      <c r="I536" s="585">
        <f>+E536*C536</f>
        <v>7500</v>
      </c>
    </row>
    <row r="537" spans="1:9">
      <c r="A537" s="587" t="s">
        <v>190</v>
      </c>
      <c r="B537" s="588">
        <f>SUM(G537:I537)</f>
        <v>30000</v>
      </c>
      <c r="C537" s="583"/>
      <c r="D537" s="169"/>
      <c r="E537" s="585"/>
      <c r="F537" s="65">
        <v>0</v>
      </c>
      <c r="G537" s="65"/>
      <c r="H537" s="65">
        <f>SUM(H535:H536)</f>
        <v>22500</v>
      </c>
      <c r="I537" s="65">
        <f>SUM(I536:I536)</f>
        <v>7500</v>
      </c>
    </row>
    <row r="538" spans="1:9">
      <c r="A538" s="21" t="s">
        <v>3622</v>
      </c>
      <c r="B538" s="39">
        <f>+B537*AIU</f>
        <v>8871.674882025296</v>
      </c>
      <c r="C538" s="589"/>
      <c r="D538" s="31"/>
      <c r="E538" s="170"/>
      <c r="F538" s="590"/>
      <c r="G538" s="590"/>
      <c r="H538" s="590"/>
      <c r="I538" s="590"/>
    </row>
    <row r="539" spans="1:9">
      <c r="A539" s="587" t="s">
        <v>191</v>
      </c>
      <c r="B539" s="39">
        <f>SUM(B537:B538)</f>
        <v>38871.674882025298</v>
      </c>
      <c r="C539" s="591" t="s">
        <v>363</v>
      </c>
      <c r="D539" s="13"/>
      <c r="E539" s="170"/>
      <c r="F539" s="170"/>
      <c r="G539" s="170"/>
      <c r="H539" s="170"/>
      <c r="I539" s="170"/>
    </row>
    <row r="540" spans="1:9">
      <c r="A540" s="596"/>
      <c r="B540" s="597"/>
      <c r="C540" s="598"/>
      <c r="D540" s="596"/>
      <c r="E540" s="599"/>
      <c r="F540" s="599"/>
      <c r="G540" s="599"/>
      <c r="H540" s="599"/>
      <c r="I540" s="599"/>
    </row>
    <row r="541" spans="1:9">
      <c r="E541" s="580"/>
    </row>
    <row r="542" spans="1:9">
      <c r="E542" s="580"/>
    </row>
    <row r="543" spans="1:9">
      <c r="E543" s="580"/>
    </row>
    <row r="544" spans="1:9">
      <c r="E544" s="579"/>
    </row>
    <row r="545" spans="1:5" ht="19.2">
      <c r="A545" s="1116" t="s">
        <v>4332</v>
      </c>
      <c r="B545" s="932"/>
      <c r="E545" s="579"/>
    </row>
    <row r="546" spans="1:5" ht="19.2">
      <c r="A546" s="932"/>
      <c r="B546" s="932" t="s">
        <v>4330</v>
      </c>
      <c r="E546" s="579"/>
    </row>
    <row r="547" spans="1:5" ht="19.2">
      <c r="A547" s="932"/>
      <c r="B547" s="932"/>
      <c r="E547" s="579"/>
    </row>
    <row r="548" spans="1:5" ht="19.2">
      <c r="A548" s="932"/>
      <c r="B548" s="932"/>
      <c r="E548" s="579"/>
    </row>
    <row r="549" spans="1:5" ht="19.2">
      <c r="A549" s="932"/>
      <c r="B549" s="932"/>
      <c r="E549" s="579"/>
    </row>
    <row r="550" spans="1:5" ht="19.2">
      <c r="A550" s="933"/>
      <c r="B550" s="933"/>
      <c r="E550" s="579"/>
    </row>
    <row r="551" spans="1:5" ht="19.2">
      <c r="A551" s="1117" t="s">
        <v>4333</v>
      </c>
      <c r="B551" s="933" t="s">
        <v>4334</v>
      </c>
      <c r="E551" s="579"/>
    </row>
    <row r="552" spans="1:5" ht="19.2">
      <c r="A552" s="933"/>
      <c r="B552" s="933" t="s">
        <v>4335</v>
      </c>
      <c r="E552" s="579"/>
    </row>
    <row r="553" spans="1:5" ht="19.2">
      <c r="A553" s="933"/>
      <c r="B553" s="933"/>
      <c r="E553" s="579"/>
    </row>
    <row r="554" spans="1:5" ht="19.2">
      <c r="A554" s="933"/>
      <c r="B554" s="933"/>
      <c r="E554" s="579"/>
    </row>
    <row r="555" spans="1:5" ht="19.2">
      <c r="A555" s="933"/>
      <c r="B555" s="933"/>
      <c r="E555" s="579"/>
    </row>
    <row r="556" spans="1:5" ht="19.2">
      <c r="A556" s="933"/>
      <c r="B556" s="933"/>
      <c r="E556" s="579"/>
    </row>
    <row r="557" spans="1:5" ht="19.2">
      <c r="A557" s="933" t="s">
        <v>4336</v>
      </c>
      <c r="B557" s="933" t="s">
        <v>4990</v>
      </c>
      <c r="E557" s="579"/>
    </row>
    <row r="558" spans="1:5" ht="19.2">
      <c r="A558" s="933"/>
      <c r="B558" s="933" t="s">
        <v>4991</v>
      </c>
      <c r="E558" s="579"/>
    </row>
    <row r="559" spans="1:5">
      <c r="A559" s="103"/>
      <c r="B559" s="56"/>
      <c r="E559" s="579"/>
    </row>
  </sheetData>
  <mergeCells count="54">
    <mergeCell ref="B392:I392"/>
    <mergeCell ref="B258:I258"/>
    <mergeCell ref="B266:I266"/>
    <mergeCell ref="B533:I533"/>
    <mergeCell ref="B400:I400"/>
    <mergeCell ref="B417:I417"/>
    <mergeCell ref="B425:I425"/>
    <mergeCell ref="B439:I439"/>
    <mergeCell ref="B447:I447"/>
    <mergeCell ref="B466:I466"/>
    <mergeCell ref="B474:I474"/>
    <mergeCell ref="B487:I487"/>
    <mergeCell ref="B500:I500"/>
    <mergeCell ref="B516:I516"/>
    <mergeCell ref="B524:I524"/>
    <mergeCell ref="B346:I346"/>
    <mergeCell ref="B355:I355"/>
    <mergeCell ref="B369:I369"/>
    <mergeCell ref="B377:I377"/>
    <mergeCell ref="B239:I239"/>
    <mergeCell ref="B286:I286"/>
    <mergeCell ref="B294:I294"/>
    <mergeCell ref="B314:I314"/>
    <mergeCell ref="B322:I322"/>
    <mergeCell ref="B338:I338"/>
    <mergeCell ref="B209:I209"/>
    <mergeCell ref="B217:I217"/>
    <mergeCell ref="B145:I145"/>
    <mergeCell ref="B153:I153"/>
    <mergeCell ref="B161:I161"/>
    <mergeCell ref="B169:I169"/>
    <mergeCell ref="B177:I177"/>
    <mergeCell ref="B231:I231"/>
    <mergeCell ref="B137:I137"/>
    <mergeCell ref="A5:B5"/>
    <mergeCell ref="B6:I6"/>
    <mergeCell ref="B26:I26"/>
    <mergeCell ref="B34:I34"/>
    <mergeCell ref="B42:I42"/>
    <mergeCell ref="B50:I50"/>
    <mergeCell ref="B70:I70"/>
    <mergeCell ref="B78:I78"/>
    <mergeCell ref="B98:I98"/>
    <mergeCell ref="B106:I106"/>
    <mergeCell ref="B129:I129"/>
    <mergeCell ref="B185:I185"/>
    <mergeCell ref="B193:I193"/>
    <mergeCell ref="B201:I201"/>
    <mergeCell ref="A1:A3"/>
    <mergeCell ref="B1:G1"/>
    <mergeCell ref="H1:I3"/>
    <mergeCell ref="B2:G2"/>
    <mergeCell ref="B3:C3"/>
    <mergeCell ref="D3:G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1"/>
  <dimension ref="A1:Q901"/>
  <sheetViews>
    <sheetView workbookViewId="0"/>
  </sheetViews>
  <sheetFormatPr baseColWidth="10" defaultColWidth="10.6640625" defaultRowHeight="13.8"/>
  <cols>
    <col min="1" max="1" width="13.33203125" style="524" customWidth="1"/>
    <col min="2" max="2" width="55.5546875" customWidth="1"/>
    <col min="3" max="3" width="13.88671875" style="1204" customWidth="1"/>
    <col min="4" max="4" width="17.109375" style="1205" customWidth="1"/>
    <col min="5" max="5" width="19.33203125" style="1152" customWidth="1"/>
    <col min="6" max="6" width="26.33203125" style="1152" bestFit="1" customWidth="1"/>
    <col min="7" max="7" width="17.6640625" customWidth="1"/>
    <col min="8" max="8" width="21.44140625" style="1102" customWidth="1"/>
    <col min="9" max="9" width="51.5546875" customWidth="1"/>
    <col min="10" max="10" width="22.6640625" customWidth="1"/>
  </cols>
  <sheetData>
    <row r="1" spans="1:16" ht="39" customHeight="1">
      <c r="A1" s="957"/>
      <c r="B1" s="3808" t="s">
        <v>4262</v>
      </c>
      <c r="C1" s="3808"/>
      <c r="D1" s="3808"/>
      <c r="E1" s="3808"/>
      <c r="F1" s="3811"/>
    </row>
    <row r="2" spans="1:16" ht="17.25" customHeight="1">
      <c r="A2" s="958"/>
      <c r="B2" s="3809" t="s">
        <v>4260</v>
      </c>
      <c r="C2" s="3809"/>
      <c r="D2" s="3809"/>
      <c r="E2" s="3809"/>
      <c r="F2" s="3812"/>
    </row>
    <row r="3" spans="1:16" ht="18" customHeight="1" thickBot="1">
      <c r="A3" s="959"/>
      <c r="B3" s="1225" t="s">
        <v>3859</v>
      </c>
      <c r="C3" s="3810" t="s">
        <v>4259</v>
      </c>
      <c r="D3" s="3810"/>
      <c r="E3" s="3810"/>
      <c r="F3" s="3813"/>
    </row>
    <row r="4" spans="1:16" ht="29.25" customHeight="1" thickBot="1">
      <c r="A4" s="3805" t="s">
        <v>4277</v>
      </c>
      <c r="B4" s="3806"/>
      <c r="C4" s="3806"/>
      <c r="D4" s="3806"/>
      <c r="E4" s="3806"/>
      <c r="F4" s="3807"/>
    </row>
    <row r="5" spans="1:16" s="3816" customFormat="1" ht="15.75" customHeight="1" thickBot="1">
      <c r="A5" s="3814"/>
      <c r="B5" s="3815"/>
      <c r="C5" s="3815"/>
      <c r="D5" s="3815"/>
      <c r="E5" s="3815"/>
      <c r="F5" s="3815"/>
      <c r="G5" s="3815"/>
      <c r="H5" s="3815"/>
      <c r="I5" s="3815"/>
      <c r="J5" s="3815"/>
      <c r="K5" s="3815"/>
      <c r="L5" s="3815"/>
      <c r="M5" s="3815"/>
      <c r="N5" s="3815"/>
      <c r="O5" s="3815"/>
      <c r="P5" s="3815"/>
    </row>
    <row r="6" spans="1:16" s="516" customFormat="1" ht="30.75" customHeight="1" thickBot="1">
      <c r="A6" s="3786" t="s">
        <v>4284</v>
      </c>
      <c r="B6" s="3787"/>
      <c r="C6" s="3787"/>
      <c r="D6" s="3787"/>
      <c r="E6" s="3787"/>
      <c r="F6" s="3829"/>
      <c r="H6" s="1103"/>
    </row>
    <row r="7" spans="1:16" ht="21.75" customHeight="1" thickBot="1">
      <c r="A7" s="3823" t="s">
        <v>1331</v>
      </c>
      <c r="B7" s="3824"/>
      <c r="C7" s="3824"/>
      <c r="D7" s="3824"/>
      <c r="E7" s="3824"/>
      <c r="F7" s="3825"/>
    </row>
    <row r="8" spans="1:16" ht="31.5" customHeight="1" thickBot="1">
      <c r="A8" s="1052" t="s">
        <v>4343</v>
      </c>
      <c r="B8" s="1053"/>
      <c r="C8" s="1133"/>
      <c r="D8" s="1133"/>
      <c r="E8" s="1133"/>
      <c r="F8" s="1134" t="e">
        <f>+SUM(F9:F30)</f>
        <v>#REF!</v>
      </c>
    </row>
    <row r="9" spans="1:16" s="513" customFormat="1" ht="80.25" customHeight="1">
      <c r="A9" s="1077" t="s">
        <v>34</v>
      </c>
      <c r="B9" s="1078" t="s">
        <v>1333</v>
      </c>
      <c r="C9" s="1190" t="s">
        <v>150</v>
      </c>
      <c r="D9" s="1191">
        <v>1</v>
      </c>
      <c r="E9" s="1135" t="e">
        <f>+'CAPTACION RIO SINÚ'!#REF!</f>
        <v>#REF!</v>
      </c>
      <c r="F9" s="1136" t="e">
        <f>ROUND(+E9*D9,0)</f>
        <v>#REF!</v>
      </c>
      <c r="G9" s="940"/>
      <c r="I9" s="1112"/>
    </row>
    <row r="10" spans="1:16" s="513" customFormat="1" ht="126" customHeight="1">
      <c r="A10" s="1079">
        <v>2</v>
      </c>
      <c r="B10" s="1080" t="s">
        <v>1334</v>
      </c>
      <c r="C10" s="1192" t="s">
        <v>150</v>
      </c>
      <c r="D10" s="1193">
        <v>1</v>
      </c>
      <c r="E10" s="1137" t="e">
        <f>+'CAPTACION RIO SINÚ'!#REF!</f>
        <v>#REF!</v>
      </c>
      <c r="F10" s="1136" t="e">
        <f>ROUND(+E10*D10,0)</f>
        <v>#REF!</v>
      </c>
      <c r="G10" s="940"/>
      <c r="H10" s="1104"/>
      <c r="I10" s="1112"/>
    </row>
    <row r="11" spans="1:16" s="513" customFormat="1" ht="26.4">
      <c r="A11" s="1079">
        <v>3</v>
      </c>
      <c r="B11" s="1080" t="s">
        <v>1335</v>
      </c>
      <c r="C11" s="1192" t="s">
        <v>150</v>
      </c>
      <c r="D11" s="1193">
        <v>6</v>
      </c>
      <c r="E11" s="1138" t="e">
        <f>+'CAPTACION RIO SINÚ'!#REF!</f>
        <v>#REF!</v>
      </c>
      <c r="F11" s="1136" t="e">
        <f t="shared" ref="F11:F30" si="0">ROUND(+E11*D11,0)</f>
        <v>#REF!</v>
      </c>
      <c r="G11" s="940"/>
      <c r="H11" s="1104"/>
      <c r="I11" s="1112"/>
    </row>
    <row r="12" spans="1:16" s="513" customFormat="1" ht="26.4">
      <c r="A12" s="1079">
        <v>4</v>
      </c>
      <c r="B12" s="1080" t="s">
        <v>1336</v>
      </c>
      <c r="C12" s="1192" t="s">
        <v>150</v>
      </c>
      <c r="D12" s="1193">
        <v>3</v>
      </c>
      <c r="E12" s="1137" t="e">
        <f>+'CAPTACION RIO SINÚ'!#REF!</f>
        <v>#REF!</v>
      </c>
      <c r="F12" s="1136" t="e">
        <f t="shared" si="0"/>
        <v>#REF!</v>
      </c>
      <c r="G12" s="940"/>
      <c r="H12" s="1104"/>
      <c r="I12" s="1112"/>
    </row>
    <row r="13" spans="1:16" s="513" customFormat="1" ht="79.2">
      <c r="A13" s="1079">
        <v>5</v>
      </c>
      <c r="B13" s="1080" t="s">
        <v>1337</v>
      </c>
      <c r="C13" s="1192" t="s">
        <v>94</v>
      </c>
      <c r="D13" s="1193">
        <v>150</v>
      </c>
      <c r="E13" s="1137" t="e">
        <f>+'CAPTACION RIO SINÚ'!#REF!</f>
        <v>#REF!</v>
      </c>
      <c r="F13" s="1136" t="e">
        <f t="shared" si="0"/>
        <v>#REF!</v>
      </c>
      <c r="G13" s="940"/>
      <c r="H13" s="1104"/>
      <c r="I13" s="1112"/>
    </row>
    <row r="14" spans="1:16" s="513" customFormat="1" ht="105.6">
      <c r="A14" s="1079">
        <v>6</v>
      </c>
      <c r="B14" s="1080" t="s">
        <v>1338</v>
      </c>
      <c r="C14" s="1192" t="s">
        <v>94</v>
      </c>
      <c r="D14" s="1193">
        <v>30</v>
      </c>
      <c r="E14" s="1137" t="e">
        <f>+'CAPTACION RIO SINÚ'!#REF!</f>
        <v>#REF!</v>
      </c>
      <c r="F14" s="1136" t="e">
        <f t="shared" si="0"/>
        <v>#REF!</v>
      </c>
      <c r="G14" s="940"/>
      <c r="H14" s="1104"/>
      <c r="I14" s="1112"/>
    </row>
    <row r="15" spans="1:16" s="513" customFormat="1" ht="145.19999999999999">
      <c r="A15" s="1079">
        <v>7</v>
      </c>
      <c r="B15" s="1080" t="s">
        <v>1339</v>
      </c>
      <c r="C15" s="1192" t="s">
        <v>150</v>
      </c>
      <c r="D15" s="1193">
        <v>1</v>
      </c>
      <c r="E15" s="1137" t="e">
        <f>+'CAPTACION RIO SINÚ'!#REF!</f>
        <v>#REF!</v>
      </c>
      <c r="F15" s="1136" t="e">
        <f t="shared" si="0"/>
        <v>#REF!</v>
      </c>
      <c r="G15" s="940"/>
      <c r="H15" s="1104"/>
      <c r="I15" s="1112"/>
    </row>
    <row r="16" spans="1:16" s="513" customFormat="1" ht="79.5" customHeight="1">
      <c r="A16" s="1079">
        <v>8</v>
      </c>
      <c r="B16" s="1080" t="s">
        <v>1340</v>
      </c>
      <c r="C16" s="1192" t="s">
        <v>150</v>
      </c>
      <c r="D16" s="1193">
        <v>1</v>
      </c>
      <c r="E16" s="1137" t="e">
        <f>+'CAPTACION RIO SINÚ'!#REF!</f>
        <v>#REF!</v>
      </c>
      <c r="F16" s="1136" t="e">
        <f t="shared" si="0"/>
        <v>#REF!</v>
      </c>
      <c r="G16" s="940"/>
      <c r="H16" s="1104"/>
      <c r="I16" s="1112"/>
    </row>
    <row r="17" spans="1:9" s="513" customFormat="1" ht="114.75" customHeight="1">
      <c r="A17" s="1079">
        <v>9</v>
      </c>
      <c r="B17" s="1080" t="s">
        <v>1341</v>
      </c>
      <c r="C17" s="1192" t="s">
        <v>150</v>
      </c>
      <c r="D17" s="1193">
        <v>2</v>
      </c>
      <c r="E17" s="1137" t="e">
        <f>+'CAPTACION RIO SINÚ'!#REF!</f>
        <v>#REF!</v>
      </c>
      <c r="F17" s="1136" t="e">
        <f t="shared" si="0"/>
        <v>#REF!</v>
      </c>
      <c r="G17" s="940"/>
      <c r="H17" s="1104"/>
      <c r="I17" s="1112"/>
    </row>
    <row r="18" spans="1:9" s="513" customFormat="1" ht="79.2">
      <c r="A18" s="1079">
        <v>10</v>
      </c>
      <c r="B18" s="1080" t="s">
        <v>1342</v>
      </c>
      <c r="C18" s="1192" t="s">
        <v>150</v>
      </c>
      <c r="D18" s="1193">
        <v>2</v>
      </c>
      <c r="E18" s="1137" t="e">
        <f>+'CAPTACION RIO SINÚ'!#REF!</f>
        <v>#REF!</v>
      </c>
      <c r="F18" s="1136" t="e">
        <f t="shared" si="0"/>
        <v>#REF!</v>
      </c>
      <c r="G18" s="940"/>
      <c r="H18" s="1104"/>
      <c r="I18" s="1112"/>
    </row>
    <row r="19" spans="1:9" s="513" customFormat="1" ht="79.2">
      <c r="A19" s="1079">
        <v>11</v>
      </c>
      <c r="B19" s="1080" t="s">
        <v>1343</v>
      </c>
      <c r="C19" s="1192" t="s">
        <v>150</v>
      </c>
      <c r="D19" s="1193">
        <v>2</v>
      </c>
      <c r="E19" s="1137" t="e">
        <f>+'CAPTACION RIO SINÚ'!#REF!</f>
        <v>#REF!</v>
      </c>
      <c r="F19" s="1136" t="e">
        <f t="shared" si="0"/>
        <v>#REF!</v>
      </c>
      <c r="G19" s="940"/>
      <c r="H19" s="1104"/>
      <c r="I19" s="1112"/>
    </row>
    <row r="20" spans="1:9" s="513" customFormat="1" ht="66">
      <c r="A20" s="1079">
        <v>12</v>
      </c>
      <c r="B20" s="1080" t="s">
        <v>1344</v>
      </c>
      <c r="C20" s="1192" t="s">
        <v>150</v>
      </c>
      <c r="D20" s="1193">
        <v>4</v>
      </c>
      <c r="E20" s="1137" t="e">
        <f>+'CAPTACION RIO SINÚ'!#REF!</f>
        <v>#REF!</v>
      </c>
      <c r="F20" s="1136" t="e">
        <f t="shared" si="0"/>
        <v>#REF!</v>
      </c>
      <c r="G20" s="940"/>
      <c r="H20" s="1104"/>
      <c r="I20" s="1112"/>
    </row>
    <row r="21" spans="1:9" s="513" customFormat="1" ht="79.5" customHeight="1">
      <c r="A21" s="1079">
        <v>13</v>
      </c>
      <c r="B21" s="1080" t="s">
        <v>1345</v>
      </c>
      <c r="C21" s="1192" t="s">
        <v>150</v>
      </c>
      <c r="D21" s="1193">
        <v>1</v>
      </c>
      <c r="E21" s="1137" t="e">
        <f>+'CAPTACION RIO SINÚ'!#REF!</f>
        <v>#REF!</v>
      </c>
      <c r="F21" s="1136" t="e">
        <f t="shared" si="0"/>
        <v>#REF!</v>
      </c>
      <c r="G21" s="940"/>
      <c r="H21" s="1104"/>
      <c r="I21" s="1112"/>
    </row>
    <row r="22" spans="1:9" s="513" customFormat="1" ht="66.75" customHeight="1">
      <c r="A22" s="1079">
        <v>14</v>
      </c>
      <c r="B22" s="1080" t="s">
        <v>1346</v>
      </c>
      <c r="C22" s="1192" t="s">
        <v>150</v>
      </c>
      <c r="D22" s="1193">
        <v>1</v>
      </c>
      <c r="E22" s="1137" t="e">
        <f>+'CAPTACION RIO SINÚ'!#REF!</f>
        <v>#REF!</v>
      </c>
      <c r="F22" s="1136" t="e">
        <f t="shared" si="0"/>
        <v>#REF!</v>
      </c>
      <c r="G22" s="940"/>
      <c r="H22" s="1104"/>
      <c r="I22" s="1112"/>
    </row>
    <row r="23" spans="1:9" s="513" customFormat="1" ht="39.6">
      <c r="A23" s="1079">
        <v>15</v>
      </c>
      <c r="B23" s="1080" t="s">
        <v>1347</v>
      </c>
      <c r="C23" s="1192" t="s">
        <v>150</v>
      </c>
      <c r="D23" s="1193">
        <v>1</v>
      </c>
      <c r="E23" s="1137" t="e">
        <f>+'CAPTACION RIO SINÚ'!#REF!</f>
        <v>#REF!</v>
      </c>
      <c r="F23" s="1136" t="e">
        <f t="shared" si="0"/>
        <v>#REF!</v>
      </c>
      <c r="G23" s="940"/>
      <c r="H23" s="1104"/>
      <c r="I23" s="1112"/>
    </row>
    <row r="24" spans="1:9" s="513" customFormat="1" ht="26.4">
      <c r="A24" s="1079">
        <v>16</v>
      </c>
      <c r="B24" s="1080" t="s">
        <v>1348</v>
      </c>
      <c r="C24" s="1192" t="s">
        <v>150</v>
      </c>
      <c r="D24" s="1193">
        <v>2</v>
      </c>
      <c r="E24" s="1137" t="e">
        <f>+'CAPTACION RIO SINÚ'!#REF!</f>
        <v>#REF!</v>
      </c>
      <c r="F24" s="1136" t="e">
        <f t="shared" si="0"/>
        <v>#REF!</v>
      </c>
      <c r="G24" s="940"/>
      <c r="H24" s="1104"/>
      <c r="I24" s="1112"/>
    </row>
    <row r="25" spans="1:9" s="513" customFormat="1" ht="26.4">
      <c r="A25" s="1079">
        <v>17</v>
      </c>
      <c r="B25" s="1080" t="s">
        <v>1349</v>
      </c>
      <c r="C25" s="1192" t="s">
        <v>150</v>
      </c>
      <c r="D25" s="1193">
        <v>2</v>
      </c>
      <c r="E25" s="1137" t="e">
        <f>+'CAPTACION RIO SINÚ'!#REF!</f>
        <v>#REF!</v>
      </c>
      <c r="F25" s="1136" t="e">
        <f t="shared" si="0"/>
        <v>#REF!</v>
      </c>
      <c r="G25" s="940"/>
      <c r="H25" s="1104"/>
      <c r="I25" s="1112"/>
    </row>
    <row r="26" spans="1:9" s="513" customFormat="1" ht="39.6">
      <c r="A26" s="1079">
        <v>18</v>
      </c>
      <c r="B26" s="1080" t="s">
        <v>1350</v>
      </c>
      <c r="C26" s="1192" t="s">
        <v>150</v>
      </c>
      <c r="D26" s="1193">
        <v>1</v>
      </c>
      <c r="E26" s="1137" t="e">
        <f>+'CAPTACION RIO SINÚ'!#REF!</f>
        <v>#REF!</v>
      </c>
      <c r="F26" s="1136" t="e">
        <f t="shared" si="0"/>
        <v>#REF!</v>
      </c>
      <c r="G26" s="940"/>
      <c r="H26" s="1104"/>
      <c r="I26" s="1112"/>
    </row>
    <row r="27" spans="1:9" s="513" customFormat="1" ht="26.4">
      <c r="A27" s="1079">
        <v>19</v>
      </c>
      <c r="B27" s="1080" t="s">
        <v>1351</v>
      </c>
      <c r="C27" s="1192" t="s">
        <v>150</v>
      </c>
      <c r="D27" s="1193">
        <v>4</v>
      </c>
      <c r="E27" s="1137" t="e">
        <f>+'CAPTACION RIO SINÚ'!#REF!</f>
        <v>#REF!</v>
      </c>
      <c r="F27" s="1136" t="e">
        <f t="shared" si="0"/>
        <v>#REF!</v>
      </c>
      <c r="G27" s="940"/>
      <c r="H27" s="1104"/>
      <c r="I27" s="1112"/>
    </row>
    <row r="28" spans="1:9" s="513" customFormat="1" ht="105.6">
      <c r="A28" s="1079">
        <v>20</v>
      </c>
      <c r="B28" s="1080" t="s">
        <v>1352</v>
      </c>
      <c r="C28" s="1192" t="s">
        <v>150</v>
      </c>
      <c r="D28" s="1193">
        <v>1</v>
      </c>
      <c r="E28" s="1137" t="e">
        <f>+'CAPTACION RIO SINÚ'!#REF!</f>
        <v>#REF!</v>
      </c>
      <c r="F28" s="1136" t="e">
        <f t="shared" si="0"/>
        <v>#REF!</v>
      </c>
      <c r="G28" s="940"/>
      <c r="H28" s="1104"/>
      <c r="I28" s="1112"/>
    </row>
    <row r="29" spans="1:9" s="513" customFormat="1" ht="52.8">
      <c r="A29" s="1079">
        <v>21</v>
      </c>
      <c r="B29" s="1080" t="s">
        <v>1353</v>
      </c>
      <c r="C29" s="1192" t="s">
        <v>150</v>
      </c>
      <c r="D29" s="1193">
        <v>1</v>
      </c>
      <c r="E29" s="1137" t="e">
        <f>+'CAPTACION RIO SINÚ'!#REF!</f>
        <v>#REF!</v>
      </c>
      <c r="F29" s="1136" t="e">
        <f t="shared" si="0"/>
        <v>#REF!</v>
      </c>
      <c r="G29" s="940"/>
      <c r="H29" s="1104"/>
      <c r="I29" s="1112"/>
    </row>
    <row r="30" spans="1:9" s="513" customFormat="1" ht="132.6" thickBot="1">
      <c r="A30" s="1079">
        <v>22</v>
      </c>
      <c r="B30" s="1080" t="s">
        <v>1354</v>
      </c>
      <c r="C30" s="1192" t="s">
        <v>150</v>
      </c>
      <c r="D30" s="1193">
        <v>1</v>
      </c>
      <c r="E30" s="1137" t="e">
        <f>+'CAPTACION RIO SINÚ'!#REF!</f>
        <v>#REF!</v>
      </c>
      <c r="F30" s="1136" t="e">
        <f t="shared" si="0"/>
        <v>#REF!</v>
      </c>
      <c r="G30" s="940"/>
      <c r="H30" s="1104"/>
      <c r="I30" s="1112"/>
    </row>
    <row r="31" spans="1:9" s="513" customFormat="1" ht="25.5" customHeight="1" thickBot="1">
      <c r="A31" s="1081" t="s">
        <v>4344</v>
      </c>
      <c r="B31" s="1053"/>
      <c r="C31" s="1133"/>
      <c r="D31" s="1133"/>
      <c r="E31" s="1133"/>
      <c r="F31" s="1139" t="e">
        <f>+SUM(F32:F44)</f>
        <v>#REF!</v>
      </c>
      <c r="G31" s="940"/>
      <c r="H31" s="1104"/>
      <c r="I31" s="1112"/>
    </row>
    <row r="32" spans="1:9" s="513" customFormat="1" ht="39.6">
      <c r="A32" s="514">
        <v>23</v>
      </c>
      <c r="B32" s="515" t="s">
        <v>1356</v>
      </c>
      <c r="C32" s="1194" t="s">
        <v>150</v>
      </c>
      <c r="D32" s="1195">
        <v>1</v>
      </c>
      <c r="E32" s="1140" t="e">
        <f>+'CAPTACION RIO SINÚ'!#REF!</f>
        <v>#REF!</v>
      </c>
      <c r="F32" s="1140" t="e">
        <f>+ROUND(E32*D32,0)</f>
        <v>#REF!</v>
      </c>
      <c r="G32" s="940"/>
      <c r="H32" s="1104"/>
      <c r="I32" s="1112"/>
    </row>
    <row r="33" spans="1:16" s="513" customFormat="1" ht="26.4">
      <c r="A33" s="514">
        <v>24</v>
      </c>
      <c r="B33" s="515" t="s">
        <v>1357</v>
      </c>
      <c r="C33" s="1194" t="s">
        <v>150</v>
      </c>
      <c r="D33" s="1195">
        <v>6</v>
      </c>
      <c r="E33" s="1140" t="e">
        <f>+'CAPTACION RIO SINÚ'!#REF!</f>
        <v>#REF!</v>
      </c>
      <c r="F33" s="1140" t="e">
        <f t="shared" ref="F33:F44" si="1">+ROUND(E33*D33,0)</f>
        <v>#REF!</v>
      </c>
      <c r="G33" s="940"/>
      <c r="H33" s="1104"/>
      <c r="I33" s="1112"/>
    </row>
    <row r="34" spans="1:16" s="513" customFormat="1" ht="26.4">
      <c r="A34" s="514">
        <v>25</v>
      </c>
      <c r="B34" s="515" t="s">
        <v>1358</v>
      </c>
      <c r="C34" s="1194" t="s">
        <v>150</v>
      </c>
      <c r="D34" s="1195">
        <v>6</v>
      </c>
      <c r="E34" s="1140" t="e">
        <f>+'CAPTACION RIO SINÚ'!#REF!</f>
        <v>#REF!</v>
      </c>
      <c r="F34" s="1140" t="e">
        <f t="shared" si="1"/>
        <v>#REF!</v>
      </c>
      <c r="G34" s="940"/>
      <c r="H34" s="1104"/>
      <c r="I34" s="1112"/>
    </row>
    <row r="35" spans="1:16" s="513" customFormat="1" ht="26.4">
      <c r="A35" s="514">
        <v>26</v>
      </c>
      <c r="B35" s="515" t="s">
        <v>1359</v>
      </c>
      <c r="C35" s="1194" t="s">
        <v>150</v>
      </c>
      <c r="D35" s="1195">
        <v>7</v>
      </c>
      <c r="E35" s="1140" t="e">
        <f>+'CAPTACION RIO SINÚ'!#REF!</f>
        <v>#REF!</v>
      </c>
      <c r="F35" s="1140" t="e">
        <f t="shared" si="1"/>
        <v>#REF!</v>
      </c>
      <c r="G35" s="940"/>
      <c r="H35" s="1104"/>
      <c r="I35" s="1112"/>
    </row>
    <row r="36" spans="1:16" s="513" customFormat="1" ht="39.6">
      <c r="A36" s="514">
        <v>27</v>
      </c>
      <c r="B36" s="515" t="s">
        <v>1360</v>
      </c>
      <c r="C36" s="1194" t="s">
        <v>94</v>
      </c>
      <c r="D36" s="1195">
        <v>180</v>
      </c>
      <c r="E36" s="1140" t="e">
        <f>+'CAPTACION RIO SINÚ'!#REF!</f>
        <v>#REF!</v>
      </c>
      <c r="F36" s="1140" t="e">
        <f t="shared" si="1"/>
        <v>#REF!</v>
      </c>
      <c r="G36" s="940"/>
      <c r="H36" s="1104"/>
      <c r="I36" s="1112"/>
    </row>
    <row r="37" spans="1:16" s="513" customFormat="1" ht="26.4">
      <c r="A37" s="514">
        <v>28</v>
      </c>
      <c r="B37" s="515" t="s">
        <v>1361</v>
      </c>
      <c r="C37" s="1194" t="s">
        <v>150</v>
      </c>
      <c r="D37" s="1195">
        <v>6</v>
      </c>
      <c r="E37" s="1140" t="e">
        <f>+'CAPTACION RIO SINÚ'!#REF!</f>
        <v>#REF!</v>
      </c>
      <c r="F37" s="1140" t="e">
        <f t="shared" si="1"/>
        <v>#REF!</v>
      </c>
      <c r="G37" s="940"/>
      <c r="H37" s="1104"/>
      <c r="I37" s="1112"/>
    </row>
    <row r="38" spans="1:16" s="513" customFormat="1" ht="39.6">
      <c r="A38" s="514">
        <v>29</v>
      </c>
      <c r="B38" s="515" t="s">
        <v>1362</v>
      </c>
      <c r="C38" s="1194" t="s">
        <v>150</v>
      </c>
      <c r="D38" s="1195">
        <v>2</v>
      </c>
      <c r="E38" s="1140" t="e">
        <f>+'CAPTACION RIO SINÚ'!#REF!</f>
        <v>#REF!</v>
      </c>
      <c r="F38" s="1140" t="e">
        <f t="shared" si="1"/>
        <v>#REF!</v>
      </c>
      <c r="G38" s="940"/>
      <c r="H38" s="1104"/>
      <c r="I38" s="1112"/>
    </row>
    <row r="39" spans="1:16" s="513" customFormat="1" ht="52.8">
      <c r="A39" s="514">
        <v>30</v>
      </c>
      <c r="B39" s="515" t="s">
        <v>1363</v>
      </c>
      <c r="C39" s="1194" t="s">
        <v>150</v>
      </c>
      <c r="D39" s="1195">
        <v>6</v>
      </c>
      <c r="E39" s="1140" t="e">
        <f>+'CAPTACION RIO SINÚ'!#REF!</f>
        <v>#REF!</v>
      </c>
      <c r="F39" s="1140" t="e">
        <f t="shared" si="1"/>
        <v>#REF!</v>
      </c>
      <c r="G39" s="940"/>
      <c r="H39" s="1104"/>
      <c r="I39" s="1112"/>
    </row>
    <row r="40" spans="1:16" s="513" customFormat="1" ht="52.8">
      <c r="A40" s="514">
        <v>31</v>
      </c>
      <c r="B40" s="515" t="s">
        <v>1364</v>
      </c>
      <c r="C40" s="1194" t="s">
        <v>150</v>
      </c>
      <c r="D40" s="1195">
        <v>3</v>
      </c>
      <c r="E40" s="1140" t="e">
        <f>+'CAPTACION RIO SINÚ'!#REF!</f>
        <v>#REF!</v>
      </c>
      <c r="F40" s="1140" t="e">
        <f t="shared" si="1"/>
        <v>#REF!</v>
      </c>
      <c r="G40" s="940"/>
      <c r="H40" s="1104"/>
      <c r="I40" s="1112"/>
    </row>
    <row r="41" spans="1:16" s="513" customFormat="1" ht="52.8">
      <c r="A41" s="514">
        <v>32</v>
      </c>
      <c r="B41" s="515" t="s">
        <v>1365</v>
      </c>
      <c r="C41" s="1194" t="s">
        <v>150</v>
      </c>
      <c r="D41" s="1195">
        <v>13</v>
      </c>
      <c r="E41" s="1140" t="e">
        <f>+'CAPTACION RIO SINÚ'!#REF!</f>
        <v>#REF!</v>
      </c>
      <c r="F41" s="1140" t="e">
        <f t="shared" si="1"/>
        <v>#REF!</v>
      </c>
      <c r="G41" s="940"/>
      <c r="H41" s="1104"/>
      <c r="I41" s="1112"/>
    </row>
    <row r="42" spans="1:16" s="513" customFormat="1" ht="52.8">
      <c r="A42" s="514">
        <v>33</v>
      </c>
      <c r="B42" s="515" t="s">
        <v>1366</v>
      </c>
      <c r="C42" s="1194" t="s">
        <v>150</v>
      </c>
      <c r="D42" s="1195">
        <v>5</v>
      </c>
      <c r="E42" s="1140" t="e">
        <f>+'CAPTACION RIO SINÚ'!#REF!</f>
        <v>#REF!</v>
      </c>
      <c r="F42" s="1140" t="e">
        <f t="shared" si="1"/>
        <v>#REF!</v>
      </c>
      <c r="G42" s="940"/>
      <c r="H42" s="1104"/>
      <c r="I42" s="1112"/>
    </row>
    <row r="43" spans="1:16" s="513" customFormat="1" ht="52.8">
      <c r="A43" s="514">
        <v>34</v>
      </c>
      <c r="B43" s="515" t="s">
        <v>1367</v>
      </c>
      <c r="C43" s="1194" t="s">
        <v>150</v>
      </c>
      <c r="D43" s="1195">
        <v>1</v>
      </c>
      <c r="E43" s="1140" t="e">
        <f>+'CAPTACION RIO SINÚ'!#REF!</f>
        <v>#REF!</v>
      </c>
      <c r="F43" s="1140" t="e">
        <f t="shared" si="1"/>
        <v>#REF!</v>
      </c>
      <c r="G43" s="940"/>
      <c r="H43" s="1104"/>
      <c r="I43" s="1112"/>
    </row>
    <row r="44" spans="1:16" s="513" customFormat="1" ht="53.4" thickBot="1">
      <c r="A44" s="942">
        <v>35</v>
      </c>
      <c r="B44" s="1054" t="s">
        <v>1368</v>
      </c>
      <c r="C44" s="1196" t="s">
        <v>150</v>
      </c>
      <c r="D44" s="1197">
        <v>6</v>
      </c>
      <c r="E44" s="1141" t="e">
        <f>+'CAPTACION RIO SINÚ'!#REF!</f>
        <v>#REF!</v>
      </c>
      <c r="F44" s="1141" t="e">
        <f t="shared" si="1"/>
        <v>#REF!</v>
      </c>
      <c r="G44" s="940"/>
      <c r="H44" s="1104"/>
      <c r="I44" s="1112"/>
    </row>
    <row r="45" spans="1:16" ht="19.5" customHeight="1" thickBot="1">
      <c r="A45" s="3817" t="s">
        <v>4306</v>
      </c>
      <c r="B45" s="3818"/>
      <c r="C45" s="3818"/>
      <c r="D45" s="3818"/>
      <c r="E45" s="3819"/>
      <c r="F45" s="1055" t="e">
        <f>+SUM(F32:F44,F9:F30)</f>
        <v>#REF!</v>
      </c>
      <c r="I45" s="1112"/>
    </row>
    <row r="46" spans="1:16" s="3710" customFormat="1" ht="12" customHeight="1" thickBot="1">
      <c r="A46" s="3728"/>
      <c r="B46" s="3729"/>
      <c r="C46" s="3729"/>
      <c r="D46" s="3729"/>
      <c r="E46" s="3729"/>
      <c r="F46" s="3729"/>
      <c r="G46" s="3729"/>
      <c r="H46" s="3729"/>
      <c r="I46" s="3729"/>
      <c r="J46" s="3729"/>
      <c r="K46" s="3729"/>
      <c r="L46" s="3729"/>
      <c r="M46" s="3729"/>
      <c r="N46" s="3729"/>
      <c r="O46" s="3729"/>
      <c r="P46" s="3729"/>
    </row>
    <row r="47" spans="1:16" s="247" customFormat="1" ht="24.75" customHeight="1" thickBot="1">
      <c r="A47" s="3739" t="s">
        <v>4310</v>
      </c>
      <c r="B47" s="3740"/>
      <c r="C47" s="3740"/>
      <c r="D47" s="3740"/>
      <c r="E47" s="3740"/>
      <c r="F47" s="3741"/>
      <c r="G47" s="253"/>
      <c r="H47" s="1105"/>
      <c r="I47" s="253"/>
    </row>
    <row r="48" spans="1:16" ht="18" customHeight="1">
      <c r="A48" s="3826" t="s">
        <v>1082</v>
      </c>
      <c r="B48" s="3827"/>
      <c r="C48" s="3827"/>
      <c r="D48" s="3827"/>
      <c r="E48" s="3827"/>
      <c r="F48" s="3828"/>
    </row>
    <row r="49" spans="1:17">
      <c r="A49" s="1083">
        <v>2.1</v>
      </c>
      <c r="B49" s="1084" t="s">
        <v>1083</v>
      </c>
      <c r="C49" s="1198"/>
      <c r="D49" s="1199"/>
      <c r="E49" s="1142"/>
      <c r="F49" s="1142">
        <f>+F50</f>
        <v>24257376</v>
      </c>
      <c r="I49" s="522"/>
    </row>
    <row r="50" spans="1:17" s="1244" customFormat="1" ht="21" customHeight="1">
      <c r="A50" s="1248" t="s">
        <v>1096</v>
      </c>
      <c r="B50" s="1253" t="s">
        <v>1086</v>
      </c>
      <c r="C50" s="1245" t="s">
        <v>1002</v>
      </c>
      <c r="D50" s="1246">
        <f>+'LINEAS IMPULSIÓN-CONDUCCIÓN'!D14</f>
        <v>10296</v>
      </c>
      <c r="E50" s="1240">
        <f>+'LINEAS IMPULSIÓN-CONDUCCIÓN'!E14</f>
        <v>2356</v>
      </c>
      <c r="F50" s="1240">
        <f>+ROUND(E50*D50,0)</f>
        <v>24257376</v>
      </c>
      <c r="G50" s="1242"/>
      <c r="H50" s="1243"/>
      <c r="I50" s="1242"/>
    </row>
    <row r="51" spans="1:17">
      <c r="A51" s="1083">
        <v>2.2000000000000002</v>
      </c>
      <c r="B51" s="1082" t="s">
        <v>1087</v>
      </c>
      <c r="C51" s="1144"/>
      <c r="D51" s="1144"/>
      <c r="E51" s="1144"/>
      <c r="F51" s="1145" t="e">
        <f>+SUM(F52:F57)</f>
        <v>#REF!</v>
      </c>
      <c r="G51" s="522"/>
      <c r="I51" s="522"/>
    </row>
    <row r="52" spans="1:17" ht="16.8">
      <c r="A52" s="514" t="s">
        <v>1096</v>
      </c>
      <c r="B52" s="258" t="s">
        <v>1088</v>
      </c>
      <c r="C52" s="1200" t="s">
        <v>356</v>
      </c>
      <c r="D52" s="1246">
        <f>+'LINEAS IMPULSIÓN-CONDUCCIÓN'!D16</f>
        <v>65.8</v>
      </c>
      <c r="E52" s="1143">
        <f>+'LINEAS IMPULSIÓN-CONDUCCIÓN'!E16</f>
        <v>51559</v>
      </c>
      <c r="F52" s="1143">
        <f>ROUND(+E52*D52,0)</f>
        <v>3392582</v>
      </c>
      <c r="G52" s="522"/>
      <c r="I52" s="522"/>
    </row>
    <row r="53" spans="1:17" ht="16.8">
      <c r="A53" s="514" t="s">
        <v>1097</v>
      </c>
      <c r="B53" s="323" t="s">
        <v>1108</v>
      </c>
      <c r="C53" s="1200" t="s">
        <v>94</v>
      </c>
      <c r="D53" s="1246">
        <f>+'LINEAS IMPULSIÓN-CONDUCCIÓN'!D17</f>
        <v>10904.900000000001</v>
      </c>
      <c r="E53" s="1143">
        <f>+'LINEAS IMPULSIÓN-CONDUCCIÓN'!E17</f>
        <v>5176</v>
      </c>
      <c r="F53" s="1143">
        <f t="shared" ref="F53:F57" si="2">ROUND(+E53*D53,0)</f>
        <v>56443762</v>
      </c>
      <c r="G53" s="522"/>
      <c r="I53" s="522"/>
    </row>
    <row r="54" spans="1:17" ht="16.8">
      <c r="A54" s="514" t="s">
        <v>1098</v>
      </c>
      <c r="B54" s="323" t="s">
        <v>1089</v>
      </c>
      <c r="C54" s="1200" t="s">
        <v>94</v>
      </c>
      <c r="D54" s="1246">
        <f>+'LINEAS IMPULSIÓN-CONDUCCIÓN'!D18</f>
        <v>1369.1</v>
      </c>
      <c r="E54" s="1143">
        <f>+'LINEAS IMPULSIÓN-CONDUCCIÓN'!E18</f>
        <v>11371.692038071427</v>
      </c>
      <c r="F54" s="1143">
        <f t="shared" si="2"/>
        <v>15568984</v>
      </c>
      <c r="G54" s="522"/>
      <c r="I54" s="522"/>
    </row>
    <row r="55" spans="1:17" ht="16.8">
      <c r="A55" s="514" t="s">
        <v>1099</v>
      </c>
      <c r="B55" s="323" t="s">
        <v>1090</v>
      </c>
      <c r="C55" s="1200" t="s">
        <v>94</v>
      </c>
      <c r="D55" s="1246">
        <f>+'LINEAS IMPULSIÓN-CONDUCCIÓN'!D19</f>
        <v>3343.8</v>
      </c>
      <c r="E55" s="1143">
        <f>+'LINEAS IMPULSIÓN-CONDUCCIÓN'!E19</f>
        <v>9950.2305333125005</v>
      </c>
      <c r="F55" s="1143">
        <f t="shared" si="2"/>
        <v>33271581</v>
      </c>
      <c r="G55" s="522"/>
      <c r="I55" s="522"/>
    </row>
    <row r="56" spans="1:17" ht="16.8">
      <c r="A56" s="514" t="s">
        <v>1100</v>
      </c>
      <c r="B56" s="323" t="s">
        <v>1091</v>
      </c>
      <c r="C56" s="1200" t="s">
        <v>356</v>
      </c>
      <c r="D56" s="1246">
        <f>+'LINEAS IMPULSIÓN-CONDUCCIÓN'!D20</f>
        <v>109.5</v>
      </c>
      <c r="E56" s="1143">
        <f>+'LINEAS IMPULSIÓN-CONDUCCIÓN'!E20</f>
        <v>50708.052078235298</v>
      </c>
      <c r="F56" s="1143">
        <f t="shared" si="2"/>
        <v>5552532</v>
      </c>
      <c r="G56" s="522"/>
      <c r="I56" s="522"/>
    </row>
    <row r="57" spans="1:17" ht="16.8">
      <c r="A57" s="514" t="s">
        <v>1105</v>
      </c>
      <c r="B57" s="323" t="s">
        <v>1129</v>
      </c>
      <c r="C57" s="1200" t="s">
        <v>356</v>
      </c>
      <c r="D57" s="1246" t="e">
        <f>+'LINEAS IMPULSIÓN-CONDUCCIÓN'!#REF!</f>
        <v>#REF!</v>
      </c>
      <c r="E57" s="1143" t="e">
        <f>+'LINEAS IMPULSIÓN-CONDUCCIÓN'!#REF!</f>
        <v>#REF!</v>
      </c>
      <c r="F57" s="1143" t="e">
        <f t="shared" si="2"/>
        <v>#REF!</v>
      </c>
      <c r="G57" s="522"/>
      <c r="I57" s="522"/>
    </row>
    <row r="58" spans="1:17">
      <c r="A58" s="1083">
        <v>2.2999999999999998</v>
      </c>
      <c r="B58" s="1082" t="s">
        <v>1104</v>
      </c>
      <c r="C58" s="1144"/>
      <c r="D58" s="1144"/>
      <c r="E58" s="1144"/>
      <c r="F58" s="1145" t="e">
        <f>+SUM(F59:F67)</f>
        <v>#REF!</v>
      </c>
      <c r="G58" s="522"/>
      <c r="I58" s="522"/>
    </row>
    <row r="59" spans="1:17" s="247" customFormat="1" ht="33.6">
      <c r="A59" s="257" t="s">
        <v>1139</v>
      </c>
      <c r="B59" s="258" t="s">
        <v>1093</v>
      </c>
      <c r="C59" s="471" t="s">
        <v>1084</v>
      </c>
      <c r="D59" s="1246">
        <f>+'LINEAS IMPULSIÓN-CONDUCCIÓN'!D22</f>
        <v>8685.74</v>
      </c>
      <c r="E59" s="260">
        <f>+'LINEAS IMPULSIÓN-CONDUCCIÓN'!E22</f>
        <v>10000</v>
      </c>
      <c r="F59" s="260">
        <f>ROUND(+E59*D59,0)</f>
        <v>86857400</v>
      </c>
      <c r="G59" s="261"/>
      <c r="H59" s="262"/>
      <c r="I59" s="262"/>
    </row>
    <row r="60" spans="1:17" s="247" customFormat="1" ht="33.6">
      <c r="A60" s="1392" t="s">
        <v>1140</v>
      </c>
      <c r="B60" s="263" t="s">
        <v>1094</v>
      </c>
      <c r="C60" s="471" t="s">
        <v>1084</v>
      </c>
      <c r="D60" s="1246" t="e">
        <f>+'LINEAS IMPULSIÓN-CONDUCCIÓN'!#REF!</f>
        <v>#REF!</v>
      </c>
      <c r="E60" s="260" t="e">
        <f>+'LINEAS IMPULSIÓN-CONDUCCIÓN'!#REF!</f>
        <v>#REF!</v>
      </c>
      <c r="F60" s="260" t="e">
        <f>ROUND(+E60*D60,0)</f>
        <v>#REF!</v>
      </c>
      <c r="G60" s="255"/>
      <c r="H60" s="348"/>
      <c r="I60" s="262"/>
      <c r="J60" s="1391"/>
      <c r="L60" s="1391"/>
      <c r="M60" s="1391"/>
      <c r="N60" s="1391"/>
      <c r="O60" s="261"/>
    </row>
    <row r="61" spans="1:17" s="247" customFormat="1" ht="33.75" customHeight="1">
      <c r="A61" s="257" t="s">
        <v>1141</v>
      </c>
      <c r="B61" s="263" t="s">
        <v>4349</v>
      </c>
      <c r="C61" s="471" t="s">
        <v>1084</v>
      </c>
      <c r="D61" s="1246">
        <f>+'LINEAS IMPULSIÓN-CONDUCCIÓN'!D23</f>
        <v>3598.3780000000002</v>
      </c>
      <c r="E61" s="260">
        <f>+'LINEAS IMPULSIÓN-CONDUCCIÓN'!E23</f>
        <v>23473.224058666663</v>
      </c>
      <c r="F61" s="260">
        <f>ROUND(+E61*D61,0)</f>
        <v>84465533</v>
      </c>
      <c r="G61" s="255"/>
      <c r="H61" s="348"/>
      <c r="I61" s="262"/>
      <c r="J61" s="1391"/>
      <c r="L61" s="1391"/>
      <c r="M61" s="1391"/>
      <c r="N61" s="1391"/>
      <c r="O61" s="261"/>
    </row>
    <row r="62" spans="1:17" s="247" customFormat="1" ht="50.4">
      <c r="A62" s="1392" t="s">
        <v>1142</v>
      </c>
      <c r="B62" s="263" t="s">
        <v>1095</v>
      </c>
      <c r="C62" s="248" t="s">
        <v>1084</v>
      </c>
      <c r="D62" s="1246">
        <f>+'LINEAS IMPULSIÓN-CONDUCCIÓN'!D24</f>
        <v>124.08200000000001</v>
      </c>
      <c r="E62" s="260">
        <f>+'LINEAS IMPULSIÓN-CONDUCCIÓN'!E24</f>
        <v>75938.251377333334</v>
      </c>
      <c r="F62" s="260">
        <f t="shared" ref="F62:F65" si="3">ROUND(+E62*D62,0)</f>
        <v>9422570</v>
      </c>
      <c r="G62" s="267"/>
      <c r="H62" s="262"/>
      <c r="I62" s="262"/>
      <c r="J62" s="268"/>
      <c r="L62" s="255"/>
      <c r="M62" s="255"/>
      <c r="N62" s="255"/>
      <c r="O62" s="255"/>
      <c r="P62" s="255"/>
      <c r="Q62" s="255"/>
    </row>
    <row r="63" spans="1:17" s="247" customFormat="1" ht="33.6">
      <c r="A63" s="257" t="s">
        <v>1143</v>
      </c>
      <c r="B63" s="349" t="s">
        <v>1101</v>
      </c>
      <c r="C63" s="248" t="s">
        <v>1084</v>
      </c>
      <c r="D63" s="1246">
        <f>+'LINEAS IMPULSIÓN-CONDUCCIÓN'!D25</f>
        <v>6111.8479505816122</v>
      </c>
      <c r="E63" s="260">
        <f>+'LINEAS IMPULSIÓN-CONDUCCIÓN'!E25</f>
        <v>1826.1904761904761</v>
      </c>
      <c r="F63" s="260">
        <f t="shared" si="3"/>
        <v>11161399</v>
      </c>
      <c r="G63" s="267"/>
      <c r="H63" s="262"/>
      <c r="I63" s="262"/>
      <c r="J63" s="268"/>
      <c r="L63" s="255"/>
      <c r="M63" s="255"/>
      <c r="N63" s="255"/>
      <c r="O63" s="255"/>
      <c r="P63" s="255"/>
      <c r="Q63" s="255"/>
    </row>
    <row r="64" spans="1:17" s="247" customFormat="1" ht="50.4">
      <c r="A64" s="1392" t="s">
        <v>1144</v>
      </c>
      <c r="B64" s="263" t="s">
        <v>1103</v>
      </c>
      <c r="C64" s="248" t="s">
        <v>1085</v>
      </c>
      <c r="D64" s="1246">
        <f>+'LINEAS IMPULSIÓN-CONDUCCIÓN'!D26</f>
        <v>3844.0000000000005</v>
      </c>
      <c r="E64" s="260">
        <f>+'LINEAS IMPULSIÓN-CONDUCCIÓN'!E26</f>
        <v>87012</v>
      </c>
      <c r="F64" s="260">
        <f t="shared" si="3"/>
        <v>334474128</v>
      </c>
      <c r="G64" s="267"/>
      <c r="H64" s="1391"/>
      <c r="I64" s="255"/>
      <c r="J64" s="268"/>
      <c r="K64" s="255"/>
      <c r="L64" s="255"/>
      <c r="M64" s="255"/>
      <c r="N64" s="255"/>
      <c r="O64" s="255"/>
      <c r="P64" s="255"/>
      <c r="Q64" s="255"/>
    </row>
    <row r="65" spans="1:17" s="247" customFormat="1" ht="50.4">
      <c r="A65" s="257" t="s">
        <v>4347</v>
      </c>
      <c r="B65" s="263" t="s">
        <v>1102</v>
      </c>
      <c r="C65" s="471" t="s">
        <v>1085</v>
      </c>
      <c r="D65" s="1246">
        <f>+'LINEAS IMPULSIÓN-CONDUCCIÓN'!D27</f>
        <v>8968.7500000000018</v>
      </c>
      <c r="E65" s="260">
        <f>+'LINEAS IMPULSIÓN-CONDUCCIÓN'!E27</f>
        <v>12212</v>
      </c>
      <c r="F65" s="260">
        <f t="shared" si="3"/>
        <v>109526375</v>
      </c>
      <c r="G65" s="255"/>
      <c r="H65" s="3733"/>
      <c r="I65" s="3733"/>
      <c r="J65" s="3733"/>
      <c r="K65" s="3733"/>
      <c r="L65" s="3733"/>
      <c r="M65" s="3733"/>
      <c r="N65" s="3733"/>
      <c r="O65" s="261"/>
    </row>
    <row r="66" spans="1:17" s="247" customFormat="1" ht="23.25" customHeight="1">
      <c r="A66" s="1392" t="s">
        <v>4348</v>
      </c>
      <c r="B66" s="453" t="s">
        <v>4352</v>
      </c>
      <c r="C66" s="471" t="s">
        <v>94</v>
      </c>
      <c r="D66" s="1246">
        <f>+'LINEAS IMPULSIÓN-CONDUCCIÓN'!D31</f>
        <v>30</v>
      </c>
      <c r="E66" s="260">
        <f>+'LINEAS IMPULSIÓN-CONDUCCIÓN'!E31</f>
        <v>3999000</v>
      </c>
      <c r="F66" s="260">
        <f>ROUND(+E66*D66,0)</f>
        <v>119970000</v>
      </c>
      <c r="G66" s="255"/>
      <c r="H66" s="1391"/>
      <c r="I66" s="1391"/>
      <c r="J66" s="1391"/>
      <c r="K66" s="1391"/>
      <c r="L66" s="1391"/>
      <c r="M66" s="1391"/>
      <c r="N66" s="1391"/>
      <c r="O66" s="261"/>
    </row>
    <row r="67" spans="1:17" s="247" customFormat="1" ht="23.25" customHeight="1">
      <c r="A67" s="257" t="s">
        <v>4350</v>
      </c>
      <c r="B67" s="453" t="s">
        <v>4351</v>
      </c>
      <c r="C67" s="471" t="s">
        <v>94</v>
      </c>
      <c r="D67" s="1246" t="e">
        <f>+'LINEAS IMPULSIÓN-CONDUCCIÓN'!#REF!</f>
        <v>#REF!</v>
      </c>
      <c r="E67" s="260" t="e">
        <f>+'LINEAS IMPULSIÓN-CONDUCCIÓN'!#REF!</f>
        <v>#REF!</v>
      </c>
      <c r="F67" s="260" t="e">
        <f>ROUND(+E67*D67,0)</f>
        <v>#REF!</v>
      </c>
      <c r="G67" s="255"/>
      <c r="H67" s="1391"/>
      <c r="I67" s="1391"/>
      <c r="J67" s="1391"/>
      <c r="K67" s="1391"/>
      <c r="L67" s="1391"/>
      <c r="M67" s="1391"/>
      <c r="N67" s="1391"/>
      <c r="O67" s="261"/>
    </row>
    <row r="68" spans="1:17" ht="19.5" customHeight="1">
      <c r="A68" s="1085">
        <v>2.4</v>
      </c>
      <c r="B68" s="1086" t="s">
        <v>1106</v>
      </c>
      <c r="C68" s="1146"/>
      <c r="D68" s="1146"/>
      <c r="E68" s="1146"/>
      <c r="F68" s="1147" t="e">
        <f>+SUM(F69:F76)</f>
        <v>#REF!</v>
      </c>
      <c r="G68" s="522"/>
      <c r="I68" s="522"/>
    </row>
    <row r="69" spans="1:17" ht="26.4">
      <c r="A69" s="514" t="s">
        <v>1145</v>
      </c>
      <c r="B69" s="518" t="s">
        <v>1107</v>
      </c>
      <c r="C69" s="1200" t="s">
        <v>1292</v>
      </c>
      <c r="D69" s="1246">
        <f>+'LINEAS IMPULSIÓN-CONDUCCIÓN'!D33</f>
        <v>17</v>
      </c>
      <c r="E69" s="1143">
        <f>+'LINEAS IMPULSIÓN-CONDUCCIÓN'!E33</f>
        <v>508061.26403443597</v>
      </c>
      <c r="F69" s="1143">
        <f>ROUND(+E69*D69,0)</f>
        <v>8637041</v>
      </c>
      <c r="G69" s="522"/>
      <c r="I69" s="522"/>
    </row>
    <row r="70" spans="1:17" s="247" customFormat="1" ht="22.5" customHeight="1">
      <c r="A70" s="324" t="s">
        <v>1146</v>
      </c>
      <c r="B70" s="323" t="s">
        <v>4668</v>
      </c>
      <c r="C70" s="1200" t="s">
        <v>4992</v>
      </c>
      <c r="D70" s="1246">
        <f>+'LINEAS IMPULSIÓN-CONDUCCIÓN'!D34</f>
        <v>5</v>
      </c>
      <c r="E70" s="1143">
        <f>+'LINEAS IMPULSIÓN-CONDUCCIÓN'!E34</f>
        <v>583833.86392370739</v>
      </c>
      <c r="F70" s="272">
        <f>ROUND((+E70*D70),0)</f>
        <v>2919169</v>
      </c>
      <c r="G70" s="255"/>
      <c r="I70" s="273"/>
      <c r="J70" s="273"/>
      <c r="K70" s="274"/>
      <c r="L70" s="275"/>
      <c r="M70" s="255"/>
      <c r="N70" s="255"/>
      <c r="O70" s="273"/>
      <c r="P70" s="276"/>
      <c r="Q70" s="276"/>
    </row>
    <row r="71" spans="1:17" ht="39.6">
      <c r="A71" s="514" t="s">
        <v>1147</v>
      </c>
      <c r="B71" s="518" t="s">
        <v>1111</v>
      </c>
      <c r="C71" s="1200" t="s">
        <v>1292</v>
      </c>
      <c r="D71" s="1246">
        <f>+'LINEAS IMPULSIÓN-CONDUCCIÓN'!D35</f>
        <v>65.8</v>
      </c>
      <c r="E71" s="1143">
        <f>+'LINEAS IMPULSIÓN-CONDUCCIÓN'!E35</f>
        <v>721312.05156987999</v>
      </c>
      <c r="F71" s="1143">
        <f t="shared" ref="F71:F76" si="4">ROUND(+E71*D71,0)</f>
        <v>47462333</v>
      </c>
      <c r="G71" s="522"/>
      <c r="I71" s="522"/>
    </row>
    <row r="72" spans="1:17" ht="16.8">
      <c r="A72" s="324" t="s">
        <v>1148</v>
      </c>
      <c r="B72" s="518" t="s">
        <v>1120</v>
      </c>
      <c r="C72" s="1200" t="s">
        <v>94</v>
      </c>
      <c r="D72" s="1246">
        <f>+'LINEAS IMPULSIÓN-CONDUCCIÓN'!D36</f>
        <v>3343.8</v>
      </c>
      <c r="E72" s="1143">
        <f>+'LINEAS IMPULSIÓN-CONDUCCIÓN'!E36</f>
        <v>54299.213951898993</v>
      </c>
      <c r="F72" s="1143">
        <f t="shared" si="4"/>
        <v>181565712</v>
      </c>
      <c r="G72" s="522"/>
      <c r="I72" s="522"/>
    </row>
    <row r="73" spans="1:17">
      <c r="A73" s="514" t="s">
        <v>1149</v>
      </c>
      <c r="B73" s="518" t="s">
        <v>1121</v>
      </c>
      <c r="C73" s="1200" t="s">
        <v>94</v>
      </c>
      <c r="D73" s="1246">
        <f>+'LINEAS IMPULSIÓN-CONDUCCIÓN'!D37</f>
        <v>1369.1</v>
      </c>
      <c r="E73" s="1143">
        <f>+'LINEAS IMPULSIÓN-CONDUCCIÓN'!E37</f>
        <v>41838.174079316326</v>
      </c>
      <c r="F73" s="1143">
        <f t="shared" si="4"/>
        <v>57280644</v>
      </c>
      <c r="G73" s="522"/>
      <c r="I73" s="522"/>
    </row>
    <row r="74" spans="1:17" ht="39.6">
      <c r="A74" s="324" t="s">
        <v>1150</v>
      </c>
      <c r="B74" s="518" t="s">
        <v>1123</v>
      </c>
      <c r="C74" s="1200" t="s">
        <v>650</v>
      </c>
      <c r="D74" s="1246">
        <f>+'LINEAS IMPULSIÓN-CONDUCCIÓN'!D38</f>
        <v>109.5</v>
      </c>
      <c r="E74" s="1143">
        <f>+'LINEAS IMPULSIÓN-CONDUCCIÓN'!E38</f>
        <v>444652.84510301804</v>
      </c>
      <c r="F74" s="1143">
        <f t="shared" si="4"/>
        <v>48689487</v>
      </c>
      <c r="G74" s="522"/>
      <c r="I74" s="522"/>
    </row>
    <row r="75" spans="1:17" ht="39.6">
      <c r="A75" s="514" t="s">
        <v>1151</v>
      </c>
      <c r="B75" s="518" t="s">
        <v>542</v>
      </c>
      <c r="C75" s="1200" t="s">
        <v>133</v>
      </c>
      <c r="D75" s="1246">
        <f>+'LINEAS IMPULSIÓN-CONDUCCIÓN'!D39</f>
        <v>17</v>
      </c>
      <c r="E75" s="1143">
        <f>+'LINEAS IMPULSIÓN-CONDUCCIÓN'!E39</f>
        <v>704362.91278373147</v>
      </c>
      <c r="F75" s="1143">
        <f t="shared" si="4"/>
        <v>11974170</v>
      </c>
      <c r="G75" s="522"/>
      <c r="I75" s="522"/>
    </row>
    <row r="76" spans="1:17" ht="26.4">
      <c r="A76" s="324" t="s">
        <v>1152</v>
      </c>
      <c r="B76" s="518" t="s">
        <v>4480</v>
      </c>
      <c r="C76" s="1200" t="s">
        <v>133</v>
      </c>
      <c r="D76" s="1246" t="e">
        <f>+'LINEAS IMPULSIÓN-CONDUCCIÓN'!#REF!</f>
        <v>#REF!</v>
      </c>
      <c r="E76" s="1143" t="e">
        <f>+'LINEAS IMPULSIÓN-CONDUCCIÓN'!#REF!</f>
        <v>#REF!</v>
      </c>
      <c r="F76" s="1143" t="e">
        <f t="shared" si="4"/>
        <v>#REF!</v>
      </c>
      <c r="G76" s="522"/>
      <c r="I76" s="522"/>
    </row>
    <row r="77" spans="1:17" ht="20.25" customHeight="1">
      <c r="A77" s="1085" t="s">
        <v>1153</v>
      </c>
      <c r="B77" s="1086" t="s">
        <v>1127</v>
      </c>
      <c r="C77" s="1146"/>
      <c r="D77" s="1146"/>
      <c r="E77" s="1146" t="s">
        <v>1158</v>
      </c>
      <c r="F77" s="1147" t="e">
        <f>+SUM(F78:F122)</f>
        <v>#REF!</v>
      </c>
      <c r="G77" s="522"/>
      <c r="I77" s="522"/>
    </row>
    <row r="78" spans="1:17" s="247" customFormat="1" ht="16.8">
      <c r="A78" s="257" t="s">
        <v>4453</v>
      </c>
      <c r="B78" s="258" t="s">
        <v>4355</v>
      </c>
      <c r="C78" s="471" t="s">
        <v>427</v>
      </c>
      <c r="D78" s="1246" t="e">
        <f>+'LINEAS IMPULSIÓN-CONDUCCIÓN'!#REF!</f>
        <v>#REF!</v>
      </c>
      <c r="E78" s="260" t="e">
        <f>+'LINEAS IMPULSIÓN-CONDUCCIÓN'!#REF!</f>
        <v>#REF!</v>
      </c>
      <c r="F78" s="272" t="e">
        <f t="shared" ref="F78:F116" si="5">ROUND((+E78*D78),0)</f>
        <v>#REF!</v>
      </c>
      <c r="G78" s="254"/>
      <c r="H78" s="255"/>
      <c r="I78" s="255"/>
      <c r="J78" s="255"/>
      <c r="K78" s="256"/>
      <c r="L78" s="256"/>
      <c r="M78" s="255"/>
      <c r="N78" s="255"/>
      <c r="O78" s="255"/>
      <c r="P78" s="255"/>
      <c r="Q78" s="255"/>
    </row>
    <row r="79" spans="1:17" s="247" customFormat="1" ht="16.8">
      <c r="A79" s="277" t="s">
        <v>1154</v>
      </c>
      <c r="B79" s="258" t="s">
        <v>4356</v>
      </c>
      <c r="C79" s="471" t="s">
        <v>427</v>
      </c>
      <c r="D79" s="1246" t="e">
        <f>+'LINEAS IMPULSIÓN-CONDUCCIÓN'!#REF!</f>
        <v>#REF!</v>
      </c>
      <c r="E79" s="260" t="e">
        <f>+'LINEAS IMPULSIÓN-CONDUCCIÓN'!#REF!</f>
        <v>#REF!</v>
      </c>
      <c r="F79" s="272" t="e">
        <f t="shared" si="5"/>
        <v>#REF!</v>
      </c>
      <c r="G79" s="254"/>
      <c r="H79" s="255"/>
      <c r="I79" s="255"/>
      <c r="J79" s="255"/>
      <c r="K79" s="256"/>
      <c r="L79" s="256"/>
      <c r="M79" s="255"/>
      <c r="N79" s="255"/>
      <c r="O79" s="255"/>
      <c r="P79" s="255"/>
      <c r="Q79" s="255"/>
    </row>
    <row r="80" spans="1:17" s="247" customFormat="1" ht="16.8">
      <c r="A80" s="277" t="s">
        <v>1155</v>
      </c>
      <c r="B80" s="258" t="s">
        <v>4357</v>
      </c>
      <c r="C80" s="471" t="s">
        <v>427</v>
      </c>
      <c r="D80" s="1246" t="e">
        <f>+'LINEAS IMPULSIÓN-CONDUCCIÓN'!#REF!</f>
        <v>#REF!</v>
      </c>
      <c r="E80" s="260" t="e">
        <f>+'LINEAS IMPULSIÓN-CONDUCCIÓN'!#REF!</f>
        <v>#REF!</v>
      </c>
      <c r="F80" s="272" t="e">
        <f t="shared" si="5"/>
        <v>#REF!</v>
      </c>
      <c r="G80" s="254"/>
      <c r="H80" s="255"/>
      <c r="I80" s="255"/>
      <c r="J80" s="255"/>
      <c r="K80" s="256"/>
      <c r="L80" s="256"/>
      <c r="M80" s="255"/>
      <c r="N80" s="255"/>
      <c r="O80" s="255"/>
      <c r="P80" s="255"/>
      <c r="Q80" s="255"/>
    </row>
    <row r="81" spans="1:17" s="247" customFormat="1" ht="16.8">
      <c r="A81" s="277" t="s">
        <v>1156</v>
      </c>
      <c r="B81" s="258" t="s">
        <v>4358</v>
      </c>
      <c r="C81" s="471" t="s">
        <v>427</v>
      </c>
      <c r="D81" s="1246" t="e">
        <f>+'LINEAS IMPULSIÓN-CONDUCCIÓN'!#REF!</f>
        <v>#REF!</v>
      </c>
      <c r="E81" s="260" t="e">
        <f>+'LINEAS IMPULSIÓN-CONDUCCIÓN'!#REF!</f>
        <v>#REF!</v>
      </c>
      <c r="F81" s="272" t="e">
        <f t="shared" si="5"/>
        <v>#REF!</v>
      </c>
      <c r="G81" s="254"/>
      <c r="H81" s="255"/>
      <c r="I81" s="255"/>
      <c r="J81" s="255"/>
      <c r="K81" s="256"/>
      <c r="L81" s="256"/>
      <c r="M81" s="255"/>
      <c r="N81" s="255"/>
      <c r="O81" s="255"/>
      <c r="P81" s="255"/>
      <c r="Q81" s="255"/>
    </row>
    <row r="82" spans="1:17" s="247" customFormat="1" ht="16.8">
      <c r="A82" s="277" t="s">
        <v>1157</v>
      </c>
      <c r="B82" s="258" t="s">
        <v>4359</v>
      </c>
      <c r="C82" s="471" t="s">
        <v>427</v>
      </c>
      <c r="D82" s="1246" t="e">
        <f>+'LINEAS IMPULSIÓN-CONDUCCIÓN'!#REF!</f>
        <v>#REF!</v>
      </c>
      <c r="E82" s="260" t="e">
        <f>+'LINEAS IMPULSIÓN-CONDUCCIÓN'!#REF!</f>
        <v>#REF!</v>
      </c>
      <c r="F82" s="272" t="e">
        <f t="shared" si="5"/>
        <v>#REF!</v>
      </c>
      <c r="G82" s="254"/>
      <c r="H82" s="255"/>
      <c r="I82" s="255"/>
      <c r="J82" s="255"/>
      <c r="K82" s="256"/>
      <c r="L82" s="256"/>
      <c r="M82" s="255"/>
      <c r="N82" s="255"/>
      <c r="O82" s="255"/>
      <c r="P82" s="255"/>
      <c r="Q82" s="255"/>
    </row>
    <row r="83" spans="1:17" s="247" customFormat="1" ht="33.6">
      <c r="A83" s="277" t="s">
        <v>1301</v>
      </c>
      <c r="B83" s="258" t="s">
        <v>4360</v>
      </c>
      <c r="C83" s="471" t="s">
        <v>427</v>
      </c>
      <c r="D83" s="1246" t="e">
        <f>+'LINEAS IMPULSIÓN-CONDUCCIÓN'!#REF!</f>
        <v>#REF!</v>
      </c>
      <c r="E83" s="260" t="e">
        <f>+'LINEAS IMPULSIÓN-CONDUCCIÓN'!#REF!</f>
        <v>#REF!</v>
      </c>
      <c r="F83" s="272" t="e">
        <f t="shared" si="5"/>
        <v>#REF!</v>
      </c>
      <c r="G83" s="254"/>
      <c r="H83" s="255"/>
      <c r="I83" s="255"/>
      <c r="J83" s="255"/>
      <c r="K83" s="256"/>
      <c r="L83" s="256"/>
      <c r="M83" s="255"/>
      <c r="N83" s="255"/>
      <c r="O83" s="255"/>
      <c r="P83" s="255"/>
      <c r="Q83" s="255"/>
    </row>
    <row r="84" spans="1:17" s="247" customFormat="1" ht="16.8">
      <c r="A84" s="277" t="s">
        <v>4454</v>
      </c>
      <c r="B84" s="258" t="s">
        <v>4361</v>
      </c>
      <c r="C84" s="471" t="s">
        <v>427</v>
      </c>
      <c r="D84" s="1246" t="e">
        <f>+'LINEAS IMPULSIÓN-CONDUCCIÓN'!#REF!</f>
        <v>#REF!</v>
      </c>
      <c r="E84" s="260" t="e">
        <f>+'LINEAS IMPULSIÓN-CONDUCCIÓN'!#REF!</f>
        <v>#REF!</v>
      </c>
      <c r="F84" s="272" t="e">
        <f t="shared" si="5"/>
        <v>#REF!</v>
      </c>
      <c r="G84" s="254"/>
      <c r="H84" s="255"/>
      <c r="I84" s="255"/>
      <c r="J84" s="255"/>
      <c r="K84" s="256"/>
      <c r="L84" s="256"/>
      <c r="M84" s="255"/>
      <c r="N84" s="255"/>
      <c r="O84" s="255"/>
      <c r="P84" s="255"/>
      <c r="Q84" s="255"/>
    </row>
    <row r="85" spans="1:17" s="247" customFormat="1" ht="16.8">
      <c r="A85" s="277" t="s">
        <v>4455</v>
      </c>
      <c r="B85" s="258" t="s">
        <v>4409</v>
      </c>
      <c r="C85" s="471" t="s">
        <v>427</v>
      </c>
      <c r="D85" s="1246" t="e">
        <f>+'LINEAS IMPULSIÓN-CONDUCCIÓN'!#REF!</f>
        <v>#REF!</v>
      </c>
      <c r="E85" s="260" t="e">
        <f>+'LINEAS IMPULSIÓN-CONDUCCIÓN'!#REF!</f>
        <v>#REF!</v>
      </c>
      <c r="F85" s="272" t="e">
        <f t="shared" si="5"/>
        <v>#REF!</v>
      </c>
      <c r="G85" s="254"/>
      <c r="H85" s="255"/>
      <c r="I85" s="255"/>
      <c r="J85" s="255"/>
      <c r="K85" s="256"/>
      <c r="L85" s="256"/>
      <c r="M85" s="255"/>
      <c r="N85" s="255"/>
      <c r="O85" s="255"/>
      <c r="P85" s="255"/>
      <c r="Q85" s="255"/>
    </row>
    <row r="86" spans="1:17" s="247" customFormat="1" ht="16.8">
      <c r="A86" s="277" t="s">
        <v>4456</v>
      </c>
      <c r="B86" s="258" t="s">
        <v>4362</v>
      </c>
      <c r="C86" s="471" t="s">
        <v>427</v>
      </c>
      <c r="D86" s="1246" t="e">
        <f>+'LINEAS IMPULSIÓN-CONDUCCIÓN'!#REF!</f>
        <v>#REF!</v>
      </c>
      <c r="E86" s="260" t="e">
        <f>+'LINEAS IMPULSIÓN-CONDUCCIÓN'!#REF!</f>
        <v>#REF!</v>
      </c>
      <c r="F86" s="272" t="e">
        <f t="shared" si="5"/>
        <v>#REF!</v>
      </c>
      <c r="G86" s="254"/>
      <c r="H86" s="255"/>
      <c r="I86" s="255"/>
      <c r="J86" s="255"/>
      <c r="K86" s="256"/>
      <c r="L86" s="256"/>
      <c r="M86" s="255"/>
      <c r="N86" s="255"/>
      <c r="O86" s="255"/>
      <c r="P86" s="255"/>
      <c r="Q86" s="255"/>
    </row>
    <row r="87" spans="1:17" s="247" customFormat="1" ht="16.8">
      <c r="A87" s="277" t="s">
        <v>4457</v>
      </c>
      <c r="B87" s="258" t="s">
        <v>4499</v>
      </c>
      <c r="C87" s="471" t="s">
        <v>427</v>
      </c>
      <c r="D87" s="1246" t="e">
        <f>+'LINEAS IMPULSIÓN-CONDUCCIÓN'!#REF!</f>
        <v>#REF!</v>
      </c>
      <c r="E87" s="260" t="e">
        <f>+'LINEAS IMPULSIÓN-CONDUCCIÓN'!#REF!</f>
        <v>#REF!</v>
      </c>
      <c r="F87" s="272" t="e">
        <f t="shared" si="5"/>
        <v>#REF!</v>
      </c>
      <c r="G87" s="254"/>
      <c r="H87" s="255"/>
      <c r="I87" s="255"/>
      <c r="J87" s="255"/>
      <c r="K87" s="256"/>
      <c r="L87" s="256"/>
      <c r="M87" s="255"/>
      <c r="N87" s="255"/>
      <c r="O87" s="255"/>
      <c r="P87" s="255"/>
      <c r="Q87" s="255"/>
    </row>
    <row r="88" spans="1:17" s="247" customFormat="1" ht="16.8">
      <c r="A88" s="277" t="s">
        <v>4458</v>
      </c>
      <c r="B88" s="258" t="s">
        <v>4484</v>
      </c>
      <c r="C88" s="471" t="s">
        <v>427</v>
      </c>
      <c r="D88" s="1246" t="e">
        <f>+'LINEAS IMPULSIÓN-CONDUCCIÓN'!#REF!</f>
        <v>#REF!</v>
      </c>
      <c r="E88" s="260" t="e">
        <f>+'LINEAS IMPULSIÓN-CONDUCCIÓN'!#REF!</f>
        <v>#REF!</v>
      </c>
      <c r="F88" s="272" t="e">
        <f t="shared" si="5"/>
        <v>#REF!</v>
      </c>
      <c r="G88" s="254"/>
      <c r="H88" s="255"/>
      <c r="I88" s="255"/>
      <c r="J88" s="255"/>
      <c r="K88" s="256"/>
      <c r="L88" s="256"/>
      <c r="M88" s="255"/>
      <c r="N88" s="255"/>
      <c r="O88" s="255"/>
      <c r="P88" s="255"/>
      <c r="Q88" s="255"/>
    </row>
    <row r="89" spans="1:17" s="247" customFormat="1" ht="16.8">
      <c r="A89" s="277" t="s">
        <v>4459</v>
      </c>
      <c r="B89" s="258" t="s">
        <v>4399</v>
      </c>
      <c r="C89" s="471" t="s">
        <v>427</v>
      </c>
      <c r="D89" s="1246" t="e">
        <f>+'LINEAS IMPULSIÓN-CONDUCCIÓN'!#REF!</f>
        <v>#REF!</v>
      </c>
      <c r="E89" s="260" t="e">
        <f>+'LINEAS IMPULSIÓN-CONDUCCIÓN'!#REF!</f>
        <v>#REF!</v>
      </c>
      <c r="F89" s="272" t="e">
        <f t="shared" si="5"/>
        <v>#REF!</v>
      </c>
      <c r="G89" s="254"/>
      <c r="H89" s="255"/>
      <c r="I89" s="255"/>
      <c r="J89" s="255"/>
      <c r="K89" s="256"/>
      <c r="L89" s="256"/>
      <c r="M89" s="255"/>
      <c r="N89" s="255"/>
      <c r="O89" s="255"/>
      <c r="P89" s="255"/>
      <c r="Q89" s="255"/>
    </row>
    <row r="90" spans="1:17" s="247" customFormat="1" ht="16.8">
      <c r="A90" s="277" t="s">
        <v>4460</v>
      </c>
      <c r="B90" s="258" t="s">
        <v>4410</v>
      </c>
      <c r="C90" s="471" t="s">
        <v>427</v>
      </c>
      <c r="D90" s="1246" t="e">
        <f>+'LINEAS IMPULSIÓN-CONDUCCIÓN'!#REF!</f>
        <v>#REF!</v>
      </c>
      <c r="E90" s="260" t="e">
        <f>+'LINEAS IMPULSIÓN-CONDUCCIÓN'!#REF!</f>
        <v>#REF!</v>
      </c>
      <c r="F90" s="272" t="e">
        <f t="shared" si="5"/>
        <v>#REF!</v>
      </c>
      <c r="G90" s="254"/>
      <c r="H90" s="255"/>
      <c r="I90" s="255"/>
      <c r="J90" s="255"/>
      <c r="K90" s="256"/>
      <c r="L90" s="256"/>
      <c r="M90" s="255"/>
      <c r="N90" s="255"/>
      <c r="O90" s="255"/>
      <c r="P90" s="255"/>
      <c r="Q90" s="255"/>
    </row>
    <row r="91" spans="1:17" s="247" customFormat="1" ht="16.8">
      <c r="A91" s="277" t="s">
        <v>4461</v>
      </c>
      <c r="B91" s="258" t="s">
        <v>4395</v>
      </c>
      <c r="C91" s="471" t="s">
        <v>427</v>
      </c>
      <c r="D91" s="1246" t="e">
        <f>+'LINEAS IMPULSIÓN-CONDUCCIÓN'!#REF!</f>
        <v>#REF!</v>
      </c>
      <c r="E91" s="260" t="e">
        <f>+'LINEAS IMPULSIÓN-CONDUCCIÓN'!#REF!</f>
        <v>#REF!</v>
      </c>
      <c r="F91" s="272" t="e">
        <f t="shared" si="5"/>
        <v>#REF!</v>
      </c>
      <c r="G91" s="254"/>
      <c r="H91" s="255"/>
      <c r="I91" s="255"/>
      <c r="J91" s="255"/>
      <c r="K91" s="256"/>
      <c r="L91" s="256"/>
      <c r="M91" s="255"/>
      <c r="N91" s="255"/>
      <c r="O91" s="255"/>
      <c r="P91" s="255"/>
      <c r="Q91" s="255"/>
    </row>
    <row r="92" spans="1:17" s="247" customFormat="1" ht="16.8">
      <c r="A92" s="277" t="s">
        <v>4462</v>
      </c>
      <c r="B92" s="258" t="s">
        <v>4364</v>
      </c>
      <c r="C92" s="471" t="s">
        <v>427</v>
      </c>
      <c r="D92" s="1246" t="e">
        <f>+'LINEAS IMPULSIÓN-CONDUCCIÓN'!#REF!</f>
        <v>#REF!</v>
      </c>
      <c r="E92" s="260" t="e">
        <f>+'LINEAS IMPULSIÓN-CONDUCCIÓN'!#REF!</f>
        <v>#REF!</v>
      </c>
      <c r="F92" s="272" t="e">
        <f t="shared" si="5"/>
        <v>#REF!</v>
      </c>
      <c r="G92" s="254"/>
      <c r="H92" s="255"/>
      <c r="I92" s="255"/>
      <c r="J92" s="255"/>
      <c r="K92" s="256"/>
      <c r="L92" s="256"/>
      <c r="M92" s="255"/>
      <c r="N92" s="255"/>
      <c r="O92" s="255"/>
      <c r="P92" s="255"/>
      <c r="Q92" s="255"/>
    </row>
    <row r="93" spans="1:17" s="247" customFormat="1" ht="16.8">
      <c r="A93" s="277" t="s">
        <v>4463</v>
      </c>
      <c r="B93" s="258" t="s">
        <v>4365</v>
      </c>
      <c r="C93" s="471" t="s">
        <v>427</v>
      </c>
      <c r="D93" s="1246" t="e">
        <f>+'LINEAS IMPULSIÓN-CONDUCCIÓN'!#REF!</f>
        <v>#REF!</v>
      </c>
      <c r="E93" s="260" t="e">
        <f>+'LINEAS IMPULSIÓN-CONDUCCIÓN'!#REF!</f>
        <v>#REF!</v>
      </c>
      <c r="F93" s="272" t="e">
        <f t="shared" si="5"/>
        <v>#REF!</v>
      </c>
      <c r="G93" s="254"/>
      <c r="H93" s="255"/>
      <c r="I93" s="255"/>
      <c r="J93" s="255"/>
      <c r="K93" s="256"/>
      <c r="L93" s="256"/>
      <c r="M93" s="255"/>
      <c r="N93" s="255"/>
      <c r="O93" s="255"/>
      <c r="P93" s="255"/>
      <c r="Q93" s="255"/>
    </row>
    <row r="94" spans="1:17" s="247" customFormat="1" ht="16.8">
      <c r="A94" s="277" t="s">
        <v>4464</v>
      </c>
      <c r="B94" s="258" t="s">
        <v>4393</v>
      </c>
      <c r="C94" s="471" t="s">
        <v>427</v>
      </c>
      <c r="D94" s="1246" t="e">
        <f>+'LINEAS IMPULSIÓN-CONDUCCIÓN'!#REF!</f>
        <v>#REF!</v>
      </c>
      <c r="E94" s="260" t="e">
        <f>+'LINEAS IMPULSIÓN-CONDUCCIÓN'!#REF!</f>
        <v>#REF!</v>
      </c>
      <c r="F94" s="272" t="e">
        <f t="shared" si="5"/>
        <v>#REF!</v>
      </c>
      <c r="G94" s="254"/>
      <c r="H94" s="255"/>
      <c r="I94" s="255"/>
      <c r="J94" s="255"/>
      <c r="K94" s="256"/>
      <c r="L94" s="256"/>
      <c r="M94" s="255"/>
      <c r="N94" s="255"/>
      <c r="O94" s="255"/>
      <c r="P94" s="255"/>
      <c r="Q94" s="255"/>
    </row>
    <row r="95" spans="1:17" s="247" customFormat="1" ht="16.8">
      <c r="A95" s="277" t="s">
        <v>4465</v>
      </c>
      <c r="B95" s="258" t="s">
        <v>4366</v>
      </c>
      <c r="C95" s="471" t="s">
        <v>427</v>
      </c>
      <c r="D95" s="1246" t="e">
        <f>+'LINEAS IMPULSIÓN-CONDUCCIÓN'!#REF!</f>
        <v>#REF!</v>
      </c>
      <c r="E95" s="260" t="e">
        <f>+'LINEAS IMPULSIÓN-CONDUCCIÓN'!#REF!</f>
        <v>#REF!</v>
      </c>
      <c r="F95" s="272" t="e">
        <f t="shared" si="5"/>
        <v>#REF!</v>
      </c>
      <c r="G95" s="254"/>
      <c r="H95" s="255"/>
      <c r="I95" s="255"/>
      <c r="J95" s="255"/>
      <c r="K95" s="256"/>
      <c r="L95" s="256"/>
      <c r="M95" s="255"/>
      <c r="N95" s="255"/>
      <c r="O95" s="255"/>
      <c r="P95" s="255"/>
      <c r="Q95" s="255"/>
    </row>
    <row r="96" spans="1:17" s="247" customFormat="1" ht="16.8">
      <c r="A96" s="277" t="s">
        <v>4466</v>
      </c>
      <c r="B96" s="258" t="s">
        <v>4390</v>
      </c>
      <c r="C96" s="471" t="s">
        <v>427</v>
      </c>
      <c r="D96" s="1246" t="e">
        <f>+'LINEAS IMPULSIÓN-CONDUCCIÓN'!#REF!</f>
        <v>#REF!</v>
      </c>
      <c r="E96" s="260" t="e">
        <f>+'LINEAS IMPULSIÓN-CONDUCCIÓN'!#REF!</f>
        <v>#REF!</v>
      </c>
      <c r="F96" s="272" t="e">
        <f t="shared" si="5"/>
        <v>#REF!</v>
      </c>
      <c r="G96" s="254"/>
      <c r="H96" s="255"/>
      <c r="I96" s="255"/>
      <c r="J96" s="255"/>
      <c r="K96" s="256"/>
      <c r="L96" s="256"/>
      <c r="M96" s="255"/>
      <c r="N96" s="255"/>
      <c r="O96" s="255"/>
      <c r="P96" s="255"/>
      <c r="Q96" s="255"/>
    </row>
    <row r="97" spans="1:17" s="247" customFormat="1" ht="16.8">
      <c r="A97" s="277" t="s">
        <v>4467</v>
      </c>
      <c r="B97" s="258" t="s">
        <v>4367</v>
      </c>
      <c r="C97" s="471" t="s">
        <v>427</v>
      </c>
      <c r="D97" s="1246" t="e">
        <f>+'LINEAS IMPULSIÓN-CONDUCCIÓN'!#REF!</f>
        <v>#REF!</v>
      </c>
      <c r="E97" s="260" t="e">
        <f>+'LINEAS IMPULSIÓN-CONDUCCIÓN'!#REF!</f>
        <v>#REF!</v>
      </c>
      <c r="F97" s="272" t="e">
        <f t="shared" si="5"/>
        <v>#REF!</v>
      </c>
      <c r="G97" s="254"/>
      <c r="H97" s="255"/>
      <c r="I97" s="255"/>
      <c r="J97" s="255"/>
      <c r="K97" s="256"/>
      <c r="L97" s="256"/>
      <c r="M97" s="255"/>
      <c r="N97" s="255"/>
      <c r="O97" s="255"/>
      <c r="P97" s="255"/>
      <c r="Q97" s="255"/>
    </row>
    <row r="98" spans="1:17" s="247" customFormat="1" ht="6.75" customHeight="1">
      <c r="A98" s="277"/>
      <c r="B98" s="258"/>
      <c r="C98" s="471"/>
      <c r="D98" s="1246" t="e">
        <f>+'LINEAS IMPULSIÓN-CONDUCCIÓN'!#REF!</f>
        <v>#REF!</v>
      </c>
      <c r="E98" s="260" t="e">
        <f>+'LINEAS IMPULSIÓN-CONDUCCIÓN'!#REF!</f>
        <v>#REF!</v>
      </c>
      <c r="F98" s="272"/>
      <c r="G98" s="254"/>
      <c r="H98" s="255"/>
      <c r="I98" s="255"/>
      <c r="J98" s="255"/>
      <c r="K98" s="256"/>
      <c r="L98" s="256"/>
      <c r="M98" s="255"/>
      <c r="N98" s="255"/>
      <c r="O98" s="255"/>
      <c r="P98" s="255"/>
      <c r="Q98" s="255"/>
    </row>
    <row r="99" spans="1:17" s="247" customFormat="1" ht="14.25" customHeight="1">
      <c r="A99" s="277" t="s">
        <v>5017</v>
      </c>
      <c r="B99" s="258" t="s">
        <v>4481</v>
      </c>
      <c r="C99" s="471" t="s">
        <v>427</v>
      </c>
      <c r="D99" s="1246" t="e">
        <f>+'LINEAS IMPULSIÓN-CONDUCCIÓN'!#REF!</f>
        <v>#REF!</v>
      </c>
      <c r="E99" s="260" t="e">
        <f>+'LINEAS IMPULSIÓN-CONDUCCIÓN'!#REF!</f>
        <v>#REF!</v>
      </c>
      <c r="F99" s="272" t="e">
        <f t="shared" si="5"/>
        <v>#REF!</v>
      </c>
      <c r="G99" s="254"/>
      <c r="H99" s="255" t="s">
        <v>4993</v>
      </c>
      <c r="I99" s="255" t="s">
        <v>4572</v>
      </c>
      <c r="J99" s="255" t="str">
        <f>+CONCATENATE(H99,I99)</f>
        <v>2.5.21s</v>
      </c>
      <c r="K99" s="256"/>
      <c r="L99" s="256"/>
      <c r="M99" s="255"/>
      <c r="N99" s="255"/>
      <c r="O99" s="255"/>
      <c r="P99" s="255"/>
      <c r="Q99" s="255"/>
    </row>
    <row r="100" spans="1:17" s="247" customFormat="1" ht="15.75" customHeight="1">
      <c r="A100" s="277" t="s">
        <v>5018</v>
      </c>
      <c r="B100" s="258" t="s">
        <v>4482</v>
      </c>
      <c r="C100" s="471" t="s">
        <v>427</v>
      </c>
      <c r="D100" s="1246" t="e">
        <f>+'LINEAS IMPULSIÓN-CONDUCCIÓN'!#REF!</f>
        <v>#REF!</v>
      </c>
      <c r="E100" s="260" t="e">
        <f>+'LINEAS IMPULSIÓN-CONDUCCIÓN'!#REF!</f>
        <v>#REF!</v>
      </c>
      <c r="F100" s="272" t="e">
        <f t="shared" si="5"/>
        <v>#REF!</v>
      </c>
      <c r="G100" s="254"/>
      <c r="H100" s="255" t="s">
        <v>4994</v>
      </c>
      <c r="I100" s="255" t="s">
        <v>4572</v>
      </c>
      <c r="J100" s="255" t="str">
        <f t="shared" ref="J100:J122" si="6">+CONCATENATE(H100,I100)</f>
        <v>2.5.22s</v>
      </c>
      <c r="K100" s="256"/>
      <c r="L100" s="256"/>
      <c r="M100" s="255"/>
      <c r="N100" s="255"/>
      <c r="O100" s="255"/>
      <c r="P100" s="255"/>
      <c r="Q100" s="255"/>
    </row>
    <row r="101" spans="1:17" s="247" customFormat="1" ht="18" customHeight="1">
      <c r="A101" s="277" t="s">
        <v>5019</v>
      </c>
      <c r="B101" s="258" t="s">
        <v>4486</v>
      </c>
      <c r="C101" s="471" t="s">
        <v>427</v>
      </c>
      <c r="D101" s="1246" t="e">
        <f>+'LINEAS IMPULSIÓN-CONDUCCIÓN'!#REF!</f>
        <v>#REF!</v>
      </c>
      <c r="E101" s="260" t="e">
        <f>+'LINEAS IMPULSIÓN-CONDUCCIÓN'!#REF!</f>
        <v>#REF!</v>
      </c>
      <c r="F101" s="272" t="e">
        <f t="shared" si="5"/>
        <v>#REF!</v>
      </c>
      <c r="G101" s="254"/>
      <c r="H101" s="255" t="s">
        <v>4995</v>
      </c>
      <c r="I101" s="255" t="s">
        <v>4572</v>
      </c>
      <c r="J101" s="255" t="str">
        <f t="shared" si="6"/>
        <v>2.5.23s</v>
      </c>
      <c r="K101" s="256"/>
      <c r="L101" s="256"/>
      <c r="M101" s="255"/>
      <c r="N101" s="255"/>
      <c r="O101" s="255"/>
      <c r="P101" s="255"/>
      <c r="Q101" s="255"/>
    </row>
    <row r="102" spans="1:17" s="247" customFormat="1" ht="14.25" customHeight="1">
      <c r="A102" s="277" t="s">
        <v>5020</v>
      </c>
      <c r="B102" s="258" t="s">
        <v>4483</v>
      </c>
      <c r="C102" s="471"/>
      <c r="D102" s="1246" t="e">
        <f>+'LINEAS IMPULSIÓN-CONDUCCIÓN'!#REF!</f>
        <v>#REF!</v>
      </c>
      <c r="E102" s="260" t="e">
        <f>+'LINEAS IMPULSIÓN-CONDUCCIÓN'!#REF!</f>
        <v>#REF!</v>
      </c>
      <c r="F102" s="272" t="e">
        <f t="shared" si="5"/>
        <v>#REF!</v>
      </c>
      <c r="G102" s="254"/>
      <c r="H102" s="255" t="s">
        <v>4996</v>
      </c>
      <c r="I102" s="255" t="s">
        <v>4572</v>
      </c>
      <c r="J102" s="255" t="str">
        <f t="shared" si="6"/>
        <v>2.5.24s</v>
      </c>
      <c r="K102" s="256"/>
      <c r="L102" s="256"/>
      <c r="M102" s="255"/>
      <c r="N102" s="255"/>
      <c r="O102" s="255"/>
      <c r="P102" s="255"/>
      <c r="Q102" s="255"/>
    </row>
    <row r="103" spans="1:17" s="247" customFormat="1" ht="16.8">
      <c r="A103" s="277" t="s">
        <v>5021</v>
      </c>
      <c r="B103" s="258" t="s">
        <v>4485</v>
      </c>
      <c r="C103" s="471" t="s">
        <v>427</v>
      </c>
      <c r="D103" s="1246" t="e">
        <f>+'LINEAS IMPULSIÓN-CONDUCCIÓN'!#REF!</f>
        <v>#REF!</v>
      </c>
      <c r="E103" s="260" t="e">
        <f>+'LINEAS IMPULSIÓN-CONDUCCIÓN'!#REF!</f>
        <v>#REF!</v>
      </c>
      <c r="F103" s="272" t="e">
        <f t="shared" si="5"/>
        <v>#REF!</v>
      </c>
      <c r="G103" s="254"/>
      <c r="H103" s="255" t="s">
        <v>4997</v>
      </c>
      <c r="I103" s="255" t="s">
        <v>4572</v>
      </c>
      <c r="J103" s="255" t="str">
        <f t="shared" si="6"/>
        <v>2.5.25s</v>
      </c>
      <c r="K103" s="256"/>
      <c r="L103" s="256"/>
      <c r="M103" s="255"/>
      <c r="N103" s="255"/>
      <c r="O103" s="255"/>
      <c r="P103" s="255"/>
      <c r="Q103" s="255"/>
    </row>
    <row r="104" spans="1:17" s="247" customFormat="1" ht="16.8">
      <c r="A104" s="277" t="s">
        <v>5022</v>
      </c>
      <c r="B104" s="258" t="s">
        <v>4487</v>
      </c>
      <c r="C104" s="471" t="s">
        <v>427</v>
      </c>
      <c r="D104" s="1246" t="e">
        <f>+'LINEAS IMPULSIÓN-CONDUCCIÓN'!#REF!</f>
        <v>#REF!</v>
      </c>
      <c r="E104" s="260" t="e">
        <f>+'LINEAS IMPULSIÓN-CONDUCCIÓN'!#REF!</f>
        <v>#REF!</v>
      </c>
      <c r="F104" s="272" t="e">
        <f t="shared" si="5"/>
        <v>#REF!</v>
      </c>
      <c r="G104" s="254"/>
      <c r="H104" s="255" t="s">
        <v>4998</v>
      </c>
      <c r="I104" s="255" t="s">
        <v>4572</v>
      </c>
      <c r="J104" s="255" t="str">
        <f t="shared" si="6"/>
        <v>2.5.26s</v>
      </c>
      <c r="K104" s="256"/>
      <c r="L104" s="256"/>
      <c r="M104" s="255"/>
      <c r="N104" s="255"/>
      <c r="O104" s="255"/>
      <c r="P104" s="255"/>
      <c r="Q104" s="255"/>
    </row>
    <row r="105" spans="1:17" s="247" customFormat="1" ht="15" customHeight="1">
      <c r="A105" s="277" t="s">
        <v>5023</v>
      </c>
      <c r="B105" s="258" t="s">
        <v>4488</v>
      </c>
      <c r="C105" s="471" t="s">
        <v>427</v>
      </c>
      <c r="D105" s="1246" t="e">
        <f>+'LINEAS IMPULSIÓN-CONDUCCIÓN'!#REF!</f>
        <v>#REF!</v>
      </c>
      <c r="E105" s="260" t="e">
        <f>+'LINEAS IMPULSIÓN-CONDUCCIÓN'!#REF!</f>
        <v>#REF!</v>
      </c>
      <c r="F105" s="272" t="e">
        <f t="shared" si="5"/>
        <v>#REF!</v>
      </c>
      <c r="G105" s="254"/>
      <c r="H105" s="255" t="s">
        <v>4999</v>
      </c>
      <c r="I105" s="255" t="s">
        <v>4572</v>
      </c>
      <c r="J105" s="255" t="str">
        <f t="shared" si="6"/>
        <v>2.5.27s</v>
      </c>
      <c r="K105" s="256"/>
      <c r="L105" s="256"/>
      <c r="M105" s="255"/>
      <c r="N105" s="255"/>
      <c r="O105" s="255"/>
      <c r="P105" s="255"/>
      <c r="Q105" s="255"/>
    </row>
    <row r="106" spans="1:17" s="247" customFormat="1" ht="16.8">
      <c r="A106" s="277" t="s">
        <v>5024</v>
      </c>
      <c r="B106" s="258" t="s">
        <v>4489</v>
      </c>
      <c r="C106" s="471" t="s">
        <v>427</v>
      </c>
      <c r="D106" s="1246" t="e">
        <f>+'LINEAS IMPULSIÓN-CONDUCCIÓN'!#REF!</f>
        <v>#REF!</v>
      </c>
      <c r="E106" s="260" t="e">
        <f>+'LINEAS IMPULSIÓN-CONDUCCIÓN'!#REF!</f>
        <v>#REF!</v>
      </c>
      <c r="F106" s="272" t="e">
        <f t="shared" si="5"/>
        <v>#REF!</v>
      </c>
      <c r="G106" s="254"/>
      <c r="H106" s="255" t="s">
        <v>5000</v>
      </c>
      <c r="I106" s="255" t="s">
        <v>4572</v>
      </c>
      <c r="J106" s="255" t="str">
        <f t="shared" si="6"/>
        <v>2.5.28s</v>
      </c>
      <c r="K106" s="256"/>
      <c r="L106" s="256"/>
      <c r="M106" s="255"/>
      <c r="N106" s="255"/>
      <c r="O106" s="255"/>
      <c r="P106" s="255"/>
      <c r="Q106" s="255"/>
    </row>
    <row r="107" spans="1:17" s="247" customFormat="1" ht="14.25" customHeight="1">
      <c r="A107" s="277" t="s">
        <v>5025</v>
      </c>
      <c r="B107" s="258" t="s">
        <v>4490</v>
      </c>
      <c r="C107" s="471" t="s">
        <v>427</v>
      </c>
      <c r="D107" s="1246" t="e">
        <f>+'LINEAS IMPULSIÓN-CONDUCCIÓN'!#REF!</f>
        <v>#REF!</v>
      </c>
      <c r="E107" s="260" t="e">
        <f>+'LINEAS IMPULSIÓN-CONDUCCIÓN'!#REF!</f>
        <v>#REF!</v>
      </c>
      <c r="F107" s="272" t="e">
        <f t="shared" si="5"/>
        <v>#REF!</v>
      </c>
      <c r="G107" s="254"/>
      <c r="H107" s="255" t="s">
        <v>5001</v>
      </c>
      <c r="I107" s="255" t="s">
        <v>4572</v>
      </c>
      <c r="J107" s="255" t="str">
        <f t="shared" si="6"/>
        <v>2.5.29s</v>
      </c>
      <c r="K107" s="256"/>
      <c r="L107" s="256"/>
      <c r="M107" s="255"/>
      <c r="N107" s="255"/>
      <c r="O107" s="255"/>
      <c r="P107" s="255"/>
      <c r="Q107" s="255"/>
    </row>
    <row r="108" spans="1:17" s="247" customFormat="1" ht="16.8">
      <c r="A108" s="277" t="s">
        <v>5026</v>
      </c>
      <c r="B108" s="247" t="s">
        <v>4492</v>
      </c>
      <c r="C108" s="471" t="s">
        <v>427</v>
      </c>
      <c r="D108" s="1246" t="e">
        <f>+'LINEAS IMPULSIÓN-CONDUCCIÓN'!#REF!</f>
        <v>#REF!</v>
      </c>
      <c r="E108" s="260" t="e">
        <f>+'LINEAS IMPULSIÓN-CONDUCCIÓN'!#REF!</f>
        <v>#REF!</v>
      </c>
      <c r="F108" s="272" t="e">
        <f t="shared" si="5"/>
        <v>#REF!</v>
      </c>
      <c r="G108" s="254"/>
      <c r="H108" s="255" t="s">
        <v>5002</v>
      </c>
      <c r="I108" s="255" t="s">
        <v>4572</v>
      </c>
      <c r="J108" s="255" t="str">
        <f t="shared" si="6"/>
        <v>2.5.30s</v>
      </c>
      <c r="K108" s="256"/>
      <c r="L108" s="256"/>
      <c r="M108" s="255"/>
      <c r="N108" s="255"/>
      <c r="O108" s="255"/>
      <c r="P108" s="255"/>
      <c r="Q108" s="255"/>
    </row>
    <row r="109" spans="1:17" s="247" customFormat="1" ht="16.8">
      <c r="A109" s="277" t="s">
        <v>5027</v>
      </c>
      <c r="B109" s="258" t="s">
        <v>4491</v>
      </c>
      <c r="C109" s="471" t="s">
        <v>427</v>
      </c>
      <c r="D109" s="1246" t="e">
        <f>+'LINEAS IMPULSIÓN-CONDUCCIÓN'!#REF!</f>
        <v>#REF!</v>
      </c>
      <c r="E109" s="260" t="e">
        <f>+'LINEAS IMPULSIÓN-CONDUCCIÓN'!#REF!</f>
        <v>#REF!</v>
      </c>
      <c r="F109" s="272" t="e">
        <f t="shared" si="5"/>
        <v>#REF!</v>
      </c>
      <c r="G109" s="254"/>
      <c r="H109" s="255" t="s">
        <v>5003</v>
      </c>
      <c r="I109" s="255" t="s">
        <v>4572</v>
      </c>
      <c r="J109" s="255" t="str">
        <f t="shared" si="6"/>
        <v>2.5.31s</v>
      </c>
      <c r="K109" s="256"/>
      <c r="L109" s="256"/>
      <c r="M109" s="255"/>
      <c r="N109" s="255"/>
      <c r="O109" s="255"/>
      <c r="P109" s="255"/>
      <c r="Q109" s="255"/>
    </row>
    <row r="110" spans="1:17" s="247" customFormat="1" ht="16.8">
      <c r="A110" s="277" t="s">
        <v>5028</v>
      </c>
      <c r="B110" s="247" t="s">
        <v>4493</v>
      </c>
      <c r="C110" s="471" t="s">
        <v>427</v>
      </c>
      <c r="D110" s="1246" t="e">
        <f>+'LINEAS IMPULSIÓN-CONDUCCIÓN'!#REF!</f>
        <v>#REF!</v>
      </c>
      <c r="E110" s="260" t="e">
        <f>+'LINEAS IMPULSIÓN-CONDUCCIÓN'!#REF!</f>
        <v>#REF!</v>
      </c>
      <c r="F110" s="272" t="e">
        <f t="shared" si="5"/>
        <v>#REF!</v>
      </c>
      <c r="G110" s="254"/>
      <c r="H110" s="255" t="s">
        <v>5004</v>
      </c>
      <c r="I110" s="255" t="s">
        <v>4572</v>
      </c>
      <c r="J110" s="255" t="str">
        <f t="shared" si="6"/>
        <v>2.5.32s</v>
      </c>
      <c r="K110" s="256"/>
      <c r="L110" s="256"/>
      <c r="M110" s="255"/>
      <c r="N110" s="255"/>
      <c r="O110" s="255"/>
      <c r="P110" s="255"/>
      <c r="Q110" s="255"/>
    </row>
    <row r="111" spans="1:17" s="247" customFormat="1" ht="26.25" customHeight="1">
      <c r="A111" s="277" t="s">
        <v>5029</v>
      </c>
      <c r="B111" s="258" t="s">
        <v>4521</v>
      </c>
      <c r="C111" s="471" t="s">
        <v>427</v>
      </c>
      <c r="D111" s="1246" t="e">
        <f>+'LINEAS IMPULSIÓN-CONDUCCIÓN'!#REF!</f>
        <v>#REF!</v>
      </c>
      <c r="E111" s="260" t="e">
        <f>+'LINEAS IMPULSIÓN-CONDUCCIÓN'!#REF!</f>
        <v>#REF!</v>
      </c>
      <c r="F111" s="272" t="e">
        <f t="shared" si="5"/>
        <v>#REF!</v>
      </c>
      <c r="G111" s="254"/>
      <c r="H111" s="255" t="s">
        <v>5005</v>
      </c>
      <c r="I111" s="255" t="s">
        <v>4572</v>
      </c>
      <c r="J111" s="255" t="str">
        <f t="shared" si="6"/>
        <v>2.5.33s</v>
      </c>
      <c r="K111" s="256"/>
      <c r="L111" s="256"/>
      <c r="M111" s="255"/>
      <c r="N111" s="255"/>
      <c r="O111" s="255"/>
      <c r="P111" s="255"/>
      <c r="Q111" s="255"/>
    </row>
    <row r="112" spans="1:17" s="247" customFormat="1" ht="16.8">
      <c r="A112" s="277" t="s">
        <v>5030</v>
      </c>
      <c r="B112" s="258" t="s">
        <v>4495</v>
      </c>
      <c r="C112" s="471" t="s">
        <v>427</v>
      </c>
      <c r="D112" s="1246" t="e">
        <f>+'LINEAS IMPULSIÓN-CONDUCCIÓN'!#REF!</f>
        <v>#REF!</v>
      </c>
      <c r="E112" s="260" t="e">
        <f>+'LINEAS IMPULSIÓN-CONDUCCIÓN'!#REF!</f>
        <v>#REF!</v>
      </c>
      <c r="F112" s="272" t="e">
        <f t="shared" si="5"/>
        <v>#REF!</v>
      </c>
      <c r="G112" s="254"/>
      <c r="H112" s="255" t="s">
        <v>5006</v>
      </c>
      <c r="I112" s="255" t="s">
        <v>4572</v>
      </c>
      <c r="J112" s="255" t="str">
        <f t="shared" si="6"/>
        <v>2.5.34s</v>
      </c>
      <c r="K112" s="256"/>
      <c r="L112" s="256"/>
      <c r="M112" s="255"/>
      <c r="N112" s="255"/>
      <c r="O112" s="255"/>
      <c r="P112" s="255"/>
      <c r="Q112" s="255"/>
    </row>
    <row r="113" spans="1:17" s="247" customFormat="1" ht="16.8">
      <c r="A113" s="277" t="s">
        <v>5031</v>
      </c>
      <c r="B113" s="247" t="s">
        <v>4496</v>
      </c>
      <c r="C113" s="471" t="s">
        <v>427</v>
      </c>
      <c r="D113" s="1246" t="e">
        <f>+'LINEAS IMPULSIÓN-CONDUCCIÓN'!#REF!</f>
        <v>#REF!</v>
      </c>
      <c r="E113" s="260" t="e">
        <f>+'LINEAS IMPULSIÓN-CONDUCCIÓN'!#REF!</f>
        <v>#REF!</v>
      </c>
      <c r="F113" s="272" t="e">
        <f t="shared" si="5"/>
        <v>#REF!</v>
      </c>
      <c r="G113" s="254"/>
      <c r="H113" s="255" t="s">
        <v>5007</v>
      </c>
      <c r="I113" s="255" t="s">
        <v>4572</v>
      </c>
      <c r="J113" s="255" t="str">
        <f t="shared" si="6"/>
        <v>2.5.35s</v>
      </c>
      <c r="K113" s="256"/>
      <c r="L113" s="256"/>
      <c r="M113" s="255"/>
      <c r="N113" s="255"/>
      <c r="O113" s="255"/>
      <c r="P113" s="255"/>
      <c r="Q113" s="255"/>
    </row>
    <row r="114" spans="1:17" s="247" customFormat="1" ht="16.8">
      <c r="A114" s="277" t="s">
        <v>5032</v>
      </c>
      <c r="B114" s="258" t="s">
        <v>4497</v>
      </c>
      <c r="C114" s="471" t="s">
        <v>427</v>
      </c>
      <c r="D114" s="1246" t="e">
        <f>+'LINEAS IMPULSIÓN-CONDUCCIÓN'!#REF!</f>
        <v>#REF!</v>
      </c>
      <c r="E114" s="260" t="e">
        <f>+'LINEAS IMPULSIÓN-CONDUCCIÓN'!#REF!</f>
        <v>#REF!</v>
      </c>
      <c r="F114" s="272" t="e">
        <f t="shared" si="5"/>
        <v>#REF!</v>
      </c>
      <c r="G114" s="254"/>
      <c r="H114" s="255" t="s">
        <v>5008</v>
      </c>
      <c r="I114" s="255" t="s">
        <v>4572</v>
      </c>
      <c r="J114" s="255" t="str">
        <f t="shared" si="6"/>
        <v>2.5.36s</v>
      </c>
      <c r="K114" s="256"/>
      <c r="L114" s="256"/>
      <c r="M114" s="255"/>
      <c r="N114" s="255"/>
      <c r="O114" s="255"/>
      <c r="P114" s="255"/>
      <c r="Q114" s="255"/>
    </row>
    <row r="115" spans="1:17" s="247" customFormat="1" ht="16.8">
      <c r="A115" s="277" t="s">
        <v>5033</v>
      </c>
      <c r="B115" s="258" t="s">
        <v>4498</v>
      </c>
      <c r="C115" s="471" t="s">
        <v>427</v>
      </c>
      <c r="D115" s="1246" t="e">
        <f>+'LINEAS IMPULSIÓN-CONDUCCIÓN'!#REF!</f>
        <v>#REF!</v>
      </c>
      <c r="E115" s="260" t="e">
        <f>+'LINEAS IMPULSIÓN-CONDUCCIÓN'!#REF!</f>
        <v>#REF!</v>
      </c>
      <c r="F115" s="272" t="e">
        <f t="shared" si="5"/>
        <v>#REF!</v>
      </c>
      <c r="G115" s="254"/>
      <c r="H115" s="255" t="s">
        <v>5009</v>
      </c>
      <c r="I115" s="255" t="s">
        <v>4572</v>
      </c>
      <c r="J115" s="255" t="str">
        <f t="shared" si="6"/>
        <v>2.5.37s</v>
      </c>
      <c r="K115" s="256"/>
      <c r="L115" s="256"/>
      <c r="M115" s="255"/>
      <c r="N115" s="255"/>
      <c r="O115" s="255"/>
      <c r="P115" s="255"/>
      <c r="Q115" s="255"/>
    </row>
    <row r="116" spans="1:17" s="247" customFormat="1" ht="27" customHeight="1">
      <c r="A116" s="277" t="s">
        <v>5034</v>
      </c>
      <c r="B116" s="258" t="s">
        <v>4520</v>
      </c>
      <c r="C116" s="471" t="s">
        <v>427</v>
      </c>
      <c r="D116" s="1246" t="e">
        <f>+'LINEAS IMPULSIÓN-CONDUCCIÓN'!#REF!</f>
        <v>#REF!</v>
      </c>
      <c r="E116" s="260" t="e">
        <f>+'LINEAS IMPULSIÓN-CONDUCCIÓN'!#REF!</f>
        <v>#REF!</v>
      </c>
      <c r="F116" s="272" t="e">
        <f t="shared" si="5"/>
        <v>#REF!</v>
      </c>
      <c r="G116" s="254"/>
      <c r="H116" s="255" t="s">
        <v>5010</v>
      </c>
      <c r="I116" s="255" t="s">
        <v>4572</v>
      </c>
      <c r="J116" s="255" t="str">
        <f t="shared" si="6"/>
        <v>2.5.38s</v>
      </c>
      <c r="K116" s="256"/>
      <c r="L116" s="256"/>
      <c r="M116" s="255"/>
      <c r="N116" s="255"/>
      <c r="O116" s="255"/>
      <c r="P116" s="255"/>
      <c r="Q116" s="255"/>
    </row>
    <row r="117" spans="1:17" s="247" customFormat="1" ht="6.75" customHeight="1">
      <c r="A117" s="287"/>
      <c r="B117" s="258"/>
      <c r="C117" s="471"/>
      <c r="D117" s="1246"/>
      <c r="E117" s="260" t="e">
        <f>+'LINEAS IMPULSIÓN-CONDUCCIÓN'!#REF!</f>
        <v>#REF!</v>
      </c>
      <c r="F117" s="471"/>
      <c r="G117" s="254"/>
      <c r="H117" s="255" t="s">
        <v>5011</v>
      </c>
      <c r="I117" s="255" t="s">
        <v>4572</v>
      </c>
      <c r="J117" s="255" t="str">
        <f t="shared" si="6"/>
        <v>2.5.39s</v>
      </c>
      <c r="K117" s="256"/>
      <c r="L117" s="256"/>
      <c r="M117" s="255"/>
      <c r="N117" s="255"/>
      <c r="O117" s="255"/>
      <c r="P117" s="255"/>
      <c r="Q117" s="255"/>
    </row>
    <row r="118" spans="1:17" s="247" customFormat="1" ht="16.8">
      <c r="A118" s="277" t="s">
        <v>5035</v>
      </c>
      <c r="B118" s="258" t="s">
        <v>1126</v>
      </c>
      <c r="C118" s="471" t="s">
        <v>94</v>
      </c>
      <c r="D118" s="1246">
        <f>+'LINEAS IMPULSIÓN-CONDUCCIÓN'!D43</f>
        <v>1031</v>
      </c>
      <c r="E118" s="260">
        <f>+'LINEAS IMPULSIÓN-CONDUCCIÓN'!E43</f>
        <v>30573</v>
      </c>
      <c r="F118" s="260">
        <f>+ROUND(E118*D118,0)</f>
        <v>31520763</v>
      </c>
      <c r="H118" s="255" t="s">
        <v>5012</v>
      </c>
      <c r="I118" s="255" t="s">
        <v>4572</v>
      </c>
      <c r="J118" s="255" t="str">
        <f t="shared" si="6"/>
        <v>2.5.40s</v>
      </c>
    </row>
    <row r="119" spans="1:17" s="247" customFormat="1" ht="16.8">
      <c r="A119" s="277" t="s">
        <v>5036</v>
      </c>
      <c r="B119" s="258" t="s">
        <v>1027</v>
      </c>
      <c r="C119" s="471" t="s">
        <v>133</v>
      </c>
      <c r="D119" s="1246">
        <f>+'LINEAS IMPULSIÓN-CONDUCCIÓN'!D50</f>
        <v>4</v>
      </c>
      <c r="E119" s="260">
        <f>+'LINEAS IMPULSIÓN-CONDUCCIÓN'!E50</f>
        <v>196516.08844343032</v>
      </c>
      <c r="F119" s="260">
        <f>+ROUND(E119*D119,0)</f>
        <v>786064</v>
      </c>
      <c r="G119" s="279"/>
      <c r="H119" s="255" t="s">
        <v>5013</v>
      </c>
      <c r="I119" s="255" t="s">
        <v>4572</v>
      </c>
      <c r="J119" s="255" t="str">
        <f t="shared" si="6"/>
        <v>2.5.41s</v>
      </c>
    </row>
    <row r="120" spans="1:17" s="247" customFormat="1" ht="84">
      <c r="A120" s="277" t="s">
        <v>5037</v>
      </c>
      <c r="B120" s="269" t="s">
        <v>4525</v>
      </c>
      <c r="C120" s="270" t="s">
        <v>133</v>
      </c>
      <c r="D120" s="1246">
        <f>+'LINEAS IMPULSIÓN-CONDUCCIÓN'!D51</f>
        <v>12</v>
      </c>
      <c r="E120" s="260">
        <f>+'LINEAS IMPULSIÓN-CONDUCCIÓN'!E51</f>
        <v>169049</v>
      </c>
      <c r="F120" s="260">
        <f t="shared" ref="F120:F122" si="7">+ROUND(E120*D120,0)</f>
        <v>2028588</v>
      </c>
      <c r="G120" s="255"/>
      <c r="H120" s="255" t="s">
        <v>5014</v>
      </c>
      <c r="I120" s="255" t="s">
        <v>4572</v>
      </c>
      <c r="J120" s="255" t="str">
        <f t="shared" si="6"/>
        <v>2.5.42s</v>
      </c>
      <c r="K120" s="274"/>
      <c r="L120" s="275"/>
      <c r="M120" s="255"/>
      <c r="N120" s="255"/>
      <c r="O120" s="273"/>
      <c r="P120" s="276"/>
      <c r="Q120" s="276"/>
    </row>
    <row r="121" spans="1:17" s="247" customFormat="1" ht="67.2">
      <c r="A121" s="277" t="s">
        <v>5038</v>
      </c>
      <c r="B121" s="269" t="s">
        <v>4526</v>
      </c>
      <c r="C121" s="270" t="s">
        <v>133</v>
      </c>
      <c r="D121" s="1246">
        <f>+'LINEAS IMPULSIÓN-CONDUCCIÓN'!D52</f>
        <v>5</v>
      </c>
      <c r="E121" s="260">
        <f>+'LINEAS IMPULSIÓN-CONDUCCIÓN'!E52</f>
        <v>135453</v>
      </c>
      <c r="F121" s="260">
        <f t="shared" si="7"/>
        <v>677265</v>
      </c>
      <c r="G121" s="255"/>
      <c r="H121" s="255" t="s">
        <v>5015</v>
      </c>
      <c r="I121" s="255" t="s">
        <v>4572</v>
      </c>
      <c r="J121" s="255" t="str">
        <f t="shared" si="6"/>
        <v>2.5.43s</v>
      </c>
      <c r="K121" s="274"/>
      <c r="L121" s="275"/>
      <c r="M121" s="255"/>
      <c r="N121" s="255"/>
      <c r="O121" s="273"/>
      <c r="P121" s="276"/>
      <c r="Q121" s="276"/>
    </row>
    <row r="122" spans="1:17" s="247" customFormat="1" ht="16.8">
      <c r="A122" s="277" t="s">
        <v>5039</v>
      </c>
      <c r="B122" s="269" t="s">
        <v>4354</v>
      </c>
      <c r="C122" s="270" t="s">
        <v>133</v>
      </c>
      <c r="D122" s="1246">
        <f>+'LINEAS IMPULSIÓN-CONDUCCIÓN'!D53</f>
        <v>2</v>
      </c>
      <c r="E122" s="260">
        <f>+'LINEAS IMPULSIÓN-CONDUCCIÓN'!E53</f>
        <v>8818263.2557418458</v>
      </c>
      <c r="F122" s="260">
        <f t="shared" si="7"/>
        <v>17636527</v>
      </c>
      <c r="G122" s="255"/>
      <c r="H122" s="255" t="s">
        <v>5016</v>
      </c>
      <c r="I122" s="255" t="s">
        <v>4572</v>
      </c>
      <c r="J122" s="255" t="str">
        <f t="shared" si="6"/>
        <v>2.5.44s</v>
      </c>
      <c r="K122" s="274"/>
      <c r="L122" s="275"/>
      <c r="M122" s="255"/>
      <c r="N122" s="255"/>
      <c r="O122" s="273"/>
      <c r="P122" s="276"/>
      <c r="Q122" s="276"/>
    </row>
    <row r="123" spans="1:17" ht="14.4" thickBot="1">
      <c r="A123" s="942"/>
      <c r="B123" s="945"/>
      <c r="C123" s="1202"/>
      <c r="D123" s="1203"/>
      <c r="E123" s="1148"/>
      <c r="F123" s="1148"/>
    </row>
    <row r="124" spans="1:17" ht="18.75" customHeight="1" thickBot="1">
      <c r="A124" s="3820" t="s">
        <v>4309</v>
      </c>
      <c r="B124" s="3821"/>
      <c r="C124" s="3821"/>
      <c r="D124" s="3821"/>
      <c r="E124" s="3822"/>
      <c r="F124" s="1058" t="e">
        <f>+SUM(F50,F52:F57,F59:F67,F69:F76,F78:F122)</f>
        <v>#REF!</v>
      </c>
      <c r="I124" s="1088"/>
    </row>
    <row r="125" spans="1:17" s="3738" customFormat="1" ht="13.5" customHeight="1" thickBot="1">
      <c r="A125" s="3737"/>
      <c r="B125" s="3709"/>
      <c r="C125" s="3709"/>
      <c r="D125" s="3709"/>
      <c r="E125" s="3709"/>
      <c r="F125" s="3709"/>
      <c r="G125" s="3709"/>
      <c r="H125" s="3709"/>
      <c r="I125" s="3709"/>
      <c r="J125" s="3709"/>
      <c r="K125" s="3709"/>
      <c r="L125" s="3709"/>
      <c r="M125" s="3709"/>
      <c r="N125" s="3709"/>
      <c r="O125" s="3709"/>
      <c r="P125" s="3709"/>
    </row>
    <row r="126" spans="1:17" s="516" customFormat="1" ht="24" customHeight="1" thickBot="1">
      <c r="A126" s="3725" t="s">
        <v>4307</v>
      </c>
      <c r="B126" s="3726"/>
      <c r="C126" s="3726"/>
      <c r="D126" s="3726"/>
      <c r="E126" s="3726"/>
      <c r="F126" s="3727"/>
      <c r="G126" s="521"/>
      <c r="H126" s="1103"/>
    </row>
    <row r="127" spans="1:17" ht="18">
      <c r="A127" s="3734"/>
      <c r="B127" s="3734"/>
      <c r="C127" s="639"/>
      <c r="D127" s="639"/>
      <c r="E127" s="639"/>
      <c r="F127" s="639"/>
      <c r="H127"/>
    </row>
    <row r="128" spans="1:17" ht="36">
      <c r="A128" s="640" t="s">
        <v>22</v>
      </c>
      <c r="B128" s="640" t="s">
        <v>23</v>
      </c>
      <c r="C128" s="640" t="s">
        <v>3818</v>
      </c>
      <c r="D128" s="640" t="s">
        <v>1037</v>
      </c>
      <c r="E128" s="640" t="s">
        <v>3819</v>
      </c>
      <c r="F128" s="640" t="s">
        <v>3820</v>
      </c>
      <c r="H128"/>
    </row>
    <row r="129" spans="1:12" ht="18">
      <c r="A129" s="3735"/>
      <c r="B129" s="3735"/>
      <c r="C129" s="3735"/>
      <c r="D129" s="3735"/>
      <c r="E129" s="3735"/>
      <c r="F129" s="3736"/>
      <c r="H129"/>
    </row>
    <row r="130" spans="1:12" ht="18">
      <c r="A130" s="1002"/>
      <c r="B130" s="996" t="s">
        <v>1371</v>
      </c>
      <c r="C130" s="997"/>
      <c r="D130" s="997"/>
      <c r="E130" s="997"/>
      <c r="F130" s="998"/>
      <c r="H130"/>
    </row>
    <row r="131" spans="1:12" ht="18">
      <c r="A131" s="1003">
        <v>1</v>
      </c>
      <c r="B131" s="996" t="s">
        <v>1372</v>
      </c>
      <c r="C131" s="997"/>
      <c r="D131" s="997"/>
      <c r="E131" s="997"/>
      <c r="F131" s="999" t="e">
        <f>ROUND(SUM(F132:F134),0)</f>
        <v>#REF!</v>
      </c>
      <c r="H131"/>
    </row>
    <row r="132" spans="1:12" ht="19.8">
      <c r="A132" s="1398">
        <v>1.1000000000000001</v>
      </c>
      <c r="B132" s="642" t="s">
        <v>1373</v>
      </c>
      <c r="C132" s="643" t="s">
        <v>3850</v>
      </c>
      <c r="D132" s="1231">
        <f>+'PTAP TIJERETAS'!D10</f>
        <v>162.05000000000001</v>
      </c>
      <c r="E132" s="1399">
        <f>+'PTAP TIJERETAS'!E10</f>
        <v>2356</v>
      </c>
      <c r="F132" s="644">
        <f>ROUND(D132*E132,0)</f>
        <v>381790</v>
      </c>
      <c r="H132">
        <v>1738020</v>
      </c>
      <c r="I132" s="1230">
        <f>+H132/E132</f>
        <v>737.69949066213917</v>
      </c>
    </row>
    <row r="133" spans="1:12" ht="19.8">
      <c r="A133" s="1398">
        <v>1.2</v>
      </c>
      <c r="B133" s="642" t="s">
        <v>1374</v>
      </c>
      <c r="C133" s="643" t="s">
        <v>3850</v>
      </c>
      <c r="D133" s="645">
        <f>+'PTAP TIJERETAS'!D11</f>
        <v>18.899999999999999</v>
      </c>
      <c r="E133" s="1399">
        <f>+'PTAP TIJERETAS'!E11</f>
        <v>2904.8114772599997</v>
      </c>
      <c r="F133" s="644">
        <f>ROUND(D133*E133,0)</f>
        <v>54901</v>
      </c>
      <c r="H133"/>
    </row>
    <row r="134" spans="1:12" ht="18">
      <c r="A134" s="1398">
        <v>1.3</v>
      </c>
      <c r="B134" s="642" t="s">
        <v>4678</v>
      </c>
      <c r="C134" s="643" t="s">
        <v>717</v>
      </c>
      <c r="D134" s="645" t="e">
        <f>+'PTAP TIJERETAS'!#REF!</f>
        <v>#REF!</v>
      </c>
      <c r="E134" s="1399" t="e">
        <f>+'PTAP TIJERETAS'!#REF!</f>
        <v>#REF!</v>
      </c>
      <c r="F134" s="644" t="e">
        <f t="shared" ref="F134:F187" si="8">ROUND(D134*E134,0)</f>
        <v>#REF!</v>
      </c>
      <c r="H134"/>
    </row>
    <row r="135" spans="1:12" ht="18">
      <c r="A135" s="1001" t="s">
        <v>260</v>
      </c>
      <c r="B135" s="3744" t="s">
        <v>4756</v>
      </c>
      <c r="C135" s="3745"/>
      <c r="D135" s="3745"/>
      <c r="E135" s="3745"/>
      <c r="F135" s="999">
        <f>+SUM(F136:F151)</f>
        <v>33797289</v>
      </c>
      <c r="H135"/>
    </row>
    <row r="136" spans="1:12" ht="39.75" customHeight="1">
      <c r="A136" s="647"/>
      <c r="B136" s="642" t="s">
        <v>4679</v>
      </c>
      <c r="C136" s="1355" t="s">
        <v>133</v>
      </c>
      <c r="D136" s="645">
        <f>+'PTAP TIJERETAS'!D13</f>
        <v>48</v>
      </c>
      <c r="E136" s="1399">
        <f>+'PTAP TIJERETAS'!E13</f>
        <v>47000.186158072698</v>
      </c>
      <c r="F136" s="644">
        <f>ROUND(+E136*D136,0)</f>
        <v>2256009</v>
      </c>
      <c r="H136"/>
      <c r="K136" s="1393"/>
      <c r="L136" s="1394"/>
    </row>
    <row r="137" spans="1:12" ht="37.5" customHeight="1">
      <c r="A137" s="647"/>
      <c r="B137" s="642" t="s">
        <v>4681</v>
      </c>
      <c r="C137" s="1355" t="s">
        <v>133</v>
      </c>
      <c r="D137" s="645">
        <f>+'PTAP TIJERETAS'!D14</f>
        <v>12</v>
      </c>
      <c r="E137" s="1399">
        <f>+'PTAP TIJERETAS'!E14</f>
        <v>47799.551623591498</v>
      </c>
      <c r="F137" s="644">
        <f t="shared" ref="F137:F151" si="9">ROUND(+E137*D137,0)</f>
        <v>573595</v>
      </c>
      <c r="H137"/>
      <c r="K137" s="1393"/>
      <c r="L137" s="1394"/>
    </row>
    <row r="138" spans="1:12" ht="46.5" customHeight="1">
      <c r="A138" s="647"/>
      <c r="B138" s="642" t="s">
        <v>4682</v>
      </c>
      <c r="C138" s="1355" t="s">
        <v>133</v>
      </c>
      <c r="D138" s="645">
        <f>+'PTAP TIJERETAS'!D15</f>
        <v>20</v>
      </c>
      <c r="E138" s="1399">
        <f>+'PTAP TIJERETAS'!E15</f>
        <v>57445.357594895999</v>
      </c>
      <c r="F138" s="644">
        <f t="shared" si="9"/>
        <v>1148907</v>
      </c>
      <c r="H138"/>
      <c r="K138" s="1393"/>
      <c r="L138" s="1394"/>
    </row>
    <row r="139" spans="1:12" ht="41.25" customHeight="1">
      <c r="A139" s="647"/>
      <c r="B139" s="642" t="s">
        <v>4683</v>
      </c>
      <c r="C139" s="1355" t="s">
        <v>133</v>
      </c>
      <c r="D139" s="645">
        <f>+'PTAP TIJERETAS'!D16</f>
        <v>24</v>
      </c>
      <c r="E139" s="1399">
        <f>+'PTAP TIJERETAS'!E16</f>
        <v>77617.846541902851</v>
      </c>
      <c r="F139" s="644">
        <f t="shared" si="9"/>
        <v>1862828</v>
      </c>
      <c r="H139"/>
      <c r="K139" s="1393"/>
      <c r="L139" s="1394"/>
    </row>
    <row r="140" spans="1:12" ht="48" customHeight="1">
      <c r="A140" s="647"/>
      <c r="B140" s="642" t="s">
        <v>4684</v>
      </c>
      <c r="C140" s="1355" t="s">
        <v>133</v>
      </c>
      <c r="D140" s="645">
        <f>+'PTAP TIJERETAS'!D17</f>
        <v>10</v>
      </c>
      <c r="E140" s="1399">
        <f>+'PTAP TIJERETAS'!E17</f>
        <v>39012.702118149005</v>
      </c>
      <c r="F140" s="644">
        <f t="shared" si="9"/>
        <v>390127</v>
      </c>
      <c r="H140"/>
      <c r="K140" s="1393"/>
      <c r="L140" s="1394"/>
    </row>
    <row r="141" spans="1:12" ht="46.5" customHeight="1">
      <c r="A141" s="647"/>
      <c r="B141" s="642" t="s">
        <v>4685</v>
      </c>
      <c r="C141" s="1355" t="s">
        <v>133</v>
      </c>
      <c r="D141" s="645">
        <f>+'PTAP TIJERETAS'!D18</f>
        <v>5</v>
      </c>
      <c r="E141" s="1399">
        <f>+'PTAP TIJERETAS'!E18</f>
        <v>127179.15217429001</v>
      </c>
      <c r="F141" s="644">
        <f t="shared" si="9"/>
        <v>635896</v>
      </c>
      <c r="H141"/>
      <c r="K141" s="1393"/>
      <c r="L141" s="1394"/>
    </row>
    <row r="142" spans="1:12" ht="48.75" customHeight="1">
      <c r="A142" s="647"/>
      <c r="B142" s="642" t="s">
        <v>4686</v>
      </c>
      <c r="C142" s="1355" t="s">
        <v>133</v>
      </c>
      <c r="D142" s="645">
        <f>+'PTAP TIJERETAS'!D19</f>
        <v>10</v>
      </c>
      <c r="E142" s="1399">
        <f>+'PTAP TIJERETAS'!E19</f>
        <v>248214.08585633102</v>
      </c>
      <c r="F142" s="644">
        <f t="shared" si="9"/>
        <v>2482141</v>
      </c>
      <c r="H142"/>
      <c r="K142" s="1393"/>
      <c r="L142" s="1394"/>
    </row>
    <row r="143" spans="1:12" ht="46.5" customHeight="1">
      <c r="A143" s="647"/>
      <c r="B143" s="642" t="s">
        <v>4687</v>
      </c>
      <c r="C143" s="1355" t="s">
        <v>133</v>
      </c>
      <c r="D143" s="645">
        <f>+'PTAP TIJERETAS'!D20</f>
        <v>6</v>
      </c>
      <c r="E143" s="1399">
        <f>+'PTAP TIJERETAS'!E20</f>
        <v>74545.737295778337</v>
      </c>
      <c r="F143" s="644">
        <f t="shared" si="9"/>
        <v>447274</v>
      </c>
      <c r="H143"/>
      <c r="K143" s="1393"/>
      <c r="L143" s="1394"/>
    </row>
    <row r="144" spans="1:12" ht="43.5" customHeight="1">
      <c r="A144" s="647"/>
      <c r="B144" s="642" t="s">
        <v>4688</v>
      </c>
      <c r="C144" s="1355" t="s">
        <v>133</v>
      </c>
      <c r="D144" s="645">
        <f>+'PTAP TIJERETAS'!D21</f>
        <v>6</v>
      </c>
      <c r="E144" s="1399">
        <f>+'PTAP TIJERETAS'!E21</f>
        <v>80689.955788027335</v>
      </c>
      <c r="F144" s="644">
        <f t="shared" si="9"/>
        <v>484140</v>
      </c>
      <c r="H144"/>
      <c r="K144" s="1393"/>
      <c r="L144" s="1394"/>
    </row>
    <row r="145" spans="1:12" ht="37.5" customHeight="1">
      <c r="A145" s="647"/>
      <c r="B145" s="642" t="s">
        <v>4689</v>
      </c>
      <c r="C145" s="1355" t="s">
        <v>1292</v>
      </c>
      <c r="D145" s="645">
        <f>+'PTAP TIJERETAS'!D22</f>
        <v>113.96647694887901</v>
      </c>
      <c r="E145" s="1399">
        <f>+'PTAP TIJERETAS'!E22</f>
        <v>137814.754132</v>
      </c>
      <c r="F145" s="644">
        <f t="shared" si="9"/>
        <v>15706262</v>
      </c>
      <c r="H145"/>
      <c r="K145" s="1393"/>
      <c r="L145" s="1394"/>
    </row>
    <row r="146" spans="1:12" ht="37.5" customHeight="1">
      <c r="A146" s="647"/>
      <c r="B146" s="642" t="s">
        <v>4691</v>
      </c>
      <c r="C146" s="1355" t="s">
        <v>133</v>
      </c>
      <c r="D146" s="645">
        <f>+'PTAP TIJERETAS'!D23</f>
        <v>240</v>
      </c>
      <c r="E146" s="1399">
        <f>+'PTAP TIJERETAS'!E23</f>
        <v>8098.2623002400005</v>
      </c>
      <c r="F146" s="644">
        <f t="shared" si="9"/>
        <v>1943583</v>
      </c>
      <c r="H146"/>
      <c r="K146" s="1393"/>
      <c r="L146" s="1394"/>
    </row>
    <row r="147" spans="1:12" ht="29.25" customHeight="1">
      <c r="A147" s="647"/>
      <c r="B147" s="642" t="s">
        <v>4692</v>
      </c>
      <c r="C147" s="1355" t="s">
        <v>45</v>
      </c>
      <c r="D147" s="645">
        <f>+'PTAP TIJERETAS'!D24</f>
        <v>100</v>
      </c>
      <c r="E147" s="1399">
        <f>+'PTAP TIJERETAS'!E24</f>
        <v>4320.9836088000002</v>
      </c>
      <c r="F147" s="644">
        <f t="shared" si="9"/>
        <v>432098</v>
      </c>
      <c r="H147"/>
      <c r="K147" s="1393"/>
      <c r="L147" s="1394"/>
    </row>
    <row r="148" spans="1:12" ht="29.25" customHeight="1">
      <c r="A148" s="647"/>
      <c r="B148" s="642" t="s">
        <v>4694</v>
      </c>
      <c r="C148" s="1355" t="s">
        <v>133</v>
      </c>
      <c r="D148" s="645">
        <f>+'PTAP TIJERETAS'!D25</f>
        <v>20</v>
      </c>
      <c r="E148" s="1399">
        <f>+'PTAP TIJERETAS'!E25</f>
        <v>32407.377066000001</v>
      </c>
      <c r="F148" s="644">
        <f t="shared" si="9"/>
        <v>648148</v>
      </c>
      <c r="H148"/>
      <c r="K148" s="1393"/>
      <c r="L148" s="1394"/>
    </row>
    <row r="149" spans="1:12" ht="29.25" customHeight="1">
      <c r="A149" s="647"/>
      <c r="B149" s="642" t="s">
        <v>4695</v>
      </c>
      <c r="C149" s="1355" t="s">
        <v>1002</v>
      </c>
      <c r="D149" s="645">
        <f>+'PTAP TIJERETAS'!D26</f>
        <v>50</v>
      </c>
      <c r="E149" s="1399">
        <f>+'PTAP TIJERETAS'!E26</f>
        <v>12147.393450360001</v>
      </c>
      <c r="F149" s="644">
        <f t="shared" si="9"/>
        <v>607370</v>
      </c>
      <c r="H149"/>
      <c r="K149" s="1393"/>
      <c r="L149" s="1394"/>
    </row>
    <row r="150" spans="1:12" ht="29.25" customHeight="1">
      <c r="A150" s="647"/>
      <c r="B150" s="642" t="s">
        <v>4697</v>
      </c>
      <c r="C150" s="1355" t="s">
        <v>1002</v>
      </c>
      <c r="D150" s="645">
        <f>+'PTAP TIJERETAS'!D27</f>
        <v>50</v>
      </c>
      <c r="E150" s="1399">
        <f>+'PTAP TIJERETAS'!E27</f>
        <v>13497.103833733332</v>
      </c>
      <c r="F150" s="644">
        <f t="shared" si="9"/>
        <v>674855</v>
      </c>
      <c r="H150"/>
      <c r="K150" s="1393"/>
      <c r="L150" s="1394"/>
    </row>
    <row r="151" spans="1:12" ht="29.25" customHeight="1">
      <c r="A151" s="647"/>
      <c r="B151" s="642" t="s">
        <v>4698</v>
      </c>
      <c r="C151" s="1355" t="s">
        <v>1292</v>
      </c>
      <c r="D151" s="645">
        <f>+'PTAP TIJERETAS'!D28</f>
        <v>75</v>
      </c>
      <c r="E151" s="1399">
        <f>+'PTAP TIJERETAS'!E28</f>
        <v>46720.744039846155</v>
      </c>
      <c r="F151" s="644">
        <f t="shared" si="9"/>
        <v>3504056</v>
      </c>
      <c r="H151"/>
      <c r="K151" s="3746"/>
      <c r="L151" s="3747"/>
    </row>
    <row r="152" spans="1:12" ht="18">
      <c r="A152" s="1005">
        <v>3</v>
      </c>
      <c r="B152" s="1006" t="s">
        <v>4757</v>
      </c>
      <c r="C152" s="1007"/>
      <c r="D152" s="1008"/>
      <c r="E152" s="1009"/>
      <c r="F152" s="999" t="e">
        <f>ROUND(SUM(F153:F154),0)</f>
        <v>#REF!</v>
      </c>
      <c r="H152"/>
      <c r="K152" s="3746"/>
      <c r="L152" s="3747"/>
    </row>
    <row r="153" spans="1:12" ht="18">
      <c r="A153" s="647" t="s">
        <v>1096</v>
      </c>
      <c r="B153" s="642" t="s">
        <v>4699</v>
      </c>
      <c r="C153" s="1356" t="s">
        <v>1292</v>
      </c>
      <c r="D153" s="645">
        <f>+'PTAP TIJERETAS'!D30</f>
        <v>711.19999999999993</v>
      </c>
      <c r="E153" s="1399">
        <f>+'PTAP TIJERETAS'!E30</f>
        <v>1826.1904761904761</v>
      </c>
      <c r="F153" s="644">
        <f t="shared" si="8"/>
        <v>1298787</v>
      </c>
      <c r="H153"/>
      <c r="K153" s="3746"/>
      <c r="L153" s="3747"/>
    </row>
    <row r="154" spans="1:12" ht="18">
      <c r="A154" s="1357"/>
      <c r="B154" s="642" t="s">
        <v>4700</v>
      </c>
      <c r="C154" s="1356" t="s">
        <v>1292</v>
      </c>
      <c r="D154" s="645" t="e">
        <f>+'PTAP TIJERETAS'!#REF!</f>
        <v>#REF!</v>
      </c>
      <c r="E154" s="1399" t="e">
        <f>+'PTAP TIJERETAS'!#REF!</f>
        <v>#REF!</v>
      </c>
      <c r="F154" s="644" t="e">
        <f t="shared" si="8"/>
        <v>#REF!</v>
      </c>
      <c r="H154"/>
      <c r="K154" s="1393"/>
      <c r="L154" s="1394"/>
    </row>
    <row r="155" spans="1:12" ht="18">
      <c r="A155" s="1010">
        <v>4</v>
      </c>
      <c r="B155" s="1011" t="s">
        <v>4758</v>
      </c>
      <c r="C155" s="1007"/>
      <c r="D155" s="1008"/>
      <c r="E155" s="1012"/>
      <c r="F155" s="999">
        <f>ROUND(SUM(F156:F156),0)</f>
        <v>200614</v>
      </c>
      <c r="H155"/>
      <c r="K155" s="3746"/>
      <c r="L155" s="3747"/>
    </row>
    <row r="156" spans="1:12" ht="49.5" customHeight="1">
      <c r="A156" s="647">
        <v>4.0999999999999996</v>
      </c>
      <c r="B156" s="642" t="s">
        <v>4701</v>
      </c>
      <c r="C156" s="643" t="s">
        <v>133</v>
      </c>
      <c r="D156" s="645">
        <f>+'PTAP TIJERETAS'!D32</f>
        <v>4</v>
      </c>
      <c r="E156" s="1399">
        <f>+'PTAP TIJERETAS'!E32</f>
        <v>50153.434380038561</v>
      </c>
      <c r="F156" s="644">
        <f t="shared" si="8"/>
        <v>200614</v>
      </c>
      <c r="H156"/>
      <c r="K156" s="3746"/>
      <c r="L156" s="3747"/>
    </row>
    <row r="157" spans="1:12" ht="18">
      <c r="A157" s="1005">
        <v>5</v>
      </c>
      <c r="B157" s="1004" t="s">
        <v>4759</v>
      </c>
      <c r="C157" s="1013"/>
      <c r="D157" s="1008"/>
      <c r="E157" s="1009"/>
      <c r="F157" s="999">
        <f>ROUND(SUM(F158:F158),0)</f>
        <v>1339263</v>
      </c>
      <c r="H157"/>
      <c r="K157" s="3746"/>
      <c r="L157" s="3747"/>
    </row>
    <row r="158" spans="1:12" ht="72">
      <c r="A158" s="647" t="s">
        <v>1145</v>
      </c>
      <c r="B158" s="642" t="s">
        <v>4704</v>
      </c>
      <c r="C158" s="643" t="s">
        <v>133</v>
      </c>
      <c r="D158" s="645">
        <f>+'PTAP TIJERETAS'!D34</f>
        <v>150</v>
      </c>
      <c r="E158" s="1399">
        <f>+'PTAP TIJERETAS'!E34</f>
        <v>8928.4180371600014</v>
      </c>
      <c r="F158" s="644">
        <f>ROUND(D158*E158,0)</f>
        <v>1339263</v>
      </c>
      <c r="H158"/>
      <c r="K158" s="3746"/>
      <c r="L158" s="3747"/>
    </row>
    <row r="159" spans="1:12" ht="34.5" customHeight="1">
      <c r="A159" s="1005">
        <v>6</v>
      </c>
      <c r="B159" s="1014" t="s">
        <v>4760</v>
      </c>
      <c r="C159" s="1007"/>
      <c r="D159" s="1008"/>
      <c r="E159" s="1009"/>
      <c r="F159" s="999">
        <f>ROUND(SUM(F160:F160),0)</f>
        <v>6749569</v>
      </c>
      <c r="H159"/>
      <c r="K159" s="3746"/>
      <c r="L159" s="3747"/>
    </row>
    <row r="160" spans="1:12" ht="18">
      <c r="A160" s="647">
        <v>6.1</v>
      </c>
      <c r="B160" s="642" t="s">
        <v>1383</v>
      </c>
      <c r="C160" s="643" t="s">
        <v>647</v>
      </c>
      <c r="D160" s="645">
        <f>+'PTAP TIJERETAS'!D36</f>
        <v>1713.7</v>
      </c>
      <c r="E160" s="1399">
        <f>+'PTAP TIJERETAS'!E36</f>
        <v>3938.5941163025</v>
      </c>
      <c r="F160" s="644">
        <f>ROUND(E160*D160,0)</f>
        <v>6749569</v>
      </c>
      <c r="H160"/>
      <c r="K160" s="3746"/>
      <c r="L160" s="3747"/>
    </row>
    <row r="161" spans="1:8" ht="18">
      <c r="A161" s="1005">
        <v>7</v>
      </c>
      <c r="B161" s="1014" t="s">
        <v>852</v>
      </c>
      <c r="C161" s="1007"/>
      <c r="D161" s="1008"/>
      <c r="E161" s="1009"/>
      <c r="F161" s="999" t="e">
        <f>ROUND(SUM(F163:F170),0)</f>
        <v>#REF!</v>
      </c>
      <c r="H161"/>
    </row>
    <row r="162" spans="1:8" s="10" customFormat="1" ht="34.5" customHeight="1">
      <c r="A162" s="648"/>
      <c r="B162" s="642" t="s">
        <v>4708</v>
      </c>
      <c r="C162" s="1358" t="s">
        <v>1292</v>
      </c>
      <c r="D162" s="645">
        <f>+'PTAP TIJERETAS'!D38</f>
        <v>4</v>
      </c>
      <c r="E162" s="1399">
        <f>+'PTAP TIJERETAS'!E38</f>
        <v>758816</v>
      </c>
      <c r="F162" s="644">
        <f t="shared" si="8"/>
        <v>3035264</v>
      </c>
    </row>
    <row r="163" spans="1:8" s="10" customFormat="1" ht="27" customHeight="1">
      <c r="A163" s="648"/>
      <c r="B163" s="642" t="s">
        <v>4761</v>
      </c>
      <c r="C163" s="1358" t="s">
        <v>1292</v>
      </c>
      <c r="D163" s="645">
        <f>+'PTAP TIJERETAS'!D39</f>
        <v>2</v>
      </c>
      <c r="E163" s="1399">
        <f>+'PTAP TIJERETAS'!E39</f>
        <v>813176</v>
      </c>
      <c r="F163" s="644">
        <f t="shared" si="8"/>
        <v>1626352</v>
      </c>
    </row>
    <row r="164" spans="1:8" s="10" customFormat="1" ht="27" customHeight="1">
      <c r="A164" s="648"/>
      <c r="B164" s="642" t="s">
        <v>4710</v>
      </c>
      <c r="C164" s="1358" t="s">
        <v>1292</v>
      </c>
      <c r="D164" s="645">
        <f>+'PTAP TIJERETAS'!D40</f>
        <v>48.96</v>
      </c>
      <c r="E164" s="1399">
        <f>+'PTAP TIJERETAS'!E40</f>
        <v>736509</v>
      </c>
      <c r="F164" s="644">
        <f t="shared" si="8"/>
        <v>36059481</v>
      </c>
    </row>
    <row r="165" spans="1:8" ht="34.5" customHeight="1">
      <c r="A165" s="647"/>
      <c r="B165" s="642" t="s">
        <v>4712</v>
      </c>
      <c r="C165" s="1358" t="s">
        <v>1292</v>
      </c>
      <c r="D165" s="645">
        <f>+'PTAP TIJERETAS'!D41</f>
        <v>13.6</v>
      </c>
      <c r="E165" s="1399">
        <f>+'PTAP TIJERETAS'!E41</f>
        <v>748717</v>
      </c>
      <c r="F165" s="644">
        <f t="shared" si="8"/>
        <v>10182551</v>
      </c>
      <c r="H165"/>
    </row>
    <row r="166" spans="1:8" ht="34.5" customHeight="1">
      <c r="A166" s="647"/>
      <c r="B166" s="642" t="s">
        <v>4716</v>
      </c>
      <c r="C166" s="1358" t="s">
        <v>45</v>
      </c>
      <c r="D166" s="645">
        <f>+'PTAP TIJERETAS'!D42</f>
        <v>36</v>
      </c>
      <c r="E166" s="1399">
        <f>+'PTAP TIJERETAS'!E42</f>
        <v>243040</v>
      </c>
      <c r="F166" s="644">
        <f t="shared" si="8"/>
        <v>8749440</v>
      </c>
      <c r="H166"/>
    </row>
    <row r="167" spans="1:8" ht="34.5" customHeight="1">
      <c r="A167" s="647"/>
      <c r="B167" s="642" t="s">
        <v>4713</v>
      </c>
      <c r="C167" s="1358" t="s">
        <v>1292</v>
      </c>
      <c r="D167" s="645">
        <f>+'PTAP TIJERETAS'!D43</f>
        <v>17.440000000000001</v>
      </c>
      <c r="E167" s="1399">
        <f>+'PTAP TIJERETAS'!E43</f>
        <v>609285</v>
      </c>
      <c r="F167" s="644">
        <f t="shared" si="8"/>
        <v>10625930</v>
      </c>
      <c r="H167"/>
    </row>
    <row r="168" spans="1:8" ht="34.5" customHeight="1">
      <c r="A168" s="647"/>
      <c r="B168" s="642" t="s">
        <v>4714</v>
      </c>
      <c r="C168" s="1358" t="s">
        <v>1292</v>
      </c>
      <c r="D168" s="645">
        <f>+'PTAP TIJERETAS'!D44</f>
        <v>5</v>
      </c>
      <c r="E168" s="1399">
        <f>+'PTAP TIJERETAS'!E44</f>
        <v>470352</v>
      </c>
      <c r="F168" s="644">
        <f t="shared" si="8"/>
        <v>2351760</v>
      </c>
      <c r="H168"/>
    </row>
    <row r="169" spans="1:8" ht="41.25" customHeight="1">
      <c r="A169" s="647"/>
      <c r="B169" s="642" t="s">
        <v>4762</v>
      </c>
      <c r="C169" s="1358" t="s">
        <v>1292</v>
      </c>
      <c r="D169" s="645" t="e">
        <f>+'PTAP TIJERETAS'!#REF!</f>
        <v>#REF!</v>
      </c>
      <c r="E169" s="1399" t="e">
        <f>+'PTAP TIJERETAS'!#REF!</f>
        <v>#REF!</v>
      </c>
      <c r="F169" s="644" t="e">
        <f t="shared" si="8"/>
        <v>#REF!</v>
      </c>
      <c r="H169"/>
    </row>
    <row r="170" spans="1:8" ht="34.5" customHeight="1">
      <c r="A170" s="647"/>
      <c r="B170" s="642" t="s">
        <v>4763</v>
      </c>
      <c r="C170" s="1358" t="s">
        <v>1002</v>
      </c>
      <c r="D170" s="645">
        <f>+'PTAP TIJERETAS'!D45</f>
        <v>120</v>
      </c>
      <c r="E170" s="1399">
        <f>+'PTAP TIJERETAS'!E45</f>
        <v>30220</v>
      </c>
      <c r="F170" s="644">
        <f t="shared" si="8"/>
        <v>3626400</v>
      </c>
      <c r="H170"/>
    </row>
    <row r="171" spans="1:8" ht="18">
      <c r="A171" s="1005">
        <v>9</v>
      </c>
      <c r="B171" s="1014" t="s">
        <v>4771</v>
      </c>
      <c r="C171" s="1007"/>
      <c r="D171" s="1008"/>
      <c r="E171" s="1009"/>
      <c r="F171" s="999">
        <f>ROUND(SUM(F173:F183),0)</f>
        <v>43367591</v>
      </c>
      <c r="H171"/>
    </row>
    <row r="172" spans="1:8" s="10" customFormat="1" ht="33.75" customHeight="1">
      <c r="A172" s="648"/>
      <c r="B172" s="642" t="s">
        <v>4772</v>
      </c>
      <c r="C172" s="643" t="s">
        <v>133</v>
      </c>
      <c r="D172" s="645">
        <f>+'PTAP TIJERETAS'!D81</f>
        <v>7</v>
      </c>
      <c r="E172" s="1399">
        <f>+'PTAP TIJERETAS'!E81</f>
        <v>350591</v>
      </c>
      <c r="F172" s="644">
        <f t="shared" si="8"/>
        <v>2454137</v>
      </c>
    </row>
    <row r="173" spans="1:8" s="10" customFormat="1" ht="29.25" customHeight="1">
      <c r="A173" s="648"/>
      <c r="B173" s="642" t="s">
        <v>4773</v>
      </c>
      <c r="C173" s="643" t="s">
        <v>133</v>
      </c>
      <c r="D173" s="645">
        <f>+'PTAP TIJERETAS'!D82</f>
        <v>2</v>
      </c>
      <c r="E173" s="1399">
        <f>+'PTAP TIJERETAS'!E82</f>
        <v>90630</v>
      </c>
      <c r="F173" s="644">
        <f t="shared" si="8"/>
        <v>181260</v>
      </c>
    </row>
    <row r="174" spans="1:8" s="10" customFormat="1" ht="52.5" customHeight="1">
      <c r="A174" s="648"/>
      <c r="B174" s="642" t="s">
        <v>4774</v>
      </c>
      <c r="C174" s="643" t="s">
        <v>133</v>
      </c>
      <c r="D174" s="645">
        <f>+'PTAP TIJERETAS'!D83</f>
        <v>14</v>
      </c>
      <c r="E174" s="1399">
        <f>+'PTAP TIJERETAS'!E83</f>
        <v>1087456</v>
      </c>
      <c r="F174" s="644">
        <f t="shared" si="8"/>
        <v>15224384</v>
      </c>
    </row>
    <row r="175" spans="1:8" s="10" customFormat="1" ht="51" customHeight="1">
      <c r="A175" s="648"/>
      <c r="B175" s="642" t="s">
        <v>4775</v>
      </c>
      <c r="C175" s="643" t="s">
        <v>133</v>
      </c>
      <c r="D175" s="645">
        <f>+'PTAP TIJERETAS'!D84</f>
        <v>3</v>
      </c>
      <c r="E175" s="1399">
        <f>+'PTAP TIJERETAS'!E84</f>
        <v>1914535</v>
      </c>
      <c r="F175" s="644">
        <f t="shared" si="8"/>
        <v>5743605</v>
      </c>
    </row>
    <row r="176" spans="1:8" s="10" customFormat="1" ht="45.75" customHeight="1">
      <c r="A176" s="648"/>
      <c r="B176" s="642" t="s">
        <v>4776</v>
      </c>
      <c r="C176" s="643" t="s">
        <v>133</v>
      </c>
      <c r="D176" s="645">
        <f>+'PTAP TIJERETAS'!D85</f>
        <v>12</v>
      </c>
      <c r="E176" s="1399">
        <f>+'PTAP TIJERETAS'!E85</f>
        <v>1087456</v>
      </c>
      <c r="F176" s="644">
        <f t="shared" si="8"/>
        <v>13049472</v>
      </c>
    </row>
    <row r="177" spans="1:8" s="10" customFormat="1" ht="31.5" customHeight="1">
      <c r="A177" s="648"/>
      <c r="B177" s="642" t="s">
        <v>4777</v>
      </c>
      <c r="C177" s="643" t="s">
        <v>133</v>
      </c>
      <c r="D177" s="645">
        <f>+'PTAP TIJERETAS'!D86</f>
        <v>6</v>
      </c>
      <c r="E177" s="1399">
        <f>+'PTAP TIJERETAS'!E86</f>
        <v>761222</v>
      </c>
      <c r="F177" s="644">
        <f t="shared" si="8"/>
        <v>4567332</v>
      </c>
    </row>
    <row r="178" spans="1:8" s="10" customFormat="1" ht="29.25" customHeight="1">
      <c r="A178" s="648"/>
      <c r="B178" s="642" t="s">
        <v>4778</v>
      </c>
      <c r="C178" s="643" t="s">
        <v>133</v>
      </c>
      <c r="D178" s="645">
        <f>+'PTAP TIJERETAS'!D87</f>
        <v>3</v>
      </c>
      <c r="E178" s="1399">
        <f>+'PTAP TIJERETAS'!E87</f>
        <v>144184</v>
      </c>
      <c r="F178" s="644">
        <f t="shared" si="8"/>
        <v>432552</v>
      </c>
    </row>
    <row r="179" spans="1:8" s="10" customFormat="1" ht="29.25" customHeight="1">
      <c r="A179" s="648"/>
      <c r="B179" s="642" t="s">
        <v>4779</v>
      </c>
      <c r="C179" s="643" t="s">
        <v>133</v>
      </c>
      <c r="D179" s="645">
        <f>+'PTAP TIJERETAS'!D88</f>
        <v>3</v>
      </c>
      <c r="E179" s="1399">
        <f>+'PTAP TIJERETAS'!E88</f>
        <v>112601</v>
      </c>
      <c r="F179" s="644">
        <f t="shared" si="8"/>
        <v>337803</v>
      </c>
    </row>
    <row r="180" spans="1:8" s="10" customFormat="1" ht="34.5" customHeight="1">
      <c r="A180" s="648"/>
      <c r="B180" s="642" t="s">
        <v>4780</v>
      </c>
      <c r="C180" s="643" t="s">
        <v>133</v>
      </c>
      <c r="D180" s="645">
        <f>+'PTAP TIJERETAS'!D89</f>
        <v>5</v>
      </c>
      <c r="E180" s="1399">
        <f>+'PTAP TIJERETAS'!E89</f>
        <v>240307</v>
      </c>
      <c r="F180" s="644">
        <f t="shared" si="8"/>
        <v>1201535</v>
      </c>
    </row>
    <row r="181" spans="1:8" ht="34.5" customHeight="1">
      <c r="A181" s="647"/>
      <c r="B181" s="642" t="s">
        <v>4781</v>
      </c>
      <c r="C181" s="643" t="s">
        <v>133</v>
      </c>
      <c r="D181" s="645">
        <f>+'PTAP TIJERETAS'!D90</f>
        <v>7</v>
      </c>
      <c r="E181" s="1399">
        <f>+'PTAP TIJERETAS'!E90</f>
        <v>171648</v>
      </c>
      <c r="F181" s="644">
        <f t="shared" si="8"/>
        <v>1201536</v>
      </c>
      <c r="H181"/>
    </row>
    <row r="182" spans="1:8" ht="34.5" customHeight="1">
      <c r="A182" s="647"/>
      <c r="B182" s="642" t="s">
        <v>4782</v>
      </c>
      <c r="C182" s="643" t="s">
        <v>133</v>
      </c>
      <c r="D182" s="645">
        <f>+'PTAP TIJERETAS'!D91</f>
        <v>2</v>
      </c>
      <c r="E182" s="1399">
        <f>+'PTAP TIJERETAS'!E91</f>
        <v>192246</v>
      </c>
      <c r="F182" s="644">
        <f t="shared" si="8"/>
        <v>384492</v>
      </c>
      <c r="H182"/>
    </row>
    <row r="183" spans="1:8" ht="34.5" customHeight="1">
      <c r="A183" s="647"/>
      <c r="B183" s="642" t="s">
        <v>4783</v>
      </c>
      <c r="C183" s="643" t="s">
        <v>133</v>
      </c>
      <c r="D183" s="645">
        <f>+'PTAP TIJERETAS'!D92</f>
        <v>4</v>
      </c>
      <c r="E183" s="1399">
        <f>+'PTAP TIJERETAS'!E92</f>
        <v>260905</v>
      </c>
      <c r="F183" s="644">
        <f t="shared" si="8"/>
        <v>1043620</v>
      </c>
      <c r="H183"/>
    </row>
    <row r="184" spans="1:8" ht="18">
      <c r="A184" s="1005" t="s">
        <v>1424</v>
      </c>
      <c r="B184" s="1014" t="s">
        <v>4802</v>
      </c>
      <c r="C184" s="1007"/>
      <c r="D184" s="1008"/>
      <c r="E184" s="1009"/>
      <c r="F184" s="1018">
        <f>+SUM(F185:F187)</f>
        <v>1181403</v>
      </c>
      <c r="H184"/>
    </row>
    <row r="185" spans="1:8" ht="49.5" customHeight="1">
      <c r="A185" s="647"/>
      <c r="B185" s="642" t="s">
        <v>4796</v>
      </c>
      <c r="C185" s="1359" t="s">
        <v>45</v>
      </c>
      <c r="D185" s="645">
        <f>+'PTAP TIJERETAS'!D94</f>
        <v>100</v>
      </c>
      <c r="E185" s="1399">
        <f>+'PTAP TIJERETAS'!E94</f>
        <v>6866</v>
      </c>
      <c r="F185" s="644">
        <f t="shared" si="8"/>
        <v>686600</v>
      </c>
      <c r="H185"/>
    </row>
    <row r="186" spans="1:8" ht="38.25" customHeight="1">
      <c r="A186" s="647"/>
      <c r="B186" s="642" t="s">
        <v>4797</v>
      </c>
      <c r="C186" s="1359" t="s">
        <v>133</v>
      </c>
      <c r="D186" s="645">
        <f>+'PTAP TIJERETAS'!D95</f>
        <v>8</v>
      </c>
      <c r="E186" s="1399">
        <f>+'PTAP TIJERETAS'!E95</f>
        <v>60420</v>
      </c>
      <c r="F186" s="644">
        <f t="shared" si="8"/>
        <v>483360</v>
      </c>
      <c r="H186"/>
    </row>
    <row r="187" spans="1:8" ht="41.25" customHeight="1">
      <c r="A187" s="1360"/>
      <c r="B187" s="642" t="s">
        <v>4798</v>
      </c>
      <c r="C187" s="1359" t="s">
        <v>133</v>
      </c>
      <c r="D187" s="645">
        <f>+'PTAP TIJERETAS'!D96</f>
        <v>1</v>
      </c>
      <c r="E187" s="1399">
        <f>+'PTAP TIJERETAS'!E96</f>
        <v>11443</v>
      </c>
      <c r="F187" s="644">
        <f t="shared" si="8"/>
        <v>11443</v>
      </c>
      <c r="H187"/>
    </row>
    <row r="188" spans="1:8" ht="18">
      <c r="A188" s="1005" t="s">
        <v>1474</v>
      </c>
      <c r="B188" s="1014" t="s">
        <v>4805</v>
      </c>
      <c r="C188" s="1007"/>
      <c r="D188" s="1008"/>
      <c r="E188" s="1009"/>
      <c r="F188" s="1018">
        <f>+SUM(F189:F191)</f>
        <v>45851440</v>
      </c>
      <c r="H188"/>
    </row>
    <row r="189" spans="1:8" s="10" customFormat="1" ht="33" customHeight="1">
      <c r="A189" s="648"/>
      <c r="B189" s="642" t="s">
        <v>4721</v>
      </c>
      <c r="C189" s="1359" t="s">
        <v>133</v>
      </c>
      <c r="D189" s="645">
        <f>+'PTAP TIJERETAS'!D98</f>
        <v>36</v>
      </c>
      <c r="E189" s="1399">
        <f>+'PTAP TIJERETAS'!E98</f>
        <v>473748.34456403996</v>
      </c>
      <c r="F189" s="644">
        <f>+ROUND(D189*E189,0)</f>
        <v>17054940</v>
      </c>
    </row>
    <row r="190" spans="1:8" s="10" customFormat="1" ht="39" customHeight="1">
      <c r="A190" s="648"/>
      <c r="B190" s="642" t="s">
        <v>4723</v>
      </c>
      <c r="C190" s="1359" t="s">
        <v>133</v>
      </c>
      <c r="D190" s="645">
        <f>+'PTAP TIJERETAS'!D99</f>
        <v>2</v>
      </c>
      <c r="E190" s="1399">
        <f>+'PTAP TIJERETAS'!E99</f>
        <v>1833620.1159217199</v>
      </c>
      <c r="F190" s="644">
        <f t="shared" ref="F190:F191" si="10">+ROUND(D190*E190,0)</f>
        <v>3667240</v>
      </c>
    </row>
    <row r="191" spans="1:8" ht="53.25" customHeight="1">
      <c r="A191" s="647"/>
      <c r="B191" s="642" t="s">
        <v>4725</v>
      </c>
      <c r="C191" s="1359" t="s">
        <v>133</v>
      </c>
      <c r="D191" s="645">
        <f>+'PTAP TIJERETAS'!D100</f>
        <v>10</v>
      </c>
      <c r="E191" s="1399">
        <f>+'PTAP TIJERETAS'!E100</f>
        <v>2512926.0016005598</v>
      </c>
      <c r="F191" s="644">
        <f t="shared" si="10"/>
        <v>25129260</v>
      </c>
      <c r="H191"/>
    </row>
    <row r="192" spans="1:8" ht="18">
      <c r="A192" s="1005" t="s">
        <v>1478</v>
      </c>
      <c r="B192" s="1014" t="s">
        <v>4806</v>
      </c>
      <c r="C192" s="1007"/>
      <c r="D192" s="1008"/>
      <c r="E192" s="1009"/>
      <c r="F192" s="1018" t="e">
        <f>+SUM(F193:F204)</f>
        <v>#REF!</v>
      </c>
      <c r="H192"/>
    </row>
    <row r="193" spans="1:8" s="10" customFormat="1" ht="40.5" customHeight="1">
      <c r="A193" s="648"/>
      <c r="B193" s="642" t="s">
        <v>4808</v>
      </c>
      <c r="C193" s="1362" t="s">
        <v>133</v>
      </c>
      <c r="D193" s="645">
        <f>+'PTAP TIJERETAS'!D102</f>
        <v>12</v>
      </c>
      <c r="E193" s="1399">
        <f>+'PTAP TIJERETAS'!E102</f>
        <v>810178</v>
      </c>
      <c r="F193" s="644">
        <f t="shared" ref="F193:F204" si="11">+ROUND(D193*E193,0)</f>
        <v>9722136</v>
      </c>
    </row>
    <row r="194" spans="1:8" s="10" customFormat="1" ht="40.5" customHeight="1">
      <c r="A194" s="648"/>
      <c r="B194" s="642" t="s">
        <v>4729</v>
      </c>
      <c r="C194" s="1362" t="s">
        <v>133</v>
      </c>
      <c r="D194" s="645">
        <f>+'PTAP TIJERETAS'!D103</f>
        <v>16</v>
      </c>
      <c r="E194" s="1399">
        <f>+'PTAP TIJERETAS'!E103</f>
        <v>707190</v>
      </c>
      <c r="F194" s="644">
        <f t="shared" si="11"/>
        <v>11315040</v>
      </c>
    </row>
    <row r="195" spans="1:8" s="10" customFormat="1" ht="40.5" customHeight="1">
      <c r="A195" s="648"/>
      <c r="B195" s="642" t="s">
        <v>4731</v>
      </c>
      <c r="C195" s="1362" t="s">
        <v>133</v>
      </c>
      <c r="D195" s="645">
        <f>+'PTAP TIJERETAS'!D104</f>
        <v>48</v>
      </c>
      <c r="E195" s="1399">
        <f>+'PTAP TIJERETAS'!E104</f>
        <v>631664</v>
      </c>
      <c r="F195" s="644">
        <f t="shared" si="11"/>
        <v>30319872</v>
      </c>
    </row>
    <row r="196" spans="1:8" s="10" customFormat="1" ht="40.5" customHeight="1">
      <c r="A196" s="648"/>
      <c r="B196" s="642" t="s">
        <v>4809</v>
      </c>
      <c r="C196" s="1362" t="s">
        <v>133</v>
      </c>
      <c r="D196" s="645" t="e">
        <f>+'PTAP TIJERETAS'!#REF!</f>
        <v>#REF!</v>
      </c>
      <c r="E196" s="1399">
        <f>+'PTAP TIJERETAS'!E105</f>
        <v>2100971</v>
      </c>
      <c r="F196" s="644" t="e">
        <f t="shared" si="11"/>
        <v>#REF!</v>
      </c>
    </row>
    <row r="197" spans="1:8" s="10" customFormat="1" ht="32.25" customHeight="1">
      <c r="A197" s="648"/>
      <c r="B197" s="642" t="s">
        <v>4764</v>
      </c>
      <c r="C197" s="1362" t="s">
        <v>133</v>
      </c>
      <c r="D197" s="645">
        <f>+'PTAP TIJERETAS'!D106</f>
        <v>240</v>
      </c>
      <c r="E197" s="1399">
        <f>+'PTAP TIJERETAS'!E106</f>
        <v>25848</v>
      </c>
      <c r="F197" s="644">
        <f t="shared" si="11"/>
        <v>6203520</v>
      </c>
    </row>
    <row r="198" spans="1:8" ht="32.25" customHeight="1">
      <c r="A198" s="647"/>
      <c r="B198" s="642" t="s">
        <v>4733</v>
      </c>
      <c r="C198" s="1362" t="s">
        <v>133</v>
      </c>
      <c r="D198" s="645">
        <f>+'PTAP TIJERETAS'!D107</f>
        <v>14</v>
      </c>
      <c r="E198" s="1399">
        <f>+'PTAP TIJERETAS'!E107</f>
        <v>2746</v>
      </c>
      <c r="F198" s="644">
        <f t="shared" si="11"/>
        <v>38444</v>
      </c>
      <c r="G198" s="10"/>
      <c r="H198"/>
    </row>
    <row r="199" spans="1:8" ht="40.5" customHeight="1">
      <c r="A199" s="647"/>
      <c r="B199" s="642" t="s">
        <v>4737</v>
      </c>
      <c r="C199" s="1362" t="s">
        <v>1002</v>
      </c>
      <c r="D199" s="645">
        <f>+'PTAP TIJERETAS'!D108</f>
        <v>50</v>
      </c>
      <c r="E199" s="1399">
        <f>+'PTAP TIJERETAS'!E108</f>
        <v>54927</v>
      </c>
      <c r="F199" s="644">
        <f t="shared" si="11"/>
        <v>2746350</v>
      </c>
      <c r="G199" s="10"/>
      <c r="H199"/>
    </row>
    <row r="200" spans="1:8" ht="26.25" customHeight="1">
      <c r="A200" s="647"/>
      <c r="B200" s="642" t="s">
        <v>4765</v>
      </c>
      <c r="C200" s="1362" t="s">
        <v>1292</v>
      </c>
      <c r="D200" s="645">
        <f>+'PTAP TIJERETAS'!D109</f>
        <v>14.688000000000001</v>
      </c>
      <c r="E200" s="1399">
        <f>+'PTAP TIJERETAS'!E109</f>
        <v>17165</v>
      </c>
      <c r="F200" s="644">
        <f t="shared" si="11"/>
        <v>252120</v>
      </c>
      <c r="G200" s="10"/>
      <c r="H200"/>
    </row>
    <row r="201" spans="1:8" ht="26.25" customHeight="1">
      <c r="A201" s="647"/>
      <c r="B201" s="642" t="s">
        <v>4766</v>
      </c>
      <c r="C201" s="1362" t="s">
        <v>1292</v>
      </c>
      <c r="D201" s="645">
        <f>+'PTAP TIJERETAS'!D110</f>
        <v>9.18</v>
      </c>
      <c r="E201" s="1399">
        <f>+'PTAP TIJERETAS'!E110</f>
        <v>18309</v>
      </c>
      <c r="F201" s="644">
        <f t="shared" si="11"/>
        <v>168077</v>
      </c>
      <c r="G201" s="10"/>
      <c r="H201"/>
    </row>
    <row r="202" spans="1:8" ht="26.25" customHeight="1">
      <c r="A202" s="647"/>
      <c r="B202" s="642" t="s">
        <v>4767</v>
      </c>
      <c r="C202" s="1362" t="s">
        <v>1292</v>
      </c>
      <c r="D202" s="645">
        <f>+'PTAP TIJERETAS'!D111</f>
        <v>6.5</v>
      </c>
      <c r="E202" s="1399">
        <f>+'PTAP TIJERETAS'!E111</f>
        <v>19617</v>
      </c>
      <c r="F202" s="644">
        <f t="shared" si="11"/>
        <v>127511</v>
      </c>
      <c r="G202" s="10"/>
      <c r="H202"/>
    </row>
    <row r="203" spans="1:8" ht="26.25" customHeight="1">
      <c r="A203" s="647"/>
      <c r="B203" s="642" t="s">
        <v>4768</v>
      </c>
      <c r="C203" s="1362" t="s">
        <v>45</v>
      </c>
      <c r="D203" s="645">
        <f>+'PTAP TIJERETAS'!D112</f>
        <v>346</v>
      </c>
      <c r="E203" s="1399">
        <f>+'PTAP TIJERETAS'!E112</f>
        <v>5493</v>
      </c>
      <c r="F203" s="644">
        <f t="shared" si="11"/>
        <v>1900578</v>
      </c>
      <c r="G203" s="10"/>
      <c r="H203"/>
    </row>
    <row r="204" spans="1:8" ht="26.25" customHeight="1">
      <c r="A204" s="647"/>
      <c r="B204" s="642" t="s">
        <v>4769</v>
      </c>
      <c r="C204" s="1362" t="s">
        <v>133</v>
      </c>
      <c r="D204" s="645">
        <f>+'PTAP TIJERETAS'!D113</f>
        <v>2</v>
      </c>
      <c r="E204" s="1399">
        <f>+'PTAP TIJERETAS'!E113</f>
        <v>27464</v>
      </c>
      <c r="F204" s="644">
        <f t="shared" si="11"/>
        <v>54928</v>
      </c>
      <c r="G204" s="10"/>
      <c r="H204"/>
    </row>
    <row r="205" spans="1:8" ht="34.5" customHeight="1">
      <c r="A205" s="3846" t="s">
        <v>4308</v>
      </c>
      <c r="B205" s="3846"/>
      <c r="C205" s="3846"/>
      <c r="D205" s="3846"/>
      <c r="E205" s="3847"/>
      <c r="F205" s="1020" t="e">
        <f>+SUM(F193:F204,F189:F191,F185:F187,F172:F183,F162:F170,F160,F158,F156,F153:F154,F136:F151,F132:F134)</f>
        <v>#REF!</v>
      </c>
      <c r="H205"/>
    </row>
    <row r="206" spans="1:8" s="1403" customFormat="1" ht="24.75" customHeight="1">
      <c r="A206" s="3848" t="s">
        <v>4740</v>
      </c>
      <c r="B206" s="3848"/>
      <c r="C206" s="3848"/>
      <c r="D206" s="3848"/>
      <c r="E206" s="3848"/>
      <c r="F206" s="3848"/>
    </row>
    <row r="207" spans="1:8" ht="17.25" customHeight="1">
      <c r="A207" s="3735"/>
      <c r="B207" s="3735"/>
      <c r="C207" s="3735"/>
      <c r="D207" s="3735"/>
      <c r="E207" s="3735"/>
      <c r="F207" s="3736"/>
      <c r="H207"/>
    </row>
    <row r="208" spans="1:8" ht="18">
      <c r="A208" s="1003">
        <v>1</v>
      </c>
      <c r="B208" s="996" t="s">
        <v>1372</v>
      </c>
      <c r="C208" s="997"/>
      <c r="D208" s="997"/>
      <c r="E208" s="997"/>
      <c r="F208" s="999">
        <f>ROUND(SUM(F209:F210),0)</f>
        <v>10799131</v>
      </c>
      <c r="H208"/>
    </row>
    <row r="209" spans="1:9" ht="19.8">
      <c r="A209" s="1398">
        <v>1.1000000000000001</v>
      </c>
      <c r="B209" s="642" t="s">
        <v>1373</v>
      </c>
      <c r="C209" s="643" t="s">
        <v>3850</v>
      </c>
      <c r="D209" s="1231">
        <v>2500</v>
      </c>
      <c r="E209" s="1399">
        <f>+'PTAP TIJERETAS'!E163</f>
        <v>2356</v>
      </c>
      <c r="F209" s="644">
        <f>ROUND(D209*E209,0)</f>
        <v>5890000</v>
      </c>
      <c r="H209">
        <v>1738020</v>
      </c>
      <c r="I209" s="1230">
        <f>+H209/E209</f>
        <v>737.69949066213917</v>
      </c>
    </row>
    <row r="210" spans="1:9" ht="19.8">
      <c r="A210" s="1398">
        <v>1.2</v>
      </c>
      <c r="B210" s="642" t="s">
        <v>1374</v>
      </c>
      <c r="C210" s="643" t="s">
        <v>3850</v>
      </c>
      <c r="D210" s="645">
        <v>1690</v>
      </c>
      <c r="E210" s="1399">
        <f>+'PTAP TIJERETAS'!E164</f>
        <v>2904.8114772599997</v>
      </c>
      <c r="F210" s="644">
        <f>ROUND(D210*E210,0)</f>
        <v>4909131</v>
      </c>
      <c r="H210"/>
    </row>
    <row r="211" spans="1:9" ht="18">
      <c r="A211" s="1001"/>
      <c r="B211" s="1396" t="s">
        <v>4988</v>
      </c>
      <c r="C211" s="1397"/>
      <c r="D211" s="1397"/>
      <c r="E211" s="1397"/>
      <c r="F211" s="1386"/>
      <c r="H211"/>
    </row>
    <row r="212" spans="1:9" s="10" customFormat="1" ht="30.75" customHeight="1">
      <c r="A212" s="1387"/>
      <c r="B212" s="258" t="s">
        <v>1094</v>
      </c>
      <c r="C212" s="643" t="s">
        <v>1292</v>
      </c>
      <c r="D212" s="1389"/>
      <c r="E212" s="1399">
        <f>+'PTAP TIJERETAS'!E166</f>
        <v>10000</v>
      </c>
      <c r="F212" s="1388"/>
    </row>
    <row r="213" spans="1:9" ht="18">
      <c r="A213" s="1003">
        <v>5</v>
      </c>
      <c r="B213" s="1029" t="s">
        <v>852</v>
      </c>
      <c r="C213" s="1030"/>
      <c r="D213" s="1030"/>
      <c r="E213" s="1030"/>
      <c r="F213" s="1364" t="e">
        <f>+SUM(F214:F218)</f>
        <v>#REF!</v>
      </c>
      <c r="H213"/>
    </row>
    <row r="214" spans="1:9" s="10" customFormat="1" ht="36">
      <c r="A214" s="640"/>
      <c r="B214" s="664" t="s">
        <v>4989</v>
      </c>
      <c r="C214" s="1390" t="s">
        <v>94</v>
      </c>
      <c r="D214" s="650">
        <v>14</v>
      </c>
      <c r="E214" s="1399" t="e">
        <f>+'PTAP TIJERETAS'!#REF!</f>
        <v>#REF!</v>
      </c>
      <c r="F214" s="644" t="e">
        <f>+ROUND(D214*E214,0)</f>
        <v>#REF!</v>
      </c>
    </row>
    <row r="215" spans="1:9" s="10" customFormat="1" ht="18">
      <c r="A215" s="650"/>
      <c r="B215" s="664" t="s">
        <v>4828</v>
      </c>
      <c r="C215" s="1390" t="s">
        <v>1292</v>
      </c>
      <c r="D215" s="650">
        <v>72.11</v>
      </c>
      <c r="E215" s="1399">
        <f>+'PTAP TIJERETAS'!E169</f>
        <v>716404</v>
      </c>
      <c r="F215" s="644">
        <f t="shared" ref="F215:F230" si="12">+ROUND(D215*E215,0)</f>
        <v>51659892</v>
      </c>
    </row>
    <row r="216" spans="1:9" ht="36">
      <c r="A216" s="643"/>
      <c r="B216" s="664" t="s">
        <v>4826</v>
      </c>
      <c r="C216" s="1390"/>
      <c r="D216" s="650"/>
      <c r="E216" s="1399">
        <f>+'PTAP TIJERETAS'!E170</f>
        <v>2438617.5063487096</v>
      </c>
      <c r="F216" s="644">
        <f t="shared" si="12"/>
        <v>0</v>
      </c>
      <c r="H216"/>
    </row>
    <row r="217" spans="1:9" ht="33" customHeight="1">
      <c r="A217" s="643"/>
      <c r="B217" s="664" t="s">
        <v>4827</v>
      </c>
      <c r="C217" s="1390" t="s">
        <v>1292</v>
      </c>
      <c r="D217" s="650">
        <v>52.3</v>
      </c>
      <c r="E217" s="1399">
        <f>+'PTAP TIJERETAS'!E171</f>
        <v>716404</v>
      </c>
      <c r="F217" s="644">
        <f t="shared" si="12"/>
        <v>37467929</v>
      </c>
      <c r="H217"/>
    </row>
    <row r="218" spans="1:9" s="10" customFormat="1" ht="36">
      <c r="A218" s="640"/>
      <c r="B218" s="664" t="s">
        <v>4829</v>
      </c>
      <c r="C218" s="1390" t="s">
        <v>94</v>
      </c>
      <c r="D218" s="650">
        <v>12</v>
      </c>
      <c r="E218" s="1399">
        <f>+'PTAP TIJERETAS'!E174</f>
        <v>274185</v>
      </c>
      <c r="F218" s="644">
        <f t="shared" si="12"/>
        <v>3290220</v>
      </c>
    </row>
    <row r="219" spans="1:9" ht="18">
      <c r="A219" s="1003"/>
      <c r="B219" s="1029" t="s">
        <v>4830</v>
      </c>
      <c r="C219" s="1030"/>
      <c r="D219" s="1030"/>
      <c r="E219" s="1030"/>
      <c r="F219" s="1364" t="e">
        <f>+SUM(F220:F290)</f>
        <v>#REF!</v>
      </c>
      <c r="H219"/>
    </row>
    <row r="220" spans="1:9" ht="36">
      <c r="A220" s="650"/>
      <c r="B220" s="664" t="s">
        <v>4823</v>
      </c>
      <c r="C220" s="1390" t="s">
        <v>94</v>
      </c>
      <c r="D220" s="662">
        <v>1</v>
      </c>
      <c r="E220" s="1399">
        <f>+'PTAP TIJERETAS'!E176</f>
        <v>6866</v>
      </c>
      <c r="F220" s="644">
        <f t="shared" si="12"/>
        <v>6866</v>
      </c>
      <c r="H220"/>
    </row>
    <row r="221" spans="1:9" ht="36">
      <c r="A221" s="640"/>
      <c r="B221" s="664" t="s">
        <v>4824</v>
      </c>
      <c r="C221" s="1390" t="s">
        <v>94</v>
      </c>
      <c r="D221" s="650">
        <v>2</v>
      </c>
      <c r="E221" s="1399">
        <f>+'PTAP TIJERETAS'!E177</f>
        <v>6866</v>
      </c>
      <c r="F221" s="644">
        <f t="shared" si="12"/>
        <v>13732</v>
      </c>
      <c r="H221"/>
    </row>
    <row r="222" spans="1:9" ht="36">
      <c r="A222" s="640"/>
      <c r="B222" s="664" t="s">
        <v>4887</v>
      </c>
      <c r="C222" s="1390" t="s">
        <v>94</v>
      </c>
      <c r="D222" s="650">
        <v>1</v>
      </c>
      <c r="E222" s="1399">
        <f>+'PTAP TIJERETAS'!E178</f>
        <v>6866</v>
      </c>
      <c r="F222" s="644">
        <f t="shared" si="12"/>
        <v>6866</v>
      </c>
      <c r="H222"/>
    </row>
    <row r="223" spans="1:9" ht="18">
      <c r="A223" s="643"/>
      <c r="B223" s="664" t="s">
        <v>4801</v>
      </c>
      <c r="C223" s="1390" t="s">
        <v>133</v>
      </c>
      <c r="D223" s="650">
        <v>1</v>
      </c>
      <c r="E223" s="1399">
        <f>+'PTAP TIJERETAS'!E179</f>
        <v>45315</v>
      </c>
      <c r="F223" s="644">
        <f t="shared" si="12"/>
        <v>45315</v>
      </c>
      <c r="H223"/>
    </row>
    <row r="224" spans="1:9" ht="18">
      <c r="A224" s="643"/>
      <c r="B224" s="664" t="s">
        <v>4746</v>
      </c>
      <c r="C224" s="1390" t="s">
        <v>133</v>
      </c>
      <c r="D224" s="650">
        <v>5</v>
      </c>
      <c r="E224" s="1399">
        <f>+'PTAP TIJERETAS'!E180</f>
        <v>27464</v>
      </c>
      <c r="F224" s="644">
        <f t="shared" si="12"/>
        <v>137320</v>
      </c>
      <c r="H224"/>
    </row>
    <row r="225" spans="1:9" ht="18">
      <c r="A225" s="643"/>
      <c r="B225" s="664" t="s">
        <v>4954</v>
      </c>
      <c r="C225" s="1390" t="s">
        <v>133</v>
      </c>
      <c r="D225" s="650">
        <v>2</v>
      </c>
      <c r="E225" s="1399">
        <f>+'PTAP TIJERETAS'!E181</f>
        <v>41196</v>
      </c>
      <c r="F225" s="644">
        <f t="shared" si="12"/>
        <v>82392</v>
      </c>
      <c r="H225"/>
    </row>
    <row r="226" spans="1:9" ht="18">
      <c r="A226" s="646"/>
      <c r="B226" s="664" t="s">
        <v>4747</v>
      </c>
      <c r="C226" s="1390" t="s">
        <v>133</v>
      </c>
      <c r="D226" s="645">
        <v>2</v>
      </c>
      <c r="E226" s="1399">
        <f>+'PTAP TIJERETAS'!E182</f>
        <v>685905</v>
      </c>
      <c r="F226" s="644">
        <f t="shared" si="12"/>
        <v>1371810</v>
      </c>
      <c r="H226"/>
    </row>
    <row r="227" spans="1:9" ht="18">
      <c r="A227" s="646"/>
      <c r="B227" s="664" t="s">
        <v>4955</v>
      </c>
      <c r="C227" s="1390"/>
      <c r="D227" s="1384">
        <v>2</v>
      </c>
      <c r="E227" s="1399">
        <f>+'PTAP TIJERETAS'!E183</f>
        <v>74152</v>
      </c>
      <c r="F227" s="644">
        <f t="shared" si="12"/>
        <v>148304</v>
      </c>
      <c r="H227"/>
    </row>
    <row r="228" spans="1:9" ht="54">
      <c r="A228" s="640"/>
      <c r="B228" s="664" t="s">
        <v>4753</v>
      </c>
      <c r="C228" s="1390" t="s">
        <v>133</v>
      </c>
      <c r="D228" s="650">
        <v>2</v>
      </c>
      <c r="E228" s="1399" t="e">
        <f>+'PTAP TIJERETAS'!#REF!</f>
        <v>#REF!</v>
      </c>
      <c r="F228" s="644" t="e">
        <f t="shared" si="12"/>
        <v>#REF!</v>
      </c>
      <c r="H228"/>
    </row>
    <row r="229" spans="1:9" ht="18">
      <c r="A229" s="640"/>
      <c r="B229" s="664" t="s">
        <v>4754</v>
      </c>
      <c r="C229" s="1390" t="s">
        <v>133</v>
      </c>
      <c r="D229" s="662">
        <v>1</v>
      </c>
      <c r="E229" s="1399">
        <f>+'PTAP TIJERETAS'!E184</f>
        <v>94750</v>
      </c>
      <c r="F229" s="644">
        <f t="shared" si="12"/>
        <v>94750</v>
      </c>
      <c r="H229"/>
    </row>
    <row r="230" spans="1:9" ht="18">
      <c r="A230" s="640"/>
      <c r="B230" s="664" t="s">
        <v>4755</v>
      </c>
      <c r="C230" s="1390" t="s">
        <v>133</v>
      </c>
      <c r="D230" s="650">
        <v>3</v>
      </c>
      <c r="E230" s="1399">
        <f>+'PTAP TIJERETAS'!E185</f>
        <v>79645</v>
      </c>
      <c r="F230" s="644">
        <f t="shared" si="12"/>
        <v>238935</v>
      </c>
      <c r="H230"/>
      <c r="I230" s="492" t="s">
        <v>4859</v>
      </c>
    </row>
    <row r="231" spans="1:9" ht="18">
      <c r="A231" s="640"/>
      <c r="B231" s="1375" t="s">
        <v>4858</v>
      </c>
      <c r="C231" s="1390" t="s">
        <v>133</v>
      </c>
      <c r="D231" s="650">
        <v>2</v>
      </c>
      <c r="E231" s="1399">
        <f>+'PTAP TIJERETAS'!E186</f>
        <v>61793</v>
      </c>
      <c r="F231" s="644">
        <f t="shared" ref="F231:F290" si="13">ROUND(D231*E231,0)</f>
        <v>123586</v>
      </c>
      <c r="H231"/>
    </row>
    <row r="232" spans="1:9" ht="18">
      <c r="A232" s="640"/>
      <c r="B232" s="1376" t="s">
        <v>4957</v>
      </c>
      <c r="C232" s="1390" t="s">
        <v>133</v>
      </c>
      <c r="D232" s="650">
        <v>2</v>
      </c>
      <c r="E232" s="1399">
        <f>+'PTAP TIJERETAS'!E187</f>
        <v>260905</v>
      </c>
      <c r="F232" s="644">
        <f t="shared" si="13"/>
        <v>521810</v>
      </c>
      <c r="H232"/>
    </row>
    <row r="233" spans="1:9" ht="18">
      <c r="A233" s="640"/>
      <c r="B233" s="1376" t="s">
        <v>4958</v>
      </c>
      <c r="C233" s="1390" t="s">
        <v>133</v>
      </c>
      <c r="D233" s="650">
        <v>2</v>
      </c>
      <c r="E233" s="1399">
        <f>+'PTAP TIJERETAS'!E188</f>
        <v>219709</v>
      </c>
      <c r="F233" s="644">
        <f t="shared" si="13"/>
        <v>439418</v>
      </c>
      <c r="H233"/>
    </row>
    <row r="234" spans="1:9" ht="18">
      <c r="A234" s="640"/>
      <c r="B234" s="1375" t="s">
        <v>4860</v>
      </c>
      <c r="C234" s="1390" t="s">
        <v>133</v>
      </c>
      <c r="D234" s="650">
        <v>2</v>
      </c>
      <c r="E234" s="1399">
        <f>+'PTAP TIJERETAS'!E189</f>
        <v>278756</v>
      </c>
      <c r="F234" s="644">
        <f t="shared" si="13"/>
        <v>557512</v>
      </c>
      <c r="H234"/>
    </row>
    <row r="235" spans="1:9" ht="28.8">
      <c r="A235" s="640"/>
      <c r="B235" s="1377" t="s">
        <v>4861</v>
      </c>
      <c r="C235" s="1390" t="s">
        <v>133</v>
      </c>
      <c r="D235" s="650">
        <v>2</v>
      </c>
      <c r="E235" s="1399">
        <f>+'PTAP TIJERETAS'!E190</f>
        <v>157916</v>
      </c>
      <c r="F235" s="644">
        <f t="shared" si="13"/>
        <v>315832</v>
      </c>
      <c r="H235"/>
    </row>
    <row r="236" spans="1:9" ht="18">
      <c r="A236" s="640"/>
      <c r="B236" s="1375" t="s">
        <v>4862</v>
      </c>
      <c r="C236" s="1390" t="s">
        <v>133</v>
      </c>
      <c r="D236" s="650">
        <v>2</v>
      </c>
      <c r="E236" s="1399">
        <f>+'PTAP TIJERETAS'!E191</f>
        <v>96123</v>
      </c>
      <c r="F236" s="644">
        <f t="shared" si="13"/>
        <v>192246</v>
      </c>
      <c r="H236"/>
    </row>
    <row r="237" spans="1:9" ht="18">
      <c r="A237" s="640"/>
      <c r="B237" s="1376" t="s">
        <v>4959</v>
      </c>
      <c r="C237" s="1390" t="s">
        <v>133</v>
      </c>
      <c r="D237" s="650">
        <v>1</v>
      </c>
      <c r="E237" s="1399">
        <f>+'PTAP TIJERETAS'!E192</f>
        <v>212843</v>
      </c>
      <c r="F237" s="644">
        <f t="shared" si="13"/>
        <v>212843</v>
      </c>
      <c r="H237"/>
    </row>
    <row r="238" spans="1:9" ht="18">
      <c r="A238" s="640"/>
      <c r="B238" s="1375" t="s">
        <v>4960</v>
      </c>
      <c r="C238" s="1390" t="s">
        <v>133</v>
      </c>
      <c r="D238" s="650">
        <v>1</v>
      </c>
      <c r="E238" s="1399">
        <f>+'PTAP TIJERETAS'!E193</f>
        <v>241997.20343282403</v>
      </c>
      <c r="F238" s="644">
        <f t="shared" si="13"/>
        <v>241997</v>
      </c>
      <c r="H238"/>
    </row>
    <row r="239" spans="1:9" ht="18">
      <c r="A239" s="640"/>
      <c r="B239" s="1376" t="s">
        <v>4961</v>
      </c>
      <c r="C239" s="1390" t="s">
        <v>133</v>
      </c>
      <c r="D239" s="650">
        <v>1</v>
      </c>
      <c r="E239" s="1399">
        <f>+'PTAP TIJERETAS'!E194</f>
        <v>151050</v>
      </c>
      <c r="F239" s="644">
        <f t="shared" si="13"/>
        <v>151050</v>
      </c>
      <c r="H239"/>
    </row>
    <row r="240" spans="1:9" ht="18">
      <c r="A240" s="640"/>
      <c r="B240" s="1375" t="s">
        <v>4863</v>
      </c>
      <c r="C240" s="1390" t="s">
        <v>133</v>
      </c>
      <c r="D240" s="650">
        <v>1</v>
      </c>
      <c r="E240" s="1399">
        <f>+'PTAP TIJERETAS'!E195</f>
        <v>178514</v>
      </c>
      <c r="F240" s="644">
        <f t="shared" si="13"/>
        <v>178514</v>
      </c>
      <c r="H240"/>
    </row>
    <row r="241" spans="1:12" ht="18">
      <c r="A241" s="640"/>
      <c r="B241" s="1376" t="s">
        <v>4962</v>
      </c>
      <c r="C241" s="1390" t="s">
        <v>133</v>
      </c>
      <c r="D241" s="650">
        <v>1</v>
      </c>
      <c r="E241" s="1399">
        <f>+'PTAP TIJERETAS'!E196</f>
        <v>144184</v>
      </c>
      <c r="F241" s="644">
        <f t="shared" si="13"/>
        <v>144184</v>
      </c>
      <c r="H241"/>
    </row>
    <row r="242" spans="1:12" ht="18">
      <c r="A242" s="640"/>
      <c r="B242" s="1376" t="s">
        <v>4864</v>
      </c>
      <c r="C242" s="1390" t="s">
        <v>133</v>
      </c>
      <c r="D242" s="650">
        <v>1</v>
      </c>
      <c r="E242" s="1399">
        <f>+'PTAP TIJERETAS'!E197</f>
        <v>185380</v>
      </c>
      <c r="F242" s="644">
        <f t="shared" si="13"/>
        <v>185380</v>
      </c>
      <c r="H242"/>
    </row>
    <row r="243" spans="1:12" ht="18">
      <c r="A243" s="640"/>
      <c r="B243" s="1375" t="s">
        <v>4865</v>
      </c>
      <c r="C243" s="1390" t="s">
        <v>133</v>
      </c>
      <c r="D243" s="650">
        <v>1</v>
      </c>
      <c r="E243" s="1399">
        <f>+'PTAP TIJERETAS'!E198</f>
        <v>68659</v>
      </c>
      <c r="F243" s="644">
        <f t="shared" si="13"/>
        <v>68659</v>
      </c>
      <c r="H243"/>
    </row>
    <row r="244" spans="1:12" ht="18">
      <c r="A244" s="640"/>
      <c r="B244" s="1376" t="s">
        <v>4866</v>
      </c>
      <c r="C244" s="1390" t="s">
        <v>133</v>
      </c>
      <c r="D244" s="650">
        <v>1</v>
      </c>
      <c r="E244" s="1399">
        <f>+'PTAP TIJERETAS'!E199</f>
        <v>171648</v>
      </c>
      <c r="F244" s="644">
        <f t="shared" si="13"/>
        <v>171648</v>
      </c>
      <c r="H244"/>
    </row>
    <row r="245" spans="1:12" ht="18">
      <c r="A245" s="640"/>
      <c r="B245" s="1376" t="s">
        <v>4867</v>
      </c>
      <c r="C245" s="1390" t="s">
        <v>133</v>
      </c>
      <c r="D245" s="650">
        <v>1</v>
      </c>
      <c r="E245" s="1399">
        <f>+'PTAP TIJERETAS'!E200</f>
        <v>82391</v>
      </c>
      <c r="F245" s="644">
        <f t="shared" si="13"/>
        <v>82391</v>
      </c>
      <c r="H245"/>
    </row>
    <row r="246" spans="1:12" ht="18">
      <c r="A246" s="640"/>
      <c r="B246" s="1375" t="s">
        <v>4868</v>
      </c>
      <c r="C246" s="1390" t="s">
        <v>133</v>
      </c>
      <c r="D246" s="650">
        <v>1</v>
      </c>
      <c r="E246" s="1399">
        <f>+'PTAP TIJERETAS'!E201</f>
        <v>68659</v>
      </c>
      <c r="F246" s="644">
        <f t="shared" si="13"/>
        <v>68659</v>
      </c>
      <c r="H246"/>
    </row>
    <row r="247" spans="1:12" ht="18">
      <c r="A247" s="640"/>
      <c r="B247" s="1376" t="s">
        <v>4869</v>
      </c>
      <c r="C247" s="1390" t="s">
        <v>133</v>
      </c>
      <c r="D247" s="650">
        <v>1</v>
      </c>
      <c r="E247" s="1399">
        <f>+'PTAP TIJERETAS'!E202</f>
        <v>350591</v>
      </c>
      <c r="F247" s="644">
        <f t="shared" si="13"/>
        <v>350591</v>
      </c>
      <c r="H247"/>
    </row>
    <row r="248" spans="1:12" ht="18">
      <c r="A248" s="640"/>
      <c r="B248" s="1376" t="s">
        <v>4870</v>
      </c>
      <c r="C248" s="1390" t="s">
        <v>133</v>
      </c>
      <c r="D248" s="650">
        <v>1</v>
      </c>
      <c r="E248" s="1399">
        <f>+'PTAP TIJERETAS'!E203</f>
        <v>134572</v>
      </c>
      <c r="F248" s="644">
        <f t="shared" si="13"/>
        <v>134572</v>
      </c>
      <c r="H248"/>
    </row>
    <row r="249" spans="1:12" ht="18">
      <c r="A249" s="640"/>
      <c r="B249" s="1375" t="s">
        <v>4871</v>
      </c>
      <c r="C249" s="1390" t="s">
        <v>133</v>
      </c>
      <c r="D249" s="650">
        <v>1</v>
      </c>
      <c r="E249" s="1399">
        <f>+'PTAP TIJERETAS'!E204</f>
        <v>43942</v>
      </c>
      <c r="F249" s="644">
        <f t="shared" si="13"/>
        <v>43942</v>
      </c>
      <c r="H249"/>
    </row>
    <row r="250" spans="1:12" ht="18">
      <c r="A250" s="640"/>
      <c r="B250" s="1376" t="s">
        <v>4963</v>
      </c>
      <c r="C250" s="1390" t="s">
        <v>133</v>
      </c>
      <c r="D250" s="650">
        <v>1</v>
      </c>
      <c r="E250" s="1399">
        <f>+'PTAP TIJERETAS'!E205</f>
        <v>590469</v>
      </c>
      <c r="F250" s="644">
        <f t="shared" si="13"/>
        <v>590469</v>
      </c>
      <c r="H250"/>
    </row>
    <row r="251" spans="1:12" ht="18">
      <c r="A251" s="640"/>
      <c r="B251" s="1376" t="s">
        <v>4964</v>
      </c>
      <c r="C251" s="1390" t="s">
        <v>133</v>
      </c>
      <c r="D251" s="650">
        <v>1</v>
      </c>
      <c r="E251" s="1399">
        <f>+'PTAP TIJERETAS'!E206</f>
        <v>384491</v>
      </c>
      <c r="F251" s="644">
        <f t="shared" si="13"/>
        <v>384491</v>
      </c>
      <c r="H251"/>
      <c r="L251" s="492"/>
    </row>
    <row r="252" spans="1:12" ht="144">
      <c r="A252" s="640"/>
      <c r="B252" s="664" t="s">
        <v>4894</v>
      </c>
      <c r="C252" s="1390" t="s">
        <v>133</v>
      </c>
      <c r="D252" s="650">
        <v>2</v>
      </c>
      <c r="E252" s="1399">
        <f>+'PTAP TIJERETAS'!E207</f>
        <v>1724930</v>
      </c>
      <c r="F252" s="644">
        <f t="shared" si="13"/>
        <v>3449860</v>
      </c>
      <c r="H252"/>
    </row>
    <row r="253" spans="1:12" ht="36">
      <c r="A253" s="640"/>
      <c r="B253" s="664" t="s">
        <v>4965</v>
      </c>
      <c r="C253" s="1390" t="s">
        <v>133</v>
      </c>
      <c r="D253" s="650">
        <v>2</v>
      </c>
      <c r="E253" s="1399">
        <f>+'PTAP TIJERETAS'!E209</f>
        <v>144184</v>
      </c>
      <c r="F253" s="644">
        <f t="shared" si="13"/>
        <v>288368</v>
      </c>
      <c r="H253"/>
    </row>
    <row r="254" spans="1:12" ht="18">
      <c r="A254" s="640"/>
      <c r="B254" s="664" t="s">
        <v>4966</v>
      </c>
      <c r="C254" s="1390" t="s">
        <v>133</v>
      </c>
      <c r="D254" s="650">
        <v>2</v>
      </c>
      <c r="E254" s="1399">
        <f>+'PTAP TIJERETAS'!E210</f>
        <v>48061</v>
      </c>
      <c r="F254" s="644">
        <f t="shared" si="13"/>
        <v>96122</v>
      </c>
      <c r="H254"/>
    </row>
    <row r="255" spans="1:12" ht="36">
      <c r="A255" s="640"/>
      <c r="B255" s="664" t="s">
        <v>4967</v>
      </c>
      <c r="C255" s="1390" t="s">
        <v>133</v>
      </c>
      <c r="D255" s="650">
        <v>2</v>
      </c>
      <c r="E255" s="1399">
        <f>+'PTAP TIJERETAS'!E211</f>
        <v>126333</v>
      </c>
      <c r="F255" s="644">
        <f t="shared" si="13"/>
        <v>252666</v>
      </c>
      <c r="H255"/>
    </row>
    <row r="256" spans="1:12" ht="18">
      <c r="A256" s="640"/>
      <c r="B256" s="664" t="s">
        <v>4895</v>
      </c>
      <c r="C256" s="1390" t="s">
        <v>133</v>
      </c>
      <c r="D256" s="650">
        <v>2</v>
      </c>
      <c r="E256" s="1399">
        <f>+'PTAP TIJERETAS'!E212</f>
        <v>130452</v>
      </c>
      <c r="F256" s="644">
        <f t="shared" si="13"/>
        <v>260904</v>
      </c>
      <c r="H256"/>
    </row>
    <row r="257" spans="1:9" ht="36">
      <c r="A257" s="640"/>
      <c r="B257" s="664" t="s">
        <v>4896</v>
      </c>
      <c r="C257" s="1390" t="s">
        <v>133</v>
      </c>
      <c r="D257" s="650">
        <v>2</v>
      </c>
      <c r="E257" s="1399">
        <f>+'PTAP TIJERETAS'!E213</f>
        <v>82391</v>
      </c>
      <c r="F257" s="644">
        <f t="shared" si="13"/>
        <v>164782</v>
      </c>
      <c r="H257"/>
    </row>
    <row r="258" spans="1:9" ht="36">
      <c r="A258" s="640"/>
      <c r="B258" s="664" t="s">
        <v>4897</v>
      </c>
      <c r="C258" s="1390" t="s">
        <v>133</v>
      </c>
      <c r="D258" s="650">
        <v>2</v>
      </c>
      <c r="E258" s="1399">
        <f>+'PTAP TIJERETAS'!E214</f>
        <v>59047</v>
      </c>
      <c r="F258" s="644">
        <f t="shared" si="13"/>
        <v>118094</v>
      </c>
      <c r="H258"/>
    </row>
    <row r="259" spans="1:9" ht="18">
      <c r="A259" s="640"/>
      <c r="B259" s="664" t="s">
        <v>4898</v>
      </c>
      <c r="C259" s="1390" t="s">
        <v>133</v>
      </c>
      <c r="D259" s="650">
        <v>3</v>
      </c>
      <c r="E259" s="1399" t="e">
        <f>+'PTAP TIJERETAS'!#REF!</f>
        <v>#REF!</v>
      </c>
      <c r="F259" s="644" t="e">
        <f t="shared" si="13"/>
        <v>#REF!</v>
      </c>
      <c r="H259"/>
    </row>
    <row r="260" spans="1:9" ht="36">
      <c r="A260" s="640"/>
      <c r="B260" s="664" t="s">
        <v>4968</v>
      </c>
      <c r="C260" s="1390" t="s">
        <v>133</v>
      </c>
      <c r="D260" s="650">
        <v>2</v>
      </c>
      <c r="E260" s="1399">
        <f>+'PTAP TIJERETAS'!E215</f>
        <v>164782</v>
      </c>
      <c r="F260" s="644">
        <f t="shared" si="13"/>
        <v>329564</v>
      </c>
      <c r="H260"/>
    </row>
    <row r="261" spans="1:9" ht="18">
      <c r="A261" s="640"/>
      <c r="B261" s="664" t="s">
        <v>4899</v>
      </c>
      <c r="C261" s="1390" t="s">
        <v>133</v>
      </c>
      <c r="D261" s="650">
        <v>1</v>
      </c>
      <c r="E261" s="1399">
        <f>+'PTAP TIJERETAS'!E216</f>
        <v>82391</v>
      </c>
      <c r="F261" s="644">
        <f t="shared" si="13"/>
        <v>82391</v>
      </c>
      <c r="H261"/>
    </row>
    <row r="262" spans="1:9" ht="36">
      <c r="A262" s="640"/>
      <c r="B262" s="664" t="s">
        <v>4969</v>
      </c>
      <c r="C262" s="1390" t="s">
        <v>133</v>
      </c>
      <c r="D262" s="650">
        <v>1</v>
      </c>
      <c r="E262" s="1399">
        <f>+'PTAP TIJERETAS'!E217</f>
        <v>109855</v>
      </c>
      <c r="F262" s="644">
        <f t="shared" si="13"/>
        <v>109855</v>
      </c>
      <c r="H262"/>
    </row>
    <row r="263" spans="1:9" ht="18">
      <c r="A263" s="663"/>
      <c r="B263" s="651" t="s">
        <v>4900</v>
      </c>
      <c r="C263" s="1390" t="s">
        <v>133</v>
      </c>
      <c r="D263" s="650">
        <v>1</v>
      </c>
      <c r="E263" s="1399">
        <f>+'PTAP TIJERETAS'!E218</f>
        <v>102989</v>
      </c>
      <c r="F263" s="644">
        <f t="shared" si="13"/>
        <v>102989</v>
      </c>
      <c r="H263"/>
    </row>
    <row r="264" spans="1:9" ht="36">
      <c r="A264" s="663"/>
      <c r="B264" s="1380" t="s">
        <v>4970</v>
      </c>
      <c r="C264" s="1390" t="s">
        <v>133</v>
      </c>
      <c r="D264" s="1381">
        <v>1</v>
      </c>
      <c r="E264" s="1399">
        <f>+'PTAP TIJERETAS'!E219</f>
        <v>122213</v>
      </c>
      <c r="F264" s="644">
        <f t="shared" si="13"/>
        <v>122213</v>
      </c>
      <c r="H264"/>
      <c r="I264" s="492"/>
    </row>
    <row r="265" spans="1:9" ht="18">
      <c r="A265" s="663"/>
      <c r="B265" s="1380" t="s">
        <v>4901</v>
      </c>
      <c r="C265" s="1390" t="s">
        <v>133</v>
      </c>
      <c r="D265" s="1381">
        <v>2</v>
      </c>
      <c r="E265" s="1399">
        <f>+'PTAP TIJERETAS'!E220</f>
        <v>593215</v>
      </c>
      <c r="F265" s="644">
        <f t="shared" si="13"/>
        <v>1186430</v>
      </c>
      <c r="H265"/>
    </row>
    <row r="266" spans="1:9" ht="18">
      <c r="A266" s="663"/>
      <c r="B266" s="1380" t="s">
        <v>4902</v>
      </c>
      <c r="C266" s="1390" t="s">
        <v>133</v>
      </c>
      <c r="D266" s="1381">
        <v>1</v>
      </c>
      <c r="E266" s="1399">
        <f>+'PTAP TIJERETAS'!E221</f>
        <v>54927</v>
      </c>
      <c r="F266" s="644">
        <f t="shared" si="13"/>
        <v>54927</v>
      </c>
      <c r="H266"/>
    </row>
    <row r="267" spans="1:9" ht="18">
      <c r="A267" s="663"/>
      <c r="B267" s="1380" t="s">
        <v>4903</v>
      </c>
      <c r="C267" s="1390" t="s">
        <v>133</v>
      </c>
      <c r="D267" s="1381">
        <v>1</v>
      </c>
      <c r="E267" s="1399">
        <f>+'PTAP TIJERETAS'!E222</f>
        <v>97496</v>
      </c>
      <c r="F267" s="644">
        <f t="shared" si="13"/>
        <v>97496</v>
      </c>
      <c r="H267"/>
    </row>
    <row r="268" spans="1:9" ht="18">
      <c r="A268" s="663"/>
      <c r="B268" s="1380" t="s">
        <v>4904</v>
      </c>
      <c r="C268" s="1390" t="s">
        <v>133</v>
      </c>
      <c r="D268" s="1381">
        <v>1</v>
      </c>
      <c r="E268" s="1399">
        <f>+'PTAP TIJERETAS'!E223</f>
        <v>107108</v>
      </c>
      <c r="F268" s="644">
        <f t="shared" si="13"/>
        <v>107108</v>
      </c>
      <c r="H268"/>
    </row>
    <row r="269" spans="1:9" ht="18">
      <c r="A269" s="663"/>
      <c r="B269" s="1380" t="s">
        <v>4905</v>
      </c>
      <c r="C269" s="1390" t="s">
        <v>133</v>
      </c>
      <c r="D269" s="1381">
        <v>1</v>
      </c>
      <c r="E269" s="1399">
        <f>+'PTAP TIJERETAS'!E224</f>
        <v>125646</v>
      </c>
      <c r="F269" s="644">
        <f t="shared" si="13"/>
        <v>125646</v>
      </c>
      <c r="H269"/>
    </row>
    <row r="270" spans="1:9" ht="18">
      <c r="A270" s="663"/>
      <c r="B270" s="1380" t="s">
        <v>4919</v>
      </c>
      <c r="C270" s="1390" t="s">
        <v>45</v>
      </c>
      <c r="D270" s="1381">
        <v>34.840000000000003</v>
      </c>
      <c r="E270" s="1399">
        <f>+'PTAP TIJERETAS'!E225</f>
        <v>718296</v>
      </c>
      <c r="F270" s="644">
        <f t="shared" si="13"/>
        <v>25025433</v>
      </c>
      <c r="H270"/>
    </row>
    <row r="271" spans="1:9" ht="18">
      <c r="A271" s="663"/>
      <c r="B271" s="1380" t="s">
        <v>4922</v>
      </c>
      <c r="C271" s="1390" t="s">
        <v>133</v>
      </c>
      <c r="D271" s="1381">
        <v>1</v>
      </c>
      <c r="E271" s="1399">
        <f>+'PTAP TIJERETAS'!E226</f>
        <v>342246</v>
      </c>
      <c r="F271" s="644">
        <f t="shared" si="13"/>
        <v>342246</v>
      </c>
      <c r="H271"/>
    </row>
    <row r="272" spans="1:9" ht="18">
      <c r="A272" s="663"/>
      <c r="B272" s="1380" t="s">
        <v>4906</v>
      </c>
      <c r="C272" s="1390" t="s">
        <v>133</v>
      </c>
      <c r="D272" s="1381">
        <v>1</v>
      </c>
      <c r="E272" s="1399">
        <f>+'PTAP TIJERETAS'!E227</f>
        <v>138692</v>
      </c>
      <c r="F272" s="644">
        <f t="shared" si="13"/>
        <v>138692</v>
      </c>
      <c r="H272"/>
    </row>
    <row r="273" spans="1:8" ht="18">
      <c r="A273" s="663"/>
      <c r="B273" s="1380" t="s">
        <v>4907</v>
      </c>
      <c r="C273" s="1390" t="s">
        <v>133</v>
      </c>
      <c r="D273" s="1381">
        <v>1</v>
      </c>
      <c r="E273" s="1399">
        <f>+'PTAP TIJERETAS'!E228</f>
        <v>45315</v>
      </c>
      <c r="F273" s="644">
        <f t="shared" si="13"/>
        <v>45315</v>
      </c>
      <c r="H273"/>
    </row>
    <row r="274" spans="1:8" ht="18">
      <c r="A274" s="663"/>
      <c r="B274" s="1380" t="s">
        <v>4921</v>
      </c>
      <c r="C274" s="1390" t="s">
        <v>133</v>
      </c>
      <c r="D274" s="1381">
        <v>1</v>
      </c>
      <c r="E274" s="1399">
        <f>+'PTAP TIJERETAS'!E229</f>
        <v>314782</v>
      </c>
      <c r="F274" s="644">
        <f t="shared" si="13"/>
        <v>314782</v>
      </c>
      <c r="H274"/>
    </row>
    <row r="275" spans="1:8" ht="18">
      <c r="A275" s="663"/>
      <c r="B275" s="1380" t="s">
        <v>4908</v>
      </c>
      <c r="C275" s="1390" t="s">
        <v>133</v>
      </c>
      <c r="D275" s="1381">
        <v>2</v>
      </c>
      <c r="E275" s="1399">
        <f>+'PTAP TIJERETAS'!E230</f>
        <v>28837</v>
      </c>
      <c r="F275" s="644">
        <f t="shared" si="13"/>
        <v>57674</v>
      </c>
      <c r="H275"/>
    </row>
    <row r="276" spans="1:8" ht="18">
      <c r="A276" s="663"/>
      <c r="B276" s="1380" t="s">
        <v>4920</v>
      </c>
      <c r="C276" s="1390" t="s">
        <v>133</v>
      </c>
      <c r="D276" s="1381">
        <v>1</v>
      </c>
      <c r="E276" s="1399">
        <f>+'PTAP TIJERETAS'!E231</f>
        <v>425687</v>
      </c>
      <c r="F276" s="644">
        <f t="shared" si="13"/>
        <v>425687</v>
      </c>
      <c r="H276"/>
    </row>
    <row r="277" spans="1:8" ht="18">
      <c r="A277" s="663"/>
      <c r="B277" s="1380" t="s">
        <v>4909</v>
      </c>
      <c r="C277" s="1390" t="s">
        <v>133</v>
      </c>
      <c r="D277" s="1381">
        <v>2</v>
      </c>
      <c r="E277" s="1399">
        <f>+'PTAP TIJERETAS'!E232</f>
        <v>76898</v>
      </c>
      <c r="F277" s="644">
        <f t="shared" si="13"/>
        <v>153796</v>
      </c>
      <c r="H277"/>
    </row>
    <row r="278" spans="1:8" ht="18">
      <c r="A278" s="663"/>
      <c r="B278" s="1380" t="s">
        <v>4910</v>
      </c>
      <c r="C278" s="1390" t="s">
        <v>133</v>
      </c>
      <c r="D278" s="1381">
        <v>6</v>
      </c>
      <c r="E278" s="1399">
        <f>+'PTAP TIJERETAS'!E233</f>
        <v>86511</v>
      </c>
      <c r="F278" s="644">
        <f t="shared" si="13"/>
        <v>519066</v>
      </c>
      <c r="H278"/>
    </row>
    <row r="279" spans="1:8" ht="18">
      <c r="A279" s="663"/>
      <c r="B279" s="1380" t="s">
        <v>4911</v>
      </c>
      <c r="C279" s="1390" t="s">
        <v>133</v>
      </c>
      <c r="D279" s="1381">
        <v>2</v>
      </c>
      <c r="E279" s="1399">
        <f>+'PTAP TIJERETAS'!E234</f>
        <v>65913</v>
      </c>
      <c r="F279" s="644">
        <f t="shared" si="13"/>
        <v>131826</v>
      </c>
      <c r="H279"/>
    </row>
    <row r="280" spans="1:8" ht="18">
      <c r="A280" s="663"/>
      <c r="B280" s="1380" t="s">
        <v>4912</v>
      </c>
      <c r="C280" s="1390" t="s">
        <v>133</v>
      </c>
      <c r="D280" s="1381">
        <v>8</v>
      </c>
      <c r="E280" s="1399">
        <f>+'PTAP TIJERETAS'!E235</f>
        <v>32956</v>
      </c>
      <c r="F280" s="644">
        <f t="shared" si="13"/>
        <v>263648</v>
      </c>
      <c r="H280"/>
    </row>
    <row r="281" spans="1:8" ht="18">
      <c r="A281" s="663"/>
      <c r="B281" s="1380" t="s">
        <v>4913</v>
      </c>
      <c r="C281" s="1390" t="s">
        <v>133</v>
      </c>
      <c r="D281" s="1381">
        <v>8</v>
      </c>
      <c r="E281" s="1399">
        <f>+'PTAP TIJERETAS'!E236</f>
        <v>5493</v>
      </c>
      <c r="F281" s="644">
        <f t="shared" si="13"/>
        <v>43944</v>
      </c>
      <c r="H281"/>
    </row>
    <row r="282" spans="1:8" ht="18">
      <c r="A282" s="663"/>
      <c r="B282" s="1380" t="s">
        <v>4914</v>
      </c>
      <c r="C282" s="1390" t="s">
        <v>133</v>
      </c>
      <c r="D282" s="1381">
        <v>24</v>
      </c>
      <c r="E282" s="1399">
        <f>+'PTAP TIJERETAS'!E237</f>
        <v>4120</v>
      </c>
      <c r="F282" s="644">
        <f t="shared" si="13"/>
        <v>98880</v>
      </c>
      <c r="H282"/>
    </row>
    <row r="283" spans="1:8" ht="18">
      <c r="A283" s="663"/>
      <c r="B283" s="1380" t="s">
        <v>4915</v>
      </c>
      <c r="C283" s="1390" t="s">
        <v>133</v>
      </c>
      <c r="D283" s="1381">
        <v>8</v>
      </c>
      <c r="E283" s="1399">
        <f>+'PTAP TIJERETAS'!E238</f>
        <v>3433</v>
      </c>
      <c r="F283" s="644">
        <f t="shared" si="13"/>
        <v>27464</v>
      </c>
      <c r="H283"/>
    </row>
    <row r="284" spans="1:8" ht="18">
      <c r="A284" s="663"/>
      <c r="B284" s="1380" t="s">
        <v>4916</v>
      </c>
      <c r="C284" s="1390" t="s">
        <v>133</v>
      </c>
      <c r="D284" s="1381">
        <v>8</v>
      </c>
      <c r="E284" s="1399">
        <f>+'PTAP TIJERETAS'!E239</f>
        <v>23619</v>
      </c>
      <c r="F284" s="644">
        <f t="shared" si="13"/>
        <v>188952</v>
      </c>
      <c r="H284"/>
    </row>
    <row r="285" spans="1:8" ht="18">
      <c r="A285" s="663"/>
      <c r="B285" s="1380" t="s">
        <v>4973</v>
      </c>
      <c r="C285" s="1390" t="s">
        <v>133</v>
      </c>
      <c r="D285" s="1381">
        <v>2</v>
      </c>
      <c r="E285" s="1399">
        <f>+'PTAP TIJERETAS'!E240</f>
        <v>181260</v>
      </c>
      <c r="F285" s="644">
        <f t="shared" si="13"/>
        <v>362520</v>
      </c>
      <c r="H285"/>
    </row>
    <row r="286" spans="1:8" ht="18">
      <c r="A286" s="663"/>
      <c r="B286" s="1380" t="s">
        <v>4917</v>
      </c>
      <c r="C286" s="1390" t="s">
        <v>133</v>
      </c>
      <c r="D286" s="1381">
        <v>10</v>
      </c>
      <c r="E286" s="1399">
        <f>+'PTAP TIJERETAS'!E241</f>
        <v>10299</v>
      </c>
      <c r="F286" s="644">
        <f t="shared" si="13"/>
        <v>102990</v>
      </c>
      <c r="H286"/>
    </row>
    <row r="287" spans="1:8" ht="18">
      <c r="A287" s="663"/>
      <c r="C287" s="1390" t="s">
        <v>133</v>
      </c>
      <c r="D287" s="1381"/>
      <c r="E287" s="1399" t="e">
        <f>+'PTAP TIJERETAS'!#REF!</f>
        <v>#REF!</v>
      </c>
      <c r="F287" s="644" t="e">
        <f t="shared" si="13"/>
        <v>#REF!</v>
      </c>
      <c r="H287"/>
    </row>
    <row r="288" spans="1:8" ht="18">
      <c r="A288" s="663"/>
      <c r="B288" s="492" t="s">
        <v>4972</v>
      </c>
      <c r="C288" s="1390" t="s">
        <v>133</v>
      </c>
      <c r="D288" s="1381"/>
      <c r="E288" s="1399">
        <f>+'PTAP TIJERETAS'!E242</f>
        <v>230695</v>
      </c>
      <c r="F288" s="644">
        <f t="shared" si="13"/>
        <v>0</v>
      </c>
      <c r="H288"/>
    </row>
    <row r="289" spans="1:8" ht="18">
      <c r="A289" s="663"/>
      <c r="B289" s="492" t="s">
        <v>4971</v>
      </c>
      <c r="C289" s="1390" t="s">
        <v>133</v>
      </c>
      <c r="D289" s="1381"/>
      <c r="E289" s="1399">
        <f>+'PTAP TIJERETAS'!E243</f>
        <v>199112</v>
      </c>
      <c r="F289" s="644">
        <f t="shared" si="13"/>
        <v>0</v>
      </c>
      <c r="H289"/>
    </row>
    <row r="290" spans="1:8" ht="18">
      <c r="A290" s="663"/>
      <c r="B290" s="1380" t="s">
        <v>4918</v>
      </c>
      <c r="C290" s="1390" t="s">
        <v>133</v>
      </c>
      <c r="D290" s="1381"/>
      <c r="E290" s="1399" t="e">
        <f>+'PTAP TIJERETAS'!#REF!</f>
        <v>#REF!</v>
      </c>
      <c r="F290" s="644" t="e">
        <f t="shared" si="13"/>
        <v>#REF!</v>
      </c>
      <c r="H290"/>
    </row>
    <row r="291" spans="1:8" ht="18">
      <c r="A291" s="997">
        <v>7</v>
      </c>
      <c r="B291" s="1029" t="s">
        <v>4893</v>
      </c>
      <c r="C291" s="1030"/>
      <c r="D291" s="1030"/>
      <c r="E291" s="1030"/>
      <c r="F291" s="1031" t="e">
        <f>+ROUND(SUM(F292:F310),0)</f>
        <v>#REF!</v>
      </c>
      <c r="H291"/>
    </row>
    <row r="292" spans="1:8" ht="72">
      <c r="A292" s="650">
        <v>7.1</v>
      </c>
      <c r="B292" s="664" t="s">
        <v>1399</v>
      </c>
      <c r="C292" s="650" t="s">
        <v>363</v>
      </c>
      <c r="D292" s="650">
        <v>1</v>
      </c>
      <c r="E292" s="661" t="e">
        <f>+'PTAP TIJERETAS'!#REF!</f>
        <v>#REF!</v>
      </c>
      <c r="F292" s="661" t="e">
        <f t="shared" ref="F292:F310" si="14">+ROUND(D292*E292,0)</f>
        <v>#REF!</v>
      </c>
      <c r="H292"/>
    </row>
    <row r="293" spans="1:8" ht="36">
      <c r="A293" s="650">
        <v>7.2</v>
      </c>
      <c r="B293" s="664" t="s">
        <v>1400</v>
      </c>
      <c r="C293" s="650" t="s">
        <v>363</v>
      </c>
      <c r="D293" s="650">
        <v>9</v>
      </c>
      <c r="E293" s="661" t="e">
        <f>+'PTAP TIJERETAS'!#REF!</f>
        <v>#REF!</v>
      </c>
      <c r="F293" s="661" t="e">
        <f t="shared" si="14"/>
        <v>#REF!</v>
      </c>
      <c r="H293"/>
    </row>
    <row r="294" spans="1:8" ht="36">
      <c r="A294" s="650">
        <v>7.3</v>
      </c>
      <c r="B294" s="664" t="s">
        <v>1401</v>
      </c>
      <c r="C294" s="650" t="s">
        <v>363</v>
      </c>
      <c r="D294" s="650">
        <v>6</v>
      </c>
      <c r="E294" s="661" t="e">
        <f>+'PTAP TIJERETAS'!#REF!</f>
        <v>#REF!</v>
      </c>
      <c r="F294" s="661" t="e">
        <f t="shared" si="14"/>
        <v>#REF!</v>
      </c>
      <c r="H294"/>
    </row>
    <row r="295" spans="1:8" ht="18">
      <c r="A295" s="650">
        <v>7.4</v>
      </c>
      <c r="B295" s="664" t="s">
        <v>1402</v>
      </c>
      <c r="C295" s="650" t="s">
        <v>94</v>
      </c>
      <c r="D295" s="650">
        <v>900</v>
      </c>
      <c r="E295" s="661" t="e">
        <f>+'PTAP TIJERETAS'!#REF!</f>
        <v>#REF!</v>
      </c>
      <c r="F295" s="661" t="e">
        <f t="shared" si="14"/>
        <v>#REF!</v>
      </c>
      <c r="H295"/>
    </row>
    <row r="296" spans="1:8" ht="18">
      <c r="A296" s="650">
        <v>7.5</v>
      </c>
      <c r="B296" s="664" t="s">
        <v>1403</v>
      </c>
      <c r="C296" s="650" t="s">
        <v>363</v>
      </c>
      <c r="D296" s="650">
        <v>12</v>
      </c>
      <c r="E296" s="661" t="e">
        <f>+'PTAP TIJERETAS'!#REF!</f>
        <v>#REF!</v>
      </c>
      <c r="F296" s="661" t="e">
        <f t="shared" si="14"/>
        <v>#REF!</v>
      </c>
      <c r="H296"/>
    </row>
    <row r="297" spans="1:8" ht="18">
      <c r="A297" s="650">
        <v>7.6</v>
      </c>
      <c r="B297" s="664" t="s">
        <v>1404</v>
      </c>
      <c r="C297" s="650" t="s">
        <v>363</v>
      </c>
      <c r="D297" s="650">
        <v>6</v>
      </c>
      <c r="E297" s="661" t="e">
        <f>+'PTAP TIJERETAS'!#REF!</f>
        <v>#REF!</v>
      </c>
      <c r="F297" s="661" t="e">
        <f t="shared" si="14"/>
        <v>#REF!</v>
      </c>
      <c r="H297"/>
    </row>
    <row r="298" spans="1:8" ht="18">
      <c r="A298" s="650">
        <v>7.7</v>
      </c>
      <c r="B298" s="664" t="s">
        <v>1405</v>
      </c>
      <c r="C298" s="650" t="s">
        <v>363</v>
      </c>
      <c r="D298" s="650">
        <v>1</v>
      </c>
      <c r="E298" s="661" t="e">
        <f>+'PTAP TIJERETAS'!#REF!</f>
        <v>#REF!</v>
      </c>
      <c r="F298" s="661" t="e">
        <f t="shared" si="14"/>
        <v>#REF!</v>
      </c>
      <c r="H298"/>
    </row>
    <row r="299" spans="1:8" ht="36">
      <c r="A299" s="650">
        <v>7.8</v>
      </c>
      <c r="B299" s="664" t="s">
        <v>1406</v>
      </c>
      <c r="C299" s="650" t="s">
        <v>363</v>
      </c>
      <c r="D299" s="650">
        <v>1</v>
      </c>
      <c r="E299" s="661" t="e">
        <f>+'PTAP TIJERETAS'!#REF!</f>
        <v>#REF!</v>
      </c>
      <c r="F299" s="661" t="e">
        <f t="shared" si="14"/>
        <v>#REF!</v>
      </c>
      <c r="H299"/>
    </row>
    <row r="300" spans="1:8" ht="72">
      <c r="A300" s="650">
        <v>7.9</v>
      </c>
      <c r="B300" s="664" t="s">
        <v>1407</v>
      </c>
      <c r="C300" s="650" t="s">
        <v>94</v>
      </c>
      <c r="D300" s="650">
        <v>20</v>
      </c>
      <c r="E300" s="661" t="e">
        <f>+'PTAP TIJERETAS'!#REF!</f>
        <v>#REF!</v>
      </c>
      <c r="F300" s="661" t="e">
        <f t="shared" si="14"/>
        <v>#REF!</v>
      </c>
      <c r="H300"/>
    </row>
    <row r="301" spans="1:8" ht="36">
      <c r="A301" s="665">
        <v>7.1</v>
      </c>
      <c r="B301" s="664" t="s">
        <v>1408</v>
      </c>
      <c r="C301" s="650" t="s">
        <v>94</v>
      </c>
      <c r="D301" s="650">
        <v>10</v>
      </c>
      <c r="E301" s="661" t="e">
        <f>+'PTAP TIJERETAS'!#REF!</f>
        <v>#REF!</v>
      </c>
      <c r="F301" s="661" t="e">
        <f t="shared" si="14"/>
        <v>#REF!</v>
      </c>
      <c r="H301"/>
    </row>
    <row r="302" spans="1:8" ht="18">
      <c r="A302" s="650">
        <v>7.11</v>
      </c>
      <c r="B302" s="664" t="s">
        <v>1409</v>
      </c>
      <c r="C302" s="650" t="s">
        <v>363</v>
      </c>
      <c r="D302" s="650">
        <v>1</v>
      </c>
      <c r="E302" s="661" t="e">
        <f>+'PTAP TIJERETAS'!#REF!</f>
        <v>#REF!</v>
      </c>
      <c r="F302" s="661" t="e">
        <f t="shared" si="14"/>
        <v>#REF!</v>
      </c>
      <c r="H302"/>
    </row>
    <row r="303" spans="1:8" ht="36">
      <c r="A303" s="650">
        <v>7.12</v>
      </c>
      <c r="B303" s="664" t="s">
        <v>1410</v>
      </c>
      <c r="C303" s="650" t="s">
        <v>363</v>
      </c>
      <c r="D303" s="650">
        <v>1</v>
      </c>
      <c r="E303" s="661" t="e">
        <f>+'PTAP TIJERETAS'!#REF!</f>
        <v>#REF!</v>
      </c>
      <c r="F303" s="661" t="e">
        <f t="shared" si="14"/>
        <v>#REF!</v>
      </c>
      <c r="H303"/>
    </row>
    <row r="304" spans="1:8" ht="18">
      <c r="A304" s="650">
        <v>7.13</v>
      </c>
      <c r="B304" s="664" t="s">
        <v>1411</v>
      </c>
      <c r="C304" s="650" t="s">
        <v>363</v>
      </c>
      <c r="D304" s="650">
        <v>1</v>
      </c>
      <c r="E304" s="661" t="e">
        <f>+'PTAP TIJERETAS'!#REF!</f>
        <v>#REF!</v>
      </c>
      <c r="F304" s="661" t="e">
        <f t="shared" si="14"/>
        <v>#REF!</v>
      </c>
      <c r="H304"/>
    </row>
    <row r="305" spans="1:16" ht="54">
      <c r="A305" s="650">
        <v>7.14</v>
      </c>
      <c r="B305" s="664" t="s">
        <v>1412</v>
      </c>
      <c r="C305" s="650" t="s">
        <v>363</v>
      </c>
      <c r="D305" s="650">
        <v>9</v>
      </c>
      <c r="E305" s="661" t="e">
        <f>+'PTAP TIJERETAS'!#REF!</f>
        <v>#REF!</v>
      </c>
      <c r="F305" s="661" t="e">
        <f t="shared" si="14"/>
        <v>#REF!</v>
      </c>
      <c r="H305"/>
    </row>
    <row r="306" spans="1:16" ht="18">
      <c r="A306" s="650">
        <v>7.15</v>
      </c>
      <c r="B306" s="664" t="s">
        <v>1413</v>
      </c>
      <c r="C306" s="650" t="s">
        <v>363</v>
      </c>
      <c r="D306" s="650">
        <v>10</v>
      </c>
      <c r="E306" s="661" t="e">
        <f>+'PTAP TIJERETAS'!#REF!</f>
        <v>#REF!</v>
      </c>
      <c r="F306" s="661" t="e">
        <f t="shared" si="14"/>
        <v>#REF!</v>
      </c>
      <c r="H306"/>
    </row>
    <row r="307" spans="1:16" ht="54">
      <c r="A307" s="650">
        <v>7.16</v>
      </c>
      <c r="B307" s="664" t="s">
        <v>1414</v>
      </c>
      <c r="C307" s="650" t="s">
        <v>363</v>
      </c>
      <c r="D307" s="650">
        <v>1</v>
      </c>
      <c r="E307" s="661" t="e">
        <f>+'PTAP TIJERETAS'!#REF!</f>
        <v>#REF!</v>
      </c>
      <c r="F307" s="661" t="e">
        <f t="shared" si="14"/>
        <v>#REF!</v>
      </c>
      <c r="H307"/>
    </row>
    <row r="308" spans="1:16" ht="18">
      <c r="A308" s="650">
        <v>7.17</v>
      </c>
      <c r="B308" s="664" t="s">
        <v>1415</v>
      </c>
      <c r="C308" s="650" t="s">
        <v>363</v>
      </c>
      <c r="D308" s="650">
        <v>2</v>
      </c>
      <c r="E308" s="661" t="e">
        <f>+'PTAP TIJERETAS'!#REF!</f>
        <v>#REF!</v>
      </c>
      <c r="F308" s="661" t="e">
        <f t="shared" si="14"/>
        <v>#REF!</v>
      </c>
      <c r="H308"/>
    </row>
    <row r="309" spans="1:16" ht="36">
      <c r="A309" s="650">
        <v>7.18</v>
      </c>
      <c r="B309" s="651" t="s">
        <v>1416</v>
      </c>
      <c r="C309" s="650" t="s">
        <v>94</v>
      </c>
      <c r="D309" s="650">
        <v>120</v>
      </c>
      <c r="E309" s="661" t="e">
        <f>+'PTAP TIJERETAS'!#REF!</f>
        <v>#REF!</v>
      </c>
      <c r="F309" s="661" t="e">
        <f t="shared" si="14"/>
        <v>#REF!</v>
      </c>
      <c r="H309"/>
    </row>
    <row r="310" spans="1:16" ht="36">
      <c r="A310" s="650">
        <v>7.19</v>
      </c>
      <c r="B310" s="651" t="s">
        <v>1417</v>
      </c>
      <c r="C310" s="650" t="s">
        <v>363</v>
      </c>
      <c r="D310" s="650">
        <v>1</v>
      </c>
      <c r="E310" s="661" t="e">
        <f>+'PTAP TIJERETAS'!#REF!</f>
        <v>#REF!</v>
      </c>
      <c r="F310" s="661" t="e">
        <f t="shared" si="14"/>
        <v>#REF!</v>
      </c>
      <c r="H310"/>
    </row>
    <row r="311" spans="1:16" ht="19.2">
      <c r="A311" s="655"/>
      <c r="B311" s="656"/>
      <c r="C311" s="657"/>
      <c r="D311" s="658"/>
      <c r="E311" s="659"/>
      <c r="F311" s="660"/>
      <c r="H311"/>
    </row>
    <row r="312" spans="1:16" ht="22.5" customHeight="1" thickBot="1">
      <c r="A312" s="3846" t="s">
        <v>5042</v>
      </c>
      <c r="B312" s="3846"/>
      <c r="C312" s="3846"/>
      <c r="D312" s="3846"/>
      <c r="E312" s="3847"/>
      <c r="F312" s="1019" t="e">
        <f>+F291+F219+F213+F208</f>
        <v>#REF!</v>
      </c>
      <c r="H312"/>
    </row>
    <row r="313" spans="1:16" s="3845" customFormat="1" ht="15" customHeight="1" thickBot="1">
      <c r="A313" s="3844"/>
      <c r="B313" s="3701"/>
      <c r="C313" s="3701"/>
      <c r="D313" s="3701"/>
      <c r="E313" s="3701"/>
      <c r="F313" s="3701"/>
      <c r="G313" s="3701"/>
      <c r="H313" s="3701"/>
      <c r="I313" s="3701"/>
      <c r="J313" s="3701"/>
      <c r="K313" s="3701"/>
      <c r="L313" s="3701"/>
      <c r="M313" s="3701"/>
      <c r="N313" s="3701"/>
      <c r="O313" s="3701"/>
      <c r="P313" s="3701"/>
    </row>
    <row r="314" spans="1:16" s="516" customFormat="1" ht="25.5" customHeight="1" thickBot="1">
      <c r="A314" s="3841" t="s">
        <v>1441</v>
      </c>
      <c r="B314" s="3842"/>
      <c r="C314" s="3842"/>
      <c r="D314" s="3842"/>
      <c r="E314" s="3842"/>
      <c r="F314" s="3843"/>
      <c r="G314" s="523"/>
      <c r="H314" s="1107"/>
      <c r="I314" s="523"/>
      <c r="J314" s="523"/>
    </row>
    <row r="315" spans="1:16">
      <c r="A315" s="3772" t="s">
        <v>1331</v>
      </c>
      <c r="B315" s="3772"/>
      <c r="C315" s="3772"/>
      <c r="D315" s="3772"/>
      <c r="E315" s="3772"/>
      <c r="F315" s="1149"/>
    </row>
    <row r="316" spans="1:16" ht="25.5" customHeight="1">
      <c r="A316" s="1056"/>
      <c r="B316" s="1057" t="s">
        <v>4346</v>
      </c>
      <c r="C316" s="1154"/>
      <c r="D316" s="1154"/>
      <c r="E316" s="1154"/>
      <c r="F316" s="1155" t="e">
        <f>+SUM(F317:F338)</f>
        <v>#REF!</v>
      </c>
    </row>
    <row r="317" spans="1:16" ht="66">
      <c r="A317" s="1079">
        <v>1</v>
      </c>
      <c r="B317" s="1090" t="s">
        <v>4345</v>
      </c>
      <c r="C317" s="1192" t="s">
        <v>150</v>
      </c>
      <c r="D317" s="1193">
        <v>1</v>
      </c>
      <c r="E317" s="1137" t="e">
        <f>+#REF!</f>
        <v>#REF!</v>
      </c>
      <c r="F317" s="1137" t="e">
        <f>+ROUND(E317*D317,0)</f>
        <v>#REF!</v>
      </c>
      <c r="G317" s="522"/>
    </row>
    <row r="318" spans="1:16" ht="115.5" customHeight="1">
      <c r="A318" s="1079">
        <v>2</v>
      </c>
      <c r="B318" s="1090" t="s">
        <v>1431</v>
      </c>
      <c r="C318" s="1192" t="s">
        <v>150</v>
      </c>
      <c r="D318" s="1193">
        <v>1</v>
      </c>
      <c r="E318" s="1137" t="e">
        <f>+#REF!</f>
        <v>#REF!</v>
      </c>
      <c r="F318" s="1137" t="e">
        <f t="shared" ref="F318:F338" si="15">+ROUND(E318*D318,0)</f>
        <v>#REF!</v>
      </c>
      <c r="G318" s="522"/>
    </row>
    <row r="319" spans="1:16" ht="26.4">
      <c r="A319" s="1079">
        <v>3</v>
      </c>
      <c r="B319" s="1090" t="s">
        <v>1335</v>
      </c>
      <c r="C319" s="1192" t="s">
        <v>150</v>
      </c>
      <c r="D319" s="1193">
        <v>6</v>
      </c>
      <c r="E319" s="1137" t="e">
        <f>+#REF!</f>
        <v>#REF!</v>
      </c>
      <c r="F319" s="1137" t="e">
        <f t="shared" si="15"/>
        <v>#REF!</v>
      </c>
      <c r="G319" s="522"/>
    </row>
    <row r="320" spans="1:16" ht="26.4">
      <c r="A320" s="1079">
        <v>4</v>
      </c>
      <c r="B320" s="1090" t="s">
        <v>1336</v>
      </c>
      <c r="C320" s="1192" t="s">
        <v>150</v>
      </c>
      <c r="D320" s="1193">
        <v>3</v>
      </c>
      <c r="E320" s="1137" t="e">
        <f>+#REF!</f>
        <v>#REF!</v>
      </c>
      <c r="F320" s="1137" t="e">
        <f t="shared" si="15"/>
        <v>#REF!</v>
      </c>
      <c r="G320" s="522"/>
    </row>
    <row r="321" spans="1:13" ht="78.75" customHeight="1">
      <c r="A321" s="1079">
        <v>5</v>
      </c>
      <c r="B321" s="1090" t="s">
        <v>1432</v>
      </c>
      <c r="C321" s="1192" t="s">
        <v>94</v>
      </c>
      <c r="D321" s="1193">
        <v>60</v>
      </c>
      <c r="E321" s="1137" t="e">
        <f>+#REF!</f>
        <v>#REF!</v>
      </c>
      <c r="F321" s="1137" t="e">
        <f t="shared" si="15"/>
        <v>#REF!</v>
      </c>
      <c r="G321" s="522"/>
    </row>
    <row r="322" spans="1:13" ht="52.8">
      <c r="A322" s="1079">
        <v>6</v>
      </c>
      <c r="B322" s="1090" t="s">
        <v>1433</v>
      </c>
      <c r="C322" s="1192" t="s">
        <v>150</v>
      </c>
      <c r="D322" s="1193">
        <v>1</v>
      </c>
      <c r="E322" s="1137" t="e">
        <f>+#REF!</f>
        <v>#REF!</v>
      </c>
      <c r="F322" s="1137" t="e">
        <f t="shared" si="15"/>
        <v>#REF!</v>
      </c>
      <c r="G322" s="522"/>
    </row>
    <row r="323" spans="1:13" ht="105.6">
      <c r="A323" s="1079">
        <v>7</v>
      </c>
      <c r="B323" s="1090" t="s">
        <v>1434</v>
      </c>
      <c r="C323" s="1192" t="s">
        <v>94</v>
      </c>
      <c r="D323" s="1193">
        <v>30</v>
      </c>
      <c r="E323" s="1137" t="e">
        <f>+#REF!</f>
        <v>#REF!</v>
      </c>
      <c r="F323" s="1137" t="e">
        <f t="shared" si="15"/>
        <v>#REF!</v>
      </c>
      <c r="G323" s="522"/>
    </row>
    <row r="324" spans="1:13" ht="145.19999999999999">
      <c r="A324" s="1079">
        <v>8</v>
      </c>
      <c r="B324" s="1090" t="s">
        <v>1435</v>
      </c>
      <c r="C324" s="1192" t="s">
        <v>150</v>
      </c>
      <c r="D324" s="1193">
        <v>1</v>
      </c>
      <c r="E324" s="1137" t="e">
        <f>+#REF!</f>
        <v>#REF!</v>
      </c>
      <c r="F324" s="1137" t="e">
        <f t="shared" si="15"/>
        <v>#REF!</v>
      </c>
      <c r="G324" s="522"/>
    </row>
    <row r="325" spans="1:13" ht="66">
      <c r="A325" s="1079">
        <v>9</v>
      </c>
      <c r="B325" s="1090" t="s">
        <v>1436</v>
      </c>
      <c r="C325" s="1192" t="s">
        <v>150</v>
      </c>
      <c r="D325" s="1193">
        <v>1</v>
      </c>
      <c r="E325" s="1137" t="e">
        <f>+#REF!</f>
        <v>#REF!</v>
      </c>
      <c r="F325" s="1137" t="e">
        <f t="shared" si="15"/>
        <v>#REF!</v>
      </c>
      <c r="G325" s="522"/>
    </row>
    <row r="326" spans="1:13" ht="113.25" customHeight="1">
      <c r="A326" s="1079">
        <v>10</v>
      </c>
      <c r="B326" s="1254" t="s">
        <v>1437</v>
      </c>
      <c r="C326" s="1192" t="s">
        <v>150</v>
      </c>
      <c r="D326" s="1193">
        <v>2</v>
      </c>
      <c r="E326" s="1137" t="e">
        <f>+#REF!</f>
        <v>#REF!</v>
      </c>
      <c r="F326" s="1137" t="e">
        <f t="shared" si="15"/>
        <v>#REF!</v>
      </c>
      <c r="G326" s="522"/>
      <c r="H326" s="3742" t="s">
        <v>1341</v>
      </c>
      <c r="I326" s="3743"/>
      <c r="J326" s="1192" t="s">
        <v>150</v>
      </c>
      <c r="K326" s="1193">
        <v>2</v>
      </c>
      <c r="L326" s="1137">
        <f>+'CAPTACION RIO SINÚ'!L314</f>
        <v>0</v>
      </c>
      <c r="M326" s="1136">
        <f t="shared" ref="M326" si="16">ROUND(+L326*K326,0)</f>
        <v>0</v>
      </c>
    </row>
    <row r="327" spans="1:13" ht="79.2">
      <c r="A327" s="1079">
        <v>11</v>
      </c>
      <c r="B327" s="1090" t="s">
        <v>1438</v>
      </c>
      <c r="C327" s="1192" t="s">
        <v>150</v>
      </c>
      <c r="D327" s="1193">
        <v>2</v>
      </c>
      <c r="E327" s="1137" t="e">
        <f>+#REF!</f>
        <v>#REF!</v>
      </c>
      <c r="F327" s="1137" t="e">
        <f t="shared" si="15"/>
        <v>#REF!</v>
      </c>
      <c r="G327" s="522"/>
    </row>
    <row r="328" spans="1:13" ht="66">
      <c r="A328" s="1079">
        <v>12</v>
      </c>
      <c r="B328" s="1090" t="s">
        <v>1344</v>
      </c>
      <c r="C328" s="1192" t="s">
        <v>150</v>
      </c>
      <c r="D328" s="1193">
        <v>2</v>
      </c>
      <c r="E328" s="1137" t="e">
        <f>+#REF!</f>
        <v>#REF!</v>
      </c>
      <c r="F328" s="1137" t="e">
        <f t="shared" si="15"/>
        <v>#REF!</v>
      </c>
      <c r="G328" s="522"/>
    </row>
    <row r="329" spans="1:13" ht="66">
      <c r="A329" s="1079">
        <v>13</v>
      </c>
      <c r="B329" s="1090" t="s">
        <v>1345</v>
      </c>
      <c r="C329" s="1192" t="s">
        <v>150</v>
      </c>
      <c r="D329" s="1193">
        <v>1</v>
      </c>
      <c r="E329" s="1137" t="e">
        <f>+#REF!</f>
        <v>#REF!</v>
      </c>
      <c r="F329" s="1137" t="e">
        <f t="shared" si="15"/>
        <v>#REF!</v>
      </c>
      <c r="G329" s="522"/>
    </row>
    <row r="330" spans="1:13" ht="52.8">
      <c r="A330" s="1079">
        <v>14</v>
      </c>
      <c r="B330" s="1090" t="s">
        <v>1346</v>
      </c>
      <c r="C330" s="1192" t="s">
        <v>150</v>
      </c>
      <c r="D330" s="1193">
        <v>1</v>
      </c>
      <c r="E330" s="1137" t="e">
        <f>+#REF!</f>
        <v>#REF!</v>
      </c>
      <c r="F330" s="1137" t="e">
        <f t="shared" si="15"/>
        <v>#REF!</v>
      </c>
      <c r="G330" s="522"/>
    </row>
    <row r="331" spans="1:13" ht="39.6">
      <c r="A331" s="1079">
        <v>15</v>
      </c>
      <c r="B331" s="1090" t="s">
        <v>1347</v>
      </c>
      <c r="C331" s="1192" t="s">
        <v>150</v>
      </c>
      <c r="D331" s="1193">
        <v>1</v>
      </c>
      <c r="E331" s="1137" t="e">
        <f>+#REF!</f>
        <v>#REF!</v>
      </c>
      <c r="F331" s="1137" t="e">
        <f t="shared" si="15"/>
        <v>#REF!</v>
      </c>
      <c r="G331" s="522"/>
    </row>
    <row r="332" spans="1:13" ht="26.4">
      <c r="A332" s="1079">
        <v>16</v>
      </c>
      <c r="B332" s="1090" t="s">
        <v>1439</v>
      </c>
      <c r="C332" s="1192" t="s">
        <v>150</v>
      </c>
      <c r="D332" s="1193">
        <v>2</v>
      </c>
      <c r="E332" s="1137" t="e">
        <f>+#REF!</f>
        <v>#REF!</v>
      </c>
      <c r="F332" s="1137" t="e">
        <f t="shared" si="15"/>
        <v>#REF!</v>
      </c>
      <c r="G332" s="522"/>
    </row>
    <row r="333" spans="1:13" ht="26.4">
      <c r="A333" s="1079">
        <v>17</v>
      </c>
      <c r="B333" s="1090" t="s">
        <v>1440</v>
      </c>
      <c r="C333" s="1192" t="s">
        <v>150</v>
      </c>
      <c r="D333" s="1193">
        <v>2</v>
      </c>
      <c r="E333" s="1137" t="e">
        <f>+#REF!</f>
        <v>#REF!</v>
      </c>
      <c r="F333" s="1137" t="e">
        <f t="shared" si="15"/>
        <v>#REF!</v>
      </c>
      <c r="G333" s="522"/>
    </row>
    <row r="334" spans="1:13" ht="39.6">
      <c r="A334" s="1079">
        <v>18</v>
      </c>
      <c r="B334" s="1090" t="s">
        <v>1350</v>
      </c>
      <c r="C334" s="1192" t="s">
        <v>150</v>
      </c>
      <c r="D334" s="1193">
        <v>1</v>
      </c>
      <c r="E334" s="1137" t="e">
        <f>+#REF!</f>
        <v>#REF!</v>
      </c>
      <c r="F334" s="1137" t="e">
        <f t="shared" si="15"/>
        <v>#REF!</v>
      </c>
      <c r="G334" s="522"/>
    </row>
    <row r="335" spans="1:13" ht="26.4">
      <c r="A335" s="1079">
        <v>19</v>
      </c>
      <c r="B335" s="1090" t="s">
        <v>1351</v>
      </c>
      <c r="C335" s="1192" t="s">
        <v>150</v>
      </c>
      <c r="D335" s="1193">
        <v>2</v>
      </c>
      <c r="E335" s="1137" t="e">
        <f>+#REF!</f>
        <v>#REF!</v>
      </c>
      <c r="F335" s="1137" t="e">
        <f t="shared" si="15"/>
        <v>#REF!</v>
      </c>
      <c r="G335" s="522"/>
    </row>
    <row r="336" spans="1:13" ht="105.6">
      <c r="A336" s="1079">
        <v>20</v>
      </c>
      <c r="B336" s="1090" t="s">
        <v>1352</v>
      </c>
      <c r="C336" s="1192" t="s">
        <v>150</v>
      </c>
      <c r="D336" s="1193">
        <v>1</v>
      </c>
      <c r="E336" s="1137" t="e">
        <f>+#REF!</f>
        <v>#REF!</v>
      </c>
      <c r="F336" s="1137" t="e">
        <f t="shared" si="15"/>
        <v>#REF!</v>
      </c>
      <c r="G336" s="522"/>
    </row>
    <row r="337" spans="1:9" ht="52.8">
      <c r="A337" s="1079">
        <v>21</v>
      </c>
      <c r="B337" s="1090" t="s">
        <v>1353</v>
      </c>
      <c r="C337" s="1192" t="s">
        <v>150</v>
      </c>
      <c r="D337" s="1193">
        <v>1</v>
      </c>
      <c r="E337" s="1137" t="e">
        <f>+#REF!</f>
        <v>#REF!</v>
      </c>
      <c r="F337" s="1137" t="e">
        <f t="shared" si="15"/>
        <v>#REF!</v>
      </c>
      <c r="G337" s="522"/>
    </row>
    <row r="338" spans="1:9" ht="132">
      <c r="A338" s="1079">
        <v>22</v>
      </c>
      <c r="B338" s="1090" t="s">
        <v>1354</v>
      </c>
      <c r="C338" s="1192" t="s">
        <v>150</v>
      </c>
      <c r="D338" s="1193">
        <v>1</v>
      </c>
      <c r="E338" s="1137" t="e">
        <f>+#REF!</f>
        <v>#REF!</v>
      </c>
      <c r="F338" s="1137" t="e">
        <f t="shared" si="15"/>
        <v>#REF!</v>
      </c>
      <c r="G338" s="522"/>
      <c r="I338" s="522"/>
    </row>
    <row r="339" spans="1:9" ht="25.5" customHeight="1">
      <c r="A339" s="1056"/>
      <c r="B339" s="1057" t="s">
        <v>1355</v>
      </c>
      <c r="C339" s="1154"/>
      <c r="D339" s="1154"/>
      <c r="E339" s="1154"/>
      <c r="F339" s="1155" t="e">
        <f>+SUM(F340:F352)</f>
        <v>#REF!</v>
      </c>
      <c r="G339" s="522"/>
      <c r="I339" s="522"/>
    </row>
    <row r="340" spans="1:9" ht="39.6">
      <c r="A340" s="1079">
        <v>23</v>
      </c>
      <c r="B340" s="1090" t="s">
        <v>1356</v>
      </c>
      <c r="C340" s="1192" t="s">
        <v>150</v>
      </c>
      <c r="D340" s="1193">
        <v>1</v>
      </c>
      <c r="E340" s="1137" t="e">
        <f>+#REF!</f>
        <v>#REF!</v>
      </c>
      <c r="F340" s="1137" t="e">
        <f>+ROUND(E340*D340,0)</f>
        <v>#REF!</v>
      </c>
      <c r="G340" s="522"/>
    </row>
    <row r="341" spans="1:9" ht="26.4">
      <c r="A341" s="1079">
        <v>24</v>
      </c>
      <c r="B341" s="1090" t="s">
        <v>1357</v>
      </c>
      <c r="C341" s="1192" t="s">
        <v>150</v>
      </c>
      <c r="D341" s="1193">
        <v>6</v>
      </c>
      <c r="E341" s="1137" t="e">
        <f>+#REF!</f>
        <v>#REF!</v>
      </c>
      <c r="F341" s="1137" t="e">
        <f t="shared" ref="F341:F352" si="17">+ROUND(E341*D341,0)</f>
        <v>#REF!</v>
      </c>
      <c r="G341" s="522"/>
    </row>
    <row r="342" spans="1:9" ht="26.4">
      <c r="A342" s="1079">
        <v>25</v>
      </c>
      <c r="B342" s="1090" t="s">
        <v>1358</v>
      </c>
      <c r="C342" s="1192" t="s">
        <v>150</v>
      </c>
      <c r="D342" s="1193">
        <v>6</v>
      </c>
      <c r="E342" s="1137" t="e">
        <f>+#REF!</f>
        <v>#REF!</v>
      </c>
      <c r="F342" s="1137" t="e">
        <f t="shared" si="17"/>
        <v>#REF!</v>
      </c>
      <c r="G342" s="522"/>
    </row>
    <row r="343" spans="1:9" ht="26.4">
      <c r="A343" s="1079">
        <v>26</v>
      </c>
      <c r="B343" s="1090" t="s">
        <v>1359</v>
      </c>
      <c r="C343" s="1192" t="s">
        <v>150</v>
      </c>
      <c r="D343" s="1193">
        <v>7</v>
      </c>
      <c r="E343" s="1137" t="e">
        <f>+#REF!</f>
        <v>#REF!</v>
      </c>
      <c r="F343" s="1137" t="e">
        <f t="shared" si="17"/>
        <v>#REF!</v>
      </c>
      <c r="G343" s="522"/>
    </row>
    <row r="344" spans="1:9" ht="39.6">
      <c r="A344" s="1079">
        <v>27</v>
      </c>
      <c r="B344" s="1090" t="s">
        <v>1360</v>
      </c>
      <c r="C344" s="1192" t="s">
        <v>94</v>
      </c>
      <c r="D344" s="1193">
        <v>180</v>
      </c>
      <c r="E344" s="1137" t="e">
        <f>+#REF!</f>
        <v>#REF!</v>
      </c>
      <c r="F344" s="1137" t="e">
        <f t="shared" si="17"/>
        <v>#REF!</v>
      </c>
      <c r="G344" s="522"/>
    </row>
    <row r="345" spans="1:9" ht="26.4">
      <c r="A345" s="1079">
        <v>28</v>
      </c>
      <c r="B345" s="1090" t="s">
        <v>1361</v>
      </c>
      <c r="C345" s="1192" t="s">
        <v>150</v>
      </c>
      <c r="D345" s="1193">
        <v>6</v>
      </c>
      <c r="E345" s="1137" t="e">
        <f>+#REF!</f>
        <v>#REF!</v>
      </c>
      <c r="F345" s="1137" t="e">
        <f t="shared" si="17"/>
        <v>#REF!</v>
      </c>
      <c r="G345" s="522"/>
    </row>
    <row r="346" spans="1:9" ht="39.6">
      <c r="A346" s="1079">
        <v>29</v>
      </c>
      <c r="B346" s="1090" t="s">
        <v>1362</v>
      </c>
      <c r="C346" s="1192" t="s">
        <v>150</v>
      </c>
      <c r="D346" s="1193">
        <v>2</v>
      </c>
      <c r="E346" s="1137" t="e">
        <f>+#REF!</f>
        <v>#REF!</v>
      </c>
      <c r="F346" s="1137" t="e">
        <f t="shared" si="17"/>
        <v>#REF!</v>
      </c>
      <c r="G346" s="522"/>
    </row>
    <row r="347" spans="1:9" ht="52.8">
      <c r="A347" s="1079">
        <v>30</v>
      </c>
      <c r="B347" s="1090" t="s">
        <v>1363</v>
      </c>
      <c r="C347" s="1192" t="s">
        <v>150</v>
      </c>
      <c r="D347" s="1193">
        <v>6</v>
      </c>
      <c r="E347" s="1137" t="e">
        <f>+#REF!</f>
        <v>#REF!</v>
      </c>
      <c r="F347" s="1137" t="e">
        <f t="shared" si="17"/>
        <v>#REF!</v>
      </c>
      <c r="G347" s="522"/>
    </row>
    <row r="348" spans="1:9" ht="52.8">
      <c r="A348" s="1079">
        <v>31</v>
      </c>
      <c r="B348" s="1090" t="s">
        <v>1364</v>
      </c>
      <c r="C348" s="1192" t="s">
        <v>150</v>
      </c>
      <c r="D348" s="1193">
        <v>3</v>
      </c>
      <c r="E348" s="1137" t="e">
        <f>+#REF!</f>
        <v>#REF!</v>
      </c>
      <c r="F348" s="1137" t="e">
        <f t="shared" si="17"/>
        <v>#REF!</v>
      </c>
      <c r="G348" s="522"/>
    </row>
    <row r="349" spans="1:9" ht="52.8">
      <c r="A349" s="1079">
        <v>32</v>
      </c>
      <c r="B349" s="1090" t="s">
        <v>1365</v>
      </c>
      <c r="C349" s="1192" t="s">
        <v>150</v>
      </c>
      <c r="D349" s="1193">
        <v>13</v>
      </c>
      <c r="E349" s="1137" t="e">
        <f>+#REF!</f>
        <v>#REF!</v>
      </c>
      <c r="F349" s="1137" t="e">
        <f t="shared" si="17"/>
        <v>#REF!</v>
      </c>
      <c r="G349" s="522"/>
    </row>
    <row r="350" spans="1:9" ht="52.8">
      <c r="A350" s="1079">
        <v>33</v>
      </c>
      <c r="B350" s="1090" t="s">
        <v>1366</v>
      </c>
      <c r="C350" s="1192" t="s">
        <v>150</v>
      </c>
      <c r="D350" s="1193">
        <v>5</v>
      </c>
      <c r="E350" s="1137" t="e">
        <f>+#REF!</f>
        <v>#REF!</v>
      </c>
      <c r="F350" s="1137" t="e">
        <f t="shared" si="17"/>
        <v>#REF!</v>
      </c>
      <c r="G350" s="522"/>
    </row>
    <row r="351" spans="1:9" ht="52.8">
      <c r="A351" s="1079">
        <v>34</v>
      </c>
      <c r="B351" s="1090" t="s">
        <v>1367</v>
      </c>
      <c r="C351" s="1192" t="s">
        <v>150</v>
      </c>
      <c r="D351" s="1193">
        <v>1</v>
      </c>
      <c r="E351" s="1137" t="e">
        <f>+#REF!</f>
        <v>#REF!</v>
      </c>
      <c r="F351" s="1137" t="e">
        <f t="shared" si="17"/>
        <v>#REF!</v>
      </c>
      <c r="G351" s="522"/>
    </row>
    <row r="352" spans="1:9" ht="53.4" thickBot="1">
      <c r="A352" s="1091">
        <v>35</v>
      </c>
      <c r="B352" s="1092" t="s">
        <v>1368</v>
      </c>
      <c r="C352" s="1206" t="s">
        <v>150</v>
      </c>
      <c r="D352" s="1207">
        <v>6</v>
      </c>
      <c r="E352" s="1156" t="e">
        <f>+#REF!</f>
        <v>#REF!</v>
      </c>
      <c r="F352" s="1156" t="e">
        <f t="shared" si="17"/>
        <v>#REF!</v>
      </c>
      <c r="G352" s="522"/>
    </row>
    <row r="353" spans="1:15" ht="24.75" customHeight="1" thickBot="1">
      <c r="A353" s="3730" t="s">
        <v>4311</v>
      </c>
      <c r="B353" s="3731"/>
      <c r="C353" s="3731"/>
      <c r="D353" s="3731"/>
      <c r="E353" s="3732"/>
      <c r="F353" s="1157" t="e">
        <f>+SUM(F340:F352,F317:F338)</f>
        <v>#REF!</v>
      </c>
    </row>
    <row r="354" spans="1:15" s="3702" customFormat="1" thickBot="1"/>
    <row r="355" spans="1:15" ht="23.25" customHeight="1" thickBot="1">
      <c r="A355" s="3739" t="s">
        <v>4255</v>
      </c>
      <c r="B355" s="3740"/>
      <c r="C355" s="3740"/>
      <c r="D355" s="3740"/>
      <c r="E355" s="3740"/>
      <c r="F355" s="3741"/>
    </row>
    <row r="356" spans="1:15" ht="16.5" customHeight="1">
      <c r="A356" s="1056"/>
      <c r="B356" s="3771" t="s">
        <v>1082</v>
      </c>
      <c r="C356" s="3771"/>
      <c r="D356" s="3771"/>
      <c r="E356" s="3771"/>
      <c r="F356" s="3771"/>
    </row>
    <row r="357" spans="1:15" ht="14.25" customHeight="1">
      <c r="A357" s="1083">
        <v>5.0999999999999996</v>
      </c>
      <c r="B357" s="1084" t="s">
        <v>1083</v>
      </c>
      <c r="C357" s="1198"/>
      <c r="D357" s="1199"/>
      <c r="E357" s="1142"/>
      <c r="F357" s="1142">
        <f>+F358</f>
        <v>19856368</v>
      </c>
    </row>
    <row r="358" spans="1:15">
      <c r="A358" s="1248" t="s">
        <v>1159</v>
      </c>
      <c r="B358" s="1249" t="s">
        <v>1086</v>
      </c>
      <c r="C358" s="1235" t="s">
        <v>1002</v>
      </c>
      <c r="D358" s="1236">
        <v>8428</v>
      </c>
      <c r="E358" s="1250">
        <f>+'LINEAS IMPULSIÓN-CONDUCCIÓN'!E81</f>
        <v>2356</v>
      </c>
      <c r="F358" s="1250">
        <f>+ROUND(E358*D358,0)</f>
        <v>19856368</v>
      </c>
      <c r="G358" s="522"/>
      <c r="I358" s="522"/>
    </row>
    <row r="359" spans="1:15" ht="14.25" customHeight="1">
      <c r="A359" s="1085">
        <v>5.2</v>
      </c>
      <c r="B359" s="1084" t="s">
        <v>1087</v>
      </c>
      <c r="C359" s="1208"/>
      <c r="D359" s="1209"/>
      <c r="E359" s="1158"/>
      <c r="F359" s="1142">
        <f>ROUND(+SUM(F360:F365),0)</f>
        <v>15943065</v>
      </c>
      <c r="G359" s="522"/>
      <c r="I359" s="522"/>
    </row>
    <row r="360" spans="1:15" ht="16.8">
      <c r="A360" s="514" t="s">
        <v>1159</v>
      </c>
      <c r="B360" s="518" t="s">
        <v>1088</v>
      </c>
      <c r="C360" s="1200" t="s">
        <v>356</v>
      </c>
      <c r="D360" s="270">
        <v>29.43</v>
      </c>
      <c r="E360" s="1143">
        <f>+'LINEAS IMPULSIÓN-CONDUCCIÓN'!E83</f>
        <v>51559</v>
      </c>
      <c r="F360" s="1143">
        <f t="shared" ref="F360:F365" si="18">+ROUND(E360*D360,0)</f>
        <v>1517381</v>
      </c>
      <c r="G360" s="522"/>
      <c r="I360" s="522"/>
    </row>
    <row r="361" spans="1:15" ht="16.8">
      <c r="A361" s="514" t="s">
        <v>1160</v>
      </c>
      <c r="B361" s="518" t="s">
        <v>1108</v>
      </c>
      <c r="C361" s="1200" t="s">
        <v>94</v>
      </c>
      <c r="D361" s="270">
        <v>376.56</v>
      </c>
      <c r="E361" s="1143">
        <f>+'LINEAS IMPULSIÓN-CONDUCCIÓN'!E84</f>
        <v>5176</v>
      </c>
      <c r="F361" s="1143">
        <f t="shared" si="18"/>
        <v>1949075</v>
      </c>
      <c r="G361" s="522"/>
      <c r="I361" s="522"/>
    </row>
    <row r="362" spans="1:15" ht="16.8">
      <c r="A362" s="514" t="s">
        <v>1161</v>
      </c>
      <c r="B362" s="518" t="s">
        <v>1089</v>
      </c>
      <c r="C362" s="1200" t="s">
        <v>94</v>
      </c>
      <c r="D362" s="1288">
        <v>50</v>
      </c>
      <c r="E362" s="1143">
        <f>+'LINEAS IMPULSIÓN-CONDUCCIÓN'!E85</f>
        <v>11371.692038071427</v>
      </c>
      <c r="F362" s="1143">
        <f t="shared" si="18"/>
        <v>568585</v>
      </c>
      <c r="G362" s="522"/>
      <c r="I362" s="522"/>
    </row>
    <row r="363" spans="1:15" ht="16.8">
      <c r="A363" s="514" t="s">
        <v>1162</v>
      </c>
      <c r="B363" s="518" t="s">
        <v>1090</v>
      </c>
      <c r="C363" s="1200" t="s">
        <v>94</v>
      </c>
      <c r="D363" s="259">
        <v>427</v>
      </c>
      <c r="E363" s="1143">
        <f>+'LINEAS IMPULSIÓN-CONDUCCIÓN'!E86</f>
        <v>9950.2305333125005</v>
      </c>
      <c r="F363" s="1143">
        <f t="shared" si="18"/>
        <v>4248748</v>
      </c>
      <c r="G363" s="522"/>
      <c r="I363" s="522"/>
    </row>
    <row r="364" spans="1:15" ht="16.8">
      <c r="A364" s="514" t="s">
        <v>1163</v>
      </c>
      <c r="B364" s="518" t="s">
        <v>1091</v>
      </c>
      <c r="C364" s="1200" t="s">
        <v>356</v>
      </c>
      <c r="D364" s="1288">
        <v>150</v>
      </c>
      <c r="E364" s="1143">
        <f>+'LINEAS IMPULSIÓN-CONDUCCIÓN'!E87</f>
        <v>50708.052078235298</v>
      </c>
      <c r="F364" s="1143">
        <f t="shared" si="18"/>
        <v>7606208</v>
      </c>
      <c r="G364" s="522"/>
      <c r="I364" s="522"/>
    </row>
    <row r="365" spans="1:15" ht="16.8">
      <c r="A365" s="514" t="s">
        <v>1164</v>
      </c>
      <c r="B365" s="518" t="s">
        <v>1129</v>
      </c>
      <c r="C365" s="1200" t="s">
        <v>356</v>
      </c>
      <c r="D365" s="259">
        <v>1</v>
      </c>
      <c r="E365" s="1143">
        <f>+'LINEAS IMPULSIÓN-CONDUCCIÓN'!E88</f>
        <v>53068</v>
      </c>
      <c r="F365" s="1143">
        <f t="shared" si="18"/>
        <v>53068</v>
      </c>
      <c r="G365" s="522"/>
      <c r="I365" s="522"/>
    </row>
    <row r="366" spans="1:15">
      <c r="A366" s="1085">
        <v>5.3</v>
      </c>
      <c r="B366" s="1084" t="s">
        <v>1104</v>
      </c>
      <c r="C366" s="1208"/>
      <c r="D366" s="1209"/>
      <c r="E366" s="1158">
        <f>+'LINEAS IMPULSIÓN-CONDUCCIÓN'!E89</f>
        <v>0</v>
      </c>
      <c r="F366" s="1142" t="e">
        <f>+ROUND(SUM(F367:F375),0)</f>
        <v>#REF!</v>
      </c>
      <c r="G366" s="522"/>
      <c r="I366" s="522"/>
    </row>
    <row r="367" spans="1:15" s="247" customFormat="1" ht="33.6">
      <c r="A367" s="257" t="s">
        <v>1165</v>
      </c>
      <c r="B367" s="258" t="s">
        <v>1093</v>
      </c>
      <c r="C367" s="471" t="s">
        <v>1084</v>
      </c>
      <c r="D367" s="259">
        <v>5827.4563200000002</v>
      </c>
      <c r="E367" s="1143">
        <f>+'LINEAS IMPULSIÓN-CONDUCCIÓN'!E90</f>
        <v>10000</v>
      </c>
      <c r="F367" s="260">
        <f>+ROUND(E367*D367,0)</f>
        <v>58274563</v>
      </c>
      <c r="G367" s="261"/>
      <c r="H367" s="262"/>
      <c r="I367" s="262"/>
    </row>
    <row r="368" spans="1:15" s="247" customFormat="1" ht="33.6">
      <c r="A368" s="1392" t="s">
        <v>1166</v>
      </c>
      <c r="B368" s="263" t="s">
        <v>1094</v>
      </c>
      <c r="C368" s="471" t="s">
        <v>1084</v>
      </c>
      <c r="D368" s="259">
        <v>2865.1660239999997</v>
      </c>
      <c r="E368" s="1143" t="e">
        <f>+'LINEAS IMPULSIÓN-CONDUCCIÓN'!#REF!</f>
        <v>#REF!</v>
      </c>
      <c r="F368" s="260" t="e">
        <f t="shared" ref="F368:F375" si="19">+ROUND(E368*D368,0)</f>
        <v>#REF!</v>
      </c>
      <c r="G368" s="255"/>
      <c r="H368" s="348"/>
      <c r="I368" s="262"/>
      <c r="J368" s="1391"/>
      <c r="L368" s="1391"/>
      <c r="M368" s="1391"/>
      <c r="N368" s="1391"/>
      <c r="O368" s="261"/>
    </row>
    <row r="369" spans="1:17" s="247" customFormat="1" ht="33.75" customHeight="1">
      <c r="A369" s="257" t="s">
        <v>1167</v>
      </c>
      <c r="B369" s="263" t="s">
        <v>4349</v>
      </c>
      <c r="C369" s="471" t="s">
        <v>1084</v>
      </c>
      <c r="D369" s="259">
        <v>971.24272000000008</v>
      </c>
      <c r="E369" s="1143">
        <f>+'LINEAS IMPULSIÓN-CONDUCCIÓN'!E91</f>
        <v>23473.224058666663</v>
      </c>
      <c r="F369" s="260">
        <f>ROUND(+E369*D369,0)</f>
        <v>22798198</v>
      </c>
      <c r="G369" s="255"/>
      <c r="H369" s="348"/>
      <c r="I369" s="262"/>
      <c r="J369" s="1391"/>
      <c r="L369" s="1391"/>
      <c r="M369" s="1391"/>
      <c r="N369" s="1391"/>
      <c r="O369" s="261"/>
    </row>
    <row r="370" spans="1:17" s="247" customFormat="1" ht="50.4">
      <c r="A370" s="1392" t="s">
        <v>1168</v>
      </c>
      <c r="B370" s="263" t="s">
        <v>1095</v>
      </c>
      <c r="C370" s="248" t="s">
        <v>1084</v>
      </c>
      <c r="D370" s="259">
        <v>48.562136000000002</v>
      </c>
      <c r="E370" s="1143">
        <f>+'LINEAS IMPULSIÓN-CONDUCCIÓN'!E92</f>
        <v>75938.251377333334</v>
      </c>
      <c r="F370" s="260">
        <f t="shared" si="19"/>
        <v>3687724</v>
      </c>
      <c r="G370" s="267"/>
      <c r="H370" s="262"/>
      <c r="I370" s="262"/>
      <c r="J370" s="268"/>
      <c r="L370" s="255"/>
      <c r="M370" s="255"/>
      <c r="N370" s="255"/>
      <c r="O370" s="255"/>
      <c r="P370" s="255"/>
      <c r="Q370" s="255"/>
    </row>
    <row r="371" spans="1:17" s="247" customFormat="1" ht="33.6">
      <c r="A371" s="257" t="s">
        <v>1169</v>
      </c>
      <c r="B371" s="349" t="s">
        <v>1101</v>
      </c>
      <c r="C371" s="248" t="s">
        <v>1084</v>
      </c>
      <c r="D371" s="266">
        <v>3884.9708800000003</v>
      </c>
      <c r="E371" s="1143">
        <f>+'LINEAS IMPULSIÓN-CONDUCCIÓN'!E93</f>
        <v>1826.1904761904761</v>
      </c>
      <c r="F371" s="260">
        <f t="shared" si="19"/>
        <v>7094697</v>
      </c>
      <c r="G371" s="267"/>
      <c r="H371" s="262"/>
      <c r="I371" s="262"/>
      <c r="J371" s="268"/>
      <c r="L371" s="255"/>
      <c r="M371" s="255"/>
      <c r="N371" s="255"/>
      <c r="O371" s="255"/>
      <c r="P371" s="255"/>
      <c r="Q371" s="255"/>
    </row>
    <row r="372" spans="1:17" s="247" customFormat="1" ht="50.4">
      <c r="A372" s="1392" t="s">
        <v>1170</v>
      </c>
      <c r="B372" s="263" t="s">
        <v>1103</v>
      </c>
      <c r="C372" s="248" t="s">
        <v>1085</v>
      </c>
      <c r="D372" s="266">
        <v>3696.3708800000004</v>
      </c>
      <c r="E372" s="1143">
        <f>+'LINEAS IMPULSIÓN-CONDUCCIÓN'!E94</f>
        <v>87012</v>
      </c>
      <c r="F372" s="260">
        <f t="shared" si="19"/>
        <v>321628623</v>
      </c>
      <c r="G372" s="267"/>
      <c r="H372" s="1391"/>
      <c r="I372" s="255"/>
      <c r="J372" s="268"/>
      <c r="K372" s="255"/>
      <c r="L372" s="255"/>
      <c r="M372" s="255"/>
      <c r="N372" s="255"/>
      <c r="O372" s="255"/>
      <c r="P372" s="255"/>
      <c r="Q372" s="255"/>
    </row>
    <row r="373" spans="1:17" s="247" customFormat="1" ht="42" customHeight="1">
      <c r="A373" s="257" t="s">
        <v>1295</v>
      </c>
      <c r="B373" s="263" t="s">
        <v>1102</v>
      </c>
      <c r="C373" s="471" t="s">
        <v>1085</v>
      </c>
      <c r="D373" s="264">
        <v>5827.4563200000002</v>
      </c>
      <c r="E373" s="1143">
        <f>+'LINEAS IMPULSIÓN-CONDUCCIÓN'!E95</f>
        <v>12212</v>
      </c>
      <c r="F373" s="260">
        <f t="shared" si="19"/>
        <v>71164897</v>
      </c>
      <c r="G373" s="255"/>
      <c r="H373" s="3733"/>
      <c r="I373" s="3733"/>
      <c r="J373" s="3733"/>
      <c r="K373" s="3733"/>
      <c r="L373" s="3733"/>
      <c r="M373" s="3733"/>
      <c r="N373" s="3733"/>
      <c r="O373" s="261"/>
    </row>
    <row r="374" spans="1:17" s="247" customFormat="1" ht="23.25" customHeight="1">
      <c r="A374" s="1392" t="s">
        <v>5040</v>
      </c>
      <c r="B374" s="453" t="s">
        <v>4666</v>
      </c>
      <c r="C374" s="471" t="s">
        <v>94</v>
      </c>
      <c r="D374" s="264">
        <v>26.7</v>
      </c>
      <c r="E374" s="1143" t="e">
        <f>+'LINEAS IMPULSIÓN-CONDUCCIÓN'!#REF!</f>
        <v>#REF!</v>
      </c>
      <c r="F374" s="260" t="e">
        <f>ROUND(+E374*D374,0)</f>
        <v>#REF!</v>
      </c>
      <c r="G374" s="255"/>
      <c r="H374" s="1391"/>
      <c r="I374" s="1391"/>
      <c r="J374" s="1391"/>
      <c r="K374" s="1391"/>
      <c r="L374" s="1391"/>
      <c r="M374" s="1391"/>
      <c r="N374" s="1391"/>
      <c r="O374" s="261"/>
    </row>
    <row r="375" spans="1:17" s="247" customFormat="1" ht="23.25" customHeight="1">
      <c r="A375" s="257" t="s">
        <v>5041</v>
      </c>
      <c r="B375" s="453" t="s">
        <v>4665</v>
      </c>
      <c r="C375" s="471" t="s">
        <v>94</v>
      </c>
      <c r="D375" s="264">
        <v>17.8</v>
      </c>
      <c r="E375" s="1143">
        <f>+'LINEAS IMPULSIÓN-CONDUCCIÓN'!E97</f>
        <v>2370123</v>
      </c>
      <c r="F375" s="260">
        <f t="shared" si="19"/>
        <v>42188189</v>
      </c>
      <c r="G375" s="255"/>
      <c r="H375" s="1391"/>
      <c r="I375" s="1391"/>
      <c r="J375" s="1391"/>
      <c r="K375" s="1391"/>
      <c r="L375" s="1391"/>
      <c r="M375" s="1391"/>
      <c r="N375" s="1391"/>
      <c r="O375" s="261"/>
    </row>
    <row r="376" spans="1:17" ht="21.75" customHeight="1">
      <c r="A376" s="1085">
        <v>5.4</v>
      </c>
      <c r="B376" s="1086" t="s">
        <v>1106</v>
      </c>
      <c r="C376" s="1159"/>
      <c r="D376" s="1159"/>
      <c r="E376" s="1159"/>
      <c r="F376" s="1160">
        <f>+SUM(F377:F384)</f>
        <v>132295279</v>
      </c>
      <c r="G376" s="522"/>
      <c r="I376" s="522"/>
    </row>
    <row r="377" spans="1:17" s="247" customFormat="1" ht="17.399999999999999">
      <c r="A377" s="324" t="s">
        <v>1171</v>
      </c>
      <c r="B377" s="323" t="s">
        <v>1107</v>
      </c>
      <c r="C377" s="324" t="s">
        <v>1084</v>
      </c>
      <c r="D377" s="259">
        <v>7</v>
      </c>
      <c r="E377" s="1143">
        <f>+'LINEAS IMPULSIÓN-CONDUCCIÓN'!E99</f>
        <v>508061.26403443597</v>
      </c>
      <c r="F377" s="272">
        <f>ROUND((+E377*D377),0)</f>
        <v>3556429</v>
      </c>
      <c r="G377" s="255"/>
      <c r="I377" s="273"/>
      <c r="J377" s="273"/>
      <c r="K377" s="274"/>
      <c r="L377" s="275"/>
      <c r="M377" s="255"/>
      <c r="N377" s="255"/>
      <c r="O377" s="273"/>
      <c r="P377" s="276"/>
      <c r="Q377" s="276"/>
    </row>
    <row r="378" spans="1:17" s="247" customFormat="1" ht="50.4">
      <c r="A378" s="324" t="s">
        <v>1172</v>
      </c>
      <c r="B378" s="323" t="s">
        <v>1111</v>
      </c>
      <c r="C378" s="324" t="s">
        <v>1084</v>
      </c>
      <c r="D378" s="259">
        <v>29.43</v>
      </c>
      <c r="E378" s="1143">
        <f>+'LINEAS IMPULSIÓN-CONDUCCIÓN'!E100</f>
        <v>721312.05156987999</v>
      </c>
      <c r="F378" s="272">
        <f t="shared" ref="F378:F384" si="20">ROUND((+E378*D378),0)</f>
        <v>21228214</v>
      </c>
      <c r="G378" s="255"/>
      <c r="I378" s="273"/>
      <c r="J378" s="273"/>
      <c r="K378" s="274"/>
      <c r="L378" s="275"/>
      <c r="M378" s="255"/>
      <c r="N378" s="255"/>
      <c r="O378" s="273"/>
      <c r="P378" s="276"/>
      <c r="Q378" s="276"/>
    </row>
    <row r="379" spans="1:17" s="247" customFormat="1" ht="16.8">
      <c r="A379" s="324" t="s">
        <v>1173</v>
      </c>
      <c r="B379" s="323" t="s">
        <v>1120</v>
      </c>
      <c r="C379" s="324" t="s">
        <v>94</v>
      </c>
      <c r="D379" s="259">
        <v>427</v>
      </c>
      <c r="E379" s="1143">
        <f>+'LINEAS IMPULSIÓN-CONDUCCIÓN'!E101</f>
        <v>54299.213951898993</v>
      </c>
      <c r="F379" s="272">
        <f t="shared" si="20"/>
        <v>23185764</v>
      </c>
      <c r="G379" s="255"/>
      <c r="I379" s="273"/>
      <c r="J379" s="273"/>
      <c r="K379" s="274"/>
      <c r="L379" s="275"/>
      <c r="M379" s="255"/>
      <c r="N379" s="255"/>
      <c r="O379" s="273"/>
      <c r="P379" s="276"/>
      <c r="Q379" s="276"/>
    </row>
    <row r="380" spans="1:17" s="247" customFormat="1" ht="16.8">
      <c r="A380" s="324" t="s">
        <v>1174</v>
      </c>
      <c r="B380" s="323" t="s">
        <v>1121</v>
      </c>
      <c r="C380" s="324" t="s">
        <v>94</v>
      </c>
      <c r="D380" s="1288">
        <v>50</v>
      </c>
      <c r="E380" s="1143">
        <f>+'LINEAS IMPULSIÓN-CONDUCCIÓN'!E102</f>
        <v>41838.174079316326</v>
      </c>
      <c r="F380" s="272">
        <f t="shared" si="20"/>
        <v>2091909</v>
      </c>
      <c r="G380" s="255"/>
      <c r="I380" s="273"/>
      <c r="J380" s="273"/>
      <c r="K380" s="274"/>
      <c r="L380" s="275"/>
      <c r="M380" s="255"/>
      <c r="N380" s="255"/>
      <c r="O380" s="273"/>
      <c r="P380" s="276"/>
      <c r="Q380" s="276"/>
    </row>
    <row r="381" spans="1:17" s="247" customFormat="1" ht="50.4">
      <c r="A381" s="324" t="s">
        <v>1175</v>
      </c>
      <c r="B381" s="323" t="s">
        <v>1123</v>
      </c>
      <c r="C381" s="324" t="s">
        <v>1084</v>
      </c>
      <c r="D381" s="1288">
        <v>150</v>
      </c>
      <c r="E381" s="1143">
        <f>+'LINEAS IMPULSIÓN-CONDUCCIÓN'!E103</f>
        <v>444652.84510301804</v>
      </c>
      <c r="F381" s="272">
        <f t="shared" si="20"/>
        <v>66697927</v>
      </c>
      <c r="G381" s="255"/>
      <c r="I381" s="273"/>
      <c r="J381" s="273"/>
      <c r="K381" s="274"/>
      <c r="L381" s="275"/>
      <c r="M381" s="255"/>
      <c r="N381" s="255"/>
      <c r="O381" s="273"/>
      <c r="P381" s="276"/>
      <c r="Q381" s="276"/>
    </row>
    <row r="382" spans="1:17" s="247" customFormat="1" ht="50.4">
      <c r="A382" s="277" t="s">
        <v>1176</v>
      </c>
      <c r="B382" s="258" t="s">
        <v>542</v>
      </c>
      <c r="C382" s="248" t="s">
        <v>133</v>
      </c>
      <c r="D382" s="259">
        <v>21</v>
      </c>
      <c r="E382" s="1143">
        <f>+'LINEAS IMPULSIÓN-CONDUCCIÓN'!E104</f>
        <v>704362.91278373147</v>
      </c>
      <c r="F382" s="272">
        <f t="shared" si="20"/>
        <v>14791621</v>
      </c>
      <c r="G382" s="278"/>
      <c r="H382" s="255"/>
      <c r="I382" s="255"/>
      <c r="J382" s="255"/>
      <c r="K382" s="255"/>
    </row>
    <row r="383" spans="1:17" s="1290" customFormat="1" ht="33.6">
      <c r="A383" s="1286" t="s">
        <v>1177</v>
      </c>
      <c r="B383" s="1284" t="s">
        <v>8</v>
      </c>
      <c r="C383" s="1287" t="s">
        <v>94</v>
      </c>
      <c r="D383" s="1288">
        <v>200</v>
      </c>
      <c r="E383" s="1143" t="e">
        <f>+'LINEAS IMPULSIÓN-CONDUCCIÓN'!#REF!</f>
        <v>#REF!</v>
      </c>
      <c r="F383" s="1289">
        <v>0</v>
      </c>
    </row>
    <row r="384" spans="1:17" s="247" customFormat="1" ht="33.6">
      <c r="A384" s="277" t="s">
        <v>1178</v>
      </c>
      <c r="B384" s="258" t="s">
        <v>1130</v>
      </c>
      <c r="C384" s="324" t="s">
        <v>1084</v>
      </c>
      <c r="D384" s="259">
        <v>1</v>
      </c>
      <c r="E384" s="1143">
        <f>+'LINEAS IMPULSIÓN-CONDUCCIÓN'!E105</f>
        <v>743415.25079918758</v>
      </c>
      <c r="F384" s="272">
        <f t="shared" si="20"/>
        <v>743415</v>
      </c>
    </row>
    <row r="385" spans="1:17">
      <c r="A385" s="1085" t="s">
        <v>1179</v>
      </c>
      <c r="B385" s="1084" t="s">
        <v>1127</v>
      </c>
      <c r="C385" s="1161"/>
      <c r="D385" s="1161"/>
      <c r="E385" s="1161" t="s">
        <v>1158</v>
      </c>
      <c r="F385" s="1162" t="e">
        <f>+SUM(F386:F434)</f>
        <v>#REF!</v>
      </c>
      <c r="G385" s="522"/>
      <c r="I385" s="522"/>
    </row>
    <row r="386" spans="1:17" s="247" customFormat="1" ht="16.8">
      <c r="A386" s="287" t="s">
        <v>4664</v>
      </c>
      <c r="B386" s="258" t="s">
        <v>4407</v>
      </c>
      <c r="C386" s="471" t="s">
        <v>427</v>
      </c>
      <c r="D386" s="259">
        <v>2</v>
      </c>
      <c r="E386" s="1143">
        <f>+'PTAP TIJERETAS'!E450</f>
        <v>52180.977082416</v>
      </c>
      <c r="F386" s="272">
        <f t="shared" ref="F386:F423" si="21">ROUND((+E386*D386),0)</f>
        <v>104362</v>
      </c>
      <c r="G386" s="306"/>
      <c r="H386" s="255"/>
      <c r="I386" s="255"/>
      <c r="J386" s="255"/>
      <c r="K386" s="256"/>
      <c r="L386" s="256"/>
      <c r="M386" s="255"/>
      <c r="N386" s="255"/>
      <c r="O386" s="255"/>
      <c r="P386" s="255"/>
      <c r="Q386" s="255"/>
    </row>
    <row r="387" spans="1:17" s="247" customFormat="1" ht="16.8">
      <c r="A387" s="257" t="s">
        <v>4618</v>
      </c>
      <c r="B387" s="1284" t="s">
        <v>4408</v>
      </c>
      <c r="C387" s="471" t="s">
        <v>427</v>
      </c>
      <c r="D387" s="259">
        <v>2</v>
      </c>
      <c r="E387" s="1143">
        <f>+'PTAP TIJERETAS'!E451</f>
        <v>96701.948368746002</v>
      </c>
      <c r="F387" s="272">
        <f t="shared" si="21"/>
        <v>193404</v>
      </c>
      <c r="G387" s="306"/>
      <c r="H387" s="255"/>
      <c r="I387" s="255"/>
      <c r="J387" s="255"/>
      <c r="K387" s="256"/>
      <c r="L387" s="256"/>
      <c r="M387" s="255"/>
      <c r="N387" s="255"/>
      <c r="O387" s="255"/>
      <c r="P387" s="255"/>
      <c r="Q387" s="255"/>
    </row>
    <row r="388" spans="1:17" s="247" customFormat="1" ht="16.8">
      <c r="A388" s="257" t="s">
        <v>4619</v>
      </c>
      <c r="B388" s="258" t="s">
        <v>4411</v>
      </c>
      <c r="C388" s="471" t="s">
        <v>427</v>
      </c>
      <c r="D388" s="259">
        <v>4</v>
      </c>
      <c r="E388" s="1143">
        <f>+'PTAP TIJERETAS'!E452</f>
        <v>94750</v>
      </c>
      <c r="F388" s="272">
        <f t="shared" si="21"/>
        <v>379000</v>
      </c>
      <c r="G388" s="306"/>
      <c r="H388" s="255"/>
      <c r="I388" s="255"/>
      <c r="J388" s="255"/>
      <c r="K388" s="256"/>
      <c r="L388" s="256"/>
      <c r="M388" s="255"/>
      <c r="N388" s="255"/>
      <c r="O388" s="255"/>
      <c r="P388" s="255"/>
      <c r="Q388" s="255"/>
    </row>
    <row r="389" spans="1:17" s="247" customFormat="1" ht="16.8">
      <c r="A389" s="257" t="s">
        <v>4620</v>
      </c>
      <c r="B389" s="258" t="s">
        <v>4412</v>
      </c>
      <c r="C389" s="471" t="s">
        <v>427</v>
      </c>
      <c r="D389" s="259">
        <v>2</v>
      </c>
      <c r="E389" s="1143">
        <f>+'PTAP TIJERETAS'!E453</f>
        <v>97731.836074320003</v>
      </c>
      <c r="F389" s="272">
        <f t="shared" si="21"/>
        <v>195464</v>
      </c>
      <c r="G389" s="306"/>
      <c r="H389" s="255"/>
      <c r="I389" s="255"/>
      <c r="J389" s="255"/>
      <c r="K389" s="256"/>
      <c r="L389" s="256"/>
      <c r="M389" s="255"/>
      <c r="N389" s="255"/>
      <c r="O389" s="255"/>
      <c r="P389" s="255"/>
      <c r="Q389" s="255"/>
    </row>
    <row r="390" spans="1:17" s="247" customFormat="1" ht="16.8">
      <c r="A390" s="257" t="s">
        <v>4621</v>
      </c>
      <c r="B390" s="258" t="s">
        <v>4413</v>
      </c>
      <c r="C390" s="471" t="s">
        <v>427</v>
      </c>
      <c r="D390" s="259">
        <v>2</v>
      </c>
      <c r="E390" s="1143">
        <f>+'PTAP TIJERETAS'!E454</f>
        <v>69463.672148639991</v>
      </c>
      <c r="F390" s="272">
        <f t="shared" si="21"/>
        <v>138927</v>
      </c>
      <c r="G390" s="306"/>
      <c r="H390" s="255"/>
      <c r="I390" s="255"/>
      <c r="J390" s="255"/>
      <c r="K390" s="256"/>
      <c r="L390" s="256"/>
      <c r="M390" s="255"/>
      <c r="N390" s="255"/>
      <c r="O390" s="255"/>
      <c r="P390" s="255"/>
      <c r="Q390" s="255"/>
    </row>
    <row r="391" spans="1:17" s="247" customFormat="1" ht="16.8">
      <c r="A391" s="257" t="s">
        <v>4622</v>
      </c>
      <c r="B391" s="258" t="s">
        <v>4414</v>
      </c>
      <c r="C391" s="471" t="s">
        <v>427</v>
      </c>
      <c r="D391" s="259">
        <v>2</v>
      </c>
      <c r="E391" s="1143">
        <f>+'PTAP TIJERETAS'!E455</f>
        <v>102989</v>
      </c>
      <c r="F391" s="272">
        <f t="shared" si="21"/>
        <v>205978</v>
      </c>
      <c r="G391" s="306"/>
      <c r="H391" s="255"/>
      <c r="I391" s="255"/>
      <c r="J391" s="255"/>
      <c r="K391" s="256"/>
      <c r="L391" s="256"/>
      <c r="M391" s="255"/>
      <c r="N391" s="255"/>
      <c r="O391" s="255"/>
      <c r="P391" s="255"/>
      <c r="Q391" s="255"/>
    </row>
    <row r="392" spans="1:17" s="247" customFormat="1" ht="16.8">
      <c r="A392" s="257" t="s">
        <v>4623</v>
      </c>
      <c r="B392" s="258" t="s">
        <v>4415</v>
      </c>
      <c r="C392" s="471" t="s">
        <v>427</v>
      </c>
      <c r="D392" s="259">
        <v>2</v>
      </c>
      <c r="E392" s="1143">
        <f>+'PTAP TIJERETAS'!E456</f>
        <v>98869</v>
      </c>
      <c r="F392" s="272">
        <f t="shared" si="21"/>
        <v>197738</v>
      </c>
      <c r="G392" s="306"/>
      <c r="H392" s="255"/>
      <c r="I392" s="255"/>
      <c r="J392" s="255"/>
      <c r="K392" s="256"/>
      <c r="L392" s="256"/>
      <c r="M392" s="255"/>
      <c r="N392" s="255"/>
      <c r="O392" s="255"/>
      <c r="P392" s="255"/>
      <c r="Q392" s="255"/>
    </row>
    <row r="393" spans="1:17" s="247" customFormat="1" ht="16.8">
      <c r="A393" s="257" t="s">
        <v>4624</v>
      </c>
      <c r="B393" s="258" t="s">
        <v>4416</v>
      </c>
      <c r="C393" s="471" t="s">
        <v>427</v>
      </c>
      <c r="D393" s="259">
        <v>2</v>
      </c>
      <c r="E393" s="1143">
        <f>+'PTAP TIJERETAS'!E457</f>
        <v>69463.672148639991</v>
      </c>
      <c r="F393" s="272">
        <f t="shared" si="21"/>
        <v>138927</v>
      </c>
      <c r="G393" s="306"/>
      <c r="H393" s="255"/>
      <c r="I393" s="255"/>
      <c r="J393" s="255"/>
      <c r="K393" s="256"/>
      <c r="L393" s="256"/>
      <c r="M393" s="255"/>
      <c r="N393" s="255"/>
      <c r="O393" s="255"/>
      <c r="P393" s="255"/>
      <c r="Q393" s="255"/>
    </row>
    <row r="394" spans="1:17" s="247" customFormat="1" ht="16.8">
      <c r="A394" s="257" t="s">
        <v>4625</v>
      </c>
      <c r="B394" s="258" t="s">
        <v>4417</v>
      </c>
      <c r="C394" s="471" t="s">
        <v>427</v>
      </c>
      <c r="D394" s="259">
        <v>2</v>
      </c>
      <c r="E394" s="1143">
        <f>+'PTAP TIJERETAS'!E458</f>
        <v>69463.672148639991</v>
      </c>
      <c r="F394" s="272">
        <f t="shared" si="21"/>
        <v>138927</v>
      </c>
      <c r="G394" s="306"/>
      <c r="H394" s="255"/>
      <c r="I394" s="255"/>
      <c r="J394" s="255"/>
      <c r="K394" s="256"/>
      <c r="L394" s="256"/>
      <c r="M394" s="255"/>
      <c r="N394" s="255"/>
      <c r="O394" s="255"/>
      <c r="P394" s="255"/>
      <c r="Q394" s="255"/>
    </row>
    <row r="395" spans="1:17" s="247" customFormat="1" ht="16.8">
      <c r="A395" s="257" t="s">
        <v>4626</v>
      </c>
      <c r="B395" s="258" t="s">
        <v>4418</v>
      </c>
      <c r="C395" s="471" t="s">
        <v>427</v>
      </c>
      <c r="D395" s="259">
        <v>2</v>
      </c>
      <c r="E395" s="1143">
        <f>+'PTAP TIJERETAS'!E459</f>
        <v>74293.362334439997</v>
      </c>
      <c r="F395" s="272">
        <f t="shared" si="21"/>
        <v>148587</v>
      </c>
      <c r="G395" s="306"/>
      <c r="H395" s="255"/>
      <c r="I395" s="255"/>
      <c r="J395" s="255"/>
      <c r="K395" s="256"/>
      <c r="L395" s="256"/>
      <c r="M395" s="255"/>
      <c r="N395" s="255"/>
      <c r="O395" s="255"/>
      <c r="P395" s="255"/>
      <c r="Q395" s="255"/>
    </row>
    <row r="396" spans="1:17" s="247" customFormat="1" ht="33.6">
      <c r="A396" s="257" t="s">
        <v>4627</v>
      </c>
      <c r="B396" s="258" t="s">
        <v>4419</v>
      </c>
      <c r="C396" s="471" t="s">
        <v>427</v>
      </c>
      <c r="D396" s="259">
        <v>2</v>
      </c>
      <c r="E396" s="1143">
        <f>+'PTAP TIJERETAS'!E460</f>
        <v>339718.65756071999</v>
      </c>
      <c r="F396" s="272">
        <f t="shared" si="21"/>
        <v>679437</v>
      </c>
      <c r="G396" s="306"/>
      <c r="H396" s="255"/>
      <c r="I396" s="255"/>
      <c r="J396" s="255"/>
      <c r="K396" s="256"/>
      <c r="L396" s="256"/>
      <c r="M396" s="255"/>
      <c r="N396" s="255"/>
      <c r="O396" s="255"/>
      <c r="P396" s="255"/>
      <c r="Q396" s="255"/>
    </row>
    <row r="397" spans="1:17" s="247" customFormat="1" ht="16.8">
      <c r="A397" s="257" t="s">
        <v>4628</v>
      </c>
      <c r="B397" s="258" t="s">
        <v>4420</v>
      </c>
      <c r="C397" s="471" t="s">
        <v>427</v>
      </c>
      <c r="D397" s="259">
        <v>4</v>
      </c>
      <c r="E397" s="1143">
        <f>+'PTAP TIJERETAS'!E461</f>
        <v>163609.27878036001</v>
      </c>
      <c r="F397" s="272">
        <f t="shared" si="21"/>
        <v>654437</v>
      </c>
      <c r="G397" s="306"/>
      <c r="H397" s="255"/>
      <c r="I397" s="255"/>
      <c r="J397" s="255"/>
      <c r="K397" s="256"/>
      <c r="L397" s="256"/>
      <c r="M397" s="255"/>
      <c r="N397" s="255"/>
      <c r="O397" s="255"/>
      <c r="P397" s="255"/>
      <c r="Q397" s="255"/>
    </row>
    <row r="398" spans="1:17" s="247" customFormat="1" ht="16.8">
      <c r="A398" s="257" t="s">
        <v>4629</v>
      </c>
      <c r="B398" s="258" t="s">
        <v>4421</v>
      </c>
      <c r="C398" s="471" t="s">
        <v>427</v>
      </c>
      <c r="D398" s="259">
        <v>2</v>
      </c>
      <c r="E398" s="1143">
        <f>+'PTAP TIJERETAS'!E462</f>
        <v>68659.180371599999</v>
      </c>
      <c r="F398" s="272">
        <f t="shared" si="21"/>
        <v>137318</v>
      </c>
      <c r="G398" s="306"/>
      <c r="H398" s="255"/>
      <c r="I398" s="255"/>
      <c r="J398" s="255"/>
      <c r="K398" s="256"/>
      <c r="L398" s="256"/>
      <c r="M398" s="255"/>
      <c r="N398" s="255"/>
      <c r="O398" s="255"/>
      <c r="P398" s="255"/>
      <c r="Q398" s="255"/>
    </row>
    <row r="399" spans="1:17" s="247" customFormat="1" ht="16.8">
      <c r="A399" s="257" t="s">
        <v>4630</v>
      </c>
      <c r="B399" s="258" t="s">
        <v>4422</v>
      </c>
      <c r="C399" s="471" t="s">
        <v>427</v>
      </c>
      <c r="D399" s="259">
        <v>1</v>
      </c>
      <c r="E399" s="1143">
        <f>+'PTAP TIJERETAS'!E463</f>
        <v>64657.529522628007</v>
      </c>
      <c r="F399" s="272">
        <f t="shared" si="21"/>
        <v>64658</v>
      </c>
      <c r="G399" s="306"/>
      <c r="H399" s="255"/>
      <c r="I399" s="255"/>
      <c r="J399" s="255"/>
      <c r="K399" s="256"/>
      <c r="L399" s="256"/>
      <c r="M399" s="255"/>
      <c r="N399" s="255"/>
      <c r="O399" s="255"/>
      <c r="P399" s="255"/>
      <c r="Q399" s="255"/>
    </row>
    <row r="400" spans="1:17" s="247" customFormat="1" ht="16.8">
      <c r="A400" s="257" t="s">
        <v>4631</v>
      </c>
      <c r="B400" s="1284" t="s">
        <v>4423</v>
      </c>
      <c r="C400" s="471" t="s">
        <v>427</v>
      </c>
      <c r="D400" s="259">
        <v>5</v>
      </c>
      <c r="E400" s="1143">
        <f>+'PTAP TIJERETAS'!E464</f>
        <v>96701.948368746002</v>
      </c>
      <c r="F400" s="272">
        <f t="shared" si="21"/>
        <v>483510</v>
      </c>
      <c r="G400" s="306"/>
      <c r="H400" s="255"/>
      <c r="I400" s="255"/>
      <c r="J400" s="255"/>
      <c r="K400" s="256"/>
      <c r="L400" s="256"/>
      <c r="M400" s="255"/>
      <c r="N400" s="255"/>
      <c r="O400" s="255"/>
      <c r="P400" s="255"/>
      <c r="Q400" s="255"/>
    </row>
    <row r="401" spans="1:17" s="247" customFormat="1" ht="16.8">
      <c r="A401" s="257" t="s">
        <v>4632</v>
      </c>
      <c r="B401" s="258" t="s">
        <v>4424</v>
      </c>
      <c r="C401" s="471" t="s">
        <v>427</v>
      </c>
      <c r="D401" s="259">
        <v>1</v>
      </c>
      <c r="E401" s="1143">
        <f>+'PTAP TIJERETAS'!E465</f>
        <v>95672.060663172</v>
      </c>
      <c r="F401" s="272">
        <f t="shared" si="21"/>
        <v>95672</v>
      </c>
      <c r="G401" s="306"/>
      <c r="H401" s="255"/>
      <c r="I401" s="255"/>
      <c r="J401" s="255"/>
      <c r="K401" s="256"/>
      <c r="L401" s="256"/>
      <c r="M401" s="255"/>
      <c r="N401" s="255"/>
      <c r="O401" s="255"/>
      <c r="P401" s="255"/>
      <c r="Q401" s="255"/>
    </row>
    <row r="402" spans="1:17" s="247" customFormat="1" ht="16.8">
      <c r="A402" s="257" t="s">
        <v>4633</v>
      </c>
      <c r="B402" s="258" t="s">
        <v>4527</v>
      </c>
      <c r="C402" s="471" t="s">
        <v>427</v>
      </c>
      <c r="D402" s="259">
        <v>1</v>
      </c>
      <c r="E402" s="1143">
        <f>+'PTAP TIJERETAS'!E466</f>
        <v>129079.25909860797</v>
      </c>
      <c r="F402" s="272">
        <f t="shared" si="21"/>
        <v>129079</v>
      </c>
      <c r="G402" s="306"/>
      <c r="H402" s="255"/>
      <c r="I402" s="255"/>
      <c r="J402" s="255"/>
      <c r="K402" s="256"/>
      <c r="L402" s="256"/>
      <c r="M402" s="255"/>
      <c r="N402" s="255"/>
      <c r="O402" s="255"/>
      <c r="P402" s="255"/>
      <c r="Q402" s="255"/>
    </row>
    <row r="403" spans="1:17" s="247" customFormat="1" ht="16.8">
      <c r="A403" s="257" t="s">
        <v>4634</v>
      </c>
      <c r="B403" s="258" t="s">
        <v>4528</v>
      </c>
      <c r="C403" s="471" t="s">
        <v>427</v>
      </c>
      <c r="D403" s="259">
        <v>1</v>
      </c>
      <c r="E403" s="1143">
        <f>+'PTAP TIJERETAS'!E467</f>
        <v>42288.581996041408</v>
      </c>
      <c r="F403" s="272">
        <f t="shared" si="21"/>
        <v>42289</v>
      </c>
      <c r="G403" s="306"/>
      <c r="H403" s="255"/>
      <c r="I403" s="255"/>
      <c r="J403" s="255"/>
      <c r="K403" s="256"/>
      <c r="L403" s="256"/>
      <c r="M403" s="255"/>
      <c r="N403" s="255"/>
      <c r="O403" s="255"/>
      <c r="P403" s="255"/>
      <c r="Q403" s="255"/>
    </row>
    <row r="404" spans="1:17" s="247" customFormat="1" ht="5.25" customHeight="1">
      <c r="A404" s="287"/>
      <c r="B404" s="258"/>
      <c r="C404" s="471"/>
      <c r="D404" s="259"/>
      <c r="E404" s="1143" t="e">
        <f>+'PTAP TIJERETAS'!#REF!</f>
        <v>#REF!</v>
      </c>
      <c r="F404" s="1283"/>
      <c r="G404" s="306"/>
      <c r="H404" s="255"/>
      <c r="I404" s="255"/>
      <c r="J404" s="255"/>
      <c r="K404" s="256"/>
      <c r="L404" s="256"/>
      <c r="M404" s="255"/>
      <c r="N404" s="255"/>
      <c r="O404" s="255"/>
      <c r="P404" s="255"/>
      <c r="Q404" s="255"/>
    </row>
    <row r="405" spans="1:17" s="247" customFormat="1" ht="16.8">
      <c r="A405" s="257" t="s">
        <v>4635</v>
      </c>
      <c r="B405" s="258" t="s">
        <v>4362</v>
      </c>
      <c r="C405" s="471" t="s">
        <v>427</v>
      </c>
      <c r="D405" s="471">
        <v>7</v>
      </c>
      <c r="E405" s="1143" t="e">
        <f>+'PTAP TIJERETAS'!#REF!</f>
        <v>#REF!</v>
      </c>
      <c r="F405" s="272" t="e">
        <f t="shared" si="21"/>
        <v>#REF!</v>
      </c>
      <c r="G405" s="306"/>
      <c r="H405" s="255"/>
      <c r="I405" s="255"/>
      <c r="J405" s="255"/>
      <c r="K405" s="256"/>
      <c r="L405" s="256"/>
      <c r="M405" s="255"/>
      <c r="N405" s="255"/>
      <c r="O405" s="255"/>
      <c r="P405" s="255"/>
      <c r="Q405" s="255"/>
    </row>
    <row r="406" spans="1:17" s="247" customFormat="1" ht="16.8">
      <c r="A406" s="257" t="s">
        <v>4636</v>
      </c>
      <c r="B406" s="258" t="s">
        <v>4533</v>
      </c>
      <c r="C406" s="471" t="s">
        <v>427</v>
      </c>
      <c r="D406" s="471">
        <v>4</v>
      </c>
      <c r="E406" s="1143" t="e">
        <f>+'PTAP TIJERETAS'!#REF!</f>
        <v>#REF!</v>
      </c>
      <c r="F406" s="272" t="e">
        <f t="shared" si="21"/>
        <v>#REF!</v>
      </c>
      <c r="G406" s="306"/>
      <c r="H406" s="255"/>
      <c r="I406" s="255"/>
      <c r="J406" s="255"/>
      <c r="K406" s="256"/>
      <c r="L406" s="256"/>
      <c r="M406" s="255"/>
      <c r="N406" s="255"/>
      <c r="O406" s="255"/>
      <c r="P406" s="255"/>
      <c r="Q406" s="255"/>
    </row>
    <row r="407" spans="1:17" s="247" customFormat="1" ht="33.6">
      <c r="A407" s="257" t="s">
        <v>4637</v>
      </c>
      <c r="B407" s="258" t="s">
        <v>4534</v>
      </c>
      <c r="C407" s="471" t="s">
        <v>427</v>
      </c>
      <c r="D407" s="471">
        <v>8</v>
      </c>
      <c r="E407" s="1143" t="e">
        <f>+'PTAP TIJERETAS'!#REF!</f>
        <v>#REF!</v>
      </c>
      <c r="F407" s="272" t="e">
        <f t="shared" si="21"/>
        <v>#REF!</v>
      </c>
      <c r="G407" s="306"/>
      <c r="H407" s="255"/>
      <c r="I407" s="255"/>
      <c r="J407" s="255"/>
      <c r="K407" s="256"/>
      <c r="L407" s="256"/>
      <c r="M407" s="255"/>
      <c r="N407" s="255"/>
      <c r="O407" s="255"/>
      <c r="P407" s="255"/>
      <c r="Q407" s="255"/>
    </row>
    <row r="408" spans="1:17" s="247" customFormat="1" ht="16.8">
      <c r="A408" s="257" t="s">
        <v>4638</v>
      </c>
      <c r="B408" s="258" t="s">
        <v>4535</v>
      </c>
      <c r="C408" s="471" t="s">
        <v>427</v>
      </c>
      <c r="D408" s="471">
        <v>1</v>
      </c>
      <c r="E408" s="1143" t="e">
        <f>+'PTAP TIJERETAS'!#REF!</f>
        <v>#REF!</v>
      </c>
      <c r="F408" s="272" t="e">
        <f t="shared" si="21"/>
        <v>#REF!</v>
      </c>
      <c r="G408" s="306"/>
      <c r="H408" s="255"/>
      <c r="I408" s="255"/>
      <c r="J408" s="255"/>
      <c r="K408" s="256"/>
      <c r="L408" s="256"/>
      <c r="M408" s="255"/>
      <c r="N408" s="255"/>
      <c r="O408" s="255"/>
      <c r="P408" s="255"/>
      <c r="Q408" s="255"/>
    </row>
    <row r="409" spans="1:17" s="247" customFormat="1" ht="16.8">
      <c r="A409" s="257" t="s">
        <v>4639</v>
      </c>
      <c r="B409" s="258" t="s">
        <v>4536</v>
      </c>
      <c r="C409" s="471" t="s">
        <v>427</v>
      </c>
      <c r="D409" s="471">
        <v>3</v>
      </c>
      <c r="E409" s="1143" t="e">
        <f>+'PTAP TIJERETAS'!#REF!</f>
        <v>#REF!</v>
      </c>
      <c r="F409" s="272" t="e">
        <f t="shared" si="21"/>
        <v>#REF!</v>
      </c>
      <c r="G409" s="306"/>
      <c r="H409" s="255"/>
      <c r="I409" s="255"/>
      <c r="J409" s="255"/>
      <c r="K409" s="256"/>
      <c r="L409" s="256"/>
      <c r="M409" s="255"/>
      <c r="N409" s="255"/>
      <c r="O409" s="255"/>
      <c r="P409" s="255"/>
      <c r="Q409" s="255"/>
    </row>
    <row r="410" spans="1:17" s="247" customFormat="1" ht="16.8">
      <c r="A410" s="257" t="s">
        <v>4640</v>
      </c>
      <c r="B410" s="258" t="s">
        <v>4537</v>
      </c>
      <c r="C410" s="471" t="s">
        <v>427</v>
      </c>
      <c r="D410" s="471">
        <v>1</v>
      </c>
      <c r="E410" s="1143" t="e">
        <f>+'PTAP TIJERETAS'!#REF!</f>
        <v>#REF!</v>
      </c>
      <c r="F410" s="272" t="e">
        <f t="shared" si="21"/>
        <v>#REF!</v>
      </c>
      <c r="G410" s="306"/>
      <c r="H410" s="255"/>
      <c r="I410" s="255"/>
      <c r="J410" s="255"/>
      <c r="K410" s="256"/>
      <c r="L410" s="256"/>
      <c r="M410" s="255"/>
      <c r="N410" s="255"/>
      <c r="O410" s="255"/>
      <c r="P410" s="255"/>
      <c r="Q410" s="255"/>
    </row>
    <row r="411" spans="1:17" s="247" customFormat="1" ht="16.8">
      <c r="A411" s="257" t="s">
        <v>4641</v>
      </c>
      <c r="B411" s="258" t="s">
        <v>4538</v>
      </c>
      <c r="C411" s="471" t="s">
        <v>427</v>
      </c>
      <c r="D411" s="471">
        <v>2</v>
      </c>
      <c r="E411" s="1143" t="e">
        <f>+'PTAP TIJERETAS'!#REF!</f>
        <v>#REF!</v>
      </c>
      <c r="F411" s="272" t="e">
        <f t="shared" si="21"/>
        <v>#REF!</v>
      </c>
      <c r="G411" s="306"/>
      <c r="H411" s="255"/>
      <c r="I411" s="255"/>
      <c r="J411" s="255"/>
      <c r="K411" s="256"/>
      <c r="L411" s="256"/>
      <c r="M411" s="255"/>
      <c r="N411" s="255"/>
      <c r="O411" s="255"/>
      <c r="P411" s="255"/>
      <c r="Q411" s="255"/>
    </row>
    <row r="412" spans="1:17" s="247" customFormat="1" ht="16.8">
      <c r="A412" s="257" t="s">
        <v>4642</v>
      </c>
      <c r="B412" s="258" t="s">
        <v>4539</v>
      </c>
      <c r="C412" s="471" t="s">
        <v>427</v>
      </c>
      <c r="D412" s="471">
        <v>2</v>
      </c>
      <c r="E412" s="1143" t="e">
        <f>+'PTAP TIJERETAS'!#REF!</f>
        <v>#REF!</v>
      </c>
      <c r="F412" s="272" t="e">
        <f t="shared" si="21"/>
        <v>#REF!</v>
      </c>
      <c r="G412" s="306"/>
      <c r="H412" s="255"/>
      <c r="I412" s="255"/>
      <c r="J412" s="255"/>
      <c r="K412" s="256"/>
      <c r="L412" s="256"/>
      <c r="M412" s="255"/>
      <c r="N412" s="255"/>
      <c r="O412" s="255"/>
      <c r="P412" s="255"/>
      <c r="Q412" s="255"/>
    </row>
    <row r="413" spans="1:17" s="247" customFormat="1" ht="16.8">
      <c r="A413" s="257" t="s">
        <v>4643</v>
      </c>
      <c r="B413" s="258" t="s">
        <v>4540</v>
      </c>
      <c r="C413" s="471" t="s">
        <v>427</v>
      </c>
      <c r="D413" s="471">
        <v>2</v>
      </c>
      <c r="E413" s="1143" t="e">
        <f>+'PTAP TIJERETAS'!#REF!</f>
        <v>#REF!</v>
      </c>
      <c r="F413" s="272" t="e">
        <f t="shared" si="21"/>
        <v>#REF!</v>
      </c>
      <c r="G413" s="306"/>
      <c r="H413" s="255"/>
      <c r="I413" s="255"/>
      <c r="J413" s="255"/>
      <c r="K413" s="256"/>
      <c r="L413" s="256"/>
      <c r="M413" s="255"/>
      <c r="N413" s="255"/>
      <c r="O413" s="255"/>
      <c r="P413" s="255"/>
      <c r="Q413" s="255"/>
    </row>
    <row r="414" spans="1:17" s="247" customFormat="1" ht="16.8">
      <c r="A414" s="257" t="s">
        <v>4644</v>
      </c>
      <c r="B414" s="258" t="s">
        <v>4541</v>
      </c>
      <c r="C414" s="471" t="s">
        <v>427</v>
      </c>
      <c r="D414" s="471">
        <v>1</v>
      </c>
      <c r="E414" s="1143" t="e">
        <f>+'PTAP TIJERETAS'!#REF!</f>
        <v>#REF!</v>
      </c>
      <c r="F414" s="272" t="e">
        <f t="shared" si="21"/>
        <v>#REF!</v>
      </c>
      <c r="G414" s="306"/>
      <c r="H414" s="255"/>
      <c r="I414" s="255"/>
      <c r="J414" s="255"/>
      <c r="K414" s="256"/>
      <c r="L414" s="256"/>
      <c r="M414" s="255"/>
      <c r="N414" s="255"/>
      <c r="O414" s="255"/>
      <c r="P414" s="255"/>
      <c r="Q414" s="255"/>
    </row>
    <row r="415" spans="1:17" s="247" customFormat="1" ht="16.8">
      <c r="A415" s="257" t="s">
        <v>4645</v>
      </c>
      <c r="B415" s="258" t="s">
        <v>4542</v>
      </c>
      <c r="C415" s="471" t="s">
        <v>427</v>
      </c>
      <c r="D415" s="471">
        <v>1</v>
      </c>
      <c r="E415" s="1143" t="e">
        <f>+'PTAP TIJERETAS'!#REF!</f>
        <v>#REF!</v>
      </c>
      <c r="F415" s="272" t="e">
        <f t="shared" si="21"/>
        <v>#REF!</v>
      </c>
      <c r="G415" s="306"/>
      <c r="H415" s="255"/>
      <c r="I415" s="255"/>
      <c r="J415" s="255"/>
      <c r="K415" s="256"/>
      <c r="L415" s="256"/>
      <c r="M415" s="255"/>
      <c r="N415" s="255"/>
      <c r="O415" s="255"/>
      <c r="P415" s="255"/>
      <c r="Q415" s="255"/>
    </row>
    <row r="416" spans="1:17" s="247" customFormat="1" ht="16.8">
      <c r="A416" s="257" t="s">
        <v>4646</v>
      </c>
      <c r="B416" s="258" t="s">
        <v>4543</v>
      </c>
      <c r="C416" s="471" t="s">
        <v>427</v>
      </c>
      <c r="D416" s="471">
        <v>1</v>
      </c>
      <c r="E416" s="1143" t="e">
        <f>+'PTAP TIJERETAS'!#REF!</f>
        <v>#REF!</v>
      </c>
      <c r="F416" s="272" t="e">
        <f t="shared" si="21"/>
        <v>#REF!</v>
      </c>
      <c r="G416" s="306"/>
      <c r="H416" s="255"/>
      <c r="I416" s="255"/>
      <c r="J416" s="255"/>
      <c r="K416" s="256"/>
      <c r="L416" s="256"/>
      <c r="M416" s="255"/>
      <c r="N416" s="255"/>
      <c r="O416" s="255"/>
      <c r="P416" s="255"/>
      <c r="Q416" s="255"/>
    </row>
    <row r="417" spans="1:17" s="247" customFormat="1" ht="16.8">
      <c r="A417" s="257" t="s">
        <v>4647</v>
      </c>
      <c r="B417" s="258" t="s">
        <v>4544</v>
      </c>
      <c r="C417" s="471" t="s">
        <v>427</v>
      </c>
      <c r="D417" s="471">
        <v>1</v>
      </c>
      <c r="E417" s="1143" t="e">
        <f>+'PTAP TIJERETAS'!#REF!</f>
        <v>#REF!</v>
      </c>
      <c r="F417" s="272" t="e">
        <f t="shared" si="21"/>
        <v>#REF!</v>
      </c>
      <c r="G417" s="306"/>
      <c r="H417" s="255"/>
      <c r="I417" s="255"/>
      <c r="J417" s="255"/>
      <c r="K417" s="256"/>
      <c r="L417" s="256"/>
      <c r="M417" s="255"/>
      <c r="N417" s="255"/>
      <c r="O417" s="255"/>
      <c r="P417" s="255"/>
      <c r="Q417" s="255"/>
    </row>
    <row r="418" spans="1:17" s="247" customFormat="1" ht="13.5" customHeight="1">
      <c r="A418" s="257" t="s">
        <v>4648</v>
      </c>
      <c r="B418" s="258" t="s">
        <v>4545</v>
      </c>
      <c r="C418" s="471" t="s">
        <v>427</v>
      </c>
      <c r="D418" s="471">
        <v>1</v>
      </c>
      <c r="E418" s="1143" t="e">
        <f>+'PTAP TIJERETAS'!#REF!</f>
        <v>#REF!</v>
      </c>
      <c r="F418" s="272" t="e">
        <f t="shared" si="21"/>
        <v>#REF!</v>
      </c>
      <c r="G418" s="306"/>
      <c r="H418" s="255"/>
      <c r="I418" s="255"/>
      <c r="J418" s="255"/>
      <c r="K418" s="256"/>
      <c r="L418" s="256"/>
      <c r="M418" s="255"/>
      <c r="N418" s="255"/>
      <c r="O418" s="255"/>
      <c r="P418" s="255"/>
      <c r="Q418" s="255"/>
    </row>
    <row r="419" spans="1:17" s="247" customFormat="1" ht="13.5" customHeight="1">
      <c r="A419" s="257" t="s">
        <v>4649</v>
      </c>
      <c r="B419" s="258" t="s">
        <v>4546</v>
      </c>
      <c r="C419" s="471" t="s">
        <v>427</v>
      </c>
      <c r="D419" s="471">
        <v>2</v>
      </c>
      <c r="E419" s="1143" t="e">
        <f>+'PTAP TIJERETAS'!#REF!</f>
        <v>#REF!</v>
      </c>
      <c r="F419" s="272" t="e">
        <f t="shared" si="21"/>
        <v>#REF!</v>
      </c>
      <c r="G419" s="306"/>
      <c r="H419" s="255"/>
      <c r="I419" s="255"/>
      <c r="J419" s="255"/>
      <c r="K419" s="256"/>
      <c r="L419" s="256"/>
      <c r="M419" s="255"/>
      <c r="N419" s="255"/>
      <c r="O419" s="255"/>
      <c r="P419" s="255"/>
      <c r="Q419" s="255"/>
    </row>
    <row r="420" spans="1:17" s="247" customFormat="1" ht="13.5" customHeight="1">
      <c r="A420" s="257" t="s">
        <v>4650</v>
      </c>
      <c r="B420" s="258" t="s">
        <v>4547</v>
      </c>
      <c r="C420" s="471" t="s">
        <v>427</v>
      </c>
      <c r="D420" s="471">
        <v>2</v>
      </c>
      <c r="E420" s="1143" t="e">
        <f>+'PTAP TIJERETAS'!#REF!</f>
        <v>#REF!</v>
      </c>
      <c r="F420" s="272" t="e">
        <f t="shared" si="21"/>
        <v>#REF!</v>
      </c>
      <c r="G420" s="306"/>
      <c r="H420" s="255"/>
      <c r="I420" s="255"/>
      <c r="J420" s="255"/>
      <c r="K420" s="256"/>
      <c r="L420" s="256"/>
      <c r="M420" s="255"/>
      <c r="N420" s="255"/>
      <c r="O420" s="255"/>
      <c r="P420" s="255"/>
      <c r="Q420" s="255"/>
    </row>
    <row r="421" spans="1:17" s="247" customFormat="1" ht="13.5" customHeight="1">
      <c r="A421" s="257" t="s">
        <v>4651</v>
      </c>
      <c r="B421" s="258" t="s">
        <v>4548</v>
      </c>
      <c r="C421" s="471" t="s">
        <v>427</v>
      </c>
      <c r="D421" s="471">
        <v>1</v>
      </c>
      <c r="E421" s="1143" t="e">
        <f>+'LINEAS IMPULSIÓN-CONDUCCIÓN'!#REF!</f>
        <v>#REF!</v>
      </c>
      <c r="F421" s="272" t="e">
        <f t="shared" si="21"/>
        <v>#REF!</v>
      </c>
      <c r="G421" s="306"/>
      <c r="H421" s="255"/>
      <c r="I421" s="255"/>
      <c r="J421" s="255"/>
      <c r="K421" s="256"/>
      <c r="L421" s="256"/>
      <c r="M421" s="255"/>
      <c r="N421" s="255"/>
      <c r="O421" s="255"/>
      <c r="P421" s="255"/>
      <c r="Q421" s="255"/>
    </row>
    <row r="422" spans="1:17" s="247" customFormat="1" ht="13.5" customHeight="1">
      <c r="A422" s="257" t="s">
        <v>4652</v>
      </c>
      <c r="B422" s="258" t="s">
        <v>4484</v>
      </c>
      <c r="C422" s="471" t="s">
        <v>427</v>
      </c>
      <c r="D422" s="471">
        <v>2</v>
      </c>
      <c r="E422" s="1143" t="e">
        <f>+'PTAP TIJERETAS'!#REF!</f>
        <v>#REF!</v>
      </c>
      <c r="F422" s="272" t="e">
        <f t="shared" si="21"/>
        <v>#REF!</v>
      </c>
      <c r="G422" s="306"/>
      <c r="H422" s="255"/>
      <c r="I422" s="255"/>
      <c r="J422" s="255"/>
      <c r="K422" s="256"/>
      <c r="L422" s="256"/>
      <c r="M422" s="255"/>
      <c r="N422" s="255"/>
      <c r="O422" s="255"/>
      <c r="P422" s="255"/>
      <c r="Q422" s="255"/>
    </row>
    <row r="423" spans="1:17" s="247" customFormat="1" ht="13.5" customHeight="1">
      <c r="A423" s="257" t="s">
        <v>4653</v>
      </c>
      <c r="B423" s="258" t="s">
        <v>4549</v>
      </c>
      <c r="C423" s="471" t="s">
        <v>427</v>
      </c>
      <c r="D423" s="471">
        <v>3</v>
      </c>
      <c r="E423" s="1143" t="e">
        <f>+'LINEAS IMPULSIÓN-CONDUCCIÓN'!#REF!</f>
        <v>#REF!</v>
      </c>
      <c r="F423" s="272" t="e">
        <f t="shared" si="21"/>
        <v>#REF!</v>
      </c>
      <c r="G423" s="306"/>
      <c r="H423" s="255"/>
      <c r="I423" s="255"/>
      <c r="J423" s="255"/>
      <c r="K423" s="256"/>
      <c r="L423" s="256"/>
      <c r="M423" s="255"/>
      <c r="N423" s="255"/>
      <c r="O423" s="255"/>
      <c r="P423" s="255"/>
      <c r="Q423" s="255"/>
    </row>
    <row r="424" spans="1:17" s="247" customFormat="1" ht="5.25" customHeight="1">
      <c r="A424" s="257"/>
      <c r="B424" s="258"/>
      <c r="C424" s="471"/>
      <c r="D424" s="259"/>
      <c r="E424" s="1143" t="e">
        <f>+'LINEAS IMPULSIÓN-CONDUCCIÓN'!#REF!</f>
        <v>#REF!</v>
      </c>
      <c r="F424" s="1283"/>
      <c r="G424" s="306"/>
      <c r="H424" s="255"/>
      <c r="I424" s="255"/>
      <c r="J424" s="255"/>
      <c r="K424" s="256"/>
      <c r="L424" s="256"/>
      <c r="M424" s="255"/>
      <c r="N424" s="255"/>
      <c r="O424" s="255"/>
      <c r="P424" s="255"/>
      <c r="Q424" s="255"/>
    </row>
    <row r="425" spans="1:17" s="247" customFormat="1" ht="16.8">
      <c r="A425" s="287" t="s">
        <v>4654</v>
      </c>
      <c r="B425" s="258" t="s">
        <v>1187</v>
      </c>
      <c r="C425" s="471" t="s">
        <v>94</v>
      </c>
      <c r="D425" s="259">
        <v>553</v>
      </c>
      <c r="E425" s="1143">
        <f>+'LINEAS IMPULSIÓN-CONDUCCIÓN'!E109</f>
        <v>12525</v>
      </c>
      <c r="F425" s="1283">
        <f>ROUND(+E425*D425,0)</f>
        <v>6926325</v>
      </c>
      <c r="G425" s="306"/>
      <c r="H425" s="255"/>
      <c r="I425" s="255"/>
    </row>
    <row r="426" spans="1:17" s="247" customFormat="1" ht="16.8">
      <c r="A426" s="257" t="s">
        <v>4655</v>
      </c>
      <c r="B426" s="258" t="s">
        <v>1188</v>
      </c>
      <c r="C426" s="471" t="s">
        <v>94</v>
      </c>
      <c r="D426" s="259">
        <v>3301</v>
      </c>
      <c r="E426" s="1143">
        <f>+'LINEAS IMPULSIÓN-CONDUCCIÓN'!E110</f>
        <v>12525</v>
      </c>
      <c r="F426" s="1283">
        <f t="shared" ref="F426:F434" si="22">ROUND(+E426*D426,0)</f>
        <v>41345025</v>
      </c>
      <c r="G426" s="306"/>
      <c r="H426" s="255"/>
      <c r="I426" s="255"/>
    </row>
    <row r="427" spans="1:17" s="247" customFormat="1" ht="16.8">
      <c r="A427" s="257" t="s">
        <v>4656</v>
      </c>
      <c r="B427" s="258" t="s">
        <v>1189</v>
      </c>
      <c r="C427" s="471" t="s">
        <v>94</v>
      </c>
      <c r="D427" s="259">
        <v>7075</v>
      </c>
      <c r="E427" s="1143">
        <f>+'LINEAS IMPULSIÓN-CONDUCCIÓN'!E111</f>
        <v>12525</v>
      </c>
      <c r="F427" s="1283">
        <f t="shared" si="22"/>
        <v>88614375</v>
      </c>
      <c r="G427" s="306"/>
      <c r="H427" s="255"/>
      <c r="I427" s="255"/>
    </row>
    <row r="428" spans="1:17" s="247" customFormat="1" ht="16.8">
      <c r="A428" s="257" t="s">
        <v>4657</v>
      </c>
      <c r="B428" s="258" t="s">
        <v>1190</v>
      </c>
      <c r="C428" s="471" t="s">
        <v>427</v>
      </c>
      <c r="D428" s="264">
        <v>9</v>
      </c>
      <c r="E428" s="1143">
        <f>+'LINEAS IMPULSIÓN-CONDUCCIÓN'!E116</f>
        <v>88893.861667976977</v>
      </c>
      <c r="F428" s="1283">
        <f t="shared" si="22"/>
        <v>800045</v>
      </c>
      <c r="G428" s="306"/>
      <c r="H428" s="255"/>
      <c r="I428" s="255"/>
      <c r="J428" s="253"/>
    </row>
    <row r="429" spans="1:17" s="247" customFormat="1" ht="16.8">
      <c r="A429" s="257" t="s">
        <v>4658</v>
      </c>
      <c r="B429" s="258" t="s">
        <v>4468</v>
      </c>
      <c r="C429" s="471" t="s">
        <v>427</v>
      </c>
      <c r="D429" s="264">
        <v>8</v>
      </c>
      <c r="E429" s="1143">
        <f>+'LINEAS IMPULSIÓN-CONDUCCIÓN'!E117</f>
        <v>88893.861667976977</v>
      </c>
      <c r="F429" s="1283">
        <f t="shared" si="22"/>
        <v>711151</v>
      </c>
      <c r="G429" s="306"/>
      <c r="H429" s="255"/>
      <c r="I429" s="255"/>
      <c r="J429" s="253"/>
    </row>
    <row r="430" spans="1:17" s="247" customFormat="1" ht="15.75" customHeight="1">
      <c r="A430" s="257" t="s">
        <v>4659</v>
      </c>
      <c r="B430" s="258" t="s">
        <v>4469</v>
      </c>
      <c r="C430" s="471" t="s">
        <v>427</v>
      </c>
      <c r="D430" s="264">
        <v>8</v>
      </c>
      <c r="E430" s="1143">
        <f>+'LINEAS IMPULSIÓN-CONDUCCIÓN'!E118</f>
        <v>88893.861667976977</v>
      </c>
      <c r="F430" s="1283">
        <f t="shared" si="22"/>
        <v>711151</v>
      </c>
      <c r="G430" s="306"/>
      <c r="H430" s="255"/>
      <c r="I430" s="255"/>
      <c r="J430" s="253"/>
    </row>
    <row r="431" spans="1:17" s="247" customFormat="1" ht="84">
      <c r="A431" s="277" t="s">
        <v>4660</v>
      </c>
      <c r="B431" s="269" t="s">
        <v>4522</v>
      </c>
      <c r="C431" s="471" t="s">
        <v>427</v>
      </c>
      <c r="D431" s="271">
        <v>10</v>
      </c>
      <c r="E431" s="1143">
        <f>+'LINEAS IMPULSIÓN-CONDUCCIÓN'!E119</f>
        <v>110366</v>
      </c>
      <c r="F431" s="1283">
        <f t="shared" si="22"/>
        <v>1103660</v>
      </c>
      <c r="G431" s="306"/>
      <c r="I431" s="255"/>
      <c r="J431" s="273"/>
      <c r="K431" s="274"/>
      <c r="L431" s="275"/>
      <c r="M431" s="255"/>
      <c r="N431" s="255"/>
      <c r="O431" s="273"/>
      <c r="P431" s="276"/>
      <c r="Q431" s="276"/>
    </row>
    <row r="432" spans="1:17" s="247" customFormat="1" ht="67.2">
      <c r="A432" s="277" t="s">
        <v>4661</v>
      </c>
      <c r="B432" s="269" t="s">
        <v>4529</v>
      </c>
      <c r="C432" s="471" t="s">
        <v>427</v>
      </c>
      <c r="D432" s="271">
        <v>9</v>
      </c>
      <c r="E432" s="1143">
        <f>+'LINEAS IMPULSIÓN-CONDUCCIÓN'!E120</f>
        <v>98014</v>
      </c>
      <c r="F432" s="1283">
        <f t="shared" si="22"/>
        <v>882126</v>
      </c>
      <c r="G432" s="306"/>
      <c r="I432" s="255"/>
      <c r="J432" s="273"/>
      <c r="K432" s="274"/>
      <c r="L432" s="275"/>
      <c r="M432" s="255"/>
      <c r="N432" s="255"/>
      <c r="O432" s="273"/>
      <c r="P432" s="276"/>
      <c r="Q432" s="276"/>
    </row>
    <row r="433" spans="1:17" s="247" customFormat="1" ht="33.6">
      <c r="A433" s="277" t="s">
        <v>4662</v>
      </c>
      <c r="B433" s="269" t="s">
        <v>4530</v>
      </c>
      <c r="C433" s="471" t="s">
        <v>427</v>
      </c>
      <c r="D433" s="271">
        <v>1</v>
      </c>
      <c r="E433" s="1143">
        <f>+'LINEAS IMPULSIÓN-CONDUCCIÓN'!E121</f>
        <v>157916</v>
      </c>
      <c r="F433" s="1283">
        <f t="shared" si="22"/>
        <v>157916</v>
      </c>
      <c r="G433" s="306"/>
      <c r="I433" s="255"/>
      <c r="J433" s="273"/>
      <c r="K433" s="274"/>
      <c r="L433" s="275"/>
      <c r="M433" s="255"/>
      <c r="N433" s="255"/>
      <c r="O433" s="273"/>
      <c r="P433" s="276"/>
      <c r="Q433" s="276"/>
    </row>
    <row r="434" spans="1:17" s="247" customFormat="1" ht="16.8">
      <c r="A434" s="257" t="s">
        <v>4663</v>
      </c>
      <c r="B434" s="1257" t="s">
        <v>4531</v>
      </c>
      <c r="C434" s="471" t="s">
        <v>427</v>
      </c>
      <c r="D434" s="271">
        <v>2</v>
      </c>
      <c r="E434" s="1143">
        <f>+'LINEAS IMPULSIÓN-CONDUCCIÓN'!E122</f>
        <v>861036.31183025776</v>
      </c>
      <c r="F434" s="1283">
        <f t="shared" si="22"/>
        <v>1722073</v>
      </c>
      <c r="G434" s="306"/>
      <c r="I434" s="255"/>
      <c r="J434" s="273"/>
      <c r="K434" s="274"/>
      <c r="L434" s="275"/>
      <c r="M434" s="255"/>
      <c r="N434" s="255"/>
      <c r="O434" s="273"/>
      <c r="P434" s="276"/>
      <c r="Q434" s="276"/>
    </row>
    <row r="435" spans="1:17" ht="14.4" thickBot="1">
      <c r="A435" s="942"/>
      <c r="B435" s="945"/>
      <c r="C435" s="1202"/>
      <c r="D435" s="1203"/>
      <c r="E435" s="1148"/>
      <c r="F435" s="1148"/>
    </row>
    <row r="436" spans="1:17" ht="26.25" customHeight="1" thickBot="1">
      <c r="A436" s="3834" t="s">
        <v>4312</v>
      </c>
      <c r="B436" s="3835"/>
      <c r="C436" s="3835"/>
      <c r="D436" s="3835"/>
      <c r="E436" s="3836"/>
      <c r="F436" s="1163" t="e">
        <f>ROUND(SUM(F358,F360:F365,F367:F375,F377:F384,F386:F434),0)</f>
        <v>#REF!</v>
      </c>
    </row>
    <row r="437" spans="1:17" s="3775" customFormat="1" ht="15.75" customHeight="1" thickBot="1">
      <c r="A437" s="3773"/>
      <c r="B437" s="3774"/>
      <c r="C437" s="3774"/>
      <c r="D437" s="3774"/>
      <c r="E437" s="3774"/>
      <c r="F437" s="3774"/>
      <c r="G437" s="3774"/>
      <c r="H437" s="3774"/>
      <c r="I437" s="3774"/>
      <c r="J437" s="3774"/>
      <c r="K437" s="3774"/>
      <c r="L437" s="3774"/>
      <c r="M437" s="3774"/>
      <c r="N437" s="3774"/>
      <c r="O437" s="3774"/>
      <c r="P437" s="3774"/>
    </row>
    <row r="438" spans="1:17" s="516" customFormat="1" ht="25.5" customHeight="1" thickBot="1">
      <c r="A438" s="3837" t="s">
        <v>4314</v>
      </c>
      <c r="B438" s="3838"/>
      <c r="C438" s="3838"/>
      <c r="D438" s="3838"/>
      <c r="E438" s="3838"/>
      <c r="F438" s="3839"/>
      <c r="H438" s="1103"/>
    </row>
    <row r="439" spans="1:17" ht="19.5" customHeight="1">
      <c r="A439" s="3826" t="s">
        <v>1370</v>
      </c>
      <c r="B439" s="3827"/>
      <c r="C439" s="3827"/>
      <c r="D439" s="3827"/>
      <c r="E439" s="3827"/>
      <c r="F439" s="3828"/>
    </row>
    <row r="440" spans="1:17" ht="20.25" customHeight="1">
      <c r="A440" s="1085">
        <v>1</v>
      </c>
      <c r="B440" s="1087" t="s">
        <v>1372</v>
      </c>
      <c r="C440" s="1210"/>
      <c r="D440" s="1210"/>
      <c r="E440" s="1164"/>
      <c r="F440" s="1165">
        <f>+SUM(F441:F445)</f>
        <v>11364836</v>
      </c>
    </row>
    <row r="441" spans="1:17" ht="22.5" customHeight="1">
      <c r="A441" s="1248" t="s">
        <v>34</v>
      </c>
      <c r="B441" s="1251" t="s">
        <v>1442</v>
      </c>
      <c r="C441" s="1246" t="s">
        <v>1002</v>
      </c>
      <c r="D441" s="1247">
        <v>442.58199999999999</v>
      </c>
      <c r="E441" s="1240">
        <f>+' TANQUE PATAGONIA'!F10</f>
        <v>2356</v>
      </c>
      <c r="F441" s="1252">
        <f>+ROUND(E441*D441,0)</f>
        <v>1042723</v>
      </c>
      <c r="G441" s="522"/>
    </row>
    <row r="442" spans="1:17" ht="19.5" customHeight="1">
      <c r="A442" s="514" t="s">
        <v>1443</v>
      </c>
      <c r="B442" s="964" t="s">
        <v>1374</v>
      </c>
      <c r="C442" s="1201" t="s">
        <v>1002</v>
      </c>
      <c r="D442" s="1201">
        <v>2000</v>
      </c>
      <c r="E442" s="1143">
        <f>+' TANQUE PATAGONIA'!F11</f>
        <v>2904.8114772599997</v>
      </c>
      <c r="F442" s="1151">
        <f t="shared" ref="F442:F478" si="23">+ROUND(E442*D442,0)</f>
        <v>5809623</v>
      </c>
      <c r="G442" s="522"/>
    </row>
    <row r="443" spans="1:17" ht="19.5" customHeight="1">
      <c r="A443" s="514" t="s">
        <v>1444</v>
      </c>
      <c r="B443" s="520" t="s">
        <v>1375</v>
      </c>
      <c r="C443" s="1201" t="s">
        <v>1292</v>
      </c>
      <c r="D443" s="1201">
        <v>135</v>
      </c>
      <c r="E443" s="1143">
        <f>+' TANQUE PATAGONIA'!F12</f>
        <v>24714.739345036</v>
      </c>
      <c r="F443" s="1151">
        <f t="shared" si="23"/>
        <v>3336490</v>
      </c>
      <c r="G443" s="522"/>
    </row>
    <row r="444" spans="1:17" ht="26.4">
      <c r="A444" s="514" t="s">
        <v>1445</v>
      </c>
      <c r="B444" s="520" t="s">
        <v>1376</v>
      </c>
      <c r="C444" s="1201" t="s">
        <v>363</v>
      </c>
      <c r="D444" s="1201">
        <v>2</v>
      </c>
      <c r="E444" s="1143">
        <f>+' TANQUE PATAGONIA'!F13</f>
        <v>218000</v>
      </c>
      <c r="F444" s="1151">
        <f t="shared" si="23"/>
        <v>436000</v>
      </c>
      <c r="G444" s="522"/>
    </row>
    <row r="445" spans="1:17" ht="27" customHeight="1">
      <c r="A445" s="514" t="s">
        <v>814</v>
      </c>
      <c r="B445" s="520" t="s">
        <v>1377</v>
      </c>
      <c r="C445" s="1201" t="s">
        <v>363</v>
      </c>
      <c r="D445" s="1201">
        <v>2</v>
      </c>
      <c r="E445" s="1143">
        <f>+' TANQUE PATAGONIA'!F14</f>
        <v>370000</v>
      </c>
      <c r="F445" s="1151">
        <f t="shared" si="23"/>
        <v>740000</v>
      </c>
      <c r="G445" s="522"/>
    </row>
    <row r="446" spans="1:17" ht="22.5" customHeight="1">
      <c r="A446" s="1085">
        <v>2</v>
      </c>
      <c r="B446" s="1087" t="s">
        <v>1379</v>
      </c>
      <c r="C446" s="1211"/>
      <c r="D446" s="1211"/>
      <c r="E446" s="1166">
        <f>+' TANQUE PATAGONIA'!F15</f>
        <v>0</v>
      </c>
      <c r="F446" s="1165">
        <f>+ROUND(SUM(F447:F449),0)</f>
        <v>40703892</v>
      </c>
      <c r="G446" s="522"/>
    </row>
    <row r="447" spans="1:17" ht="28.5" customHeight="1">
      <c r="A447" s="514">
        <v>2.1</v>
      </c>
      <c r="B447" s="520" t="s">
        <v>1093</v>
      </c>
      <c r="C447" s="1201" t="s">
        <v>1292</v>
      </c>
      <c r="D447" s="1201">
        <v>1689</v>
      </c>
      <c r="E447" s="1143">
        <f>+' TANQUE PATAGONIA'!F16</f>
        <v>10000</v>
      </c>
      <c r="F447" s="1151">
        <f t="shared" si="23"/>
        <v>16890000</v>
      </c>
      <c r="G447" s="522"/>
    </row>
    <row r="448" spans="1:17" ht="34.5" customHeight="1">
      <c r="A448" s="514" t="s">
        <v>1446</v>
      </c>
      <c r="B448" s="520" t="s">
        <v>1447</v>
      </c>
      <c r="C448" s="1201" t="s">
        <v>1292</v>
      </c>
      <c r="D448" s="1201">
        <v>1054</v>
      </c>
      <c r="E448" s="1143">
        <f>+' TANQUE PATAGONIA'!F17</f>
        <v>15000</v>
      </c>
      <c r="F448" s="1151">
        <f t="shared" si="23"/>
        <v>15810000</v>
      </c>
      <c r="G448" s="522"/>
    </row>
    <row r="449" spans="1:7" ht="23.25" customHeight="1">
      <c r="A449" s="514">
        <v>2.2999999999999998</v>
      </c>
      <c r="B449" s="520" t="s">
        <v>1448</v>
      </c>
      <c r="C449" s="1201" t="s">
        <v>1292</v>
      </c>
      <c r="D449" s="1201">
        <v>105.4</v>
      </c>
      <c r="E449" s="1143">
        <f>+' TANQUE PATAGONIA'!F18</f>
        <v>75938.251377333334</v>
      </c>
      <c r="F449" s="1151">
        <f t="shared" si="23"/>
        <v>8003892</v>
      </c>
      <c r="G449" s="522"/>
    </row>
    <row r="450" spans="1:7" ht="22.5" customHeight="1">
      <c r="A450" s="1085" t="s">
        <v>1449</v>
      </c>
      <c r="B450" s="1087" t="s">
        <v>1450</v>
      </c>
      <c r="C450" s="1210"/>
      <c r="D450" s="1210"/>
      <c r="E450" s="1164">
        <f>+' TANQUE PATAGONIA'!F19</f>
        <v>0</v>
      </c>
      <c r="F450" s="1165">
        <f>+SUM(F451:F452)</f>
        <v>9489050</v>
      </c>
      <c r="G450" s="522"/>
    </row>
    <row r="451" spans="1:7" ht="22.5" customHeight="1">
      <c r="A451" s="514" t="s">
        <v>36</v>
      </c>
      <c r="B451" s="520" t="s">
        <v>1380</v>
      </c>
      <c r="C451" s="1201" t="s">
        <v>1002</v>
      </c>
      <c r="D451" s="1201">
        <v>500</v>
      </c>
      <c r="E451" s="1143">
        <f>+' TANQUE PATAGONIA'!F20</f>
        <v>18238</v>
      </c>
      <c r="F451" s="1151">
        <f t="shared" si="23"/>
        <v>9119000</v>
      </c>
      <c r="G451" s="522"/>
    </row>
    <row r="452" spans="1:7" ht="20.25" customHeight="1">
      <c r="A452" s="514" t="s">
        <v>1451</v>
      </c>
      <c r="B452" s="520" t="s">
        <v>1452</v>
      </c>
      <c r="C452" s="1201" t="s">
        <v>1002</v>
      </c>
      <c r="D452" s="1201">
        <v>10</v>
      </c>
      <c r="E452" s="1143">
        <f>+' TANQUE PATAGONIA'!F21</f>
        <v>37005</v>
      </c>
      <c r="F452" s="1151">
        <f t="shared" si="23"/>
        <v>370050</v>
      </c>
      <c r="G452" s="522"/>
    </row>
    <row r="453" spans="1:7" ht="19.5" customHeight="1">
      <c r="A453" s="1083">
        <v>4</v>
      </c>
      <c r="B453" s="1087" t="s">
        <v>1453</v>
      </c>
      <c r="C453" s="1211"/>
      <c r="D453" s="1211"/>
      <c r="E453" s="1166">
        <f>+' TANQUE PATAGONIA'!F22</f>
        <v>0</v>
      </c>
      <c r="F453" s="1165">
        <f>+SUM(F454:F456)</f>
        <v>12126528</v>
      </c>
      <c r="G453" s="522"/>
    </row>
    <row r="454" spans="1:7" ht="41.25" customHeight="1">
      <c r="A454" s="514">
        <v>4.0999999999999996</v>
      </c>
      <c r="B454" s="520" t="s">
        <v>1102</v>
      </c>
      <c r="C454" s="1201" t="s">
        <v>1292</v>
      </c>
      <c r="D454" s="1201">
        <v>624</v>
      </c>
      <c r="E454" s="1143">
        <f>+' TANQUE PATAGONIA'!F23</f>
        <v>12212</v>
      </c>
      <c r="F454" s="1151">
        <f t="shared" si="23"/>
        <v>7620288</v>
      </c>
      <c r="G454" s="522"/>
    </row>
    <row r="455" spans="1:7" ht="26.4">
      <c r="A455" s="514">
        <v>4.2</v>
      </c>
      <c r="B455" s="520" t="s">
        <v>1454</v>
      </c>
      <c r="C455" s="1201" t="s">
        <v>1292</v>
      </c>
      <c r="D455" s="1201">
        <v>37.200000000000003</v>
      </c>
      <c r="E455" s="1143">
        <f>+' TANQUE PATAGONIA'!F24</f>
        <v>87012</v>
      </c>
      <c r="F455" s="1151">
        <f t="shared" si="23"/>
        <v>3236846</v>
      </c>
      <c r="G455" s="522"/>
    </row>
    <row r="456" spans="1:7" ht="17.25" customHeight="1">
      <c r="A456" s="514">
        <v>4.3</v>
      </c>
      <c r="B456" s="520" t="s">
        <v>1455</v>
      </c>
      <c r="C456" s="1201" t="s">
        <v>1292</v>
      </c>
      <c r="D456" s="1201">
        <v>24.5</v>
      </c>
      <c r="E456" s="1143">
        <f>+' TANQUE PATAGONIA'!F25</f>
        <v>51812</v>
      </c>
      <c r="F456" s="1151">
        <f t="shared" si="23"/>
        <v>1269394</v>
      </c>
      <c r="G456" s="522"/>
    </row>
    <row r="457" spans="1:7" ht="15" customHeight="1">
      <c r="A457" s="1083">
        <v>5</v>
      </c>
      <c r="B457" s="1093" t="s">
        <v>1456</v>
      </c>
      <c r="C457" s="1199"/>
      <c r="D457" s="1199"/>
      <c r="E457" s="1142">
        <f>+' TANQUE PATAGONIA'!F26</f>
        <v>0</v>
      </c>
      <c r="F457" s="1150" t="e">
        <f>+SUM(F458:F459)</f>
        <v>#REF!</v>
      </c>
      <c r="G457" s="522"/>
    </row>
    <row r="458" spans="1:7" ht="18.75" customHeight="1">
      <c r="A458" s="514">
        <v>5.0999999999999996</v>
      </c>
      <c r="B458" s="520" t="s">
        <v>1457</v>
      </c>
      <c r="C458" s="1201" t="s">
        <v>1292</v>
      </c>
      <c r="D458" s="1201">
        <v>67</v>
      </c>
      <c r="E458" s="1143" t="e">
        <f>+' TANQUE PATAGONIA'!#REF!</f>
        <v>#REF!</v>
      </c>
      <c r="F458" s="1151" t="e">
        <f t="shared" si="23"/>
        <v>#REF!</v>
      </c>
      <c r="G458" s="522"/>
    </row>
    <row r="459" spans="1:7" ht="22.5" customHeight="1">
      <c r="A459" s="514">
        <v>5.2</v>
      </c>
      <c r="B459" s="520" t="s">
        <v>1384</v>
      </c>
      <c r="C459" s="1201" t="s">
        <v>1292</v>
      </c>
      <c r="D459" s="1201">
        <v>2751</v>
      </c>
      <c r="E459" s="1143">
        <f>+' TANQUE PATAGONIA'!F27</f>
        <v>1826.1904761904761</v>
      </c>
      <c r="F459" s="1151">
        <f t="shared" si="23"/>
        <v>5023850</v>
      </c>
      <c r="G459" s="522"/>
    </row>
    <row r="460" spans="1:7" ht="15" customHeight="1">
      <c r="A460" s="1083">
        <v>6</v>
      </c>
      <c r="B460" s="1093" t="s">
        <v>1393</v>
      </c>
      <c r="C460" s="1209"/>
      <c r="D460" s="1209"/>
      <c r="E460" s="1158">
        <f>+' TANQUE PATAGONIA'!F28</f>
        <v>0</v>
      </c>
      <c r="F460" s="1150">
        <f>+SUM(F461:F467)</f>
        <v>300381057</v>
      </c>
      <c r="G460" s="522"/>
    </row>
    <row r="461" spans="1:7" ht="22.5" customHeight="1">
      <c r="A461" s="514">
        <v>6.1</v>
      </c>
      <c r="B461" s="520" t="s">
        <v>1458</v>
      </c>
      <c r="C461" s="1201" t="s">
        <v>1292</v>
      </c>
      <c r="D461" s="1201">
        <v>40</v>
      </c>
      <c r="E461" s="1143">
        <f>+' TANQUE PATAGONIA'!F29</f>
        <v>481933.30964979</v>
      </c>
      <c r="F461" s="1151">
        <f t="shared" si="23"/>
        <v>19277332</v>
      </c>
      <c r="G461" s="522"/>
    </row>
    <row r="462" spans="1:7" ht="30" customHeight="1">
      <c r="A462" s="514">
        <v>6.2</v>
      </c>
      <c r="B462" s="520" t="s">
        <v>1459</v>
      </c>
      <c r="C462" s="1201" t="s">
        <v>1292</v>
      </c>
      <c r="D462" s="1201">
        <v>45</v>
      </c>
      <c r="E462" s="1143">
        <f>+' TANQUE PATAGONIA'!F30</f>
        <v>710152.3017086701</v>
      </c>
      <c r="F462" s="1151">
        <f t="shared" si="23"/>
        <v>31956854</v>
      </c>
      <c r="G462" s="522"/>
    </row>
    <row r="463" spans="1:7" ht="33" customHeight="1">
      <c r="A463" s="514">
        <v>6.3</v>
      </c>
      <c r="B463" s="520" t="s">
        <v>1460</v>
      </c>
      <c r="C463" s="1201" t="s">
        <v>1292</v>
      </c>
      <c r="D463" s="1201">
        <v>144</v>
      </c>
      <c r="E463" s="1143">
        <f>+' TANQUE PATAGONIA'!F31</f>
        <v>724892.74177067797</v>
      </c>
      <c r="F463" s="1151">
        <f t="shared" si="23"/>
        <v>104384555</v>
      </c>
      <c r="G463" s="522"/>
    </row>
    <row r="464" spans="1:7" ht="26.4">
      <c r="A464" s="514">
        <v>6.4</v>
      </c>
      <c r="B464" s="520" t="s">
        <v>1461</v>
      </c>
      <c r="C464" s="1201" t="s">
        <v>1292</v>
      </c>
      <c r="D464" s="1201">
        <v>67</v>
      </c>
      <c r="E464" s="1143">
        <f>+' TANQUE PATAGONIA'!F32</f>
        <v>759372.49177067808</v>
      </c>
      <c r="F464" s="1151">
        <f t="shared" si="23"/>
        <v>50877957</v>
      </c>
      <c r="G464" s="522"/>
    </row>
    <row r="465" spans="1:8" ht="32.25" customHeight="1">
      <c r="A465" s="514">
        <v>6.5</v>
      </c>
      <c r="B465" s="520" t="s">
        <v>1462</v>
      </c>
      <c r="C465" s="1201" t="s">
        <v>1292</v>
      </c>
      <c r="D465" s="1201">
        <v>130</v>
      </c>
      <c r="E465" s="1143">
        <f>+' TANQUE PATAGONIA'!F33</f>
        <v>703325</v>
      </c>
      <c r="F465" s="1151">
        <f t="shared" si="23"/>
        <v>91432250</v>
      </c>
      <c r="G465" s="522"/>
    </row>
    <row r="466" spans="1:8" ht="30.75" customHeight="1">
      <c r="A466" s="514">
        <v>6.6</v>
      </c>
      <c r="B466" s="520" t="s">
        <v>1381</v>
      </c>
      <c r="C466" s="1201" t="s">
        <v>1292</v>
      </c>
      <c r="D466" s="1201">
        <v>2</v>
      </c>
      <c r="E466" s="1143">
        <f>+' TANQUE PATAGONIA'!F34</f>
        <v>727437.63504200336</v>
      </c>
      <c r="F466" s="1151">
        <f t="shared" si="23"/>
        <v>1454875</v>
      </c>
      <c r="G466" s="522"/>
    </row>
    <row r="467" spans="1:8" ht="33" customHeight="1">
      <c r="A467" s="514">
        <v>6.7</v>
      </c>
      <c r="B467" s="520" t="s">
        <v>1463</v>
      </c>
      <c r="C467" s="1201" t="s">
        <v>363</v>
      </c>
      <c r="D467" s="1201">
        <v>1</v>
      </c>
      <c r="E467" s="1143">
        <f>+' TANQUE PATAGONIA'!F35</f>
        <v>997234.17301162367</v>
      </c>
      <c r="F467" s="1151">
        <f t="shared" si="23"/>
        <v>997234</v>
      </c>
      <c r="G467" s="522"/>
    </row>
    <row r="468" spans="1:8" ht="27.75" customHeight="1">
      <c r="A468" s="1085">
        <v>7</v>
      </c>
      <c r="B468" s="1087" t="s">
        <v>1382</v>
      </c>
      <c r="C468" s="1210"/>
      <c r="D468" s="1210"/>
      <c r="E468" s="1164">
        <f>+' TANQUE PATAGONIA'!F36</f>
        <v>0</v>
      </c>
      <c r="F468" s="1165">
        <f>+SUM(F469)</f>
        <v>111694591</v>
      </c>
      <c r="G468" s="522"/>
    </row>
    <row r="469" spans="1:8" ht="22.5" customHeight="1">
      <c r="A469" s="514">
        <v>7.1</v>
      </c>
      <c r="B469" s="520" t="s">
        <v>1464</v>
      </c>
      <c r="C469" s="1201" t="s">
        <v>647</v>
      </c>
      <c r="D469" s="1201">
        <v>28359</v>
      </c>
      <c r="E469" s="1143">
        <f>+' TANQUE PATAGONIA'!F37</f>
        <v>3938.5941163025</v>
      </c>
      <c r="F469" s="1151">
        <f t="shared" si="23"/>
        <v>111694591</v>
      </c>
      <c r="G469" s="522"/>
    </row>
    <row r="470" spans="1:8" ht="18" customHeight="1">
      <c r="A470" s="1083">
        <v>8</v>
      </c>
      <c r="B470" s="1087" t="s">
        <v>1465</v>
      </c>
      <c r="C470" s="1210"/>
      <c r="D470" s="1210"/>
      <c r="E470" s="1164">
        <f>+' TANQUE PATAGONIA'!F38</f>
        <v>0</v>
      </c>
      <c r="F470" s="1165">
        <f>+F471</f>
        <v>18551413</v>
      </c>
      <c r="G470" s="522"/>
    </row>
    <row r="471" spans="1:8">
      <c r="A471" s="514">
        <v>8.1</v>
      </c>
      <c r="B471" s="520" t="s">
        <v>1466</v>
      </c>
      <c r="C471" s="1201" t="s">
        <v>94</v>
      </c>
      <c r="D471" s="1201">
        <v>424</v>
      </c>
      <c r="E471" s="1143">
        <f>+' TANQUE PATAGONIA'!F39</f>
        <v>43753.333333333372</v>
      </c>
      <c r="F471" s="1151">
        <f t="shared" si="23"/>
        <v>18551413</v>
      </c>
      <c r="G471" s="522"/>
    </row>
    <row r="472" spans="1:8">
      <c r="A472" s="1083">
        <v>9</v>
      </c>
      <c r="B472" s="1093" t="s">
        <v>1467</v>
      </c>
      <c r="C472" s="1209"/>
      <c r="D472" s="1209"/>
      <c r="E472" s="1158">
        <f>+' TANQUE PATAGONIA'!F40</f>
        <v>0</v>
      </c>
      <c r="F472" s="1150">
        <f>+SUM(F473)</f>
        <v>19945908</v>
      </c>
      <c r="G472" s="522"/>
    </row>
    <row r="473" spans="1:8" ht="26.4">
      <c r="A473" s="514">
        <v>9.1</v>
      </c>
      <c r="B473" s="520" t="s">
        <v>1468</v>
      </c>
      <c r="C473" s="1201" t="s">
        <v>94</v>
      </c>
      <c r="D473" s="1201">
        <v>195</v>
      </c>
      <c r="E473" s="1143">
        <f>+' TANQUE PATAGONIA'!F41</f>
        <v>102286.7096074</v>
      </c>
      <c r="F473" s="1151">
        <f t="shared" si="23"/>
        <v>19945908</v>
      </c>
      <c r="G473" s="522"/>
    </row>
    <row r="474" spans="1:8" s="963" customFormat="1">
      <c r="A474" s="1083">
        <v>10</v>
      </c>
      <c r="B474" s="1093" t="s">
        <v>1469</v>
      </c>
      <c r="C474" s="1199"/>
      <c r="D474" s="1199"/>
      <c r="E474" s="1142">
        <f>+' TANQUE PATAGONIA'!F42</f>
        <v>0</v>
      </c>
      <c r="F474" s="1150" t="e">
        <f>+SUM(F475:F478)</f>
        <v>#REF!</v>
      </c>
      <c r="G474" s="962"/>
      <c r="H474" s="1106"/>
    </row>
    <row r="475" spans="1:8" ht="26.4">
      <c r="A475" s="514">
        <v>10.1</v>
      </c>
      <c r="B475" s="520" t="s">
        <v>1470</v>
      </c>
      <c r="C475" s="1201" t="s">
        <v>363</v>
      </c>
      <c r="D475" s="1201">
        <v>1</v>
      </c>
      <c r="E475" s="1143">
        <f>+' TANQUE PATAGONIA'!F43</f>
        <v>2438617.5063487096</v>
      </c>
      <c r="F475" s="1151">
        <f t="shared" si="23"/>
        <v>2438618</v>
      </c>
      <c r="G475" s="522"/>
    </row>
    <row r="476" spans="1:8" ht="26.4">
      <c r="A476" s="514">
        <v>10.199999999999999</v>
      </c>
      <c r="B476" s="520" t="s">
        <v>1471</v>
      </c>
      <c r="C476" s="1201" t="s">
        <v>363</v>
      </c>
      <c r="D476" s="1201">
        <v>1</v>
      </c>
      <c r="E476" s="1143" t="e">
        <f>+' TANQUE PATAGONIA'!#REF!</f>
        <v>#REF!</v>
      </c>
      <c r="F476" s="1151" t="e">
        <f t="shared" si="23"/>
        <v>#REF!</v>
      </c>
      <c r="G476" s="522"/>
    </row>
    <row r="477" spans="1:8">
      <c r="A477" s="514">
        <v>10.3</v>
      </c>
      <c r="B477" s="520" t="s">
        <v>1472</v>
      </c>
      <c r="C477" s="1201" t="s">
        <v>94</v>
      </c>
      <c r="D477" s="1201">
        <v>2</v>
      </c>
      <c r="E477" s="1143" t="e">
        <f>+' TANQUE PATAGONIA'!#REF!</f>
        <v>#REF!</v>
      </c>
      <c r="F477" s="1151" t="e">
        <f t="shared" si="23"/>
        <v>#REF!</v>
      </c>
      <c r="G477" s="522"/>
    </row>
    <row r="478" spans="1:8">
      <c r="A478" s="514">
        <v>10.4</v>
      </c>
      <c r="B478" s="520" t="s">
        <v>1473</v>
      </c>
      <c r="C478" s="1201" t="s">
        <v>363</v>
      </c>
      <c r="D478" s="1201">
        <v>7</v>
      </c>
      <c r="E478" s="1143" t="e">
        <f>+' TANQUE PATAGONIA'!#REF!</f>
        <v>#REF!</v>
      </c>
      <c r="F478" s="1151" t="e">
        <f t="shared" si="23"/>
        <v>#REF!</v>
      </c>
      <c r="G478" s="522"/>
    </row>
    <row r="479" spans="1:8" ht="13.2">
      <c r="A479" s="1056"/>
      <c r="B479" s="3772" t="s">
        <v>1389</v>
      </c>
      <c r="C479" s="3772"/>
      <c r="D479" s="3772"/>
      <c r="E479" s="3772"/>
      <c r="F479" s="3772"/>
      <c r="G479" s="522"/>
    </row>
    <row r="480" spans="1:8" s="963" customFormat="1" ht="17.25" customHeight="1">
      <c r="A480" s="1083" t="s">
        <v>1474</v>
      </c>
      <c r="B480" s="1087" t="s">
        <v>4326</v>
      </c>
      <c r="C480" s="1211"/>
      <c r="D480" s="1211"/>
      <c r="E480" s="1166"/>
      <c r="F480" s="1165">
        <f>+F481</f>
        <v>344610</v>
      </c>
      <c r="G480" s="962"/>
      <c r="H480" s="1106"/>
    </row>
    <row r="481" spans="1:8">
      <c r="A481" s="514" t="s">
        <v>1476</v>
      </c>
      <c r="B481" s="964" t="s">
        <v>4342</v>
      </c>
      <c r="C481" s="1201" t="s">
        <v>94</v>
      </c>
      <c r="D481" s="1201">
        <v>90</v>
      </c>
      <c r="E481" s="1143">
        <f>+' TANQUE PATAGONIA'!F46</f>
        <v>3829</v>
      </c>
      <c r="F481" s="1151">
        <f>ROUND(+E481*D481,0)</f>
        <v>344610</v>
      </c>
      <c r="G481" s="522"/>
    </row>
    <row r="482" spans="1:8" s="963" customFormat="1" ht="26.4">
      <c r="A482" s="1083" t="s">
        <v>1478</v>
      </c>
      <c r="B482" s="1087" t="s">
        <v>4327</v>
      </c>
      <c r="C482" s="1211"/>
      <c r="D482" s="1211"/>
      <c r="E482" s="1166" t="e">
        <f>+' TANQUE PATAGONIA'!#REF!</f>
        <v>#REF!</v>
      </c>
      <c r="F482" s="1165" t="e">
        <f>+SUM(F483:F498)</f>
        <v>#REF!</v>
      </c>
      <c r="G482" s="962"/>
      <c r="H482" s="1106"/>
    </row>
    <row r="483" spans="1:8">
      <c r="A483" s="514" t="s">
        <v>1480</v>
      </c>
      <c r="B483" s="964" t="s">
        <v>1481</v>
      </c>
      <c r="C483" s="1201" t="s">
        <v>363</v>
      </c>
      <c r="D483" s="1201">
        <v>1</v>
      </c>
      <c r="E483" s="1143" t="e">
        <f>+' TANQUE PATAGONIA'!#REF!</f>
        <v>#REF!</v>
      </c>
      <c r="F483" s="1151" t="e">
        <f t="shared" ref="F483:F501" si="24">ROUND(+E483*D483,0)</f>
        <v>#REF!</v>
      </c>
      <c r="G483" s="522"/>
    </row>
    <row r="484" spans="1:8">
      <c r="A484" s="514" t="s">
        <v>1482</v>
      </c>
      <c r="B484" s="520" t="s">
        <v>1483</v>
      </c>
      <c r="C484" s="1201" t="s">
        <v>363</v>
      </c>
      <c r="D484" s="1201">
        <v>7</v>
      </c>
      <c r="E484" s="1143" t="e">
        <f>+' TANQUE PATAGONIA'!#REF!</f>
        <v>#REF!</v>
      </c>
      <c r="F484" s="1151" t="e">
        <f t="shared" si="24"/>
        <v>#REF!</v>
      </c>
      <c r="G484" s="522"/>
    </row>
    <row r="485" spans="1:8">
      <c r="A485" s="514" t="s">
        <v>1484</v>
      </c>
      <c r="B485" s="520" t="s">
        <v>1485</v>
      </c>
      <c r="C485" s="1201" t="s">
        <v>363</v>
      </c>
      <c r="D485" s="1201">
        <v>3</v>
      </c>
      <c r="E485" s="1143" t="e">
        <f>+' TANQUE PATAGONIA'!#REF!</f>
        <v>#REF!</v>
      </c>
      <c r="F485" s="1151" t="e">
        <f t="shared" si="24"/>
        <v>#REF!</v>
      </c>
      <c r="G485" s="522"/>
    </row>
    <row r="486" spans="1:8">
      <c r="A486" s="514" t="s">
        <v>1486</v>
      </c>
      <c r="B486" s="520" t="s">
        <v>1487</v>
      </c>
      <c r="C486" s="1201" t="s">
        <v>363</v>
      </c>
      <c r="D486" s="1201">
        <v>10</v>
      </c>
      <c r="E486" s="1143" t="e">
        <f>+' TANQUE PATAGONIA'!#REF!</f>
        <v>#REF!</v>
      </c>
      <c r="F486" s="1151" t="e">
        <f t="shared" si="24"/>
        <v>#REF!</v>
      </c>
      <c r="G486" s="522"/>
    </row>
    <row r="487" spans="1:8">
      <c r="A487" s="514" t="s">
        <v>1488</v>
      </c>
      <c r="B487" s="520" t="s">
        <v>1489</v>
      </c>
      <c r="C487" s="1201" t="s">
        <v>363</v>
      </c>
      <c r="D487" s="1201">
        <v>2</v>
      </c>
      <c r="E487" s="1143" t="e">
        <f>+' TANQUE PATAGONIA'!#REF!</f>
        <v>#REF!</v>
      </c>
      <c r="F487" s="1151" t="e">
        <f t="shared" si="24"/>
        <v>#REF!</v>
      </c>
      <c r="G487" s="522"/>
    </row>
    <row r="488" spans="1:8">
      <c r="A488" s="514" t="s">
        <v>1490</v>
      </c>
      <c r="B488" s="520" t="s">
        <v>1491</v>
      </c>
      <c r="C488" s="1201" t="s">
        <v>363</v>
      </c>
      <c r="D488" s="1201">
        <v>1</v>
      </c>
      <c r="E488" s="1143" t="e">
        <f>+' TANQUE PATAGONIA'!#REF!</f>
        <v>#REF!</v>
      </c>
      <c r="F488" s="1151" t="e">
        <f t="shared" si="24"/>
        <v>#REF!</v>
      </c>
      <c r="G488" s="522"/>
    </row>
    <row r="489" spans="1:8">
      <c r="A489" s="514" t="s">
        <v>1492</v>
      </c>
      <c r="B489" s="520" t="s">
        <v>1493</v>
      </c>
      <c r="C489" s="1201" t="s">
        <v>363</v>
      </c>
      <c r="D489" s="1201">
        <v>2</v>
      </c>
      <c r="E489" s="1143" t="e">
        <f>+' TANQUE PATAGONIA'!#REF!</f>
        <v>#REF!</v>
      </c>
      <c r="F489" s="1151" t="e">
        <f t="shared" si="24"/>
        <v>#REF!</v>
      </c>
      <c r="G489" s="522"/>
    </row>
    <row r="490" spans="1:8">
      <c r="A490" s="514" t="s">
        <v>1494</v>
      </c>
      <c r="B490" s="520" t="s">
        <v>1495</v>
      </c>
      <c r="C490" s="1201" t="s">
        <v>363</v>
      </c>
      <c r="D490" s="1201">
        <v>8</v>
      </c>
      <c r="E490" s="1143" t="e">
        <f>+' TANQUE PATAGONIA'!#REF!</f>
        <v>#REF!</v>
      </c>
      <c r="F490" s="1151" t="e">
        <f t="shared" si="24"/>
        <v>#REF!</v>
      </c>
      <c r="G490" s="522"/>
    </row>
    <row r="491" spans="1:8">
      <c r="A491" s="514" t="s">
        <v>1496</v>
      </c>
      <c r="B491" s="520" t="s">
        <v>1497</v>
      </c>
      <c r="C491" s="1201" t="s">
        <v>363</v>
      </c>
      <c r="D491" s="1201">
        <v>6</v>
      </c>
      <c r="E491" s="1143" t="e">
        <f>+' TANQUE PATAGONIA'!#REF!</f>
        <v>#REF!</v>
      </c>
      <c r="F491" s="1151" t="e">
        <f t="shared" si="24"/>
        <v>#REF!</v>
      </c>
      <c r="G491" s="522"/>
    </row>
    <row r="492" spans="1:8">
      <c r="A492" s="514" t="s">
        <v>1498</v>
      </c>
      <c r="B492" s="520" t="s">
        <v>1499</v>
      </c>
      <c r="C492" s="1201" t="s">
        <v>363</v>
      </c>
      <c r="D492" s="1201">
        <v>2</v>
      </c>
      <c r="E492" s="1143" t="e">
        <f>+' TANQUE PATAGONIA'!#REF!</f>
        <v>#REF!</v>
      </c>
      <c r="F492" s="1151" t="e">
        <f t="shared" si="24"/>
        <v>#REF!</v>
      </c>
      <c r="G492" s="522"/>
    </row>
    <row r="493" spans="1:8">
      <c r="A493" s="514" t="s">
        <v>1500</v>
      </c>
      <c r="B493" s="520" t="s">
        <v>1501</v>
      </c>
      <c r="C493" s="1201" t="s">
        <v>363</v>
      </c>
      <c r="D493" s="1201">
        <v>2</v>
      </c>
      <c r="E493" s="1143" t="e">
        <f>+' TANQUE PATAGONIA'!#REF!</f>
        <v>#REF!</v>
      </c>
      <c r="F493" s="1151" t="e">
        <f t="shared" si="24"/>
        <v>#REF!</v>
      </c>
      <c r="G493" s="522"/>
    </row>
    <row r="494" spans="1:8">
      <c r="A494" s="514" t="s">
        <v>1502</v>
      </c>
      <c r="B494" s="520" t="s">
        <v>1503</v>
      </c>
      <c r="C494" s="1201" t="s">
        <v>363</v>
      </c>
      <c r="D494" s="1201">
        <v>2</v>
      </c>
      <c r="E494" s="1143" t="e">
        <f>+' TANQUE PATAGONIA'!#REF!</f>
        <v>#REF!</v>
      </c>
      <c r="F494" s="1151" t="e">
        <f t="shared" si="24"/>
        <v>#REF!</v>
      </c>
      <c r="G494" s="522"/>
    </row>
    <row r="495" spans="1:8">
      <c r="A495" s="514" t="s">
        <v>1504</v>
      </c>
      <c r="B495" s="520" t="s">
        <v>1505</v>
      </c>
      <c r="C495" s="1201" t="s">
        <v>363</v>
      </c>
      <c r="D495" s="1201">
        <v>2</v>
      </c>
      <c r="E495" s="1143" t="e">
        <f>+' TANQUE PATAGONIA'!#REF!</f>
        <v>#REF!</v>
      </c>
      <c r="F495" s="1151" t="e">
        <f t="shared" si="24"/>
        <v>#REF!</v>
      </c>
      <c r="G495" s="522"/>
    </row>
    <row r="496" spans="1:8">
      <c r="A496" s="514" t="s">
        <v>1506</v>
      </c>
      <c r="B496" s="520" t="s">
        <v>1507</v>
      </c>
      <c r="C496" s="1201" t="s">
        <v>94</v>
      </c>
      <c r="D496" s="1201">
        <v>120</v>
      </c>
      <c r="E496" s="1143" t="e">
        <f>+' TANQUE PATAGONIA'!#REF!</f>
        <v>#REF!</v>
      </c>
      <c r="F496" s="1151" t="e">
        <f t="shared" si="24"/>
        <v>#REF!</v>
      </c>
      <c r="G496" s="522"/>
    </row>
    <row r="497" spans="1:9">
      <c r="A497" s="514" t="s">
        <v>1508</v>
      </c>
      <c r="B497" s="520" t="s">
        <v>1509</v>
      </c>
      <c r="C497" s="1201" t="s">
        <v>363</v>
      </c>
      <c r="D497" s="1201">
        <v>2</v>
      </c>
      <c r="E497" s="1143" t="e">
        <f>+' TANQUE PATAGONIA'!#REF!</f>
        <v>#REF!</v>
      </c>
      <c r="F497" s="1151" t="e">
        <f t="shared" si="24"/>
        <v>#REF!</v>
      </c>
      <c r="G497" s="522"/>
    </row>
    <row r="498" spans="1:9">
      <c r="A498" s="514" t="s">
        <v>1510</v>
      </c>
      <c r="B498" s="520" t="s">
        <v>1511</v>
      </c>
      <c r="C498" s="1201" t="s">
        <v>363</v>
      </c>
      <c r="D498" s="1201">
        <v>2</v>
      </c>
      <c r="E498" s="1143" t="e">
        <f>+' TANQUE PATAGONIA'!#REF!</f>
        <v>#REF!</v>
      </c>
      <c r="F498" s="1151" t="e">
        <f t="shared" si="24"/>
        <v>#REF!</v>
      </c>
      <c r="G498" s="522"/>
    </row>
    <row r="499" spans="1:9" s="963" customFormat="1" ht="21" customHeight="1">
      <c r="A499" s="1083" t="s">
        <v>1512</v>
      </c>
      <c r="B499" s="1087" t="s">
        <v>1513</v>
      </c>
      <c r="C499" s="1211"/>
      <c r="D499" s="1211"/>
      <c r="E499" s="1166">
        <f>+' TANQUE PATAGONIA'!F50</f>
        <v>0</v>
      </c>
      <c r="F499" s="1165">
        <f>+SUM(F500:F501)</f>
        <v>1041507</v>
      </c>
      <c r="G499" s="962"/>
      <c r="H499" s="1106"/>
    </row>
    <row r="500" spans="1:9" ht="39.6">
      <c r="A500" s="514" t="s">
        <v>1514</v>
      </c>
      <c r="B500" s="520" t="s">
        <v>1515</v>
      </c>
      <c r="C500" s="1201" t="s">
        <v>133</v>
      </c>
      <c r="D500" s="1201">
        <v>1</v>
      </c>
      <c r="E500" s="1143">
        <f>+' TANQUE PATAGONIA'!F51</f>
        <v>145504.64763366</v>
      </c>
      <c r="F500" s="1151">
        <f t="shared" si="24"/>
        <v>145505</v>
      </c>
      <c r="G500" s="522"/>
    </row>
    <row r="501" spans="1:9" ht="39.6">
      <c r="A501" s="514" t="s">
        <v>1516</v>
      </c>
      <c r="B501" s="520" t="s">
        <v>1517</v>
      </c>
      <c r="C501" s="1201" t="s">
        <v>133</v>
      </c>
      <c r="D501" s="1201">
        <v>1</v>
      </c>
      <c r="E501" s="1143">
        <f>+' TANQUE PATAGONIA'!F52</f>
        <v>896002.30384937988</v>
      </c>
      <c r="F501" s="1151">
        <f t="shared" si="24"/>
        <v>896002</v>
      </c>
      <c r="G501" s="522"/>
    </row>
    <row r="502" spans="1:9">
      <c r="A502" s="514"/>
      <c r="B502" s="517"/>
      <c r="C502" s="1201"/>
      <c r="D502" s="1201"/>
      <c r="E502" s="1143"/>
      <c r="F502" s="1151"/>
    </row>
    <row r="503" spans="1:9">
      <c r="A503" s="514"/>
      <c r="B503" s="517"/>
      <c r="C503" s="1201"/>
      <c r="D503" s="1201"/>
      <c r="E503" s="1143"/>
      <c r="F503" s="1151"/>
    </row>
    <row r="504" spans="1:9" ht="13.5" customHeight="1" thickBot="1">
      <c r="A504" s="942"/>
      <c r="B504" s="944"/>
      <c r="C504" s="1203"/>
      <c r="D504" s="1203"/>
      <c r="E504" s="1148"/>
      <c r="F504" s="1153"/>
    </row>
    <row r="505" spans="1:9" ht="15.75" customHeight="1" thickBot="1">
      <c r="A505" s="3759" t="s">
        <v>4313</v>
      </c>
      <c r="B505" s="3760"/>
      <c r="C505" s="3760"/>
      <c r="D505" s="3760"/>
      <c r="E505" s="3761"/>
      <c r="F505" s="1059" t="e">
        <f>+SUM(F500:F501,F483:F498,F481,F475:F478,F473,F471,F469,F461:F467,F458:F459,F454:F456,F451:F452,F447:F449,F441:F445)</f>
        <v>#REF!</v>
      </c>
    </row>
    <row r="506" spans="1:9" s="3702" customFormat="1" ht="13.2"/>
    <row r="507" spans="1:9" ht="21" customHeight="1">
      <c r="A507" s="3780" t="s">
        <v>4256</v>
      </c>
      <c r="B507" s="3781"/>
      <c r="C507" s="3781"/>
      <c r="D507" s="3781"/>
      <c r="E507" s="3781"/>
      <c r="F507" s="3781"/>
    </row>
    <row r="508" spans="1:9" ht="13.2">
      <c r="A508" s="1056"/>
      <c r="B508" s="3790" t="s">
        <v>1082</v>
      </c>
      <c r="C508" s="3791"/>
      <c r="D508" s="3791"/>
      <c r="E508" s="3791"/>
      <c r="F508" s="3792"/>
    </row>
    <row r="509" spans="1:9" s="963" customFormat="1">
      <c r="A509" s="1083">
        <v>7.1</v>
      </c>
      <c r="B509" s="1084" t="s">
        <v>1083</v>
      </c>
      <c r="C509" s="1198"/>
      <c r="D509" s="1199"/>
      <c r="E509" s="1142"/>
      <c r="F509" s="1142">
        <f>+F510</f>
        <v>14247580</v>
      </c>
      <c r="H509" s="1106"/>
      <c r="I509" s="962"/>
    </row>
    <row r="510" spans="1:9">
      <c r="A510" s="1248" t="s">
        <v>1238</v>
      </c>
      <c r="B510" s="1249" t="s">
        <v>1086</v>
      </c>
      <c r="C510" s="1235" t="s">
        <v>1002</v>
      </c>
      <c r="D510" s="1237">
        <v>6047.3600000000006</v>
      </c>
      <c r="E510" s="1250">
        <f>+'LINEAS IMPULSIÓN-CONDUCCIÓN'!E153</f>
        <v>2356</v>
      </c>
      <c r="F510" s="1250">
        <f>ROUND(+E510*D510,0)</f>
        <v>14247580</v>
      </c>
      <c r="G510" s="522"/>
      <c r="I510" s="962"/>
    </row>
    <row r="511" spans="1:9" s="963" customFormat="1">
      <c r="A511" s="1083">
        <v>7.2</v>
      </c>
      <c r="B511" s="1084" t="s">
        <v>1087</v>
      </c>
      <c r="C511" s="1198"/>
      <c r="D511" s="1199"/>
      <c r="E511" s="1142">
        <f>+'LINEAS IMPULSIÓN-CONDUCCIÓN'!E154</f>
        <v>0</v>
      </c>
      <c r="F511" s="1142" t="e">
        <f>+SUM(F512:F517)</f>
        <v>#REF!</v>
      </c>
      <c r="G511" s="962"/>
      <c r="H511" s="1106"/>
      <c r="I511" s="962"/>
    </row>
    <row r="512" spans="1:9">
      <c r="A512" s="514" t="s">
        <v>1238</v>
      </c>
      <c r="B512" s="518" t="s">
        <v>1088</v>
      </c>
      <c r="C512" s="1200" t="s">
        <v>356</v>
      </c>
      <c r="D512" s="1201">
        <v>76.2</v>
      </c>
      <c r="E512" s="1143">
        <f>+'LINEAS IMPULSIÓN-CONDUCCIÓN'!E155</f>
        <v>51559</v>
      </c>
      <c r="F512" s="1143">
        <f t="shared" ref="F512:F517" si="25">ROUND(+E512*D512,0)</f>
        <v>3928796</v>
      </c>
      <c r="G512" s="522"/>
      <c r="I512" s="962"/>
    </row>
    <row r="513" spans="1:17">
      <c r="A513" s="514" t="s">
        <v>1239</v>
      </c>
      <c r="B513" s="518" t="s">
        <v>1108</v>
      </c>
      <c r="C513" s="1200" t="s">
        <v>94</v>
      </c>
      <c r="D513" s="1201">
        <v>352.6</v>
      </c>
      <c r="E513" s="1143">
        <f>+'LINEAS IMPULSIÓN-CONDUCCIÓN'!E156</f>
        <v>5176</v>
      </c>
      <c r="F513" s="1143">
        <f t="shared" si="25"/>
        <v>1825058</v>
      </c>
      <c r="G513" s="522"/>
      <c r="I513" s="962"/>
    </row>
    <row r="514" spans="1:17">
      <c r="A514" s="514" t="s">
        <v>1240</v>
      </c>
      <c r="B514" s="518" t="s">
        <v>1089</v>
      </c>
      <c r="C514" s="1200" t="s">
        <v>94</v>
      </c>
      <c r="D514" s="1201">
        <v>50</v>
      </c>
      <c r="E514" s="1143">
        <f>+'LINEAS IMPULSIÓN-CONDUCCIÓN'!E157</f>
        <v>11371.692038071427</v>
      </c>
      <c r="F514" s="1143">
        <f t="shared" si="25"/>
        <v>568585</v>
      </c>
      <c r="G514" s="522"/>
      <c r="I514" s="962"/>
    </row>
    <row r="515" spans="1:17">
      <c r="A515" s="514" t="s">
        <v>1241</v>
      </c>
      <c r="B515" s="518" t="s">
        <v>1090</v>
      </c>
      <c r="C515" s="1200" t="s">
        <v>94</v>
      </c>
      <c r="D515" s="1201">
        <v>1257</v>
      </c>
      <c r="E515" s="1143">
        <f>+'LINEAS IMPULSIÓN-CONDUCCIÓN'!E158</f>
        <v>9950.2305333125005</v>
      </c>
      <c r="F515" s="1143">
        <f t="shared" si="25"/>
        <v>12507440</v>
      </c>
      <c r="G515" s="522"/>
      <c r="I515" s="962"/>
    </row>
    <row r="516" spans="1:17">
      <c r="A516" s="514" t="s">
        <v>1242</v>
      </c>
      <c r="B516" s="518" t="s">
        <v>1091</v>
      </c>
      <c r="C516" s="1200" t="s">
        <v>356</v>
      </c>
      <c r="D516" s="1201">
        <v>44.183200000000006</v>
      </c>
      <c r="E516" s="1143">
        <f>+'LINEAS IMPULSIÓN-CONDUCCIÓN'!E159</f>
        <v>50708.052078235298</v>
      </c>
      <c r="F516" s="1143">
        <f t="shared" si="25"/>
        <v>2240444</v>
      </c>
      <c r="G516" s="522"/>
      <c r="I516" s="962"/>
    </row>
    <row r="517" spans="1:17">
      <c r="A517" s="514" t="s">
        <v>1243</v>
      </c>
      <c r="B517" s="518" t="s">
        <v>1129</v>
      </c>
      <c r="C517" s="1200" t="s">
        <v>356</v>
      </c>
      <c r="D517" s="1201">
        <v>0</v>
      </c>
      <c r="E517" s="1143" t="e">
        <f>+'LINEAS IMPULSIÓN-CONDUCCIÓN'!#REF!</f>
        <v>#REF!</v>
      </c>
      <c r="F517" s="1143" t="e">
        <f t="shared" si="25"/>
        <v>#REF!</v>
      </c>
      <c r="G517" s="522"/>
      <c r="I517" s="962"/>
    </row>
    <row r="518" spans="1:17" s="963" customFormat="1">
      <c r="A518" s="1083">
        <v>7.3</v>
      </c>
      <c r="B518" s="1084" t="s">
        <v>1104</v>
      </c>
      <c r="C518" s="1198"/>
      <c r="D518" s="1199"/>
      <c r="E518" s="1142">
        <f>+'LINEAS IMPULSIÓN-CONDUCCIÓN'!E160</f>
        <v>0</v>
      </c>
      <c r="F518" s="1142" t="e">
        <f>+SUM(F519:F526)</f>
        <v>#REF!</v>
      </c>
      <c r="G518" s="962"/>
      <c r="H518" s="1106"/>
      <c r="I518" s="962"/>
    </row>
    <row r="519" spans="1:17" s="247" customFormat="1" ht="33.6">
      <c r="A519" s="257" t="s">
        <v>1244</v>
      </c>
      <c r="B519" s="258" t="s">
        <v>1093</v>
      </c>
      <c r="C519" s="471" t="s">
        <v>1084</v>
      </c>
      <c r="D519" s="259">
        <f>7276.6*0.39</f>
        <v>2837.8740000000003</v>
      </c>
      <c r="E519" s="260">
        <f>+'APU LINEAS IMPULSIÓN'!$B$66</f>
        <v>10000</v>
      </c>
      <c r="F519" s="260">
        <f>+ROUND(E519*D519,0)</f>
        <v>28378740</v>
      </c>
      <c r="G519" s="261"/>
      <c r="H519" s="262"/>
      <c r="I519" s="262"/>
    </row>
    <row r="520" spans="1:17" s="247" customFormat="1" ht="33.6">
      <c r="A520" s="1392" t="s">
        <v>1245</v>
      </c>
      <c r="B520" s="263" t="s">
        <v>1094</v>
      </c>
      <c r="C520" s="471" t="s">
        <v>1084</v>
      </c>
      <c r="D520" s="259">
        <f>7276.6*0.6</f>
        <v>4365.96</v>
      </c>
      <c r="E520" s="265" t="e">
        <f>+'APU LINEAS IMPULSIÓN'!#REF!</f>
        <v>#REF!</v>
      </c>
      <c r="F520" s="260" t="e">
        <f t="shared" ref="F520:F526" si="26">+ROUND(E520*D520,0)</f>
        <v>#REF!</v>
      </c>
      <c r="G520" s="255"/>
      <c r="H520" s="348"/>
      <c r="I520" s="262"/>
      <c r="J520" s="1391"/>
      <c r="L520" s="1391"/>
      <c r="M520" s="1391"/>
      <c r="N520" s="1391"/>
      <c r="O520" s="261"/>
    </row>
    <row r="521" spans="1:17" s="247" customFormat="1" ht="50.4">
      <c r="A521" s="257" t="s">
        <v>1246</v>
      </c>
      <c r="B521" s="263" t="s">
        <v>1095</v>
      </c>
      <c r="C521" s="248" t="s">
        <v>1084</v>
      </c>
      <c r="D521" s="259">
        <f>7276.6*0.01</f>
        <v>72.766000000000005</v>
      </c>
      <c r="E521" s="265">
        <f>+'APU LINEAS IMPULSIÓN'!$B$81</f>
        <v>75938.251377333334</v>
      </c>
      <c r="F521" s="260">
        <f t="shared" si="26"/>
        <v>5525723</v>
      </c>
      <c r="G521" s="267"/>
      <c r="H521" s="262"/>
      <c r="I521" s="262"/>
      <c r="J521" s="268"/>
      <c r="L521" s="255"/>
      <c r="M521" s="255"/>
      <c r="N521" s="255"/>
      <c r="O521" s="255"/>
      <c r="P521" s="255"/>
      <c r="Q521" s="255"/>
    </row>
    <row r="522" spans="1:17" s="247" customFormat="1" ht="33.6">
      <c r="A522" s="1392" t="s">
        <v>1247</v>
      </c>
      <c r="B522" s="349" t="s">
        <v>1101</v>
      </c>
      <c r="C522" s="248" t="s">
        <v>1084</v>
      </c>
      <c r="D522" s="266">
        <v>2910.4</v>
      </c>
      <c r="E522" s="265">
        <f>+'APU LINEAS IMPULSIÓN'!B$88</f>
        <v>1826.1904761904761</v>
      </c>
      <c r="F522" s="260">
        <f t="shared" si="26"/>
        <v>5314945</v>
      </c>
      <c r="G522" s="267"/>
      <c r="H522" s="262"/>
      <c r="I522" s="262"/>
      <c r="J522" s="268"/>
      <c r="L522" s="255"/>
      <c r="M522" s="255"/>
      <c r="N522" s="255"/>
      <c r="O522" s="255"/>
      <c r="P522" s="255"/>
      <c r="Q522" s="255"/>
    </row>
    <row r="523" spans="1:17" s="247" customFormat="1" ht="50.4">
      <c r="A523" s="257" t="s">
        <v>1248</v>
      </c>
      <c r="B523" s="263" t="s">
        <v>1103</v>
      </c>
      <c r="C523" s="248" t="s">
        <v>1085</v>
      </c>
      <c r="D523" s="266">
        <v>2665.2</v>
      </c>
      <c r="E523" s="265">
        <f>+'APU LINEAS IMPULSIÓN'!$B$97</f>
        <v>87012</v>
      </c>
      <c r="F523" s="260">
        <f t="shared" si="26"/>
        <v>231904382</v>
      </c>
      <c r="G523" s="267"/>
      <c r="H523" s="1391"/>
      <c r="I523" s="255"/>
      <c r="J523" s="268"/>
      <c r="K523" s="255"/>
      <c r="L523" s="255"/>
      <c r="M523" s="255"/>
      <c r="N523" s="255"/>
      <c r="O523" s="255"/>
      <c r="P523" s="255"/>
      <c r="Q523" s="255"/>
    </row>
    <row r="524" spans="1:17" s="247" customFormat="1" ht="50.4">
      <c r="A524" s="1392" t="s">
        <v>1249</v>
      </c>
      <c r="B524" s="263" t="s">
        <v>1102</v>
      </c>
      <c r="C524" s="471" t="s">
        <v>1085</v>
      </c>
      <c r="D524" s="264">
        <v>4366.2</v>
      </c>
      <c r="E524" s="265">
        <f>+'APU LINEAS IMPULSIÓN'!$B$105</f>
        <v>12212</v>
      </c>
      <c r="F524" s="260">
        <f t="shared" si="26"/>
        <v>53320034</v>
      </c>
      <c r="G524" s="255"/>
      <c r="H524" s="3733"/>
      <c r="I524" s="3733"/>
      <c r="J524" s="3733"/>
      <c r="K524" s="3733"/>
      <c r="L524" s="3733"/>
      <c r="M524" s="3733"/>
      <c r="N524" s="3733"/>
      <c r="O524" s="261"/>
    </row>
    <row r="525" spans="1:17" s="247" customFormat="1" ht="23.25" customHeight="1">
      <c r="A525" s="257" t="s">
        <v>4350</v>
      </c>
      <c r="B525" s="453" t="s">
        <v>4667</v>
      </c>
      <c r="C525" s="471" t="s">
        <v>94</v>
      </c>
      <c r="D525" s="264">
        <v>49</v>
      </c>
      <c r="E525" s="1285" t="e">
        <f>+'APU LINEAS IMPULSIÓN'!#REF!</f>
        <v>#REF!</v>
      </c>
      <c r="F525" s="260" t="e">
        <f>ROUND(+E525*D525,0)</f>
        <v>#REF!</v>
      </c>
      <c r="G525" s="255"/>
      <c r="H525" s="1391"/>
      <c r="I525" s="1391"/>
      <c r="J525" s="1391"/>
      <c r="K525" s="1391"/>
      <c r="L525" s="1391"/>
      <c r="M525" s="1391"/>
      <c r="N525" s="1391"/>
      <c r="O525" s="261"/>
    </row>
    <row r="526" spans="1:17" s="247" customFormat="1" ht="29.25" customHeight="1">
      <c r="A526" s="1392" t="s">
        <v>1247</v>
      </c>
      <c r="B526" s="453" t="s">
        <v>1294</v>
      </c>
      <c r="C526" s="471" t="s">
        <v>94</v>
      </c>
      <c r="D526" s="264">
        <v>25</v>
      </c>
      <c r="E526" s="265" t="e">
        <f>+'APU LINEAS IMPULSIÓN'!#REF!</f>
        <v>#REF!</v>
      </c>
      <c r="F526" s="260" t="e">
        <f t="shared" si="26"/>
        <v>#REF!</v>
      </c>
      <c r="G526" s="255"/>
      <c r="H526" s="1391"/>
      <c r="I526" s="1391"/>
      <c r="J526" s="1391"/>
      <c r="K526" s="1391"/>
      <c r="L526" s="1391"/>
      <c r="M526" s="1391"/>
      <c r="N526" s="1391"/>
      <c r="O526" s="261"/>
    </row>
    <row r="527" spans="1:17">
      <c r="A527" s="1085">
        <v>7.4</v>
      </c>
      <c r="B527" s="1094" t="s">
        <v>1106</v>
      </c>
      <c r="C527" s="1167"/>
      <c r="D527" s="1167"/>
      <c r="E527" s="1167"/>
      <c r="F527" s="1168" t="e">
        <f>+SUM(F528:F535)</f>
        <v>#REF!</v>
      </c>
      <c r="G527" s="522"/>
      <c r="I527" s="962"/>
    </row>
    <row r="528" spans="1:17" ht="26.4">
      <c r="A528" s="514" t="s">
        <v>1250</v>
      </c>
      <c r="B528" s="518" t="s">
        <v>1107</v>
      </c>
      <c r="C528" s="1200" t="s">
        <v>1292</v>
      </c>
      <c r="D528" s="259">
        <v>20</v>
      </c>
      <c r="E528" s="1143">
        <f>+'LINEAS IMPULSIÓN-CONDUCCIÓN'!E169</f>
        <v>508061.26403443597</v>
      </c>
      <c r="F528" s="1143">
        <f>ROUND(+E528*D528,0)</f>
        <v>10161225</v>
      </c>
      <c r="G528" s="522"/>
      <c r="I528" s="962"/>
    </row>
    <row r="529" spans="1:17" ht="39.6">
      <c r="A529" s="514" t="s">
        <v>1251</v>
      </c>
      <c r="B529" s="518" t="s">
        <v>1111</v>
      </c>
      <c r="C529" s="1200" t="s">
        <v>1292</v>
      </c>
      <c r="D529" s="259">
        <f>+D512</f>
        <v>76.2</v>
      </c>
      <c r="E529" s="1143">
        <f>+'LINEAS IMPULSIÓN-CONDUCCIÓN'!E170</f>
        <v>721312.05156987999</v>
      </c>
      <c r="F529" s="1143">
        <f t="shared" ref="F529:F535" si="27">ROUND(+E529*D529,0)</f>
        <v>54963978</v>
      </c>
      <c r="G529" s="522"/>
      <c r="I529" s="962"/>
    </row>
    <row r="530" spans="1:17" ht="16.8">
      <c r="A530" s="942" t="s">
        <v>1252</v>
      </c>
      <c r="B530" s="943" t="s">
        <v>1120</v>
      </c>
      <c r="C530" s="1202" t="s">
        <v>94</v>
      </c>
      <c r="D530" s="259">
        <f>+D515</f>
        <v>1257</v>
      </c>
      <c r="E530" s="1148">
        <f>+'LINEAS IMPULSIÓN-CONDUCCIÓN'!E171</f>
        <v>54299.213951898993</v>
      </c>
      <c r="F530" s="1143">
        <f t="shared" si="27"/>
        <v>68254112</v>
      </c>
      <c r="G530" s="522"/>
      <c r="I530" s="962"/>
    </row>
    <row r="531" spans="1:17" ht="16.8">
      <c r="A531" s="514" t="s">
        <v>1253</v>
      </c>
      <c r="B531" s="518" t="s">
        <v>1121</v>
      </c>
      <c r="C531" s="1200" t="s">
        <v>94</v>
      </c>
      <c r="D531" s="1288">
        <v>50</v>
      </c>
      <c r="E531" s="1143">
        <f>+'LINEAS IMPULSIÓN-CONDUCCIÓN'!E172</f>
        <v>41838.174079316326</v>
      </c>
      <c r="F531" s="1143">
        <f t="shared" si="27"/>
        <v>2091909</v>
      </c>
      <c r="G531" s="522"/>
      <c r="I531" s="962"/>
    </row>
    <row r="532" spans="1:17" ht="39.6">
      <c r="A532" s="514" t="s">
        <v>1254</v>
      </c>
      <c r="B532" s="518" t="s">
        <v>1123</v>
      </c>
      <c r="C532" s="1200" t="s">
        <v>650</v>
      </c>
      <c r="D532" s="1288">
        <v>44.183200000000006</v>
      </c>
      <c r="E532" s="1143">
        <f>+'LINEAS IMPULSIÓN-CONDUCCIÓN'!E173</f>
        <v>444652.84510301804</v>
      </c>
      <c r="F532" s="1143">
        <f t="shared" si="27"/>
        <v>19646186</v>
      </c>
      <c r="G532" s="522"/>
      <c r="I532" s="962"/>
    </row>
    <row r="533" spans="1:17" ht="39.6">
      <c r="A533" s="514" t="s">
        <v>1255</v>
      </c>
      <c r="B533" s="518" t="s">
        <v>542</v>
      </c>
      <c r="C533" s="1200" t="s">
        <v>133</v>
      </c>
      <c r="D533" s="259">
        <v>9</v>
      </c>
      <c r="E533" s="1143">
        <f>+'LINEAS IMPULSIÓN-CONDUCCIÓN'!E174</f>
        <v>704362.91278373147</v>
      </c>
      <c r="F533" s="1143">
        <f t="shared" si="27"/>
        <v>6339266</v>
      </c>
      <c r="G533" s="522"/>
      <c r="I533" s="962"/>
    </row>
    <row r="534" spans="1:17" ht="26.4">
      <c r="A534" s="514" t="s">
        <v>1256</v>
      </c>
      <c r="B534" s="518" t="s">
        <v>8</v>
      </c>
      <c r="C534" s="1200" t="s">
        <v>94</v>
      </c>
      <c r="D534" s="1291">
        <v>78.599999999999994</v>
      </c>
      <c r="E534" s="1143" t="e">
        <f>+'LINEAS IMPULSIÓN-CONDUCCIÓN'!#REF!</f>
        <v>#REF!</v>
      </c>
      <c r="F534" s="1143" t="e">
        <f t="shared" si="27"/>
        <v>#REF!</v>
      </c>
      <c r="G534" s="522"/>
      <c r="I534" s="962"/>
    </row>
    <row r="535" spans="1:17" ht="26.4">
      <c r="A535" s="514" t="s">
        <v>1257</v>
      </c>
      <c r="B535" s="518" t="s">
        <v>1130</v>
      </c>
      <c r="C535" s="1200" t="s">
        <v>1292</v>
      </c>
      <c r="D535" s="259">
        <v>14.880000000000003</v>
      </c>
      <c r="E535" s="1143" t="e">
        <f>+'LINEAS IMPULSIÓN-CONDUCCIÓN'!#REF!</f>
        <v>#REF!</v>
      </c>
      <c r="F535" s="1143" t="e">
        <f t="shared" si="27"/>
        <v>#REF!</v>
      </c>
      <c r="G535" s="522"/>
      <c r="I535" s="962"/>
    </row>
    <row r="536" spans="1:17" s="963" customFormat="1" ht="19.5" customHeight="1">
      <c r="A536" s="1083" t="s">
        <v>1067</v>
      </c>
      <c r="B536" s="1095" t="s">
        <v>1127</v>
      </c>
      <c r="C536" s="1169"/>
      <c r="D536" s="1169"/>
      <c r="E536" s="1169"/>
      <c r="F536" s="1170" t="e">
        <f>+SUM(F537:F554)</f>
        <v>#REF!</v>
      </c>
      <c r="G536" s="962"/>
      <c r="H536" s="1106"/>
      <c r="I536" s="962"/>
    </row>
    <row r="537" spans="1:17" s="247" customFormat="1" ht="16.8">
      <c r="A537" s="257" t="s">
        <v>1271</v>
      </c>
      <c r="B537" s="258" t="s">
        <v>1306</v>
      </c>
      <c r="C537" s="471" t="s">
        <v>94</v>
      </c>
      <c r="D537" s="259">
        <v>5640.54</v>
      </c>
      <c r="E537" s="1143">
        <f>+'LINEAS IMPULSIÓN-CONDUCCIÓN'!E178</f>
        <v>12525</v>
      </c>
      <c r="F537" s="260">
        <f>ROUND(+E537*D537,0)</f>
        <v>70647764</v>
      </c>
    </row>
    <row r="538" spans="1:17" s="247" customFormat="1" ht="16.8">
      <c r="A538" s="257" t="s">
        <v>1258</v>
      </c>
      <c r="B538" s="258" t="s">
        <v>1264</v>
      </c>
      <c r="C538" s="471" t="s">
        <v>94</v>
      </c>
      <c r="D538" s="259">
        <v>1474.26</v>
      </c>
      <c r="E538" s="1143">
        <f>+'LINEAS IMPULSIÓN-CONDUCCIÓN'!E179</f>
        <v>3354</v>
      </c>
      <c r="F538" s="260">
        <f t="shared" ref="F538:F553" si="28">ROUND(+E538*D538,0)</f>
        <v>4944668</v>
      </c>
    </row>
    <row r="539" spans="1:17" s="247" customFormat="1" ht="16.8">
      <c r="A539" s="257" t="s">
        <v>1259</v>
      </c>
      <c r="B539" s="258" t="s">
        <v>1265</v>
      </c>
      <c r="C539" s="471" t="s">
        <v>94</v>
      </c>
      <c r="D539" s="259">
        <v>449.73</v>
      </c>
      <c r="E539" s="1143">
        <f>+'LINEAS IMPULSIÓN-CONDUCCIÓN'!E180</f>
        <v>3354</v>
      </c>
      <c r="F539" s="260">
        <f t="shared" si="28"/>
        <v>1508394</v>
      </c>
    </row>
    <row r="540" spans="1:17" s="247" customFormat="1" ht="16.8">
      <c r="A540" s="257" t="s">
        <v>1260</v>
      </c>
      <c r="B540" s="258" t="s">
        <v>1307</v>
      </c>
      <c r="C540" s="471" t="s">
        <v>133</v>
      </c>
      <c r="D540" s="259">
        <v>8</v>
      </c>
      <c r="E540" s="1143">
        <f>+'LINEAS IMPULSIÓN-CONDUCCIÓN'!E181</f>
        <v>98609.139227045103</v>
      </c>
      <c r="F540" s="260">
        <f t="shared" si="28"/>
        <v>788873</v>
      </c>
    </row>
    <row r="541" spans="1:17" s="247" customFormat="1" ht="16.8">
      <c r="A541" s="257" t="s">
        <v>1272</v>
      </c>
      <c r="B541" s="258" t="s">
        <v>1266</v>
      </c>
      <c r="C541" s="471" t="s">
        <v>133</v>
      </c>
      <c r="D541" s="271">
        <v>3</v>
      </c>
      <c r="E541" s="1143">
        <f>+'LINEAS IMPULSIÓN-CONDUCCIÓN'!E182</f>
        <v>48246.277899581997</v>
      </c>
      <c r="F541" s="260">
        <f t="shared" si="28"/>
        <v>144739</v>
      </c>
      <c r="G541" s="255"/>
      <c r="I541" s="273"/>
      <c r="J541" s="273"/>
      <c r="K541" s="274"/>
      <c r="L541" s="275"/>
      <c r="M541" s="255"/>
      <c r="N541" s="255"/>
      <c r="O541" s="273"/>
      <c r="P541" s="276"/>
      <c r="Q541" s="276"/>
    </row>
    <row r="542" spans="1:17" s="247" customFormat="1" ht="16.8">
      <c r="A542" s="257" t="s">
        <v>1273</v>
      </c>
      <c r="B542" s="258" t="s">
        <v>1267</v>
      </c>
      <c r="C542" s="270" t="s">
        <v>133</v>
      </c>
      <c r="D542" s="271">
        <v>1</v>
      </c>
      <c r="E542" s="1143">
        <f>+'LINEAS IMPULSIÓN-CONDUCCIÓN'!E183</f>
        <v>52075.347574152001</v>
      </c>
      <c r="F542" s="260">
        <f t="shared" si="28"/>
        <v>52075</v>
      </c>
      <c r="G542" s="255"/>
      <c r="I542" s="273"/>
      <c r="J542" s="273"/>
      <c r="K542" s="274"/>
      <c r="L542" s="275"/>
      <c r="M542" s="255"/>
      <c r="N542" s="255"/>
      <c r="O542" s="273"/>
      <c r="P542" s="276"/>
      <c r="Q542" s="276"/>
    </row>
    <row r="543" spans="1:17" s="247" customFormat="1" ht="16.8">
      <c r="A543" s="257" t="s">
        <v>1274</v>
      </c>
      <c r="B543" s="258" t="s">
        <v>1268</v>
      </c>
      <c r="C543" s="270" t="s">
        <v>133</v>
      </c>
      <c r="D543" s="271">
        <v>5</v>
      </c>
      <c r="E543" s="1143">
        <f>+'LINEAS IMPULSIÓN-CONDUCCIÓN'!E184</f>
        <v>55138.603313807995</v>
      </c>
      <c r="F543" s="260">
        <f t="shared" si="28"/>
        <v>275693</v>
      </c>
      <c r="G543" s="255"/>
      <c r="I543" s="273"/>
      <c r="J543" s="273"/>
      <c r="K543" s="274"/>
      <c r="L543" s="275"/>
      <c r="M543" s="255"/>
      <c r="N543" s="255"/>
      <c r="O543" s="273"/>
      <c r="P543" s="276"/>
      <c r="Q543" s="276"/>
    </row>
    <row r="544" spans="1:17" s="247" customFormat="1" ht="16.8">
      <c r="A544" s="257" t="s">
        <v>1275</v>
      </c>
      <c r="B544" s="258" t="s">
        <v>1269</v>
      </c>
      <c r="C544" s="270" t="s">
        <v>133</v>
      </c>
      <c r="D544" s="271">
        <v>22</v>
      </c>
      <c r="E544" s="1143" t="e">
        <f>+'LINEAS IMPULSIÓN-CONDUCCIÓN'!#REF!</f>
        <v>#REF!</v>
      </c>
      <c r="F544" s="260" t="e">
        <f t="shared" si="28"/>
        <v>#REF!</v>
      </c>
      <c r="G544" s="255"/>
      <c r="I544" s="273"/>
      <c r="J544" s="273"/>
      <c r="K544" s="274"/>
      <c r="L544" s="275"/>
      <c r="M544" s="255"/>
      <c r="N544" s="255"/>
      <c r="O544" s="273"/>
      <c r="P544" s="276"/>
      <c r="Q544" s="276"/>
    </row>
    <row r="545" spans="1:17" s="247" customFormat="1" ht="16.8">
      <c r="A545" s="257" t="s">
        <v>1272</v>
      </c>
      <c r="B545" s="258" t="s">
        <v>1309</v>
      </c>
      <c r="C545" s="270" t="s">
        <v>133</v>
      </c>
      <c r="D545" s="271">
        <v>2</v>
      </c>
      <c r="E545" s="1143" t="e">
        <f>+'LINEAS IMPULSIÓN-CONDUCCIÓN'!#REF!</f>
        <v>#REF!</v>
      </c>
      <c r="F545" s="260" t="e">
        <f t="shared" si="28"/>
        <v>#REF!</v>
      </c>
      <c r="G545" s="255"/>
      <c r="I545" s="273"/>
      <c r="J545" s="273"/>
      <c r="K545" s="274"/>
      <c r="L545" s="275"/>
      <c r="M545" s="255"/>
      <c r="N545" s="255"/>
      <c r="O545" s="273"/>
      <c r="P545" s="276"/>
      <c r="Q545" s="276"/>
    </row>
    <row r="546" spans="1:17" s="247" customFormat="1" ht="16.8">
      <c r="A546" s="257" t="s">
        <v>1276</v>
      </c>
      <c r="B546" s="258" t="s">
        <v>1270</v>
      </c>
      <c r="C546" s="270" t="s">
        <v>133</v>
      </c>
      <c r="D546" s="271">
        <v>3</v>
      </c>
      <c r="E546" s="1143">
        <f>+'LINEAS IMPULSIÓN-CONDUCCIÓN'!E185</f>
        <v>58201.859053464002</v>
      </c>
      <c r="F546" s="260">
        <f t="shared" si="28"/>
        <v>174606</v>
      </c>
      <c r="G546" s="255"/>
      <c r="I546" s="273"/>
      <c r="J546" s="273"/>
      <c r="K546" s="274"/>
      <c r="L546" s="275"/>
      <c r="M546" s="255"/>
      <c r="N546" s="255"/>
      <c r="O546" s="273"/>
      <c r="P546" s="276"/>
      <c r="Q546" s="276"/>
    </row>
    <row r="547" spans="1:17" s="247" customFormat="1" ht="67.2">
      <c r="A547" s="257" t="s">
        <v>1277</v>
      </c>
      <c r="B547" s="1257" t="s">
        <v>4478</v>
      </c>
      <c r="C547" s="270" t="s">
        <v>133</v>
      </c>
      <c r="D547" s="271">
        <v>5</v>
      </c>
      <c r="E547" s="1143">
        <f>+'LINEAS IMPULSIÓN-CONDUCCIÓN'!E186</f>
        <v>87303</v>
      </c>
      <c r="F547" s="260">
        <f t="shared" si="28"/>
        <v>436515</v>
      </c>
      <c r="G547" s="255"/>
      <c r="I547" s="273"/>
      <c r="J547" s="273"/>
      <c r="K547" s="274"/>
      <c r="L547" s="275"/>
      <c r="M547" s="255"/>
      <c r="N547" s="255"/>
      <c r="O547" s="273"/>
      <c r="P547" s="276"/>
      <c r="Q547" s="276"/>
    </row>
    <row r="548" spans="1:17" s="247" customFormat="1" ht="67.2">
      <c r="A548" s="257" t="s">
        <v>1278</v>
      </c>
      <c r="B548" s="269" t="s">
        <v>1316</v>
      </c>
      <c r="C548" s="270" t="s">
        <v>133</v>
      </c>
      <c r="D548" s="271">
        <v>3</v>
      </c>
      <c r="E548" s="1143">
        <f>+'LINEAS IMPULSIÓN-CONDUCCIÓN'!E187</f>
        <v>96493</v>
      </c>
      <c r="F548" s="260">
        <f t="shared" si="28"/>
        <v>289479</v>
      </c>
      <c r="G548" s="255"/>
      <c r="I548" s="273"/>
      <c r="J548" s="273"/>
      <c r="K548" s="274"/>
      <c r="L548" s="275"/>
      <c r="M548" s="255"/>
      <c r="N548" s="255"/>
      <c r="O548" s="273"/>
      <c r="P548" s="276"/>
      <c r="Q548" s="276"/>
    </row>
    <row r="549" spans="1:17" s="247" customFormat="1" ht="48.75" customHeight="1">
      <c r="A549" s="277" t="s">
        <v>1318</v>
      </c>
      <c r="B549" s="269" t="s">
        <v>1317</v>
      </c>
      <c r="C549" s="270" t="s">
        <v>133</v>
      </c>
      <c r="D549" s="271">
        <v>1</v>
      </c>
      <c r="E549" s="1143">
        <f>+'LINEAS IMPULSIÓN-CONDUCCIÓN'!E188</f>
        <v>98014</v>
      </c>
      <c r="F549" s="260">
        <f t="shared" si="28"/>
        <v>98014</v>
      </c>
      <c r="G549" s="255"/>
      <c r="I549" s="273"/>
      <c r="J549" s="273"/>
      <c r="K549" s="274"/>
      <c r="L549" s="275"/>
      <c r="M549" s="255"/>
      <c r="N549" s="255"/>
      <c r="O549" s="273"/>
      <c r="P549" s="276"/>
      <c r="Q549" s="276"/>
    </row>
    <row r="550" spans="1:17" s="247" customFormat="1" ht="33.6">
      <c r="A550" s="277" t="s">
        <v>1321</v>
      </c>
      <c r="B550" s="269" t="s">
        <v>1322</v>
      </c>
      <c r="C550" s="270" t="s">
        <v>133</v>
      </c>
      <c r="D550" s="271">
        <v>1</v>
      </c>
      <c r="E550" s="1143">
        <f>+'LINEAS IMPULSIÓN-CONDUCCIÓN'!E189</f>
        <v>202175</v>
      </c>
      <c r="F550" s="260">
        <f t="shared" si="28"/>
        <v>202175</v>
      </c>
      <c r="G550" s="255"/>
      <c r="I550" s="273"/>
      <c r="J550" s="273"/>
      <c r="K550" s="274"/>
      <c r="L550" s="275"/>
      <c r="M550" s="255"/>
      <c r="N550" s="255"/>
      <c r="O550" s="273"/>
      <c r="P550" s="276"/>
      <c r="Q550" s="276"/>
    </row>
    <row r="551" spans="1:17" s="247" customFormat="1" ht="33.6">
      <c r="A551" s="277"/>
      <c r="B551" s="269" t="s">
        <v>4524</v>
      </c>
      <c r="C551" s="270" t="s">
        <v>133</v>
      </c>
      <c r="D551" s="271">
        <v>1</v>
      </c>
      <c r="E551" s="1143">
        <f>+'LINEAS IMPULSIÓN-CONDUCCIÓN'!E190</f>
        <v>255095</v>
      </c>
      <c r="F551" s="260">
        <f t="shared" si="28"/>
        <v>255095</v>
      </c>
      <c r="G551" s="255"/>
      <c r="I551" s="273"/>
      <c r="J551" s="273"/>
      <c r="K551" s="274"/>
      <c r="L551" s="275"/>
      <c r="M551" s="255"/>
      <c r="N551" s="255"/>
      <c r="O551" s="273"/>
      <c r="P551" s="276"/>
      <c r="Q551" s="276"/>
    </row>
    <row r="552" spans="1:17" s="247" customFormat="1" ht="16.8">
      <c r="A552" s="277"/>
      <c r="B552" s="269" t="s">
        <v>4471</v>
      </c>
      <c r="C552" s="270"/>
      <c r="D552" s="1297">
        <v>1</v>
      </c>
      <c r="E552" s="1143">
        <f>+'LINEAS IMPULSIÓN-CONDUCCIÓN'!E191</f>
        <v>861036.31183025776</v>
      </c>
      <c r="F552" s="260"/>
      <c r="G552" s="255"/>
      <c r="I552" s="273"/>
      <c r="J552" s="273"/>
      <c r="K552" s="274"/>
      <c r="L552" s="275"/>
      <c r="M552" s="255"/>
      <c r="N552" s="255"/>
      <c r="O552" s="273"/>
      <c r="P552" s="276"/>
      <c r="Q552" s="276"/>
    </row>
    <row r="553" spans="1:17" s="247" customFormat="1" ht="14.25" customHeight="1">
      <c r="A553" s="277"/>
      <c r="B553" s="269" t="s">
        <v>4470</v>
      </c>
      <c r="C553" s="270"/>
      <c r="D553" s="271">
        <v>2</v>
      </c>
      <c r="E553" s="1143">
        <f>+'LINEAS IMPULSIÓN-CONDUCCIÓN'!E192</f>
        <v>2075463.0987915022</v>
      </c>
      <c r="F553" s="260">
        <f t="shared" si="28"/>
        <v>4150926</v>
      </c>
      <c r="G553" s="255"/>
      <c r="I553" s="273"/>
      <c r="J553" s="273"/>
      <c r="K553" s="274"/>
      <c r="L553" s="275"/>
      <c r="M553" s="255"/>
      <c r="N553" s="255"/>
      <c r="O553" s="273"/>
      <c r="P553" s="276"/>
      <c r="Q553" s="276"/>
    </row>
    <row r="554" spans="1:17" s="247" customFormat="1" ht="33.6">
      <c r="A554" s="277" t="s">
        <v>1327</v>
      </c>
      <c r="B554" s="495" t="s">
        <v>1324</v>
      </c>
      <c r="C554" s="270" t="s">
        <v>133</v>
      </c>
      <c r="D554" s="271">
        <v>983</v>
      </c>
      <c r="E554" s="1143" t="e">
        <f>+'LINEAS IMPULSIÓN-CONDUCCIÓN'!#REF!</f>
        <v>#REF!</v>
      </c>
      <c r="F554" s="260" t="e">
        <f>ROUND(+E554*D554,0)</f>
        <v>#REF!</v>
      </c>
      <c r="G554" s="255"/>
      <c r="I554" s="273"/>
      <c r="J554" s="273"/>
      <c r="K554" s="274"/>
      <c r="L554" s="275"/>
      <c r="M554" s="255"/>
      <c r="N554" s="255"/>
      <c r="O554" s="273"/>
      <c r="P554" s="276"/>
      <c r="Q554" s="276"/>
    </row>
    <row r="555" spans="1:17" ht="14.4" thickBot="1">
      <c r="A555" s="514"/>
      <c r="B555" s="945"/>
      <c r="C555" s="1202"/>
      <c r="D555" s="1203"/>
      <c r="E555" s="1148"/>
      <c r="F555" s="1148"/>
    </row>
    <row r="556" spans="1:17" ht="14.4" thickBot="1">
      <c r="A556" s="3762" t="s">
        <v>4315</v>
      </c>
      <c r="B556" s="3763"/>
      <c r="C556" s="3763"/>
      <c r="D556" s="3763"/>
      <c r="E556" s="3764"/>
      <c r="F556" s="1171" t="e">
        <f>+SUM(F537:F554,F528:F535,F519:F526,F512:F517,F510)</f>
        <v>#REF!</v>
      </c>
    </row>
    <row r="557" spans="1:17" s="3701" customFormat="1" ht="14.25" customHeight="1"/>
    <row r="558" spans="1:17" ht="24.75" customHeight="1">
      <c r="A558" s="3782" t="s">
        <v>4251</v>
      </c>
      <c r="B558" s="3783"/>
      <c r="C558" s="3783"/>
      <c r="D558" s="3783"/>
      <c r="E558" s="3783"/>
      <c r="F558" s="1060" t="e">
        <f>+F556+F505+F436+F353+F312+F205+F124+F45</f>
        <v>#REF!</v>
      </c>
    </row>
    <row r="559" spans="1:17" ht="24.75" customHeight="1">
      <c r="A559" s="3832" t="s">
        <v>4252</v>
      </c>
      <c r="B559" s="3833"/>
      <c r="C559" s="3833"/>
      <c r="D559" s="3833"/>
      <c r="E559" s="3833"/>
      <c r="F559" s="1096" t="e">
        <f>ROUND(0.3*F558,0)</f>
        <v>#REF!</v>
      </c>
    </row>
    <row r="560" spans="1:17" ht="24.75" customHeight="1">
      <c r="A560" s="3832" t="s">
        <v>4272</v>
      </c>
      <c r="B560" s="3833"/>
      <c r="C560" s="3833"/>
      <c r="D560" s="3833"/>
      <c r="E560" s="3833"/>
      <c r="F560" s="1096" t="e">
        <f>ROUND(0.08*(F558+F559),0)</f>
        <v>#REF!</v>
      </c>
    </row>
    <row r="561" spans="1:9" ht="24.75" customHeight="1">
      <c r="A561" s="3715" t="s">
        <v>4305</v>
      </c>
      <c r="B561" s="3716"/>
      <c r="C561" s="3716"/>
      <c r="D561" s="3716"/>
      <c r="E561" s="3717"/>
      <c r="F561" s="1096" t="e">
        <f>ROUND(0.02*(F558+F559),0)</f>
        <v>#REF!</v>
      </c>
    </row>
    <row r="562" spans="1:9" ht="24.75" customHeight="1">
      <c r="A562" s="3782" t="s">
        <v>4281</v>
      </c>
      <c r="B562" s="3783"/>
      <c r="C562" s="3783"/>
      <c r="D562" s="3783"/>
      <c r="E562" s="3783"/>
      <c r="F562" s="1060" t="e">
        <f>+SUM(F558:F561)</f>
        <v>#REF!</v>
      </c>
    </row>
    <row r="563" spans="1:9" s="10" customFormat="1" ht="24.75" customHeight="1">
      <c r="A563" s="970"/>
      <c r="B563" s="970"/>
      <c r="C563" s="970"/>
      <c r="D563" s="970"/>
      <c r="E563" s="970"/>
      <c r="F563" s="971"/>
      <c r="H563" s="1108"/>
    </row>
    <row r="564" spans="1:9" ht="24.75" customHeight="1" thickBot="1">
      <c r="A564" s="968"/>
      <c r="B564" s="969"/>
      <c r="C564" s="1172"/>
      <c r="D564" s="1172"/>
      <c r="E564" s="1172"/>
      <c r="F564" s="1173"/>
    </row>
    <row r="565" spans="1:9" ht="38.25" customHeight="1" thickBot="1">
      <c r="A565" s="3784" t="s">
        <v>4193</v>
      </c>
      <c r="B565" s="3785"/>
      <c r="C565" s="3785"/>
      <c r="D565" s="3785"/>
      <c r="E565" s="3785"/>
      <c r="F565" s="3785"/>
    </row>
    <row r="566" spans="1:9" s="3700" customFormat="1" ht="13.5" customHeight="1" thickBot="1"/>
    <row r="567" spans="1:9" ht="28.5" customHeight="1" thickBot="1">
      <c r="A567" s="3786" t="s">
        <v>4284</v>
      </c>
      <c r="B567" s="3787"/>
      <c r="C567" s="3787"/>
      <c r="D567" s="3787"/>
      <c r="E567" s="3787"/>
      <c r="F567" s="3787"/>
    </row>
    <row r="568" spans="1:9" ht="20.25" customHeight="1">
      <c r="A568" s="1072"/>
      <c r="B568" s="1069" t="s">
        <v>3822</v>
      </c>
      <c r="C568" s="1212"/>
      <c r="D568" s="1213"/>
      <c r="E568" s="1174"/>
      <c r="F568" s="1175" t="e">
        <f>+SUM(F569:F591)</f>
        <v>#REF!</v>
      </c>
      <c r="I568" s="522"/>
    </row>
    <row r="569" spans="1:9" ht="66">
      <c r="A569" s="1079" t="s">
        <v>34</v>
      </c>
      <c r="B569" s="1090" t="s">
        <v>3751</v>
      </c>
      <c r="C569" s="1192" t="s">
        <v>150</v>
      </c>
      <c r="D569" s="1193">
        <v>1</v>
      </c>
      <c r="E569" s="1137" t="e">
        <f>+'CAPTACION RIO SINÚ'!#REF!</f>
        <v>#REF!</v>
      </c>
      <c r="F569" s="1138" t="e">
        <f>ROUND(+E569*D569,0)</f>
        <v>#REF!</v>
      </c>
      <c r="G569" s="522"/>
      <c r="I569" s="522"/>
    </row>
    <row r="570" spans="1:9" ht="26.4">
      <c r="A570" s="1079" t="s">
        <v>1443</v>
      </c>
      <c r="B570" s="1090" t="s">
        <v>3753</v>
      </c>
      <c r="C570" s="1192" t="s">
        <v>150</v>
      </c>
      <c r="D570" s="1193">
        <v>1</v>
      </c>
      <c r="E570" s="1137" t="e">
        <f>+'CAPTACION RIO SINÚ'!#REF!</f>
        <v>#REF!</v>
      </c>
      <c r="F570" s="1138" t="e">
        <f t="shared" ref="F570:F591" si="29">ROUND(+E570*D570,0)</f>
        <v>#REF!</v>
      </c>
      <c r="G570" s="522"/>
      <c r="I570" s="522"/>
    </row>
    <row r="571" spans="1:9" ht="118.8">
      <c r="A571" s="1079">
        <v>2</v>
      </c>
      <c r="B571" s="1090" t="s">
        <v>3620</v>
      </c>
      <c r="C571" s="1192" t="s">
        <v>150</v>
      </c>
      <c r="D571" s="1193">
        <v>1</v>
      </c>
      <c r="E571" s="1137" t="e">
        <f>+'CAPTACION RIO SINÚ'!#REF!</f>
        <v>#REF!</v>
      </c>
      <c r="F571" s="1138" t="e">
        <f t="shared" si="29"/>
        <v>#REF!</v>
      </c>
      <c r="G571" s="522"/>
      <c r="H571" s="1238"/>
      <c r="I571" s="522"/>
    </row>
    <row r="572" spans="1:9">
      <c r="A572" s="1079">
        <v>3</v>
      </c>
      <c r="B572" s="1090" t="s">
        <v>3824</v>
      </c>
      <c r="C572" s="1192" t="s">
        <v>150</v>
      </c>
      <c r="D572" s="1193">
        <v>6</v>
      </c>
      <c r="E572" s="1137" t="e">
        <f>+'CAPTACION RIO SINÚ'!#REF!</f>
        <v>#REF!</v>
      </c>
      <c r="F572" s="1138" t="e">
        <f t="shared" si="29"/>
        <v>#REF!</v>
      </c>
      <c r="G572" s="522"/>
      <c r="H572" s="1108"/>
      <c r="I572" s="522"/>
    </row>
    <row r="573" spans="1:9">
      <c r="A573" s="1079">
        <v>4</v>
      </c>
      <c r="B573" s="1090" t="s">
        <v>3631</v>
      </c>
      <c r="C573" s="1192" t="s">
        <v>150</v>
      </c>
      <c r="D573" s="1193">
        <v>3</v>
      </c>
      <c r="E573" s="1137" t="e">
        <f>+'CAPTACION RIO SINÚ'!#REF!</f>
        <v>#REF!</v>
      </c>
      <c r="F573" s="1138" t="e">
        <f t="shared" si="29"/>
        <v>#REF!</v>
      </c>
      <c r="G573" s="522"/>
      <c r="H573" s="1238"/>
      <c r="I573" s="522"/>
    </row>
    <row r="574" spans="1:9" ht="79.2">
      <c r="A574" s="1079">
        <v>5</v>
      </c>
      <c r="B574" s="1090" t="s">
        <v>3641</v>
      </c>
      <c r="C574" s="1192" t="s">
        <v>94</v>
      </c>
      <c r="D574" s="1193">
        <v>150</v>
      </c>
      <c r="E574" s="1137" t="e">
        <f>+'CAPTACION RIO SINÚ'!#REF!</f>
        <v>#REF!</v>
      </c>
      <c r="F574" s="1138" t="e">
        <f t="shared" si="29"/>
        <v>#REF!</v>
      </c>
      <c r="G574" s="522"/>
      <c r="H574" s="1108"/>
      <c r="I574" s="522"/>
    </row>
    <row r="575" spans="1:9" ht="105.6">
      <c r="A575" s="1079">
        <v>6</v>
      </c>
      <c r="B575" s="1090" t="s">
        <v>3645</v>
      </c>
      <c r="C575" s="1192" t="s">
        <v>94</v>
      </c>
      <c r="D575" s="1193">
        <v>30</v>
      </c>
      <c r="E575" s="1137" t="e">
        <f>+'CAPTACION RIO SINÚ'!#REF!</f>
        <v>#REF!</v>
      </c>
      <c r="F575" s="1138" t="e">
        <f t="shared" si="29"/>
        <v>#REF!</v>
      </c>
      <c r="G575" s="522"/>
      <c r="I575" s="522"/>
    </row>
    <row r="576" spans="1:9" ht="145.19999999999999">
      <c r="A576" s="1079">
        <v>7</v>
      </c>
      <c r="B576" s="1090" t="s">
        <v>3717</v>
      </c>
      <c r="C576" s="1192" t="s">
        <v>150</v>
      </c>
      <c r="D576" s="1193">
        <v>1</v>
      </c>
      <c r="E576" s="1137" t="e">
        <f>+'CAPTACION RIO SINÚ'!#REF!</f>
        <v>#REF!</v>
      </c>
      <c r="F576" s="1138" t="e">
        <f t="shared" si="29"/>
        <v>#REF!</v>
      </c>
      <c r="G576" s="522"/>
      <c r="I576" s="522"/>
    </row>
    <row r="577" spans="1:9" ht="66">
      <c r="A577" s="1079">
        <v>8</v>
      </c>
      <c r="B577" s="1090" t="s">
        <v>3841</v>
      </c>
      <c r="C577" s="1192" t="s">
        <v>150</v>
      </c>
      <c r="D577" s="1193">
        <v>1</v>
      </c>
      <c r="E577" s="1137" t="e">
        <f>+'CAPTACION RIO SINÚ'!#REF!</f>
        <v>#REF!</v>
      </c>
      <c r="F577" s="1138" t="e">
        <f t="shared" si="29"/>
        <v>#REF!</v>
      </c>
      <c r="G577" s="522"/>
      <c r="H577" s="1238"/>
      <c r="I577" s="522"/>
    </row>
    <row r="578" spans="1:9" ht="105.6">
      <c r="A578" s="1079">
        <v>9</v>
      </c>
      <c r="B578" s="1090" t="s">
        <v>3673</v>
      </c>
      <c r="C578" s="1192" t="s">
        <v>150</v>
      </c>
      <c r="D578" s="1193">
        <v>2</v>
      </c>
      <c r="E578" s="1137" t="e">
        <f>+'CAPTACION RIO SINÚ'!#REF!</f>
        <v>#REF!</v>
      </c>
      <c r="F578" s="1138" t="e">
        <f t="shared" si="29"/>
        <v>#REF!</v>
      </c>
      <c r="G578" s="522"/>
      <c r="I578" s="522"/>
    </row>
    <row r="579" spans="1:9" ht="79.2">
      <c r="A579" s="1079">
        <v>10</v>
      </c>
      <c r="B579" s="1090" t="s">
        <v>3670</v>
      </c>
      <c r="C579" s="1192" t="s">
        <v>150</v>
      </c>
      <c r="D579" s="1193">
        <v>2</v>
      </c>
      <c r="E579" s="1137" t="e">
        <f>+'CAPTACION RIO SINÚ'!#REF!</f>
        <v>#REF!</v>
      </c>
      <c r="F579" s="1138" t="e">
        <f t="shared" si="29"/>
        <v>#REF!</v>
      </c>
      <c r="G579" s="1239"/>
      <c r="H579" s="1238"/>
      <c r="I579" s="522"/>
    </row>
    <row r="580" spans="1:9" ht="79.2">
      <c r="A580" s="1079">
        <v>11</v>
      </c>
      <c r="B580" s="1090" t="s">
        <v>3677</v>
      </c>
      <c r="C580" s="1192" t="s">
        <v>150</v>
      </c>
      <c r="D580" s="1193">
        <v>2</v>
      </c>
      <c r="E580" s="1137" t="e">
        <f>+'CAPTACION RIO SINÚ'!#REF!</f>
        <v>#REF!</v>
      </c>
      <c r="F580" s="1138" t="e">
        <f t="shared" si="29"/>
        <v>#REF!</v>
      </c>
      <c r="G580" s="1239"/>
      <c r="H580" s="1238"/>
      <c r="I580" s="522"/>
    </row>
    <row r="581" spans="1:9" ht="66">
      <c r="A581" s="1079">
        <v>12</v>
      </c>
      <c r="B581" s="1090" t="s">
        <v>3686</v>
      </c>
      <c r="C581" s="1192" t="s">
        <v>150</v>
      </c>
      <c r="D581" s="1193">
        <v>4</v>
      </c>
      <c r="E581" s="1137" t="e">
        <f>+'CAPTACION RIO SINÚ'!#REF!</f>
        <v>#REF!</v>
      </c>
      <c r="F581" s="1138" t="e">
        <f t="shared" si="29"/>
        <v>#REF!</v>
      </c>
      <c r="G581" s="1239"/>
      <c r="H581" s="1238"/>
      <c r="I581" s="522"/>
    </row>
    <row r="582" spans="1:9" ht="66">
      <c r="A582" s="1079">
        <v>13</v>
      </c>
      <c r="B582" s="1090" t="s">
        <v>3689</v>
      </c>
      <c r="C582" s="1192" t="s">
        <v>150</v>
      </c>
      <c r="D582" s="1193">
        <v>1</v>
      </c>
      <c r="E582" s="1137" t="e">
        <f>+'CAPTACION RIO SINÚ'!#REF!</f>
        <v>#REF!</v>
      </c>
      <c r="F582" s="1138" t="e">
        <f t="shared" si="29"/>
        <v>#REF!</v>
      </c>
      <c r="G582" s="522"/>
      <c r="I582" s="522"/>
    </row>
    <row r="583" spans="1:9" ht="52.8">
      <c r="A583" s="1079">
        <v>14</v>
      </c>
      <c r="B583" s="1090" t="s">
        <v>3691</v>
      </c>
      <c r="C583" s="1192" t="s">
        <v>150</v>
      </c>
      <c r="D583" s="1193">
        <v>1</v>
      </c>
      <c r="E583" s="1137" t="e">
        <f>+'CAPTACION RIO SINÚ'!#REF!</f>
        <v>#REF!</v>
      </c>
      <c r="F583" s="1138" t="e">
        <f t="shared" si="29"/>
        <v>#REF!</v>
      </c>
      <c r="G583" s="522"/>
      <c r="I583" s="522"/>
    </row>
    <row r="584" spans="1:9" ht="39.6">
      <c r="A584" s="1079">
        <v>15</v>
      </c>
      <c r="B584" s="1090" t="s">
        <v>3827</v>
      </c>
      <c r="C584" s="1192" t="s">
        <v>150</v>
      </c>
      <c r="D584" s="1193">
        <v>1</v>
      </c>
      <c r="E584" s="1137" t="e">
        <f>+'CAPTACION RIO SINÚ'!#REF!</f>
        <v>#REF!</v>
      </c>
      <c r="F584" s="1138" t="e">
        <f t="shared" si="29"/>
        <v>#REF!</v>
      </c>
      <c r="G584" s="522"/>
      <c r="I584" s="522"/>
    </row>
    <row r="585" spans="1:9" ht="26.4">
      <c r="A585" s="1079">
        <v>16</v>
      </c>
      <c r="B585" s="1090" t="s">
        <v>3699</v>
      </c>
      <c r="C585" s="1192" t="s">
        <v>150</v>
      </c>
      <c r="D585" s="1193">
        <v>2</v>
      </c>
      <c r="E585" s="1137" t="e">
        <f>+'CAPTACION RIO SINÚ'!#REF!</f>
        <v>#REF!</v>
      </c>
      <c r="F585" s="1138" t="e">
        <f t="shared" si="29"/>
        <v>#REF!</v>
      </c>
      <c r="G585" s="522"/>
      <c r="I585" s="522"/>
    </row>
    <row r="586" spans="1:9" ht="26.4">
      <c r="A586" s="1079">
        <v>17</v>
      </c>
      <c r="B586" s="1090" t="s">
        <v>3701</v>
      </c>
      <c r="C586" s="1192" t="s">
        <v>150</v>
      </c>
      <c r="D586" s="1193">
        <v>2</v>
      </c>
      <c r="E586" s="1137" t="e">
        <f>+'CAPTACION RIO SINÚ'!#REF!</f>
        <v>#REF!</v>
      </c>
      <c r="F586" s="1138" t="e">
        <f t="shared" si="29"/>
        <v>#REF!</v>
      </c>
      <c r="G586" s="522"/>
      <c r="I586" s="522"/>
    </row>
    <row r="587" spans="1:9" ht="26.4">
      <c r="A587" s="1079">
        <v>18</v>
      </c>
      <c r="B587" s="1090" t="s">
        <v>3828</v>
      </c>
      <c r="C587" s="1192" t="s">
        <v>150</v>
      </c>
      <c r="D587" s="1193">
        <v>1</v>
      </c>
      <c r="E587" s="1137" t="e">
        <f>+'CAPTACION RIO SINÚ'!#REF!</f>
        <v>#REF!</v>
      </c>
      <c r="F587" s="1138" t="e">
        <f t="shared" si="29"/>
        <v>#REF!</v>
      </c>
      <c r="G587" s="522"/>
      <c r="I587" s="522"/>
    </row>
    <row r="588" spans="1:9" ht="26.4">
      <c r="A588" s="1079">
        <v>19</v>
      </c>
      <c r="B588" s="1090" t="s">
        <v>3710</v>
      </c>
      <c r="C588" s="1192" t="s">
        <v>150</v>
      </c>
      <c r="D588" s="1193">
        <v>4</v>
      </c>
      <c r="E588" s="1137" t="e">
        <f>+'CAPTACION RIO SINÚ'!#REF!</f>
        <v>#REF!</v>
      </c>
      <c r="F588" s="1138" t="e">
        <f t="shared" si="29"/>
        <v>#REF!</v>
      </c>
      <c r="G588" s="522"/>
      <c r="I588" s="522"/>
    </row>
    <row r="589" spans="1:9" ht="105.6">
      <c r="A589" s="1079">
        <v>20</v>
      </c>
      <c r="B589" s="1090" t="s">
        <v>3829</v>
      </c>
      <c r="C589" s="1192" t="s">
        <v>150</v>
      </c>
      <c r="D589" s="1193">
        <v>1</v>
      </c>
      <c r="E589" s="1137" t="e">
        <f>+'CAPTACION RIO SINÚ'!#REF!</f>
        <v>#REF!</v>
      </c>
      <c r="F589" s="1138" t="e">
        <f t="shared" si="29"/>
        <v>#REF!</v>
      </c>
      <c r="G589" s="522"/>
      <c r="I589" s="522"/>
    </row>
    <row r="590" spans="1:9" ht="52.8">
      <c r="A590" s="1079">
        <v>21</v>
      </c>
      <c r="B590" s="1090" t="s">
        <v>3830</v>
      </c>
      <c r="C590" s="1192" t="s">
        <v>150</v>
      </c>
      <c r="D590" s="1193">
        <v>1</v>
      </c>
      <c r="E590" s="1137" t="e">
        <f>+'CAPTACION RIO SINÚ'!#REF!</f>
        <v>#REF!</v>
      </c>
      <c r="F590" s="1138" t="e">
        <f t="shared" si="29"/>
        <v>#REF!</v>
      </c>
      <c r="G590" s="522"/>
      <c r="I590" s="522"/>
    </row>
    <row r="591" spans="1:9" ht="132">
      <c r="A591" s="1079">
        <v>22</v>
      </c>
      <c r="B591" s="1090" t="s">
        <v>3831</v>
      </c>
      <c r="C591" s="1192" t="s">
        <v>150</v>
      </c>
      <c r="D591" s="1193">
        <v>1</v>
      </c>
      <c r="E591" s="1137" t="e">
        <f>+'CAPTACION RIO SINÚ'!#REF!</f>
        <v>#REF!</v>
      </c>
      <c r="F591" s="1138" t="e">
        <f t="shared" si="29"/>
        <v>#REF!</v>
      </c>
      <c r="G591" s="522"/>
      <c r="I591" s="522"/>
    </row>
    <row r="592" spans="1:9" ht="21" customHeight="1">
      <c r="A592" s="1061"/>
      <c r="B592" s="1097" t="s">
        <v>3832</v>
      </c>
      <c r="C592" s="1214"/>
      <c r="D592" s="1215"/>
      <c r="E592" s="1176" t="e">
        <f>+'CAPTACION RIO SINÚ'!#REF!</f>
        <v>#REF!</v>
      </c>
      <c r="F592" s="1177" t="e">
        <f>+SUM(F593:F605)</f>
        <v>#REF!</v>
      </c>
      <c r="G592" s="522"/>
      <c r="I592" s="522"/>
    </row>
    <row r="593" spans="1:16" ht="39.6">
      <c r="A593" s="514">
        <v>23</v>
      </c>
      <c r="B593" s="518" t="s">
        <v>3727</v>
      </c>
      <c r="C593" s="1194" t="s">
        <v>150</v>
      </c>
      <c r="D593" s="1195">
        <v>1</v>
      </c>
      <c r="E593" s="1140" t="e">
        <f>+'CAPTACION RIO SINÚ'!#REF!</f>
        <v>#REF!</v>
      </c>
      <c r="F593" s="1240" t="e">
        <f>ROUND(+E593*D593,0)</f>
        <v>#REF!</v>
      </c>
      <c r="G593" s="522"/>
      <c r="I593" s="522"/>
    </row>
    <row r="594" spans="1:16" ht="26.4">
      <c r="A594" s="514">
        <v>24</v>
      </c>
      <c r="B594" s="518" t="s">
        <v>3728</v>
      </c>
      <c r="C594" s="1194" t="s">
        <v>150</v>
      </c>
      <c r="D594" s="1195">
        <v>6</v>
      </c>
      <c r="E594" s="1140" t="e">
        <f>+'CAPTACION RIO SINÚ'!#REF!</f>
        <v>#REF!</v>
      </c>
      <c r="F594" s="1240" t="e">
        <f t="shared" ref="F594:F605" si="30">ROUND(+E594*D594,0)</f>
        <v>#REF!</v>
      </c>
      <c r="G594" s="522"/>
      <c r="I594" s="522"/>
    </row>
    <row r="595" spans="1:16" ht="26.4">
      <c r="A595" s="514">
        <v>25</v>
      </c>
      <c r="B595" s="518" t="s">
        <v>3730</v>
      </c>
      <c r="C595" s="1194" t="s">
        <v>150</v>
      </c>
      <c r="D595" s="1195">
        <v>6</v>
      </c>
      <c r="E595" s="1140" t="e">
        <f>+'CAPTACION RIO SINÚ'!#REF!</f>
        <v>#REF!</v>
      </c>
      <c r="F595" s="1240" t="e">
        <f t="shared" si="30"/>
        <v>#REF!</v>
      </c>
      <c r="G595" s="522"/>
      <c r="I595" s="522"/>
    </row>
    <row r="596" spans="1:16">
      <c r="A596" s="514">
        <v>26</v>
      </c>
      <c r="B596" s="518" t="s">
        <v>3732</v>
      </c>
      <c r="C596" s="1194" t="s">
        <v>150</v>
      </c>
      <c r="D596" s="1195">
        <v>7</v>
      </c>
      <c r="E596" s="1140" t="e">
        <f>+'CAPTACION RIO SINÚ'!#REF!</f>
        <v>#REF!</v>
      </c>
      <c r="F596" s="1240" t="e">
        <f t="shared" si="30"/>
        <v>#REF!</v>
      </c>
      <c r="G596" s="522"/>
      <c r="I596" s="522"/>
    </row>
    <row r="597" spans="1:16" ht="39.6">
      <c r="A597" s="514">
        <v>27</v>
      </c>
      <c r="B597" s="518" t="s">
        <v>3733</v>
      </c>
      <c r="C597" s="1194" t="s">
        <v>94</v>
      </c>
      <c r="D597" s="1195">
        <v>180</v>
      </c>
      <c r="E597" s="1140" t="e">
        <f>+'CAPTACION RIO SINÚ'!#REF!</f>
        <v>#REF!</v>
      </c>
      <c r="F597" s="1240" t="e">
        <f t="shared" si="30"/>
        <v>#REF!</v>
      </c>
      <c r="G597" s="522"/>
      <c r="I597" s="522"/>
    </row>
    <row r="598" spans="1:16" ht="26.4">
      <c r="A598" s="514">
        <v>28</v>
      </c>
      <c r="B598" s="518" t="s">
        <v>3735</v>
      </c>
      <c r="C598" s="1194" t="s">
        <v>150</v>
      </c>
      <c r="D598" s="1195">
        <v>6</v>
      </c>
      <c r="E598" s="1140" t="e">
        <f>+'CAPTACION RIO SINÚ'!#REF!</f>
        <v>#REF!</v>
      </c>
      <c r="F598" s="1240" t="e">
        <f t="shared" si="30"/>
        <v>#REF!</v>
      </c>
      <c r="G598" s="522"/>
      <c r="I598" s="522"/>
    </row>
    <row r="599" spans="1:16" ht="39.6">
      <c r="A599" s="514">
        <v>29</v>
      </c>
      <c r="B599" s="518" t="s">
        <v>3737</v>
      </c>
      <c r="C599" s="1194" t="s">
        <v>150</v>
      </c>
      <c r="D599" s="1195">
        <v>2</v>
      </c>
      <c r="E599" s="1140" t="e">
        <f>+'CAPTACION RIO SINÚ'!#REF!</f>
        <v>#REF!</v>
      </c>
      <c r="F599" s="1140" t="e">
        <f t="shared" si="30"/>
        <v>#REF!</v>
      </c>
      <c r="G599" s="522"/>
      <c r="I599" s="522"/>
    </row>
    <row r="600" spans="1:16" ht="52.8">
      <c r="A600" s="514">
        <v>30</v>
      </c>
      <c r="B600" s="518" t="s">
        <v>3738</v>
      </c>
      <c r="C600" s="1194" t="s">
        <v>150</v>
      </c>
      <c r="D600" s="1195">
        <v>6</v>
      </c>
      <c r="E600" s="1140" t="e">
        <f>+'CAPTACION RIO SINÚ'!#REF!</f>
        <v>#REF!</v>
      </c>
      <c r="F600" s="1140" t="e">
        <f t="shared" si="30"/>
        <v>#REF!</v>
      </c>
      <c r="G600" s="522"/>
      <c r="I600" s="522"/>
    </row>
    <row r="601" spans="1:16" ht="39.6">
      <c r="A601" s="514">
        <v>31</v>
      </c>
      <c r="B601" s="518" t="s">
        <v>3740</v>
      </c>
      <c r="C601" s="1194" t="s">
        <v>150</v>
      </c>
      <c r="D601" s="1195">
        <v>3</v>
      </c>
      <c r="E601" s="1140" t="e">
        <f>+'CAPTACION RIO SINÚ'!#REF!</f>
        <v>#REF!</v>
      </c>
      <c r="F601" s="1140" t="e">
        <f t="shared" si="30"/>
        <v>#REF!</v>
      </c>
      <c r="G601" s="522"/>
      <c r="I601" s="522"/>
    </row>
    <row r="602" spans="1:16" ht="52.8">
      <c r="A602" s="514">
        <v>32</v>
      </c>
      <c r="B602" s="518" t="s">
        <v>3742</v>
      </c>
      <c r="C602" s="1194" t="s">
        <v>150</v>
      </c>
      <c r="D602" s="1195">
        <v>13</v>
      </c>
      <c r="E602" s="1140" t="e">
        <f>+'CAPTACION RIO SINÚ'!#REF!</f>
        <v>#REF!</v>
      </c>
      <c r="F602" s="1140" t="e">
        <f t="shared" si="30"/>
        <v>#REF!</v>
      </c>
      <c r="G602" s="522"/>
      <c r="I602" s="522"/>
    </row>
    <row r="603" spans="1:16" ht="39.6">
      <c r="A603" s="514">
        <v>33</v>
      </c>
      <c r="B603" s="518" t="s">
        <v>3744</v>
      </c>
      <c r="C603" s="1194" t="s">
        <v>150</v>
      </c>
      <c r="D603" s="1195">
        <v>5</v>
      </c>
      <c r="E603" s="1140" t="e">
        <f>+'CAPTACION RIO SINÚ'!#REF!</f>
        <v>#REF!</v>
      </c>
      <c r="F603" s="1140" t="e">
        <f t="shared" si="30"/>
        <v>#REF!</v>
      </c>
      <c r="G603" s="522"/>
      <c r="I603" s="522"/>
    </row>
    <row r="604" spans="1:16" ht="39.6">
      <c r="A604" s="514">
        <v>34</v>
      </c>
      <c r="B604" s="518" t="s">
        <v>3833</v>
      </c>
      <c r="C604" s="1194" t="s">
        <v>150</v>
      </c>
      <c r="D604" s="1195">
        <v>1</v>
      </c>
      <c r="E604" s="1140" t="e">
        <f>+'CAPTACION RIO SINÚ'!#REF!</f>
        <v>#REF!</v>
      </c>
      <c r="F604" s="1240" t="e">
        <f t="shared" si="30"/>
        <v>#REF!</v>
      </c>
      <c r="G604" s="522"/>
      <c r="I604" s="522"/>
    </row>
    <row r="605" spans="1:16" ht="40.200000000000003" thickBot="1">
      <c r="A605" s="514">
        <v>35</v>
      </c>
      <c r="B605" s="518" t="s">
        <v>3834</v>
      </c>
      <c r="C605" s="1194" t="s">
        <v>150</v>
      </c>
      <c r="D605" s="1195">
        <v>6</v>
      </c>
      <c r="E605" s="1140" t="e">
        <f>+'CAPTACION RIO SINÚ'!#REF!</f>
        <v>#REF!</v>
      </c>
      <c r="F605" s="1240" t="e">
        <f t="shared" si="30"/>
        <v>#REF!</v>
      </c>
      <c r="G605" s="522"/>
      <c r="I605" s="522"/>
    </row>
    <row r="606" spans="1:16" ht="23.25" customHeight="1" thickBot="1">
      <c r="A606" s="3765" t="s">
        <v>4316</v>
      </c>
      <c r="B606" s="3766"/>
      <c r="C606" s="3766"/>
      <c r="D606" s="3766"/>
      <c r="E606" s="3767"/>
      <c r="F606" s="1062" t="e">
        <f>+SUM(F593:F605,F569:F591)</f>
        <v>#REF!</v>
      </c>
      <c r="G606" s="522"/>
      <c r="I606" s="522"/>
    </row>
    <row r="607" spans="1:16" s="3698" customFormat="1" ht="23.25" customHeight="1" thickBot="1">
      <c r="B607" s="3699"/>
      <c r="C607" s="3699"/>
      <c r="D607" s="3699"/>
      <c r="E607" s="3699"/>
      <c r="F607" s="3699"/>
      <c r="G607" s="3699"/>
      <c r="H607" s="3699"/>
      <c r="I607" s="3699"/>
      <c r="J607" s="3699"/>
      <c r="K607" s="3699"/>
      <c r="L607" s="3699"/>
      <c r="M607" s="3699"/>
      <c r="N607" s="3699"/>
      <c r="O607" s="3699"/>
      <c r="P607" s="3699"/>
    </row>
    <row r="608" spans="1:16" s="247" customFormat="1" ht="22.5" customHeight="1" thickBot="1">
      <c r="A608" s="3788" t="s">
        <v>4257</v>
      </c>
      <c r="B608" s="3789"/>
      <c r="C608" s="3789"/>
      <c r="D608" s="3789"/>
      <c r="E608" s="3789"/>
      <c r="F608" s="3789"/>
      <c r="G608" s="522"/>
      <c r="H608" s="1109"/>
      <c r="I608" s="255"/>
      <c r="J608" s="256"/>
      <c r="K608" s="256"/>
      <c r="L608" s="255"/>
      <c r="M608" s="255"/>
      <c r="N608" s="255"/>
      <c r="O608" s="255"/>
      <c r="P608" s="255"/>
    </row>
    <row r="609" spans="1:17" s="247" customFormat="1" ht="15" customHeight="1">
      <c r="A609" s="986"/>
      <c r="B609" s="3830" t="s">
        <v>1128</v>
      </c>
      <c r="C609" s="3831"/>
      <c r="D609" s="3831"/>
      <c r="E609" s="3831"/>
      <c r="F609" s="1178" t="e">
        <f>+SUM(F610:F658)</f>
        <v>#REF!</v>
      </c>
      <c r="G609" s="522"/>
      <c r="H609" s="1109"/>
      <c r="I609" s="255"/>
      <c r="J609" s="256"/>
      <c r="K609" s="256"/>
      <c r="L609" s="255"/>
      <c r="M609" s="255"/>
      <c r="N609" s="255"/>
      <c r="O609" s="255"/>
      <c r="P609" s="255"/>
    </row>
    <row r="610" spans="1:17" s="247" customFormat="1" ht="16.8">
      <c r="A610" s="257" t="s">
        <v>1181</v>
      </c>
      <c r="B610" s="258" t="s">
        <v>4407</v>
      </c>
      <c r="C610" s="471" t="s">
        <v>427</v>
      </c>
      <c r="D610" s="259">
        <v>2</v>
      </c>
      <c r="E610" s="260">
        <f>+'PTAP TIJERETAS'!E474</f>
        <v>1899100</v>
      </c>
      <c r="F610" s="1283">
        <f>+E610*D610</f>
        <v>3798200</v>
      </c>
      <c r="G610" s="306"/>
      <c r="H610" s="255" t="s">
        <v>4572</v>
      </c>
      <c r="I610" s="255"/>
      <c r="J610" s="255"/>
      <c r="K610" s="256"/>
      <c r="L610" s="256"/>
      <c r="M610" s="255"/>
      <c r="N610" s="255"/>
      <c r="O610" s="255"/>
      <c r="P610" s="255"/>
      <c r="Q610" s="255"/>
    </row>
    <row r="611" spans="1:17" s="247" customFormat="1" ht="16.8">
      <c r="A611" s="257" t="s">
        <v>1182</v>
      </c>
      <c r="B611" s="258" t="s">
        <v>4408</v>
      </c>
      <c r="C611" s="471" t="s">
        <v>427</v>
      </c>
      <c r="D611" s="259">
        <v>2</v>
      </c>
      <c r="E611" s="260">
        <f>+'PTAP TIJERETAS'!E475</f>
        <v>1123600</v>
      </c>
      <c r="F611" s="1283">
        <f t="shared" ref="F611:F647" si="31">+E611*D611</f>
        <v>2247200</v>
      </c>
      <c r="G611" s="306"/>
      <c r="H611" s="255"/>
      <c r="I611" s="255"/>
      <c r="J611" s="255"/>
      <c r="K611" s="256"/>
      <c r="L611" s="256"/>
      <c r="M611" s="255"/>
      <c r="N611" s="255"/>
      <c r="O611" s="255"/>
      <c r="P611" s="255"/>
      <c r="Q611" s="255"/>
    </row>
    <row r="612" spans="1:17" s="247" customFormat="1" ht="16.8">
      <c r="A612" s="257" t="s">
        <v>4573</v>
      </c>
      <c r="B612" s="258" t="s">
        <v>4411</v>
      </c>
      <c r="C612" s="471" t="s">
        <v>427</v>
      </c>
      <c r="D612" s="259">
        <v>4</v>
      </c>
      <c r="E612" s="260">
        <f>+'PTAP TIJERETAS'!E476</f>
        <v>639150</v>
      </c>
      <c r="F612" s="1283">
        <f t="shared" si="31"/>
        <v>2556600</v>
      </c>
      <c r="G612" s="306"/>
      <c r="H612" s="255"/>
      <c r="I612" s="255"/>
      <c r="J612" s="255"/>
      <c r="K612" s="256"/>
      <c r="L612" s="256"/>
      <c r="M612" s="255"/>
      <c r="N612" s="255"/>
      <c r="O612" s="255"/>
      <c r="P612" s="255"/>
      <c r="Q612" s="255"/>
    </row>
    <row r="613" spans="1:17" s="247" customFormat="1" ht="16.8">
      <c r="A613" s="257" t="s">
        <v>4574</v>
      </c>
      <c r="B613" s="258" t="s">
        <v>4412</v>
      </c>
      <c r="C613" s="471" t="s">
        <v>427</v>
      </c>
      <c r="D613" s="259">
        <v>2</v>
      </c>
      <c r="E613" s="260">
        <f>+'PTAP TIJERETAS'!E477</f>
        <v>1268600</v>
      </c>
      <c r="F613" s="1283">
        <f t="shared" si="31"/>
        <v>2537200</v>
      </c>
      <c r="G613" s="306"/>
      <c r="H613" s="255"/>
      <c r="I613" s="255"/>
      <c r="J613" s="255"/>
      <c r="K613" s="256"/>
      <c r="L613" s="256"/>
      <c r="M613" s="255"/>
      <c r="N613" s="255"/>
      <c r="O613" s="255"/>
      <c r="P613" s="255"/>
      <c r="Q613" s="255"/>
    </row>
    <row r="614" spans="1:17" s="247" customFormat="1" ht="16.8">
      <c r="A614" s="257" t="s">
        <v>4575</v>
      </c>
      <c r="B614" s="258" t="s">
        <v>4413</v>
      </c>
      <c r="C614" s="471" t="s">
        <v>427</v>
      </c>
      <c r="D614" s="259">
        <v>2</v>
      </c>
      <c r="E614" s="260">
        <f>+'PTAP TIJERETAS'!E478</f>
        <v>750325</v>
      </c>
      <c r="F614" s="1283">
        <f t="shared" si="31"/>
        <v>1500650</v>
      </c>
      <c r="G614" s="306"/>
      <c r="H614" s="255"/>
      <c r="I614" s="255"/>
      <c r="J614" s="255"/>
      <c r="K614" s="256"/>
      <c r="L614" s="256"/>
      <c r="M614" s="255"/>
      <c r="N614" s="255"/>
      <c r="O614" s="255"/>
      <c r="P614" s="255"/>
      <c r="Q614" s="255"/>
    </row>
    <row r="615" spans="1:17" s="247" customFormat="1" ht="16.8">
      <c r="A615" s="257" t="s">
        <v>4576</v>
      </c>
      <c r="B615" s="258" t="s">
        <v>4414</v>
      </c>
      <c r="C615" s="471" t="s">
        <v>427</v>
      </c>
      <c r="D615" s="259">
        <v>2</v>
      </c>
      <c r="E615" s="260">
        <f>+'PTAP TIJERETAS'!E479</f>
        <v>684300</v>
      </c>
      <c r="F615" s="1283">
        <f t="shared" si="31"/>
        <v>1368600</v>
      </c>
      <c r="G615" s="306"/>
      <c r="H615" s="255"/>
      <c r="I615" s="255"/>
      <c r="J615" s="255"/>
      <c r="K615" s="256"/>
      <c r="L615" s="256"/>
      <c r="M615" s="255"/>
      <c r="N615" s="255"/>
      <c r="O615" s="255"/>
      <c r="P615" s="255"/>
      <c r="Q615" s="255"/>
    </row>
    <row r="616" spans="1:17" s="247" customFormat="1" ht="16.8">
      <c r="A616" s="257" t="s">
        <v>4577</v>
      </c>
      <c r="B616" s="258" t="s">
        <v>4415</v>
      </c>
      <c r="C616" s="471" t="s">
        <v>427</v>
      </c>
      <c r="D616" s="259">
        <v>2</v>
      </c>
      <c r="E616" s="260">
        <f>+'PTAP TIJERETAS'!E480</f>
        <v>654550</v>
      </c>
      <c r="F616" s="1283">
        <f t="shared" si="31"/>
        <v>1309100</v>
      </c>
      <c r="G616" s="306"/>
      <c r="H616" s="255"/>
      <c r="I616" s="255"/>
      <c r="J616" s="255"/>
      <c r="K616" s="256"/>
      <c r="L616" s="256"/>
      <c r="M616" s="255"/>
      <c r="N616" s="255"/>
      <c r="O616" s="255"/>
      <c r="P616" s="255"/>
      <c r="Q616" s="255"/>
    </row>
    <row r="617" spans="1:17" s="247" customFormat="1" ht="16.8">
      <c r="A617" s="257" t="s">
        <v>4578</v>
      </c>
      <c r="B617" s="258" t="s">
        <v>4416</v>
      </c>
      <c r="C617" s="471" t="s">
        <v>427</v>
      </c>
      <c r="D617" s="259">
        <v>2</v>
      </c>
      <c r="E617" s="260">
        <f>+'PTAP TIJERETAS'!E481</f>
        <v>777965</v>
      </c>
      <c r="F617" s="1283">
        <f t="shared" si="31"/>
        <v>1555930</v>
      </c>
      <c r="G617" s="306"/>
      <c r="H617" s="255"/>
      <c r="I617" s="255"/>
      <c r="J617" s="255"/>
      <c r="K617" s="256"/>
      <c r="L617" s="256"/>
      <c r="M617" s="255"/>
      <c r="N617" s="255"/>
      <c r="O617" s="255"/>
      <c r="P617" s="255"/>
      <c r="Q617" s="255"/>
    </row>
    <row r="618" spans="1:17" s="247" customFormat="1" ht="16.8">
      <c r="A618" s="257" t="s">
        <v>4579</v>
      </c>
      <c r="B618" s="258" t="s">
        <v>4417</v>
      </c>
      <c r="C618" s="471" t="s">
        <v>427</v>
      </c>
      <c r="D618" s="259">
        <v>2</v>
      </c>
      <c r="E618" s="260">
        <f>+'PTAP TIJERETAS'!E482</f>
        <v>693475</v>
      </c>
      <c r="F618" s="1283">
        <f t="shared" si="31"/>
        <v>1386950</v>
      </c>
      <c r="G618" s="306"/>
      <c r="H618" s="255"/>
      <c r="I618" s="255"/>
      <c r="J618" s="255"/>
      <c r="K618" s="256"/>
      <c r="L618" s="256"/>
      <c r="M618" s="255"/>
      <c r="N618" s="255"/>
      <c r="O618" s="255"/>
      <c r="P618" s="255"/>
      <c r="Q618" s="255"/>
    </row>
    <row r="619" spans="1:17" s="247" customFormat="1" ht="16.8">
      <c r="A619" s="257" t="s">
        <v>4580</v>
      </c>
      <c r="B619" s="258" t="s">
        <v>4418</v>
      </c>
      <c r="C619" s="471" t="s">
        <v>427</v>
      </c>
      <c r="D619" s="259">
        <v>2</v>
      </c>
      <c r="E619" s="260">
        <f>+'PTAP TIJERETAS'!E483</f>
        <v>3338580</v>
      </c>
      <c r="F619" s="1283">
        <f t="shared" si="31"/>
        <v>6677160</v>
      </c>
      <c r="G619" s="306"/>
      <c r="H619" s="255"/>
      <c r="I619" s="255"/>
      <c r="J619" s="255"/>
      <c r="K619" s="256"/>
      <c r="L619" s="256"/>
      <c r="M619" s="255"/>
      <c r="N619" s="255"/>
      <c r="O619" s="255"/>
      <c r="P619" s="255"/>
      <c r="Q619" s="255"/>
    </row>
    <row r="620" spans="1:17" s="247" customFormat="1" ht="33.6">
      <c r="A620" s="257" t="s">
        <v>4581</v>
      </c>
      <c r="B620" s="258" t="s">
        <v>4419</v>
      </c>
      <c r="C620" s="471" t="s">
        <v>427</v>
      </c>
      <c r="D620" s="259">
        <v>2</v>
      </c>
      <c r="E620" s="260">
        <f>+'PTAP TIJERETAS'!E484</f>
        <v>2229000</v>
      </c>
      <c r="F620" s="1283">
        <f t="shared" si="31"/>
        <v>4458000</v>
      </c>
      <c r="G620" s="306"/>
      <c r="H620" s="255"/>
      <c r="I620" s="255"/>
      <c r="J620" s="255"/>
      <c r="K620" s="256"/>
      <c r="L620" s="256"/>
      <c r="M620" s="255"/>
      <c r="N620" s="255"/>
      <c r="O620" s="255"/>
      <c r="P620" s="255"/>
      <c r="Q620" s="255"/>
    </row>
    <row r="621" spans="1:17" s="247" customFormat="1" ht="16.8">
      <c r="A621" s="257" t="s">
        <v>4582</v>
      </c>
      <c r="B621" s="258" t="s">
        <v>4420</v>
      </c>
      <c r="C621" s="471" t="s">
        <v>427</v>
      </c>
      <c r="D621" s="259">
        <v>4</v>
      </c>
      <c r="E621" s="260">
        <f>+'PTAP TIJERETAS'!E485</f>
        <v>1086600</v>
      </c>
      <c r="F621" s="1283">
        <f t="shared" si="31"/>
        <v>4346400</v>
      </c>
      <c r="G621" s="306"/>
      <c r="H621" s="255"/>
      <c r="I621" s="255"/>
      <c r="J621" s="255"/>
      <c r="K621" s="256"/>
      <c r="L621" s="256"/>
      <c r="M621" s="255"/>
      <c r="N621" s="255"/>
      <c r="O621" s="255"/>
      <c r="P621" s="255"/>
      <c r="Q621" s="255"/>
    </row>
    <row r="622" spans="1:17" s="247" customFormat="1" ht="16.8">
      <c r="A622" s="257" t="s">
        <v>4583</v>
      </c>
      <c r="B622" s="258" t="s">
        <v>4421</v>
      </c>
      <c r="C622" s="471" t="s">
        <v>427</v>
      </c>
      <c r="D622" s="259">
        <v>2</v>
      </c>
      <c r="E622" s="260">
        <f>+'PTAP TIJERETAS'!E486</f>
        <v>1212910</v>
      </c>
      <c r="F622" s="1283">
        <f t="shared" si="31"/>
        <v>2425820</v>
      </c>
      <c r="G622" s="306"/>
      <c r="H622" s="255"/>
      <c r="I622" s="255"/>
      <c r="J622" s="255"/>
      <c r="K622" s="256"/>
      <c r="L622" s="256"/>
      <c r="M622" s="255"/>
      <c r="N622" s="255"/>
      <c r="O622" s="255"/>
      <c r="P622" s="255"/>
      <c r="Q622" s="255"/>
    </row>
    <row r="623" spans="1:17" s="247" customFormat="1" ht="16.8">
      <c r="A623" s="257" t="s">
        <v>4584</v>
      </c>
      <c r="B623" s="258" t="s">
        <v>4422</v>
      </c>
      <c r="C623" s="471" t="s">
        <v>427</v>
      </c>
      <c r="D623" s="259">
        <v>1</v>
      </c>
      <c r="E623" s="260">
        <f>+'PTAP TIJERETAS'!E487</f>
        <v>634300</v>
      </c>
      <c r="F623" s="1283">
        <f t="shared" si="31"/>
        <v>634300</v>
      </c>
      <c r="G623" s="306"/>
      <c r="H623" s="255"/>
      <c r="I623" s="255"/>
      <c r="J623" s="255"/>
      <c r="K623" s="256"/>
      <c r="L623" s="256"/>
      <c r="M623" s="255"/>
      <c r="N623" s="255"/>
      <c r="O623" s="255"/>
      <c r="P623" s="255"/>
      <c r="Q623" s="255"/>
    </row>
    <row r="624" spans="1:17" s="247" customFormat="1" ht="16.8">
      <c r="A624" s="257" t="s">
        <v>4585</v>
      </c>
      <c r="B624" s="258" t="s">
        <v>4423</v>
      </c>
      <c r="C624" s="471" t="s">
        <v>427</v>
      </c>
      <c r="D624" s="259">
        <v>5</v>
      </c>
      <c r="E624" s="260">
        <f>+'PTAP TIJERETAS'!E488</f>
        <v>1452100</v>
      </c>
      <c r="F624" s="1283">
        <f t="shared" si="31"/>
        <v>7260500</v>
      </c>
      <c r="G624" s="306"/>
      <c r="H624" s="255"/>
      <c r="I624" s="255"/>
      <c r="J624" s="255"/>
      <c r="K624" s="256"/>
      <c r="L624" s="256"/>
      <c r="M624" s="255"/>
      <c r="N624" s="255"/>
      <c r="O624" s="255"/>
      <c r="P624" s="255"/>
      <c r="Q624" s="255"/>
    </row>
    <row r="625" spans="1:17" s="247" customFormat="1" ht="16.8">
      <c r="A625" s="257" t="s">
        <v>4586</v>
      </c>
      <c r="B625" s="258" t="s">
        <v>4424</v>
      </c>
      <c r="C625" s="471" t="s">
        <v>427</v>
      </c>
      <c r="D625" s="259">
        <v>1</v>
      </c>
      <c r="E625" s="260">
        <f>+'PTAP TIJERETAS'!E489</f>
        <v>1109975</v>
      </c>
      <c r="F625" s="1283">
        <f t="shared" si="31"/>
        <v>1109975</v>
      </c>
      <c r="G625" s="306"/>
      <c r="H625" s="255"/>
      <c r="I625" s="255"/>
      <c r="J625" s="255"/>
      <c r="K625" s="256"/>
      <c r="L625" s="256"/>
      <c r="M625" s="255"/>
      <c r="N625" s="255"/>
      <c r="O625" s="255"/>
      <c r="P625" s="255"/>
      <c r="Q625" s="255"/>
    </row>
    <row r="626" spans="1:17" s="247" customFormat="1" ht="16.8">
      <c r="A626" s="257" t="s">
        <v>4587</v>
      </c>
      <c r="B626" s="258" t="s">
        <v>4527</v>
      </c>
      <c r="C626" s="471" t="s">
        <v>427</v>
      </c>
      <c r="D626" s="259">
        <v>1</v>
      </c>
      <c r="E626" s="260">
        <f>+'PTAP TIJERETAS'!E490</f>
        <v>854550</v>
      </c>
      <c r="F626" s="1283">
        <f t="shared" si="31"/>
        <v>854550</v>
      </c>
      <c r="G626" s="306"/>
      <c r="H626" s="255"/>
      <c r="I626" s="255"/>
      <c r="J626" s="255"/>
      <c r="K626" s="256"/>
      <c r="L626" s="256"/>
      <c r="M626" s="255"/>
      <c r="N626" s="255"/>
      <c r="O626" s="255"/>
      <c r="P626" s="255"/>
      <c r="Q626" s="255"/>
    </row>
    <row r="627" spans="1:17" s="247" customFormat="1" ht="16.8">
      <c r="A627" s="257" t="s">
        <v>4588</v>
      </c>
      <c r="B627" s="258" t="s">
        <v>4528</v>
      </c>
      <c r="C627" s="471" t="s">
        <v>427</v>
      </c>
      <c r="D627" s="259">
        <v>1</v>
      </c>
      <c r="E627" s="260">
        <f>+'PTAP TIJERETAS'!E491</f>
        <v>394782</v>
      </c>
      <c r="F627" s="1283">
        <f t="shared" si="31"/>
        <v>394782</v>
      </c>
      <c r="G627" s="306"/>
      <c r="H627" s="255"/>
      <c r="I627" s="255"/>
      <c r="J627" s="255"/>
      <c r="K627" s="256"/>
      <c r="L627" s="256"/>
      <c r="M627" s="255"/>
      <c r="N627" s="255"/>
      <c r="O627" s="255"/>
      <c r="P627" s="255"/>
      <c r="Q627" s="255"/>
    </row>
    <row r="628" spans="1:17" s="247" customFormat="1" ht="4.5" customHeight="1">
      <c r="A628" s="287"/>
      <c r="B628" s="258"/>
      <c r="C628" s="471"/>
      <c r="D628" s="259"/>
      <c r="E628" s="260" t="e">
        <f>+'PTAP TIJERETAS'!#REF!</f>
        <v>#REF!</v>
      </c>
      <c r="F628" s="1283" t="e">
        <f t="shared" si="31"/>
        <v>#REF!</v>
      </c>
      <c r="G628" s="306"/>
      <c r="H628" s="255"/>
      <c r="I628" s="255"/>
      <c r="J628" s="255"/>
      <c r="K628" s="256"/>
      <c r="L628" s="256"/>
      <c r="M628" s="255"/>
      <c r="N628" s="255"/>
      <c r="O628" s="255"/>
      <c r="P628" s="255"/>
      <c r="Q628" s="255"/>
    </row>
    <row r="629" spans="1:17" s="247" customFormat="1" ht="16.8">
      <c r="A629" s="257" t="s">
        <v>4589</v>
      </c>
      <c r="B629" s="258" t="s">
        <v>4362</v>
      </c>
      <c r="C629" s="471" t="s">
        <v>427</v>
      </c>
      <c r="D629" s="471">
        <v>7</v>
      </c>
      <c r="E629" s="260" t="e">
        <f>+'PTAP TIJERETAS'!#REF!</f>
        <v>#REF!</v>
      </c>
      <c r="F629" s="1283" t="e">
        <f t="shared" si="31"/>
        <v>#REF!</v>
      </c>
      <c r="G629" s="306"/>
      <c r="H629" s="255"/>
      <c r="I629" s="255"/>
      <c r="J629" s="255"/>
      <c r="K629" s="256"/>
      <c r="L629" s="256"/>
      <c r="M629" s="255"/>
      <c r="N629" s="255"/>
      <c r="O629" s="255"/>
      <c r="P629" s="255"/>
      <c r="Q629" s="255"/>
    </row>
    <row r="630" spans="1:17" s="247" customFormat="1" ht="16.8">
      <c r="A630" s="257" t="s">
        <v>4590</v>
      </c>
      <c r="B630" s="258" t="s">
        <v>4533</v>
      </c>
      <c r="C630" s="471" t="s">
        <v>427</v>
      </c>
      <c r="D630" s="471">
        <v>4</v>
      </c>
      <c r="E630" s="260" t="e">
        <f>+'PTAP TIJERETAS'!#REF!</f>
        <v>#REF!</v>
      </c>
      <c r="F630" s="1283" t="e">
        <f t="shared" si="31"/>
        <v>#REF!</v>
      </c>
      <c r="G630" s="306"/>
      <c r="H630" s="255"/>
      <c r="I630" s="255"/>
      <c r="J630" s="255"/>
      <c r="K630" s="256"/>
      <c r="L630" s="256"/>
      <c r="M630" s="255"/>
      <c r="N630" s="255"/>
      <c r="O630" s="255"/>
      <c r="P630" s="255"/>
      <c r="Q630" s="255"/>
    </row>
    <row r="631" spans="1:17" s="247" customFormat="1" ht="33.6">
      <c r="A631" s="257" t="s">
        <v>4591</v>
      </c>
      <c r="B631" s="258" t="s">
        <v>4534</v>
      </c>
      <c r="C631" s="471" t="s">
        <v>427</v>
      </c>
      <c r="D631" s="471">
        <v>8</v>
      </c>
      <c r="E631" s="260" t="e">
        <f>+'PTAP TIJERETAS'!#REF!</f>
        <v>#REF!</v>
      </c>
      <c r="F631" s="1283" t="e">
        <f t="shared" si="31"/>
        <v>#REF!</v>
      </c>
      <c r="G631" s="306"/>
      <c r="H631" s="255"/>
      <c r="I631" s="255"/>
      <c r="J631" s="255"/>
      <c r="K631" s="256"/>
      <c r="L631" s="256"/>
      <c r="M631" s="255"/>
      <c r="N631" s="255"/>
      <c r="O631" s="255"/>
      <c r="P631" s="255"/>
      <c r="Q631" s="255"/>
    </row>
    <row r="632" spans="1:17" s="247" customFormat="1" ht="16.8">
      <c r="A632" s="257" t="s">
        <v>4592</v>
      </c>
      <c r="B632" s="258" t="s">
        <v>4535</v>
      </c>
      <c r="C632" s="471" t="s">
        <v>427</v>
      </c>
      <c r="D632" s="471">
        <v>1</v>
      </c>
      <c r="E632" s="260" t="e">
        <f>+'PTAP TIJERETAS'!#REF!</f>
        <v>#REF!</v>
      </c>
      <c r="F632" s="1283" t="e">
        <f t="shared" si="31"/>
        <v>#REF!</v>
      </c>
      <c r="G632" s="306"/>
      <c r="H632" s="255"/>
      <c r="I632" s="255"/>
      <c r="J632" s="255"/>
      <c r="K632" s="256"/>
      <c r="L632" s="256"/>
      <c r="M632" s="255"/>
      <c r="N632" s="255"/>
      <c r="O632" s="255"/>
      <c r="P632" s="255"/>
      <c r="Q632" s="255"/>
    </row>
    <row r="633" spans="1:17" s="247" customFormat="1" ht="16.8">
      <c r="A633" s="257" t="s">
        <v>4593</v>
      </c>
      <c r="B633" s="258" t="s">
        <v>4536</v>
      </c>
      <c r="C633" s="471" t="s">
        <v>427</v>
      </c>
      <c r="D633" s="471">
        <v>3</v>
      </c>
      <c r="E633" s="260" t="e">
        <f>+'PTAP TIJERETAS'!#REF!</f>
        <v>#REF!</v>
      </c>
      <c r="F633" s="1283" t="e">
        <f t="shared" si="31"/>
        <v>#REF!</v>
      </c>
      <c r="G633" s="306"/>
      <c r="H633" s="255"/>
      <c r="I633" s="255"/>
      <c r="J633" s="255"/>
      <c r="K633" s="256"/>
      <c r="L633" s="256"/>
      <c r="M633" s="255"/>
      <c r="N633" s="255"/>
      <c r="O633" s="255"/>
      <c r="P633" s="255"/>
      <c r="Q633" s="255"/>
    </row>
    <row r="634" spans="1:17" s="247" customFormat="1" ht="16.8">
      <c r="A634" s="257" t="s">
        <v>4594</v>
      </c>
      <c r="B634" s="258" t="s">
        <v>4537</v>
      </c>
      <c r="C634" s="471" t="s">
        <v>427</v>
      </c>
      <c r="D634" s="471">
        <v>1</v>
      </c>
      <c r="E634" s="260" t="e">
        <f>+'PTAP TIJERETAS'!#REF!</f>
        <v>#REF!</v>
      </c>
      <c r="F634" s="1283" t="e">
        <f t="shared" si="31"/>
        <v>#REF!</v>
      </c>
      <c r="G634" s="306"/>
      <c r="H634" s="255"/>
      <c r="I634" s="255"/>
      <c r="J634" s="255"/>
      <c r="K634" s="256"/>
      <c r="L634" s="256"/>
      <c r="M634" s="255"/>
      <c r="N634" s="255"/>
      <c r="O634" s="255"/>
      <c r="P634" s="255"/>
      <c r="Q634" s="255"/>
    </row>
    <row r="635" spans="1:17" s="247" customFormat="1" ht="16.8">
      <c r="A635" s="257" t="s">
        <v>4595</v>
      </c>
      <c r="B635" s="258" t="s">
        <v>4538</v>
      </c>
      <c r="C635" s="471" t="s">
        <v>427</v>
      </c>
      <c r="D635" s="471">
        <v>2</v>
      </c>
      <c r="E635" s="260" t="e">
        <f>+'PTAP TIJERETAS'!#REF!</f>
        <v>#REF!</v>
      </c>
      <c r="F635" s="1283" t="e">
        <f t="shared" si="31"/>
        <v>#REF!</v>
      </c>
      <c r="G635" s="306"/>
      <c r="H635" s="255"/>
      <c r="I635" s="255"/>
      <c r="J635" s="255"/>
      <c r="K635" s="256"/>
      <c r="L635" s="256"/>
      <c r="M635" s="255"/>
      <c r="N635" s="255"/>
      <c r="O635" s="255"/>
      <c r="P635" s="255"/>
      <c r="Q635" s="255"/>
    </row>
    <row r="636" spans="1:17" s="247" customFormat="1" ht="16.8">
      <c r="A636" s="257" t="s">
        <v>4596</v>
      </c>
      <c r="B636" s="258" t="s">
        <v>4539</v>
      </c>
      <c r="C636" s="471" t="s">
        <v>427</v>
      </c>
      <c r="D636" s="471">
        <v>2</v>
      </c>
      <c r="E636" s="260" t="e">
        <f>+'PTAP TIJERETAS'!#REF!</f>
        <v>#REF!</v>
      </c>
      <c r="F636" s="1283" t="e">
        <f t="shared" si="31"/>
        <v>#REF!</v>
      </c>
      <c r="G636" s="306"/>
      <c r="H636" s="255"/>
      <c r="I636" s="255"/>
      <c r="J636" s="255"/>
      <c r="K636" s="256"/>
      <c r="L636" s="256"/>
      <c r="M636" s="255"/>
      <c r="N636" s="255"/>
      <c r="O636" s="255"/>
      <c r="P636" s="255"/>
      <c r="Q636" s="255"/>
    </row>
    <row r="637" spans="1:17" s="247" customFormat="1" ht="16.8">
      <c r="A637" s="257" t="s">
        <v>4597</v>
      </c>
      <c r="B637" s="258" t="s">
        <v>4540</v>
      </c>
      <c r="C637" s="471" t="s">
        <v>427</v>
      </c>
      <c r="D637" s="471">
        <v>2</v>
      </c>
      <c r="E637" s="260" t="e">
        <f>+'PTAP TIJERETAS'!#REF!</f>
        <v>#REF!</v>
      </c>
      <c r="F637" s="1283" t="e">
        <f t="shared" si="31"/>
        <v>#REF!</v>
      </c>
      <c r="G637" s="306"/>
      <c r="H637" s="255"/>
      <c r="I637" s="255"/>
      <c r="J637" s="255"/>
      <c r="K637" s="256"/>
      <c r="L637" s="256"/>
      <c r="M637" s="255"/>
      <c r="N637" s="255"/>
      <c r="O637" s="255"/>
      <c r="P637" s="255"/>
      <c r="Q637" s="255"/>
    </row>
    <row r="638" spans="1:17" s="247" customFormat="1" ht="16.8">
      <c r="A638" s="257" t="s">
        <v>4598</v>
      </c>
      <c r="B638" s="258" t="s">
        <v>4541</v>
      </c>
      <c r="C638" s="471" t="s">
        <v>427</v>
      </c>
      <c r="D638" s="471">
        <v>1</v>
      </c>
      <c r="E638" s="260" t="e">
        <f>+'PTAP TIJERETAS'!#REF!</f>
        <v>#REF!</v>
      </c>
      <c r="F638" s="1283" t="e">
        <f t="shared" si="31"/>
        <v>#REF!</v>
      </c>
      <c r="G638" s="306"/>
      <c r="H638" s="255"/>
      <c r="I638" s="255"/>
      <c r="J638" s="255"/>
      <c r="K638" s="256"/>
      <c r="L638" s="256"/>
      <c r="M638" s="255"/>
      <c r="N638" s="255"/>
      <c r="O638" s="255"/>
      <c r="P638" s="255"/>
      <c r="Q638" s="255"/>
    </row>
    <row r="639" spans="1:17" s="247" customFormat="1" ht="16.8">
      <c r="A639" s="257" t="s">
        <v>4599</v>
      </c>
      <c r="B639" s="258" t="s">
        <v>4542</v>
      </c>
      <c r="C639" s="471" t="s">
        <v>427</v>
      </c>
      <c r="D639" s="471">
        <v>1</v>
      </c>
      <c r="E639" s="260" t="e">
        <f>+'PTAP TIJERETAS'!#REF!</f>
        <v>#REF!</v>
      </c>
      <c r="F639" s="1283" t="e">
        <f t="shared" si="31"/>
        <v>#REF!</v>
      </c>
      <c r="G639" s="306"/>
      <c r="H639" s="255"/>
      <c r="I639" s="255"/>
      <c r="J639" s="255"/>
      <c r="K639" s="256"/>
      <c r="L639" s="256"/>
      <c r="M639" s="255"/>
      <c r="N639" s="255"/>
      <c r="O639" s="255"/>
      <c r="P639" s="255"/>
      <c r="Q639" s="255"/>
    </row>
    <row r="640" spans="1:17" s="247" customFormat="1" ht="16.8">
      <c r="A640" s="257" t="s">
        <v>4600</v>
      </c>
      <c r="B640" s="258" t="s">
        <v>4543</v>
      </c>
      <c r="C640" s="471" t="s">
        <v>427</v>
      </c>
      <c r="D640" s="471">
        <v>1</v>
      </c>
      <c r="E640" s="260" t="e">
        <f>+'PTAP TIJERETAS'!#REF!</f>
        <v>#REF!</v>
      </c>
      <c r="F640" s="1283" t="e">
        <f t="shared" si="31"/>
        <v>#REF!</v>
      </c>
      <c r="G640" s="306"/>
      <c r="H640" s="255"/>
      <c r="I640" s="255"/>
      <c r="J640" s="255"/>
      <c r="K640" s="256"/>
      <c r="L640" s="256"/>
      <c r="M640" s="255"/>
      <c r="N640" s="255"/>
      <c r="O640" s="255"/>
      <c r="P640" s="255"/>
      <c r="Q640" s="255"/>
    </row>
    <row r="641" spans="1:17" s="247" customFormat="1" ht="16.8">
      <c r="A641" s="257" t="s">
        <v>4601</v>
      </c>
      <c r="B641" s="258" t="s">
        <v>4544</v>
      </c>
      <c r="C641" s="471" t="s">
        <v>427</v>
      </c>
      <c r="D641" s="471">
        <v>1</v>
      </c>
      <c r="E641" s="260" t="e">
        <f>+'PTAP TIJERETAS'!#REF!</f>
        <v>#REF!</v>
      </c>
      <c r="F641" s="1283" t="e">
        <f t="shared" si="31"/>
        <v>#REF!</v>
      </c>
      <c r="G641" s="306"/>
      <c r="H641" s="255"/>
      <c r="I641" s="255"/>
      <c r="J641" s="255"/>
      <c r="K641" s="256"/>
      <c r="L641" s="256"/>
      <c r="M641" s="255"/>
      <c r="N641" s="255"/>
      <c r="O641" s="255"/>
      <c r="P641" s="255"/>
      <c r="Q641" s="255"/>
    </row>
    <row r="642" spans="1:17" s="247" customFormat="1" ht="13.5" customHeight="1">
      <c r="A642" s="257" t="s">
        <v>4602</v>
      </c>
      <c r="B642" s="258" t="s">
        <v>4545</v>
      </c>
      <c r="C642" s="471" t="s">
        <v>427</v>
      </c>
      <c r="D642" s="471">
        <v>1</v>
      </c>
      <c r="E642" s="260" t="e">
        <f>+'PTAP TIJERETAS'!#REF!</f>
        <v>#REF!</v>
      </c>
      <c r="F642" s="1283" t="e">
        <f>+E642*D642</f>
        <v>#REF!</v>
      </c>
      <c r="G642" s="306"/>
      <c r="H642" s="255"/>
      <c r="I642" s="255"/>
      <c r="J642" s="255"/>
      <c r="K642" s="256"/>
      <c r="L642" s="256"/>
      <c r="M642" s="255"/>
      <c r="N642" s="255"/>
      <c r="O642" s="255"/>
      <c r="P642" s="255"/>
      <c r="Q642" s="255"/>
    </row>
    <row r="643" spans="1:17" s="247" customFormat="1" ht="13.5" customHeight="1">
      <c r="A643" s="257" t="s">
        <v>4603</v>
      </c>
      <c r="B643" s="258" t="s">
        <v>4546</v>
      </c>
      <c r="C643" s="471" t="s">
        <v>427</v>
      </c>
      <c r="D643" s="471">
        <v>2</v>
      </c>
      <c r="E643" s="260" t="e">
        <f>+'PTAP TIJERETAS'!#REF!</f>
        <v>#REF!</v>
      </c>
      <c r="F643" s="1283" t="e">
        <f t="shared" si="31"/>
        <v>#REF!</v>
      </c>
      <c r="G643" s="306"/>
      <c r="H643" s="255"/>
      <c r="I643" s="255"/>
      <c r="J643" s="255"/>
      <c r="K643" s="256"/>
      <c r="L643" s="256"/>
      <c r="M643" s="255"/>
      <c r="N643" s="255"/>
      <c r="O643" s="255"/>
      <c r="P643" s="255"/>
      <c r="Q643" s="255"/>
    </row>
    <row r="644" spans="1:17" s="247" customFormat="1" ht="13.5" customHeight="1">
      <c r="A644" s="257" t="s">
        <v>4604</v>
      </c>
      <c r="B644" s="258" t="s">
        <v>4547</v>
      </c>
      <c r="C644" s="471" t="s">
        <v>427</v>
      </c>
      <c r="D644" s="471">
        <v>2</v>
      </c>
      <c r="E644" s="260" t="e">
        <f>+'PTAP TIJERETAS'!#REF!</f>
        <v>#REF!</v>
      </c>
      <c r="F644" s="1283" t="e">
        <f t="shared" si="31"/>
        <v>#REF!</v>
      </c>
      <c r="G644" s="306"/>
      <c r="H644" s="255"/>
      <c r="I644" s="255"/>
      <c r="J644" s="255"/>
      <c r="K644" s="256"/>
      <c r="L644" s="256"/>
      <c r="M644" s="255"/>
      <c r="N644" s="255"/>
      <c r="O644" s="255"/>
      <c r="P644" s="255"/>
      <c r="Q644" s="255"/>
    </row>
    <row r="645" spans="1:17" s="247" customFormat="1" ht="13.5" customHeight="1">
      <c r="A645" s="257" t="s">
        <v>4605</v>
      </c>
      <c r="B645" s="258" t="s">
        <v>4548</v>
      </c>
      <c r="C645" s="471" t="s">
        <v>427</v>
      </c>
      <c r="D645" s="471">
        <v>1</v>
      </c>
      <c r="E645" s="260" t="e">
        <f>+'LINEAS IMPULSIÓN-CONDUCCIÓN'!#REF!</f>
        <v>#REF!</v>
      </c>
      <c r="F645" s="1283" t="e">
        <f t="shared" si="31"/>
        <v>#REF!</v>
      </c>
      <c r="G645" s="306"/>
      <c r="H645" s="255"/>
      <c r="I645" s="255"/>
      <c r="J645" s="255"/>
      <c r="K645" s="256"/>
      <c r="L645" s="256"/>
      <c r="M645" s="255"/>
      <c r="N645" s="255"/>
      <c r="O645" s="255"/>
      <c r="P645" s="255"/>
      <c r="Q645" s="255"/>
    </row>
    <row r="646" spans="1:17" s="247" customFormat="1" ht="13.5" customHeight="1">
      <c r="A646" s="257" t="s">
        <v>4606</v>
      </c>
      <c r="B646" s="258" t="s">
        <v>4484</v>
      </c>
      <c r="C646" s="471" t="s">
        <v>427</v>
      </c>
      <c r="D646" s="471">
        <v>2</v>
      </c>
      <c r="E646" s="260" t="e">
        <f>+'PTAP TIJERETAS'!#REF!</f>
        <v>#REF!</v>
      </c>
      <c r="F646" s="1283" t="e">
        <f t="shared" si="31"/>
        <v>#REF!</v>
      </c>
      <c r="G646" s="306"/>
      <c r="H646" s="255"/>
      <c r="I646" s="255"/>
      <c r="J646" s="255"/>
      <c r="K646" s="256"/>
      <c r="L646" s="256"/>
      <c r="M646" s="255"/>
      <c r="N646" s="255"/>
      <c r="O646" s="255"/>
      <c r="P646" s="255"/>
      <c r="Q646" s="255"/>
    </row>
    <row r="647" spans="1:17" s="247" customFormat="1" ht="13.5" customHeight="1">
      <c r="A647" s="257" t="s">
        <v>4607</v>
      </c>
      <c r="B647" s="258" t="s">
        <v>4549</v>
      </c>
      <c r="C647" s="471" t="s">
        <v>427</v>
      </c>
      <c r="D647" s="471">
        <v>3</v>
      </c>
      <c r="E647" s="260" t="e">
        <f>+'LINEAS IMPULSIÓN-CONDUCCIÓN'!#REF!</f>
        <v>#REF!</v>
      </c>
      <c r="F647" s="1283" t="e">
        <f t="shared" si="31"/>
        <v>#REF!</v>
      </c>
      <c r="G647" s="306"/>
      <c r="H647" s="255"/>
      <c r="I647" s="255"/>
      <c r="J647" s="255"/>
      <c r="K647" s="256"/>
      <c r="L647" s="256"/>
      <c r="M647" s="255"/>
      <c r="N647" s="255"/>
      <c r="O647" s="255"/>
      <c r="P647" s="255"/>
      <c r="Q647" s="255"/>
    </row>
    <row r="648" spans="1:17" s="247" customFormat="1" ht="8.25" customHeight="1">
      <c r="A648" s="287"/>
      <c r="B648" s="258"/>
      <c r="C648" s="471"/>
      <c r="D648" s="259"/>
      <c r="E648" s="260" t="e">
        <f>+'LINEAS IMPULSIÓN-CONDUCCIÓN'!#REF!</f>
        <v>#REF!</v>
      </c>
      <c r="F648" s="1283"/>
      <c r="G648" s="306"/>
      <c r="H648" s="255"/>
      <c r="I648" s="255"/>
      <c r="J648" s="255"/>
      <c r="K648" s="256"/>
      <c r="L648" s="256"/>
      <c r="M648" s="255"/>
      <c r="N648" s="255"/>
      <c r="O648" s="255"/>
      <c r="P648" s="255"/>
      <c r="Q648" s="255"/>
    </row>
    <row r="649" spans="1:17" s="247" customFormat="1" ht="16.8">
      <c r="A649" s="257" t="s">
        <v>4608</v>
      </c>
      <c r="B649" s="258" t="s">
        <v>4328</v>
      </c>
      <c r="C649" s="471" t="s">
        <v>94</v>
      </c>
      <c r="D649" s="259">
        <v>553</v>
      </c>
      <c r="E649" s="260">
        <f>+'LINEAS IMPULSIÓN-CONDUCCIÓN'!E129</f>
        <v>149428</v>
      </c>
      <c r="F649" s="1283">
        <f>ROUND(+E649*D649,0)</f>
        <v>82633684</v>
      </c>
      <c r="G649" s="306"/>
      <c r="I649" s="255"/>
    </row>
    <row r="650" spans="1:17" s="247" customFormat="1" ht="16.8">
      <c r="A650" s="257" t="s">
        <v>4609</v>
      </c>
      <c r="B650" s="258" t="s">
        <v>1188</v>
      </c>
      <c r="C650" s="471" t="s">
        <v>94</v>
      </c>
      <c r="D650" s="259">
        <v>3301</v>
      </c>
      <c r="E650" s="260">
        <f>+'LINEAS IMPULSIÓN-CONDUCCIÓN'!E130</f>
        <v>80327</v>
      </c>
      <c r="F650" s="1283">
        <f>ROUND(+E650*D650,0)</f>
        <v>265159427</v>
      </c>
      <c r="G650" s="306"/>
      <c r="I650" s="255"/>
    </row>
    <row r="651" spans="1:17" s="247" customFormat="1" ht="16.8">
      <c r="A651" s="257" t="s">
        <v>4610</v>
      </c>
      <c r="B651" s="258" t="s">
        <v>1189</v>
      </c>
      <c r="C651" s="471" t="s">
        <v>94</v>
      </c>
      <c r="D651" s="259">
        <v>7075</v>
      </c>
      <c r="E651" s="260">
        <f>+'LINEAS IMPULSIÓN-CONDUCCIÓN'!E131</f>
        <v>71493</v>
      </c>
      <c r="F651" s="1283">
        <f t="shared" ref="F651:F656" si="32">ROUND(+E651*D651,0)</f>
        <v>505812975</v>
      </c>
      <c r="G651" s="306"/>
      <c r="H651" s="280"/>
      <c r="I651" s="255"/>
    </row>
    <row r="652" spans="1:17" s="247" customFormat="1" ht="20.25" customHeight="1">
      <c r="A652" s="257" t="s">
        <v>4611</v>
      </c>
      <c r="B652" s="258" t="s">
        <v>1190</v>
      </c>
      <c r="C652" s="471" t="s">
        <v>427</v>
      </c>
      <c r="D652" s="264">
        <v>9</v>
      </c>
      <c r="E652" s="260">
        <f>+'LINEAS IMPULSIÓN-CONDUCCIÓN'!E136</f>
        <v>128159.43</v>
      </c>
      <c r="F652" s="1283">
        <f t="shared" si="32"/>
        <v>1153435</v>
      </c>
      <c r="G652" s="306"/>
      <c r="H652" s="255"/>
      <c r="I652" s="255"/>
      <c r="J652" s="253"/>
    </row>
    <row r="653" spans="1:17" s="247" customFormat="1" ht="16.8">
      <c r="A653" s="257" t="s">
        <v>4612</v>
      </c>
      <c r="B653" s="258" t="s">
        <v>4468</v>
      </c>
      <c r="C653" s="471" t="s">
        <v>427</v>
      </c>
      <c r="D653" s="264">
        <v>8</v>
      </c>
      <c r="E653" s="260">
        <f>+'LINEAS IMPULSIÓN-CONDUCCIÓN'!E137</f>
        <v>184345.28</v>
      </c>
      <c r="F653" s="1283">
        <f>ROUND(+E653*D653,0)</f>
        <v>1474762</v>
      </c>
      <c r="G653" s="306"/>
      <c r="H653" s="255"/>
      <c r="I653" s="255"/>
      <c r="J653" s="253"/>
    </row>
    <row r="654" spans="1:17" s="247" customFormat="1" ht="15.75" customHeight="1">
      <c r="A654" s="277" t="s">
        <v>4613</v>
      </c>
      <c r="B654" s="258" t="s">
        <v>4469</v>
      </c>
      <c r="C654" s="471" t="s">
        <v>427</v>
      </c>
      <c r="D654" s="264">
        <v>8</v>
      </c>
      <c r="E654" s="260">
        <f>+'LINEAS IMPULSIÓN-CONDUCCIÓN'!E138</f>
        <v>184345.28</v>
      </c>
      <c r="F654" s="1283">
        <f>ROUND(+E654*D654,0)</f>
        <v>1474762</v>
      </c>
      <c r="G654" s="306"/>
      <c r="H654" s="255"/>
      <c r="I654" s="255"/>
      <c r="J654" s="253"/>
    </row>
    <row r="655" spans="1:17" s="247" customFormat="1" ht="72.75" customHeight="1">
      <c r="A655" s="277" t="s">
        <v>4614</v>
      </c>
      <c r="B655" s="269" t="s">
        <v>4523</v>
      </c>
      <c r="C655" s="270" t="s">
        <v>133</v>
      </c>
      <c r="D655" s="264">
        <v>10</v>
      </c>
      <c r="E655" s="260">
        <f>+'LINEAS IMPULSIÓN-CONDUCCIÓN'!E139</f>
        <v>565450</v>
      </c>
      <c r="F655" s="1283">
        <f t="shared" si="32"/>
        <v>5654500</v>
      </c>
      <c r="G655" s="306"/>
      <c r="I655" s="273"/>
      <c r="J655" s="273"/>
      <c r="K655" s="274"/>
      <c r="L655" s="275"/>
      <c r="M655" s="255"/>
      <c r="N655" s="255"/>
      <c r="O655" s="273"/>
      <c r="P655" s="276"/>
      <c r="Q655" s="276"/>
    </row>
    <row r="656" spans="1:17" s="247" customFormat="1" ht="72.75" customHeight="1">
      <c r="A656" s="277" t="s">
        <v>4615</v>
      </c>
      <c r="B656" s="269" t="s">
        <v>4532</v>
      </c>
      <c r="C656" s="270" t="s">
        <v>133</v>
      </c>
      <c r="D656" s="264">
        <v>9</v>
      </c>
      <c r="E656" s="260">
        <f>+'LINEAS IMPULSIÓN-CONDUCCIÓN'!E140</f>
        <v>442220</v>
      </c>
      <c r="F656" s="1283">
        <f t="shared" si="32"/>
        <v>3979980</v>
      </c>
      <c r="G656" s="306"/>
      <c r="I656" s="273"/>
      <c r="J656" s="273"/>
      <c r="K656" s="274"/>
      <c r="L656" s="275"/>
      <c r="M656" s="255"/>
      <c r="N656" s="255"/>
      <c r="O656" s="273"/>
      <c r="P656" s="276"/>
      <c r="Q656" s="276"/>
    </row>
    <row r="657" spans="1:17" s="247" customFormat="1" ht="33.6">
      <c r="A657" s="277" t="s">
        <v>4616</v>
      </c>
      <c r="B657" s="269" t="s">
        <v>1197</v>
      </c>
      <c r="C657" s="270" t="s">
        <v>133</v>
      </c>
      <c r="D657" s="264">
        <v>1</v>
      </c>
      <c r="E657" s="260">
        <f>+'LINEAS IMPULSIÓN-CONDUCCIÓN'!E141</f>
        <v>1063925</v>
      </c>
      <c r="F657" s="1283">
        <f>ROUND(+E657*D657,0)</f>
        <v>1063925</v>
      </c>
      <c r="G657" s="306"/>
      <c r="I657" s="273"/>
      <c r="J657" s="273"/>
      <c r="K657" s="274"/>
      <c r="L657" s="275"/>
      <c r="M657" s="255"/>
      <c r="N657" s="255"/>
      <c r="O657" s="273"/>
      <c r="P657" s="276"/>
      <c r="Q657" s="276"/>
    </row>
    <row r="658" spans="1:17" s="247" customFormat="1" ht="16.8">
      <c r="A658" s="277" t="s">
        <v>4617</v>
      </c>
      <c r="B658" s="1257" t="s">
        <v>4531</v>
      </c>
      <c r="C658" s="270" t="s">
        <v>133</v>
      </c>
      <c r="D658" s="271">
        <v>2</v>
      </c>
      <c r="E658" s="260">
        <f>+'LINEAS IMPULSIÓN-CONDUCCIÓN'!E142</f>
        <v>5765490.1099999994</v>
      </c>
      <c r="F658" s="1283">
        <f>ROUND(+E658*D658,0)</f>
        <v>11530980</v>
      </c>
      <c r="G658" s="306"/>
      <c r="I658" s="273"/>
      <c r="J658" s="273"/>
      <c r="K658" s="274"/>
      <c r="L658" s="275"/>
      <c r="M658" s="255"/>
      <c r="N658" s="255"/>
      <c r="O658" s="273"/>
      <c r="P658" s="276"/>
      <c r="Q658" s="276"/>
    </row>
    <row r="659" spans="1:17" ht="17.399999999999999" thickBot="1">
      <c r="A659" s="942"/>
      <c r="B659" s="945"/>
      <c r="C659" s="1202"/>
      <c r="D659" s="1203"/>
      <c r="E659" s="1148"/>
      <c r="F659" s="1148"/>
      <c r="G659" s="522"/>
      <c r="I659" s="255"/>
    </row>
    <row r="660" spans="1:17" ht="21" customHeight="1" thickBot="1">
      <c r="A660" s="3768" t="s">
        <v>4317</v>
      </c>
      <c r="B660" s="3769"/>
      <c r="C660" s="3769"/>
      <c r="D660" s="3769"/>
      <c r="E660" s="3770"/>
      <c r="F660" s="1163" t="e">
        <f>+SUM(F610:F658)</f>
        <v>#REF!</v>
      </c>
      <c r="G660" s="522"/>
      <c r="I660" s="255"/>
    </row>
    <row r="661" spans="1:17" s="3698" customFormat="1" ht="21" customHeight="1" thickBot="1">
      <c r="B661" s="3699"/>
      <c r="C661" s="3699"/>
      <c r="D661" s="3699"/>
      <c r="E661" s="3699"/>
      <c r="F661" s="3699"/>
      <c r="G661" s="3699"/>
      <c r="H661" s="3699"/>
      <c r="I661" s="3699"/>
      <c r="J661" s="3699"/>
      <c r="K661" s="3699"/>
      <c r="L661" s="3699"/>
      <c r="M661" s="3699"/>
      <c r="N661" s="3699"/>
      <c r="O661" s="3699"/>
      <c r="P661" s="3699"/>
    </row>
    <row r="662" spans="1:17" ht="21" customHeight="1" thickBot="1">
      <c r="A662" s="3721" t="s">
        <v>4318</v>
      </c>
      <c r="B662" s="3722"/>
      <c r="C662" s="3722"/>
      <c r="D662" s="3722"/>
      <c r="E662" s="3722"/>
      <c r="F662" s="3722"/>
      <c r="G662" s="522"/>
    </row>
    <row r="663" spans="1:17" ht="18">
      <c r="A663" s="1023">
        <v>9</v>
      </c>
      <c r="B663" s="1024" t="s">
        <v>4770</v>
      </c>
      <c r="C663" s="1025"/>
      <c r="D663" s="1026"/>
      <c r="E663" s="1027"/>
      <c r="F663" s="1036">
        <f>ROUND(SUM(F665:F675),0)</f>
        <v>421403306</v>
      </c>
      <c r="H663"/>
    </row>
    <row r="664" spans="1:17" s="10" customFormat="1" ht="29.25" customHeight="1">
      <c r="A664" s="648"/>
      <c r="B664" s="642" t="s">
        <v>4784</v>
      </c>
      <c r="C664" s="643" t="s">
        <v>133</v>
      </c>
      <c r="D664" s="645">
        <v>4</v>
      </c>
      <c r="E664" s="644">
        <f>+'PTAP TIJERETAS'!E121</f>
        <v>2322007</v>
      </c>
      <c r="F664" s="644">
        <f t="shared" ref="F664:F675" si="33">ROUND(D664*E664,0)</f>
        <v>9288028</v>
      </c>
    </row>
    <row r="665" spans="1:17" s="10" customFormat="1" ht="24.75" customHeight="1">
      <c r="A665" s="648"/>
      <c r="B665" s="642" t="s">
        <v>4785</v>
      </c>
      <c r="C665" s="643" t="s">
        <v>133</v>
      </c>
      <c r="D665" s="645">
        <v>68</v>
      </c>
      <c r="E665" s="644">
        <f>+'PTAP TIJERETAS'!E122</f>
        <v>606100</v>
      </c>
      <c r="F665" s="644">
        <f t="shared" si="33"/>
        <v>41214800</v>
      </c>
    </row>
    <row r="666" spans="1:17" s="10" customFormat="1" ht="41.25" customHeight="1">
      <c r="A666" s="648"/>
      <c r="B666" s="642" t="s">
        <v>4786</v>
      </c>
      <c r="C666" s="643" t="s">
        <v>133</v>
      </c>
      <c r="D666" s="645">
        <v>14</v>
      </c>
      <c r="E666" s="644">
        <f>+'PTAP TIJERETAS'!E123</f>
        <v>7129440</v>
      </c>
      <c r="F666" s="644">
        <f t="shared" si="33"/>
        <v>99812160</v>
      </c>
    </row>
    <row r="667" spans="1:17" s="10" customFormat="1" ht="42.75" customHeight="1">
      <c r="A667" s="648"/>
      <c r="B667" s="642" t="s">
        <v>4787</v>
      </c>
      <c r="C667" s="643" t="s">
        <v>133</v>
      </c>
      <c r="D667" s="645">
        <v>10</v>
      </c>
      <c r="E667" s="644">
        <f>+'PTAP TIJERETAS'!E124</f>
        <v>12724302</v>
      </c>
      <c r="F667" s="644">
        <f t="shared" si="33"/>
        <v>127243020</v>
      </c>
    </row>
    <row r="668" spans="1:17" s="10" customFormat="1" ht="45.75" customHeight="1">
      <c r="A668" s="648"/>
      <c r="B668" s="642" t="s">
        <v>4788</v>
      </c>
      <c r="C668" s="643" t="s">
        <v>133</v>
      </c>
      <c r="D668" s="645">
        <v>12</v>
      </c>
      <c r="E668" s="644">
        <f>+'PTAP TIJERETAS'!E125</f>
        <v>7656229</v>
      </c>
      <c r="F668" s="644">
        <f t="shared" si="33"/>
        <v>91874748</v>
      </c>
    </row>
    <row r="669" spans="1:17" s="10" customFormat="1" ht="33.75" customHeight="1">
      <c r="A669" s="648"/>
      <c r="B669" s="642" t="s">
        <v>4789</v>
      </c>
      <c r="C669" s="643" t="s">
        <v>133</v>
      </c>
      <c r="D669" s="645">
        <v>6</v>
      </c>
      <c r="E669" s="644">
        <f>+'PTAP TIJERETAS'!E126</f>
        <v>5074528</v>
      </c>
      <c r="F669" s="644">
        <f t="shared" si="33"/>
        <v>30447168</v>
      </c>
    </row>
    <row r="670" spans="1:17" s="10" customFormat="1" ht="33.75" customHeight="1">
      <c r="A670" s="648"/>
      <c r="B670" s="642" t="s">
        <v>4790</v>
      </c>
      <c r="C670" s="643" t="s">
        <v>133</v>
      </c>
      <c r="D670" s="645">
        <v>3</v>
      </c>
      <c r="E670" s="644">
        <f>+'PTAP TIJERETAS'!E127</f>
        <v>958578</v>
      </c>
      <c r="F670" s="644">
        <f t="shared" si="33"/>
        <v>2875734</v>
      </c>
    </row>
    <row r="671" spans="1:17" s="10" customFormat="1" ht="29.25" customHeight="1">
      <c r="A671" s="648"/>
      <c r="B671" s="642" t="s">
        <v>4791</v>
      </c>
      <c r="C671" s="643" t="s">
        <v>133</v>
      </c>
      <c r="D671" s="645">
        <v>3</v>
      </c>
      <c r="E671" s="644">
        <f>+'PTAP TIJERETAS'!E128</f>
        <v>748000</v>
      </c>
      <c r="F671" s="644">
        <f t="shared" si="33"/>
        <v>2244000</v>
      </c>
    </row>
    <row r="672" spans="1:17" s="10" customFormat="1" ht="34.5" customHeight="1">
      <c r="A672" s="648"/>
      <c r="B672" s="642" t="s">
        <v>4792</v>
      </c>
      <c r="C672" s="643" t="s">
        <v>133</v>
      </c>
      <c r="D672" s="645">
        <v>5</v>
      </c>
      <c r="E672" s="644">
        <f>+'PTAP TIJERETAS'!E129</f>
        <v>1612400</v>
      </c>
      <c r="F672" s="644">
        <f t="shared" si="33"/>
        <v>8062000</v>
      </c>
    </row>
    <row r="673" spans="1:8" ht="34.5" customHeight="1">
      <c r="A673" s="647"/>
      <c r="B673" s="642" t="s">
        <v>4793</v>
      </c>
      <c r="C673" s="643" t="s">
        <v>133</v>
      </c>
      <c r="D673" s="645">
        <v>7</v>
      </c>
      <c r="E673" s="644">
        <f>+'PTAP TIJERETAS'!E130</f>
        <v>1134698</v>
      </c>
      <c r="F673" s="644">
        <f t="shared" si="33"/>
        <v>7942886</v>
      </c>
      <c r="H673"/>
    </row>
    <row r="674" spans="1:8" ht="34.5" customHeight="1">
      <c r="A674" s="647"/>
      <c r="B674" s="642" t="s">
        <v>4794</v>
      </c>
      <c r="C674" s="643" t="s">
        <v>133</v>
      </c>
      <c r="D674" s="645">
        <v>2</v>
      </c>
      <c r="E674" s="644">
        <f>+'PTAP TIJERETAS'!E131</f>
        <v>1278817</v>
      </c>
      <c r="F674" s="644">
        <f t="shared" si="33"/>
        <v>2557634</v>
      </c>
      <c r="H674"/>
    </row>
    <row r="675" spans="1:8" ht="34.5" customHeight="1">
      <c r="A675" s="647"/>
      <c r="B675" s="642" t="s">
        <v>4795</v>
      </c>
      <c r="C675" s="643" t="s">
        <v>133</v>
      </c>
      <c r="D675" s="645">
        <v>4</v>
      </c>
      <c r="E675" s="644">
        <f>+'PTAP TIJERETAS'!E132</f>
        <v>1782289</v>
      </c>
      <c r="F675" s="644">
        <f t="shared" si="33"/>
        <v>7129156</v>
      </c>
      <c r="H675"/>
    </row>
    <row r="676" spans="1:8" ht="18">
      <c r="A676" s="1023" t="s">
        <v>3855</v>
      </c>
      <c r="B676" s="1024" t="s">
        <v>4803</v>
      </c>
      <c r="C676" s="1025"/>
      <c r="D676" s="1026"/>
      <c r="E676" s="1027"/>
      <c r="F676" s="1036">
        <f>ROUND(SUM(F677:F679),0)</f>
        <v>25548180</v>
      </c>
      <c r="H676"/>
    </row>
    <row r="677" spans="1:8" ht="49.5" customHeight="1">
      <c r="A677" s="647"/>
      <c r="B677" s="642" t="s">
        <v>4812</v>
      </c>
      <c r="C677" s="1359" t="s">
        <v>45</v>
      </c>
      <c r="D677" s="645">
        <v>100</v>
      </c>
      <c r="E677" s="644">
        <f>+'PTAP TIJERETAS'!E134</f>
        <v>222650</v>
      </c>
      <c r="F677" s="644">
        <f t="shared" ref="F677:F679" si="34">ROUND(D677*E677,0)</f>
        <v>22265000</v>
      </c>
      <c r="H677"/>
    </row>
    <row r="678" spans="1:8" ht="23.25" customHeight="1">
      <c r="A678" s="647"/>
      <c r="B678" s="642" t="s">
        <v>4799</v>
      </c>
      <c r="C678" s="1359" t="s">
        <v>133</v>
      </c>
      <c r="D678" s="645">
        <v>8</v>
      </c>
      <c r="E678" s="644">
        <f>+'PTAP TIJERETAS'!E135</f>
        <v>401150</v>
      </c>
      <c r="F678" s="644">
        <f t="shared" si="34"/>
        <v>3209200</v>
      </c>
      <c r="H678"/>
    </row>
    <row r="679" spans="1:8" ht="41.25" customHeight="1">
      <c r="A679" s="1360"/>
      <c r="B679" s="642" t="s">
        <v>4800</v>
      </c>
      <c r="C679" s="1359" t="s">
        <v>133</v>
      </c>
      <c r="D679" s="1361">
        <v>1</v>
      </c>
      <c r="E679" s="644">
        <f>+'PTAP TIJERETAS'!E136</f>
        <v>73980</v>
      </c>
      <c r="F679" s="644">
        <f t="shared" si="34"/>
        <v>73980</v>
      </c>
      <c r="H679"/>
    </row>
    <row r="680" spans="1:8" ht="18">
      <c r="A680" s="1023" t="s">
        <v>4194</v>
      </c>
      <c r="B680" s="1024" t="s">
        <v>4804</v>
      </c>
      <c r="C680" s="1025"/>
      <c r="D680" s="1026"/>
      <c r="E680" s="1027"/>
      <c r="F680" s="1036">
        <f>+SUM(F681:F683)</f>
        <v>451451800</v>
      </c>
      <c r="H680"/>
    </row>
    <row r="681" spans="1:8" s="10" customFormat="1" ht="44.25" customHeight="1">
      <c r="A681" s="648"/>
      <c r="B681" s="642" t="s">
        <v>4722</v>
      </c>
      <c r="C681" s="1359" t="s">
        <v>133</v>
      </c>
      <c r="D681" s="645">
        <v>48</v>
      </c>
      <c r="E681" s="644">
        <f>+'PTAP TIJERETAS'!E138</f>
        <v>3157420</v>
      </c>
      <c r="F681" s="644">
        <f t="shared" ref="F681:F682" si="35">+ROUND(D681*E681,0)</f>
        <v>151556160</v>
      </c>
    </row>
    <row r="682" spans="1:8" s="10" customFormat="1" ht="51" customHeight="1">
      <c r="A682" s="648"/>
      <c r="B682" s="642" t="s">
        <v>4724</v>
      </c>
      <c r="C682" s="1359" t="s">
        <v>133</v>
      </c>
      <c r="D682" s="645">
        <v>10</v>
      </c>
      <c r="E682" s="644">
        <f>+'PTAP TIJERETAS'!E139</f>
        <v>13132000</v>
      </c>
      <c r="F682" s="644">
        <f t="shared" si="35"/>
        <v>131320000</v>
      </c>
    </row>
    <row r="683" spans="1:8" ht="53.25" customHeight="1">
      <c r="A683" s="647"/>
      <c r="B683" s="642" t="s">
        <v>4726</v>
      </c>
      <c r="C683" s="1359" t="s">
        <v>133</v>
      </c>
      <c r="D683" s="645">
        <v>10</v>
      </c>
      <c r="E683" s="644">
        <f>+'PTAP TIJERETAS'!E140</f>
        <v>16857564</v>
      </c>
      <c r="F683" s="644">
        <f>+ROUND(D683*E683,0)</f>
        <v>168575640</v>
      </c>
      <c r="H683"/>
    </row>
    <row r="684" spans="1:8" ht="18">
      <c r="A684" s="1023" t="s">
        <v>4196</v>
      </c>
      <c r="B684" s="1024" t="s">
        <v>4807</v>
      </c>
      <c r="C684" s="1025"/>
      <c r="D684" s="1026"/>
      <c r="E684" s="1027"/>
      <c r="F684" s="1036" t="e">
        <f>+SUM(F685:F692)</f>
        <v>#REF!</v>
      </c>
      <c r="H684"/>
    </row>
    <row r="685" spans="1:8" s="10" customFormat="1" ht="40.5" customHeight="1">
      <c r="A685" s="648"/>
      <c r="B685" s="642" t="s">
        <v>4813</v>
      </c>
      <c r="C685" s="1362" t="s">
        <v>133</v>
      </c>
      <c r="D685" s="645">
        <v>54</v>
      </c>
      <c r="E685" s="644">
        <f>+'PTAP TIJERETAS'!E142</f>
        <v>5466385</v>
      </c>
      <c r="F685" s="644">
        <f t="shared" ref="F685:F694" si="36">+ROUND(D685*E685,0)</f>
        <v>295184790</v>
      </c>
    </row>
    <row r="686" spans="1:8" s="10" customFormat="1" ht="40.5" customHeight="1">
      <c r="A686" s="648"/>
      <c r="B686" s="642" t="s">
        <v>4814</v>
      </c>
      <c r="C686" s="1362" t="s">
        <v>133</v>
      </c>
      <c r="D686" s="645">
        <v>44</v>
      </c>
      <c r="E686" s="644">
        <f>+'PTAP TIJERETAS'!E143</f>
        <v>4687530</v>
      </c>
      <c r="F686" s="644">
        <f t="shared" si="36"/>
        <v>206251320</v>
      </c>
    </row>
    <row r="687" spans="1:8" s="10" customFormat="1" ht="40.5" customHeight="1">
      <c r="A687" s="648"/>
      <c r="B687" s="642" t="s">
        <v>4732</v>
      </c>
      <c r="C687" s="1362" t="s">
        <v>133</v>
      </c>
      <c r="D687" s="645">
        <v>43</v>
      </c>
      <c r="E687" s="644">
        <f>+'PTAP TIJERETAS'!E144</f>
        <v>4220217</v>
      </c>
      <c r="F687" s="644">
        <f t="shared" si="36"/>
        <v>181469331</v>
      </c>
    </row>
    <row r="688" spans="1:8" s="10" customFormat="1" ht="40.5" customHeight="1">
      <c r="A688" s="648"/>
      <c r="B688" s="642" t="s">
        <v>4815</v>
      </c>
      <c r="C688" s="1362" t="s">
        <v>133</v>
      </c>
      <c r="D688" s="645">
        <v>22</v>
      </c>
      <c r="E688" s="644" t="e">
        <f>+'PTAP TIJERETAS'!#REF!</f>
        <v>#REF!</v>
      </c>
      <c r="F688" s="644" t="e">
        <f t="shared" si="36"/>
        <v>#REF!</v>
      </c>
    </row>
    <row r="689" spans="1:8" s="10" customFormat="1" ht="32.25" customHeight="1">
      <c r="A689" s="648"/>
      <c r="B689" s="642" t="s">
        <v>4816</v>
      </c>
      <c r="C689" s="1362" t="s">
        <v>133</v>
      </c>
      <c r="D689" s="645">
        <v>240</v>
      </c>
      <c r="E689" s="644">
        <f>+'PTAP TIJERETAS'!E146</f>
        <v>175050</v>
      </c>
      <c r="F689" s="644">
        <f t="shared" si="36"/>
        <v>42012000</v>
      </c>
    </row>
    <row r="690" spans="1:8" ht="32.25" customHeight="1">
      <c r="A690" s="647"/>
      <c r="B690" s="642" t="s">
        <v>4734</v>
      </c>
      <c r="C690" s="1362" t="s">
        <v>133</v>
      </c>
      <c r="D690" s="645">
        <v>14</v>
      </c>
      <c r="E690" s="644">
        <f>+'PTAP TIJERETAS'!E147</f>
        <v>17168</v>
      </c>
      <c r="F690" s="644">
        <f t="shared" si="36"/>
        <v>240352</v>
      </c>
      <c r="G690" s="10"/>
      <c r="H690"/>
    </row>
    <row r="691" spans="1:8" ht="40.5" customHeight="1">
      <c r="A691" s="647"/>
      <c r="B691" s="642" t="s">
        <v>4738</v>
      </c>
      <c r="C691" s="1362" t="s">
        <v>1002</v>
      </c>
      <c r="D691" s="645">
        <v>50</v>
      </c>
      <c r="E691" s="644">
        <f>+'PTAP TIJERETAS'!E148</f>
        <v>666600</v>
      </c>
      <c r="F691" s="644">
        <f t="shared" si="36"/>
        <v>33330000</v>
      </c>
      <c r="G691" s="10"/>
      <c r="H691"/>
    </row>
    <row r="692" spans="1:8" ht="26.25" customHeight="1">
      <c r="A692" s="647"/>
      <c r="B692" s="642" t="s">
        <v>4811</v>
      </c>
      <c r="C692" s="1362" t="s">
        <v>45</v>
      </c>
      <c r="D692" s="645">
        <v>346</v>
      </c>
      <c r="E692" s="644">
        <f>+'PTAP TIJERETAS'!E152</f>
        <v>43753</v>
      </c>
      <c r="F692" s="644">
        <f t="shared" si="36"/>
        <v>15138538</v>
      </c>
      <c r="G692" s="10"/>
      <c r="H692"/>
    </row>
    <row r="693" spans="1:8" ht="26.25" customHeight="1">
      <c r="A693" s="647"/>
      <c r="B693" s="642" t="s">
        <v>4817</v>
      </c>
      <c r="C693" s="1362" t="s">
        <v>133</v>
      </c>
      <c r="D693" s="645">
        <v>7</v>
      </c>
      <c r="E693" s="644">
        <f>+'PTAP TIJERETAS'!E153</f>
        <v>192900</v>
      </c>
      <c r="F693" s="644">
        <f t="shared" si="36"/>
        <v>1350300</v>
      </c>
      <c r="G693" s="10"/>
      <c r="H693"/>
    </row>
    <row r="694" spans="1:8" ht="18">
      <c r="A694" s="647"/>
      <c r="B694" s="652"/>
      <c r="C694" s="643"/>
      <c r="D694" s="645"/>
      <c r="E694" s="644"/>
      <c r="F694" s="644">
        <f t="shared" si="36"/>
        <v>0</v>
      </c>
      <c r="H694"/>
    </row>
    <row r="695" spans="1:8" ht="19.2">
      <c r="A695" s="655"/>
      <c r="B695" s="656"/>
      <c r="C695" s="657"/>
      <c r="D695" s="658"/>
      <c r="E695" s="644"/>
      <c r="F695" s="660"/>
      <c r="H695"/>
    </row>
    <row r="696" spans="1:8" ht="19.2">
      <c r="A696" s="655"/>
      <c r="B696" s="656"/>
      <c r="C696" s="657"/>
      <c r="D696" s="658"/>
      <c r="E696" s="659"/>
      <c r="F696" s="660"/>
      <c r="H696"/>
    </row>
    <row r="697" spans="1:8" ht="19.2">
      <c r="A697" s="3754"/>
      <c r="B697" s="3754"/>
      <c r="C697" s="3754"/>
      <c r="D697" s="3754"/>
      <c r="E697" s="3755"/>
      <c r="F697" s="1035" t="e">
        <f>+SUM(F685:F694,F681:F683,F677:F679,F664:F675)</f>
        <v>#REF!</v>
      </c>
      <c r="H697"/>
    </row>
    <row r="698" spans="1:8" ht="19.2">
      <c r="A698" s="1395"/>
      <c r="B698" s="3754" t="s">
        <v>4740</v>
      </c>
      <c r="C698" s="3754"/>
      <c r="D698" s="3754"/>
      <c r="E698" s="3754"/>
      <c r="F698" s="1400"/>
      <c r="H698"/>
    </row>
    <row r="699" spans="1:8" ht="18">
      <c r="A699" s="1021"/>
      <c r="B699" s="3756" t="s">
        <v>3854</v>
      </c>
      <c r="C699" s="3756"/>
      <c r="D699" s="3756"/>
      <c r="E699" s="3756"/>
      <c r="F699" s="1385" t="e">
        <f>+SUM(F700:F767)</f>
        <v>#REF!</v>
      </c>
      <c r="H699"/>
    </row>
    <row r="700" spans="1:8" ht="36">
      <c r="A700" s="650"/>
      <c r="B700" s="664" t="s">
        <v>4823</v>
      </c>
      <c r="C700" s="1390" t="s">
        <v>94</v>
      </c>
      <c r="D700" s="662">
        <v>1</v>
      </c>
      <c r="E700" s="661">
        <f>+'PTAP TIJERETAS'!E256</f>
        <v>222650</v>
      </c>
      <c r="F700" s="661">
        <f t="shared" ref="F700:F763" si="37">+ROUND(D700*E700,0)</f>
        <v>222650</v>
      </c>
      <c r="H700"/>
    </row>
    <row r="701" spans="1:8" ht="36">
      <c r="A701" s="640"/>
      <c r="B701" s="664" t="s">
        <v>4824</v>
      </c>
      <c r="C701" s="1390" t="s">
        <v>94</v>
      </c>
      <c r="D701" s="650">
        <v>2</v>
      </c>
      <c r="E701" s="661">
        <f>+'PTAP TIJERETAS'!E257</f>
        <v>222650</v>
      </c>
      <c r="F701" s="661">
        <f t="shared" si="37"/>
        <v>445300</v>
      </c>
      <c r="H701"/>
    </row>
    <row r="702" spans="1:8" ht="36">
      <c r="A702" s="640"/>
      <c r="B702" s="664" t="s">
        <v>4825</v>
      </c>
      <c r="C702" s="1390" t="s">
        <v>94</v>
      </c>
      <c r="D702" s="650">
        <v>1</v>
      </c>
      <c r="E702" s="661">
        <f>+'PTAP TIJERETAS'!E258</f>
        <v>222650</v>
      </c>
      <c r="F702" s="661">
        <f t="shared" si="37"/>
        <v>222650</v>
      </c>
      <c r="H702"/>
    </row>
    <row r="703" spans="1:8" ht="18">
      <c r="A703" s="643"/>
      <c r="B703" s="664" t="s">
        <v>4801</v>
      </c>
      <c r="C703" s="1390" t="s">
        <v>133</v>
      </c>
      <c r="D703" s="650"/>
      <c r="E703" s="661">
        <f>+'PTAP TIJERETAS'!E259</f>
        <v>300725</v>
      </c>
      <c r="F703" s="661">
        <f t="shared" si="37"/>
        <v>0</v>
      </c>
      <c r="H703"/>
    </row>
    <row r="704" spans="1:8" ht="18">
      <c r="A704" s="643"/>
      <c r="B704" s="664" t="s">
        <v>4746</v>
      </c>
      <c r="C704" s="1390" t="s">
        <v>133</v>
      </c>
      <c r="D704" s="650">
        <v>5</v>
      </c>
      <c r="E704" s="661">
        <f>+'PTAP TIJERETAS'!E260</f>
        <v>175050</v>
      </c>
      <c r="F704" s="661">
        <f t="shared" si="37"/>
        <v>875250</v>
      </c>
      <c r="H704"/>
    </row>
    <row r="705" spans="1:10" ht="18">
      <c r="A705" s="643"/>
      <c r="B705" s="664" t="s">
        <v>4954</v>
      </c>
      <c r="C705" s="1390"/>
      <c r="D705" s="650">
        <v>2</v>
      </c>
      <c r="E705" s="661">
        <f>+'PTAP TIJERETAS'!E261</f>
        <v>276200</v>
      </c>
      <c r="F705" s="661">
        <f t="shared" si="37"/>
        <v>552400</v>
      </c>
      <c r="H705"/>
    </row>
    <row r="706" spans="1:10" ht="18">
      <c r="A706" s="646"/>
      <c r="B706" s="664" t="s">
        <v>4747</v>
      </c>
      <c r="C706" s="1390" t="s">
        <v>133</v>
      </c>
      <c r="D706" s="650">
        <v>2</v>
      </c>
      <c r="E706" s="661">
        <f>+'PTAP TIJERETAS'!E262</f>
        <v>4595900</v>
      </c>
      <c r="F706" s="661">
        <f t="shared" si="37"/>
        <v>9191800</v>
      </c>
      <c r="H706"/>
    </row>
    <row r="707" spans="1:10" ht="18">
      <c r="A707" s="643"/>
      <c r="B707" s="664" t="s">
        <v>4956</v>
      </c>
      <c r="C707" s="1390" t="s">
        <v>133</v>
      </c>
      <c r="D707" s="650">
        <v>2</v>
      </c>
      <c r="E707" s="661">
        <f>+'PTAP TIJERETAS'!E263</f>
        <v>490400</v>
      </c>
      <c r="F707" s="661">
        <f t="shared" si="37"/>
        <v>980800</v>
      </c>
      <c r="H707"/>
    </row>
    <row r="708" spans="1:10" ht="54">
      <c r="A708" s="640"/>
      <c r="B708" s="664" t="s">
        <v>4753</v>
      </c>
      <c r="C708" s="1390" t="s">
        <v>133</v>
      </c>
      <c r="D708" s="650">
        <v>2</v>
      </c>
      <c r="E708" s="661" t="e">
        <f>+'PTAP TIJERETAS'!#REF!</f>
        <v>#REF!</v>
      </c>
      <c r="F708" s="661" t="e">
        <f t="shared" si="37"/>
        <v>#REF!</v>
      </c>
      <c r="H708"/>
    </row>
    <row r="709" spans="1:10" ht="18">
      <c r="A709" s="640"/>
      <c r="B709" s="664" t="s">
        <v>4754</v>
      </c>
      <c r="C709" s="1390" t="s">
        <v>133</v>
      </c>
      <c r="D709" s="650">
        <v>1</v>
      </c>
      <c r="E709" s="661">
        <f>+'PTAP TIJERETAS'!E264</f>
        <v>639150</v>
      </c>
      <c r="F709" s="661">
        <f t="shared" si="37"/>
        <v>639150</v>
      </c>
      <c r="H709"/>
    </row>
    <row r="710" spans="1:10" ht="18">
      <c r="A710" s="640"/>
      <c r="B710" s="664" t="s">
        <v>4755</v>
      </c>
      <c r="C710" s="1390" t="s">
        <v>133</v>
      </c>
      <c r="D710" s="650">
        <v>3</v>
      </c>
      <c r="E710" s="661">
        <f>+'PTAP TIJERETAS'!E265</f>
        <v>532590</v>
      </c>
      <c r="F710" s="661">
        <f t="shared" si="37"/>
        <v>1597770</v>
      </c>
      <c r="H710"/>
      <c r="J710" s="492"/>
    </row>
    <row r="711" spans="1:10" ht="18">
      <c r="A711" s="640"/>
      <c r="B711" s="1375" t="s">
        <v>4872</v>
      </c>
      <c r="C711" s="1390" t="s">
        <v>133</v>
      </c>
      <c r="D711" s="650">
        <v>2</v>
      </c>
      <c r="E711" s="661">
        <f>+'PTAP TIJERETAS'!E266</f>
        <v>416300</v>
      </c>
      <c r="F711" s="661">
        <f t="shared" si="37"/>
        <v>832600</v>
      </c>
      <c r="H711"/>
    </row>
    <row r="712" spans="1:10" ht="18">
      <c r="A712" s="640"/>
      <c r="B712" s="1376" t="s">
        <v>4974</v>
      </c>
      <c r="C712" s="1390" t="s">
        <v>133</v>
      </c>
      <c r="D712" s="650">
        <v>2</v>
      </c>
      <c r="E712" s="661">
        <f>+'PTAP TIJERETAS'!E267</f>
        <v>1739488</v>
      </c>
      <c r="F712" s="661">
        <f t="shared" si="37"/>
        <v>3478976</v>
      </c>
      <c r="H712"/>
    </row>
    <row r="713" spans="1:10" ht="18">
      <c r="A713" s="640"/>
      <c r="B713" s="1376" t="s">
        <v>4975</v>
      </c>
      <c r="C713" s="1390" t="s">
        <v>133</v>
      </c>
      <c r="D713" s="650">
        <v>2</v>
      </c>
      <c r="E713" s="661">
        <f>+'PTAP TIJERETAS'!E268</f>
        <v>1454983</v>
      </c>
      <c r="F713" s="661">
        <f t="shared" si="37"/>
        <v>2909966</v>
      </c>
      <c r="H713"/>
    </row>
    <row r="714" spans="1:10" ht="18">
      <c r="A714" s="640"/>
      <c r="B714" s="1375" t="s">
        <v>4874</v>
      </c>
      <c r="C714" s="1390" t="s">
        <v>133</v>
      </c>
      <c r="D714" s="650">
        <v>2</v>
      </c>
      <c r="E714" s="661">
        <f>+'PTAP TIJERETAS'!E269</f>
        <v>1855870</v>
      </c>
      <c r="F714" s="661">
        <f t="shared" si="37"/>
        <v>3711740</v>
      </c>
      <c r="H714"/>
    </row>
    <row r="715" spans="1:10" ht="28.8">
      <c r="A715" s="640"/>
      <c r="B715" s="1377" t="s">
        <v>4875</v>
      </c>
      <c r="C715" s="1390" t="s">
        <v>133</v>
      </c>
      <c r="D715" s="650">
        <v>2</v>
      </c>
      <c r="E715" s="661">
        <f>+'PTAP TIJERETAS'!E270</f>
        <v>1063925</v>
      </c>
      <c r="F715" s="661">
        <f t="shared" si="37"/>
        <v>2127850</v>
      </c>
      <c r="H715"/>
    </row>
    <row r="716" spans="1:10" ht="18">
      <c r="A716" s="640"/>
      <c r="B716" s="1375" t="s">
        <v>4876</v>
      </c>
      <c r="C716" s="1390" t="s">
        <v>133</v>
      </c>
      <c r="D716" s="650">
        <v>2</v>
      </c>
      <c r="E716" s="661">
        <f>+'PTAP TIJERETAS'!E271</f>
        <v>639385</v>
      </c>
      <c r="F716" s="661">
        <f t="shared" si="37"/>
        <v>1278770</v>
      </c>
      <c r="H716"/>
    </row>
    <row r="717" spans="1:10" ht="18">
      <c r="A717" s="640"/>
      <c r="B717" s="1376" t="s">
        <v>4976</v>
      </c>
      <c r="C717" s="1390" t="s">
        <v>133</v>
      </c>
      <c r="D717" s="650">
        <v>1</v>
      </c>
      <c r="E717" s="661">
        <f>+'PTAP TIJERETAS'!E272</f>
        <v>1420910</v>
      </c>
      <c r="F717" s="661">
        <f t="shared" si="37"/>
        <v>1420910</v>
      </c>
      <c r="H717"/>
    </row>
    <row r="718" spans="1:10" ht="18">
      <c r="A718" s="640"/>
      <c r="B718" s="1375" t="s">
        <v>4877</v>
      </c>
      <c r="C718" s="1390" t="s">
        <v>133</v>
      </c>
      <c r="D718" s="650">
        <v>1</v>
      </c>
      <c r="E718" s="661">
        <f>+'PTAP TIJERETAS'!E273</f>
        <v>1604200</v>
      </c>
      <c r="F718" s="661">
        <f t="shared" si="37"/>
        <v>1604200</v>
      </c>
      <c r="H718"/>
    </row>
    <row r="719" spans="1:10" ht="18">
      <c r="A719" s="640"/>
      <c r="B719" s="1376" t="s">
        <v>4977</v>
      </c>
      <c r="C719" s="1390" t="s">
        <v>133</v>
      </c>
      <c r="D719" s="650">
        <v>1</v>
      </c>
      <c r="E719" s="661">
        <f>+'PTAP TIJERETAS'!E274</f>
        <v>1026342</v>
      </c>
      <c r="F719" s="661">
        <f t="shared" si="37"/>
        <v>1026342</v>
      </c>
      <c r="H719"/>
    </row>
    <row r="720" spans="1:10" ht="18">
      <c r="A720" s="640"/>
      <c r="B720" s="1375" t="s">
        <v>4878</v>
      </c>
      <c r="C720" s="1390" t="s">
        <v>133</v>
      </c>
      <c r="D720" s="650">
        <v>1</v>
      </c>
      <c r="E720" s="661">
        <f>+'PTAP TIJERETAS'!E275</f>
        <v>1191310</v>
      </c>
      <c r="F720" s="661">
        <f t="shared" si="37"/>
        <v>1191310</v>
      </c>
      <c r="H720"/>
    </row>
    <row r="721" spans="1:8" ht="18">
      <c r="A721" s="640"/>
      <c r="B721" s="1376" t="s">
        <v>4978</v>
      </c>
      <c r="C721" s="1390" t="s">
        <v>133</v>
      </c>
      <c r="D721" s="650">
        <v>1</v>
      </c>
      <c r="E721" s="661">
        <f>+'PTAP TIJERETAS'!E276</f>
        <v>968150</v>
      </c>
      <c r="F721" s="661">
        <f t="shared" si="37"/>
        <v>968150</v>
      </c>
      <c r="H721"/>
    </row>
    <row r="722" spans="1:8" ht="18">
      <c r="A722" s="640"/>
      <c r="B722" s="1376" t="s">
        <v>4879</v>
      </c>
      <c r="C722" s="1390" t="s">
        <v>133</v>
      </c>
      <c r="D722" s="650">
        <v>1</v>
      </c>
      <c r="E722" s="661">
        <f>+'PTAP TIJERETAS'!E277</f>
        <v>1245077</v>
      </c>
      <c r="F722" s="661">
        <f t="shared" si="37"/>
        <v>1245077</v>
      </c>
      <c r="H722"/>
    </row>
    <row r="723" spans="1:8" ht="18">
      <c r="A723" s="640"/>
      <c r="B723" s="1375" t="s">
        <v>4880</v>
      </c>
      <c r="C723" s="1390" t="s">
        <v>133</v>
      </c>
      <c r="D723" s="650">
        <v>1</v>
      </c>
      <c r="E723" s="661">
        <f>+'PTAP TIJERETAS'!E278</f>
        <v>447560</v>
      </c>
      <c r="F723" s="661">
        <f t="shared" si="37"/>
        <v>447560</v>
      </c>
      <c r="H723"/>
    </row>
    <row r="724" spans="1:8" ht="18">
      <c r="A724" s="640"/>
      <c r="B724" s="1376" t="s">
        <v>4881</v>
      </c>
      <c r="C724" s="1390" t="s">
        <v>133</v>
      </c>
      <c r="D724" s="650">
        <v>1</v>
      </c>
      <c r="E724" s="661">
        <f>+'PTAP TIJERETAS'!E279</f>
        <v>1135755</v>
      </c>
      <c r="F724" s="661">
        <f t="shared" si="37"/>
        <v>1135755</v>
      </c>
      <c r="H724"/>
    </row>
    <row r="725" spans="1:8" ht="18">
      <c r="A725" s="640"/>
      <c r="B725" s="1376" t="s">
        <v>4882</v>
      </c>
      <c r="C725" s="1390" t="s">
        <v>133</v>
      </c>
      <c r="D725" s="650">
        <v>1</v>
      </c>
      <c r="E725" s="661">
        <f>+'PTAP TIJERETAS'!E280</f>
        <v>557411</v>
      </c>
      <c r="F725" s="661">
        <f t="shared" si="37"/>
        <v>557411</v>
      </c>
      <c r="H725"/>
    </row>
    <row r="726" spans="1:8" ht="18">
      <c r="A726" s="640"/>
      <c r="B726" s="1375" t="s">
        <v>4883</v>
      </c>
      <c r="C726" s="1390" t="s">
        <v>133</v>
      </c>
      <c r="D726" s="650">
        <v>1</v>
      </c>
      <c r="E726" s="661">
        <f>+'PTAP TIJERETAS'!E281</f>
        <v>464220</v>
      </c>
      <c r="F726" s="661">
        <f t="shared" si="37"/>
        <v>464220</v>
      </c>
      <c r="H726"/>
    </row>
    <row r="727" spans="1:8" ht="18">
      <c r="A727" s="640"/>
      <c r="B727" s="1376" t="s">
        <v>4884</v>
      </c>
      <c r="C727" s="1390" t="s">
        <v>133</v>
      </c>
      <c r="D727" s="650">
        <v>1</v>
      </c>
      <c r="E727" s="661">
        <f>+'PTAP TIJERETAS'!E282</f>
        <v>2346424</v>
      </c>
      <c r="F727" s="661">
        <f t="shared" si="37"/>
        <v>2346424</v>
      </c>
      <c r="H727"/>
    </row>
    <row r="728" spans="1:8" ht="18">
      <c r="A728" s="640"/>
      <c r="B728" s="1376" t="s">
        <v>4885</v>
      </c>
      <c r="C728" s="1390" t="s">
        <v>133</v>
      </c>
      <c r="D728" s="650">
        <v>1</v>
      </c>
      <c r="E728" s="661">
        <f>+'PTAP TIJERETAS'!E283</f>
        <v>889481</v>
      </c>
      <c r="F728" s="661">
        <f t="shared" si="37"/>
        <v>889481</v>
      </c>
      <c r="H728"/>
    </row>
    <row r="729" spans="1:8" ht="18">
      <c r="A729" s="640"/>
      <c r="B729" s="1375" t="s">
        <v>4886</v>
      </c>
      <c r="C729" s="1390" t="s">
        <v>133</v>
      </c>
      <c r="D729" s="650">
        <v>1</v>
      </c>
      <c r="E729" s="661">
        <f>+'PTAP TIJERETAS'!E284</f>
        <v>288100</v>
      </c>
      <c r="F729" s="661">
        <f t="shared" si="37"/>
        <v>288100</v>
      </c>
      <c r="H729"/>
    </row>
    <row r="730" spans="1:8" ht="18">
      <c r="A730" s="640"/>
      <c r="B730" s="1376" t="s">
        <v>4979</v>
      </c>
      <c r="C730" s="1390" t="s">
        <v>133</v>
      </c>
      <c r="D730" s="650">
        <v>1</v>
      </c>
      <c r="E730" s="661">
        <f>+'PTAP TIJERETAS'!E285</f>
        <v>3945858</v>
      </c>
      <c r="F730" s="661">
        <f t="shared" si="37"/>
        <v>3945858</v>
      </c>
      <c r="H730"/>
    </row>
    <row r="731" spans="1:8" ht="18">
      <c r="A731" s="640"/>
      <c r="B731" s="1376" t="s">
        <v>4980</v>
      </c>
      <c r="C731" s="1390" t="s">
        <v>133</v>
      </c>
      <c r="D731" s="650">
        <v>1</v>
      </c>
      <c r="E731" s="661">
        <f>+'PTAP TIJERETAS'!E286</f>
        <v>2540319</v>
      </c>
      <c r="F731" s="661">
        <f t="shared" si="37"/>
        <v>2540319</v>
      </c>
      <c r="H731"/>
    </row>
    <row r="732" spans="1:8" ht="81.75" customHeight="1">
      <c r="A732" s="640"/>
      <c r="B732" s="1383" t="s">
        <v>4923</v>
      </c>
      <c r="C732" s="1390" t="s">
        <v>133</v>
      </c>
      <c r="D732" s="650">
        <v>2</v>
      </c>
      <c r="E732" s="661">
        <f>+'PTAP TIJERETAS'!E287</f>
        <v>12620000</v>
      </c>
      <c r="F732" s="661">
        <f t="shared" si="37"/>
        <v>25240000</v>
      </c>
      <c r="H732"/>
    </row>
    <row r="733" spans="1:8" ht="36">
      <c r="A733" s="640"/>
      <c r="B733" s="664" t="s">
        <v>4981</v>
      </c>
      <c r="C733" s="1390" t="s">
        <v>133</v>
      </c>
      <c r="D733" s="650">
        <v>2</v>
      </c>
      <c r="E733" s="661">
        <f>+'PTAP TIJERETAS'!E289</f>
        <v>968747</v>
      </c>
      <c r="F733" s="661">
        <f t="shared" si="37"/>
        <v>1937494</v>
      </c>
      <c r="H733"/>
    </row>
    <row r="734" spans="1:8" ht="18">
      <c r="A734" s="640"/>
      <c r="B734" s="664" t="s">
        <v>4924</v>
      </c>
      <c r="C734" s="1390" t="s">
        <v>133</v>
      </c>
      <c r="D734" s="650">
        <v>2</v>
      </c>
      <c r="E734" s="661">
        <f>+'PTAP TIJERETAS'!E290</f>
        <v>326000</v>
      </c>
      <c r="F734" s="661">
        <f t="shared" si="37"/>
        <v>652000</v>
      </c>
      <c r="H734"/>
    </row>
    <row r="735" spans="1:8" ht="36">
      <c r="A735" s="640"/>
      <c r="B735" s="664" t="s">
        <v>4982</v>
      </c>
      <c r="C735" s="1390" t="s">
        <v>133</v>
      </c>
      <c r="D735" s="650">
        <v>2</v>
      </c>
      <c r="E735" s="661">
        <f>+'PTAP TIJERETAS'!E291</f>
        <v>843406</v>
      </c>
      <c r="F735" s="661">
        <f t="shared" si="37"/>
        <v>1686812</v>
      </c>
      <c r="H735"/>
    </row>
    <row r="736" spans="1:8" ht="18">
      <c r="A736" s="640"/>
      <c r="B736" s="664" t="s">
        <v>4925</v>
      </c>
      <c r="C736" s="1390" t="s">
        <v>133</v>
      </c>
      <c r="D736" s="650">
        <v>2</v>
      </c>
      <c r="E736" s="661">
        <f>+'PTAP TIJERETAS'!E292</f>
        <v>876488</v>
      </c>
      <c r="F736" s="661">
        <f t="shared" si="37"/>
        <v>1752976</v>
      </c>
      <c r="H736"/>
    </row>
    <row r="737" spans="1:9" ht="36">
      <c r="A737" s="640"/>
      <c r="B737" s="664" t="s">
        <v>4926</v>
      </c>
      <c r="C737" s="1390" t="s">
        <v>133</v>
      </c>
      <c r="D737" s="650">
        <v>2</v>
      </c>
      <c r="E737" s="661">
        <f>+'PTAP TIJERETAS'!E293</f>
        <v>546620</v>
      </c>
      <c r="F737" s="661">
        <f t="shared" si="37"/>
        <v>1093240</v>
      </c>
      <c r="H737"/>
    </row>
    <row r="738" spans="1:9" ht="36">
      <c r="A738" s="640"/>
      <c r="B738" s="664" t="s">
        <v>4927</v>
      </c>
      <c r="C738" s="1390" t="s">
        <v>133</v>
      </c>
      <c r="D738" s="650">
        <v>2</v>
      </c>
      <c r="E738" s="661">
        <f>+'PTAP TIJERETAS'!E294</f>
        <v>388475</v>
      </c>
      <c r="F738" s="661">
        <f t="shared" si="37"/>
        <v>776950</v>
      </c>
      <c r="H738"/>
    </row>
    <row r="739" spans="1:9" ht="18">
      <c r="A739" s="640"/>
      <c r="B739" s="664" t="s">
        <v>4873</v>
      </c>
      <c r="C739" s="1390" t="s">
        <v>133</v>
      </c>
      <c r="D739" s="650">
        <v>3</v>
      </c>
      <c r="E739" s="661" t="e">
        <f>+'PTAP TIJERETAS'!#REF!</f>
        <v>#REF!</v>
      </c>
      <c r="F739" s="661" t="e">
        <f t="shared" si="37"/>
        <v>#REF!</v>
      </c>
      <c r="H739"/>
    </row>
    <row r="740" spans="1:9" ht="36">
      <c r="A740" s="640"/>
      <c r="B740" s="664" t="s">
        <v>4983</v>
      </c>
      <c r="C740" s="1390" t="s">
        <v>133</v>
      </c>
      <c r="D740" s="650">
        <v>2</v>
      </c>
      <c r="E740" s="661">
        <f>+'PTAP TIJERETAS'!E295</f>
        <v>1112239</v>
      </c>
      <c r="F740" s="661">
        <f t="shared" si="37"/>
        <v>2224478</v>
      </c>
      <c r="H740"/>
    </row>
    <row r="741" spans="1:9" ht="18">
      <c r="A741" s="640"/>
      <c r="B741" s="664" t="s">
        <v>4928</v>
      </c>
      <c r="C741" s="1390" t="s">
        <v>133</v>
      </c>
      <c r="D741" s="650">
        <v>1</v>
      </c>
      <c r="E741" s="661">
        <f>+'PTAP TIJERETAS'!E296</f>
        <v>547520</v>
      </c>
      <c r="F741" s="661">
        <f t="shared" si="37"/>
        <v>547520</v>
      </c>
      <c r="H741"/>
    </row>
    <row r="742" spans="1:9" ht="36">
      <c r="A742" s="640"/>
      <c r="B742" s="664" t="s">
        <v>4984</v>
      </c>
      <c r="C742" s="1390" t="s">
        <v>133</v>
      </c>
      <c r="D742" s="650">
        <v>1</v>
      </c>
      <c r="E742" s="661">
        <f>+'PTAP TIJERETAS'!E297</f>
        <v>731558</v>
      </c>
      <c r="F742" s="661">
        <f t="shared" si="37"/>
        <v>731558</v>
      </c>
      <c r="H742"/>
    </row>
    <row r="743" spans="1:9" ht="18">
      <c r="A743" s="663"/>
      <c r="B743" s="651" t="s">
        <v>4929</v>
      </c>
      <c r="C743" s="1390" t="s">
        <v>133</v>
      </c>
      <c r="D743" s="650">
        <v>1</v>
      </c>
      <c r="E743" s="661">
        <f>+'PTAP TIJERETAS'!E298</f>
        <v>674850</v>
      </c>
      <c r="F743" s="661">
        <f t="shared" si="37"/>
        <v>674850</v>
      </c>
      <c r="H743"/>
    </row>
    <row r="744" spans="1:9" ht="36">
      <c r="A744" s="663"/>
      <c r="B744" s="1380" t="s">
        <v>4985</v>
      </c>
      <c r="C744" s="1390" t="s">
        <v>133</v>
      </c>
      <c r="D744" s="650">
        <v>1</v>
      </c>
      <c r="E744" s="661">
        <f>+'PTAP TIJERETAS'!E299</f>
        <v>802688</v>
      </c>
      <c r="F744" s="661">
        <f t="shared" si="37"/>
        <v>802688</v>
      </c>
      <c r="H744"/>
      <c r="I744" s="492"/>
    </row>
    <row r="745" spans="1:9" ht="18">
      <c r="A745" s="663"/>
      <c r="B745" s="1380" t="s">
        <v>4930</v>
      </c>
      <c r="C745" s="1390" t="s">
        <v>133</v>
      </c>
      <c r="D745" s="650">
        <v>2</v>
      </c>
      <c r="E745" s="661">
        <f>+'PTAP TIJERETAS'!E300</f>
        <v>3972102</v>
      </c>
      <c r="F745" s="661">
        <f t="shared" si="37"/>
        <v>7944204</v>
      </c>
      <c r="H745"/>
    </row>
    <row r="746" spans="1:9" ht="18">
      <c r="A746" s="663"/>
      <c r="B746" s="1380" t="s">
        <v>4931</v>
      </c>
      <c r="C746" s="1390" t="s">
        <v>133</v>
      </c>
      <c r="D746" s="650">
        <v>1</v>
      </c>
      <c r="E746" s="661">
        <f>+'PTAP TIJERETAS'!E301</f>
        <v>364985</v>
      </c>
      <c r="F746" s="661">
        <f t="shared" si="37"/>
        <v>364985</v>
      </c>
      <c r="H746"/>
    </row>
    <row r="747" spans="1:9" ht="18">
      <c r="A747" s="663"/>
      <c r="B747" s="1380" t="s">
        <v>4932</v>
      </c>
      <c r="C747" s="1390" t="s">
        <v>133</v>
      </c>
      <c r="D747" s="650">
        <v>1</v>
      </c>
      <c r="E747" s="661">
        <f>+'PTAP TIJERETAS'!E302</f>
        <v>648150</v>
      </c>
      <c r="F747" s="661">
        <f t="shared" si="37"/>
        <v>648150</v>
      </c>
      <c r="H747"/>
    </row>
    <row r="748" spans="1:9" ht="18">
      <c r="A748" s="663"/>
      <c r="B748" s="1380" t="s">
        <v>4933</v>
      </c>
      <c r="C748" s="1390" t="s">
        <v>133</v>
      </c>
      <c r="D748" s="650">
        <v>1</v>
      </c>
      <c r="E748" s="661">
        <f>+'PTAP TIJERETAS'!E303</f>
        <v>715570</v>
      </c>
      <c r="F748" s="661">
        <f t="shared" si="37"/>
        <v>715570</v>
      </c>
      <c r="H748"/>
    </row>
    <row r="749" spans="1:9" ht="18">
      <c r="A749" s="663"/>
      <c r="B749" s="1380" t="s">
        <v>4934</v>
      </c>
      <c r="C749" s="1390" t="s">
        <v>133</v>
      </c>
      <c r="D749" s="650">
        <v>1</v>
      </c>
      <c r="E749" s="661">
        <f>+'PTAP TIJERETAS'!E304</f>
        <v>836926</v>
      </c>
      <c r="F749" s="661">
        <f t="shared" si="37"/>
        <v>836926</v>
      </c>
      <c r="H749"/>
    </row>
    <row r="750" spans="1:9" ht="18">
      <c r="A750" s="663"/>
      <c r="B750" s="1380" t="s">
        <v>4935</v>
      </c>
      <c r="C750" s="1390" t="s">
        <v>45</v>
      </c>
      <c r="D750" s="650">
        <v>34.840000000000003</v>
      </c>
      <c r="E750" s="661">
        <f>+'PTAP TIJERETAS'!E305</f>
        <v>9419674</v>
      </c>
      <c r="F750" s="661">
        <f t="shared" si="37"/>
        <v>328181442</v>
      </c>
      <c r="H750"/>
    </row>
    <row r="751" spans="1:9" ht="18">
      <c r="A751" s="663"/>
      <c r="B751" s="1380" t="s">
        <v>4936</v>
      </c>
      <c r="C751" s="1390" t="s">
        <v>133</v>
      </c>
      <c r="D751" s="650">
        <v>1</v>
      </c>
      <c r="E751" s="661">
        <f>+'PTAP TIJERETAS'!E306</f>
        <v>2279718</v>
      </c>
      <c r="F751" s="661">
        <f t="shared" si="37"/>
        <v>2279718</v>
      </c>
      <c r="H751"/>
    </row>
    <row r="752" spans="1:9" ht="18">
      <c r="A752" s="663"/>
      <c r="B752" s="1380" t="s">
        <v>4937</v>
      </c>
      <c r="C752" s="1390" t="s">
        <v>133</v>
      </c>
      <c r="D752" s="650">
        <v>1</v>
      </c>
      <c r="E752" s="661">
        <f>+'PTAP TIJERETAS'!E307</f>
        <v>920527</v>
      </c>
      <c r="F752" s="661">
        <f t="shared" si="37"/>
        <v>920527</v>
      </c>
      <c r="H752"/>
    </row>
    <row r="753" spans="1:8" ht="18">
      <c r="A753" s="663"/>
      <c r="B753" s="1380" t="s">
        <v>4938</v>
      </c>
      <c r="C753" s="1390" t="s">
        <v>133</v>
      </c>
      <c r="D753" s="650">
        <v>1</v>
      </c>
      <c r="E753" s="661">
        <f>+'PTAP TIJERETAS'!E308</f>
        <v>300000</v>
      </c>
      <c r="F753" s="661">
        <f t="shared" si="37"/>
        <v>300000</v>
      </c>
      <c r="H753"/>
    </row>
    <row r="754" spans="1:8" ht="18">
      <c r="A754" s="663"/>
      <c r="B754" s="1380" t="s">
        <v>4939</v>
      </c>
      <c r="C754" s="1390" t="s">
        <v>133</v>
      </c>
      <c r="D754" s="650">
        <v>1</v>
      </c>
      <c r="E754" s="661">
        <f>+'PTAP TIJERETAS'!E309</f>
        <v>2225922</v>
      </c>
      <c r="F754" s="661">
        <f t="shared" si="37"/>
        <v>2225922</v>
      </c>
      <c r="H754"/>
    </row>
    <row r="755" spans="1:8" ht="18">
      <c r="A755" s="663"/>
      <c r="B755" s="1380" t="s">
        <v>4940</v>
      </c>
      <c r="C755" s="1390" t="s">
        <v>133</v>
      </c>
      <c r="D755" s="650">
        <v>2</v>
      </c>
      <c r="E755" s="661">
        <f>+'PTAP TIJERETAS'!E310</f>
        <v>197925</v>
      </c>
      <c r="F755" s="661">
        <f t="shared" si="37"/>
        <v>395850</v>
      </c>
      <c r="H755"/>
    </row>
    <row r="756" spans="1:8" ht="18">
      <c r="A756" s="663"/>
      <c r="B756" s="1380" t="s">
        <v>4941</v>
      </c>
      <c r="C756" s="1390" t="s">
        <v>133</v>
      </c>
      <c r="D756" s="650">
        <v>1</v>
      </c>
      <c r="E756" s="661">
        <f>+'PTAP TIJERETAS'!E311</f>
        <v>3185136</v>
      </c>
      <c r="F756" s="661">
        <f t="shared" si="37"/>
        <v>3185136</v>
      </c>
      <c r="H756"/>
    </row>
    <row r="757" spans="1:8" ht="18">
      <c r="A757" s="663"/>
      <c r="B757" s="1380" t="s">
        <v>4942</v>
      </c>
      <c r="C757" s="1390" t="s">
        <v>133</v>
      </c>
      <c r="D757" s="650">
        <v>2</v>
      </c>
      <c r="E757" s="661">
        <f>+'PTAP TIJERETAS'!E312</f>
        <v>510173</v>
      </c>
      <c r="F757" s="661">
        <f t="shared" si="37"/>
        <v>1020346</v>
      </c>
      <c r="H757"/>
    </row>
    <row r="758" spans="1:8" ht="18">
      <c r="A758" s="663"/>
      <c r="B758" s="1380" t="s">
        <v>4943</v>
      </c>
      <c r="C758" s="1390" t="s">
        <v>133</v>
      </c>
      <c r="D758" s="650">
        <v>6</v>
      </c>
      <c r="E758" s="661">
        <f>+'PTAP TIJERETAS'!E313</f>
        <v>585074</v>
      </c>
      <c r="F758" s="661">
        <f t="shared" si="37"/>
        <v>3510444</v>
      </c>
      <c r="H758"/>
    </row>
    <row r="759" spans="1:8" ht="18">
      <c r="A759" s="663"/>
      <c r="B759" s="1380" t="s">
        <v>4944</v>
      </c>
      <c r="C759" s="1390" t="s">
        <v>133</v>
      </c>
      <c r="D759" s="650">
        <v>2</v>
      </c>
      <c r="E759" s="661">
        <f>+'PTAP TIJERETAS'!E314</f>
        <v>437056</v>
      </c>
      <c r="F759" s="661">
        <f t="shared" si="37"/>
        <v>874112</v>
      </c>
      <c r="H759"/>
    </row>
    <row r="760" spans="1:8" ht="18">
      <c r="A760" s="663"/>
      <c r="B760" s="1380" t="s">
        <v>4945</v>
      </c>
      <c r="C760" s="1390" t="s">
        <v>133</v>
      </c>
      <c r="D760" s="650">
        <v>8</v>
      </c>
      <c r="E760" s="661">
        <f>+'PTAP TIJERETAS'!E315</f>
        <v>220746</v>
      </c>
      <c r="F760" s="661">
        <f t="shared" si="37"/>
        <v>1765968</v>
      </c>
      <c r="H760"/>
    </row>
    <row r="761" spans="1:8" ht="18">
      <c r="A761" s="663"/>
      <c r="B761" s="1380" t="s">
        <v>4946</v>
      </c>
      <c r="C761" s="1390" t="s">
        <v>133</v>
      </c>
      <c r="D761" s="650">
        <v>8</v>
      </c>
      <c r="E761" s="661">
        <f>+'PTAP TIJERETAS'!E316</f>
        <v>37956</v>
      </c>
      <c r="F761" s="661">
        <f t="shared" si="37"/>
        <v>303648</v>
      </c>
      <c r="H761"/>
    </row>
    <row r="762" spans="1:8" ht="18">
      <c r="A762" s="663"/>
      <c r="B762" s="1380" t="s">
        <v>4947</v>
      </c>
      <c r="C762" s="1390" t="s">
        <v>133</v>
      </c>
      <c r="D762" s="650">
        <v>24</v>
      </c>
      <c r="E762" s="661">
        <f>+'PTAP TIJERETAS'!E317</f>
        <v>29766</v>
      </c>
      <c r="F762" s="661">
        <f t="shared" si="37"/>
        <v>714384</v>
      </c>
      <c r="H762"/>
    </row>
    <row r="763" spans="1:8" ht="18">
      <c r="A763" s="663"/>
      <c r="B763" s="1380" t="s">
        <v>4948</v>
      </c>
      <c r="C763" s="1390" t="s">
        <v>133</v>
      </c>
      <c r="D763" s="650">
        <v>8</v>
      </c>
      <c r="E763" s="661">
        <f>+'PTAP TIJERETAS'!E318</f>
        <v>23246</v>
      </c>
      <c r="F763" s="661">
        <f t="shared" si="37"/>
        <v>185968</v>
      </c>
      <c r="H763"/>
    </row>
    <row r="764" spans="1:8" ht="18">
      <c r="A764" s="663"/>
      <c r="B764" s="1380" t="s">
        <v>4949</v>
      </c>
      <c r="C764" s="1390" t="s">
        <v>133</v>
      </c>
      <c r="D764" s="650">
        <v>8</v>
      </c>
      <c r="E764" s="661">
        <f>+'PTAP TIJERETAS'!E319</f>
        <v>153413</v>
      </c>
      <c r="F764" s="661">
        <f t="shared" ref="F764:F769" si="38">+ROUND(D764*E764,0)</f>
        <v>1227304</v>
      </c>
      <c r="H764"/>
    </row>
    <row r="765" spans="1:8" ht="18">
      <c r="A765" s="663"/>
      <c r="B765" s="1380" t="s">
        <v>4950</v>
      </c>
      <c r="C765" s="1390" t="s">
        <v>133</v>
      </c>
      <c r="D765" s="650">
        <v>2</v>
      </c>
      <c r="E765" s="661">
        <f>+'PTAP TIJERETAS'!E320</f>
        <v>1203567</v>
      </c>
      <c r="F765" s="661">
        <f t="shared" si="38"/>
        <v>2407134</v>
      </c>
      <c r="H765"/>
    </row>
    <row r="766" spans="1:8" ht="18">
      <c r="A766" s="663"/>
      <c r="B766" s="1380" t="s">
        <v>4951</v>
      </c>
      <c r="C766" s="1390" t="s">
        <v>133</v>
      </c>
      <c r="D766" s="650">
        <v>10</v>
      </c>
      <c r="E766" s="661">
        <f>+'PTAP TIJERETAS'!E321</f>
        <v>67391</v>
      </c>
      <c r="F766" s="661">
        <f t="shared" si="38"/>
        <v>673910</v>
      </c>
      <c r="H766"/>
    </row>
    <row r="767" spans="1:8" ht="18">
      <c r="A767" s="663"/>
      <c r="C767" s="1390" t="s">
        <v>133</v>
      </c>
      <c r="D767" s="1381"/>
      <c r="E767" s="661" t="e">
        <f>+'PTAP TIJERETAS'!#REF!</f>
        <v>#REF!</v>
      </c>
      <c r="F767" s="661" t="e">
        <f t="shared" si="38"/>
        <v>#REF!</v>
      </c>
      <c r="H767"/>
    </row>
    <row r="768" spans="1:8" ht="18">
      <c r="A768" s="663"/>
      <c r="B768" s="1380" t="s">
        <v>4952</v>
      </c>
      <c r="C768" s="1390" t="s">
        <v>133</v>
      </c>
      <c r="D768" s="1381"/>
      <c r="E768" s="661">
        <f>+'PTAP TIJERETAS'!E322</f>
        <v>1533435</v>
      </c>
      <c r="F768" s="661">
        <f t="shared" si="38"/>
        <v>0</v>
      </c>
      <c r="H768"/>
    </row>
    <row r="769" spans="1:9" ht="36">
      <c r="A769" s="663"/>
      <c r="B769" s="1380" t="s">
        <v>4986</v>
      </c>
      <c r="C769" s="1390" t="s">
        <v>133</v>
      </c>
      <c r="D769" s="1381"/>
      <c r="E769" s="661">
        <f>+'PTAP TIJERETAS'!E323</f>
        <v>1317450</v>
      </c>
      <c r="F769" s="661">
        <f t="shared" si="38"/>
        <v>0</v>
      </c>
      <c r="H769"/>
    </row>
    <row r="770" spans="1:9" ht="18">
      <c r="A770" s="663"/>
      <c r="B770" s="1380" t="s">
        <v>4953</v>
      </c>
      <c r="C770" s="1390" t="s">
        <v>133</v>
      </c>
      <c r="D770" s="1381"/>
      <c r="E770" s="1382"/>
      <c r="F770" s="960"/>
      <c r="H770"/>
    </row>
    <row r="771" spans="1:9" ht="19.8" thickBot="1">
      <c r="A771" s="3757" t="s">
        <v>5043</v>
      </c>
      <c r="B771" s="3757"/>
      <c r="C771" s="3757"/>
      <c r="D771" s="3757"/>
      <c r="E771" s="3758"/>
      <c r="F771" s="1035" t="e">
        <f>+SUM(F699:F769)</f>
        <v>#REF!</v>
      </c>
      <c r="G771" t="str">
        <f t="shared" ref="G771" si="39">+LOWER(B771)</f>
        <v/>
      </c>
      <c r="H771" s="961" t="e">
        <f>+#REF!+#REF!+#REF!+#REF!+#REF!+#REF!+#REF!</f>
        <v>#REF!</v>
      </c>
    </row>
    <row r="772" spans="1:9" s="963" customFormat="1" ht="30.75" customHeight="1" thickBot="1">
      <c r="A772" s="3748" t="s">
        <v>5044</v>
      </c>
      <c r="B772" s="3749"/>
      <c r="C772" s="3749"/>
      <c r="D772" s="3749"/>
      <c r="E772" s="3750"/>
      <c r="F772" s="1067" t="e">
        <f>+SUM(F759:F771,F736:F757)</f>
        <v>#REF!</v>
      </c>
      <c r="G772" s="962"/>
      <c r="H772" s="1106"/>
      <c r="I772" s="962"/>
    </row>
    <row r="773" spans="1:9" s="44" customFormat="1" ht="21.75" customHeight="1" thickBot="1">
      <c r="A773" s="3710"/>
      <c r="B773" s="3711"/>
      <c r="C773" s="3711"/>
      <c r="D773" s="3711"/>
      <c r="E773" s="3711"/>
      <c r="F773" s="3711"/>
      <c r="G773" s="967"/>
      <c r="H773" s="1110"/>
    </row>
    <row r="774" spans="1:9" ht="14.4" thickBot="1">
      <c r="A774" s="3793" t="s">
        <v>1441</v>
      </c>
      <c r="B774" s="3794"/>
      <c r="C774" s="3794"/>
      <c r="D774" s="3794"/>
      <c r="E774" s="3794"/>
      <c r="F774" s="3794"/>
      <c r="G774" s="522"/>
    </row>
    <row r="775" spans="1:9" ht="15.75" customHeight="1">
      <c r="A775" s="3719" t="s">
        <v>3821</v>
      </c>
      <c r="B775" s="3720"/>
      <c r="C775" s="3720"/>
      <c r="D775" s="3720"/>
      <c r="E775" s="3720"/>
      <c r="F775" s="3720"/>
      <c r="G775" s="522"/>
    </row>
    <row r="776" spans="1:9" s="963" customFormat="1" ht="17.25" customHeight="1">
      <c r="A776" s="1063"/>
      <c r="B776" s="1064" t="s">
        <v>3822</v>
      </c>
      <c r="C776" s="1182"/>
      <c r="D776" s="1182"/>
      <c r="E776" s="1182"/>
      <c r="F776" s="1183" t="e">
        <f>+SUM(F777:F798)</f>
        <v>#REF!</v>
      </c>
      <c r="G776" s="962"/>
      <c r="H776" s="1106"/>
      <c r="I776" s="962"/>
    </row>
    <row r="777" spans="1:9" ht="66">
      <c r="A777" s="1079">
        <v>1</v>
      </c>
      <c r="B777" s="1090" t="s">
        <v>3823</v>
      </c>
      <c r="C777" s="1192" t="s">
        <v>150</v>
      </c>
      <c r="D777" s="1193">
        <v>1</v>
      </c>
      <c r="E777" s="1137" t="e">
        <f>+#REF!</f>
        <v>#REF!</v>
      </c>
      <c r="F777" s="1138" t="e">
        <f>+ROUND(E777*D777,0)</f>
        <v>#REF!</v>
      </c>
      <c r="G777" s="522"/>
      <c r="I777" s="962"/>
    </row>
    <row r="778" spans="1:9" ht="118.8">
      <c r="A778" s="1079">
        <v>2</v>
      </c>
      <c r="B778" s="1090" t="s">
        <v>3623</v>
      </c>
      <c r="C778" s="1192" t="s">
        <v>150</v>
      </c>
      <c r="D778" s="1193">
        <v>1</v>
      </c>
      <c r="E778" s="1137" t="e">
        <f>+#REF!</f>
        <v>#REF!</v>
      </c>
      <c r="F778" s="1138" t="e">
        <f t="shared" ref="F778:F812" si="40">+ROUND(E778*D778,0)</f>
        <v>#REF!</v>
      </c>
      <c r="G778" s="522"/>
      <c r="I778" s="962"/>
    </row>
    <row r="779" spans="1:9">
      <c r="A779" s="1079">
        <v>3</v>
      </c>
      <c r="B779" s="1090" t="s">
        <v>3824</v>
      </c>
      <c r="C779" s="1192" t="s">
        <v>150</v>
      </c>
      <c r="D779" s="1193">
        <v>6</v>
      </c>
      <c r="E779" s="1137" t="e">
        <f>+#REF!</f>
        <v>#REF!</v>
      </c>
      <c r="F779" s="1138" t="e">
        <f t="shared" si="40"/>
        <v>#REF!</v>
      </c>
      <c r="G779" s="522"/>
      <c r="I779" s="962"/>
    </row>
    <row r="780" spans="1:9">
      <c r="A780" s="1079">
        <v>4</v>
      </c>
      <c r="B780" s="1090" t="s">
        <v>3631</v>
      </c>
      <c r="C780" s="1192" t="s">
        <v>150</v>
      </c>
      <c r="D780" s="1193">
        <v>3</v>
      </c>
      <c r="E780" s="1137" t="e">
        <f>+#REF!</f>
        <v>#REF!</v>
      </c>
      <c r="F780" s="1138" t="e">
        <f t="shared" si="40"/>
        <v>#REF!</v>
      </c>
      <c r="G780" s="522"/>
      <c r="I780" s="962"/>
    </row>
    <row r="781" spans="1:9" ht="79.2">
      <c r="A781" s="1079">
        <v>5</v>
      </c>
      <c r="B781" s="1090" t="s">
        <v>3642</v>
      </c>
      <c r="C781" s="1192" t="s">
        <v>94</v>
      </c>
      <c r="D781" s="1193">
        <v>60</v>
      </c>
      <c r="E781" s="1137" t="e">
        <f>+#REF!</f>
        <v>#REF!</v>
      </c>
      <c r="F781" s="1137" t="e">
        <f t="shared" si="40"/>
        <v>#REF!</v>
      </c>
      <c r="G781" s="522"/>
      <c r="I781" s="962"/>
    </row>
    <row r="782" spans="1:9" ht="39.6">
      <c r="A782" s="1079">
        <v>6</v>
      </c>
      <c r="B782" s="1090" t="s">
        <v>3625</v>
      </c>
      <c r="C782" s="1192" t="s">
        <v>150</v>
      </c>
      <c r="D782" s="1193">
        <v>1</v>
      </c>
      <c r="E782" s="1137" t="e">
        <f>+#REF!</f>
        <v>#REF!</v>
      </c>
      <c r="F782" s="1138" t="e">
        <f t="shared" si="40"/>
        <v>#REF!</v>
      </c>
      <c r="G782" s="522"/>
      <c r="I782" s="962"/>
    </row>
    <row r="783" spans="1:9" ht="105.6">
      <c r="A783" s="1079">
        <v>7</v>
      </c>
      <c r="B783" s="1090" t="s">
        <v>3648</v>
      </c>
      <c r="C783" s="1192" t="s">
        <v>94</v>
      </c>
      <c r="D783" s="1193">
        <v>30</v>
      </c>
      <c r="E783" s="1137" t="e">
        <f>+#REF!</f>
        <v>#REF!</v>
      </c>
      <c r="F783" s="1137" t="e">
        <f t="shared" si="40"/>
        <v>#REF!</v>
      </c>
      <c r="G783" s="522"/>
      <c r="I783" s="962"/>
    </row>
    <row r="784" spans="1:9" ht="145.19999999999999">
      <c r="A784" s="1079">
        <v>8</v>
      </c>
      <c r="B784" s="1090" t="s">
        <v>3718</v>
      </c>
      <c r="C784" s="1192" t="s">
        <v>150</v>
      </c>
      <c r="D784" s="1193">
        <v>1</v>
      </c>
      <c r="E784" s="1137" t="e">
        <f>+#REF!</f>
        <v>#REF!</v>
      </c>
      <c r="F784" s="1137" t="e">
        <f t="shared" si="40"/>
        <v>#REF!</v>
      </c>
      <c r="G784" s="522"/>
      <c r="I784" s="962"/>
    </row>
    <row r="785" spans="1:9" ht="66">
      <c r="A785" s="1079">
        <v>9</v>
      </c>
      <c r="B785" s="1090" t="s">
        <v>3825</v>
      </c>
      <c r="C785" s="1192" t="s">
        <v>150</v>
      </c>
      <c r="D785" s="1193">
        <v>1</v>
      </c>
      <c r="E785" s="1137" t="e">
        <f>+#REF!</f>
        <v>#REF!</v>
      </c>
      <c r="F785" s="1138" t="e">
        <f t="shared" si="40"/>
        <v>#REF!</v>
      </c>
      <c r="G785" s="522"/>
      <c r="I785" s="962"/>
    </row>
    <row r="786" spans="1:9" ht="105.6">
      <c r="A786" s="1079">
        <v>10</v>
      </c>
      <c r="B786" s="1090" t="s">
        <v>3676</v>
      </c>
      <c r="C786" s="1192" t="s">
        <v>150</v>
      </c>
      <c r="D786" s="1193">
        <v>2</v>
      </c>
      <c r="E786" s="1137" t="e">
        <f>+#REF!</f>
        <v>#REF!</v>
      </c>
      <c r="F786" s="1138" t="e">
        <f t="shared" si="40"/>
        <v>#REF!</v>
      </c>
      <c r="G786" s="522"/>
      <c r="I786" s="962"/>
    </row>
    <row r="787" spans="1:9" ht="66">
      <c r="A787" s="1079">
        <v>11</v>
      </c>
      <c r="B787" s="1090" t="s">
        <v>3683</v>
      </c>
      <c r="C787" s="1192" t="s">
        <v>150</v>
      </c>
      <c r="D787" s="1193">
        <v>2</v>
      </c>
      <c r="E787" s="1137" t="e">
        <f>+#REF!</f>
        <v>#REF!</v>
      </c>
      <c r="F787" s="1138" t="e">
        <f t="shared" si="40"/>
        <v>#REF!</v>
      </c>
      <c r="G787" s="522"/>
      <c r="I787" s="962"/>
    </row>
    <row r="788" spans="1:9" ht="66">
      <c r="A788" s="1079">
        <v>12</v>
      </c>
      <c r="B788" s="1090" t="s">
        <v>3686</v>
      </c>
      <c r="C788" s="1192" t="s">
        <v>150</v>
      </c>
      <c r="D788" s="1193">
        <v>2</v>
      </c>
      <c r="E788" s="1137" t="e">
        <f>+#REF!</f>
        <v>#REF!</v>
      </c>
      <c r="F788" s="1138" t="e">
        <f t="shared" si="40"/>
        <v>#REF!</v>
      </c>
      <c r="G788" s="522"/>
      <c r="I788" s="962"/>
    </row>
    <row r="789" spans="1:9" ht="66">
      <c r="A789" s="1079">
        <v>13</v>
      </c>
      <c r="B789" s="1090" t="s">
        <v>3689</v>
      </c>
      <c r="C789" s="1192" t="s">
        <v>150</v>
      </c>
      <c r="D789" s="1193">
        <v>1</v>
      </c>
      <c r="E789" s="1137" t="e">
        <f>+#REF!</f>
        <v>#REF!</v>
      </c>
      <c r="F789" s="1138" t="e">
        <f t="shared" si="40"/>
        <v>#REF!</v>
      </c>
      <c r="G789" s="522"/>
      <c r="I789" s="962"/>
    </row>
    <row r="790" spans="1:9" ht="52.8">
      <c r="A790" s="1079">
        <v>14</v>
      </c>
      <c r="B790" s="1090" t="s">
        <v>3691</v>
      </c>
      <c r="C790" s="1192" t="s">
        <v>150</v>
      </c>
      <c r="D790" s="1193">
        <v>1</v>
      </c>
      <c r="E790" s="1137" t="e">
        <f>+#REF!</f>
        <v>#REF!</v>
      </c>
      <c r="F790" s="1138" t="e">
        <f t="shared" si="40"/>
        <v>#REF!</v>
      </c>
      <c r="G790" s="522"/>
      <c r="I790" s="962"/>
    </row>
    <row r="791" spans="1:9" ht="39.6">
      <c r="A791" s="1079">
        <v>15</v>
      </c>
      <c r="B791" s="1090" t="s">
        <v>3827</v>
      </c>
      <c r="C791" s="1192" t="s">
        <v>150</v>
      </c>
      <c r="D791" s="1193">
        <v>1</v>
      </c>
      <c r="E791" s="1137" t="e">
        <f>+#REF!</f>
        <v>#REF!</v>
      </c>
      <c r="F791" s="1138" t="e">
        <f t="shared" si="40"/>
        <v>#REF!</v>
      </c>
      <c r="G791" s="522"/>
      <c r="I791" s="962"/>
    </row>
    <row r="792" spans="1:9" ht="26.4">
      <c r="A792" s="1079">
        <v>16</v>
      </c>
      <c r="B792" s="1090" t="s">
        <v>3696</v>
      </c>
      <c r="C792" s="1192" t="s">
        <v>150</v>
      </c>
      <c r="D792" s="1193">
        <v>2</v>
      </c>
      <c r="E792" s="1137" t="e">
        <f>+#REF!</f>
        <v>#REF!</v>
      </c>
      <c r="F792" s="1138" t="e">
        <f t="shared" si="40"/>
        <v>#REF!</v>
      </c>
      <c r="G792" s="522"/>
      <c r="I792" s="962"/>
    </row>
    <row r="793" spans="1:9" ht="26.4">
      <c r="A793" s="1079">
        <v>17</v>
      </c>
      <c r="B793" s="1090" t="s">
        <v>3705</v>
      </c>
      <c r="C793" s="1192" t="s">
        <v>150</v>
      </c>
      <c r="D793" s="1193">
        <v>2</v>
      </c>
      <c r="E793" s="1137" t="e">
        <f>+#REF!</f>
        <v>#REF!</v>
      </c>
      <c r="F793" s="1138" t="e">
        <f t="shared" si="40"/>
        <v>#REF!</v>
      </c>
      <c r="G793" s="522"/>
      <c r="I793" s="962"/>
    </row>
    <row r="794" spans="1:9" ht="26.4">
      <c r="A794" s="1079">
        <v>18</v>
      </c>
      <c r="B794" s="1090" t="s">
        <v>3828</v>
      </c>
      <c r="C794" s="1192" t="s">
        <v>150</v>
      </c>
      <c r="D794" s="1193">
        <v>1</v>
      </c>
      <c r="E794" s="1137" t="e">
        <f>+#REF!</f>
        <v>#REF!</v>
      </c>
      <c r="F794" s="1138" t="e">
        <f t="shared" si="40"/>
        <v>#REF!</v>
      </c>
      <c r="G794" s="522"/>
      <c r="I794" s="962"/>
    </row>
    <row r="795" spans="1:9" ht="26.4">
      <c r="A795" s="1079">
        <v>19</v>
      </c>
      <c r="B795" s="1090" t="s">
        <v>3710</v>
      </c>
      <c r="C795" s="1192" t="s">
        <v>150</v>
      </c>
      <c r="D795" s="1193">
        <v>2</v>
      </c>
      <c r="E795" s="1137" t="e">
        <f>+#REF!</f>
        <v>#REF!</v>
      </c>
      <c r="F795" s="1138" t="e">
        <f t="shared" si="40"/>
        <v>#REF!</v>
      </c>
      <c r="G795" s="522"/>
      <c r="I795" s="962"/>
    </row>
    <row r="796" spans="1:9" ht="105.6">
      <c r="A796" s="1079">
        <v>20</v>
      </c>
      <c r="B796" s="1090" t="s">
        <v>3829</v>
      </c>
      <c r="C796" s="1192" t="s">
        <v>150</v>
      </c>
      <c r="D796" s="1193">
        <v>1</v>
      </c>
      <c r="E796" s="1137" t="e">
        <f>+#REF!</f>
        <v>#REF!</v>
      </c>
      <c r="F796" s="1137" t="e">
        <f t="shared" si="40"/>
        <v>#REF!</v>
      </c>
      <c r="G796" s="522"/>
      <c r="I796" s="962"/>
    </row>
    <row r="797" spans="1:9" ht="52.8">
      <c r="A797" s="1079">
        <v>21</v>
      </c>
      <c r="B797" s="1090" t="s">
        <v>3830</v>
      </c>
      <c r="C797" s="1192" t="s">
        <v>150</v>
      </c>
      <c r="D797" s="1193">
        <v>1</v>
      </c>
      <c r="E797" s="1137" t="e">
        <f>+#REF!</f>
        <v>#REF!</v>
      </c>
      <c r="F797" s="1137" t="e">
        <f t="shared" si="40"/>
        <v>#REF!</v>
      </c>
      <c r="G797" s="522"/>
      <c r="I797" s="962"/>
    </row>
    <row r="798" spans="1:9" ht="132">
      <c r="A798" s="1079">
        <v>22</v>
      </c>
      <c r="B798" s="1090" t="s">
        <v>3831</v>
      </c>
      <c r="C798" s="1192" t="s">
        <v>150</v>
      </c>
      <c r="D798" s="1193">
        <v>1</v>
      </c>
      <c r="E798" s="1137" t="e">
        <f>+#REF!</f>
        <v>#REF!</v>
      </c>
      <c r="F798" s="1137" t="e">
        <f t="shared" si="40"/>
        <v>#REF!</v>
      </c>
      <c r="G798" s="522"/>
      <c r="I798" s="962"/>
    </row>
    <row r="799" spans="1:9" s="966" customFormat="1" ht="23.25" customHeight="1">
      <c r="A799" s="1065"/>
      <c r="B799" s="1066" t="s">
        <v>3832</v>
      </c>
      <c r="C799" s="1218"/>
      <c r="D799" s="1219"/>
      <c r="E799" s="1184" t="e">
        <f>+#REF!</f>
        <v>#REF!</v>
      </c>
      <c r="F799" s="1184" t="e">
        <f>+SUM(F800:F812)</f>
        <v>#REF!</v>
      </c>
      <c r="G799" s="965"/>
      <c r="H799" s="1111"/>
      <c r="I799" s="962"/>
    </row>
    <row r="800" spans="1:9" ht="39.6">
      <c r="A800" s="1079">
        <v>23</v>
      </c>
      <c r="B800" s="1090" t="s">
        <v>3727</v>
      </c>
      <c r="C800" s="1192" t="s">
        <v>150</v>
      </c>
      <c r="D800" s="1193">
        <v>1</v>
      </c>
      <c r="E800" s="1137" t="e">
        <f>+#REF!</f>
        <v>#REF!</v>
      </c>
      <c r="F800" s="1138" t="e">
        <f t="shared" si="40"/>
        <v>#REF!</v>
      </c>
      <c r="G800" s="522"/>
      <c r="I800" s="962"/>
    </row>
    <row r="801" spans="1:16" ht="26.4">
      <c r="A801" s="1079">
        <v>24</v>
      </c>
      <c r="B801" s="1090" t="s">
        <v>3728</v>
      </c>
      <c r="C801" s="1192" t="s">
        <v>150</v>
      </c>
      <c r="D801" s="1193">
        <v>6</v>
      </c>
      <c r="E801" s="1137" t="e">
        <f>+#REF!</f>
        <v>#REF!</v>
      </c>
      <c r="F801" s="1138" t="e">
        <f t="shared" si="40"/>
        <v>#REF!</v>
      </c>
      <c r="G801" s="522"/>
      <c r="I801" s="962"/>
    </row>
    <row r="802" spans="1:16" ht="26.4">
      <c r="A802" s="1079">
        <v>25</v>
      </c>
      <c r="B802" s="1090" t="s">
        <v>3730</v>
      </c>
      <c r="C802" s="1192" t="s">
        <v>150</v>
      </c>
      <c r="D802" s="1193">
        <v>6</v>
      </c>
      <c r="E802" s="1137" t="e">
        <f>+#REF!</f>
        <v>#REF!</v>
      </c>
      <c r="F802" s="1138" t="e">
        <f t="shared" si="40"/>
        <v>#REF!</v>
      </c>
      <c r="G802" s="522"/>
      <c r="I802" s="962"/>
    </row>
    <row r="803" spans="1:16">
      <c r="A803" s="1079">
        <v>26</v>
      </c>
      <c r="B803" s="1090" t="s">
        <v>3732</v>
      </c>
      <c r="C803" s="1192" t="s">
        <v>150</v>
      </c>
      <c r="D803" s="1193">
        <v>7</v>
      </c>
      <c r="E803" s="1137" t="e">
        <f>+#REF!</f>
        <v>#REF!</v>
      </c>
      <c r="F803" s="1138" t="e">
        <f t="shared" si="40"/>
        <v>#REF!</v>
      </c>
      <c r="G803" s="522"/>
      <c r="I803" s="962"/>
    </row>
    <row r="804" spans="1:16" ht="39.6">
      <c r="A804" s="1079">
        <v>27</v>
      </c>
      <c r="B804" s="1090" t="s">
        <v>3733</v>
      </c>
      <c r="C804" s="1192" t="s">
        <v>94</v>
      </c>
      <c r="D804" s="1193">
        <v>180</v>
      </c>
      <c r="E804" s="1137" t="e">
        <f>+#REF!</f>
        <v>#REF!</v>
      </c>
      <c r="F804" s="1138" t="e">
        <f t="shared" si="40"/>
        <v>#REF!</v>
      </c>
      <c r="G804" s="522"/>
      <c r="I804" s="962"/>
    </row>
    <row r="805" spans="1:16" ht="26.4">
      <c r="A805" s="1079">
        <v>28</v>
      </c>
      <c r="B805" s="1090" t="s">
        <v>3735</v>
      </c>
      <c r="C805" s="1192" t="s">
        <v>150</v>
      </c>
      <c r="D805" s="1193">
        <v>6</v>
      </c>
      <c r="E805" s="1137" t="e">
        <f>+#REF!</f>
        <v>#REF!</v>
      </c>
      <c r="F805" s="1138" t="e">
        <f t="shared" si="40"/>
        <v>#REF!</v>
      </c>
      <c r="G805" s="522"/>
      <c r="I805" s="962"/>
      <c r="J805" s="1089"/>
    </row>
    <row r="806" spans="1:16" ht="39.6">
      <c r="A806" s="1079">
        <v>29</v>
      </c>
      <c r="B806" s="1090" t="s">
        <v>3737</v>
      </c>
      <c r="C806" s="1192" t="s">
        <v>150</v>
      </c>
      <c r="D806" s="1193">
        <v>2</v>
      </c>
      <c r="E806" s="1137" t="e">
        <f>+#REF!</f>
        <v>#REF!</v>
      </c>
      <c r="F806" s="1138" t="e">
        <f t="shared" si="40"/>
        <v>#REF!</v>
      </c>
      <c r="G806" s="522"/>
      <c r="I806" s="962"/>
    </row>
    <row r="807" spans="1:16" ht="52.8">
      <c r="A807" s="1079">
        <v>30</v>
      </c>
      <c r="B807" s="1090" t="s">
        <v>3738</v>
      </c>
      <c r="C807" s="1192" t="s">
        <v>150</v>
      </c>
      <c r="D807" s="1193">
        <v>6</v>
      </c>
      <c r="E807" s="1137" t="e">
        <f>+#REF!</f>
        <v>#REF!</v>
      </c>
      <c r="F807" s="1138" t="e">
        <f t="shared" si="40"/>
        <v>#REF!</v>
      </c>
      <c r="G807" s="522"/>
      <c r="I807" s="962"/>
    </row>
    <row r="808" spans="1:16" ht="39.6">
      <c r="A808" s="1079">
        <v>31</v>
      </c>
      <c r="B808" s="1090" t="s">
        <v>3740</v>
      </c>
      <c r="C808" s="1192" t="s">
        <v>150</v>
      </c>
      <c r="D808" s="1193">
        <v>3</v>
      </c>
      <c r="E808" s="1137" t="e">
        <f>+#REF!</f>
        <v>#REF!</v>
      </c>
      <c r="F808" s="1138" t="e">
        <f t="shared" si="40"/>
        <v>#REF!</v>
      </c>
      <c r="G808" s="522"/>
      <c r="I808" s="962"/>
    </row>
    <row r="809" spans="1:16" ht="52.8">
      <c r="A809" s="1079">
        <v>32</v>
      </c>
      <c r="B809" s="1090" t="s">
        <v>3742</v>
      </c>
      <c r="C809" s="1192" t="s">
        <v>150</v>
      </c>
      <c r="D809" s="1193">
        <v>13</v>
      </c>
      <c r="E809" s="1137" t="e">
        <f>+#REF!</f>
        <v>#REF!</v>
      </c>
      <c r="F809" s="1138" t="e">
        <f t="shared" si="40"/>
        <v>#REF!</v>
      </c>
      <c r="G809" s="522"/>
      <c r="I809" s="962"/>
    </row>
    <row r="810" spans="1:16" ht="39.6">
      <c r="A810" s="1079">
        <v>33</v>
      </c>
      <c r="B810" s="1090" t="s">
        <v>3744</v>
      </c>
      <c r="C810" s="1192" t="s">
        <v>150</v>
      </c>
      <c r="D810" s="1193">
        <v>5</v>
      </c>
      <c r="E810" s="1137" t="e">
        <f>+#REF!</f>
        <v>#REF!</v>
      </c>
      <c r="F810" s="1138" t="e">
        <f t="shared" si="40"/>
        <v>#REF!</v>
      </c>
      <c r="G810" s="522"/>
      <c r="I810" s="962"/>
    </row>
    <row r="811" spans="1:16" ht="39.6">
      <c r="A811" s="1079">
        <v>34</v>
      </c>
      <c r="B811" s="1090" t="s">
        <v>3833</v>
      </c>
      <c r="C811" s="1192" t="s">
        <v>150</v>
      </c>
      <c r="D811" s="1193">
        <v>1</v>
      </c>
      <c r="E811" s="1137" t="e">
        <f>+#REF!</f>
        <v>#REF!</v>
      </c>
      <c r="F811" s="1138" t="e">
        <f t="shared" si="40"/>
        <v>#REF!</v>
      </c>
      <c r="G811" s="522"/>
      <c r="I811" s="962"/>
    </row>
    <row r="812" spans="1:16" ht="40.200000000000003" thickBot="1">
      <c r="A812" s="1079">
        <v>35</v>
      </c>
      <c r="B812" s="1090" t="s">
        <v>3834</v>
      </c>
      <c r="C812" s="1192" t="s">
        <v>150</v>
      </c>
      <c r="D812" s="1193">
        <v>6</v>
      </c>
      <c r="E812" s="1137" t="e">
        <f>+#REF!</f>
        <v>#REF!</v>
      </c>
      <c r="F812" s="1138" t="e">
        <f t="shared" si="40"/>
        <v>#REF!</v>
      </c>
      <c r="G812" s="522"/>
      <c r="I812" s="962"/>
    </row>
    <row r="813" spans="1:16" s="963" customFormat="1" ht="30.75" customHeight="1" thickBot="1">
      <c r="A813" s="3748" t="s">
        <v>4294</v>
      </c>
      <c r="B813" s="3749"/>
      <c r="C813" s="3749"/>
      <c r="D813" s="3749"/>
      <c r="E813" s="3750"/>
      <c r="F813" s="1067" t="e">
        <f>+SUM(F800:F812,F777:F798)</f>
        <v>#REF!</v>
      </c>
      <c r="G813" s="962"/>
      <c r="H813" s="1106"/>
      <c r="I813" s="962"/>
    </row>
    <row r="814" spans="1:16" s="3709" customFormat="1" ht="30.75" customHeight="1" thickBot="1"/>
    <row r="815" spans="1:16" s="247" customFormat="1" ht="15" customHeight="1" thickBot="1">
      <c r="A815" s="3788" t="s">
        <v>4255</v>
      </c>
      <c r="B815" s="3789"/>
      <c r="C815" s="3789"/>
      <c r="D815" s="3789"/>
      <c r="E815" s="3789"/>
      <c r="F815" s="3789"/>
      <c r="G815" s="522"/>
      <c r="H815" s="1109"/>
      <c r="I815" s="255"/>
      <c r="J815" s="256"/>
      <c r="K815" s="256"/>
      <c r="L815" s="255"/>
      <c r="M815" s="255"/>
      <c r="N815" s="255"/>
      <c r="O815" s="255"/>
      <c r="P815" s="255"/>
    </row>
    <row r="816" spans="1:16">
      <c r="A816" s="1113" t="s">
        <v>1180</v>
      </c>
      <c r="B816" s="1098" t="s">
        <v>1128</v>
      </c>
      <c r="C816" s="1220"/>
      <c r="D816" s="1216"/>
      <c r="E816" s="1179"/>
      <c r="F816" s="1179">
        <f>+SUM(F817:F824)</f>
        <v>837070460</v>
      </c>
      <c r="G816" s="522"/>
      <c r="I816" s="522"/>
    </row>
    <row r="817" spans="1:9">
      <c r="A817" s="514" t="s">
        <v>1181</v>
      </c>
      <c r="B817" s="518" t="s">
        <v>4329</v>
      </c>
      <c r="C817" s="1200" t="s">
        <v>94</v>
      </c>
      <c r="D817" s="1201">
        <v>545.58000000000004</v>
      </c>
      <c r="E817" s="1143">
        <f>+'LINEAS IMPULSIÓN-CONDUCCIÓN'!E129</f>
        <v>149428</v>
      </c>
      <c r="F817" s="1143">
        <f>+ROUND(E817*D817,0)</f>
        <v>81524928</v>
      </c>
      <c r="G817" s="522"/>
      <c r="I817" s="522"/>
    </row>
    <row r="818" spans="1:9">
      <c r="A818" s="514" t="s">
        <v>1182</v>
      </c>
      <c r="B818" s="518" t="s">
        <v>1188</v>
      </c>
      <c r="C818" s="1200" t="s">
        <v>94</v>
      </c>
      <c r="D818" s="1201">
        <v>3295.64</v>
      </c>
      <c r="E818" s="1143">
        <f>+'LINEAS IMPULSIÓN-CONDUCCIÓN'!E130</f>
        <v>80327</v>
      </c>
      <c r="F818" s="1143">
        <f t="shared" ref="F818:F824" si="41">+ROUND(E818*D818,0)</f>
        <v>264728874</v>
      </c>
      <c r="G818" s="522"/>
      <c r="I818" s="522"/>
    </row>
    <row r="819" spans="1:9">
      <c r="A819" s="514" t="s">
        <v>1183</v>
      </c>
      <c r="B819" s="518" t="s">
        <v>1189</v>
      </c>
      <c r="C819" s="1200" t="s">
        <v>94</v>
      </c>
      <c r="D819" s="1201">
        <v>6526.880000000001</v>
      </c>
      <c r="E819" s="1143">
        <f>+'LINEAS IMPULSIÓN-CONDUCCIÓN'!E131</f>
        <v>71493</v>
      </c>
      <c r="F819" s="1143">
        <f t="shared" si="41"/>
        <v>466626232</v>
      </c>
      <c r="G819" s="522"/>
      <c r="I819" s="522"/>
    </row>
    <row r="820" spans="1:9">
      <c r="A820" s="514" t="s">
        <v>1184</v>
      </c>
      <c r="B820" s="518" t="s">
        <v>1190</v>
      </c>
      <c r="C820" s="1200" t="s">
        <v>133</v>
      </c>
      <c r="D820" s="1201">
        <v>7</v>
      </c>
      <c r="E820" s="1143">
        <f>+'LINEAS IMPULSIÓN-CONDUCCIÓN'!E136</f>
        <v>128159.43</v>
      </c>
      <c r="F820" s="1143">
        <f t="shared" si="41"/>
        <v>897116</v>
      </c>
      <c r="G820" s="522"/>
      <c r="I820" s="522"/>
    </row>
    <row r="821" spans="1:9" ht="66">
      <c r="A821" s="514" t="s">
        <v>1185</v>
      </c>
      <c r="B821" s="518" t="s">
        <v>1192</v>
      </c>
      <c r="C821" s="1194" t="s">
        <v>133</v>
      </c>
      <c r="D821" s="1195">
        <v>10</v>
      </c>
      <c r="E821" s="1140">
        <f>+'LINEAS IMPULSIÓN-CONDUCCIÓN'!E139</f>
        <v>565450</v>
      </c>
      <c r="F821" s="1143">
        <f t="shared" si="41"/>
        <v>5654500</v>
      </c>
      <c r="G821" s="522"/>
      <c r="I821" s="522"/>
    </row>
    <row r="822" spans="1:9" ht="52.8">
      <c r="A822" s="514" t="s">
        <v>1186</v>
      </c>
      <c r="B822" s="518" t="s">
        <v>1195</v>
      </c>
      <c r="C822" s="1194" t="s">
        <v>133</v>
      </c>
      <c r="D822" s="1195">
        <v>9</v>
      </c>
      <c r="E822" s="1140">
        <f>+'LINEAS IMPULSIÓN-CONDUCCIÓN'!E140</f>
        <v>442220</v>
      </c>
      <c r="F822" s="1143">
        <f t="shared" si="41"/>
        <v>3979980</v>
      </c>
      <c r="G822" s="522"/>
      <c r="I822" s="522"/>
    </row>
    <row r="823" spans="1:9" ht="26.4">
      <c r="A823" s="514" t="s">
        <v>1194</v>
      </c>
      <c r="B823" s="518" t="s">
        <v>1197</v>
      </c>
      <c r="C823" s="1194" t="s">
        <v>133</v>
      </c>
      <c r="D823" s="1195">
        <v>2</v>
      </c>
      <c r="E823" s="1140">
        <f>+'LINEAS IMPULSIÓN-CONDUCCIÓN'!E141</f>
        <v>1063925</v>
      </c>
      <c r="F823" s="1143">
        <f t="shared" si="41"/>
        <v>2127850</v>
      </c>
      <c r="G823" s="522"/>
      <c r="I823" s="522"/>
    </row>
    <row r="824" spans="1:9">
      <c r="A824" s="514" t="s">
        <v>1305</v>
      </c>
      <c r="B824" s="518" t="s">
        <v>1304</v>
      </c>
      <c r="C824" s="1194" t="s">
        <v>133</v>
      </c>
      <c r="D824" s="1195">
        <v>2</v>
      </c>
      <c r="E824" s="1140">
        <f>+'LINEAS IMPULSIÓN-CONDUCCIÓN'!E142</f>
        <v>5765490.1099999994</v>
      </c>
      <c r="F824" s="1143">
        <f t="shared" si="41"/>
        <v>11530980</v>
      </c>
      <c r="G824" s="522"/>
      <c r="I824" s="522"/>
    </row>
    <row r="825" spans="1:9" ht="14.4" thickBot="1">
      <c r="A825" s="942"/>
      <c r="B825" s="945"/>
      <c r="C825" s="1202"/>
      <c r="D825" s="1203"/>
      <c r="E825" s="1148"/>
      <c r="F825" s="1148"/>
      <c r="G825" s="522"/>
      <c r="I825" s="522"/>
    </row>
    <row r="826" spans="1:9" s="963" customFormat="1" ht="18" customHeight="1" thickBot="1">
      <c r="A826" s="3751" t="s">
        <v>4319</v>
      </c>
      <c r="B826" s="3752"/>
      <c r="C826" s="3752"/>
      <c r="D826" s="3752"/>
      <c r="E826" s="3753"/>
      <c r="F826" s="1185">
        <f>+SUM(F817:F824)</f>
        <v>837070460</v>
      </c>
      <c r="G826" s="962"/>
      <c r="H826" s="1106"/>
      <c r="I826" s="522"/>
    </row>
    <row r="827" spans="1:9" s="963" customFormat="1" ht="18" customHeight="1" thickBot="1">
      <c r="A827" s="3707"/>
      <c r="B827" s="3708"/>
      <c r="C827" s="3708"/>
      <c r="D827" s="3708"/>
      <c r="E827" s="3708"/>
      <c r="F827" s="3708"/>
      <c r="G827" s="962"/>
      <c r="H827" s="1106"/>
    </row>
    <row r="828" spans="1:9" ht="19.5" customHeight="1" thickBot="1">
      <c r="A828" s="3723" t="s">
        <v>4320</v>
      </c>
      <c r="B828" s="3724"/>
      <c r="C828" s="3724"/>
      <c r="D828" s="3724"/>
      <c r="E828" s="3724"/>
      <c r="F828" s="3724"/>
      <c r="G828" s="522"/>
    </row>
    <row r="829" spans="1:9" ht="13.2">
      <c r="A829" s="3799" t="s">
        <v>4193</v>
      </c>
      <c r="B829" s="3800"/>
      <c r="C829" s="3800"/>
      <c r="D829" s="3800"/>
      <c r="E829" s="3800"/>
      <c r="F829" s="3801"/>
      <c r="G829" s="522"/>
    </row>
    <row r="830" spans="1:9" s="963" customFormat="1">
      <c r="A830" s="1099" t="s">
        <v>4194</v>
      </c>
      <c r="B830" s="1100" t="s">
        <v>1475</v>
      </c>
      <c r="C830" s="1217"/>
      <c r="D830" s="1180"/>
      <c r="E830" s="1180"/>
      <c r="F830" s="1181">
        <f>+SUM(F831)</f>
        <v>3435750</v>
      </c>
      <c r="G830" s="962"/>
      <c r="H830" s="1106"/>
      <c r="I830" s="962"/>
    </row>
    <row r="831" spans="1:9">
      <c r="A831" s="519" t="s">
        <v>4195</v>
      </c>
      <c r="B831" s="520" t="s">
        <v>1477</v>
      </c>
      <c r="C831" s="1201" t="s">
        <v>94</v>
      </c>
      <c r="D831" s="1143">
        <v>90</v>
      </c>
      <c r="E831" s="1143">
        <f>+' TANQUE PATAGONIA'!F61</f>
        <v>38175</v>
      </c>
      <c r="F831" s="1151">
        <f>ROUND(+E831*D831,0)</f>
        <v>3435750</v>
      </c>
      <c r="G831" s="522"/>
      <c r="I831" s="962"/>
    </row>
    <row r="832" spans="1:9" s="963" customFormat="1" ht="26.4">
      <c r="A832" s="1099" t="s">
        <v>4196</v>
      </c>
      <c r="B832" s="1100" t="s">
        <v>1479</v>
      </c>
      <c r="C832" s="1217"/>
      <c r="D832" s="1180"/>
      <c r="E832" s="1180" t="e">
        <f>+' TANQUE PATAGONIA'!#REF!</f>
        <v>#REF!</v>
      </c>
      <c r="F832" s="1181" t="e">
        <f>+SUM(F833:F850)</f>
        <v>#REF!</v>
      </c>
      <c r="G832" s="962"/>
      <c r="H832" s="1106"/>
      <c r="I832" s="962"/>
    </row>
    <row r="833" spans="1:9">
      <c r="A833" s="519" t="s">
        <v>4197</v>
      </c>
      <c r="B833" s="520" t="s">
        <v>1481</v>
      </c>
      <c r="C833" s="1201" t="s">
        <v>363</v>
      </c>
      <c r="D833" s="1143">
        <v>1</v>
      </c>
      <c r="E833" s="1143" t="e">
        <f>+' TANQUE PATAGONIA'!#REF!</f>
        <v>#REF!</v>
      </c>
      <c r="F833" s="1151" t="e">
        <f t="shared" ref="F833:F850" si="42">ROUND(+E833*D833,0)</f>
        <v>#REF!</v>
      </c>
      <c r="G833" s="522"/>
      <c r="I833" s="962"/>
    </row>
    <row r="834" spans="1:9">
      <c r="A834" s="519" t="s">
        <v>4198</v>
      </c>
      <c r="B834" s="520" t="s">
        <v>1483</v>
      </c>
      <c r="C834" s="1201" t="s">
        <v>363</v>
      </c>
      <c r="D834" s="1143">
        <v>7</v>
      </c>
      <c r="E834" s="1143" t="e">
        <f>+' TANQUE PATAGONIA'!#REF!</f>
        <v>#REF!</v>
      </c>
      <c r="F834" s="1151" t="e">
        <f t="shared" si="42"/>
        <v>#REF!</v>
      </c>
      <c r="G834" s="522"/>
      <c r="I834" s="962"/>
    </row>
    <row r="835" spans="1:9">
      <c r="A835" s="519" t="s">
        <v>4199</v>
      </c>
      <c r="B835" s="520" t="s">
        <v>1485</v>
      </c>
      <c r="C835" s="1201" t="s">
        <v>363</v>
      </c>
      <c r="D835" s="1143">
        <v>3</v>
      </c>
      <c r="E835" s="1143" t="e">
        <f>+' TANQUE PATAGONIA'!#REF!</f>
        <v>#REF!</v>
      </c>
      <c r="F835" s="1151" t="e">
        <f t="shared" si="42"/>
        <v>#REF!</v>
      </c>
      <c r="G835" s="522"/>
      <c r="I835" s="962"/>
    </row>
    <row r="836" spans="1:9">
      <c r="A836" s="519" t="s">
        <v>4200</v>
      </c>
      <c r="B836" s="520" t="s">
        <v>1487</v>
      </c>
      <c r="C836" s="1201" t="s">
        <v>363</v>
      </c>
      <c r="D836" s="1143">
        <v>10</v>
      </c>
      <c r="E836" s="1143" t="e">
        <f>+' TANQUE PATAGONIA'!#REF!</f>
        <v>#REF!</v>
      </c>
      <c r="F836" s="1151" t="e">
        <f t="shared" si="42"/>
        <v>#REF!</v>
      </c>
      <c r="G836" s="522"/>
      <c r="I836" s="962"/>
    </row>
    <row r="837" spans="1:9">
      <c r="A837" s="519" t="s">
        <v>4201</v>
      </c>
      <c r="B837" s="520" t="s">
        <v>1489</v>
      </c>
      <c r="C837" s="1201" t="s">
        <v>363</v>
      </c>
      <c r="D837" s="1143">
        <v>2</v>
      </c>
      <c r="E837" s="1143" t="e">
        <f>+' TANQUE PATAGONIA'!#REF!</f>
        <v>#REF!</v>
      </c>
      <c r="F837" s="1151" t="e">
        <f t="shared" si="42"/>
        <v>#REF!</v>
      </c>
      <c r="G837" s="522"/>
      <c r="I837" s="962"/>
    </row>
    <row r="838" spans="1:9">
      <c r="A838" s="519" t="s">
        <v>4202</v>
      </c>
      <c r="B838" s="520" t="s">
        <v>1491</v>
      </c>
      <c r="C838" s="1201" t="s">
        <v>363</v>
      </c>
      <c r="D838" s="1143">
        <v>1</v>
      </c>
      <c r="E838" s="1143" t="e">
        <f>+' TANQUE PATAGONIA'!#REF!</f>
        <v>#REF!</v>
      </c>
      <c r="F838" s="1151" t="e">
        <f t="shared" si="42"/>
        <v>#REF!</v>
      </c>
      <c r="G838" s="522"/>
      <c r="I838" s="962"/>
    </row>
    <row r="839" spans="1:9">
      <c r="A839" s="519" t="s">
        <v>4203</v>
      </c>
      <c r="B839" s="520" t="s">
        <v>1493</v>
      </c>
      <c r="C839" s="1201" t="s">
        <v>363</v>
      </c>
      <c r="D839" s="1143">
        <v>2</v>
      </c>
      <c r="E839" s="1143" t="e">
        <f>+' TANQUE PATAGONIA'!#REF!</f>
        <v>#REF!</v>
      </c>
      <c r="F839" s="1151" t="e">
        <f t="shared" si="42"/>
        <v>#REF!</v>
      </c>
      <c r="G839" s="522"/>
      <c r="I839" s="962"/>
    </row>
    <row r="840" spans="1:9">
      <c r="A840" s="519" t="s">
        <v>4204</v>
      </c>
      <c r="B840" s="520" t="s">
        <v>1495</v>
      </c>
      <c r="C840" s="1201" t="s">
        <v>363</v>
      </c>
      <c r="D840" s="1143">
        <v>8</v>
      </c>
      <c r="E840" s="1143" t="e">
        <f>+' TANQUE PATAGONIA'!#REF!</f>
        <v>#REF!</v>
      </c>
      <c r="F840" s="1151" t="e">
        <f t="shared" si="42"/>
        <v>#REF!</v>
      </c>
      <c r="G840" s="522"/>
      <c r="I840" s="962"/>
    </row>
    <row r="841" spans="1:9">
      <c r="A841" s="519" t="s">
        <v>4205</v>
      </c>
      <c r="B841" s="520" t="s">
        <v>1497</v>
      </c>
      <c r="C841" s="1201" t="s">
        <v>363</v>
      </c>
      <c r="D841" s="1143">
        <v>6</v>
      </c>
      <c r="E841" s="1143" t="e">
        <f>+' TANQUE PATAGONIA'!#REF!</f>
        <v>#REF!</v>
      </c>
      <c r="F841" s="1151" t="e">
        <f t="shared" si="42"/>
        <v>#REF!</v>
      </c>
      <c r="G841" s="522"/>
      <c r="I841" s="962"/>
    </row>
    <row r="842" spans="1:9">
      <c r="A842" s="519" t="s">
        <v>4206</v>
      </c>
      <c r="B842" s="520" t="s">
        <v>1499</v>
      </c>
      <c r="C842" s="1201" t="s">
        <v>363</v>
      </c>
      <c r="D842" s="1143">
        <v>2</v>
      </c>
      <c r="E842" s="1143" t="e">
        <f>+' TANQUE PATAGONIA'!#REF!</f>
        <v>#REF!</v>
      </c>
      <c r="F842" s="1151" t="e">
        <f t="shared" si="42"/>
        <v>#REF!</v>
      </c>
      <c r="G842" s="522"/>
      <c r="I842" s="962"/>
    </row>
    <row r="843" spans="1:9">
      <c r="A843" s="519" t="s">
        <v>4207</v>
      </c>
      <c r="B843" s="520" t="s">
        <v>1501</v>
      </c>
      <c r="C843" s="1201" t="s">
        <v>363</v>
      </c>
      <c r="D843" s="1143">
        <v>2</v>
      </c>
      <c r="E843" s="1143" t="e">
        <f>+' TANQUE PATAGONIA'!#REF!</f>
        <v>#REF!</v>
      </c>
      <c r="F843" s="1151" t="e">
        <f t="shared" si="42"/>
        <v>#REF!</v>
      </c>
      <c r="G843" s="522"/>
      <c r="I843" s="962"/>
    </row>
    <row r="844" spans="1:9">
      <c r="A844" s="519" t="s">
        <v>4208</v>
      </c>
      <c r="B844" s="520" t="s">
        <v>1503</v>
      </c>
      <c r="C844" s="1201" t="s">
        <v>363</v>
      </c>
      <c r="D844" s="1143">
        <v>2</v>
      </c>
      <c r="E844" s="1143" t="e">
        <f>+' TANQUE PATAGONIA'!#REF!</f>
        <v>#REF!</v>
      </c>
      <c r="F844" s="1151" t="e">
        <f t="shared" si="42"/>
        <v>#REF!</v>
      </c>
      <c r="G844" s="522"/>
      <c r="I844" s="962"/>
    </row>
    <row r="845" spans="1:9">
      <c r="A845" s="519" t="s">
        <v>4209</v>
      </c>
      <c r="B845" s="520" t="s">
        <v>1505</v>
      </c>
      <c r="C845" s="1201" t="s">
        <v>363</v>
      </c>
      <c r="D845" s="1143">
        <v>2</v>
      </c>
      <c r="E845" s="1143" t="e">
        <f>+' TANQUE PATAGONIA'!#REF!</f>
        <v>#REF!</v>
      </c>
      <c r="F845" s="1151" t="e">
        <f t="shared" si="42"/>
        <v>#REF!</v>
      </c>
      <c r="G845" s="522"/>
      <c r="I845" s="962"/>
    </row>
    <row r="846" spans="1:9">
      <c r="A846" s="519" t="s">
        <v>4210</v>
      </c>
      <c r="B846" s="520" t="s">
        <v>1507</v>
      </c>
      <c r="C846" s="1201" t="s">
        <v>94</v>
      </c>
      <c r="D846" s="1143">
        <v>120</v>
      </c>
      <c r="E846" s="1143" t="e">
        <f>+' TANQUE PATAGONIA'!#REF!</f>
        <v>#REF!</v>
      </c>
      <c r="F846" s="1151" t="e">
        <f t="shared" si="42"/>
        <v>#REF!</v>
      </c>
      <c r="G846" s="522"/>
      <c r="I846" s="962"/>
    </row>
    <row r="847" spans="1:9">
      <c r="A847" s="519" t="s">
        <v>4211</v>
      </c>
      <c r="B847" s="520" t="s">
        <v>1509</v>
      </c>
      <c r="C847" s="1201" t="s">
        <v>363</v>
      </c>
      <c r="D847" s="1143">
        <v>2</v>
      </c>
      <c r="E847" s="1143" t="e">
        <f>+' TANQUE PATAGONIA'!#REF!</f>
        <v>#REF!</v>
      </c>
      <c r="F847" s="1151" t="e">
        <f t="shared" si="42"/>
        <v>#REF!</v>
      </c>
      <c r="G847" s="522"/>
      <c r="I847" s="962"/>
    </row>
    <row r="848" spans="1:9">
      <c r="A848" s="519" t="s">
        <v>4212</v>
      </c>
      <c r="B848" s="520" t="s">
        <v>1511</v>
      </c>
      <c r="C848" s="1201" t="s">
        <v>363</v>
      </c>
      <c r="D848" s="1143">
        <v>2</v>
      </c>
      <c r="E848" s="1143" t="e">
        <f>+' TANQUE PATAGONIA'!#REF!</f>
        <v>#REF!</v>
      </c>
      <c r="F848" s="1151" t="e">
        <f t="shared" si="42"/>
        <v>#REF!</v>
      </c>
      <c r="G848" s="522"/>
      <c r="I848" s="962"/>
    </row>
    <row r="849" spans="1:9">
      <c r="A849" s="519" t="s">
        <v>4213</v>
      </c>
      <c r="B849" s="520" t="s">
        <v>1513</v>
      </c>
      <c r="C849" s="1201"/>
      <c r="D849" s="1143"/>
      <c r="E849" s="1143">
        <f>+' TANQUE PATAGONIA'!F65</f>
        <v>0</v>
      </c>
      <c r="F849" s="1151">
        <f t="shared" si="42"/>
        <v>0</v>
      </c>
      <c r="G849" s="522"/>
      <c r="I849" s="962"/>
    </row>
    <row r="850" spans="1:9" ht="40.200000000000003" thickBot="1">
      <c r="A850" s="519" t="s">
        <v>4214</v>
      </c>
      <c r="B850" s="520" t="s">
        <v>1517</v>
      </c>
      <c r="C850" s="1201" t="s">
        <v>133</v>
      </c>
      <c r="D850" s="1143">
        <v>1</v>
      </c>
      <c r="E850" s="1143">
        <f>+' TANQUE PATAGONIA'!F67</f>
        <v>5967660</v>
      </c>
      <c r="F850" s="1151">
        <f t="shared" si="42"/>
        <v>5967660</v>
      </c>
      <c r="G850" s="522"/>
      <c r="I850" s="962"/>
    </row>
    <row r="851" spans="1:9" s="963" customFormat="1" ht="19.5" customHeight="1" thickBot="1">
      <c r="A851" s="3802" t="s">
        <v>4321</v>
      </c>
      <c r="B851" s="3803"/>
      <c r="C851" s="3803"/>
      <c r="D851" s="3803"/>
      <c r="E851" s="3804"/>
      <c r="F851" s="1068" t="e">
        <f>+SUM(F833:F850,F831)</f>
        <v>#REF!</v>
      </c>
      <c r="G851" s="962"/>
      <c r="H851" s="1106"/>
      <c r="I851" s="962"/>
    </row>
    <row r="852" spans="1:9" s="44" customFormat="1" ht="18" customHeight="1" thickBot="1">
      <c r="A852" s="3706"/>
      <c r="B852" s="3706"/>
      <c r="C852" s="3706"/>
      <c r="D852" s="3706"/>
      <c r="E852" s="3706"/>
      <c r="F852" s="3706"/>
      <c r="G852" s="967"/>
      <c r="H852" s="1110"/>
    </row>
    <row r="853" spans="1:9" s="247" customFormat="1" ht="17.399999999999999" thickBot="1">
      <c r="A853" s="3788" t="s">
        <v>4256</v>
      </c>
      <c r="B853" s="3789"/>
      <c r="C853" s="3789"/>
      <c r="D853" s="3789"/>
      <c r="E853" s="3789"/>
      <c r="F853" s="3840"/>
      <c r="G853" s="522"/>
      <c r="H853" s="1109"/>
    </row>
    <row r="854" spans="1:9" s="44" customFormat="1" ht="16.5" customHeight="1">
      <c r="A854" s="1114" t="s">
        <v>1068</v>
      </c>
      <c r="B854" s="1115" t="s">
        <v>1128</v>
      </c>
      <c r="C854" s="1221"/>
      <c r="D854" s="1222"/>
      <c r="E854" s="1186"/>
      <c r="F854" s="1186" t="e">
        <f>+SUM(F855:F869)</f>
        <v>#REF!</v>
      </c>
      <c r="G854" s="967"/>
      <c r="H854" s="1110"/>
      <c r="I854" s="967"/>
    </row>
    <row r="855" spans="1:9">
      <c r="A855" s="524" t="s">
        <v>1279</v>
      </c>
      <c r="B855" s="941" t="s">
        <v>1306</v>
      </c>
      <c r="C855" s="1194" t="s">
        <v>94</v>
      </c>
      <c r="D855" s="1195">
        <v>5640.54</v>
      </c>
      <c r="E855" s="1140">
        <f>+'LINEAS IMPULSIÓN-CONDUCCIÓN'!E199</f>
        <v>74100</v>
      </c>
      <c r="F855" s="1140">
        <f>+ROUND(E855*D855,0)</f>
        <v>417964014</v>
      </c>
      <c r="G855" s="522"/>
      <c r="I855" s="967"/>
    </row>
    <row r="856" spans="1:9">
      <c r="A856" s="524" t="s">
        <v>1261</v>
      </c>
      <c r="B856" s="941" t="s">
        <v>1264</v>
      </c>
      <c r="C856" s="1194" t="s">
        <v>94</v>
      </c>
      <c r="D856" s="1195">
        <v>1474.26</v>
      </c>
      <c r="E856" s="1140">
        <f>+'LINEAS IMPULSIÓN-CONDUCCIÓN'!E200</f>
        <v>112861</v>
      </c>
      <c r="F856" s="1140">
        <f t="shared" ref="F856:F869" si="43">+ROUND(E856*D856,0)</f>
        <v>166386458</v>
      </c>
      <c r="G856" s="522"/>
      <c r="I856" s="967"/>
    </row>
    <row r="857" spans="1:9">
      <c r="A857" s="524" t="s">
        <v>1262</v>
      </c>
      <c r="B857" s="941" t="s">
        <v>1265</v>
      </c>
      <c r="C857" s="1194" t="s">
        <v>94</v>
      </c>
      <c r="D857" s="1195">
        <v>449.73</v>
      </c>
      <c r="E857" s="1140">
        <f>+'LINEAS IMPULSIÓN-CONDUCCIÓN'!E201</f>
        <v>66629</v>
      </c>
      <c r="F857" s="1140">
        <f t="shared" si="43"/>
        <v>29965060</v>
      </c>
      <c r="G857" s="522"/>
      <c r="I857" s="967"/>
    </row>
    <row r="858" spans="1:9">
      <c r="A858" s="524" t="s">
        <v>1263</v>
      </c>
      <c r="B858" s="941" t="s">
        <v>1307</v>
      </c>
      <c r="C858" s="1194" t="s">
        <v>133</v>
      </c>
      <c r="D858" s="1195">
        <v>8</v>
      </c>
      <c r="E858" s="1140">
        <f>+'LINEAS IMPULSIÓN-CONDUCCIÓN'!E202</f>
        <v>220095.25999999998</v>
      </c>
      <c r="F858" s="1140">
        <f t="shared" si="43"/>
        <v>1760762</v>
      </c>
      <c r="G858" s="522"/>
      <c r="I858" s="967"/>
    </row>
    <row r="859" spans="1:9">
      <c r="A859" s="524" t="s">
        <v>1280</v>
      </c>
      <c r="B859" s="941" t="s">
        <v>1266</v>
      </c>
      <c r="C859" s="1194" t="s">
        <v>133</v>
      </c>
      <c r="D859" s="1195">
        <v>3</v>
      </c>
      <c r="E859" s="1140">
        <f>+'LINEAS IMPULSIÓN-CONDUCCIÓN'!E203</f>
        <v>326546</v>
      </c>
      <c r="F859" s="1140">
        <f t="shared" si="43"/>
        <v>979638</v>
      </c>
      <c r="G859" s="522"/>
      <c r="I859" s="967"/>
    </row>
    <row r="860" spans="1:9">
      <c r="A860" s="524" t="s">
        <v>1281</v>
      </c>
      <c r="B860" s="941" t="s">
        <v>1267</v>
      </c>
      <c r="C860" s="1194" t="s">
        <v>133</v>
      </c>
      <c r="D860" s="1195">
        <v>1</v>
      </c>
      <c r="E860" s="1140">
        <f>+'LINEAS IMPULSIÓN-CONDUCCIÓN'!E204</f>
        <v>351628</v>
      </c>
      <c r="F860" s="1140">
        <f t="shared" si="43"/>
        <v>351628</v>
      </c>
      <c r="G860" s="522"/>
      <c r="I860" s="967"/>
    </row>
    <row r="861" spans="1:9">
      <c r="A861" s="524" t="s">
        <v>1282</v>
      </c>
      <c r="B861" s="941" t="s">
        <v>1268</v>
      </c>
      <c r="C861" s="1194" t="s">
        <v>133</v>
      </c>
      <c r="D861" s="1195">
        <v>5</v>
      </c>
      <c r="E861" s="1140">
        <f>+'LINEAS IMPULSIÓN-CONDUCCIÓN'!E205</f>
        <v>371912</v>
      </c>
      <c r="F861" s="1140">
        <f t="shared" si="43"/>
        <v>1859560</v>
      </c>
      <c r="G861" s="522"/>
      <c r="I861" s="967"/>
    </row>
    <row r="862" spans="1:9">
      <c r="A862" s="524" t="s">
        <v>1283</v>
      </c>
      <c r="B862" s="941" t="s">
        <v>1269</v>
      </c>
      <c r="C862" s="1194" t="s">
        <v>133</v>
      </c>
      <c r="D862" s="1195">
        <v>22</v>
      </c>
      <c r="E862" s="1140" t="e">
        <f>+'LINEAS IMPULSIÓN-CONDUCCIÓN'!#REF!</f>
        <v>#REF!</v>
      </c>
      <c r="F862" s="1140" t="e">
        <f t="shared" si="43"/>
        <v>#REF!</v>
      </c>
      <c r="G862" s="522"/>
      <c r="I862" s="967"/>
    </row>
    <row r="863" spans="1:9">
      <c r="A863" s="524" t="s">
        <v>1280</v>
      </c>
      <c r="B863" s="941" t="s">
        <v>1309</v>
      </c>
      <c r="C863" s="1194" t="s">
        <v>133</v>
      </c>
      <c r="D863" s="1195">
        <v>2</v>
      </c>
      <c r="E863" s="1140" t="e">
        <f>+'LINEAS IMPULSIÓN-CONDUCCIÓN'!#REF!</f>
        <v>#REF!</v>
      </c>
      <c r="F863" s="1140" t="e">
        <f t="shared" si="43"/>
        <v>#REF!</v>
      </c>
      <c r="G863" s="522"/>
      <c r="I863" s="967"/>
    </row>
    <row r="864" spans="1:9">
      <c r="A864" s="524" t="s">
        <v>1284</v>
      </c>
      <c r="B864" s="941" t="s">
        <v>1270</v>
      </c>
      <c r="C864" s="1194" t="s">
        <v>133</v>
      </c>
      <c r="D864" s="1195">
        <v>3</v>
      </c>
      <c r="E864" s="1140">
        <f>+'LINEAS IMPULSIÓN-CONDUCCIÓN'!E206</f>
        <v>391144.54545454547</v>
      </c>
      <c r="F864" s="1140">
        <f t="shared" si="43"/>
        <v>1173434</v>
      </c>
      <c r="G864" s="522"/>
      <c r="I864" s="967"/>
    </row>
    <row r="865" spans="1:10" ht="66">
      <c r="A865" s="524" t="s">
        <v>1285</v>
      </c>
      <c r="B865" s="941" t="s">
        <v>1310</v>
      </c>
      <c r="C865" s="1194" t="s">
        <v>133</v>
      </c>
      <c r="D865" s="1195">
        <v>2</v>
      </c>
      <c r="E865" s="1140" t="e">
        <f>+'LINEAS IMPULSIÓN-CONDUCCIÓN'!#REF!</f>
        <v>#REF!</v>
      </c>
      <c r="F865" s="1140" t="e">
        <f t="shared" si="43"/>
        <v>#REF!</v>
      </c>
      <c r="G865" s="522"/>
      <c r="I865" s="967"/>
      <c r="J865" s="36"/>
    </row>
    <row r="866" spans="1:10" ht="52.8">
      <c r="A866" s="524" t="s">
        <v>1286</v>
      </c>
      <c r="B866" s="941" t="s">
        <v>1316</v>
      </c>
      <c r="C866" s="1194" t="s">
        <v>133</v>
      </c>
      <c r="D866" s="1195">
        <v>3</v>
      </c>
      <c r="E866" s="1140">
        <f>+'LINEAS IMPULSIÓN-CONDUCCIÓN'!E208</f>
        <v>635071</v>
      </c>
      <c r="F866" s="1140">
        <f t="shared" si="43"/>
        <v>1905213</v>
      </c>
      <c r="G866" s="522"/>
      <c r="I866" s="967"/>
    </row>
    <row r="867" spans="1:10" ht="52.8">
      <c r="A867" s="524" t="s">
        <v>1319</v>
      </c>
      <c r="B867" s="941" t="s">
        <v>1316</v>
      </c>
      <c r="C867" s="1194" t="s">
        <v>133</v>
      </c>
      <c r="D867" s="1195">
        <v>3</v>
      </c>
      <c r="E867" s="1140">
        <f>+'LINEAS IMPULSIÓN-CONDUCCIÓN'!E209</f>
        <v>442220</v>
      </c>
      <c r="F867" s="1140">
        <f t="shared" si="43"/>
        <v>1326660</v>
      </c>
      <c r="G867" s="522"/>
      <c r="I867" s="967"/>
    </row>
    <row r="868" spans="1:10" ht="26.4">
      <c r="A868" s="524" t="s">
        <v>1320</v>
      </c>
      <c r="B868" s="941" t="s">
        <v>1322</v>
      </c>
      <c r="C868" s="1194" t="s">
        <v>133</v>
      </c>
      <c r="D868" s="1195">
        <v>3</v>
      </c>
      <c r="E868" s="1140">
        <f>+'LINEAS IMPULSIÓN-CONDUCCIÓN'!E210</f>
        <v>1358591</v>
      </c>
      <c r="F868" s="1140">
        <f t="shared" si="43"/>
        <v>4075773</v>
      </c>
      <c r="G868" s="522"/>
      <c r="I868" s="967"/>
    </row>
    <row r="869" spans="1:10" ht="26.4">
      <c r="A869" s="524" t="s">
        <v>1326</v>
      </c>
      <c r="B869" s="941" t="s">
        <v>1324</v>
      </c>
      <c r="C869" s="1194" t="s">
        <v>1325</v>
      </c>
      <c r="D869" s="1195">
        <v>983</v>
      </c>
      <c r="E869" s="1140" t="e">
        <f>+'LINEAS IMPULSIÓN-CONDUCCIÓN'!#REF!</f>
        <v>#REF!</v>
      </c>
      <c r="F869" s="1140" t="e">
        <f t="shared" si="43"/>
        <v>#REF!</v>
      </c>
      <c r="G869" s="522"/>
      <c r="I869" s="967"/>
    </row>
    <row r="870" spans="1:10" ht="14.4" thickBot="1">
      <c r="G870" s="522"/>
    </row>
    <row r="871" spans="1:10" s="963" customFormat="1" ht="14.4" thickBot="1">
      <c r="A871" s="3703" t="s">
        <v>4292</v>
      </c>
      <c r="B871" s="3704"/>
      <c r="C871" s="3704"/>
      <c r="D871" s="3704"/>
      <c r="E871" s="3705"/>
      <c r="F871" s="1185" t="e">
        <f>+SUM(F855:F869)</f>
        <v>#REF!</v>
      </c>
      <c r="G871" s="962"/>
      <c r="H871" s="1106"/>
    </row>
    <row r="872" spans="1:10" s="44" customFormat="1">
      <c r="A872" s="1070"/>
      <c r="B872" s="1071"/>
      <c r="C872" s="1223"/>
      <c r="D872" s="1223"/>
      <c r="E872" s="1187"/>
      <c r="F872" s="1188"/>
      <c r="G872" s="967"/>
      <c r="H872" s="1110"/>
    </row>
    <row r="873" spans="1:10">
      <c r="A873" s="3795" t="s">
        <v>4248</v>
      </c>
      <c r="B873" s="3796"/>
      <c r="C873" s="3796"/>
      <c r="D873" s="3796"/>
      <c r="E873" s="3796"/>
      <c r="F873" s="1073" t="e">
        <f>+F871+F851+F826+F813+#REF!+#REF!+F660+F606</f>
        <v>#REF!</v>
      </c>
      <c r="G873" s="522"/>
    </row>
    <row r="874" spans="1:10">
      <c r="A874" s="3797" t="s">
        <v>4249</v>
      </c>
      <c r="B874" s="3798"/>
      <c r="C874" s="3798"/>
      <c r="D874" s="3798"/>
      <c r="E874" s="3798"/>
      <c r="F874" s="1233" t="e">
        <f>ROUNDDOWN(0.2*F873,0)</f>
        <v>#REF!</v>
      </c>
      <c r="I874" s="522"/>
    </row>
    <row r="875" spans="1:10">
      <c r="A875" s="3797" t="s">
        <v>4250</v>
      </c>
      <c r="B875" s="3798"/>
      <c r="C875" s="3798"/>
      <c r="D875" s="3798"/>
      <c r="E875" s="3798"/>
      <c r="F875" s="1233" t="e">
        <f>ROUND(0.04*(F873+F874),0)</f>
        <v>#REF!</v>
      </c>
    </row>
    <row r="876" spans="1:10">
      <c r="A876" s="3712" t="s">
        <v>4305</v>
      </c>
      <c r="B876" s="3713"/>
      <c r="C876" s="3713"/>
      <c r="D876" s="3713"/>
      <c r="E876" s="3714"/>
      <c r="F876" s="1233" t="e">
        <f>ROUND(0.02*(F873+F874),0)</f>
        <v>#REF!</v>
      </c>
    </row>
    <row r="877" spans="1:10" s="44" customFormat="1" ht="28.5" customHeight="1">
      <c r="A877" s="3718" t="s">
        <v>4341</v>
      </c>
      <c r="B877" s="3718"/>
      <c r="C877" s="3718"/>
      <c r="D877" s="3718"/>
      <c r="E877" s="3718"/>
      <c r="F877" s="1241">
        <v>9000000</v>
      </c>
      <c r="G877" s="967"/>
      <c r="H877" s="1110"/>
    </row>
    <row r="878" spans="1:10">
      <c r="A878" s="3776" t="s">
        <v>4282</v>
      </c>
      <c r="B878" s="3777"/>
      <c r="C878" s="3777"/>
      <c r="D878" s="3777"/>
      <c r="E878" s="3777"/>
      <c r="F878" s="1074" t="e">
        <f>+SUM(F873:F877)</f>
        <v>#REF!</v>
      </c>
    </row>
    <row r="880" spans="1:10">
      <c r="A880" s="3778" t="s">
        <v>4253</v>
      </c>
      <c r="B880" s="3779"/>
      <c r="C880" s="3779"/>
      <c r="D880" s="3779"/>
      <c r="E880" s="3779"/>
      <c r="F880" s="956" t="e">
        <f>+F562+F878</f>
        <v>#REF!</v>
      </c>
      <c r="H880" s="1234" t="e">
        <f>+SUM(F9:F31,F49,F51,F58,F68,F77,#REF!,#REF!,#REF!,#REF!,#REF!,#REF!,#REF!,#REF!,#REF!,#REF!,#REF!,#REF!,#REF!,#REF!,#REF!,#REF!,#REF!,#REF!,#REF!,#REF!,#REF!,#REF!,#REF!,#REF!,#REF!,#REF!,#REF!,#REF!,#REF!,#REF!,F317:F338,F340:F352,F357,F359,F366,F376,F385,F440,F446,F450,F453,F457,F460,F468,F470,F472,F474,F480,F482,F499,F509,F511,F518,F527,F536,F559,F560,F561,F569:F592,F609,#REF!,#REF!,#REF!,#REF!,#REF!,#REF!,#REF!,F777:F798,F800:F812,F816,F830,F832,F854,F874:F876,F877)</f>
        <v>#REF!</v>
      </c>
    </row>
    <row r="882" spans="1:6">
      <c r="B882" s="1075"/>
      <c r="C882" s="3696" t="s">
        <v>4322</v>
      </c>
      <c r="D882" s="3696"/>
      <c r="E882" s="3697"/>
      <c r="F882" s="956" t="e">
        <f>+'LINEAS IMPULSIÓN-CONDUCCIÓN'!F221+#REF!+#REF!+'PTAP TIJERETAS'!F336+' TANQUE PATAGONIA'!G134</f>
        <v>#REF!</v>
      </c>
    </row>
    <row r="883" spans="1:6">
      <c r="A883" s="1101"/>
      <c r="B883" s="1075"/>
      <c r="C883" s="1224"/>
      <c r="D883" s="1224"/>
      <c r="E883" s="1189"/>
      <c r="F883" s="971"/>
    </row>
    <row r="887" spans="1:6" ht="19.2">
      <c r="A887" s="1116" t="s">
        <v>4332</v>
      </c>
      <c r="B887" s="932" t="s">
        <v>4331</v>
      </c>
    </row>
    <row r="888" spans="1:6" ht="19.2">
      <c r="A888" s="932"/>
      <c r="B888" s="932" t="s">
        <v>4330</v>
      </c>
    </row>
    <row r="889" spans="1:6" ht="19.2">
      <c r="A889" s="932"/>
      <c r="B889" s="932"/>
    </row>
    <row r="890" spans="1:6" ht="19.2">
      <c r="A890" s="932"/>
      <c r="B890" s="932"/>
    </row>
    <row r="891" spans="1:6" ht="19.2">
      <c r="A891" s="932"/>
      <c r="B891" s="932"/>
    </row>
    <row r="892" spans="1:6" ht="19.2">
      <c r="A892" s="933"/>
      <c r="B892" s="933"/>
    </row>
    <row r="893" spans="1:6" ht="19.2">
      <c r="A893" s="1117" t="s">
        <v>4333</v>
      </c>
      <c r="B893" s="933" t="s">
        <v>4334</v>
      </c>
    </row>
    <row r="894" spans="1:6" ht="19.2">
      <c r="A894" s="933"/>
      <c r="B894" s="933" t="s">
        <v>4335</v>
      </c>
    </row>
    <row r="895" spans="1:6" ht="19.2">
      <c r="A895" s="933"/>
      <c r="B895" s="933"/>
    </row>
    <row r="896" spans="1:6" ht="19.2">
      <c r="A896" s="933"/>
      <c r="B896" s="933"/>
    </row>
    <row r="897" spans="1:2" ht="19.2">
      <c r="A897" s="933"/>
      <c r="B897" s="933"/>
    </row>
    <row r="898" spans="1:2" ht="19.2">
      <c r="A898" s="933"/>
      <c r="B898" s="933"/>
    </row>
    <row r="899" spans="1:2" ht="19.2">
      <c r="A899" s="933" t="s">
        <v>4336</v>
      </c>
      <c r="B899" s="933" t="s">
        <v>4990</v>
      </c>
    </row>
    <row r="900" spans="1:2" ht="19.2">
      <c r="A900" s="933"/>
      <c r="B900" s="933" t="s">
        <v>4991</v>
      </c>
    </row>
    <row r="901" spans="1:2">
      <c r="A901" s="103"/>
      <c r="B901" s="56"/>
    </row>
  </sheetData>
  <mergeCells count="95">
    <mergeCell ref="A314:F314"/>
    <mergeCell ref="K157:L157"/>
    <mergeCell ref="K158:L158"/>
    <mergeCell ref="A313:XFD313"/>
    <mergeCell ref="A312:E312"/>
    <mergeCell ref="K160:L160"/>
    <mergeCell ref="A205:E205"/>
    <mergeCell ref="K159:L159"/>
    <mergeCell ref="A206:F206"/>
    <mergeCell ref="A436:E436"/>
    <mergeCell ref="A438:F438"/>
    <mergeCell ref="B698:E698"/>
    <mergeCell ref="A439:F439"/>
    <mergeCell ref="A853:F853"/>
    <mergeCell ref="H524:N524"/>
    <mergeCell ref="B609:E609"/>
    <mergeCell ref="A661:XFD661"/>
    <mergeCell ref="A559:E559"/>
    <mergeCell ref="A560:E560"/>
    <mergeCell ref="A562:E562"/>
    <mergeCell ref="A5:XFD5"/>
    <mergeCell ref="A45:E45"/>
    <mergeCell ref="A124:E124"/>
    <mergeCell ref="A7:F7"/>
    <mergeCell ref="A48:F48"/>
    <mergeCell ref="A6:F6"/>
    <mergeCell ref="A4:F4"/>
    <mergeCell ref="B1:E1"/>
    <mergeCell ref="B2:E2"/>
    <mergeCell ref="C3:E3"/>
    <mergeCell ref="F1:F3"/>
    <mergeCell ref="A878:E878"/>
    <mergeCell ref="A880:E880"/>
    <mergeCell ref="A507:F507"/>
    <mergeCell ref="B479:F479"/>
    <mergeCell ref="A558:E558"/>
    <mergeCell ref="A565:F565"/>
    <mergeCell ref="A567:F567"/>
    <mergeCell ref="A608:F608"/>
    <mergeCell ref="B508:F508"/>
    <mergeCell ref="A774:F774"/>
    <mergeCell ref="A815:F815"/>
    <mergeCell ref="A873:E873"/>
    <mergeCell ref="A874:E874"/>
    <mergeCell ref="A875:E875"/>
    <mergeCell ref="A829:F829"/>
    <mergeCell ref="A851:E851"/>
    <mergeCell ref="A355:F355"/>
    <mergeCell ref="A207:F207"/>
    <mergeCell ref="A813:E813"/>
    <mergeCell ref="A826:E826"/>
    <mergeCell ref="A697:E697"/>
    <mergeCell ref="B699:E699"/>
    <mergeCell ref="A771:E771"/>
    <mergeCell ref="A772:E772"/>
    <mergeCell ref="A505:E505"/>
    <mergeCell ref="A556:E556"/>
    <mergeCell ref="A606:E606"/>
    <mergeCell ref="A660:E660"/>
    <mergeCell ref="B356:F356"/>
    <mergeCell ref="A315:E315"/>
    <mergeCell ref="A437:XFD437"/>
    <mergeCell ref="H373:N373"/>
    <mergeCell ref="A126:F126"/>
    <mergeCell ref="A46:XFD46"/>
    <mergeCell ref="A354:XFD354"/>
    <mergeCell ref="A353:E353"/>
    <mergeCell ref="H65:N65"/>
    <mergeCell ref="A127:B127"/>
    <mergeCell ref="A129:F129"/>
    <mergeCell ref="A125:XFD125"/>
    <mergeCell ref="A47:F47"/>
    <mergeCell ref="H326:I326"/>
    <mergeCell ref="B135:E135"/>
    <mergeCell ref="K151:L151"/>
    <mergeCell ref="K152:L152"/>
    <mergeCell ref="K153:L153"/>
    <mergeCell ref="K155:L155"/>
    <mergeCell ref="K156:L156"/>
    <mergeCell ref="C882:E882"/>
    <mergeCell ref="A607:XFD607"/>
    <mergeCell ref="A566:XFD566"/>
    <mergeCell ref="A557:XFD557"/>
    <mergeCell ref="A506:XFD506"/>
    <mergeCell ref="A871:E871"/>
    <mergeCell ref="A852:F852"/>
    <mergeCell ref="A827:F827"/>
    <mergeCell ref="A814:XFD814"/>
    <mergeCell ref="A773:F773"/>
    <mergeCell ref="A876:E876"/>
    <mergeCell ref="A561:E561"/>
    <mergeCell ref="A877:E877"/>
    <mergeCell ref="A775:F775"/>
    <mergeCell ref="A662:F662"/>
    <mergeCell ref="A828:F828"/>
  </mergeCells>
  <printOptions horizontalCentered="1" verticalCentered="1"/>
  <pageMargins left="0.70866141732283472" right="0.70866141732283472" top="0.74803149606299213" bottom="0.74803149606299213" header="0.31496062992125984" footer="0.31496062992125984"/>
  <pageSetup paperSize="9" scale="60"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M2553"/>
  <sheetViews>
    <sheetView zoomScale="70" zoomScaleNormal="70" zoomScaleSheetLayoutView="40" zoomScalePageLayoutView="25" workbookViewId="0">
      <selection activeCell="E10" sqref="E10"/>
    </sheetView>
  </sheetViews>
  <sheetFormatPr baseColWidth="10" defaultColWidth="11.44140625" defaultRowHeight="13.2"/>
  <cols>
    <col min="1" max="1" width="19.109375" style="492" customWidth="1"/>
    <col min="2" max="2" width="53" style="492" customWidth="1"/>
    <col min="3" max="4" width="11.44140625" style="492"/>
    <col min="5" max="5" width="15.6640625" style="492" bestFit="1" customWidth="1"/>
    <col min="6" max="6" width="15" style="492" bestFit="1" customWidth="1"/>
    <col min="7" max="7" width="15.88671875" style="492" bestFit="1" customWidth="1"/>
    <col min="8" max="8" width="14.6640625" style="492" bestFit="1" customWidth="1"/>
    <col min="9" max="9" width="14.33203125" style="492" bestFit="1" customWidth="1"/>
    <col min="10" max="12" width="11.44140625" style="2894"/>
    <col min="13" max="16384" width="11.44140625" style="492"/>
  </cols>
  <sheetData>
    <row r="1" spans="1:12" ht="37.5" customHeight="1">
      <c r="A1" s="3493"/>
      <c r="B1" s="3626" t="s">
        <v>6313</v>
      </c>
      <c r="C1" s="3627"/>
      <c r="D1" s="3627"/>
      <c r="E1" s="3627"/>
      <c r="F1" s="3627"/>
      <c r="G1" s="3627"/>
      <c r="H1" s="3302"/>
      <c r="I1" s="3303"/>
    </row>
    <row r="2" spans="1:12" ht="19.2">
      <c r="A2" s="3494"/>
      <c r="B2" s="3628" t="s">
        <v>8539</v>
      </c>
      <c r="C2" s="3629"/>
      <c r="D2" s="3629"/>
      <c r="E2" s="3629"/>
      <c r="F2" s="3629"/>
      <c r="G2" s="3629"/>
      <c r="H2" s="3304"/>
      <c r="I2" s="3305"/>
    </row>
    <row r="3" spans="1:12" ht="17.399999999999999" thickBot="1">
      <c r="A3" s="3495"/>
      <c r="B3" s="3866" t="s">
        <v>3859</v>
      </c>
      <c r="C3" s="3866"/>
      <c r="D3" s="3867" t="s">
        <v>8577</v>
      </c>
      <c r="E3" s="3867"/>
      <c r="F3" s="3867"/>
      <c r="G3" s="3867"/>
      <c r="H3" s="3306"/>
      <c r="I3" s="3307"/>
    </row>
    <row r="4" spans="1:12" ht="16.8">
      <c r="A4" s="31"/>
      <c r="B4" s="2334"/>
      <c r="C4" s="2334"/>
      <c r="D4" s="109"/>
      <c r="E4" s="109"/>
      <c r="F4" s="109"/>
      <c r="G4" s="109"/>
      <c r="H4" s="2696"/>
      <c r="I4" s="2696"/>
    </row>
    <row r="6" spans="1:12" ht="16.8" hidden="1">
      <c r="A6" s="791"/>
      <c r="B6" s="3868" t="s">
        <v>3861</v>
      </c>
      <c r="C6" s="3869"/>
      <c r="D6" s="3869"/>
      <c r="E6" s="3869"/>
      <c r="F6" s="3869"/>
      <c r="G6" s="3869"/>
      <c r="H6" s="3869"/>
      <c r="I6" s="3870"/>
    </row>
    <row r="7" spans="1:12" ht="16.8" hidden="1">
      <c r="A7" s="792"/>
      <c r="B7" s="793"/>
      <c r="C7" s="794" t="s">
        <v>140</v>
      </c>
      <c r="D7" s="795" t="s">
        <v>343</v>
      </c>
      <c r="E7" s="796" t="s">
        <v>344</v>
      </c>
      <c r="F7" s="796" t="s">
        <v>482</v>
      </c>
      <c r="G7" s="796" t="s">
        <v>483</v>
      </c>
      <c r="H7" s="796" t="s">
        <v>232</v>
      </c>
      <c r="I7" s="796" t="s">
        <v>171</v>
      </c>
    </row>
    <row r="8" spans="1:12" ht="18" hidden="1">
      <c r="A8" s="792" t="s">
        <v>172</v>
      </c>
      <c r="B8" s="793" t="s">
        <v>189</v>
      </c>
      <c r="C8" s="1299">
        <v>1</v>
      </c>
      <c r="D8" s="797" t="s">
        <v>583</v>
      </c>
      <c r="E8" s="796">
        <f>+H11*0.05</f>
        <v>110</v>
      </c>
      <c r="F8" s="798"/>
      <c r="G8" s="798"/>
      <c r="H8" s="798"/>
      <c r="I8" s="798">
        <f>+E8*C8</f>
        <v>110</v>
      </c>
    </row>
    <row r="9" spans="1:12" ht="18" hidden="1">
      <c r="A9" s="792" t="s">
        <v>372</v>
      </c>
      <c r="B9" s="799" t="s">
        <v>621</v>
      </c>
      <c r="C9" s="182">
        <f>1/50</f>
        <v>0.02</v>
      </c>
      <c r="D9" s="797" t="s">
        <v>374</v>
      </c>
      <c r="E9" s="796">
        <f>CLAVO</f>
        <v>2300</v>
      </c>
      <c r="F9" s="798"/>
      <c r="G9" s="798">
        <f>+E9*C9</f>
        <v>46</v>
      </c>
      <c r="H9" s="798"/>
      <c r="I9" s="798"/>
    </row>
    <row r="10" spans="1:12" ht="19.8" hidden="1">
      <c r="A10" s="792" t="s">
        <v>349</v>
      </c>
      <c r="B10" s="793" t="s">
        <v>350</v>
      </c>
      <c r="C10" s="183">
        <f>1/250</f>
        <v>4.0000000000000001E-3</v>
      </c>
      <c r="D10" s="1751" t="s">
        <v>623</v>
      </c>
      <c r="E10" s="796">
        <f>+MOTOP</f>
        <v>550000</v>
      </c>
      <c r="F10" s="798"/>
      <c r="G10" s="798"/>
      <c r="H10" s="798">
        <f>+E10*C10</f>
        <v>2200</v>
      </c>
      <c r="I10" s="798"/>
    </row>
    <row r="11" spans="1:12" ht="16.8" hidden="1">
      <c r="A11" s="800" t="s">
        <v>190</v>
      </c>
      <c r="B11" s="801">
        <f>SUM(F11:I11)</f>
        <v>2356</v>
      </c>
      <c r="C11" s="794"/>
      <c r="D11" s="797"/>
      <c r="E11" s="796"/>
      <c r="F11" s="798">
        <f>SUM(F8:F10)</f>
        <v>0</v>
      </c>
      <c r="G11" s="798">
        <f>SUM(G8:G10)</f>
        <v>46</v>
      </c>
      <c r="H11" s="798">
        <f>SUM(H8:H10)</f>
        <v>2200</v>
      </c>
      <c r="I11" s="798">
        <f>SUM(I8:I10)</f>
        <v>110</v>
      </c>
    </row>
    <row r="12" spans="1:12" ht="19.8" hidden="1">
      <c r="A12" s="800" t="s">
        <v>191</v>
      </c>
      <c r="B12" s="801">
        <f>ROUND(+B11,0)</f>
        <v>2356</v>
      </c>
      <c r="C12" s="1751" t="s">
        <v>623</v>
      </c>
      <c r="D12" s="803"/>
      <c r="E12" s="790"/>
      <c r="F12" s="804"/>
      <c r="G12" s="804"/>
      <c r="H12" s="804"/>
      <c r="I12" s="804"/>
    </row>
    <row r="13" spans="1:12" s="402" customFormat="1" ht="15" customHeight="1">
      <c r="A13" s="3632" t="s">
        <v>8056</v>
      </c>
      <c r="B13" s="3632"/>
      <c r="C13" s="3632"/>
      <c r="D13" s="3632"/>
      <c r="E13" s="3632"/>
      <c r="F13" s="3632"/>
      <c r="G13" s="3632"/>
      <c r="H13" s="3632"/>
      <c r="I13" s="3632"/>
      <c r="J13" s="2895"/>
      <c r="K13" s="2895"/>
      <c r="L13" s="2896"/>
    </row>
    <row r="14" spans="1:12" s="402" customFormat="1" ht="15" customHeight="1">
      <c r="A14" s="1270"/>
      <c r="B14" s="1278"/>
      <c r="C14" s="1279"/>
      <c r="D14" s="1789"/>
      <c r="E14" s="1789"/>
      <c r="F14" s="1789"/>
      <c r="G14" s="1789"/>
      <c r="H14" s="1790"/>
      <c r="I14" s="1790"/>
      <c r="J14" s="2895"/>
      <c r="K14" s="2895"/>
      <c r="L14" s="2896"/>
    </row>
    <row r="15" spans="1:12" s="507" customFormat="1" ht="15" customHeight="1">
      <c r="A15" s="3616" t="s">
        <v>8025</v>
      </c>
      <c r="B15" s="3617"/>
      <c r="C15" s="3617"/>
      <c r="D15" s="3617"/>
      <c r="E15" s="3617"/>
      <c r="F15" s="3617"/>
      <c r="G15" s="3617"/>
      <c r="H15" s="3617"/>
      <c r="I15" s="3618"/>
      <c r="J15" s="2895"/>
      <c r="K15" s="2895">
        <v>148.84021799091829</v>
      </c>
      <c r="L15" s="2895"/>
    </row>
    <row r="16" spans="1:12" s="507" customFormat="1" ht="15" customHeight="1">
      <c r="A16" s="1905"/>
      <c r="B16" s="1905"/>
      <c r="C16" s="1905"/>
      <c r="D16" s="1905"/>
      <c r="E16" s="1905"/>
      <c r="F16" s="1905"/>
      <c r="G16" s="1905"/>
      <c r="H16" s="1905"/>
      <c r="I16" s="1905"/>
      <c r="J16" s="2895"/>
      <c r="K16" s="2895"/>
      <c r="L16" s="2895"/>
    </row>
    <row r="17" spans="1:12" s="507" customFormat="1" ht="15" customHeight="1">
      <c r="A17" s="434" t="s">
        <v>7279</v>
      </c>
      <c r="B17" s="3631" t="s">
        <v>1028</v>
      </c>
      <c r="C17" s="3631"/>
      <c r="D17" s="3631"/>
      <c r="E17" s="3631"/>
      <c r="F17" s="3631"/>
      <c r="G17" s="3631"/>
      <c r="H17" s="3631"/>
      <c r="I17" s="3631"/>
      <c r="J17" s="2895"/>
      <c r="K17" s="2895"/>
      <c r="L17" s="2895"/>
    </row>
    <row r="18" spans="1:12" s="507" customFormat="1" ht="15" customHeight="1">
      <c r="A18" s="1261"/>
      <c r="B18" s="1262"/>
      <c r="C18" s="1299" t="s">
        <v>140</v>
      </c>
      <c r="D18" s="1580" t="s">
        <v>343</v>
      </c>
      <c r="E18" s="1581" t="s">
        <v>344</v>
      </c>
      <c r="F18" s="1581" t="s">
        <v>482</v>
      </c>
      <c r="G18" s="1581" t="s">
        <v>483</v>
      </c>
      <c r="H18" s="1581" t="s">
        <v>232</v>
      </c>
      <c r="I18" s="1581" t="s">
        <v>171</v>
      </c>
      <c r="J18" s="2895"/>
      <c r="K18" s="2895"/>
      <c r="L18" s="2895"/>
    </row>
    <row r="19" spans="1:12" s="507" customFormat="1" ht="15" customHeight="1">
      <c r="A19" s="1261" t="s">
        <v>172</v>
      </c>
      <c r="B19" s="1262" t="s">
        <v>189</v>
      </c>
      <c r="C19" s="1299">
        <v>1</v>
      </c>
      <c r="D19" s="1229" t="s">
        <v>583</v>
      </c>
      <c r="E19" s="1581">
        <f>+H22*0.05</f>
        <v>110</v>
      </c>
      <c r="F19" s="1585"/>
      <c r="G19" s="1585"/>
      <c r="H19" s="1585"/>
      <c r="I19" s="1585">
        <f>+E19*C19</f>
        <v>110</v>
      </c>
      <c r="J19" s="2895"/>
      <c r="K19" s="2895"/>
      <c r="L19" s="2895"/>
    </row>
    <row r="20" spans="1:12" s="507" customFormat="1" ht="15" customHeight="1">
      <c r="A20" s="1261" t="s">
        <v>372</v>
      </c>
      <c r="B20" s="1262" t="s">
        <v>621</v>
      </c>
      <c r="C20" s="182">
        <f>1/50</f>
        <v>0.02</v>
      </c>
      <c r="D20" s="1229" t="s">
        <v>374</v>
      </c>
      <c r="E20" s="1581">
        <f>+CLAVO</f>
        <v>2300</v>
      </c>
      <c r="F20" s="1585"/>
      <c r="G20" s="1585">
        <f>+E20*C20</f>
        <v>46</v>
      </c>
      <c r="H20" s="1585"/>
      <c r="I20" s="1585"/>
      <c r="J20" s="2895"/>
      <c r="K20" s="2895"/>
      <c r="L20" s="2895"/>
    </row>
    <row r="21" spans="1:12" s="507" customFormat="1" ht="15" customHeight="1">
      <c r="A21" s="1261" t="s">
        <v>349</v>
      </c>
      <c r="B21" s="1262" t="s">
        <v>350</v>
      </c>
      <c r="C21" s="183">
        <f>1/250</f>
        <v>4.0000000000000001E-3</v>
      </c>
      <c r="D21" s="1229" t="s">
        <v>1002</v>
      </c>
      <c r="E21" s="1581">
        <f>+MOTOP</f>
        <v>550000</v>
      </c>
      <c r="F21" s="1585"/>
      <c r="G21" s="1585"/>
      <c r="H21" s="1585">
        <f>+E21*C21</f>
        <v>2200</v>
      </c>
      <c r="I21" s="1585"/>
      <c r="J21" s="2895"/>
      <c r="K21" s="2895"/>
      <c r="L21" s="2895"/>
    </row>
    <row r="22" spans="1:12" s="507" customFormat="1" ht="15" customHeight="1">
      <c r="A22" s="1265" t="s">
        <v>190</v>
      </c>
      <c r="B22" s="1587">
        <f>SUM(F22:I22)</f>
        <v>2356</v>
      </c>
      <c r="C22" s="687"/>
      <c r="D22" s="1229"/>
      <c r="E22" s="1581"/>
      <c r="F22" s="1585">
        <f>SUM(F19:F21)</f>
        <v>0</v>
      </c>
      <c r="G22" s="1585">
        <f>SUM(G19:G21)</f>
        <v>46</v>
      </c>
      <c r="H22" s="1585">
        <f>SUM(H19:H21)</f>
        <v>2200</v>
      </c>
      <c r="I22" s="1585">
        <f>SUM(I19:I21)</f>
        <v>110</v>
      </c>
      <c r="J22" s="2895"/>
      <c r="K22" s="2895"/>
      <c r="L22" s="2895"/>
    </row>
    <row r="23" spans="1:12" s="507" customFormat="1" ht="15" customHeight="1">
      <c r="A23" s="1265" t="s">
        <v>191</v>
      </c>
      <c r="B23" s="1587">
        <f>+ROUND(B22,0)</f>
        <v>2356</v>
      </c>
      <c r="C23" s="1228" t="s">
        <v>1002</v>
      </c>
      <c r="D23" s="402"/>
      <c r="E23" s="1588"/>
      <c r="F23" s="1280"/>
      <c r="G23" s="1280"/>
      <c r="H23" s="1280"/>
      <c r="I23" s="1280"/>
      <c r="J23" s="2895"/>
      <c r="K23" s="2895"/>
      <c r="L23" s="2895"/>
    </row>
    <row r="24" spans="1:12" s="61" customFormat="1" ht="18">
      <c r="A24" s="1793"/>
      <c r="B24" s="1280"/>
      <c r="C24" s="1280"/>
      <c r="D24" s="1280"/>
      <c r="E24" s="1588"/>
      <c r="F24" s="1280"/>
      <c r="G24" s="1280"/>
      <c r="H24" s="1280"/>
      <c r="I24" s="1280"/>
      <c r="J24" s="2894"/>
      <c r="K24" s="2894"/>
      <c r="L24" s="2894"/>
    </row>
    <row r="25" spans="1:12" ht="16.8">
      <c r="A25" s="582"/>
      <c r="B25" s="3555" t="s">
        <v>1374</v>
      </c>
      <c r="C25" s="3556"/>
      <c r="D25" s="3556"/>
      <c r="E25" s="3556"/>
      <c r="F25" s="3556"/>
      <c r="G25" s="3556"/>
      <c r="H25" s="3556"/>
      <c r="I25" s="3557"/>
    </row>
    <row r="26" spans="1:12" ht="16.8">
      <c r="A26" s="2927"/>
      <c r="B26" s="670"/>
      <c r="C26" s="34" t="s">
        <v>140</v>
      </c>
      <c r="D26" s="2" t="s">
        <v>343</v>
      </c>
      <c r="E26" s="32" t="s">
        <v>344</v>
      </c>
      <c r="F26" s="32" t="s">
        <v>482</v>
      </c>
      <c r="G26" s="32" t="s">
        <v>483</v>
      </c>
      <c r="H26" s="32" t="s">
        <v>170</v>
      </c>
      <c r="I26" s="32" t="s">
        <v>171</v>
      </c>
    </row>
    <row r="27" spans="1:12" ht="16.8">
      <c r="A27" s="2927" t="s">
        <v>172</v>
      </c>
      <c r="B27" s="670" t="s">
        <v>189</v>
      </c>
      <c r="C27" s="370">
        <v>1</v>
      </c>
      <c r="D27" s="2922" t="s">
        <v>583</v>
      </c>
      <c r="E27" s="2921">
        <f>+H30*0.05</f>
        <v>138.32435605999999</v>
      </c>
      <c r="F27" s="2921"/>
      <c r="G27" s="2921"/>
      <c r="H27" s="2921"/>
      <c r="I27" s="2921">
        <f>+E27*C27</f>
        <v>138.32435605999999</v>
      </c>
    </row>
    <row r="28" spans="1:12" ht="16.8">
      <c r="A28" s="2698" t="s">
        <v>348</v>
      </c>
      <c r="B28" s="670" t="s">
        <v>966</v>
      </c>
      <c r="C28" s="34">
        <f>+C29*2</f>
        <v>3.3333333333333333E-2</v>
      </c>
      <c r="D28" s="2695" t="s">
        <v>346</v>
      </c>
      <c r="E28" s="2693">
        <f>+AYUDR</f>
        <v>50299.76584</v>
      </c>
      <c r="F28" s="2693"/>
      <c r="G28" s="2693"/>
      <c r="H28" s="2693">
        <f>+E28*C28</f>
        <v>1676.6588613333333</v>
      </c>
      <c r="I28" s="2693"/>
      <c r="J28" s="2894">
        <f>1/C28</f>
        <v>30</v>
      </c>
      <c r="L28" s="2894">
        <f>1/120</f>
        <v>8.3333333333333332E-3</v>
      </c>
    </row>
    <row r="29" spans="1:12" ht="16.8">
      <c r="A29" s="2698" t="s">
        <v>347</v>
      </c>
      <c r="B29" s="5" t="s">
        <v>7205</v>
      </c>
      <c r="C29" s="34">
        <f>1/60</f>
        <v>1.6666666666666666E-2</v>
      </c>
      <c r="D29" s="2695" t="s">
        <v>346</v>
      </c>
      <c r="E29" s="2693">
        <f>+AYUDA</f>
        <v>65389.695592000004</v>
      </c>
      <c r="F29" s="2693"/>
      <c r="G29" s="2693"/>
      <c r="H29" s="2693">
        <f>+E29*C29</f>
        <v>1089.8282598666667</v>
      </c>
      <c r="I29" s="2693"/>
      <c r="J29" s="2894">
        <f>1/C29</f>
        <v>60</v>
      </c>
    </row>
    <row r="30" spans="1:12" ht="16.8">
      <c r="A30" s="20" t="s">
        <v>190</v>
      </c>
      <c r="B30" s="39">
        <f>SUM(F30:I30)</f>
        <v>2904.8114772599997</v>
      </c>
      <c r="C30" s="370"/>
      <c r="D30" s="2695"/>
      <c r="E30" s="2693"/>
      <c r="F30" s="2693">
        <f>+SUM(F27:F29)</f>
        <v>0</v>
      </c>
      <c r="G30" s="2693">
        <f>+SUM(G27:G29)</f>
        <v>0</v>
      </c>
      <c r="H30" s="2693">
        <f>+SUM(H27:H29)</f>
        <v>2766.4871211999998</v>
      </c>
      <c r="I30" s="2693">
        <f>+SUM(I27:I29)</f>
        <v>138.32435605999999</v>
      </c>
    </row>
    <row r="31" spans="1:12" ht="18">
      <c r="A31" s="20" t="s">
        <v>191</v>
      </c>
      <c r="B31" s="39">
        <f>+B30</f>
        <v>2904.8114772599997</v>
      </c>
      <c r="C31" s="21" t="s">
        <v>3862</v>
      </c>
      <c r="D31" s="178"/>
      <c r="E31" s="377"/>
      <c r="F31" s="377"/>
      <c r="G31" s="377"/>
      <c r="H31" s="377"/>
      <c r="I31" s="377"/>
    </row>
    <row r="32" spans="1:12" s="61" customFormat="1" ht="16.8">
      <c r="A32" s="2"/>
      <c r="B32" s="602"/>
      <c r="C32" s="1363"/>
      <c r="D32" s="596"/>
      <c r="E32" s="729"/>
      <c r="F32" s="729"/>
      <c r="G32" s="729"/>
      <c r="H32" s="729"/>
      <c r="I32" s="729"/>
      <c r="J32" s="2894"/>
      <c r="K32" s="2894"/>
      <c r="L32" s="2894"/>
    </row>
    <row r="33" spans="1:12" s="61" customFormat="1" ht="16.8">
      <c r="A33" s="2"/>
      <c r="B33" s="602"/>
      <c r="C33" s="1363"/>
      <c r="D33" s="596"/>
      <c r="E33" s="729"/>
      <c r="F33" s="729"/>
      <c r="G33" s="729"/>
      <c r="H33" s="729"/>
      <c r="I33" s="729"/>
      <c r="J33" s="2894"/>
      <c r="K33" s="2894"/>
      <c r="L33" s="2894"/>
    </row>
    <row r="34" spans="1:12" s="507" customFormat="1" ht="15" customHeight="1">
      <c r="A34" s="3616" t="s">
        <v>8046</v>
      </c>
      <c r="B34" s="3617"/>
      <c r="C34" s="3617"/>
      <c r="D34" s="3617"/>
      <c r="E34" s="3617"/>
      <c r="F34" s="3617"/>
      <c r="G34" s="3617"/>
      <c r="H34" s="3617"/>
      <c r="I34" s="3618"/>
      <c r="J34" s="2895"/>
      <c r="K34" s="2895">
        <v>148.84021799091829</v>
      </c>
      <c r="L34" s="2895"/>
    </row>
    <row r="35" spans="1:12" s="61" customFormat="1" ht="16.8">
      <c r="A35" s="13"/>
      <c r="B35" s="679"/>
      <c r="C35" s="252"/>
      <c r="D35" s="596"/>
      <c r="E35" s="729"/>
      <c r="F35" s="729"/>
      <c r="G35" s="729"/>
      <c r="H35" s="729"/>
      <c r="I35" s="729"/>
      <c r="J35" s="2894"/>
      <c r="K35" s="2894"/>
      <c r="L35" s="2894"/>
    </row>
    <row r="36" spans="1:12" ht="16.8">
      <c r="A36" s="806"/>
      <c r="B36" s="3555" t="s">
        <v>6537</v>
      </c>
      <c r="C36" s="3556"/>
      <c r="D36" s="3556"/>
      <c r="E36" s="3556"/>
      <c r="F36" s="3556"/>
      <c r="G36" s="3556"/>
      <c r="H36" s="3556"/>
      <c r="I36" s="3557"/>
    </row>
    <row r="37" spans="1:12" ht="16.8">
      <c r="A37" s="473"/>
      <c r="B37" s="807"/>
      <c r="C37" s="808" t="s">
        <v>140</v>
      </c>
      <c r="D37" s="11" t="s">
        <v>343</v>
      </c>
      <c r="E37" s="33" t="s">
        <v>344</v>
      </c>
      <c r="F37" s="33" t="s">
        <v>482</v>
      </c>
      <c r="G37" s="33" t="s">
        <v>483</v>
      </c>
      <c r="H37" s="796" t="s">
        <v>232</v>
      </c>
      <c r="I37" s="33" t="s">
        <v>171</v>
      </c>
    </row>
    <row r="38" spans="1:12" ht="16.8">
      <c r="A38" s="809" t="s">
        <v>172</v>
      </c>
      <c r="B38" s="807" t="s">
        <v>189</v>
      </c>
      <c r="C38" s="370">
        <v>1</v>
      </c>
      <c r="D38" s="9" t="s">
        <v>583</v>
      </c>
      <c r="E38" s="810">
        <f>+H44*0.05</f>
        <v>1446.1182679000003</v>
      </c>
      <c r="F38" s="810"/>
      <c r="G38" s="810"/>
      <c r="H38" s="810"/>
      <c r="I38" s="810">
        <f>+E38*C38</f>
        <v>1446.1182679000003</v>
      </c>
    </row>
    <row r="39" spans="1:12" ht="16.8">
      <c r="A39" s="809"/>
      <c r="B39" s="807" t="s">
        <v>7203</v>
      </c>
      <c r="C39" s="34">
        <f>1/4</f>
        <v>0.25</v>
      </c>
      <c r="D39" s="9" t="s">
        <v>346</v>
      </c>
      <c r="E39" s="33">
        <f>+'BASE 2'!D705</f>
        <v>10000</v>
      </c>
      <c r="F39" s="810">
        <f>+E39*C39</f>
        <v>2500</v>
      </c>
      <c r="G39" s="810"/>
      <c r="H39" s="810"/>
      <c r="I39" s="810"/>
    </row>
    <row r="40" spans="1:12" ht="16.8">
      <c r="A40" s="1854"/>
      <c r="B40" s="2190" t="s">
        <v>878</v>
      </c>
      <c r="C40" s="34">
        <v>2.3E-2</v>
      </c>
      <c r="D40" s="11" t="s">
        <v>1292</v>
      </c>
      <c r="E40" s="33">
        <f>+'BASE CTOS'!B150</f>
        <v>414261.84922490001</v>
      </c>
      <c r="F40" s="33"/>
      <c r="G40" s="33">
        <f>+E40*C40</f>
        <v>9528.0225321726994</v>
      </c>
      <c r="H40" s="33"/>
      <c r="I40" s="33"/>
    </row>
    <row r="41" spans="1:12" ht="16.8">
      <c r="A41" s="1854"/>
      <c r="B41" s="2190" t="s">
        <v>4680</v>
      </c>
      <c r="C41" s="34">
        <f>+(C40*450)*0.05</f>
        <v>0.51749999999999996</v>
      </c>
      <c r="D41" s="11" t="s">
        <v>647</v>
      </c>
      <c r="E41" s="33">
        <f>+PLAST</f>
        <v>8896</v>
      </c>
      <c r="F41" s="33"/>
      <c r="G41" s="33">
        <f>+E41*C41</f>
        <v>4603.6799999999994</v>
      </c>
      <c r="H41" s="33"/>
      <c r="I41" s="33"/>
      <c r="K41" s="2894" t="s">
        <v>6334</v>
      </c>
    </row>
    <row r="42" spans="1:12" ht="16.8">
      <c r="A42" s="809" t="s">
        <v>348</v>
      </c>
      <c r="B42" s="670" t="s">
        <v>966</v>
      </c>
      <c r="C42" s="34">
        <f>1/4</f>
        <v>0.25</v>
      </c>
      <c r="D42" s="9" t="s">
        <v>346</v>
      </c>
      <c r="E42" s="810">
        <f>+AYUDR</f>
        <v>50299.76584</v>
      </c>
      <c r="F42" s="810"/>
      <c r="G42" s="810"/>
      <c r="H42" s="810">
        <f>+E42*C42</f>
        <v>12574.94146</v>
      </c>
      <c r="I42" s="810"/>
    </row>
    <row r="43" spans="1:12" ht="16.8">
      <c r="A43" s="809" t="s">
        <v>347</v>
      </c>
      <c r="B43" s="5" t="s">
        <v>7205</v>
      </c>
      <c r="C43" s="34">
        <f>1/4</f>
        <v>0.25</v>
      </c>
      <c r="D43" s="9" t="s">
        <v>346</v>
      </c>
      <c r="E43" s="810">
        <f>+AYUDA</f>
        <v>65389.695592000004</v>
      </c>
      <c r="F43" s="810"/>
      <c r="G43" s="810"/>
      <c r="H43" s="810">
        <f>+E43*C43</f>
        <v>16347.423898000001</v>
      </c>
      <c r="I43" s="810"/>
      <c r="K43" s="2894">
        <f>9*0.05</f>
        <v>0.45</v>
      </c>
    </row>
    <row r="44" spans="1:12" ht="16.8">
      <c r="A44" s="812" t="s">
        <v>190</v>
      </c>
      <c r="B44" s="813">
        <f>SUM(F44:I44)</f>
        <v>47000.186158072698</v>
      </c>
      <c r="C44" s="814"/>
      <c r="D44" s="9"/>
      <c r="E44" s="810"/>
      <c r="F44" s="810">
        <f>+SUM(F38:F43)</f>
        <v>2500</v>
      </c>
      <c r="G44" s="810">
        <f t="shared" ref="G44:I44" si="0">+SUM(G38:G43)</f>
        <v>14131.702532172698</v>
      </c>
      <c r="H44" s="810">
        <f t="shared" si="0"/>
        <v>28922.365358000003</v>
      </c>
      <c r="I44" s="810">
        <f t="shared" si="0"/>
        <v>1446.1182679000003</v>
      </c>
    </row>
    <row r="45" spans="1:12" ht="16.8">
      <c r="A45" s="812" t="s">
        <v>191</v>
      </c>
      <c r="B45" s="2740">
        <f>+B44</f>
        <v>47000.186158072698</v>
      </c>
      <c r="C45" s="815" t="s">
        <v>150</v>
      </c>
      <c r="D45" s="816"/>
      <c r="E45" s="817"/>
      <c r="F45" s="817"/>
      <c r="G45" s="817"/>
      <c r="H45" s="817"/>
      <c r="I45" s="817"/>
    </row>
    <row r="47" spans="1:12" ht="28.5" customHeight="1">
      <c r="A47" s="806"/>
      <c r="B47" s="3552" t="s">
        <v>6538</v>
      </c>
      <c r="C47" s="3553"/>
      <c r="D47" s="3553"/>
      <c r="E47" s="3553"/>
      <c r="F47" s="3553"/>
      <c r="G47" s="3553"/>
      <c r="H47" s="3553"/>
      <c r="I47" s="3554"/>
    </row>
    <row r="48" spans="1:12" ht="16.8">
      <c r="A48" s="473"/>
      <c r="B48" s="807"/>
      <c r="C48" s="808" t="s">
        <v>140</v>
      </c>
      <c r="D48" s="11" t="s">
        <v>343</v>
      </c>
      <c r="E48" s="33" t="s">
        <v>344</v>
      </c>
      <c r="F48" s="33" t="s">
        <v>482</v>
      </c>
      <c r="G48" s="33" t="s">
        <v>483</v>
      </c>
      <c r="H48" s="796" t="s">
        <v>232</v>
      </c>
      <c r="I48" s="33" t="s">
        <v>171</v>
      </c>
    </row>
    <row r="49" spans="1:9" ht="16.8">
      <c r="A49" s="809" t="s">
        <v>172</v>
      </c>
      <c r="B49" s="807" t="s">
        <v>189</v>
      </c>
      <c r="C49" s="370">
        <v>1</v>
      </c>
      <c r="D49" s="9" t="s">
        <v>583</v>
      </c>
      <c r="E49" s="810">
        <f>+H55*0.05</f>
        <v>1156.8946143200001</v>
      </c>
      <c r="F49" s="810"/>
      <c r="G49" s="810"/>
      <c r="H49" s="810"/>
      <c r="I49" s="810">
        <f>+E49*C49</f>
        <v>1156.8946143200001</v>
      </c>
    </row>
    <row r="50" spans="1:9" ht="16.8">
      <c r="A50" s="809"/>
      <c r="B50" s="807" t="s">
        <v>7203</v>
      </c>
      <c r="C50" s="34">
        <f>1/5</f>
        <v>0.2</v>
      </c>
      <c r="D50" s="9" t="s">
        <v>346</v>
      </c>
      <c r="E50" s="33">
        <f>+'BASE 2'!D705</f>
        <v>10000</v>
      </c>
      <c r="F50" s="810">
        <f>+E50*C50</f>
        <v>2000</v>
      </c>
      <c r="G50" s="810"/>
      <c r="H50" s="810"/>
      <c r="I50" s="810"/>
    </row>
    <row r="51" spans="1:9" ht="16.8">
      <c r="A51" s="809"/>
      <c r="B51" s="807" t="s">
        <v>878</v>
      </c>
      <c r="C51" s="370">
        <v>3.5000000000000003E-2</v>
      </c>
      <c r="D51" s="9" t="s">
        <v>1292</v>
      </c>
      <c r="E51" s="810">
        <f>+'BASE CTOS'!B150</f>
        <v>414261.84922490001</v>
      </c>
      <c r="F51" s="810"/>
      <c r="G51" s="810">
        <f>+E51*C51</f>
        <v>14499.164722871501</v>
      </c>
      <c r="H51" s="810"/>
      <c r="I51" s="810"/>
    </row>
    <row r="52" spans="1:9" ht="16.8">
      <c r="A52" s="809"/>
      <c r="B52" s="807" t="s">
        <v>4680</v>
      </c>
      <c r="C52" s="34">
        <f>+(C51*450)*0.05</f>
        <v>0.78750000000000009</v>
      </c>
      <c r="D52" s="9" t="s">
        <v>647</v>
      </c>
      <c r="E52" s="810">
        <f>+PLAST</f>
        <v>8896</v>
      </c>
      <c r="F52" s="810"/>
      <c r="G52" s="810">
        <f>+E52*C52</f>
        <v>7005.6</v>
      </c>
      <c r="H52" s="810"/>
      <c r="I52" s="810"/>
    </row>
    <row r="53" spans="1:9" ht="16.8">
      <c r="A53" s="809" t="s">
        <v>348</v>
      </c>
      <c r="B53" s="670" t="s">
        <v>966</v>
      </c>
      <c r="C53" s="34">
        <f t="shared" ref="C53:C54" si="1">1/5</f>
        <v>0.2</v>
      </c>
      <c r="D53" s="9" t="s">
        <v>346</v>
      </c>
      <c r="E53" s="810">
        <f>+AYUDR</f>
        <v>50299.76584</v>
      </c>
      <c r="F53" s="810"/>
      <c r="G53" s="810"/>
      <c r="H53" s="810">
        <f>+E53*C53</f>
        <v>10059.953168</v>
      </c>
      <c r="I53" s="810"/>
    </row>
    <row r="54" spans="1:9" ht="16.8">
      <c r="A54" s="809" t="s">
        <v>347</v>
      </c>
      <c r="B54" s="5" t="s">
        <v>7205</v>
      </c>
      <c r="C54" s="34">
        <f t="shared" si="1"/>
        <v>0.2</v>
      </c>
      <c r="D54" s="9" t="s">
        <v>346</v>
      </c>
      <c r="E54" s="810">
        <f>+AYUDA</f>
        <v>65389.695592000004</v>
      </c>
      <c r="F54" s="810"/>
      <c r="G54" s="810"/>
      <c r="H54" s="810">
        <f>+E54*C54</f>
        <v>13077.939118400001</v>
      </c>
      <c r="I54" s="810"/>
    </row>
    <row r="55" spans="1:9" ht="16.8">
      <c r="A55" s="812" t="s">
        <v>190</v>
      </c>
      <c r="B55" s="813">
        <f>SUM(F55:I55)</f>
        <v>47799.551623591498</v>
      </c>
      <c r="C55" s="814"/>
      <c r="D55" s="9"/>
      <c r="E55" s="810"/>
      <c r="F55" s="810">
        <f>+SUM(F49:F54)</f>
        <v>2000</v>
      </c>
      <c r="G55" s="810">
        <f>+SUM(G49:G54)</f>
        <v>21504.7647228715</v>
      </c>
      <c r="H55" s="810">
        <f>+SUM(H49:H54)</f>
        <v>23137.892286400001</v>
      </c>
      <c r="I55" s="810">
        <f>+SUM(I49:I54)</f>
        <v>1156.8946143200001</v>
      </c>
    </row>
    <row r="56" spans="1:9" ht="16.8">
      <c r="A56" s="812" t="s">
        <v>191</v>
      </c>
      <c r="B56" s="2740">
        <f>+B55</f>
        <v>47799.551623591498</v>
      </c>
      <c r="C56" s="815" t="s">
        <v>150</v>
      </c>
      <c r="D56" s="816"/>
      <c r="E56" s="817"/>
      <c r="F56" s="817"/>
      <c r="G56" s="817"/>
      <c r="H56" s="817"/>
      <c r="I56" s="817"/>
    </row>
    <row r="58" spans="1:9" ht="30.75" customHeight="1">
      <c r="A58" s="806"/>
      <c r="B58" s="3552" t="s">
        <v>6539</v>
      </c>
      <c r="C58" s="3553"/>
      <c r="D58" s="3553"/>
      <c r="E58" s="3553"/>
      <c r="F58" s="3553"/>
      <c r="G58" s="3553"/>
      <c r="H58" s="3553"/>
      <c r="I58" s="3554"/>
    </row>
    <row r="59" spans="1:9" ht="16.8">
      <c r="A59" s="473"/>
      <c r="B59" s="807"/>
      <c r="C59" s="808" t="s">
        <v>140</v>
      </c>
      <c r="D59" s="11" t="s">
        <v>343</v>
      </c>
      <c r="E59" s="33" t="s">
        <v>344</v>
      </c>
      <c r="F59" s="33" t="s">
        <v>482</v>
      </c>
      <c r="G59" s="33" t="s">
        <v>483</v>
      </c>
      <c r="H59" s="796" t="s">
        <v>232</v>
      </c>
      <c r="I59" s="33" t="s">
        <v>171</v>
      </c>
    </row>
    <row r="60" spans="1:9" ht="16.8">
      <c r="A60" s="809" t="s">
        <v>172</v>
      </c>
      <c r="B60" s="807" t="s">
        <v>189</v>
      </c>
      <c r="C60" s="370">
        <v>1</v>
      </c>
      <c r="D60" s="9" t="s">
        <v>583</v>
      </c>
      <c r="E60" s="810">
        <f>+H66*0.05</f>
        <v>1446.1182679000003</v>
      </c>
      <c r="F60" s="810"/>
      <c r="G60" s="810"/>
      <c r="H60" s="810"/>
      <c r="I60" s="810">
        <f>+E60*C60</f>
        <v>1446.1182679000003</v>
      </c>
    </row>
    <row r="61" spans="1:9" ht="16.8">
      <c r="A61" s="809"/>
      <c r="B61" s="807" t="s">
        <v>7203</v>
      </c>
      <c r="C61" s="34">
        <f>1/4</f>
        <v>0.25</v>
      </c>
      <c r="D61" s="9" t="s">
        <v>346</v>
      </c>
      <c r="E61" s="33">
        <f>+'BASE 2'!D705</f>
        <v>10000</v>
      </c>
      <c r="F61" s="810">
        <f>+E61*C61</f>
        <v>2500</v>
      </c>
      <c r="G61" s="810"/>
      <c r="H61" s="810"/>
      <c r="I61" s="810"/>
    </row>
    <row r="62" spans="1:9" ht="16.8">
      <c r="A62" s="809"/>
      <c r="B62" s="807" t="s">
        <v>878</v>
      </c>
      <c r="C62" s="370">
        <v>0.04</v>
      </c>
      <c r="D62" s="9" t="s">
        <v>1292</v>
      </c>
      <c r="E62" s="810">
        <f>+'BASE CTOS'!B150</f>
        <v>414261.84922490001</v>
      </c>
      <c r="F62" s="810"/>
      <c r="G62" s="810">
        <f>+E62*C62</f>
        <v>16570.473968996001</v>
      </c>
      <c r="H62" s="810"/>
      <c r="I62" s="810"/>
    </row>
    <row r="63" spans="1:9" ht="16.8">
      <c r="A63" s="809"/>
      <c r="B63" s="807" t="s">
        <v>4680</v>
      </c>
      <c r="C63" s="34">
        <f>+(C62*450)*0.05</f>
        <v>0.9</v>
      </c>
      <c r="D63" s="9" t="s">
        <v>647</v>
      </c>
      <c r="E63" s="810">
        <f>+PLAST</f>
        <v>8896</v>
      </c>
      <c r="F63" s="810"/>
      <c r="G63" s="810">
        <f>+E63*C63</f>
        <v>8006.4000000000005</v>
      </c>
      <c r="H63" s="810"/>
      <c r="I63" s="810"/>
    </row>
    <row r="64" spans="1:9" ht="16.8">
      <c r="A64" s="809" t="s">
        <v>348</v>
      </c>
      <c r="B64" s="670" t="s">
        <v>966</v>
      </c>
      <c r="C64" s="34">
        <f t="shared" ref="C64:C65" si="2">1/4</f>
        <v>0.25</v>
      </c>
      <c r="D64" s="9" t="s">
        <v>346</v>
      </c>
      <c r="E64" s="810">
        <f>+AYUDR</f>
        <v>50299.76584</v>
      </c>
      <c r="F64" s="810"/>
      <c r="G64" s="810"/>
      <c r="H64" s="810">
        <f>+E64*C64</f>
        <v>12574.94146</v>
      </c>
      <c r="I64" s="810"/>
    </row>
    <row r="65" spans="1:9" ht="16.8">
      <c r="A65" s="809" t="s">
        <v>347</v>
      </c>
      <c r="B65" s="5" t="s">
        <v>7205</v>
      </c>
      <c r="C65" s="34">
        <f t="shared" si="2"/>
        <v>0.25</v>
      </c>
      <c r="D65" s="9" t="s">
        <v>346</v>
      </c>
      <c r="E65" s="810">
        <f>+AYUDA</f>
        <v>65389.695592000004</v>
      </c>
      <c r="F65" s="810"/>
      <c r="G65" s="810"/>
      <c r="H65" s="810">
        <f>+E65*C65</f>
        <v>16347.423898000001</v>
      </c>
      <c r="I65" s="810"/>
    </row>
    <row r="66" spans="1:9" ht="16.8">
      <c r="A66" s="812" t="s">
        <v>190</v>
      </c>
      <c r="B66" s="813">
        <f>SUM(F66:I66)</f>
        <v>57445.357594895999</v>
      </c>
      <c r="C66" s="814"/>
      <c r="D66" s="9"/>
      <c r="E66" s="810"/>
      <c r="F66" s="810">
        <f>+SUM(F60:F65)</f>
        <v>2500</v>
      </c>
      <c r="G66" s="810">
        <f>+SUM(G60:G65)</f>
        <v>24576.873968996002</v>
      </c>
      <c r="H66" s="810">
        <f>+SUM(H60:H65)</f>
        <v>28922.365358000003</v>
      </c>
      <c r="I66" s="810">
        <f>+SUM(I60:I65)</f>
        <v>1446.1182679000003</v>
      </c>
    </row>
    <row r="67" spans="1:9" ht="16.8">
      <c r="A67" s="812" t="s">
        <v>191</v>
      </c>
      <c r="B67" s="2740">
        <f>+B66</f>
        <v>57445.357594895999</v>
      </c>
      <c r="C67" s="815" t="s">
        <v>150</v>
      </c>
      <c r="D67" s="816"/>
      <c r="E67" s="817"/>
      <c r="F67" s="817"/>
      <c r="G67" s="817"/>
      <c r="H67" s="817"/>
      <c r="I67" s="817"/>
    </row>
    <row r="69" spans="1:9" ht="30.75" customHeight="1">
      <c r="A69" s="806"/>
      <c r="B69" s="3552" t="s">
        <v>6540</v>
      </c>
      <c r="C69" s="3553"/>
      <c r="D69" s="3553"/>
      <c r="E69" s="3553"/>
      <c r="F69" s="3553"/>
      <c r="G69" s="3553"/>
      <c r="H69" s="3553"/>
      <c r="I69" s="3554"/>
    </row>
    <row r="70" spans="1:9" ht="16.8">
      <c r="A70" s="473"/>
      <c r="B70" s="807"/>
      <c r="C70" s="808" t="s">
        <v>140</v>
      </c>
      <c r="D70" s="11" t="s">
        <v>343</v>
      </c>
      <c r="E70" s="33" t="s">
        <v>344</v>
      </c>
      <c r="F70" s="33" t="s">
        <v>482</v>
      </c>
      <c r="G70" s="33" t="s">
        <v>483</v>
      </c>
      <c r="H70" s="796" t="s">
        <v>232</v>
      </c>
      <c r="I70" s="33" t="s">
        <v>171</v>
      </c>
    </row>
    <row r="71" spans="1:9" ht="16.8">
      <c r="A71" s="809" t="s">
        <v>172</v>
      </c>
      <c r="B71" s="807" t="s">
        <v>189</v>
      </c>
      <c r="C71" s="370">
        <v>1</v>
      </c>
      <c r="D71" s="9" t="s">
        <v>583</v>
      </c>
      <c r="E71" s="810">
        <f>+H77*0.05</f>
        <v>1928.1576905333336</v>
      </c>
      <c r="F71" s="810"/>
      <c r="G71" s="810"/>
      <c r="H71" s="810"/>
      <c r="I71" s="810">
        <f>+E71*C71</f>
        <v>1928.1576905333336</v>
      </c>
    </row>
    <row r="72" spans="1:9" ht="16.8">
      <c r="A72" s="809"/>
      <c r="B72" s="807" t="s">
        <v>7203</v>
      </c>
      <c r="C72" s="34">
        <f>1/3</f>
        <v>0.33333333333333331</v>
      </c>
      <c r="D72" s="9" t="s">
        <v>346</v>
      </c>
      <c r="E72" s="33">
        <f>+'BASE 2'!D705</f>
        <v>10000</v>
      </c>
      <c r="F72" s="810">
        <f>+E72*C72</f>
        <v>3333.333333333333</v>
      </c>
      <c r="G72" s="810"/>
      <c r="H72" s="810"/>
      <c r="I72" s="810"/>
    </row>
    <row r="73" spans="1:9" ht="16.8">
      <c r="A73" s="809"/>
      <c r="B73" s="807" t="s">
        <v>878</v>
      </c>
      <c r="C73" s="370">
        <v>5.5E-2</v>
      </c>
      <c r="D73" s="9" t="s">
        <v>1292</v>
      </c>
      <c r="E73" s="810">
        <f>+'BASE CTOS'!B150</f>
        <v>414261.84922490001</v>
      </c>
      <c r="F73" s="810"/>
      <c r="G73" s="810">
        <f>+E73*C73</f>
        <v>22784.401707369499</v>
      </c>
      <c r="H73" s="810"/>
      <c r="I73" s="810"/>
    </row>
    <row r="74" spans="1:9" ht="16.8">
      <c r="A74" s="809"/>
      <c r="B74" s="807" t="s">
        <v>4680</v>
      </c>
      <c r="C74" s="34">
        <f>+(C73*450)*0.05</f>
        <v>1.2375</v>
      </c>
      <c r="D74" s="9" t="s">
        <v>647</v>
      </c>
      <c r="E74" s="810">
        <f>+PLAST</f>
        <v>8896</v>
      </c>
      <c r="F74" s="810"/>
      <c r="G74" s="810">
        <f>+E74*C74</f>
        <v>11008.800000000001</v>
      </c>
      <c r="H74" s="810"/>
      <c r="I74" s="810"/>
    </row>
    <row r="75" spans="1:9" ht="16.8">
      <c r="A75" s="809" t="s">
        <v>348</v>
      </c>
      <c r="B75" s="670" t="s">
        <v>966</v>
      </c>
      <c r="C75" s="34">
        <f t="shared" ref="C75:C76" si="3">1/3</f>
        <v>0.33333333333333331</v>
      </c>
      <c r="D75" s="9" t="s">
        <v>346</v>
      </c>
      <c r="E75" s="810">
        <f>+AYUDR</f>
        <v>50299.76584</v>
      </c>
      <c r="F75" s="810"/>
      <c r="G75" s="810"/>
      <c r="H75" s="810">
        <f>+E75*C75</f>
        <v>16766.588613333333</v>
      </c>
      <c r="I75" s="810"/>
    </row>
    <row r="76" spans="1:9" ht="16.8">
      <c r="A76" s="809" t="s">
        <v>347</v>
      </c>
      <c r="B76" s="5" t="s">
        <v>7205</v>
      </c>
      <c r="C76" s="34">
        <f t="shared" si="3"/>
        <v>0.33333333333333331</v>
      </c>
      <c r="D76" s="9" t="s">
        <v>346</v>
      </c>
      <c r="E76" s="810">
        <f>+AYUDA</f>
        <v>65389.695592000004</v>
      </c>
      <c r="F76" s="810"/>
      <c r="G76" s="810"/>
      <c r="H76" s="810">
        <f>+E76*C76</f>
        <v>21796.565197333333</v>
      </c>
      <c r="I76" s="810"/>
    </row>
    <row r="77" spans="1:9" ht="16.8">
      <c r="A77" s="812" t="s">
        <v>190</v>
      </c>
      <c r="B77" s="2740">
        <f>SUM(F77:I77)</f>
        <v>77617.846541902851</v>
      </c>
      <c r="C77" s="814"/>
      <c r="D77" s="9"/>
      <c r="E77" s="810"/>
      <c r="F77" s="810">
        <f>+SUM(F71:F76)</f>
        <v>3333.333333333333</v>
      </c>
      <c r="G77" s="810">
        <f>+SUM(G71:G76)</f>
        <v>33793.201707369502</v>
      </c>
      <c r="H77" s="810">
        <f>+SUM(H71:H76)</f>
        <v>38563.15381066667</v>
      </c>
      <c r="I77" s="810">
        <f>+SUM(I71:I76)</f>
        <v>1928.1576905333336</v>
      </c>
    </row>
    <row r="78" spans="1:9" ht="16.8">
      <c r="A78" s="812" t="s">
        <v>191</v>
      </c>
      <c r="B78" s="2740">
        <f>+B77</f>
        <v>77617.846541902851</v>
      </c>
      <c r="C78" s="815" t="s">
        <v>150</v>
      </c>
      <c r="D78" s="816"/>
      <c r="E78" s="817"/>
      <c r="F78" s="817"/>
      <c r="G78" s="817"/>
      <c r="H78" s="817"/>
      <c r="I78" s="817"/>
    </row>
    <row r="80" spans="1:9" ht="16.8">
      <c r="A80" s="806"/>
      <c r="B80" s="3555" t="s">
        <v>6541</v>
      </c>
      <c r="C80" s="3556"/>
      <c r="D80" s="3556"/>
      <c r="E80" s="3556"/>
      <c r="F80" s="3556"/>
      <c r="G80" s="3556"/>
      <c r="H80" s="3556"/>
      <c r="I80" s="3557"/>
    </row>
    <row r="81" spans="1:9" ht="16.8">
      <c r="A81" s="473"/>
      <c r="B81" s="807"/>
      <c r="C81" s="808" t="s">
        <v>140</v>
      </c>
      <c r="D81" s="11" t="s">
        <v>343</v>
      </c>
      <c r="E81" s="33" t="s">
        <v>344</v>
      </c>
      <c r="F81" s="33" t="s">
        <v>482</v>
      </c>
      <c r="G81" s="33" t="s">
        <v>483</v>
      </c>
      <c r="H81" s="796" t="s">
        <v>232</v>
      </c>
      <c r="I81" s="33" t="s">
        <v>171</v>
      </c>
    </row>
    <row r="82" spans="1:9" ht="16.8">
      <c r="A82" s="809" t="s">
        <v>172</v>
      </c>
      <c r="B82" s="807" t="s">
        <v>189</v>
      </c>
      <c r="C82" s="370">
        <v>1</v>
      </c>
      <c r="D82" s="9" t="s">
        <v>583</v>
      </c>
      <c r="E82" s="810">
        <f>+H88*0.05</f>
        <v>1446.1182679000003</v>
      </c>
      <c r="F82" s="810"/>
      <c r="G82" s="810"/>
      <c r="H82" s="810"/>
      <c r="I82" s="810">
        <f>+E82*C82</f>
        <v>1446.1182679000003</v>
      </c>
    </row>
    <row r="83" spans="1:9" ht="16.8">
      <c r="A83" s="809"/>
      <c r="B83" s="807" t="s">
        <v>7203</v>
      </c>
      <c r="C83" s="34">
        <f>1/4</f>
        <v>0.25</v>
      </c>
      <c r="D83" s="9" t="s">
        <v>346</v>
      </c>
      <c r="E83" s="33">
        <f>+'BASE 2'!D705</f>
        <v>10000</v>
      </c>
      <c r="F83" s="810">
        <f>+E83*C83</f>
        <v>2500</v>
      </c>
      <c r="G83" s="810"/>
      <c r="H83" s="810"/>
      <c r="I83" s="810"/>
    </row>
    <row r="84" spans="1:9" ht="16.8">
      <c r="A84" s="809"/>
      <c r="B84" s="807" t="s">
        <v>878</v>
      </c>
      <c r="C84" s="370">
        <v>0.01</v>
      </c>
      <c r="D84" s="9" t="s">
        <v>1292</v>
      </c>
      <c r="E84" s="810">
        <f>+'BASE CTOS'!B150</f>
        <v>414261.84922490001</v>
      </c>
      <c r="F84" s="810"/>
      <c r="G84" s="810">
        <f>+E84*C84</f>
        <v>4142.6184922490002</v>
      </c>
      <c r="H84" s="810"/>
      <c r="I84" s="810"/>
    </row>
    <row r="85" spans="1:9" ht="16.8">
      <c r="A85" s="809"/>
      <c r="B85" s="807" t="s">
        <v>4680</v>
      </c>
      <c r="C85" s="34">
        <f>+(C84*450)*0.05</f>
        <v>0.22500000000000001</v>
      </c>
      <c r="D85" s="9" t="s">
        <v>647</v>
      </c>
      <c r="E85" s="810">
        <f>+PLAST</f>
        <v>8896</v>
      </c>
      <c r="F85" s="810"/>
      <c r="G85" s="810">
        <f>+E85*C85</f>
        <v>2001.6000000000001</v>
      </c>
      <c r="H85" s="810"/>
      <c r="I85" s="810"/>
    </row>
    <row r="86" spans="1:9" ht="16.8">
      <c r="A86" s="809" t="s">
        <v>348</v>
      </c>
      <c r="B86" s="670" t="s">
        <v>966</v>
      </c>
      <c r="C86" s="34">
        <f t="shared" ref="C86:C87" si="4">1/4</f>
        <v>0.25</v>
      </c>
      <c r="D86" s="9" t="s">
        <v>346</v>
      </c>
      <c r="E86" s="810">
        <f>+AYUDR</f>
        <v>50299.76584</v>
      </c>
      <c r="F86" s="810"/>
      <c r="G86" s="810"/>
      <c r="H86" s="810">
        <f>+E86*C86</f>
        <v>12574.94146</v>
      </c>
      <c r="I86" s="810"/>
    </row>
    <row r="87" spans="1:9" ht="16.8">
      <c r="A87" s="809" t="s">
        <v>347</v>
      </c>
      <c r="B87" s="5" t="s">
        <v>7205</v>
      </c>
      <c r="C87" s="34">
        <f t="shared" si="4"/>
        <v>0.25</v>
      </c>
      <c r="D87" s="9" t="s">
        <v>346</v>
      </c>
      <c r="E87" s="810">
        <f>+AYUDA</f>
        <v>65389.695592000004</v>
      </c>
      <c r="F87" s="810"/>
      <c r="G87" s="810"/>
      <c r="H87" s="810">
        <f>+E87*C87</f>
        <v>16347.423898000001</v>
      </c>
      <c r="I87" s="810"/>
    </row>
    <row r="88" spans="1:9" ht="16.8">
      <c r="A88" s="812" t="s">
        <v>190</v>
      </c>
      <c r="B88" s="813">
        <f>SUM(F88:I88)</f>
        <v>39012.702118149005</v>
      </c>
      <c r="C88" s="814"/>
      <c r="D88" s="9"/>
      <c r="E88" s="810"/>
      <c r="F88" s="810">
        <f>+SUM(F82:F87)</f>
        <v>2500</v>
      </c>
      <c r="G88" s="810">
        <f>+SUM(G82:G87)</f>
        <v>6144.2184922490005</v>
      </c>
      <c r="H88" s="810">
        <f>+SUM(H82:H87)</f>
        <v>28922.365358000003</v>
      </c>
      <c r="I88" s="810">
        <f>+SUM(I82:I87)</f>
        <v>1446.1182679000003</v>
      </c>
    </row>
    <row r="89" spans="1:9" ht="16.8">
      <c r="A89" s="812" t="s">
        <v>191</v>
      </c>
      <c r="B89" s="2740">
        <f>+B88</f>
        <v>39012.702118149005</v>
      </c>
      <c r="C89" s="815" t="s">
        <v>150</v>
      </c>
      <c r="D89" s="816"/>
      <c r="E89" s="817"/>
      <c r="F89" s="817"/>
      <c r="G89" s="817"/>
      <c r="H89" s="817"/>
      <c r="I89" s="817"/>
    </row>
    <row r="91" spans="1:9" ht="16.8">
      <c r="A91" s="806"/>
      <c r="B91" s="3555" t="s">
        <v>6542</v>
      </c>
      <c r="C91" s="3556"/>
      <c r="D91" s="3556"/>
      <c r="E91" s="3556"/>
      <c r="F91" s="3556"/>
      <c r="G91" s="3556"/>
      <c r="H91" s="3556"/>
      <c r="I91" s="3557"/>
    </row>
    <row r="92" spans="1:9" ht="16.8">
      <c r="A92" s="473"/>
      <c r="B92" s="807"/>
      <c r="C92" s="808" t="s">
        <v>140</v>
      </c>
      <c r="D92" s="11" t="s">
        <v>343</v>
      </c>
      <c r="E92" s="33" t="s">
        <v>344</v>
      </c>
      <c r="F92" s="33" t="s">
        <v>482</v>
      </c>
      <c r="G92" s="33" t="s">
        <v>483</v>
      </c>
      <c r="H92" s="796" t="s">
        <v>232</v>
      </c>
      <c r="I92" s="33" t="s">
        <v>171</v>
      </c>
    </row>
    <row r="93" spans="1:9" ht="16.8">
      <c r="A93" s="809" t="s">
        <v>172</v>
      </c>
      <c r="B93" s="807" t="s">
        <v>189</v>
      </c>
      <c r="C93" s="370">
        <v>1</v>
      </c>
      <c r="D93" s="9" t="s">
        <v>583</v>
      </c>
      <c r="E93" s="810">
        <f>+H99*0.05</f>
        <v>2892.2365358000006</v>
      </c>
      <c r="F93" s="810"/>
      <c r="G93" s="810"/>
      <c r="H93" s="810"/>
      <c r="I93" s="810">
        <f>+E93*C93</f>
        <v>2892.2365358000006</v>
      </c>
    </row>
    <row r="94" spans="1:9" ht="16.8">
      <c r="A94" s="809"/>
      <c r="B94" s="807" t="s">
        <v>7204</v>
      </c>
      <c r="C94" s="34">
        <f>1/2</f>
        <v>0.5</v>
      </c>
      <c r="D94" s="9" t="s">
        <v>346</v>
      </c>
      <c r="E94" s="33">
        <f>+'BASE 2'!D705</f>
        <v>10000</v>
      </c>
      <c r="F94" s="810">
        <f>+E94*C94</f>
        <v>5000</v>
      </c>
      <c r="G94" s="810"/>
      <c r="H94" s="810"/>
      <c r="I94" s="810"/>
    </row>
    <row r="95" spans="1:9" ht="16.8">
      <c r="A95" s="809"/>
      <c r="B95" s="807" t="s">
        <v>878</v>
      </c>
      <c r="C95" s="370">
        <v>0.1</v>
      </c>
      <c r="D95" s="9" t="s">
        <v>1292</v>
      </c>
      <c r="E95" s="810">
        <f>+'BASE CTOS'!B150</f>
        <v>414261.84922490001</v>
      </c>
      <c r="F95" s="810"/>
      <c r="G95" s="810">
        <f>+E95*C95</f>
        <v>41426.184922490007</v>
      </c>
      <c r="H95" s="810"/>
      <c r="I95" s="810"/>
    </row>
    <row r="96" spans="1:9" ht="16.8">
      <c r="A96" s="809"/>
      <c r="B96" s="807" t="s">
        <v>4680</v>
      </c>
      <c r="C96" s="34">
        <f>+(C95*450)*0.05</f>
        <v>2.25</v>
      </c>
      <c r="D96" s="9" t="s">
        <v>647</v>
      </c>
      <c r="E96" s="810">
        <f>+PLAST</f>
        <v>8896</v>
      </c>
      <c r="F96" s="810"/>
      <c r="G96" s="810">
        <f>+E96*C96</f>
        <v>20016</v>
      </c>
      <c r="H96" s="810"/>
      <c r="I96" s="810"/>
    </row>
    <row r="97" spans="1:9" ht="16.8">
      <c r="A97" s="809" t="s">
        <v>348</v>
      </c>
      <c r="B97" s="670" t="s">
        <v>966</v>
      </c>
      <c r="C97" s="34">
        <f t="shared" ref="C97:C98" si="5">1/2</f>
        <v>0.5</v>
      </c>
      <c r="D97" s="9" t="s">
        <v>346</v>
      </c>
      <c r="E97" s="810">
        <f>+AYUDR</f>
        <v>50299.76584</v>
      </c>
      <c r="F97" s="810"/>
      <c r="G97" s="810"/>
      <c r="H97" s="810">
        <f>+E97*C97</f>
        <v>25149.88292</v>
      </c>
      <c r="I97" s="810"/>
    </row>
    <row r="98" spans="1:9" ht="16.8">
      <c r="A98" s="809" t="s">
        <v>347</v>
      </c>
      <c r="B98" s="5" t="s">
        <v>7205</v>
      </c>
      <c r="C98" s="34">
        <f t="shared" si="5"/>
        <v>0.5</v>
      </c>
      <c r="D98" s="9" t="s">
        <v>346</v>
      </c>
      <c r="E98" s="810">
        <f>+AYUDA</f>
        <v>65389.695592000004</v>
      </c>
      <c r="F98" s="810"/>
      <c r="G98" s="810"/>
      <c r="H98" s="810">
        <f>+E98*C98</f>
        <v>32694.847796000002</v>
      </c>
      <c r="I98" s="810"/>
    </row>
    <row r="99" spans="1:9" ht="16.8">
      <c r="A99" s="812" t="s">
        <v>190</v>
      </c>
      <c r="B99" s="813">
        <f>SUM(F99:I99)</f>
        <v>127179.15217429001</v>
      </c>
      <c r="C99" s="814"/>
      <c r="D99" s="9"/>
      <c r="E99" s="810"/>
      <c r="F99" s="810">
        <f>+SUM(F93:F98)</f>
        <v>5000</v>
      </c>
      <c r="G99" s="810">
        <f>+SUM(G93:G98)</f>
        <v>61442.184922490007</v>
      </c>
      <c r="H99" s="810">
        <f>+SUM(H93:H98)</f>
        <v>57844.730716000005</v>
      </c>
      <c r="I99" s="810">
        <f>+SUM(I93:I98)</f>
        <v>2892.2365358000006</v>
      </c>
    </row>
    <row r="100" spans="1:9" ht="16.8">
      <c r="A100" s="812" t="s">
        <v>191</v>
      </c>
      <c r="B100" s="2740">
        <f>+B99</f>
        <v>127179.15217429001</v>
      </c>
      <c r="C100" s="815" t="s">
        <v>150</v>
      </c>
      <c r="D100" s="816"/>
      <c r="E100" s="817"/>
      <c r="F100" s="817"/>
      <c r="G100" s="817"/>
      <c r="H100" s="817"/>
      <c r="I100" s="817"/>
    </row>
    <row r="102" spans="1:9" ht="16.8">
      <c r="A102" s="806"/>
      <c r="B102" s="3555" t="s">
        <v>6543</v>
      </c>
      <c r="C102" s="3556"/>
      <c r="D102" s="3556"/>
      <c r="E102" s="3556"/>
      <c r="F102" s="3556"/>
      <c r="G102" s="3556"/>
      <c r="H102" s="3556"/>
      <c r="I102" s="3557"/>
    </row>
    <row r="103" spans="1:9" ht="16.8">
      <c r="A103" s="473"/>
      <c r="B103" s="807"/>
      <c r="C103" s="808" t="s">
        <v>140</v>
      </c>
      <c r="D103" s="11" t="s">
        <v>343</v>
      </c>
      <c r="E103" s="33" t="s">
        <v>344</v>
      </c>
      <c r="F103" s="33" t="s">
        <v>482</v>
      </c>
      <c r="G103" s="33" t="s">
        <v>483</v>
      </c>
      <c r="H103" s="796" t="s">
        <v>232</v>
      </c>
      <c r="I103" s="33" t="s">
        <v>171</v>
      </c>
    </row>
    <row r="104" spans="1:9" ht="16.8">
      <c r="A104" s="809" t="s">
        <v>172</v>
      </c>
      <c r="B104" s="807" t="s">
        <v>189</v>
      </c>
      <c r="C104" s="370">
        <v>1</v>
      </c>
      <c r="D104" s="9" t="s">
        <v>583</v>
      </c>
      <c r="E104" s="810">
        <f>+H110*0.05</f>
        <v>5784.4730716000013</v>
      </c>
      <c r="F104" s="810"/>
      <c r="G104" s="810"/>
      <c r="H104" s="810"/>
      <c r="I104" s="810">
        <f>+E104*C104</f>
        <v>5784.4730716000013</v>
      </c>
    </row>
    <row r="105" spans="1:9" ht="16.8">
      <c r="A105" s="809"/>
      <c r="B105" s="807" t="s">
        <v>7203</v>
      </c>
      <c r="C105" s="34">
        <f>1/1</f>
        <v>1</v>
      </c>
      <c r="D105" s="9" t="s">
        <v>346</v>
      </c>
      <c r="E105" s="33">
        <f>+'BASE 2'!D705</f>
        <v>10000</v>
      </c>
      <c r="F105" s="810">
        <f>+E105*C105</f>
        <v>10000</v>
      </c>
      <c r="G105" s="810"/>
      <c r="H105" s="810"/>
      <c r="I105" s="810"/>
    </row>
    <row r="106" spans="1:9" ht="16.8">
      <c r="A106" s="809"/>
      <c r="B106" s="807" t="s">
        <v>878</v>
      </c>
      <c r="C106" s="370">
        <v>0.19</v>
      </c>
      <c r="D106" s="9" t="s">
        <v>1292</v>
      </c>
      <c r="E106" s="810">
        <f>+'BASE CTOS'!B150</f>
        <v>414261.84922490001</v>
      </c>
      <c r="F106" s="810"/>
      <c r="G106" s="810">
        <f>+E106*C106</f>
        <v>78709.751352731008</v>
      </c>
      <c r="H106" s="810"/>
      <c r="I106" s="810"/>
    </row>
    <row r="107" spans="1:9" ht="16.8">
      <c r="A107" s="809"/>
      <c r="B107" s="807" t="s">
        <v>4680</v>
      </c>
      <c r="C107" s="34">
        <f>+(C106*450)*0.05</f>
        <v>4.2750000000000004</v>
      </c>
      <c r="D107" s="9" t="s">
        <v>647</v>
      </c>
      <c r="E107" s="810">
        <f>+PLAST</f>
        <v>8896</v>
      </c>
      <c r="F107" s="810"/>
      <c r="G107" s="810">
        <f>+E107*C107</f>
        <v>38030.400000000001</v>
      </c>
      <c r="H107" s="810"/>
      <c r="I107" s="810"/>
    </row>
    <row r="108" spans="1:9" ht="16.8">
      <c r="A108" s="809" t="s">
        <v>348</v>
      </c>
      <c r="B108" s="670" t="s">
        <v>966</v>
      </c>
      <c r="C108" s="34">
        <f t="shared" ref="C108:C109" si="6">1/1</f>
        <v>1</v>
      </c>
      <c r="D108" s="9" t="s">
        <v>346</v>
      </c>
      <c r="E108" s="810">
        <f>+AYUDR</f>
        <v>50299.76584</v>
      </c>
      <c r="F108" s="810"/>
      <c r="G108" s="810"/>
      <c r="H108" s="810">
        <f>+E108*C108</f>
        <v>50299.76584</v>
      </c>
      <c r="I108" s="810"/>
    </row>
    <row r="109" spans="1:9" ht="16.8">
      <c r="A109" s="809" t="s">
        <v>347</v>
      </c>
      <c r="B109" s="5" t="s">
        <v>7205</v>
      </c>
      <c r="C109" s="34">
        <f t="shared" si="6"/>
        <v>1</v>
      </c>
      <c r="D109" s="9" t="s">
        <v>346</v>
      </c>
      <c r="E109" s="810">
        <f>+AYUDA</f>
        <v>65389.695592000004</v>
      </c>
      <c r="F109" s="810"/>
      <c r="G109" s="810"/>
      <c r="H109" s="810">
        <f>+E109*C109</f>
        <v>65389.695592000004</v>
      </c>
      <c r="I109" s="810"/>
    </row>
    <row r="110" spans="1:9" ht="16.8">
      <c r="A110" s="812" t="s">
        <v>190</v>
      </c>
      <c r="B110" s="813">
        <f>SUM(F110:I110)</f>
        <v>248214.08585633102</v>
      </c>
      <c r="C110" s="814"/>
      <c r="D110" s="9"/>
      <c r="E110" s="810"/>
      <c r="F110" s="810">
        <f>+SUM(F104:F109)</f>
        <v>10000</v>
      </c>
      <c r="G110" s="810">
        <f>+SUM(G104:G109)</f>
        <v>116740.15135273102</v>
      </c>
      <c r="H110" s="810">
        <f>+SUM(H104:H109)</f>
        <v>115689.46143200001</v>
      </c>
      <c r="I110" s="810">
        <f>+SUM(I104:I109)</f>
        <v>5784.4730716000013</v>
      </c>
    </row>
    <row r="111" spans="1:9" ht="16.8">
      <c r="A111" s="812" t="s">
        <v>191</v>
      </c>
      <c r="B111" s="2740">
        <f>+B110</f>
        <v>248214.08585633102</v>
      </c>
      <c r="C111" s="815" t="s">
        <v>150</v>
      </c>
      <c r="D111" s="816"/>
      <c r="E111" s="817"/>
      <c r="F111" s="817"/>
      <c r="G111" s="817"/>
      <c r="H111" s="817"/>
      <c r="I111" s="817"/>
    </row>
    <row r="113" spans="1:9" ht="16.8">
      <c r="A113" s="806"/>
      <c r="B113" s="3555" t="s">
        <v>6544</v>
      </c>
      <c r="C113" s="3556"/>
      <c r="D113" s="3556"/>
      <c r="E113" s="3556"/>
      <c r="F113" s="3556"/>
      <c r="G113" s="3556"/>
      <c r="H113" s="3556"/>
      <c r="I113" s="3557"/>
    </row>
    <row r="114" spans="1:9" ht="16.8">
      <c r="A114" s="473"/>
      <c r="B114" s="807"/>
      <c r="C114" s="808" t="s">
        <v>140</v>
      </c>
      <c r="D114" s="11" t="s">
        <v>343</v>
      </c>
      <c r="E114" s="33" t="s">
        <v>344</v>
      </c>
      <c r="F114" s="33" t="s">
        <v>482</v>
      </c>
      <c r="G114" s="33" t="s">
        <v>483</v>
      </c>
      <c r="H114" s="796" t="s">
        <v>232</v>
      </c>
      <c r="I114" s="33" t="s">
        <v>171</v>
      </c>
    </row>
    <row r="115" spans="1:9" ht="16.8">
      <c r="A115" s="809" t="s">
        <v>172</v>
      </c>
      <c r="B115" s="807" t="s">
        <v>189</v>
      </c>
      <c r="C115" s="370">
        <v>1</v>
      </c>
      <c r="D115" s="9" t="s">
        <v>583</v>
      </c>
      <c r="E115" s="810">
        <f>+H121*0.05</f>
        <v>1928.1576905333336</v>
      </c>
      <c r="F115" s="810"/>
      <c r="G115" s="810"/>
      <c r="H115" s="810"/>
      <c r="I115" s="810">
        <f>+E115*C115</f>
        <v>1928.1576905333336</v>
      </c>
    </row>
    <row r="116" spans="1:9" ht="16.8">
      <c r="A116" s="809"/>
      <c r="B116" s="807" t="s">
        <v>7203</v>
      </c>
      <c r="C116" s="34">
        <f>1/3</f>
        <v>0.33333333333333331</v>
      </c>
      <c r="D116" s="9" t="s">
        <v>346</v>
      </c>
      <c r="E116" s="33">
        <f>+'BASE 2'!D705</f>
        <v>10000</v>
      </c>
      <c r="F116" s="810">
        <f>+E116*C116</f>
        <v>3333.333333333333</v>
      </c>
      <c r="G116" s="810"/>
      <c r="H116" s="810"/>
      <c r="I116" s="810"/>
    </row>
    <row r="117" spans="1:9" ht="16.8">
      <c r="A117" s="809"/>
      <c r="B117" s="807" t="s">
        <v>878</v>
      </c>
      <c r="C117" s="370">
        <v>0.05</v>
      </c>
      <c r="D117" s="9" t="s">
        <v>1292</v>
      </c>
      <c r="E117" s="810">
        <f>+'BASE CTOS'!B150</f>
        <v>414261.84922490001</v>
      </c>
      <c r="F117" s="810"/>
      <c r="G117" s="810">
        <f>+E117*C117</f>
        <v>20713.092461245004</v>
      </c>
      <c r="H117" s="810"/>
      <c r="I117" s="810"/>
    </row>
    <row r="118" spans="1:9" ht="16.8">
      <c r="A118" s="809"/>
      <c r="B118" s="807" t="s">
        <v>4680</v>
      </c>
      <c r="C118" s="34">
        <f>+(C117*450)*0.05</f>
        <v>1.125</v>
      </c>
      <c r="D118" s="9" t="s">
        <v>647</v>
      </c>
      <c r="E118" s="810">
        <f>+PLAST</f>
        <v>8896</v>
      </c>
      <c r="F118" s="810"/>
      <c r="G118" s="810">
        <f>+E118*C118</f>
        <v>10008</v>
      </c>
      <c r="H118" s="810"/>
      <c r="I118" s="810"/>
    </row>
    <row r="119" spans="1:9" ht="16.8">
      <c r="A119" s="809" t="s">
        <v>348</v>
      </c>
      <c r="B119" s="670" t="s">
        <v>966</v>
      </c>
      <c r="C119" s="34">
        <f t="shared" ref="C119:C120" si="7">1/3</f>
        <v>0.33333333333333331</v>
      </c>
      <c r="D119" s="9" t="s">
        <v>346</v>
      </c>
      <c r="E119" s="810">
        <f>+AYUDR</f>
        <v>50299.76584</v>
      </c>
      <c r="F119" s="810"/>
      <c r="G119" s="810"/>
      <c r="H119" s="810">
        <f>+E119*C119</f>
        <v>16766.588613333333</v>
      </c>
      <c r="I119" s="810"/>
    </row>
    <row r="120" spans="1:9" ht="16.8">
      <c r="A120" s="809" t="s">
        <v>347</v>
      </c>
      <c r="B120" s="5" t="s">
        <v>7205</v>
      </c>
      <c r="C120" s="34">
        <f t="shared" si="7"/>
        <v>0.33333333333333331</v>
      </c>
      <c r="D120" s="9" t="s">
        <v>346</v>
      </c>
      <c r="E120" s="810">
        <f>+AYUDA</f>
        <v>65389.695592000004</v>
      </c>
      <c r="F120" s="810"/>
      <c r="G120" s="810"/>
      <c r="H120" s="810">
        <f>+E120*C120</f>
        <v>21796.565197333333</v>
      </c>
      <c r="I120" s="810"/>
    </row>
    <row r="121" spans="1:9" ht="16.8">
      <c r="A121" s="812" t="s">
        <v>190</v>
      </c>
      <c r="B121" s="813">
        <f>SUM(F121:I121)</f>
        <v>74545.737295778337</v>
      </c>
      <c r="C121" s="814"/>
      <c r="D121" s="9"/>
      <c r="E121" s="810"/>
      <c r="F121" s="810">
        <f>+SUM(F115:F120)</f>
        <v>3333.333333333333</v>
      </c>
      <c r="G121" s="810">
        <f>+SUM(G115:G120)</f>
        <v>30721.092461245004</v>
      </c>
      <c r="H121" s="810">
        <f>+SUM(H115:H120)</f>
        <v>38563.15381066667</v>
      </c>
      <c r="I121" s="810">
        <f>+SUM(I115:I120)</f>
        <v>1928.1576905333336</v>
      </c>
    </row>
    <row r="122" spans="1:9" ht="16.8">
      <c r="A122" s="812" t="s">
        <v>191</v>
      </c>
      <c r="B122" s="2740">
        <f>+B121</f>
        <v>74545.737295778337</v>
      </c>
      <c r="C122" s="815" t="s">
        <v>150</v>
      </c>
      <c r="D122" s="816"/>
      <c r="E122" s="817"/>
      <c r="F122" s="817"/>
      <c r="G122" s="817"/>
      <c r="H122" s="817"/>
      <c r="I122" s="817"/>
    </row>
    <row r="124" spans="1:9" ht="16.8">
      <c r="A124" s="806"/>
      <c r="B124" s="3555" t="s">
        <v>6545</v>
      </c>
      <c r="C124" s="3556"/>
      <c r="D124" s="3556"/>
      <c r="E124" s="3556"/>
      <c r="F124" s="3556"/>
      <c r="G124" s="3556"/>
      <c r="H124" s="3556"/>
      <c r="I124" s="3557"/>
    </row>
    <row r="125" spans="1:9" ht="16.8">
      <c r="A125" s="473"/>
      <c r="B125" s="807"/>
      <c r="C125" s="808" t="s">
        <v>140</v>
      </c>
      <c r="D125" s="11" t="s">
        <v>343</v>
      </c>
      <c r="E125" s="33" t="s">
        <v>344</v>
      </c>
      <c r="F125" s="33" t="s">
        <v>482</v>
      </c>
      <c r="G125" s="33" t="s">
        <v>483</v>
      </c>
      <c r="H125" s="796" t="s">
        <v>232</v>
      </c>
      <c r="I125" s="33" t="s">
        <v>171</v>
      </c>
    </row>
    <row r="126" spans="1:9" ht="16.8">
      <c r="A126" s="809" t="s">
        <v>172</v>
      </c>
      <c r="B126" s="807" t="s">
        <v>189</v>
      </c>
      <c r="C126" s="370">
        <v>1</v>
      </c>
      <c r="D126" s="9" t="s">
        <v>583</v>
      </c>
      <c r="E126" s="810">
        <f>+H132*0.05</f>
        <v>1928.1576905333336</v>
      </c>
      <c r="F126" s="810"/>
      <c r="G126" s="810"/>
      <c r="H126" s="810"/>
      <c r="I126" s="810">
        <f>+E126*C126</f>
        <v>1928.1576905333336</v>
      </c>
    </row>
    <row r="127" spans="1:9" ht="16.8">
      <c r="A127" s="809"/>
      <c r="B127" s="807" t="s">
        <v>7203</v>
      </c>
      <c r="C127" s="34">
        <f>1/3</f>
        <v>0.33333333333333331</v>
      </c>
      <c r="D127" s="9" t="s">
        <v>346</v>
      </c>
      <c r="E127" s="33">
        <f>+'BASE 2'!D705</f>
        <v>10000</v>
      </c>
      <c r="F127" s="810">
        <f>+E127*C127</f>
        <v>3333.333333333333</v>
      </c>
      <c r="G127" s="810"/>
      <c r="H127" s="810"/>
      <c r="I127" s="810"/>
    </row>
    <row r="128" spans="1:9" ht="16.8">
      <c r="A128" s="809"/>
      <c r="B128" s="807" t="s">
        <v>878</v>
      </c>
      <c r="C128" s="370">
        <v>0.06</v>
      </c>
      <c r="D128" s="9" t="s">
        <v>1292</v>
      </c>
      <c r="E128" s="810">
        <f>+'BASE CTOS'!B150</f>
        <v>414261.84922490001</v>
      </c>
      <c r="F128" s="810"/>
      <c r="G128" s="810">
        <f>+E128*C128</f>
        <v>24855.710953493999</v>
      </c>
      <c r="H128" s="810"/>
      <c r="I128" s="810"/>
    </row>
    <row r="129" spans="1:12" ht="16.8">
      <c r="A129" s="809"/>
      <c r="B129" s="807" t="s">
        <v>4680</v>
      </c>
      <c r="C129" s="34">
        <f>+(C128*450)*0.05</f>
        <v>1.35</v>
      </c>
      <c r="D129" s="9" t="s">
        <v>647</v>
      </c>
      <c r="E129" s="810">
        <f>+PLAST</f>
        <v>8896</v>
      </c>
      <c r="F129" s="810"/>
      <c r="G129" s="810">
        <f>+E129*C129</f>
        <v>12009.6</v>
      </c>
      <c r="H129" s="810"/>
      <c r="I129" s="810"/>
    </row>
    <row r="130" spans="1:12" ht="16.8">
      <c r="A130" s="809" t="s">
        <v>348</v>
      </c>
      <c r="B130" s="670" t="s">
        <v>966</v>
      </c>
      <c r="C130" s="34">
        <f t="shared" ref="C130:C131" si="8">1/3</f>
        <v>0.33333333333333331</v>
      </c>
      <c r="D130" s="9" t="s">
        <v>346</v>
      </c>
      <c r="E130" s="810">
        <f>+AYUDR</f>
        <v>50299.76584</v>
      </c>
      <c r="F130" s="810"/>
      <c r="G130" s="810"/>
      <c r="H130" s="810">
        <f>+E130*C130</f>
        <v>16766.588613333333</v>
      </c>
      <c r="I130" s="810"/>
    </row>
    <row r="131" spans="1:12" ht="16.8">
      <c r="A131" s="809" t="s">
        <v>347</v>
      </c>
      <c r="B131" s="5" t="s">
        <v>7205</v>
      </c>
      <c r="C131" s="34">
        <f t="shared" si="8"/>
        <v>0.33333333333333331</v>
      </c>
      <c r="D131" s="9" t="s">
        <v>346</v>
      </c>
      <c r="E131" s="810">
        <f>+AYUDA</f>
        <v>65389.695592000004</v>
      </c>
      <c r="F131" s="810"/>
      <c r="G131" s="810"/>
      <c r="H131" s="810">
        <f>+E131*C131</f>
        <v>21796.565197333333</v>
      </c>
      <c r="I131" s="810"/>
    </row>
    <row r="132" spans="1:12" ht="16.8">
      <c r="A132" s="812" t="s">
        <v>190</v>
      </c>
      <c r="B132" s="813">
        <f>SUM(F132:I132)</f>
        <v>80689.955788027335</v>
      </c>
      <c r="C132" s="814"/>
      <c r="D132" s="9"/>
      <c r="E132" s="810"/>
      <c r="F132" s="810">
        <f>+SUM(F126:F131)</f>
        <v>3333.333333333333</v>
      </c>
      <c r="G132" s="810">
        <f>+SUM(G126:G131)</f>
        <v>36865.310953494001</v>
      </c>
      <c r="H132" s="810">
        <f>+SUM(H126:H131)</f>
        <v>38563.15381066667</v>
      </c>
      <c r="I132" s="810">
        <f>+SUM(I126:I131)</f>
        <v>1928.1576905333336</v>
      </c>
    </row>
    <row r="133" spans="1:12" ht="16.8">
      <c r="A133" s="812" t="s">
        <v>191</v>
      </c>
      <c r="B133" s="2740">
        <f>+B132</f>
        <v>80689.955788027335</v>
      </c>
      <c r="C133" s="815" t="s">
        <v>150</v>
      </c>
      <c r="D133" s="816"/>
      <c r="E133" s="817"/>
      <c r="F133" s="817"/>
      <c r="G133" s="817"/>
      <c r="H133" s="817"/>
      <c r="I133" s="817"/>
    </row>
    <row r="135" spans="1:12" ht="16.8">
      <c r="A135" s="806"/>
      <c r="B135" s="3555" t="s">
        <v>4689</v>
      </c>
      <c r="C135" s="3556"/>
      <c r="D135" s="3556"/>
      <c r="E135" s="3556"/>
      <c r="F135" s="3556"/>
      <c r="G135" s="3556"/>
      <c r="H135" s="3556"/>
      <c r="I135" s="3557"/>
    </row>
    <row r="136" spans="1:12" ht="16.8">
      <c r="A136" s="473"/>
      <c r="B136" s="807"/>
      <c r="C136" s="808" t="s">
        <v>140</v>
      </c>
      <c r="D136" s="11" t="s">
        <v>343</v>
      </c>
      <c r="E136" s="33" t="s">
        <v>344</v>
      </c>
      <c r="F136" s="33" t="s">
        <v>482</v>
      </c>
      <c r="G136" s="33" t="s">
        <v>483</v>
      </c>
      <c r="H136" s="33" t="s">
        <v>170</v>
      </c>
      <c r="I136" s="33" t="s">
        <v>171</v>
      </c>
    </row>
    <row r="137" spans="1:12" ht="16.8">
      <c r="A137" s="809" t="s">
        <v>172</v>
      </c>
      <c r="B137" s="807" t="s">
        <v>189</v>
      </c>
      <c r="C137" s="370">
        <v>1</v>
      </c>
      <c r="D137" s="9" t="s">
        <v>583</v>
      </c>
      <c r="E137" s="810">
        <f>+H141*0.05</f>
        <v>2514.988292</v>
      </c>
      <c r="F137" s="810"/>
      <c r="G137" s="810"/>
      <c r="H137" s="810"/>
      <c r="I137" s="810">
        <f>+E137*C137</f>
        <v>2514.988292</v>
      </c>
    </row>
    <row r="138" spans="1:12" ht="16.8">
      <c r="A138" s="809"/>
      <c r="B138" s="807" t="s">
        <v>6550</v>
      </c>
      <c r="C138" s="34">
        <v>1</v>
      </c>
      <c r="D138" s="9" t="s">
        <v>4690</v>
      </c>
      <c r="E138" s="810">
        <f>+CMMO</f>
        <v>73000</v>
      </c>
      <c r="F138" s="810">
        <f>+E138*C138</f>
        <v>73000</v>
      </c>
      <c r="G138" s="810"/>
      <c r="H138" s="810"/>
      <c r="I138" s="810"/>
    </row>
    <row r="139" spans="1:12" s="402" customFormat="1" ht="15" customHeight="1">
      <c r="A139" s="1261"/>
      <c r="B139" s="807" t="s">
        <v>134</v>
      </c>
      <c r="C139" s="370">
        <f>1/100</f>
        <v>0.01</v>
      </c>
      <c r="D139" s="401" t="s">
        <v>476</v>
      </c>
      <c r="E139" s="810">
        <f>+VIAJE</f>
        <v>1200000</v>
      </c>
      <c r="F139" s="2697"/>
      <c r="G139" s="2697"/>
      <c r="H139" s="2697"/>
      <c r="I139" s="2697">
        <f>+E139*C139</f>
        <v>12000</v>
      </c>
      <c r="J139" s="2897"/>
      <c r="K139" s="2895"/>
      <c r="L139" s="2895"/>
    </row>
    <row r="140" spans="1:12" ht="16.8">
      <c r="A140" s="809" t="s">
        <v>348</v>
      </c>
      <c r="B140" s="807" t="s">
        <v>966</v>
      </c>
      <c r="C140" s="34">
        <f>1/C138</f>
        <v>1</v>
      </c>
      <c r="D140" s="9" t="s">
        <v>346</v>
      </c>
      <c r="E140" s="810">
        <f>+AYUDR</f>
        <v>50299.76584</v>
      </c>
      <c r="F140" s="810"/>
      <c r="G140" s="810"/>
      <c r="H140" s="810">
        <f>+E140*C140</f>
        <v>50299.76584</v>
      </c>
      <c r="I140" s="810"/>
    </row>
    <row r="141" spans="1:12" ht="16.8">
      <c r="A141" s="812" t="s">
        <v>190</v>
      </c>
      <c r="B141" s="813">
        <f>SUM(F141:I141)</f>
        <v>137814.754132</v>
      </c>
      <c r="C141" s="814"/>
      <c r="D141" s="9"/>
      <c r="E141" s="810"/>
      <c r="F141" s="810">
        <f>+SUM(F137:F140)</f>
        <v>73000</v>
      </c>
      <c r="G141" s="810">
        <f>+SUM(G137:G140)</f>
        <v>0</v>
      </c>
      <c r="H141" s="810">
        <f>+SUM(H137:H140)</f>
        <v>50299.76584</v>
      </c>
      <c r="I141" s="810">
        <f>+SUM(I137:I140)</f>
        <v>14514.988292</v>
      </c>
      <c r="K141" s="2898">
        <f>+C140*8</f>
        <v>8</v>
      </c>
    </row>
    <row r="142" spans="1:12" ht="16.8">
      <c r="A142" s="812" t="s">
        <v>191</v>
      </c>
      <c r="B142" s="813">
        <f>+B141</f>
        <v>137814.754132</v>
      </c>
      <c r="C142" s="815" t="s">
        <v>1292</v>
      </c>
      <c r="D142" s="816"/>
      <c r="E142" s="817"/>
      <c r="F142" s="817"/>
      <c r="G142" s="817"/>
      <c r="H142" s="817"/>
      <c r="I142" s="817"/>
    </row>
    <row r="144" spans="1:12" ht="16.8">
      <c r="A144" s="806"/>
      <c r="B144" s="3555" t="s">
        <v>4691</v>
      </c>
      <c r="C144" s="3556"/>
      <c r="D144" s="3556"/>
      <c r="E144" s="3556"/>
      <c r="F144" s="3556"/>
      <c r="G144" s="3556"/>
      <c r="H144" s="3556"/>
      <c r="I144" s="3557"/>
    </row>
    <row r="145" spans="1:11" ht="16.8">
      <c r="A145" s="473"/>
      <c r="B145" s="807"/>
      <c r="C145" s="808" t="s">
        <v>140</v>
      </c>
      <c r="D145" s="11" t="s">
        <v>343</v>
      </c>
      <c r="E145" s="33" t="s">
        <v>344</v>
      </c>
      <c r="F145" s="33" t="s">
        <v>482</v>
      </c>
      <c r="G145" s="33" t="s">
        <v>483</v>
      </c>
      <c r="H145" s="33" t="s">
        <v>170</v>
      </c>
      <c r="I145" s="33" t="s">
        <v>171</v>
      </c>
    </row>
    <row r="146" spans="1:11" ht="16.8">
      <c r="A146" s="809" t="s">
        <v>172</v>
      </c>
      <c r="B146" s="807" t="s">
        <v>189</v>
      </c>
      <c r="C146" s="370">
        <v>1</v>
      </c>
      <c r="D146" s="9" t="s">
        <v>583</v>
      </c>
      <c r="E146" s="810">
        <f>+H149*0.05</f>
        <v>385.63153810666671</v>
      </c>
      <c r="F146" s="810"/>
      <c r="G146" s="810"/>
      <c r="H146" s="810"/>
      <c r="I146" s="810">
        <f>+E146*C146</f>
        <v>385.63153810666671</v>
      </c>
    </row>
    <row r="147" spans="1:11" ht="16.8">
      <c r="A147" s="809" t="s">
        <v>348</v>
      </c>
      <c r="B147" s="807" t="s">
        <v>966</v>
      </c>
      <c r="C147" s="34">
        <f>1/15</f>
        <v>6.6666666666666666E-2</v>
      </c>
      <c r="D147" s="9" t="s">
        <v>346</v>
      </c>
      <c r="E147" s="810">
        <f>+AYUDR</f>
        <v>50299.76584</v>
      </c>
      <c r="F147" s="810"/>
      <c r="G147" s="810"/>
      <c r="H147" s="810">
        <f>+E147*C147</f>
        <v>3353.3177226666667</v>
      </c>
      <c r="I147" s="810"/>
    </row>
    <row r="148" spans="1:11" ht="16.8">
      <c r="A148" s="809" t="s">
        <v>348</v>
      </c>
      <c r="B148" s="807" t="s">
        <v>7205</v>
      </c>
      <c r="C148" s="34">
        <f>1/15</f>
        <v>6.6666666666666666E-2</v>
      </c>
      <c r="D148" s="9" t="s">
        <v>346</v>
      </c>
      <c r="E148" s="810">
        <f>+AYUDA</f>
        <v>65389.695592000004</v>
      </c>
      <c r="F148" s="810"/>
      <c r="G148" s="810"/>
      <c r="H148" s="810">
        <f>+E148*C148</f>
        <v>4359.3130394666669</v>
      </c>
      <c r="I148" s="810"/>
    </row>
    <row r="149" spans="1:11" ht="16.8">
      <c r="A149" s="812" t="s">
        <v>190</v>
      </c>
      <c r="B149" s="813">
        <f>SUM(F149:I149)</f>
        <v>8098.2623002400005</v>
      </c>
      <c r="C149" s="814"/>
      <c r="D149" s="9"/>
      <c r="E149" s="810"/>
      <c r="F149" s="810">
        <f>+SUM(F146:F148)</f>
        <v>0</v>
      </c>
      <c r="G149" s="810">
        <f t="shared" ref="G149:I149" si="9">+SUM(G146:G148)</f>
        <v>0</v>
      </c>
      <c r="H149" s="810">
        <f t="shared" si="9"/>
        <v>7712.6307621333335</v>
      </c>
      <c r="I149" s="810">
        <f t="shared" si="9"/>
        <v>385.63153810666671</v>
      </c>
      <c r="K149" s="2899">
        <f>+(B150/2)*15</f>
        <v>60736.967251800001</v>
      </c>
    </row>
    <row r="150" spans="1:11" ht="16.8">
      <c r="A150" s="812" t="s">
        <v>191</v>
      </c>
      <c r="B150" s="813">
        <f>+B149</f>
        <v>8098.2623002400005</v>
      </c>
      <c r="C150" s="815" t="s">
        <v>150</v>
      </c>
      <c r="D150" s="816"/>
      <c r="E150" s="817"/>
      <c r="F150" s="817"/>
      <c r="G150" s="817"/>
      <c r="H150" s="817"/>
      <c r="I150" s="817"/>
    </row>
    <row r="152" spans="1:11" ht="16.8">
      <c r="A152" s="806"/>
      <c r="B152" s="3555" t="s">
        <v>4692</v>
      </c>
      <c r="C152" s="3556"/>
      <c r="D152" s="3556"/>
      <c r="E152" s="3556"/>
      <c r="F152" s="3556"/>
      <c r="G152" s="3556"/>
      <c r="H152" s="3556"/>
      <c r="I152" s="3557"/>
    </row>
    <row r="153" spans="1:11" ht="16.8">
      <c r="A153" s="473"/>
      <c r="B153" s="807"/>
      <c r="C153" s="808" t="s">
        <v>140</v>
      </c>
      <c r="D153" s="11" t="s">
        <v>343</v>
      </c>
      <c r="E153" s="33" t="s">
        <v>344</v>
      </c>
      <c r="F153" s="33" t="s">
        <v>482</v>
      </c>
      <c r="G153" s="33" t="s">
        <v>483</v>
      </c>
      <c r="H153" s="33" t="s">
        <v>170</v>
      </c>
      <c r="I153" s="33" t="s">
        <v>171</v>
      </c>
    </row>
    <row r="154" spans="1:11" ht="16.8">
      <c r="A154" s="809" t="s">
        <v>172</v>
      </c>
      <c r="B154" s="807" t="s">
        <v>189</v>
      </c>
      <c r="C154" s="370">
        <v>1</v>
      </c>
      <c r="D154" s="9" t="s">
        <v>583</v>
      </c>
      <c r="E154" s="810">
        <f>+H157*0.05</f>
        <v>167.66588613333334</v>
      </c>
      <c r="F154" s="810"/>
      <c r="G154" s="810"/>
      <c r="H154" s="810"/>
      <c r="I154" s="810">
        <f>+E154*C154</f>
        <v>167.66588613333334</v>
      </c>
    </row>
    <row r="155" spans="1:11" ht="16.8">
      <c r="A155" s="809"/>
      <c r="B155" s="2190" t="s">
        <v>6555</v>
      </c>
      <c r="C155" s="34">
        <f>1/15</f>
        <v>6.6666666666666666E-2</v>
      </c>
      <c r="D155" s="11" t="s">
        <v>346</v>
      </c>
      <c r="E155" s="33">
        <f>+'BASE 2'!D706</f>
        <v>12000</v>
      </c>
      <c r="F155" s="33">
        <f>+C155*E155</f>
        <v>800</v>
      </c>
      <c r="G155" s="33"/>
      <c r="H155" s="33"/>
      <c r="I155" s="33"/>
    </row>
    <row r="156" spans="1:11" ht="16.8">
      <c r="A156" s="809" t="s">
        <v>348</v>
      </c>
      <c r="B156" s="807" t="s">
        <v>966</v>
      </c>
      <c r="C156" s="34">
        <f>1/15</f>
        <v>6.6666666666666666E-2</v>
      </c>
      <c r="D156" s="9" t="s">
        <v>346</v>
      </c>
      <c r="E156" s="810">
        <f>+AYUDR</f>
        <v>50299.76584</v>
      </c>
      <c r="F156" s="810"/>
      <c r="G156" s="810"/>
      <c r="H156" s="810">
        <f>+E156*C156</f>
        <v>3353.3177226666667</v>
      </c>
      <c r="I156" s="810"/>
    </row>
    <row r="157" spans="1:11" ht="16.8">
      <c r="A157" s="812" t="s">
        <v>190</v>
      </c>
      <c r="B157" s="813">
        <f>SUM(F157:I157)</f>
        <v>4320.9836088000002</v>
      </c>
      <c r="C157" s="814"/>
      <c r="D157" s="9"/>
      <c r="E157" s="810"/>
      <c r="F157" s="810">
        <f>+SUM(F154:F156)</f>
        <v>800</v>
      </c>
      <c r="G157" s="810">
        <f>+SUM(G154:G156)</f>
        <v>0</v>
      </c>
      <c r="H157" s="810">
        <f>+SUM(H154:H156)</f>
        <v>3353.3177226666667</v>
      </c>
      <c r="I157" s="810">
        <f>+SUM(I154:I156)</f>
        <v>167.66588613333334</v>
      </c>
      <c r="K157" s="2900">
        <f>1/C156</f>
        <v>15</v>
      </c>
    </row>
    <row r="158" spans="1:11" ht="16.8">
      <c r="A158" s="812" t="s">
        <v>191</v>
      </c>
      <c r="B158" s="2740">
        <f>+B157</f>
        <v>4320.9836088000002</v>
      </c>
      <c r="C158" s="815" t="s">
        <v>4693</v>
      </c>
      <c r="D158" s="816"/>
      <c r="E158" s="817"/>
      <c r="F158" s="817"/>
      <c r="G158" s="817"/>
      <c r="H158" s="817"/>
      <c r="I158" s="817"/>
    </row>
    <row r="160" spans="1:11" ht="16.8">
      <c r="A160" s="806"/>
      <c r="B160" s="3555" t="s">
        <v>4694</v>
      </c>
      <c r="C160" s="3556"/>
      <c r="D160" s="3556"/>
      <c r="E160" s="3556"/>
      <c r="F160" s="3556"/>
      <c r="G160" s="3556"/>
      <c r="H160" s="3556"/>
      <c r="I160" s="3557"/>
    </row>
    <row r="161" spans="1:9" ht="16.8">
      <c r="A161" s="473"/>
      <c r="B161" s="807"/>
      <c r="C161" s="808" t="s">
        <v>140</v>
      </c>
      <c r="D161" s="11" t="s">
        <v>343</v>
      </c>
      <c r="E161" s="33" t="s">
        <v>344</v>
      </c>
      <c r="F161" s="33" t="s">
        <v>482</v>
      </c>
      <c r="G161" s="33" t="s">
        <v>483</v>
      </c>
      <c r="H161" s="33" t="s">
        <v>170</v>
      </c>
      <c r="I161" s="33" t="s">
        <v>171</v>
      </c>
    </row>
    <row r="162" spans="1:9" ht="16.8">
      <c r="A162" s="809" t="s">
        <v>172</v>
      </c>
      <c r="B162" s="807" t="s">
        <v>189</v>
      </c>
      <c r="C162" s="370">
        <v>1</v>
      </c>
      <c r="D162" s="9" t="s">
        <v>583</v>
      </c>
      <c r="E162" s="810">
        <f>+H165*0.05</f>
        <v>1257.494146</v>
      </c>
      <c r="F162" s="810"/>
      <c r="G162" s="810"/>
      <c r="H162" s="810"/>
      <c r="I162" s="810">
        <f>+E162*C162</f>
        <v>1257.494146</v>
      </c>
    </row>
    <row r="163" spans="1:9" ht="16.8">
      <c r="A163" s="809"/>
      <c r="B163" s="2190" t="s">
        <v>6555</v>
      </c>
      <c r="C163" s="34">
        <f>1/2</f>
        <v>0.5</v>
      </c>
      <c r="D163" s="11" t="s">
        <v>346</v>
      </c>
      <c r="E163" s="33">
        <f>+'BASE 2'!D706</f>
        <v>12000</v>
      </c>
      <c r="F163" s="33">
        <f>+C163*E163</f>
        <v>6000</v>
      </c>
      <c r="G163" s="33"/>
      <c r="H163" s="33"/>
      <c r="I163" s="33"/>
    </row>
    <row r="164" spans="1:9" ht="16.8">
      <c r="A164" s="809" t="s">
        <v>348</v>
      </c>
      <c r="B164" s="807" t="s">
        <v>966</v>
      </c>
      <c r="C164" s="34">
        <f>1/2</f>
        <v>0.5</v>
      </c>
      <c r="D164" s="9" t="s">
        <v>346</v>
      </c>
      <c r="E164" s="810">
        <f>+AYUDR</f>
        <v>50299.76584</v>
      </c>
      <c r="F164" s="810"/>
      <c r="G164" s="810"/>
      <c r="H164" s="810">
        <f>+E164*C164</f>
        <v>25149.88292</v>
      </c>
      <c r="I164" s="810"/>
    </row>
    <row r="165" spans="1:9" ht="16.8">
      <c r="A165" s="812" t="s">
        <v>190</v>
      </c>
      <c r="B165" s="813">
        <f>SUM(F165:I165)</f>
        <v>32407.377066000001</v>
      </c>
      <c r="C165" s="814"/>
      <c r="D165" s="9"/>
      <c r="E165" s="810"/>
      <c r="F165" s="810">
        <f>+SUM(F162:F164)</f>
        <v>6000</v>
      </c>
      <c r="G165" s="810">
        <f>+SUM(G162:G164)</f>
        <v>0</v>
      </c>
      <c r="H165" s="810">
        <f>+SUM(H162:H164)</f>
        <v>25149.88292</v>
      </c>
      <c r="I165" s="810">
        <f>+SUM(I162:I164)</f>
        <v>1257.494146</v>
      </c>
    </row>
    <row r="166" spans="1:9" ht="16.8">
      <c r="A166" s="812" t="s">
        <v>191</v>
      </c>
      <c r="B166" s="813">
        <f>+B165</f>
        <v>32407.377066000001</v>
      </c>
      <c r="C166" s="815" t="s">
        <v>150</v>
      </c>
      <c r="D166" s="816"/>
      <c r="E166" s="817"/>
      <c r="F166" s="817"/>
      <c r="G166" s="817"/>
      <c r="H166" s="817"/>
      <c r="I166" s="817"/>
    </row>
    <row r="168" spans="1:9" ht="16.8">
      <c r="A168" s="806"/>
      <c r="B168" s="3555" t="s">
        <v>4695</v>
      </c>
      <c r="C168" s="3556"/>
      <c r="D168" s="3556"/>
      <c r="E168" s="3556"/>
      <c r="F168" s="3556"/>
      <c r="G168" s="3556"/>
      <c r="H168" s="3556"/>
      <c r="I168" s="3557"/>
    </row>
    <row r="169" spans="1:9" ht="16.8">
      <c r="A169" s="473"/>
      <c r="B169" s="807"/>
      <c r="C169" s="808" t="s">
        <v>140</v>
      </c>
      <c r="D169" s="11" t="s">
        <v>343</v>
      </c>
      <c r="E169" s="33" t="s">
        <v>344</v>
      </c>
      <c r="F169" s="33" t="s">
        <v>482</v>
      </c>
      <c r="G169" s="33" t="s">
        <v>483</v>
      </c>
      <c r="H169" s="33" t="s">
        <v>170</v>
      </c>
      <c r="I169" s="33" t="s">
        <v>171</v>
      </c>
    </row>
    <row r="170" spans="1:9" ht="16.8">
      <c r="A170" s="809" t="s">
        <v>172</v>
      </c>
      <c r="B170" s="807" t="s">
        <v>189</v>
      </c>
      <c r="C170" s="370">
        <v>1</v>
      </c>
      <c r="D170" s="9" t="s">
        <v>583</v>
      </c>
      <c r="E170" s="810">
        <f>+H173*0.05</f>
        <v>578.44730716000004</v>
      </c>
      <c r="F170" s="810"/>
      <c r="G170" s="810"/>
      <c r="H170" s="810"/>
      <c r="I170" s="810">
        <f>+E170*C170</f>
        <v>578.44730716000004</v>
      </c>
    </row>
    <row r="171" spans="1:9" ht="16.8">
      <c r="A171" s="809" t="s">
        <v>348</v>
      </c>
      <c r="B171" s="807" t="s">
        <v>966</v>
      </c>
      <c r="C171" s="34">
        <f>1/10</f>
        <v>0.1</v>
      </c>
      <c r="D171" s="9" t="s">
        <v>346</v>
      </c>
      <c r="E171" s="810">
        <f>+AYUDR</f>
        <v>50299.76584</v>
      </c>
      <c r="F171" s="810"/>
      <c r="G171" s="810"/>
      <c r="H171" s="810">
        <f>+E171*C171</f>
        <v>5029.976584</v>
      </c>
      <c r="I171" s="810"/>
    </row>
    <row r="172" spans="1:9" ht="16.8">
      <c r="A172" s="809" t="s">
        <v>347</v>
      </c>
      <c r="B172" s="807" t="s">
        <v>7205</v>
      </c>
      <c r="C172" s="34">
        <f>1/10</f>
        <v>0.1</v>
      </c>
      <c r="D172" s="9" t="s">
        <v>346</v>
      </c>
      <c r="E172" s="810">
        <f>+AYUDA</f>
        <v>65389.695592000004</v>
      </c>
      <c r="F172" s="810"/>
      <c r="G172" s="810"/>
      <c r="H172" s="810">
        <f>+E172*C172</f>
        <v>6538.9695592000007</v>
      </c>
      <c r="I172" s="810"/>
    </row>
    <row r="173" spans="1:9" ht="16.8">
      <c r="A173" s="812" t="s">
        <v>190</v>
      </c>
      <c r="B173" s="813">
        <f>SUM(F173:I173)</f>
        <v>12147.393450360001</v>
      </c>
      <c r="C173" s="814"/>
      <c r="D173" s="9"/>
      <c r="E173" s="810"/>
      <c r="F173" s="810">
        <f>+SUM(F170:F172)</f>
        <v>0</v>
      </c>
      <c r="G173" s="810">
        <f t="shared" ref="G173:I173" si="10">+SUM(G170:G172)</f>
        <v>0</v>
      </c>
      <c r="H173" s="810">
        <f t="shared" si="10"/>
        <v>11568.946143200001</v>
      </c>
      <c r="I173" s="810">
        <f t="shared" si="10"/>
        <v>578.44730716000004</v>
      </c>
    </row>
    <row r="174" spans="1:9" ht="16.8">
      <c r="A174" s="812" t="s">
        <v>191</v>
      </c>
      <c r="B174" s="813">
        <f>+B173</f>
        <v>12147.393450360001</v>
      </c>
      <c r="C174" s="815" t="s">
        <v>4696</v>
      </c>
      <c r="D174" s="816"/>
      <c r="E174" s="817"/>
      <c r="F174" s="817"/>
      <c r="G174" s="817"/>
      <c r="H174" s="817"/>
      <c r="I174" s="817"/>
    </row>
    <row r="176" spans="1:9" ht="16.8">
      <c r="A176" s="806"/>
      <c r="B176" s="3555" t="s">
        <v>4697</v>
      </c>
      <c r="C176" s="3556"/>
      <c r="D176" s="3556"/>
      <c r="E176" s="3556"/>
      <c r="F176" s="3556"/>
      <c r="G176" s="3556"/>
      <c r="H176" s="3556"/>
      <c r="I176" s="3557"/>
    </row>
    <row r="177" spans="1:12" ht="16.8">
      <c r="A177" s="473"/>
      <c r="B177" s="807"/>
      <c r="C177" s="808" t="s">
        <v>140</v>
      </c>
      <c r="D177" s="11" t="s">
        <v>343</v>
      </c>
      <c r="E177" s="33" t="s">
        <v>344</v>
      </c>
      <c r="F177" s="33" t="s">
        <v>482</v>
      </c>
      <c r="G177" s="33" t="s">
        <v>483</v>
      </c>
      <c r="H177" s="33" t="s">
        <v>170</v>
      </c>
      <c r="I177" s="33" t="s">
        <v>171</v>
      </c>
    </row>
    <row r="178" spans="1:12" ht="16.8">
      <c r="A178" s="809" t="s">
        <v>172</v>
      </c>
      <c r="B178" s="807" t="s">
        <v>189</v>
      </c>
      <c r="C178" s="370">
        <v>1</v>
      </c>
      <c r="D178" s="9" t="s">
        <v>583</v>
      </c>
      <c r="E178" s="810">
        <f>+H181*0.05</f>
        <v>642.71923017777772</v>
      </c>
      <c r="F178" s="810"/>
      <c r="G178" s="810"/>
      <c r="H178" s="810"/>
      <c r="I178" s="810">
        <f>+E178*C178</f>
        <v>642.71923017777772</v>
      </c>
    </row>
    <row r="179" spans="1:12" ht="16.8">
      <c r="A179" s="809" t="s">
        <v>348</v>
      </c>
      <c r="B179" s="807" t="s">
        <v>966</v>
      </c>
      <c r="C179" s="34">
        <f>1/9</f>
        <v>0.1111111111111111</v>
      </c>
      <c r="D179" s="9" t="s">
        <v>346</v>
      </c>
      <c r="E179" s="810">
        <f>+AYUDR</f>
        <v>50299.76584</v>
      </c>
      <c r="F179" s="810"/>
      <c r="G179" s="810"/>
      <c r="H179" s="810">
        <f>+E179*C179</f>
        <v>5588.8628711111105</v>
      </c>
      <c r="I179" s="810"/>
    </row>
    <row r="180" spans="1:12" ht="16.8">
      <c r="A180" s="809" t="s">
        <v>347</v>
      </c>
      <c r="B180" s="807" t="s">
        <v>7205</v>
      </c>
      <c r="C180" s="34">
        <f>1/9</f>
        <v>0.1111111111111111</v>
      </c>
      <c r="D180" s="9" t="s">
        <v>346</v>
      </c>
      <c r="E180" s="810">
        <f>+AYUDA</f>
        <v>65389.695592000004</v>
      </c>
      <c r="F180" s="810"/>
      <c r="G180" s="810"/>
      <c r="H180" s="810">
        <f>+E180*C180</f>
        <v>7265.5217324444448</v>
      </c>
      <c r="I180" s="810"/>
    </row>
    <row r="181" spans="1:12" ht="16.8">
      <c r="A181" s="812" t="s">
        <v>190</v>
      </c>
      <c r="B181" s="813">
        <f>SUM(F181:I181)</f>
        <v>13497.103833733332</v>
      </c>
      <c r="C181" s="814"/>
      <c r="D181" s="9"/>
      <c r="E181" s="810"/>
      <c r="F181" s="810">
        <f>+SUM(F178:F180)</f>
        <v>0</v>
      </c>
      <c r="G181" s="810">
        <f t="shared" ref="G181:I181" si="11">+SUM(G178:G180)</f>
        <v>0</v>
      </c>
      <c r="H181" s="810">
        <f t="shared" si="11"/>
        <v>12854.384603555554</v>
      </c>
      <c r="I181" s="810">
        <f t="shared" si="11"/>
        <v>642.71923017777772</v>
      </c>
    </row>
    <row r="182" spans="1:12" ht="16.8">
      <c r="A182" s="812" t="s">
        <v>191</v>
      </c>
      <c r="B182" s="813">
        <f>+B181</f>
        <v>13497.103833733332</v>
      </c>
      <c r="C182" s="815" t="s">
        <v>4696</v>
      </c>
      <c r="D182" s="816"/>
      <c r="E182" s="817"/>
      <c r="F182" s="817"/>
      <c r="G182" s="817"/>
      <c r="H182" s="817"/>
      <c r="I182" s="817"/>
    </row>
    <row r="184" spans="1:12" ht="16.8">
      <c r="A184" s="806"/>
      <c r="B184" s="3555" t="s">
        <v>4698</v>
      </c>
      <c r="C184" s="3556"/>
      <c r="D184" s="3556"/>
      <c r="E184" s="3556"/>
      <c r="F184" s="3556"/>
      <c r="G184" s="3556"/>
      <c r="H184" s="3556"/>
      <c r="I184" s="3557"/>
    </row>
    <row r="185" spans="1:12" ht="16.8">
      <c r="A185" s="473"/>
      <c r="B185" s="807"/>
      <c r="C185" s="808" t="s">
        <v>140</v>
      </c>
      <c r="D185" s="11" t="s">
        <v>343</v>
      </c>
      <c r="E185" s="33" t="s">
        <v>344</v>
      </c>
      <c r="F185" s="33" t="s">
        <v>482</v>
      </c>
      <c r="G185" s="33" t="s">
        <v>483</v>
      </c>
      <c r="H185" s="33" t="s">
        <v>170</v>
      </c>
      <c r="I185" s="33" t="s">
        <v>171</v>
      </c>
    </row>
    <row r="186" spans="1:12" ht="16.8">
      <c r="A186" s="809" t="s">
        <v>172</v>
      </c>
      <c r="B186" s="807" t="s">
        <v>189</v>
      </c>
      <c r="C186" s="370">
        <v>1</v>
      </c>
      <c r="D186" s="9" t="s">
        <v>583</v>
      </c>
      <c r="E186" s="810">
        <f>+H189*0.05</f>
        <v>2224.7973352307695</v>
      </c>
      <c r="F186" s="810"/>
      <c r="G186" s="810"/>
      <c r="H186" s="810"/>
      <c r="I186" s="810">
        <f>+E186*C186</f>
        <v>2224.7973352307695</v>
      </c>
    </row>
    <row r="187" spans="1:12" ht="16.8">
      <c r="A187" s="809" t="s">
        <v>348</v>
      </c>
      <c r="B187" s="807" t="s">
        <v>966</v>
      </c>
      <c r="C187" s="370">
        <f>1/2.6</f>
        <v>0.38461538461538458</v>
      </c>
      <c r="D187" s="9" t="s">
        <v>346</v>
      </c>
      <c r="E187" s="810">
        <f>+AYUDR</f>
        <v>50299.76584</v>
      </c>
      <c r="F187" s="810"/>
      <c r="G187" s="810"/>
      <c r="H187" s="810">
        <f>+E187*C187</f>
        <v>19346.063784615384</v>
      </c>
      <c r="I187" s="810"/>
      <c r="K187" s="2894">
        <f>1/C187</f>
        <v>2.6</v>
      </c>
    </row>
    <row r="188" spans="1:12" ht="16.8">
      <c r="A188" s="809" t="s">
        <v>347</v>
      </c>
      <c r="B188" s="807" t="s">
        <v>7205</v>
      </c>
      <c r="C188" s="370">
        <f>1/2.6</f>
        <v>0.38461538461538458</v>
      </c>
      <c r="D188" s="9" t="s">
        <v>346</v>
      </c>
      <c r="E188" s="810">
        <f>+AYUDA</f>
        <v>65389.695592000004</v>
      </c>
      <c r="F188" s="810"/>
      <c r="G188" s="810"/>
      <c r="H188" s="810">
        <f>+E188*C188</f>
        <v>25149.88292</v>
      </c>
      <c r="I188" s="810"/>
    </row>
    <row r="189" spans="1:12" ht="16.8">
      <c r="A189" s="812" t="s">
        <v>190</v>
      </c>
      <c r="B189" s="813">
        <f>SUM(F189:I189)</f>
        <v>46720.744039846155</v>
      </c>
      <c r="C189" s="814"/>
      <c r="D189" s="9"/>
      <c r="E189" s="810"/>
      <c r="F189" s="810">
        <f>+SUM(F186:F188)</f>
        <v>0</v>
      </c>
      <c r="G189" s="810">
        <f t="shared" ref="G189" si="12">+SUM(G186:G188)</f>
        <v>0</v>
      </c>
      <c r="H189" s="810">
        <f t="shared" ref="H189:I189" si="13">+SUM(H186:H188)</f>
        <v>44495.946704615388</v>
      </c>
      <c r="I189" s="810">
        <f t="shared" si="13"/>
        <v>2224.7973352307695</v>
      </c>
    </row>
    <row r="190" spans="1:12" ht="16.8">
      <c r="A190" s="812" t="s">
        <v>191</v>
      </c>
      <c r="B190" s="813">
        <f>+B189</f>
        <v>46720.744039846155</v>
      </c>
      <c r="C190" s="815" t="s">
        <v>3639</v>
      </c>
      <c r="D190" s="816"/>
      <c r="E190" s="817"/>
      <c r="F190" s="817"/>
      <c r="G190" s="817"/>
      <c r="H190" s="817"/>
      <c r="I190" s="817"/>
    </row>
    <row r="191" spans="1:12" s="61" customFormat="1" ht="16.8">
      <c r="A191" s="721"/>
      <c r="B191" s="2741"/>
      <c r="C191" s="2335"/>
      <c r="D191" s="884"/>
      <c r="E191" s="1701"/>
      <c r="F191" s="1701"/>
      <c r="G191" s="1701"/>
      <c r="H191" s="1701"/>
      <c r="I191" s="1701"/>
      <c r="J191" s="2894"/>
      <c r="K191" s="2894"/>
      <c r="L191" s="2894"/>
    </row>
    <row r="192" spans="1:12" s="61" customFormat="1" ht="16.8">
      <c r="A192" s="721"/>
      <c r="B192" s="2741"/>
      <c r="C192" s="2335"/>
      <c r="D192" s="884"/>
      <c r="E192" s="1701"/>
      <c r="F192" s="1701"/>
      <c r="G192" s="1701"/>
      <c r="H192" s="1701"/>
      <c r="I192" s="1701"/>
      <c r="J192" s="2894"/>
      <c r="K192" s="2894"/>
      <c r="L192" s="2894"/>
    </row>
    <row r="193" spans="1:12" s="61" customFormat="1" ht="18">
      <c r="A193" s="3616" t="s">
        <v>8047</v>
      </c>
      <c r="B193" s="3617"/>
      <c r="C193" s="3617"/>
      <c r="D193" s="3617"/>
      <c r="E193" s="3617"/>
      <c r="F193" s="3617"/>
      <c r="G193" s="3617"/>
      <c r="H193" s="3617"/>
      <c r="I193" s="3618"/>
      <c r="J193" s="2894"/>
      <c r="K193" s="2894"/>
      <c r="L193" s="2894"/>
    </row>
    <row r="194" spans="1:12" s="61" customFormat="1" ht="16.8">
      <c r="A194" s="721"/>
      <c r="B194" s="2741"/>
      <c r="C194" s="2335"/>
      <c r="D194" s="884"/>
      <c r="E194" s="1701"/>
      <c r="F194" s="1701"/>
      <c r="G194" s="1701"/>
      <c r="H194" s="1701"/>
      <c r="I194" s="1701"/>
      <c r="J194" s="2894"/>
      <c r="K194" s="2894"/>
      <c r="L194" s="2894"/>
    </row>
    <row r="195" spans="1:12" ht="16.8">
      <c r="A195" s="806"/>
      <c r="B195" s="3555" t="s">
        <v>4699</v>
      </c>
      <c r="C195" s="3556"/>
      <c r="D195" s="3556"/>
      <c r="E195" s="3556"/>
      <c r="F195" s="3556"/>
      <c r="G195" s="3556"/>
      <c r="H195" s="3556"/>
      <c r="I195" s="3557"/>
    </row>
    <row r="196" spans="1:12" s="402" customFormat="1" ht="15" customHeight="1">
      <c r="A196" s="473"/>
      <c r="B196" s="807"/>
      <c r="C196" s="808" t="s">
        <v>140</v>
      </c>
      <c r="D196" s="11" t="s">
        <v>343</v>
      </c>
      <c r="E196" s="33" t="s">
        <v>344</v>
      </c>
      <c r="F196" s="33" t="s">
        <v>482</v>
      </c>
      <c r="G196" s="33" t="s">
        <v>483</v>
      </c>
      <c r="H196" s="33" t="s">
        <v>170</v>
      </c>
      <c r="I196" s="33" t="s">
        <v>171</v>
      </c>
      <c r="J196" s="2895"/>
      <c r="K196" s="2895">
        <f>1/C197</f>
        <v>168</v>
      </c>
      <c r="L196" s="2895"/>
    </row>
    <row r="197" spans="1:12" s="402" customFormat="1" ht="15" customHeight="1">
      <c r="A197" s="954"/>
      <c r="B197" s="807" t="s">
        <v>6411</v>
      </c>
      <c r="C197" s="370">
        <f>1/(28*6)</f>
        <v>5.9523809523809521E-3</v>
      </c>
      <c r="D197" s="810" t="s">
        <v>735</v>
      </c>
      <c r="E197" s="810">
        <f>+CARGAD</f>
        <v>80000</v>
      </c>
      <c r="F197" s="810">
        <f>+E197*C197</f>
        <v>476.19047619047615</v>
      </c>
      <c r="G197" s="810"/>
      <c r="H197" s="1804"/>
      <c r="I197" s="1804"/>
      <c r="J197" s="2895"/>
      <c r="K197" s="2895"/>
      <c r="L197" s="2895"/>
    </row>
    <row r="198" spans="1:12" ht="18">
      <c r="A198" s="954"/>
      <c r="B198" s="807" t="s">
        <v>6258</v>
      </c>
      <c r="C198" s="370">
        <v>1</v>
      </c>
      <c r="D198" s="810" t="s">
        <v>6251</v>
      </c>
      <c r="E198" s="810">
        <f>+TRANS</f>
        <v>1350</v>
      </c>
      <c r="F198" s="810"/>
      <c r="G198" s="810"/>
      <c r="H198" s="1804"/>
      <c r="I198" s="810">
        <f>+E198*C198</f>
        <v>1350</v>
      </c>
    </row>
    <row r="199" spans="1:12" ht="16.8">
      <c r="A199" s="812" t="s">
        <v>190</v>
      </c>
      <c r="B199" s="813">
        <f>SUM(F199:I199)</f>
        <v>1826.1904761904761</v>
      </c>
      <c r="C199" s="814"/>
      <c r="D199" s="9"/>
      <c r="E199" s="810"/>
      <c r="F199" s="810">
        <f>+SUM(F197:F198)</f>
        <v>476.19047619047615</v>
      </c>
      <c r="G199" s="810">
        <f t="shared" ref="G199:I199" si="14">+SUM(G197:G198)</f>
        <v>0</v>
      </c>
      <c r="H199" s="810">
        <f t="shared" si="14"/>
        <v>0</v>
      </c>
      <c r="I199" s="810">
        <f t="shared" si="14"/>
        <v>1350</v>
      </c>
    </row>
    <row r="200" spans="1:12" ht="16.8">
      <c r="A200" s="812" t="s">
        <v>191</v>
      </c>
      <c r="B200" s="813">
        <f>+B199</f>
        <v>1826.1904761904761</v>
      </c>
      <c r="C200" s="815" t="s">
        <v>3639</v>
      </c>
      <c r="D200" s="816"/>
      <c r="E200" s="817"/>
      <c r="F200" s="817"/>
      <c r="G200" s="817"/>
      <c r="H200" s="817"/>
      <c r="I200" s="817"/>
    </row>
    <row r="201" spans="1:12" s="61" customFormat="1" ht="16.8">
      <c r="A201" s="721"/>
      <c r="B201" s="2741"/>
      <c r="C201" s="2335"/>
      <c r="D201" s="884"/>
      <c r="E201" s="1701"/>
      <c r="F201" s="1701"/>
      <c r="G201" s="1701"/>
      <c r="H201" s="1701"/>
      <c r="I201" s="1701"/>
      <c r="J201" s="2894"/>
      <c r="K201" s="2894"/>
      <c r="L201" s="2894"/>
    </row>
    <row r="202" spans="1:12" s="61" customFormat="1" ht="16.8">
      <c r="A202" s="721"/>
      <c r="B202" s="2741"/>
      <c r="C202" s="2335"/>
      <c r="D202" s="884"/>
      <c r="E202" s="1701"/>
      <c r="F202" s="1701"/>
      <c r="G202" s="1701"/>
      <c r="H202" s="1701"/>
      <c r="I202" s="1701"/>
      <c r="J202" s="2894"/>
      <c r="K202" s="2894"/>
      <c r="L202" s="2894"/>
    </row>
    <row r="203" spans="1:12" s="61" customFormat="1" ht="18">
      <c r="A203" s="3616" t="s">
        <v>8048</v>
      </c>
      <c r="B203" s="3617"/>
      <c r="C203" s="3617"/>
      <c r="D203" s="3617"/>
      <c r="E203" s="3617"/>
      <c r="F203" s="3617"/>
      <c r="G203" s="3617"/>
      <c r="H203" s="3617"/>
      <c r="I203" s="3618"/>
      <c r="J203" s="2894"/>
      <c r="K203" s="2894"/>
      <c r="L203" s="2894"/>
    </row>
    <row r="204" spans="1:12" s="61" customFormat="1">
      <c r="J204" s="2894"/>
      <c r="K204" s="2894"/>
      <c r="L204" s="2894"/>
    </row>
    <row r="205" spans="1:12" ht="16.8">
      <c r="A205" s="806"/>
      <c r="B205" s="3555" t="s">
        <v>4701</v>
      </c>
      <c r="C205" s="3556"/>
      <c r="D205" s="3556"/>
      <c r="E205" s="3556"/>
      <c r="F205" s="3556"/>
      <c r="G205" s="3556"/>
      <c r="H205" s="3556"/>
      <c r="I205" s="3557"/>
    </row>
    <row r="206" spans="1:12" ht="16.8">
      <c r="A206" s="473"/>
      <c r="B206" s="807"/>
      <c r="C206" s="808" t="s">
        <v>140</v>
      </c>
      <c r="D206" s="11" t="s">
        <v>343</v>
      </c>
      <c r="E206" s="33" t="s">
        <v>344</v>
      </c>
      <c r="F206" s="33" t="s">
        <v>482</v>
      </c>
      <c r="G206" s="33" t="s">
        <v>483</v>
      </c>
      <c r="H206" s="33" t="s">
        <v>170</v>
      </c>
      <c r="I206" s="33" t="s">
        <v>171</v>
      </c>
      <c r="K206" s="2894">
        <f>0.6*0.35*0.06</f>
        <v>1.2599999999999998E-2</v>
      </c>
    </row>
    <row r="207" spans="1:12" ht="16.8">
      <c r="A207" s="473"/>
      <c r="B207" s="807" t="s">
        <v>4702</v>
      </c>
      <c r="C207" s="2742">
        <f>0.6*0.35*0.06</f>
        <v>1.2599999999999998E-2</v>
      </c>
      <c r="D207" s="11" t="s">
        <v>3639</v>
      </c>
      <c r="E207" s="33">
        <f>+'BASE CTOS'!B135</f>
        <v>488795.14911417139</v>
      </c>
      <c r="F207" s="33"/>
      <c r="G207" s="33">
        <f>+E207*C207</f>
        <v>6158.8188788385587</v>
      </c>
      <c r="H207" s="33"/>
      <c r="I207" s="33"/>
    </row>
    <row r="208" spans="1:12" ht="16.8">
      <c r="A208" s="473"/>
      <c r="B208" s="807" t="s">
        <v>4703</v>
      </c>
      <c r="C208" s="808">
        <v>0.12</v>
      </c>
      <c r="D208" s="11" t="s">
        <v>94</v>
      </c>
      <c r="E208" s="33">
        <f>+TNOV6</f>
        <v>26532</v>
      </c>
      <c r="F208" s="33"/>
      <c r="G208" s="33">
        <f>+E208*C208</f>
        <v>3183.8399999999997</v>
      </c>
      <c r="H208" s="33"/>
      <c r="I208" s="33"/>
    </row>
    <row r="209" spans="1:12" ht="16.8">
      <c r="A209" s="473"/>
      <c r="B209" s="807" t="s">
        <v>1875</v>
      </c>
      <c r="C209" s="808">
        <v>1.7999999999999999E-2</v>
      </c>
      <c r="D209" s="11" t="s">
        <v>4696</v>
      </c>
      <c r="E209" s="33">
        <f>+FORM3</f>
        <v>17748</v>
      </c>
      <c r="F209" s="33"/>
      <c r="G209" s="33">
        <f>+E209*C209</f>
        <v>319.464</v>
      </c>
      <c r="H209" s="33"/>
      <c r="I209" s="33"/>
    </row>
    <row r="210" spans="1:12" ht="16.8">
      <c r="A210" s="809" t="s">
        <v>172</v>
      </c>
      <c r="B210" s="807" t="s">
        <v>189</v>
      </c>
      <c r="C210" s="370">
        <v>1</v>
      </c>
      <c r="D210" s="9" t="s">
        <v>583</v>
      </c>
      <c r="E210" s="810">
        <f>+H213*0.05</f>
        <v>1928.1576905333336</v>
      </c>
      <c r="F210" s="810"/>
      <c r="G210" s="810"/>
      <c r="H210" s="810"/>
      <c r="I210" s="810">
        <f>+E210*C210</f>
        <v>1928.1576905333336</v>
      </c>
      <c r="K210" s="2894">
        <f>1/C211</f>
        <v>3</v>
      </c>
    </row>
    <row r="211" spans="1:12" ht="16.8">
      <c r="A211" s="809" t="s">
        <v>348</v>
      </c>
      <c r="B211" s="807" t="s">
        <v>966</v>
      </c>
      <c r="C211" s="370">
        <f>1/3</f>
        <v>0.33333333333333331</v>
      </c>
      <c r="D211" s="9" t="s">
        <v>346</v>
      </c>
      <c r="E211" s="810">
        <f>+AYUDR</f>
        <v>50299.76584</v>
      </c>
      <c r="F211" s="810"/>
      <c r="G211" s="810"/>
      <c r="H211" s="810">
        <f>+E211*C211</f>
        <v>16766.588613333333</v>
      </c>
      <c r="I211" s="810"/>
    </row>
    <row r="212" spans="1:12" ht="16.8">
      <c r="A212" s="809" t="s">
        <v>347</v>
      </c>
      <c r="B212" s="807" t="s">
        <v>7205</v>
      </c>
      <c r="C212" s="370">
        <f>1/3</f>
        <v>0.33333333333333331</v>
      </c>
      <c r="D212" s="9" t="s">
        <v>346</v>
      </c>
      <c r="E212" s="810">
        <f>+AYUDA</f>
        <v>65389.695592000004</v>
      </c>
      <c r="F212" s="810"/>
      <c r="G212" s="810"/>
      <c r="H212" s="810">
        <f>+E212*C212</f>
        <v>21796.565197333333</v>
      </c>
      <c r="I212" s="810"/>
    </row>
    <row r="213" spans="1:12" ht="16.8">
      <c r="A213" s="812" t="s">
        <v>190</v>
      </c>
      <c r="B213" s="813">
        <f>SUM(F213:I213)</f>
        <v>50153.434380038561</v>
      </c>
      <c r="C213" s="814"/>
      <c r="D213" s="9"/>
      <c r="E213" s="810"/>
      <c r="F213" s="810">
        <f>+SUM(F207:F212)</f>
        <v>0</v>
      </c>
      <c r="G213" s="810">
        <f t="shared" ref="G213:I213" si="15">+SUM(G207:G212)</f>
        <v>9662.1228788385579</v>
      </c>
      <c r="H213" s="810">
        <f t="shared" si="15"/>
        <v>38563.15381066667</v>
      </c>
      <c r="I213" s="810">
        <f t="shared" si="15"/>
        <v>1928.1576905333336</v>
      </c>
    </row>
    <row r="214" spans="1:12" ht="16.8">
      <c r="A214" s="812" t="s">
        <v>191</v>
      </c>
      <c r="B214" s="813">
        <f>+B213</f>
        <v>50153.434380038561</v>
      </c>
      <c r="C214" s="815" t="s">
        <v>150</v>
      </c>
      <c r="D214" s="816"/>
      <c r="E214" s="817"/>
      <c r="F214" s="817"/>
      <c r="G214" s="817"/>
      <c r="H214" s="817"/>
      <c r="I214" s="817"/>
    </row>
    <row r="215" spans="1:12" s="61" customFormat="1" ht="16.8">
      <c r="A215" s="721"/>
      <c r="B215" s="2741"/>
      <c r="C215" s="2335"/>
      <c r="D215" s="884"/>
      <c r="E215" s="1701"/>
      <c r="F215" s="1701"/>
      <c r="G215" s="1701"/>
      <c r="H215" s="1701"/>
      <c r="I215" s="1701"/>
      <c r="J215" s="2894"/>
      <c r="K215" s="2894"/>
      <c r="L215" s="2894"/>
    </row>
    <row r="216" spans="1:12" s="61" customFormat="1" ht="16.8">
      <c r="A216" s="721"/>
      <c r="B216" s="2741"/>
      <c r="C216" s="2335"/>
      <c r="D216" s="884"/>
      <c r="E216" s="1701"/>
      <c r="F216" s="1701"/>
      <c r="G216" s="1701"/>
      <c r="H216" s="1701"/>
      <c r="I216" s="1701"/>
      <c r="J216" s="2894"/>
      <c r="K216" s="2894"/>
      <c r="L216" s="2894"/>
    </row>
    <row r="217" spans="1:12" s="61" customFormat="1" ht="18">
      <c r="A217" s="3616" t="s">
        <v>8049</v>
      </c>
      <c r="B217" s="3617"/>
      <c r="C217" s="3617"/>
      <c r="D217" s="3617"/>
      <c r="E217" s="3617"/>
      <c r="F217" s="3617"/>
      <c r="G217" s="3617"/>
      <c r="H217" s="3617"/>
      <c r="I217" s="3618"/>
      <c r="J217" s="2894"/>
      <c r="K217" s="2894"/>
      <c r="L217" s="2894"/>
    </row>
    <row r="218" spans="1:12" s="61" customFormat="1" ht="14.25" customHeight="1">
      <c r="J218" s="2894"/>
      <c r="K218" s="2894"/>
      <c r="L218" s="2894"/>
    </row>
    <row r="219" spans="1:12" ht="16.8">
      <c r="A219" s="806"/>
      <c r="B219" s="3552" t="s">
        <v>6552</v>
      </c>
      <c r="C219" s="3553"/>
      <c r="D219" s="3553"/>
      <c r="E219" s="3553"/>
      <c r="F219" s="3553"/>
      <c r="G219" s="3553"/>
      <c r="H219" s="3553"/>
      <c r="I219" s="3554"/>
    </row>
    <row r="220" spans="1:12" ht="16.8">
      <c r="A220" s="473"/>
      <c r="B220" s="807"/>
      <c r="C220" s="808" t="s">
        <v>140</v>
      </c>
      <c r="D220" s="11" t="s">
        <v>343</v>
      </c>
      <c r="E220" s="33" t="s">
        <v>344</v>
      </c>
      <c r="F220" s="33" t="s">
        <v>482</v>
      </c>
      <c r="G220" s="33" t="s">
        <v>483</v>
      </c>
      <c r="H220" s="33" t="s">
        <v>170</v>
      </c>
      <c r="I220" s="33" t="s">
        <v>171</v>
      </c>
    </row>
    <row r="221" spans="1:12" ht="16.8">
      <c r="A221" s="473"/>
      <c r="B221" s="2190" t="s">
        <v>6557</v>
      </c>
      <c r="C221" s="808">
        <f>1/10</f>
        <v>0.1</v>
      </c>
      <c r="D221" s="11" t="s">
        <v>346</v>
      </c>
      <c r="E221" s="33">
        <f>+'BASE 2'!D707</f>
        <v>5000</v>
      </c>
      <c r="F221" s="33">
        <f>+C221*E221</f>
        <v>500</v>
      </c>
      <c r="G221" s="33"/>
      <c r="H221" s="33"/>
      <c r="I221" s="33"/>
    </row>
    <row r="222" spans="1:12" ht="16.8">
      <c r="A222" s="473"/>
      <c r="B222" s="2190" t="s">
        <v>6556</v>
      </c>
      <c r="C222" s="808">
        <f>1/8</f>
        <v>0.125</v>
      </c>
      <c r="D222" s="11" t="s">
        <v>363</v>
      </c>
      <c r="E222" s="33">
        <v>12500</v>
      </c>
      <c r="F222" s="33"/>
      <c r="G222" s="33">
        <f>+C222*E222</f>
        <v>1562.5</v>
      </c>
      <c r="H222" s="33"/>
      <c r="I222" s="33"/>
    </row>
    <row r="223" spans="1:12" ht="16.8">
      <c r="A223" s="809" t="s">
        <v>172</v>
      </c>
      <c r="B223" s="807" t="s">
        <v>189</v>
      </c>
      <c r="C223" s="2191">
        <v>1</v>
      </c>
      <c r="D223" s="9" t="s">
        <v>583</v>
      </c>
      <c r="E223" s="810">
        <f>+H225*0.05</f>
        <v>326.94847796000005</v>
      </c>
      <c r="F223" s="810"/>
      <c r="G223" s="810"/>
      <c r="H223" s="810"/>
      <c r="I223" s="810">
        <f>+E223*C223</f>
        <v>326.94847796000005</v>
      </c>
    </row>
    <row r="224" spans="1:12" ht="14.4">
      <c r="A224" s="809" t="s">
        <v>347</v>
      </c>
      <c r="B224" s="811" t="s">
        <v>266</v>
      </c>
      <c r="C224" s="808">
        <f>1/10</f>
        <v>0.1</v>
      </c>
      <c r="D224" s="9" t="s">
        <v>346</v>
      </c>
      <c r="E224" s="810">
        <f>+AYUDA</f>
        <v>65389.695592000004</v>
      </c>
      <c r="F224" s="810"/>
      <c r="G224" s="810"/>
      <c r="H224" s="810">
        <f>+E224*C224</f>
        <v>6538.9695592000007</v>
      </c>
      <c r="I224" s="810"/>
    </row>
    <row r="225" spans="1:12" ht="16.8">
      <c r="A225" s="812" t="s">
        <v>190</v>
      </c>
      <c r="B225" s="813">
        <f>SUM(F225:I225)</f>
        <v>8928.4180371600014</v>
      </c>
      <c r="C225" s="814"/>
      <c r="D225" s="9"/>
      <c r="E225" s="810"/>
      <c r="F225" s="810">
        <f>+SUM(F221:F224)</f>
        <v>500</v>
      </c>
      <c r="G225" s="810">
        <f t="shared" ref="G225:I225" si="16">+SUM(G221:G224)</f>
        <v>1562.5</v>
      </c>
      <c r="H225" s="810">
        <f t="shared" si="16"/>
        <v>6538.9695592000007</v>
      </c>
      <c r="I225" s="810">
        <f t="shared" si="16"/>
        <v>326.94847796000005</v>
      </c>
    </row>
    <row r="226" spans="1:12" ht="16.8">
      <c r="A226" s="812" t="s">
        <v>191</v>
      </c>
      <c r="B226" s="2740">
        <f>+B225</f>
        <v>8928.4180371600014</v>
      </c>
      <c r="C226" s="815" t="s">
        <v>150</v>
      </c>
      <c r="D226" s="816"/>
      <c r="E226" s="817"/>
      <c r="F226" s="817"/>
      <c r="G226" s="817"/>
      <c r="H226" s="817"/>
      <c r="I226" s="817"/>
    </row>
    <row r="227" spans="1:12" s="1918" customFormat="1" ht="14.4" hidden="1">
      <c r="A227" s="492"/>
      <c r="B227" s="492"/>
      <c r="C227" s="492"/>
      <c r="D227" s="492"/>
      <c r="E227" s="492"/>
      <c r="F227" s="492"/>
      <c r="G227" s="492"/>
      <c r="H227" s="492"/>
      <c r="I227" s="492"/>
      <c r="J227" s="2901"/>
      <c r="K227" s="2901"/>
      <c r="L227" s="2901"/>
    </row>
    <row r="228" spans="1:12" s="1918" customFormat="1" ht="16.8" hidden="1">
      <c r="A228" s="1300"/>
      <c r="B228" s="3630" t="s">
        <v>4705</v>
      </c>
      <c r="C228" s="3630"/>
      <c r="D228" s="3630"/>
      <c r="E228" s="3630"/>
      <c r="F228" s="3630"/>
      <c r="G228" s="3630"/>
      <c r="H228" s="3630"/>
      <c r="I228" s="3630"/>
      <c r="J228" s="2901"/>
      <c r="K228" s="2901"/>
      <c r="L228" s="2901"/>
    </row>
    <row r="229" spans="1:12" s="1918" customFormat="1" ht="16.8" hidden="1">
      <c r="A229" s="1301"/>
      <c r="B229" s="1302"/>
      <c r="C229" s="1303" t="s">
        <v>140</v>
      </c>
      <c r="D229" s="1304" t="s">
        <v>343</v>
      </c>
      <c r="E229" s="1305" t="s">
        <v>344</v>
      </c>
      <c r="F229" s="1305" t="s">
        <v>482</v>
      </c>
      <c r="G229" s="1305" t="s">
        <v>483</v>
      </c>
      <c r="H229" s="1305" t="s">
        <v>232</v>
      </c>
      <c r="I229" s="1305" t="s">
        <v>171</v>
      </c>
      <c r="J229" s="2901"/>
      <c r="K229" s="2901"/>
      <c r="L229" s="2901"/>
    </row>
    <row r="230" spans="1:12" s="1918" customFormat="1" ht="16.8" hidden="1">
      <c r="A230" s="1301" t="s">
        <v>172</v>
      </c>
      <c r="B230" s="1302" t="s">
        <v>189</v>
      </c>
      <c r="C230" s="1306">
        <v>1</v>
      </c>
      <c r="D230" s="1307" t="s">
        <v>583</v>
      </c>
      <c r="E230" s="1308">
        <v>50</v>
      </c>
      <c r="F230" s="1308"/>
      <c r="G230" s="1308"/>
      <c r="H230" s="1308"/>
      <c r="I230" s="1308">
        <f>+E230*C230</f>
        <v>50</v>
      </c>
      <c r="J230" s="2901"/>
      <c r="K230" s="2901"/>
      <c r="L230" s="2901"/>
    </row>
    <row r="231" spans="1:12" s="1918" customFormat="1" ht="16.8" hidden="1">
      <c r="A231" s="1301" t="s">
        <v>865</v>
      </c>
      <c r="B231" s="1302" t="s">
        <v>866</v>
      </c>
      <c r="C231" s="1306">
        <v>3.2000000000000001E-2</v>
      </c>
      <c r="D231" s="1307" t="s">
        <v>647</v>
      </c>
      <c r="E231" s="1305">
        <f>+ALANR</f>
        <v>3000</v>
      </c>
      <c r="F231" s="1308"/>
      <c r="G231" s="1308">
        <f>+E231*C231</f>
        <v>96</v>
      </c>
      <c r="H231" s="1308"/>
      <c r="I231" s="1308"/>
      <c r="J231" s="2901"/>
      <c r="K231" s="2901"/>
      <c r="L231" s="2901"/>
    </row>
    <row r="232" spans="1:12" s="1918" customFormat="1" ht="16.8" hidden="1">
      <c r="A232" s="1301" t="s">
        <v>867</v>
      </c>
      <c r="B232" s="1302" t="s">
        <v>4706</v>
      </c>
      <c r="C232" s="1306">
        <v>1</v>
      </c>
      <c r="D232" s="1307" t="s">
        <v>647</v>
      </c>
      <c r="E232" s="1305">
        <f>+A60FI</f>
        <v>3200</v>
      </c>
      <c r="F232" s="1308"/>
      <c r="G232" s="1308">
        <f>+E232*C232</f>
        <v>3200</v>
      </c>
      <c r="H232" s="1308"/>
      <c r="I232" s="1308"/>
      <c r="J232" s="2901">
        <f>1/0.065</f>
        <v>15.384615384615383</v>
      </c>
      <c r="K232" s="2901">
        <f>1/250</f>
        <v>4.0000000000000001E-3</v>
      </c>
      <c r="L232" s="2901"/>
    </row>
    <row r="233" spans="1:12" s="1918" customFormat="1" ht="16.8" hidden="1">
      <c r="A233" s="1309" t="s">
        <v>345</v>
      </c>
      <c r="B233" s="1310" t="str">
        <f>IF(PRESTA&gt;0,"OFICIAL (INCLUYE "&amp;""&amp;PRESTA*100&amp;"% PRESTACIONES)",0)</f>
        <v>OFICIAL (INCLUYE 82,22% PRESTACIONES)</v>
      </c>
      <c r="C233" s="1306">
        <f>0.065/16</f>
        <v>4.0625000000000001E-3</v>
      </c>
      <c r="D233" s="1307" t="s">
        <v>346</v>
      </c>
      <c r="E233" s="1308">
        <f>+OFICI</f>
        <v>80479.625344</v>
      </c>
      <c r="F233" s="1308"/>
      <c r="G233" s="1308"/>
      <c r="H233" s="1308">
        <f>+E233*C233</f>
        <v>326.94847795999999</v>
      </c>
      <c r="I233" s="1308"/>
      <c r="J233" s="2901"/>
      <c r="K233" s="2901"/>
      <c r="L233" s="2901"/>
    </row>
    <row r="234" spans="1:12" s="1918" customFormat="1" ht="16.8" hidden="1">
      <c r="A234" s="1309" t="s">
        <v>347</v>
      </c>
      <c r="B234" s="1310" t="str">
        <f>IF(PRESTA&gt;0,"AYUD. ENTENDIDO (INCLUYE "&amp;""&amp;PRESTA*100&amp;"% PRESTACIONES)",0)</f>
        <v>AYUD. ENTENDIDO (INCLUYE 82,22% PRESTACIONES)</v>
      </c>
      <c r="C234" s="1306">
        <f>0.065/16</f>
        <v>4.0625000000000001E-3</v>
      </c>
      <c r="D234" s="1307" t="s">
        <v>346</v>
      </c>
      <c r="E234" s="1308">
        <f>+AYUDA</f>
        <v>65389.695592000004</v>
      </c>
      <c r="F234" s="1308"/>
      <c r="G234" s="1308"/>
      <c r="H234" s="1308">
        <f>+E234*C234</f>
        <v>265.64563834250004</v>
      </c>
      <c r="I234" s="1308"/>
      <c r="J234" s="2901"/>
      <c r="K234" s="2901"/>
      <c r="L234" s="2901"/>
    </row>
    <row r="235" spans="1:12" s="1918" customFormat="1" ht="16.8" hidden="1">
      <c r="A235" s="1312" t="s">
        <v>190</v>
      </c>
      <c r="B235" s="1313">
        <f>SUM(F235:I235)</f>
        <v>3938.5941163025</v>
      </c>
      <c r="C235" s="1303"/>
      <c r="D235" s="1307"/>
      <c r="E235" s="1308"/>
      <c r="F235" s="1308">
        <f>+SUM(F230:F234)</f>
        <v>0</v>
      </c>
      <c r="G235" s="1308">
        <f t="shared" ref="G235:I235" si="17">+SUM(G230:G234)</f>
        <v>3296</v>
      </c>
      <c r="H235" s="1308">
        <f t="shared" si="17"/>
        <v>592.59411630249997</v>
      </c>
      <c r="I235" s="1308">
        <f t="shared" si="17"/>
        <v>50</v>
      </c>
      <c r="J235" s="2901"/>
      <c r="K235" s="2901"/>
      <c r="L235" s="2901"/>
    </row>
    <row r="236" spans="1:12" s="1918" customFormat="1" ht="16.8" hidden="1">
      <c r="A236" s="1312" t="s">
        <v>191</v>
      </c>
      <c r="B236" s="1313">
        <f>+B235</f>
        <v>3938.5941163025</v>
      </c>
      <c r="C236" s="1314" t="s">
        <v>647</v>
      </c>
      <c r="D236" s="1315"/>
      <c r="E236" s="1316"/>
      <c r="F236" s="1316"/>
      <c r="G236" s="1316"/>
      <c r="H236" s="1316"/>
      <c r="I236" s="1316"/>
      <c r="J236" s="2901"/>
      <c r="K236" s="2901"/>
      <c r="L236" s="2901"/>
    </row>
    <row r="237" spans="1:12" s="1918" customFormat="1" ht="14.4">
      <c r="J237" s="2901"/>
      <c r="K237" s="2901"/>
      <c r="L237" s="2901"/>
    </row>
    <row r="238" spans="1:12" s="1918" customFormat="1" ht="14.4">
      <c r="J238" s="2901"/>
      <c r="K238" s="2901"/>
      <c r="L238" s="2901"/>
    </row>
    <row r="239" spans="1:12" s="61" customFormat="1" ht="18">
      <c r="A239" s="3616" t="s">
        <v>8050</v>
      </c>
      <c r="B239" s="3617"/>
      <c r="C239" s="3617"/>
      <c r="D239" s="3617"/>
      <c r="E239" s="3617"/>
      <c r="F239" s="3617"/>
      <c r="G239" s="3617"/>
      <c r="H239" s="3617"/>
      <c r="I239" s="3618"/>
      <c r="J239" s="2894"/>
      <c r="K239" s="2894"/>
      <c r="L239" s="2894"/>
    </row>
    <row r="240" spans="1:12" s="1918" customFormat="1" ht="14.4">
      <c r="J240" s="2901"/>
      <c r="K240" s="2901"/>
      <c r="L240" s="2901"/>
    </row>
    <row r="241" spans="1:12" s="1918" customFormat="1" ht="16.8">
      <c r="A241" s="1318"/>
      <c r="B241" s="3849" t="s">
        <v>6570</v>
      </c>
      <c r="C241" s="3849"/>
      <c r="D241" s="3849"/>
      <c r="E241" s="3849"/>
      <c r="F241" s="3849"/>
      <c r="G241" s="3849"/>
      <c r="H241" s="3849"/>
      <c r="I241" s="3849"/>
      <c r="J241" s="2901"/>
      <c r="K241" s="2901"/>
      <c r="L241" s="2901"/>
    </row>
    <row r="242" spans="1:12" s="1918" customFormat="1" ht="16.8">
      <c r="A242" s="1319"/>
      <c r="B242" s="1320"/>
      <c r="C242" s="1319" t="s">
        <v>140</v>
      </c>
      <c r="D242" s="1319" t="s">
        <v>343</v>
      </c>
      <c r="E242" s="1319" t="s">
        <v>344</v>
      </c>
      <c r="F242" s="1319" t="s">
        <v>482</v>
      </c>
      <c r="G242" s="1319" t="s">
        <v>483</v>
      </c>
      <c r="H242" s="1319" t="s">
        <v>170</v>
      </c>
      <c r="I242" s="1319" t="s">
        <v>171</v>
      </c>
      <c r="J242" s="2901">
        <f>1/C243</f>
        <v>2.5</v>
      </c>
      <c r="K242" s="2901"/>
      <c r="L242" s="2901"/>
    </row>
    <row r="243" spans="1:12" s="1918" customFormat="1" ht="16.8">
      <c r="A243" s="1319" t="s">
        <v>258</v>
      </c>
      <c r="B243" s="1320" t="s">
        <v>247</v>
      </c>
      <c r="C243" s="2191">
        <f>1/2.5</f>
        <v>0.4</v>
      </c>
      <c r="D243" s="1323" t="s">
        <v>717</v>
      </c>
      <c r="E243" s="2149">
        <f>+VIBGA</f>
        <v>47000</v>
      </c>
      <c r="F243" s="2149">
        <f>+C243*E243</f>
        <v>18800</v>
      </c>
      <c r="G243" s="2149"/>
      <c r="H243" s="2149"/>
      <c r="I243" s="2149"/>
      <c r="J243" s="2901"/>
      <c r="K243" s="2901"/>
      <c r="L243" s="2901"/>
    </row>
    <row r="244" spans="1:12" s="1918" customFormat="1" ht="16.8">
      <c r="A244" s="1319" t="s">
        <v>172</v>
      </c>
      <c r="B244" s="1320" t="s">
        <v>189</v>
      </c>
      <c r="C244" s="2191">
        <v>1</v>
      </c>
      <c r="D244" s="1323" t="s">
        <v>583</v>
      </c>
      <c r="E244" s="2149">
        <f>+H252*0.05</f>
        <v>7645.5644076800008</v>
      </c>
      <c r="F244" s="2149"/>
      <c r="G244" s="2149"/>
      <c r="H244" s="2149"/>
      <c r="I244" s="2149">
        <f>+E244*C244</f>
        <v>7645.5644076800008</v>
      </c>
      <c r="J244" s="2901"/>
      <c r="K244" s="2901">
        <f>1/4</f>
        <v>0.25</v>
      </c>
      <c r="L244" s="2901"/>
    </row>
    <row r="245" spans="1:12" s="1918" customFormat="1" ht="16.8">
      <c r="A245" s="1319" t="s">
        <v>248</v>
      </c>
      <c r="B245" s="1320" t="s">
        <v>249</v>
      </c>
      <c r="C245" s="2191">
        <v>3</v>
      </c>
      <c r="D245" s="1323" t="s">
        <v>363</v>
      </c>
      <c r="E245" s="2743">
        <f>TELEP</f>
        <v>15000</v>
      </c>
      <c r="F245" s="2744"/>
      <c r="G245" s="2149">
        <f>+E245*C245</f>
        <v>45000</v>
      </c>
      <c r="H245" s="2149"/>
      <c r="I245" s="2149"/>
      <c r="J245" s="2901"/>
      <c r="K245" s="2901">
        <f>1/C245</f>
        <v>0.33333333333333331</v>
      </c>
      <c r="L245" s="2901"/>
    </row>
    <row r="246" spans="1:12" s="1918" customFormat="1" ht="16.8">
      <c r="A246" s="1319" t="s">
        <v>250</v>
      </c>
      <c r="B246" s="1320" t="s">
        <v>251</v>
      </c>
      <c r="C246" s="2191">
        <v>2</v>
      </c>
      <c r="D246" s="1323" t="s">
        <v>647</v>
      </c>
      <c r="E246" s="2149">
        <f>+PLAST</f>
        <v>8896</v>
      </c>
      <c r="F246" s="2149"/>
      <c r="G246" s="2149">
        <f>+E246*C246</f>
        <v>17792</v>
      </c>
      <c r="H246" s="2149"/>
      <c r="I246" s="2149"/>
      <c r="J246" s="2901"/>
      <c r="K246" s="2901"/>
      <c r="L246" s="2901"/>
    </row>
    <row r="247" spans="1:12" s="1918" customFormat="1" ht="16.8">
      <c r="A247" s="1319" t="s">
        <v>261</v>
      </c>
      <c r="B247" s="1320" t="s">
        <v>7944</v>
      </c>
      <c r="C247" s="2191">
        <v>4</v>
      </c>
      <c r="D247" s="1323" t="s">
        <v>363</v>
      </c>
      <c r="E247" s="2149">
        <v>3300</v>
      </c>
      <c r="F247" s="2149"/>
      <c r="G247" s="2149">
        <f>+E247*C247</f>
        <v>13200</v>
      </c>
      <c r="H247" s="2149"/>
      <c r="I247" s="2149"/>
      <c r="J247" s="2901"/>
      <c r="K247" s="2901"/>
      <c r="L247" s="2901"/>
    </row>
    <row r="248" spans="1:12" s="1918" customFormat="1" ht="16.8">
      <c r="A248" s="1319" t="s">
        <v>263</v>
      </c>
      <c r="B248" s="1320" t="s">
        <v>264</v>
      </c>
      <c r="C248" s="2191">
        <v>3</v>
      </c>
      <c r="D248" s="1323" t="s">
        <v>374</v>
      </c>
      <c r="E248" s="2149">
        <f>+PUNTI</f>
        <v>1632</v>
      </c>
      <c r="F248" s="2149"/>
      <c r="G248" s="2149">
        <f>+E248*C248</f>
        <v>4896</v>
      </c>
      <c r="H248" s="2149"/>
      <c r="I248" s="2149"/>
      <c r="J248" s="2901"/>
      <c r="K248" s="2901"/>
      <c r="L248" s="2901"/>
    </row>
    <row r="249" spans="1:12" s="1918" customFormat="1" ht="16.8">
      <c r="A249" s="1319" t="s">
        <v>345</v>
      </c>
      <c r="B249" s="1320" t="s">
        <v>6439</v>
      </c>
      <c r="C249" s="2191">
        <f t="shared" ref="C249:C250" si="18">1/2.5</f>
        <v>0.4</v>
      </c>
      <c r="D249" s="1323" t="s">
        <v>346</v>
      </c>
      <c r="E249" s="2149">
        <f>+OFICI</f>
        <v>80479.625344</v>
      </c>
      <c r="F249" s="2149"/>
      <c r="G249" s="2149"/>
      <c r="H249" s="2149">
        <f>+E249*C249</f>
        <v>32191.850137600002</v>
      </c>
      <c r="I249" s="2149"/>
      <c r="J249" s="2901"/>
      <c r="K249" s="2901"/>
      <c r="L249" s="2901"/>
    </row>
    <row r="250" spans="1:12" s="1918" customFormat="1" ht="16.8">
      <c r="A250" s="1319" t="s">
        <v>348</v>
      </c>
      <c r="B250" s="1320" t="s">
        <v>966</v>
      </c>
      <c r="C250" s="2191">
        <f t="shared" si="18"/>
        <v>0.4</v>
      </c>
      <c r="D250" s="1323" t="s">
        <v>346</v>
      </c>
      <c r="E250" s="2149">
        <f>+AYUDR*6</f>
        <v>301798.59503999999</v>
      </c>
      <c r="F250" s="2149"/>
      <c r="G250" s="2149"/>
      <c r="H250" s="2149">
        <f>+E250*C250</f>
        <v>120719.438016</v>
      </c>
      <c r="I250" s="2149"/>
      <c r="J250" s="2901"/>
      <c r="K250" s="2901"/>
      <c r="L250" s="2901"/>
    </row>
    <row r="251" spans="1:12" s="1918" customFormat="1" ht="16.8">
      <c r="A251" s="1319" t="s">
        <v>1112</v>
      </c>
      <c r="B251" s="1320" t="s">
        <v>6568</v>
      </c>
      <c r="C251" s="2191">
        <v>1.02</v>
      </c>
      <c r="D251" s="1323" t="s">
        <v>1292</v>
      </c>
      <c r="E251" s="2149">
        <f>+'BASE CTOS'!B135</f>
        <v>488795.14911417139</v>
      </c>
      <c r="F251" s="2149"/>
      <c r="G251" s="2149">
        <f>+E251*C251</f>
        <v>498571.05209645483</v>
      </c>
      <c r="H251" s="2149"/>
      <c r="I251" s="2149"/>
      <c r="J251" s="2901"/>
      <c r="K251" s="2901"/>
      <c r="L251" s="2901"/>
    </row>
    <row r="252" spans="1:12" s="1918" customFormat="1" ht="16.8">
      <c r="A252" s="1325" t="s">
        <v>190</v>
      </c>
      <c r="B252" s="1326">
        <f>ROUND(SUM(F252:I252),0)</f>
        <v>758816</v>
      </c>
      <c r="C252" s="1323"/>
      <c r="D252" s="1323"/>
      <c r="E252" s="1319"/>
      <c r="F252" s="2149">
        <f>SUM(F243:F251)</f>
        <v>18800</v>
      </c>
      <c r="G252" s="2149">
        <f>SUM(G243:G251)</f>
        <v>579459.05209645489</v>
      </c>
      <c r="H252" s="2149">
        <f>SUM(H243:H251)</f>
        <v>152911.28815360001</v>
      </c>
      <c r="I252" s="2149">
        <f>SUM(I243:I251)</f>
        <v>7645.5644076800008</v>
      </c>
      <c r="J252" s="2901"/>
      <c r="K252" s="2901"/>
      <c r="L252" s="2901"/>
    </row>
    <row r="253" spans="1:12" s="1918" customFormat="1" ht="16.8">
      <c r="A253" s="1325" t="s">
        <v>191</v>
      </c>
      <c r="B253" s="1326">
        <f>+B252</f>
        <v>758816</v>
      </c>
      <c r="C253" s="1328" t="s">
        <v>356</v>
      </c>
      <c r="D253" s="1329"/>
      <c r="E253" s="1329"/>
      <c r="F253" s="1329"/>
      <c r="G253" s="1329"/>
      <c r="H253" s="1330"/>
      <c r="I253" s="1330"/>
      <c r="J253" s="2901"/>
      <c r="K253" s="2901"/>
      <c r="L253" s="2901"/>
    </row>
    <row r="254" spans="1:12" s="1918" customFormat="1" ht="14.4">
      <c r="J254" s="2901"/>
      <c r="K254" s="2901"/>
      <c r="L254" s="2901"/>
    </row>
    <row r="255" spans="1:12" s="1918" customFormat="1" ht="16.8">
      <c r="A255" s="1318"/>
      <c r="B255" s="3849" t="s">
        <v>6554</v>
      </c>
      <c r="C255" s="3849"/>
      <c r="D255" s="3849"/>
      <c r="E255" s="3849"/>
      <c r="F255" s="3849"/>
      <c r="G255" s="3849"/>
      <c r="H255" s="3849"/>
      <c r="I255" s="3849"/>
      <c r="J255" s="2901"/>
      <c r="K255" s="2901"/>
      <c r="L255" s="2901"/>
    </row>
    <row r="256" spans="1:12" s="1918" customFormat="1" ht="16.8">
      <c r="A256" s="1319"/>
      <c r="B256" s="1320"/>
      <c r="C256" s="1319" t="s">
        <v>140</v>
      </c>
      <c r="D256" s="1319" t="s">
        <v>343</v>
      </c>
      <c r="E256" s="1319" t="s">
        <v>344</v>
      </c>
      <c r="F256" s="1319" t="s">
        <v>482</v>
      </c>
      <c r="G256" s="1319" t="s">
        <v>483</v>
      </c>
      <c r="H256" s="1319" t="s">
        <v>170</v>
      </c>
      <c r="I256" s="1319" t="s">
        <v>171</v>
      </c>
      <c r="J256" s="2901"/>
      <c r="K256" s="2901"/>
      <c r="L256" s="2901"/>
    </row>
    <row r="257" spans="1:12" s="1918" customFormat="1" ht="16.8">
      <c r="A257" s="1319" t="s">
        <v>256</v>
      </c>
      <c r="B257" s="1320" t="s">
        <v>257</v>
      </c>
      <c r="C257" s="2191">
        <v>36</v>
      </c>
      <c r="D257" s="1323" t="s">
        <v>346</v>
      </c>
      <c r="E257" s="2149">
        <v>260</v>
      </c>
      <c r="F257" s="2149">
        <f>+C257*E257</f>
        <v>9360</v>
      </c>
      <c r="G257" s="2149"/>
      <c r="H257" s="2149"/>
      <c r="I257" s="2149"/>
      <c r="J257" s="2901"/>
      <c r="K257" s="2901"/>
      <c r="L257" s="2901"/>
    </row>
    <row r="258" spans="1:12" s="1918" customFormat="1" ht="16.8">
      <c r="A258" s="1319" t="s">
        <v>258</v>
      </c>
      <c r="B258" s="1320" t="s">
        <v>247</v>
      </c>
      <c r="C258" s="2191">
        <f>1/2.5</f>
        <v>0.4</v>
      </c>
      <c r="D258" s="1323" t="s">
        <v>717</v>
      </c>
      <c r="E258" s="2149">
        <f>+VIBGA</f>
        <v>47000</v>
      </c>
      <c r="F258" s="2149">
        <f>+C258*E258</f>
        <v>18800</v>
      </c>
      <c r="G258" s="2149"/>
      <c r="H258" s="2149"/>
      <c r="I258" s="2149"/>
      <c r="J258" s="2901"/>
      <c r="K258" s="2901"/>
      <c r="L258" s="2901"/>
    </row>
    <row r="259" spans="1:12" s="1918" customFormat="1" ht="16.8">
      <c r="A259" s="1319" t="s">
        <v>172</v>
      </c>
      <c r="B259" s="1320" t="s">
        <v>189</v>
      </c>
      <c r="C259" s="2191">
        <v>1</v>
      </c>
      <c r="D259" s="1323" t="s">
        <v>583</v>
      </c>
      <c r="E259" s="2149">
        <f>+H268*0.05</f>
        <v>7645.5644076800008</v>
      </c>
      <c r="F259" s="2149"/>
      <c r="G259" s="2149"/>
      <c r="H259" s="2149"/>
      <c r="I259" s="2149">
        <f>+E259*C259</f>
        <v>7645.5644076800008</v>
      </c>
      <c r="J259" s="2901"/>
      <c r="K259" s="2901"/>
      <c r="L259" s="2901"/>
    </row>
    <row r="260" spans="1:12" s="1918" customFormat="1" ht="16.8">
      <c r="A260" s="1319" t="s">
        <v>248</v>
      </c>
      <c r="B260" s="1320" t="s">
        <v>249</v>
      </c>
      <c r="C260" s="2191">
        <v>4</v>
      </c>
      <c r="D260" s="1323" t="s">
        <v>363</v>
      </c>
      <c r="E260" s="2149">
        <f>+TELEP</f>
        <v>15000</v>
      </c>
      <c r="F260" s="2745"/>
      <c r="G260" s="2149">
        <f>+E260*C260</f>
        <v>60000</v>
      </c>
      <c r="H260" s="2149"/>
      <c r="I260" s="2149"/>
      <c r="J260" s="2901"/>
      <c r="K260" s="2901"/>
      <c r="L260" s="2901"/>
    </row>
    <row r="261" spans="1:12" s="1918" customFormat="1" ht="16.8">
      <c r="A261" s="1319"/>
      <c r="B261" s="1320" t="s">
        <v>423</v>
      </c>
      <c r="C261" s="2191">
        <v>1.2</v>
      </c>
      <c r="D261" s="1323" t="s">
        <v>717</v>
      </c>
      <c r="E261" s="2149">
        <v>25000</v>
      </c>
      <c r="F261" s="2149"/>
      <c r="G261" s="2149">
        <f>+C261*E261</f>
        <v>30000</v>
      </c>
      <c r="H261" s="2149"/>
      <c r="I261" s="2149"/>
      <c r="J261" s="2901"/>
      <c r="K261" s="2901"/>
      <c r="L261" s="2901"/>
    </row>
    <row r="262" spans="1:12" s="1918" customFormat="1" ht="16.8">
      <c r="A262" s="1319" t="s">
        <v>250</v>
      </c>
      <c r="B262" s="1320" t="s">
        <v>251</v>
      </c>
      <c r="C262" s="2191">
        <v>2</v>
      </c>
      <c r="D262" s="1323" t="s">
        <v>647</v>
      </c>
      <c r="E262" s="2149">
        <f>+PLAST</f>
        <v>8896</v>
      </c>
      <c r="F262" s="2149"/>
      <c r="G262" s="2149">
        <f>+E262*C262</f>
        <v>17792</v>
      </c>
      <c r="H262" s="2149"/>
      <c r="I262" s="2149"/>
      <c r="J262" s="2901"/>
      <c r="K262" s="2901"/>
      <c r="L262" s="2901"/>
    </row>
    <row r="263" spans="1:12" s="1918" customFormat="1" ht="16.8">
      <c r="A263" s="1319" t="s">
        <v>261</v>
      </c>
      <c r="B263" s="1320" t="s">
        <v>262</v>
      </c>
      <c r="C263" s="2191">
        <v>4</v>
      </c>
      <c r="D263" s="1323" t="s">
        <v>363</v>
      </c>
      <c r="E263" s="2149">
        <v>3300</v>
      </c>
      <c r="F263" s="2149"/>
      <c r="G263" s="2149">
        <f>+E263*C263</f>
        <v>13200</v>
      </c>
      <c r="H263" s="2149"/>
      <c r="I263" s="2149"/>
      <c r="J263" s="2901"/>
      <c r="K263" s="2901"/>
      <c r="L263" s="2901"/>
    </row>
    <row r="264" spans="1:12" s="1918" customFormat="1" ht="16.8">
      <c r="A264" s="1319" t="s">
        <v>263</v>
      </c>
      <c r="B264" s="1320" t="s">
        <v>264</v>
      </c>
      <c r="C264" s="2191">
        <v>3</v>
      </c>
      <c r="D264" s="1323" t="s">
        <v>374</v>
      </c>
      <c r="E264" s="2149">
        <f>+PUNTI</f>
        <v>1632</v>
      </c>
      <c r="F264" s="2149"/>
      <c r="G264" s="2149">
        <f>+E264*C264</f>
        <v>4896</v>
      </c>
      <c r="H264" s="2149"/>
      <c r="I264" s="2149"/>
      <c r="J264" s="2901">
        <f>1/C265</f>
        <v>2.5</v>
      </c>
      <c r="K264" s="2901"/>
      <c r="L264" s="2901"/>
    </row>
    <row r="265" spans="1:12" s="1918" customFormat="1" ht="16.8">
      <c r="A265" s="1319" t="s">
        <v>345</v>
      </c>
      <c r="B265" s="1320" t="s">
        <v>6439</v>
      </c>
      <c r="C265" s="2191">
        <f t="shared" ref="C265:C266" si="19">1/2.5</f>
        <v>0.4</v>
      </c>
      <c r="D265" s="1323" t="s">
        <v>346</v>
      </c>
      <c r="E265" s="2149">
        <f>+OFICI</f>
        <v>80479.625344</v>
      </c>
      <c r="F265" s="2149"/>
      <c r="G265" s="2149"/>
      <c r="H265" s="2149">
        <f>+E265*C265</f>
        <v>32191.850137600002</v>
      </c>
      <c r="I265" s="2149"/>
      <c r="J265" s="2901">
        <f t="shared" ref="J265" si="20">1/C266</f>
        <v>2.5</v>
      </c>
      <c r="K265" s="2901"/>
      <c r="L265" s="2901"/>
    </row>
    <row r="266" spans="1:12" s="1918" customFormat="1" ht="16.8">
      <c r="A266" s="1319" t="s">
        <v>348</v>
      </c>
      <c r="B266" s="1320" t="s">
        <v>966</v>
      </c>
      <c r="C266" s="2191">
        <f t="shared" si="19"/>
        <v>0.4</v>
      </c>
      <c r="D266" s="1323" t="s">
        <v>346</v>
      </c>
      <c r="E266" s="2149">
        <f>+AYUDR*6</f>
        <v>301798.59503999999</v>
      </c>
      <c r="F266" s="2149"/>
      <c r="G266" s="2149"/>
      <c r="H266" s="2149">
        <f>+E266*C266</f>
        <v>120719.438016</v>
      </c>
      <c r="I266" s="2149"/>
      <c r="J266" s="2901"/>
      <c r="K266" s="2901"/>
      <c r="L266" s="2901"/>
    </row>
    <row r="267" spans="1:12" s="1918" customFormat="1" ht="16.8">
      <c r="A267" s="1319" t="s">
        <v>1112</v>
      </c>
      <c r="B267" s="1320" t="s">
        <v>6568</v>
      </c>
      <c r="C267" s="2191">
        <v>1.02</v>
      </c>
      <c r="D267" s="1323" t="s">
        <v>1292</v>
      </c>
      <c r="E267" s="2149">
        <f>+'BASE CTOS'!B135</f>
        <v>488795.14911417139</v>
      </c>
      <c r="F267" s="2149"/>
      <c r="G267" s="2149">
        <f>+E267*C267</f>
        <v>498571.05209645483</v>
      </c>
      <c r="H267" s="2149"/>
      <c r="I267" s="2149"/>
      <c r="J267" s="2901"/>
      <c r="K267" s="2901"/>
      <c r="L267" s="2901"/>
    </row>
    <row r="268" spans="1:12" s="1918" customFormat="1" ht="16.8">
      <c r="A268" s="1325" t="s">
        <v>190</v>
      </c>
      <c r="B268" s="1326">
        <f>ROUND(SUM(F268:I268),0)</f>
        <v>813176</v>
      </c>
      <c r="C268" s="1323"/>
      <c r="D268" s="1327"/>
      <c r="E268" s="1319"/>
      <c r="F268" s="2149">
        <f>SUM(F257:F267)</f>
        <v>28160</v>
      </c>
      <c r="G268" s="2149">
        <f>SUM(G257:G267)</f>
        <v>624459.05209645489</v>
      </c>
      <c r="H268" s="2149">
        <f>SUM(H257:H267)</f>
        <v>152911.28815360001</v>
      </c>
      <c r="I268" s="2149">
        <f>SUM(I257:I267)</f>
        <v>7645.5644076800008</v>
      </c>
      <c r="J268" s="2901"/>
      <c r="K268" s="2901"/>
      <c r="L268" s="2901"/>
    </row>
    <row r="269" spans="1:12" s="1918" customFormat="1" ht="16.8">
      <c r="A269" s="1325" t="s">
        <v>191</v>
      </c>
      <c r="B269" s="1326">
        <f>+B268</f>
        <v>813176</v>
      </c>
      <c r="C269" s="1328" t="s">
        <v>356</v>
      </c>
      <c r="D269" s="1329"/>
      <c r="E269" s="1329"/>
      <c r="F269" s="1329"/>
      <c r="G269" s="1329"/>
      <c r="H269" s="1330"/>
      <c r="I269" s="1330"/>
      <c r="J269" s="2901"/>
      <c r="K269" s="2901"/>
      <c r="L269" s="2901"/>
    </row>
    <row r="270" spans="1:12" s="1918" customFormat="1" ht="14.4">
      <c r="J270" s="2901"/>
      <c r="K270" s="2901"/>
      <c r="L270" s="2901"/>
    </row>
    <row r="271" spans="1:12" s="1918" customFormat="1" ht="16.8">
      <c r="A271" s="1318"/>
      <c r="B271" s="3850" t="s">
        <v>6572</v>
      </c>
      <c r="C271" s="3851"/>
      <c r="D271" s="3851"/>
      <c r="E271" s="3851"/>
      <c r="F271" s="3851"/>
      <c r="G271" s="3851"/>
      <c r="H271" s="3851"/>
      <c r="I271" s="3851"/>
      <c r="J271" s="2901"/>
      <c r="K271" s="2901"/>
      <c r="L271" s="2901"/>
    </row>
    <row r="272" spans="1:12" s="1918" customFormat="1" ht="16.8">
      <c r="A272" s="1319"/>
      <c r="B272" s="1320"/>
      <c r="C272" s="1319" t="s">
        <v>140</v>
      </c>
      <c r="D272" s="1319" t="s">
        <v>343</v>
      </c>
      <c r="E272" s="1319" t="s">
        <v>344</v>
      </c>
      <c r="F272" s="1319" t="s">
        <v>482</v>
      </c>
      <c r="G272" s="1319" t="s">
        <v>483</v>
      </c>
      <c r="H272" s="1319" t="s">
        <v>170</v>
      </c>
      <c r="I272" s="1321" t="s">
        <v>171</v>
      </c>
      <c r="J272" s="2901"/>
      <c r="K272" s="2901"/>
      <c r="L272" s="2901"/>
    </row>
    <row r="273" spans="1:12" s="1918" customFormat="1" ht="16.8">
      <c r="A273" s="1319" t="s">
        <v>256</v>
      </c>
      <c r="B273" s="1320" t="s">
        <v>257</v>
      </c>
      <c r="C273" s="1322">
        <v>36</v>
      </c>
      <c r="D273" s="1323" t="s">
        <v>346</v>
      </c>
      <c r="E273" s="1324">
        <v>260</v>
      </c>
      <c r="F273" s="1324">
        <f>+C273*E273</f>
        <v>9360</v>
      </c>
      <c r="G273" s="1324"/>
      <c r="H273" s="1324"/>
      <c r="I273" s="1324"/>
      <c r="J273" s="2901"/>
      <c r="K273" s="2901"/>
      <c r="L273" s="2901"/>
    </row>
    <row r="274" spans="1:12" s="1918" customFormat="1" ht="16.8">
      <c r="A274" s="1319" t="s">
        <v>258</v>
      </c>
      <c r="B274" s="1320" t="s">
        <v>247</v>
      </c>
      <c r="C274" s="1322">
        <f>1/2.5</f>
        <v>0.4</v>
      </c>
      <c r="D274" s="1323" t="s">
        <v>717</v>
      </c>
      <c r="E274" s="1324">
        <f>+VIBGA</f>
        <v>47000</v>
      </c>
      <c r="F274" s="1324">
        <f>+C274*E274</f>
        <v>18800</v>
      </c>
      <c r="G274" s="1324"/>
      <c r="H274" s="1324"/>
      <c r="I274" s="1324"/>
      <c r="J274" s="2901"/>
      <c r="K274" s="2901"/>
      <c r="L274" s="2901"/>
    </row>
    <row r="275" spans="1:12" s="1918" customFormat="1" ht="16.8">
      <c r="A275" s="1319" t="s">
        <v>172</v>
      </c>
      <c r="B275" s="1320" t="s">
        <v>189</v>
      </c>
      <c r="C275" s="1322">
        <v>1</v>
      </c>
      <c r="D275" s="1323" t="s">
        <v>583</v>
      </c>
      <c r="E275" s="1324">
        <f>+H283*0.05</f>
        <v>7645.5644076800008</v>
      </c>
      <c r="F275" s="1324"/>
      <c r="G275" s="1324"/>
      <c r="H275" s="1324"/>
      <c r="I275" s="1324">
        <f>+E275*C275</f>
        <v>7645.5644076800008</v>
      </c>
      <c r="J275" s="2901"/>
      <c r="K275" s="2901"/>
      <c r="L275" s="2901"/>
    </row>
    <row r="276" spans="1:12" s="1918" customFormat="1" ht="16.8">
      <c r="A276" s="1319" t="s">
        <v>248</v>
      </c>
      <c r="B276" s="2746" t="s">
        <v>6420</v>
      </c>
      <c r="C276" s="1322">
        <v>6</v>
      </c>
      <c r="D276" s="1323" t="s">
        <v>1002</v>
      </c>
      <c r="E276" s="2149">
        <f>+FORMA</f>
        <v>2222.2222222222222</v>
      </c>
      <c r="G276" s="2149">
        <f>+E276*C276</f>
        <v>13333.333333333332</v>
      </c>
      <c r="H276" s="1324"/>
      <c r="I276" s="1324"/>
      <c r="J276" s="2901"/>
      <c r="K276" s="2901"/>
      <c r="L276" s="2901"/>
    </row>
    <row r="277" spans="1:12" s="1918" customFormat="1" ht="16.8">
      <c r="A277" s="1319" t="s">
        <v>250</v>
      </c>
      <c r="B277" s="1320" t="s">
        <v>251</v>
      </c>
      <c r="C277" s="1322">
        <v>2</v>
      </c>
      <c r="D277" s="1323" t="s">
        <v>647</v>
      </c>
      <c r="E277" s="1324">
        <f>+PLAST</f>
        <v>8896</v>
      </c>
      <c r="F277" s="1324"/>
      <c r="G277" s="1324">
        <f>+E277*C277</f>
        <v>17792</v>
      </c>
      <c r="H277" s="1324"/>
      <c r="I277" s="1324"/>
      <c r="J277" s="2901"/>
      <c r="K277" s="2901"/>
      <c r="L277" s="2901"/>
    </row>
    <row r="278" spans="1:12" s="1918" customFormat="1" ht="16.8">
      <c r="A278" s="1319" t="s">
        <v>261</v>
      </c>
      <c r="B278" s="1320" t="s">
        <v>262</v>
      </c>
      <c r="C278" s="1322">
        <v>4</v>
      </c>
      <c r="D278" s="1323" t="s">
        <v>363</v>
      </c>
      <c r="E278" s="1324">
        <v>3300</v>
      </c>
      <c r="F278" s="1324"/>
      <c r="G278" s="1324">
        <f>+E278*C278</f>
        <v>13200</v>
      </c>
      <c r="H278" s="1324"/>
      <c r="I278" s="1324"/>
      <c r="J278" s="2901"/>
      <c r="K278" s="2901"/>
      <c r="L278" s="2901"/>
    </row>
    <row r="279" spans="1:12" s="1918" customFormat="1" ht="16.8">
      <c r="A279" s="1319" t="s">
        <v>263</v>
      </c>
      <c r="B279" s="1320" t="s">
        <v>264</v>
      </c>
      <c r="C279" s="1322">
        <v>3</v>
      </c>
      <c r="D279" s="1323" t="s">
        <v>374</v>
      </c>
      <c r="E279" s="1324">
        <f>+PUNTI</f>
        <v>1632</v>
      </c>
      <c r="F279" s="1324"/>
      <c r="G279" s="1324">
        <f>+E279*C279</f>
        <v>4896</v>
      </c>
      <c r="H279" s="1324"/>
      <c r="I279" s="1324"/>
      <c r="J279" s="2901"/>
      <c r="K279" s="2901"/>
      <c r="L279" s="2901"/>
    </row>
    <row r="280" spans="1:12" s="1918" customFormat="1" ht="16.8">
      <c r="A280" s="1319" t="s">
        <v>345</v>
      </c>
      <c r="B280" s="1320" t="s">
        <v>6439</v>
      </c>
      <c r="C280" s="1322">
        <f t="shared" ref="C280:C281" si="21">1/2.5</f>
        <v>0.4</v>
      </c>
      <c r="D280" s="1323" t="s">
        <v>346</v>
      </c>
      <c r="E280" s="1324">
        <f>+OFICI</f>
        <v>80479.625344</v>
      </c>
      <c r="F280" s="1324"/>
      <c r="G280" s="1324"/>
      <c r="H280" s="1324">
        <f>+E280*C280</f>
        <v>32191.850137600002</v>
      </c>
      <c r="I280" s="1324"/>
      <c r="J280" s="2901"/>
      <c r="K280" s="2901"/>
      <c r="L280" s="2901"/>
    </row>
    <row r="281" spans="1:12" s="1918" customFormat="1" ht="16.8">
      <c r="A281" s="1319" t="s">
        <v>348</v>
      </c>
      <c r="B281" s="1320" t="s">
        <v>966</v>
      </c>
      <c r="C281" s="1322">
        <f t="shared" si="21"/>
        <v>0.4</v>
      </c>
      <c r="D281" s="1323" t="s">
        <v>346</v>
      </c>
      <c r="E281" s="1324">
        <f>+AYUDR*6</f>
        <v>301798.59503999999</v>
      </c>
      <c r="F281" s="1324"/>
      <c r="G281" s="1324"/>
      <c r="H281" s="1324">
        <f>+E281*C281</f>
        <v>120719.438016</v>
      </c>
      <c r="I281" s="1324"/>
      <c r="J281" s="2901"/>
      <c r="K281" s="2901"/>
      <c r="L281" s="2901"/>
    </row>
    <row r="282" spans="1:12" s="1918" customFormat="1" ht="16.8">
      <c r="A282" s="1319" t="s">
        <v>1112</v>
      </c>
      <c r="B282" s="1320" t="s">
        <v>6573</v>
      </c>
      <c r="C282" s="1322">
        <v>1.02</v>
      </c>
      <c r="D282" s="1323" t="s">
        <v>1292</v>
      </c>
      <c r="E282" s="1324">
        <f>+'BASE CTOS'!B135</f>
        <v>488795.14911417139</v>
      </c>
      <c r="F282" s="1324"/>
      <c r="G282" s="1324">
        <f>+E282*C282</f>
        <v>498571.05209645483</v>
      </c>
      <c r="H282" s="1324"/>
      <c r="I282" s="1324"/>
      <c r="J282" s="2901"/>
      <c r="K282" s="2901"/>
      <c r="L282" s="2901"/>
    </row>
    <row r="283" spans="1:12" s="1918" customFormat="1" ht="16.8">
      <c r="A283" s="1325" t="s">
        <v>190</v>
      </c>
      <c r="B283" s="1326">
        <f>ROUND(SUM(F283:I283),0)</f>
        <v>736509</v>
      </c>
      <c r="C283" s="1323"/>
      <c r="D283" s="1327"/>
      <c r="E283" s="1319"/>
      <c r="F283" s="1324">
        <f>SUM(F273:F282)</f>
        <v>28160</v>
      </c>
      <c r="G283" s="1324">
        <f>SUM(G273:G282)</f>
        <v>547792.38542978815</v>
      </c>
      <c r="H283" s="1324">
        <f>SUM(H273:H282)</f>
        <v>152911.28815360001</v>
      </c>
      <c r="I283" s="1324">
        <f>SUM(I273:I282)</f>
        <v>7645.5644076800008</v>
      </c>
      <c r="J283" s="2901"/>
      <c r="K283" s="2901"/>
      <c r="L283" s="2901"/>
    </row>
    <row r="284" spans="1:12" s="1918" customFormat="1" ht="16.8">
      <c r="A284" s="1325" t="s">
        <v>191</v>
      </c>
      <c r="B284" s="1326">
        <f>+B283</f>
        <v>736509</v>
      </c>
      <c r="C284" s="1328" t="s">
        <v>356</v>
      </c>
      <c r="D284" s="1329"/>
      <c r="E284" s="1329"/>
      <c r="F284" s="1329"/>
      <c r="G284" s="1329"/>
      <c r="H284" s="1330"/>
      <c r="I284" s="1330"/>
      <c r="J284" s="2901"/>
      <c r="K284" s="2901"/>
      <c r="L284" s="2901"/>
    </row>
    <row r="285" spans="1:12" s="1918" customFormat="1" ht="14.4">
      <c r="J285" s="2901"/>
      <c r="K285" s="2901"/>
      <c r="L285" s="2901"/>
    </row>
    <row r="286" spans="1:12" s="1918" customFormat="1" ht="16.8">
      <c r="A286" s="2195"/>
      <c r="B286" s="3865" t="s">
        <v>6575</v>
      </c>
      <c r="C286" s="3865"/>
      <c r="D286" s="3865"/>
      <c r="E286" s="3865"/>
      <c r="F286" s="3865"/>
      <c r="G286" s="3865"/>
      <c r="H286" s="3865"/>
      <c r="I286" s="3865"/>
      <c r="J286" s="2901"/>
      <c r="K286" s="2901"/>
      <c r="L286" s="2901"/>
    </row>
    <row r="287" spans="1:12" s="1918" customFormat="1" ht="16.8">
      <c r="A287" s="1319"/>
      <c r="B287" s="1320"/>
      <c r="C287" s="1319" t="s">
        <v>140</v>
      </c>
      <c r="D287" s="1319" t="s">
        <v>343</v>
      </c>
      <c r="E287" s="1319" t="s">
        <v>344</v>
      </c>
      <c r="F287" s="1319" t="s">
        <v>482</v>
      </c>
      <c r="G287" s="1319" t="s">
        <v>483</v>
      </c>
      <c r="H287" s="1319" t="s">
        <v>170</v>
      </c>
      <c r="I287" s="1319" t="s">
        <v>171</v>
      </c>
      <c r="J287" s="2901"/>
      <c r="K287" s="2901"/>
      <c r="L287" s="2901"/>
    </row>
    <row r="288" spans="1:12" s="1918" customFormat="1" ht="16.8">
      <c r="A288" s="1319" t="s">
        <v>256</v>
      </c>
      <c r="B288" s="1320" t="s">
        <v>257</v>
      </c>
      <c r="C288" s="2191">
        <v>36</v>
      </c>
      <c r="D288" s="1323" t="s">
        <v>346</v>
      </c>
      <c r="E288" s="2149">
        <v>260</v>
      </c>
      <c r="F288" s="2149">
        <f>+C288*E288</f>
        <v>9360</v>
      </c>
      <c r="G288" s="2149"/>
      <c r="H288" s="2149"/>
      <c r="I288" s="2149"/>
      <c r="J288" s="2901"/>
      <c r="K288" s="2901"/>
      <c r="L288" s="2901"/>
    </row>
    <row r="289" spans="1:12" s="1918" customFormat="1" ht="16.8">
      <c r="A289" s="1319" t="s">
        <v>258</v>
      </c>
      <c r="B289" s="1320" t="s">
        <v>247</v>
      </c>
      <c r="C289" s="2191">
        <f>1/2.5</f>
        <v>0.4</v>
      </c>
      <c r="D289" s="1323" t="s">
        <v>717</v>
      </c>
      <c r="E289" s="2149">
        <f>+VIBGA</f>
        <v>47000</v>
      </c>
      <c r="F289" s="2149">
        <f>+C289*E289</f>
        <v>18800</v>
      </c>
      <c r="G289" s="2149"/>
      <c r="H289" s="2149"/>
      <c r="I289" s="2149"/>
      <c r="J289" s="2901"/>
      <c r="K289" s="2901"/>
      <c r="L289" s="2901"/>
    </row>
    <row r="290" spans="1:12" s="1918" customFormat="1" ht="16.8">
      <c r="A290" s="1319" t="s">
        <v>172</v>
      </c>
      <c r="B290" s="1320" t="s">
        <v>189</v>
      </c>
      <c r="C290" s="2191">
        <v>1</v>
      </c>
      <c r="D290" s="1323" t="s">
        <v>583</v>
      </c>
      <c r="E290" s="2149">
        <f>+H298*0.05</f>
        <v>7645.5644076800008</v>
      </c>
      <c r="F290" s="2149"/>
      <c r="G290" s="2149"/>
      <c r="H290" s="2149"/>
      <c r="I290" s="2149">
        <f>+E290*C290</f>
        <v>7645.5644076800008</v>
      </c>
      <c r="J290" s="2901"/>
      <c r="K290" s="2901"/>
      <c r="L290" s="2901"/>
    </row>
    <row r="291" spans="1:12" s="1918" customFormat="1" ht="16.8">
      <c r="A291" s="1319"/>
      <c r="B291" s="329" t="s">
        <v>6420</v>
      </c>
      <c r="C291" s="2191">
        <v>6</v>
      </c>
      <c r="D291" s="2026" t="s">
        <v>1002</v>
      </c>
      <c r="E291" s="2149">
        <f>+FORMA</f>
        <v>2222.2222222222222</v>
      </c>
      <c r="F291" s="2744"/>
      <c r="G291" s="2149">
        <f>+E291*C291</f>
        <v>13333.333333333332</v>
      </c>
      <c r="H291" s="2149"/>
      <c r="I291" s="2149"/>
      <c r="J291" s="2901"/>
      <c r="K291" s="2901"/>
      <c r="L291" s="2901"/>
    </row>
    <row r="292" spans="1:12" s="1918" customFormat="1" ht="16.8">
      <c r="A292" s="1319"/>
      <c r="B292" s="1320" t="s">
        <v>423</v>
      </c>
      <c r="C292" s="2191">
        <v>1.2</v>
      </c>
      <c r="D292" s="1323" t="s">
        <v>717</v>
      </c>
      <c r="E292" s="2149">
        <v>25000</v>
      </c>
      <c r="F292" s="2149"/>
      <c r="G292" s="2149">
        <f>+C292*E292</f>
        <v>30000</v>
      </c>
      <c r="H292" s="2149"/>
      <c r="I292" s="2149"/>
      <c r="J292" s="2901"/>
      <c r="K292" s="2901"/>
      <c r="L292" s="2901"/>
    </row>
    <row r="293" spans="1:12" s="1918" customFormat="1" ht="16.8">
      <c r="A293" s="1319" t="s">
        <v>261</v>
      </c>
      <c r="B293" s="1320" t="s">
        <v>262</v>
      </c>
      <c r="C293" s="2191">
        <v>4</v>
      </c>
      <c r="D293" s="1323" t="s">
        <v>363</v>
      </c>
      <c r="E293" s="2149">
        <v>3300</v>
      </c>
      <c r="F293" s="2149"/>
      <c r="G293" s="2149">
        <f>+E293*C293</f>
        <v>13200</v>
      </c>
      <c r="H293" s="2149"/>
      <c r="I293" s="2149"/>
      <c r="J293" s="2901"/>
      <c r="K293" s="2901"/>
      <c r="L293" s="2901"/>
    </row>
    <row r="294" spans="1:12" s="1918" customFormat="1" ht="16.8">
      <c r="A294" s="1319" t="s">
        <v>263</v>
      </c>
      <c r="B294" s="1320" t="s">
        <v>264</v>
      </c>
      <c r="C294" s="2191">
        <v>3</v>
      </c>
      <c r="D294" s="1323" t="s">
        <v>374</v>
      </c>
      <c r="E294" s="2149">
        <f>+PUNTI</f>
        <v>1632</v>
      </c>
      <c r="F294" s="2149"/>
      <c r="G294" s="2149">
        <f>+E294*C294</f>
        <v>4896</v>
      </c>
      <c r="H294" s="2149"/>
      <c r="I294" s="2149"/>
      <c r="J294" s="2901"/>
      <c r="K294" s="2901"/>
      <c r="L294" s="2901"/>
    </row>
    <row r="295" spans="1:12" s="1918" customFormat="1" ht="16.8">
      <c r="A295" s="1319" t="s">
        <v>345</v>
      </c>
      <c r="B295" s="1320" t="s">
        <v>6439</v>
      </c>
      <c r="C295" s="2191">
        <f t="shared" ref="C295:C296" si="22">1/2.5</f>
        <v>0.4</v>
      </c>
      <c r="D295" s="1323" t="s">
        <v>346</v>
      </c>
      <c r="E295" s="2149">
        <f>+OFICI</f>
        <v>80479.625344</v>
      </c>
      <c r="F295" s="2149"/>
      <c r="G295" s="2149"/>
      <c r="H295" s="2149">
        <f>+E295*C295</f>
        <v>32191.850137600002</v>
      </c>
      <c r="I295" s="2149"/>
      <c r="J295" s="2901"/>
      <c r="K295" s="2901"/>
      <c r="L295" s="2901"/>
    </row>
    <row r="296" spans="1:12" s="1918" customFormat="1" ht="16.8">
      <c r="A296" s="1319" t="s">
        <v>348</v>
      </c>
      <c r="B296" s="1320" t="s">
        <v>966</v>
      </c>
      <c r="C296" s="2191">
        <f t="shared" si="22"/>
        <v>0.4</v>
      </c>
      <c r="D296" s="1323" t="s">
        <v>346</v>
      </c>
      <c r="E296" s="2149">
        <f>+AYUDR*6</f>
        <v>301798.59503999999</v>
      </c>
      <c r="F296" s="2149"/>
      <c r="G296" s="2149"/>
      <c r="H296" s="2149">
        <f>+E296*C296</f>
        <v>120719.438016</v>
      </c>
      <c r="I296" s="2149"/>
      <c r="J296" s="2901"/>
      <c r="K296" s="2901"/>
      <c r="L296" s="2901"/>
    </row>
    <row r="297" spans="1:12" s="1918" customFormat="1" ht="16.8">
      <c r="A297" s="1319" t="s">
        <v>1112</v>
      </c>
      <c r="B297" s="1320" t="s">
        <v>6564</v>
      </c>
      <c r="C297" s="2191">
        <v>1.02</v>
      </c>
      <c r="D297" s="1323" t="s">
        <v>1292</v>
      </c>
      <c r="E297" s="2149">
        <f>+'BASE CTOS'!B135</f>
        <v>488795.14911417139</v>
      </c>
      <c r="F297" s="2149"/>
      <c r="G297" s="2149">
        <f>+E297*C297</f>
        <v>498571.05209645483</v>
      </c>
      <c r="H297" s="2149"/>
      <c r="I297" s="2149"/>
      <c r="J297" s="2901"/>
      <c r="K297" s="2901"/>
      <c r="L297" s="2901"/>
    </row>
    <row r="298" spans="1:12" s="1918" customFormat="1" ht="16.8">
      <c r="A298" s="2196" t="s">
        <v>190</v>
      </c>
      <c r="B298" s="2197">
        <f>ROUND(SUM(F298:I298),0)</f>
        <v>748717</v>
      </c>
      <c r="C298" s="1323"/>
      <c r="D298" s="1323"/>
      <c r="E298" s="2149"/>
      <c r="F298" s="2149">
        <f>SUM(F288:F297)</f>
        <v>28160</v>
      </c>
      <c r="G298" s="2149">
        <f>SUM(G288:G297)</f>
        <v>560000.38542978815</v>
      </c>
      <c r="H298" s="2149">
        <f>SUM(H288:H297)</f>
        <v>152911.28815360001</v>
      </c>
      <c r="I298" s="2149">
        <f>SUM(I288:I297)</f>
        <v>7645.5644076800008</v>
      </c>
      <c r="J298" s="2901"/>
      <c r="K298" s="2901"/>
      <c r="L298" s="2901"/>
    </row>
    <row r="299" spans="1:12" s="1918" customFormat="1" ht="16.8">
      <c r="A299" s="2196" t="s">
        <v>191</v>
      </c>
      <c r="B299" s="2197">
        <f>+B298</f>
        <v>748717</v>
      </c>
      <c r="C299" s="2198" t="s">
        <v>356</v>
      </c>
      <c r="D299" s="1329"/>
      <c r="E299" s="1329"/>
      <c r="F299" s="1329"/>
      <c r="G299" s="1329"/>
      <c r="H299" s="1330"/>
      <c r="I299" s="1330"/>
      <c r="J299" s="2901"/>
      <c r="K299" s="2901"/>
      <c r="L299" s="2901"/>
    </row>
    <row r="300" spans="1:12" s="1918" customFormat="1" ht="15.75" customHeight="1">
      <c r="J300" s="2901"/>
      <c r="K300" s="2901"/>
      <c r="L300" s="2901"/>
    </row>
    <row r="301" spans="1:12" s="1918" customFormat="1" ht="16.8">
      <c r="A301" s="1318"/>
      <c r="B301" s="3850" t="s">
        <v>7104</v>
      </c>
      <c r="C301" s="3851"/>
      <c r="D301" s="3851"/>
      <c r="E301" s="3851"/>
      <c r="F301" s="3851"/>
      <c r="G301" s="3851"/>
      <c r="H301" s="3851"/>
      <c r="I301" s="3851"/>
      <c r="J301" s="2901"/>
      <c r="K301" s="2901"/>
      <c r="L301" s="2901"/>
    </row>
    <row r="302" spans="1:12" s="1918" customFormat="1" ht="16.8">
      <c r="A302" s="1319"/>
      <c r="B302" s="1320"/>
      <c r="C302" s="1319" t="s">
        <v>140</v>
      </c>
      <c r="D302" s="1319" t="s">
        <v>343</v>
      </c>
      <c r="E302" s="1319" t="s">
        <v>344</v>
      </c>
      <c r="F302" s="1319" t="s">
        <v>482</v>
      </c>
      <c r="G302" s="1319" t="s">
        <v>483</v>
      </c>
      <c r="H302" s="1319" t="s">
        <v>170</v>
      </c>
      <c r="I302" s="1321" t="s">
        <v>171</v>
      </c>
      <c r="J302" s="2901"/>
      <c r="K302" s="2901"/>
      <c r="L302" s="2901"/>
    </row>
    <row r="303" spans="1:12" s="1918" customFormat="1" ht="16.8">
      <c r="A303" s="1319" t="s">
        <v>256</v>
      </c>
      <c r="B303" s="1320" t="s">
        <v>71</v>
      </c>
      <c r="C303" s="1322">
        <v>3</v>
      </c>
      <c r="D303" s="1323" t="s">
        <v>4696</v>
      </c>
      <c r="E303" s="2149">
        <f>+FORM3</f>
        <v>17748</v>
      </c>
      <c r="F303" s="2149">
        <f>+C303*E303</f>
        <v>53244</v>
      </c>
      <c r="G303" s="2149"/>
      <c r="H303" s="2149"/>
      <c r="I303" s="2149"/>
      <c r="J303" s="2901"/>
      <c r="K303" s="2901"/>
      <c r="L303" s="2901"/>
    </row>
    <row r="304" spans="1:12" s="1918" customFormat="1" ht="16.8">
      <c r="A304" s="1319" t="s">
        <v>263</v>
      </c>
      <c r="B304" s="1320" t="s">
        <v>264</v>
      </c>
      <c r="C304" s="2191">
        <v>3</v>
      </c>
      <c r="D304" s="1323" t="s">
        <v>374</v>
      </c>
      <c r="E304" s="2149">
        <f>+PUNTI</f>
        <v>1632</v>
      </c>
      <c r="F304" s="2149"/>
      <c r="G304" s="2149">
        <f>+E304*C304</f>
        <v>4896</v>
      </c>
      <c r="H304" s="2149"/>
      <c r="I304" s="2149"/>
      <c r="J304" s="2901"/>
      <c r="K304" s="2901"/>
      <c r="L304" s="2901"/>
    </row>
    <row r="305" spans="1:12" s="1918" customFormat="1" ht="16.8">
      <c r="A305" s="1319" t="s">
        <v>258</v>
      </c>
      <c r="B305" s="1320" t="s">
        <v>247</v>
      </c>
      <c r="C305" s="1322">
        <v>0.25</v>
      </c>
      <c r="D305" s="1323" t="s">
        <v>717</v>
      </c>
      <c r="E305" s="2149">
        <f>+VIBGA</f>
        <v>47000</v>
      </c>
      <c r="F305" s="2149">
        <f>+C305*E305</f>
        <v>11750</v>
      </c>
      <c r="G305" s="2149"/>
      <c r="H305" s="2149"/>
      <c r="I305" s="2149"/>
      <c r="J305" s="2901"/>
      <c r="K305" s="2901"/>
      <c r="L305" s="2901"/>
    </row>
    <row r="306" spans="1:12" s="1918" customFormat="1" ht="16.8">
      <c r="A306" s="1319" t="s">
        <v>172</v>
      </c>
      <c r="B306" s="1320" t="s">
        <v>189</v>
      </c>
      <c r="C306" s="1322">
        <v>1</v>
      </c>
      <c r="D306" s="1323" t="s">
        <v>583</v>
      </c>
      <c r="E306" s="2149">
        <f>+H310*0.05</f>
        <v>3822.7822038400004</v>
      </c>
      <c r="F306" s="2149"/>
      <c r="G306" s="2149"/>
      <c r="H306" s="2149"/>
      <c r="I306" s="2149">
        <f>+E306*C306</f>
        <v>3822.7822038400004</v>
      </c>
      <c r="J306" s="2901"/>
      <c r="K306" s="2901"/>
      <c r="L306" s="2901"/>
    </row>
    <row r="307" spans="1:12" s="1918" customFormat="1" ht="16.8">
      <c r="A307" s="1319" t="s">
        <v>345</v>
      </c>
      <c r="B307" s="1320" t="s">
        <v>965</v>
      </c>
      <c r="C307" s="1322">
        <v>0.2</v>
      </c>
      <c r="D307" s="1323" t="s">
        <v>346</v>
      </c>
      <c r="E307" s="2149">
        <f>+OFICI</f>
        <v>80479.625344</v>
      </c>
      <c r="F307" s="2149"/>
      <c r="G307" s="2149"/>
      <c r="H307" s="2149">
        <f>+E307*C307</f>
        <v>16095.925068800001</v>
      </c>
      <c r="I307" s="2149"/>
      <c r="J307" s="2901"/>
      <c r="K307" s="2901"/>
      <c r="L307" s="2901"/>
    </row>
    <row r="308" spans="1:12" s="1918" customFormat="1" ht="16.8">
      <c r="A308" s="1319" t="s">
        <v>348</v>
      </c>
      <c r="B308" s="1320" t="s">
        <v>6579</v>
      </c>
      <c r="C308" s="1322">
        <v>0.2</v>
      </c>
      <c r="D308" s="1323" t="s">
        <v>346</v>
      </c>
      <c r="E308" s="2149">
        <f>+AYUDR*6</f>
        <v>301798.59503999999</v>
      </c>
      <c r="F308" s="2149"/>
      <c r="G308" s="2149"/>
      <c r="H308" s="2149">
        <f>+E308*C308</f>
        <v>60359.719008</v>
      </c>
      <c r="I308" s="2149"/>
      <c r="J308" s="2901"/>
      <c r="K308" s="2901"/>
      <c r="L308" s="2901"/>
    </row>
    <row r="309" spans="1:12" s="1918" customFormat="1" ht="16.8">
      <c r="A309" s="1319" t="s">
        <v>1112</v>
      </c>
      <c r="B309" s="1320" t="s">
        <v>6564</v>
      </c>
      <c r="C309" s="1322">
        <v>0.19</v>
      </c>
      <c r="D309" s="1323" t="s">
        <v>1292</v>
      </c>
      <c r="E309" s="2149">
        <f>+'BASE CTOS'!B135</f>
        <v>488795.14911417139</v>
      </c>
      <c r="F309" s="2149"/>
      <c r="G309" s="2149">
        <f>+E309*C309</f>
        <v>92871.078331692566</v>
      </c>
      <c r="H309" s="2149"/>
      <c r="I309" s="2149"/>
      <c r="J309" s="2901"/>
      <c r="K309" s="2901"/>
      <c r="L309" s="2901"/>
    </row>
    <row r="310" spans="1:12" s="1918" customFormat="1" ht="16.8">
      <c r="A310" s="1325" t="s">
        <v>190</v>
      </c>
      <c r="B310" s="1326">
        <f>ROUND(SUM(F310:I310),0)</f>
        <v>243040</v>
      </c>
      <c r="C310" s="1323"/>
      <c r="D310" s="1327"/>
      <c r="E310" s="2149"/>
      <c r="F310" s="2149">
        <f>SUM(F303:F309)</f>
        <v>64994</v>
      </c>
      <c r="G310" s="2149">
        <f>SUM(G303:G309)</f>
        <v>97767.078331692566</v>
      </c>
      <c r="H310" s="2149">
        <f>SUM(H303:H309)</f>
        <v>76455.644076800003</v>
      </c>
      <c r="I310" s="2149">
        <f>SUM(I303:I309)</f>
        <v>3822.7822038400004</v>
      </c>
      <c r="J310" s="2901"/>
      <c r="K310" s="2901"/>
      <c r="L310" s="2901"/>
    </row>
    <row r="311" spans="1:12" s="1918" customFormat="1" ht="16.8">
      <c r="A311" s="1325" t="s">
        <v>191</v>
      </c>
      <c r="B311" s="1326">
        <f>+B310</f>
        <v>243040</v>
      </c>
      <c r="C311" s="1328" t="s">
        <v>4693</v>
      </c>
      <c r="D311" s="1329"/>
      <c r="E311" s="1329"/>
      <c r="F311" s="1329"/>
      <c r="G311" s="1329"/>
      <c r="H311" s="1330"/>
      <c r="I311" s="1330"/>
      <c r="J311" s="2901"/>
      <c r="K311" s="2901"/>
      <c r="L311" s="2901"/>
    </row>
    <row r="312" spans="1:12" s="1918" customFormat="1" ht="14.4">
      <c r="J312" s="2901"/>
      <c r="K312" s="2901"/>
      <c r="L312" s="2901"/>
    </row>
    <row r="313" spans="1:12" s="1918" customFormat="1" ht="16.8">
      <c r="A313" s="1318"/>
      <c r="B313" s="3850" t="s">
        <v>6577</v>
      </c>
      <c r="C313" s="3851"/>
      <c r="D313" s="3851"/>
      <c r="E313" s="3851"/>
      <c r="F313" s="3851"/>
      <c r="G313" s="3851"/>
      <c r="H313" s="3851"/>
      <c r="I313" s="3851"/>
      <c r="J313" s="2901"/>
      <c r="K313" s="2901"/>
      <c r="L313" s="2901"/>
    </row>
    <row r="314" spans="1:12" s="1918" customFormat="1" ht="16.8">
      <c r="A314" s="1319"/>
      <c r="B314" s="1320"/>
      <c r="C314" s="1319" t="s">
        <v>140</v>
      </c>
      <c r="D314" s="1319" t="s">
        <v>343</v>
      </c>
      <c r="E314" s="1319" t="s">
        <v>344</v>
      </c>
      <c r="F314" s="1319" t="s">
        <v>482</v>
      </c>
      <c r="G314" s="1319" t="s">
        <v>483</v>
      </c>
      <c r="H314" s="1319" t="s">
        <v>170</v>
      </c>
      <c r="I314" s="1321" t="s">
        <v>171</v>
      </c>
      <c r="J314" s="2901"/>
      <c r="K314" s="2901"/>
      <c r="L314" s="2901"/>
    </row>
    <row r="315" spans="1:12" s="1918" customFormat="1" ht="16.8">
      <c r="A315" s="1319" t="s">
        <v>258</v>
      </c>
      <c r="B315" s="1320" t="s">
        <v>247</v>
      </c>
      <c r="C315" s="1322">
        <f>1/2.5</f>
        <v>0.4</v>
      </c>
      <c r="D315" s="1323" t="s">
        <v>717</v>
      </c>
      <c r="E315" s="1324">
        <f>+VIBGA</f>
        <v>47000</v>
      </c>
      <c r="F315" s="1324">
        <f>+C315*E315</f>
        <v>18800</v>
      </c>
      <c r="G315" s="1324"/>
      <c r="H315" s="1324"/>
      <c r="I315" s="1324"/>
      <c r="J315" s="2901"/>
      <c r="K315" s="2901"/>
      <c r="L315" s="2901"/>
    </row>
    <row r="316" spans="1:12" s="1918" customFormat="1" ht="16.8">
      <c r="A316" s="1319" t="s">
        <v>172</v>
      </c>
      <c r="B316" s="1320" t="s">
        <v>189</v>
      </c>
      <c r="C316" s="1322">
        <v>1</v>
      </c>
      <c r="D316" s="1323" t="s">
        <v>583</v>
      </c>
      <c r="E316" s="1324">
        <f>+H324*0.05</f>
        <v>5633.5737740800005</v>
      </c>
      <c r="F316" s="1324"/>
      <c r="G316" s="1324"/>
      <c r="H316" s="1324"/>
      <c r="I316" s="1324">
        <f>+E316*C316</f>
        <v>5633.5737740800005</v>
      </c>
      <c r="J316" s="2901"/>
      <c r="K316" s="2901"/>
      <c r="L316" s="2901"/>
    </row>
    <row r="317" spans="1:12" s="1918" customFormat="1" ht="16.8">
      <c r="A317" s="1319" t="s">
        <v>250</v>
      </c>
      <c r="B317" s="1320" t="s">
        <v>251</v>
      </c>
      <c r="C317" s="1322">
        <v>2</v>
      </c>
      <c r="D317" s="1323" t="s">
        <v>647</v>
      </c>
      <c r="E317" s="1324">
        <f>+PLAST</f>
        <v>8896</v>
      </c>
      <c r="F317" s="1324"/>
      <c r="G317" s="1324">
        <f>+E317*C317</f>
        <v>17792</v>
      </c>
      <c r="H317" s="1324"/>
      <c r="I317" s="1324"/>
      <c r="J317" s="2901"/>
      <c r="K317" s="2901"/>
      <c r="L317" s="2901"/>
    </row>
    <row r="318" spans="1:12" s="1918" customFormat="1" ht="16.8">
      <c r="A318" s="1319"/>
      <c r="B318" s="329" t="s">
        <v>6420</v>
      </c>
      <c r="C318" s="2191">
        <v>4</v>
      </c>
      <c r="D318" s="2026" t="s">
        <v>1002</v>
      </c>
      <c r="E318" s="2149">
        <f>+FORMA</f>
        <v>2222.2222222222222</v>
      </c>
      <c r="F318" s="2744"/>
      <c r="G318" s="2149">
        <f>+E318*C318</f>
        <v>8888.8888888888887</v>
      </c>
      <c r="H318" s="2149"/>
      <c r="I318" s="2149"/>
      <c r="J318" s="2901"/>
      <c r="K318" s="2901"/>
      <c r="L318" s="2901"/>
    </row>
    <row r="319" spans="1:12" s="1918" customFormat="1" ht="16.8">
      <c r="A319" s="1319" t="s">
        <v>261</v>
      </c>
      <c r="B319" s="1320" t="s">
        <v>262</v>
      </c>
      <c r="C319" s="1322">
        <v>4</v>
      </c>
      <c r="D319" s="1323" t="s">
        <v>363</v>
      </c>
      <c r="E319" s="1324">
        <v>3300</v>
      </c>
      <c r="F319" s="1324"/>
      <c r="G319" s="1324">
        <f>+E319*C319</f>
        <v>13200</v>
      </c>
      <c r="H319" s="1324"/>
      <c r="I319" s="1324"/>
      <c r="J319" s="2901"/>
      <c r="K319" s="2901"/>
      <c r="L319" s="2901"/>
    </row>
    <row r="320" spans="1:12" s="1918" customFormat="1" ht="16.8">
      <c r="A320" s="1319" t="s">
        <v>263</v>
      </c>
      <c r="B320" s="1320" t="s">
        <v>264</v>
      </c>
      <c r="C320" s="1322">
        <v>3</v>
      </c>
      <c r="D320" s="1323" t="s">
        <v>374</v>
      </c>
      <c r="E320" s="1324">
        <f>+PUNTI</f>
        <v>1632</v>
      </c>
      <c r="F320" s="1324"/>
      <c r="G320" s="1324">
        <f>+E320*C320</f>
        <v>4896</v>
      </c>
      <c r="H320" s="1324"/>
      <c r="I320" s="1324"/>
      <c r="J320" s="2901"/>
      <c r="K320" s="2901"/>
      <c r="L320" s="2901"/>
    </row>
    <row r="321" spans="1:12" s="1918" customFormat="1" ht="16.8">
      <c r="A321" s="1319" t="s">
        <v>345</v>
      </c>
      <c r="B321" s="1320" t="s">
        <v>6439</v>
      </c>
      <c r="C321" s="1322">
        <f t="shared" ref="C321:C322" si="23">1/2.5</f>
        <v>0.4</v>
      </c>
      <c r="D321" s="1323" t="s">
        <v>346</v>
      </c>
      <c r="E321" s="1324">
        <f>+OFICI</f>
        <v>80479.625344</v>
      </c>
      <c r="F321" s="1324"/>
      <c r="G321" s="1324"/>
      <c r="H321" s="1324">
        <f>+E321*C321</f>
        <v>32191.850137600002</v>
      </c>
      <c r="I321" s="1324"/>
      <c r="J321" s="2901"/>
      <c r="K321" s="2901"/>
      <c r="L321" s="2901"/>
    </row>
    <row r="322" spans="1:12" s="1918" customFormat="1" ht="16.8">
      <c r="A322" s="1319" t="s">
        <v>348</v>
      </c>
      <c r="B322" s="1320" t="s">
        <v>6579</v>
      </c>
      <c r="C322" s="1322">
        <f t="shared" si="23"/>
        <v>0.4</v>
      </c>
      <c r="D322" s="1323" t="s">
        <v>346</v>
      </c>
      <c r="E322" s="1324">
        <f>+AYUDR*4</f>
        <v>201199.06336</v>
      </c>
      <c r="F322" s="1324"/>
      <c r="G322" s="1324"/>
      <c r="H322" s="1324">
        <f>+E322*C322</f>
        <v>80479.625344</v>
      </c>
      <c r="I322" s="1324"/>
      <c r="J322" s="2901"/>
      <c r="K322" s="2901"/>
      <c r="L322" s="2901"/>
    </row>
    <row r="323" spans="1:12" s="1918" customFormat="1" ht="16.8">
      <c r="A323" s="1319" t="s">
        <v>1112</v>
      </c>
      <c r="B323" s="1320" t="s">
        <v>6576</v>
      </c>
      <c r="C323" s="1322">
        <v>1.02</v>
      </c>
      <c r="D323" s="1323" t="s">
        <v>1292</v>
      </c>
      <c r="E323" s="1324">
        <f>+'BASE CTOS'!B107</f>
        <v>419022.54922489997</v>
      </c>
      <c r="F323" s="1324"/>
      <c r="G323" s="1324">
        <f>+E323*C323</f>
        <v>427403.00020939799</v>
      </c>
      <c r="H323" s="1324"/>
      <c r="I323" s="1324"/>
      <c r="J323" s="2901"/>
      <c r="K323" s="2901"/>
      <c r="L323" s="2901"/>
    </row>
    <row r="324" spans="1:12" s="1918" customFormat="1" ht="16.8">
      <c r="A324" s="1325" t="s">
        <v>190</v>
      </c>
      <c r="B324" s="1326">
        <f>ROUND(SUM(F324:I324),0)</f>
        <v>609285</v>
      </c>
      <c r="C324" s="1323"/>
      <c r="D324" s="1327"/>
      <c r="E324" s="1319"/>
      <c r="F324" s="1324">
        <f>SUM(F315:F323)</f>
        <v>18800</v>
      </c>
      <c r="G324" s="1324">
        <f>SUM(G315:G323)</f>
        <v>472179.88909828686</v>
      </c>
      <c r="H324" s="1324">
        <f>SUM(H315:H323)</f>
        <v>112671.47548160001</v>
      </c>
      <c r="I324" s="1324">
        <f>SUM(I315:I323)</f>
        <v>5633.5737740800005</v>
      </c>
      <c r="J324" s="2901"/>
      <c r="K324" s="2901"/>
      <c r="L324" s="2901"/>
    </row>
    <row r="325" spans="1:12" s="1918" customFormat="1" ht="16.8">
      <c r="A325" s="1325" t="s">
        <v>191</v>
      </c>
      <c r="B325" s="1326">
        <f>+B324</f>
        <v>609285</v>
      </c>
      <c r="C325" s="1328" t="s">
        <v>356</v>
      </c>
      <c r="D325" s="1329"/>
      <c r="E325" s="1329"/>
      <c r="F325" s="1329"/>
      <c r="G325" s="1329"/>
      <c r="H325" s="1330"/>
      <c r="I325" s="1330"/>
      <c r="J325" s="2901"/>
      <c r="K325" s="2901"/>
      <c r="L325" s="2901"/>
    </row>
    <row r="326" spans="1:12" s="1918" customFormat="1" ht="14.4">
      <c r="J326" s="2901"/>
      <c r="K326" s="2901"/>
      <c r="L326" s="2901"/>
    </row>
    <row r="327" spans="1:12" s="1918" customFormat="1" ht="16.8">
      <c r="A327" s="2135"/>
      <c r="B327" s="3850" t="s">
        <v>6559</v>
      </c>
      <c r="C327" s="3851"/>
      <c r="D327" s="3851"/>
      <c r="E327" s="3851"/>
      <c r="F327" s="3851"/>
      <c r="G327" s="3851"/>
      <c r="H327" s="3851"/>
      <c r="I327" s="3851"/>
      <c r="J327" s="2901"/>
      <c r="K327" s="2901"/>
      <c r="L327" s="2901"/>
    </row>
    <row r="328" spans="1:12" s="1918" customFormat="1" ht="16.8">
      <c r="A328" s="1319"/>
      <c r="B328" s="1320"/>
      <c r="C328" s="1319" t="s">
        <v>140</v>
      </c>
      <c r="D328" s="1319" t="s">
        <v>343</v>
      </c>
      <c r="E328" s="1319" t="s">
        <v>344</v>
      </c>
      <c r="F328" s="1319" t="s">
        <v>482</v>
      </c>
      <c r="G328" s="1319" t="s">
        <v>483</v>
      </c>
      <c r="H328" s="1319" t="s">
        <v>170</v>
      </c>
      <c r="I328" s="1321" t="s">
        <v>171</v>
      </c>
      <c r="J328" s="2901"/>
      <c r="K328" s="2901"/>
      <c r="L328" s="2901"/>
    </row>
    <row r="329" spans="1:12" s="1918" customFormat="1" ht="16.8">
      <c r="A329" s="1319" t="s">
        <v>172</v>
      </c>
      <c r="B329" s="1320" t="s">
        <v>189</v>
      </c>
      <c r="C329" s="1322">
        <v>1</v>
      </c>
      <c r="D329" s="1323" t="s">
        <v>583</v>
      </c>
      <c r="E329" s="1324">
        <f>+H333*0.05</f>
        <v>6371.3036730666663</v>
      </c>
      <c r="F329" s="1324"/>
      <c r="G329" s="1324"/>
      <c r="H329" s="1324"/>
      <c r="I329" s="1324">
        <f>+E329*C329</f>
        <v>6371.3036730666663</v>
      </c>
      <c r="J329" s="2901"/>
      <c r="K329" s="2901"/>
      <c r="L329" s="2901"/>
    </row>
    <row r="330" spans="1:12" s="1918" customFormat="1" ht="16.8">
      <c r="A330" s="1319" t="s">
        <v>345</v>
      </c>
      <c r="B330" s="1320" t="s">
        <v>6439</v>
      </c>
      <c r="C330" s="1322">
        <f>1/3</f>
        <v>0.33333333333333331</v>
      </c>
      <c r="D330" s="1323" t="s">
        <v>346</v>
      </c>
      <c r="E330" s="1324">
        <f>+OFICI</f>
        <v>80479.625344</v>
      </c>
      <c r="F330" s="1324"/>
      <c r="G330" s="1324"/>
      <c r="H330" s="1324">
        <f>+E330*C330</f>
        <v>26826.541781333333</v>
      </c>
      <c r="I330" s="1324"/>
      <c r="J330" s="2901"/>
      <c r="K330" s="2901"/>
      <c r="L330" s="2901"/>
    </row>
    <row r="331" spans="1:12" s="1918" customFormat="1" ht="16.8">
      <c r="A331" s="1319" t="s">
        <v>348</v>
      </c>
      <c r="B331" s="1320" t="s">
        <v>966</v>
      </c>
      <c r="C331" s="1322">
        <f>1/3</f>
        <v>0.33333333333333331</v>
      </c>
      <c r="D331" s="1323" t="s">
        <v>346</v>
      </c>
      <c r="E331" s="1324">
        <f>+AYUDR*6</f>
        <v>301798.59503999999</v>
      </c>
      <c r="F331" s="1324"/>
      <c r="G331" s="1324"/>
      <c r="H331" s="1324">
        <f>+E331*C331</f>
        <v>100599.53167999999</v>
      </c>
      <c r="I331" s="1324"/>
      <c r="J331" s="2901"/>
      <c r="K331" s="2901"/>
      <c r="L331" s="2901"/>
    </row>
    <row r="332" spans="1:12" s="1918" customFormat="1" ht="16.8">
      <c r="A332" s="1319" t="s">
        <v>1112</v>
      </c>
      <c r="B332" s="1320" t="s">
        <v>6561</v>
      </c>
      <c r="C332" s="1322">
        <v>1.02</v>
      </c>
      <c r="D332" s="1323" t="s">
        <v>1292</v>
      </c>
      <c r="E332" s="1324">
        <f>+'BASE CTOS'!B37</f>
        <v>329955.0242249</v>
      </c>
      <c r="F332" s="1324"/>
      <c r="G332" s="1324">
        <f>+E332*C332</f>
        <v>336554.12470939802</v>
      </c>
      <c r="H332" s="1324"/>
      <c r="I332" s="1324"/>
      <c r="J332" s="2901"/>
      <c r="K332" s="2901"/>
      <c r="L332" s="2901"/>
    </row>
    <row r="333" spans="1:12" s="1918" customFormat="1" ht="16.8">
      <c r="A333" s="1325" t="s">
        <v>190</v>
      </c>
      <c r="B333" s="1326">
        <f>ROUND(SUM(F333:I333),0)</f>
        <v>470352</v>
      </c>
      <c r="C333" s="1323"/>
      <c r="D333" s="1327"/>
      <c r="E333" s="1319"/>
      <c r="F333" s="1324">
        <f>SUM(F329:F332)</f>
        <v>0</v>
      </c>
      <c r="G333" s="1324">
        <f>SUM(G329:G332)</f>
        <v>336554.12470939802</v>
      </c>
      <c r="H333" s="1324">
        <f>SUM(H329:H332)</f>
        <v>127426.07346133332</v>
      </c>
      <c r="I333" s="1324">
        <f>SUM(I329:I332)</f>
        <v>6371.3036730666663</v>
      </c>
      <c r="J333" s="2901"/>
      <c r="K333" s="2901"/>
      <c r="L333" s="2901"/>
    </row>
    <row r="334" spans="1:12" s="1918" customFormat="1" ht="16.8">
      <c r="A334" s="1325" t="s">
        <v>191</v>
      </c>
      <c r="B334" s="1326">
        <f>+B333</f>
        <v>470352</v>
      </c>
      <c r="C334" s="1328" t="s">
        <v>356</v>
      </c>
      <c r="D334" s="1329"/>
      <c r="E334" s="1329"/>
      <c r="F334" s="1329"/>
      <c r="G334" s="1329"/>
      <c r="H334" s="1330"/>
      <c r="I334" s="1330"/>
      <c r="J334" s="2901"/>
      <c r="K334" s="2901"/>
      <c r="L334" s="2901"/>
    </row>
    <row r="335" spans="1:12" s="1918" customFormat="1" ht="15.75" customHeight="1">
      <c r="J335" s="2901"/>
      <c r="K335" s="2901">
        <f>0.05*1</f>
        <v>0.05</v>
      </c>
      <c r="L335" s="2901"/>
    </row>
    <row r="336" spans="1:12" s="1918" customFormat="1" ht="16.8">
      <c r="A336" s="2135"/>
      <c r="B336" s="3849" t="s">
        <v>4720</v>
      </c>
      <c r="C336" s="3849"/>
      <c r="D336" s="3849"/>
      <c r="E336" s="3849"/>
      <c r="F336" s="3849"/>
      <c r="G336" s="3849"/>
      <c r="H336" s="3849"/>
      <c r="I336" s="3849"/>
      <c r="J336" s="2901"/>
      <c r="K336" s="2901"/>
      <c r="L336" s="2901"/>
    </row>
    <row r="337" spans="1:12" s="1918" customFormat="1" ht="16.8">
      <c r="A337" s="1319"/>
      <c r="B337" s="1320"/>
      <c r="C337" s="1319" t="s">
        <v>140</v>
      </c>
      <c r="D337" s="1319" t="s">
        <v>343</v>
      </c>
      <c r="E337" s="1319" t="s">
        <v>344</v>
      </c>
      <c r="F337" s="1319" t="s">
        <v>482</v>
      </c>
      <c r="G337" s="1319" t="s">
        <v>483</v>
      </c>
      <c r="H337" s="1319" t="s">
        <v>170</v>
      </c>
      <c r="I337" s="1319" t="s">
        <v>171</v>
      </c>
      <c r="J337" s="2901"/>
      <c r="K337" s="2901"/>
      <c r="L337" s="2901"/>
    </row>
    <row r="338" spans="1:12" s="1918" customFormat="1" ht="16.8">
      <c r="A338" s="1319"/>
      <c r="B338" s="1320" t="s">
        <v>946</v>
      </c>
      <c r="C338" s="1319">
        <v>0.05</v>
      </c>
      <c r="D338" s="1319" t="s">
        <v>1292</v>
      </c>
      <c r="E338" s="1331">
        <f>+'BASE CTOS'!B150</f>
        <v>414261.84922490001</v>
      </c>
      <c r="F338" s="1319"/>
      <c r="G338" s="1331">
        <f>+C338*E338</f>
        <v>20713.092461245004</v>
      </c>
      <c r="H338" s="1319"/>
      <c r="I338" s="1319"/>
      <c r="J338" s="2901"/>
      <c r="K338" s="2901"/>
      <c r="L338" s="2901"/>
    </row>
    <row r="339" spans="1:12" s="1918" customFormat="1" ht="16.8">
      <c r="A339" s="1319" t="s">
        <v>345</v>
      </c>
      <c r="B339" s="1320" t="s">
        <v>6439</v>
      </c>
      <c r="C339" s="1322">
        <v>0.05</v>
      </c>
      <c r="D339" s="1323" t="s">
        <v>346</v>
      </c>
      <c r="E339" s="2149">
        <f>+OFICI</f>
        <v>80479.625344</v>
      </c>
      <c r="F339" s="1324"/>
      <c r="G339" s="1324"/>
      <c r="H339" s="2149">
        <f>+E339*C339</f>
        <v>4023.9812672000003</v>
      </c>
      <c r="I339" s="2149"/>
      <c r="J339" s="2901"/>
      <c r="K339" s="2901"/>
      <c r="L339" s="2901"/>
    </row>
    <row r="340" spans="1:12" s="1918" customFormat="1" ht="16.8">
      <c r="A340" s="1319" t="s">
        <v>348</v>
      </c>
      <c r="B340" s="1320" t="s">
        <v>6579</v>
      </c>
      <c r="C340" s="1322">
        <v>0.1</v>
      </c>
      <c r="D340" s="1323" t="s">
        <v>346</v>
      </c>
      <c r="E340" s="2149">
        <f>+AYUDR</f>
        <v>50299.76584</v>
      </c>
      <c r="F340" s="1324"/>
      <c r="G340" s="1324"/>
      <c r="H340" s="2149">
        <f>+E340*C340</f>
        <v>5029.976584</v>
      </c>
      <c r="I340" s="2149"/>
      <c r="J340" s="2901"/>
      <c r="K340" s="2901"/>
      <c r="L340" s="2901"/>
    </row>
    <row r="341" spans="1:12" s="1918" customFormat="1" ht="16.8">
      <c r="A341" s="1319" t="s">
        <v>172</v>
      </c>
      <c r="B341" s="1320" t="s">
        <v>189</v>
      </c>
      <c r="C341" s="1322">
        <v>1</v>
      </c>
      <c r="D341" s="1323" t="s">
        <v>583</v>
      </c>
      <c r="E341" s="2149">
        <f>+H342*0.05</f>
        <v>452.69789256000007</v>
      </c>
      <c r="F341" s="1324"/>
      <c r="G341" s="1324"/>
      <c r="H341" s="2149"/>
      <c r="I341" s="2149">
        <f>+E341*C341</f>
        <v>452.69789256000007</v>
      </c>
      <c r="J341" s="2901"/>
      <c r="K341" s="2901"/>
      <c r="L341" s="2901"/>
    </row>
    <row r="342" spans="1:12" s="1918" customFormat="1" ht="16.8">
      <c r="A342" s="1325" t="s">
        <v>190</v>
      </c>
      <c r="B342" s="1326">
        <f>ROUND(SUM(F342:I342),0)</f>
        <v>30220</v>
      </c>
      <c r="C342" s="1323"/>
      <c r="D342" s="1327"/>
      <c r="E342" s="1319"/>
      <c r="F342" s="1324">
        <f>SUM(F339:F340)</f>
        <v>0</v>
      </c>
      <c r="G342" s="2149">
        <f>SUM(G338:G340)</f>
        <v>20713.092461245004</v>
      </c>
      <c r="H342" s="2149">
        <f>SUM(H339:H340)</f>
        <v>9053.9578512000007</v>
      </c>
      <c r="I342" s="2149">
        <f>SUM(I339:I341)</f>
        <v>452.69789256000007</v>
      </c>
      <c r="J342" s="2901"/>
      <c r="K342" s="2901"/>
      <c r="L342" s="2901"/>
    </row>
    <row r="343" spans="1:12" ht="19.5" customHeight="1">
      <c r="A343" s="1325" t="s">
        <v>191</v>
      </c>
      <c r="B343" s="1326">
        <f>+B342</f>
        <v>30220</v>
      </c>
      <c r="C343" s="1328" t="s">
        <v>1002</v>
      </c>
      <c r="D343" s="1329"/>
      <c r="E343" s="1329"/>
      <c r="F343" s="1329"/>
      <c r="G343" s="1329"/>
      <c r="H343" s="1330"/>
      <c r="I343" s="1330"/>
    </row>
    <row r="344" spans="1:12" s="17" customFormat="1" ht="16.8">
      <c r="A344" s="492"/>
      <c r="B344" s="492"/>
      <c r="C344" s="492"/>
      <c r="D344" s="492"/>
      <c r="E344" s="492"/>
      <c r="F344" s="492"/>
      <c r="G344" s="492"/>
      <c r="H344" s="492"/>
      <c r="I344" s="492"/>
      <c r="J344" s="2902"/>
      <c r="K344" s="2902"/>
      <c r="L344" s="2902"/>
    </row>
    <row r="345" spans="1:12" s="61" customFormat="1" ht="18">
      <c r="A345" s="3616" t="s">
        <v>8051</v>
      </c>
      <c r="B345" s="3617"/>
      <c r="C345" s="3617"/>
      <c r="D345" s="3617"/>
      <c r="E345" s="3617"/>
      <c r="F345" s="3617"/>
      <c r="G345" s="3617"/>
      <c r="H345" s="3617"/>
      <c r="I345" s="3618"/>
      <c r="J345" s="2894"/>
      <c r="K345" s="2894"/>
      <c r="L345" s="2894"/>
    </row>
    <row r="346" spans="1:12" s="17" customFormat="1" ht="16.8">
      <c r="A346" s="492"/>
      <c r="B346" s="492"/>
      <c r="C346" s="492"/>
      <c r="D346" s="492"/>
      <c r="E346" s="492"/>
      <c r="F346" s="492"/>
      <c r="G346" s="492"/>
      <c r="H346" s="492"/>
      <c r="I346" s="492"/>
      <c r="J346" s="2902"/>
      <c r="K346" s="2902"/>
      <c r="L346" s="2902"/>
    </row>
    <row r="347" spans="1:12" ht="18">
      <c r="A347" s="1578"/>
      <c r="B347" s="3862" t="s">
        <v>5692</v>
      </c>
      <c r="C347" s="3863"/>
      <c r="D347" s="3863"/>
      <c r="E347" s="3863"/>
      <c r="F347" s="3863"/>
      <c r="G347" s="3863"/>
      <c r="H347" s="3863"/>
      <c r="I347" s="3864"/>
    </row>
    <row r="348" spans="1:12" ht="18">
      <c r="A348" s="1579"/>
      <c r="B348" s="1262"/>
      <c r="C348" s="1299" t="s">
        <v>140</v>
      </c>
      <c r="D348" s="1580" t="s">
        <v>343</v>
      </c>
      <c r="E348" s="1581" t="s">
        <v>344</v>
      </c>
      <c r="F348" s="1581" t="s">
        <v>482</v>
      </c>
      <c r="G348" s="1581" t="s">
        <v>483</v>
      </c>
      <c r="H348" s="1581" t="s">
        <v>232</v>
      </c>
      <c r="I348" s="1581" t="s">
        <v>171</v>
      </c>
    </row>
    <row r="349" spans="1:12" ht="18">
      <c r="A349" s="1589"/>
      <c r="B349" s="1582" t="s">
        <v>247</v>
      </c>
      <c r="C349" s="183">
        <v>3.6333617021276603</v>
      </c>
      <c r="D349" s="1580" t="s">
        <v>346</v>
      </c>
      <c r="E349" s="1581">
        <f>+VIBGA</f>
        <v>47000</v>
      </c>
      <c r="F349" s="1581">
        <f>+E349*C349</f>
        <v>170768.00000000003</v>
      </c>
      <c r="G349" s="1581"/>
      <c r="H349" s="1581"/>
      <c r="I349" s="1581"/>
    </row>
    <row r="350" spans="1:12" ht="18">
      <c r="A350" s="1589"/>
      <c r="B350" s="1582" t="s">
        <v>1302</v>
      </c>
      <c r="C350" s="183">
        <v>9.4703999999999997</v>
      </c>
      <c r="D350" s="1580" t="s">
        <v>647</v>
      </c>
      <c r="E350" s="1581">
        <f>+A60FI</f>
        <v>3200</v>
      </c>
      <c r="F350" s="1581"/>
      <c r="G350" s="1581">
        <f>+E350*C350</f>
        <v>30305.279999999999</v>
      </c>
      <c r="H350" s="1581"/>
      <c r="I350" s="1581"/>
    </row>
    <row r="351" spans="1:12" ht="18">
      <c r="A351" s="1589"/>
      <c r="B351" s="1582" t="s">
        <v>5693</v>
      </c>
      <c r="C351" s="183">
        <v>0.56999999999999995</v>
      </c>
      <c r="D351" s="1580" t="s">
        <v>363</v>
      </c>
      <c r="E351" s="1581">
        <v>20250</v>
      </c>
      <c r="F351" s="1581"/>
      <c r="G351" s="1581">
        <f t="shared" ref="G351:G354" si="24">+E351*C351</f>
        <v>11542.499999999998</v>
      </c>
      <c r="H351" s="1581"/>
      <c r="I351" s="1581"/>
    </row>
    <row r="352" spans="1:12" ht="18">
      <c r="A352" s="1589"/>
      <c r="B352" s="1582" t="s">
        <v>5694</v>
      </c>
      <c r="C352" s="183">
        <v>1</v>
      </c>
      <c r="D352" s="1580" t="s">
        <v>374</v>
      </c>
      <c r="E352" s="1581">
        <v>4050.0000000000005</v>
      </c>
      <c r="F352" s="1581"/>
      <c r="G352" s="1581">
        <f t="shared" si="24"/>
        <v>4050.0000000000005</v>
      </c>
      <c r="H352" s="1581"/>
      <c r="I352" s="1581"/>
    </row>
    <row r="353" spans="1:12" ht="18">
      <c r="A353" s="1589"/>
      <c r="B353" s="1582" t="s">
        <v>5694</v>
      </c>
      <c r="C353" s="183">
        <v>0.22</v>
      </c>
      <c r="D353" s="1580" t="s">
        <v>363</v>
      </c>
      <c r="E353" s="1581">
        <v>10800</v>
      </c>
      <c r="F353" s="1581"/>
      <c r="G353" s="1581">
        <f t="shared" si="24"/>
        <v>2376</v>
      </c>
      <c r="H353" s="1581"/>
      <c r="I353" s="1581"/>
    </row>
    <row r="354" spans="1:12" s="402" customFormat="1" ht="15" customHeight="1">
      <c r="A354" s="1589"/>
      <c r="B354" s="1582" t="s">
        <v>5695</v>
      </c>
      <c r="C354" s="183">
        <v>0.12</v>
      </c>
      <c r="D354" s="1580" t="s">
        <v>647</v>
      </c>
      <c r="E354" s="1581">
        <v>7830.0000000000009</v>
      </c>
      <c r="F354" s="1581"/>
      <c r="G354" s="1581">
        <f t="shared" si="24"/>
        <v>939.6</v>
      </c>
      <c r="H354" s="1581"/>
      <c r="I354" s="1581"/>
      <c r="J354" s="2895"/>
      <c r="K354" s="2895"/>
      <c r="L354" s="2895"/>
    </row>
    <row r="355" spans="1:12" s="402" customFormat="1" ht="15" customHeight="1">
      <c r="A355" s="1579"/>
      <c r="B355" s="1584" t="s">
        <v>5600</v>
      </c>
      <c r="C355" s="183">
        <f>1/4.5</f>
        <v>0.22222222222222221</v>
      </c>
      <c r="D355" s="1229" t="s">
        <v>346</v>
      </c>
      <c r="E355" s="1581">
        <f>+OFICI</f>
        <v>80479.625344</v>
      </c>
      <c r="F355" s="1585"/>
      <c r="G355" s="1583"/>
      <c r="H355" s="1585">
        <f>+E355*C355</f>
        <v>17884.361187555554</v>
      </c>
      <c r="I355" s="1585"/>
      <c r="J355" s="2895"/>
      <c r="K355" s="2895"/>
      <c r="L355" s="2895"/>
    </row>
    <row r="356" spans="1:12" s="402" customFormat="1" ht="15" customHeight="1">
      <c r="A356" s="1579"/>
      <c r="B356" s="1584" t="s">
        <v>1062</v>
      </c>
      <c r="C356" s="183">
        <f>1/4.5</f>
        <v>0.22222222222222221</v>
      </c>
      <c r="D356" s="1229" t="s">
        <v>346</v>
      </c>
      <c r="E356" s="1581">
        <f>AYUDR*2</f>
        <v>100599.53168</v>
      </c>
      <c r="F356" s="1585"/>
      <c r="G356" s="1583"/>
      <c r="H356" s="1585">
        <f>+E356*C356</f>
        <v>22355.451484444442</v>
      </c>
      <c r="I356" s="1585"/>
      <c r="J356" s="2895"/>
      <c r="K356" s="2895"/>
      <c r="L356" s="2895"/>
    </row>
    <row r="357" spans="1:12" ht="18">
      <c r="A357" s="1579" t="s">
        <v>349</v>
      </c>
      <c r="B357" s="1262" t="s">
        <v>5691</v>
      </c>
      <c r="C357" s="183">
        <v>1</v>
      </c>
      <c r="D357" s="1229" t="s">
        <v>583</v>
      </c>
      <c r="E357" s="1581">
        <f>H358*0.05</f>
        <v>2011.9906336000001</v>
      </c>
      <c r="F357" s="1585"/>
      <c r="G357" s="1585"/>
      <c r="H357" s="1585"/>
      <c r="I357" s="1585">
        <f>+E357*C357</f>
        <v>2011.9906336000001</v>
      </c>
    </row>
    <row r="358" spans="1:12" ht="18">
      <c r="A358" s="1586" t="s">
        <v>190</v>
      </c>
      <c r="B358" s="1587">
        <f>SUM(F358:I358)</f>
        <v>262233.18330560002</v>
      </c>
      <c r="C358" s="687"/>
      <c r="D358" s="1229"/>
      <c r="E358" s="1581"/>
      <c r="F358" s="1585">
        <f>SUM(F349:F357)</f>
        <v>170768.00000000003</v>
      </c>
      <c r="G358" s="1585">
        <f>SUM(G349:G357)</f>
        <v>49213.38</v>
      </c>
      <c r="H358" s="1585">
        <f>SUM(H349:H357)</f>
        <v>40239.812672</v>
      </c>
      <c r="I358" s="1585">
        <f>SUM(I349:I357)</f>
        <v>2011.9906336000001</v>
      </c>
    </row>
    <row r="359" spans="1:12" ht="18">
      <c r="A359" s="1586" t="s">
        <v>191</v>
      </c>
      <c r="B359" s="1587">
        <f>+ROUND(B358,0)</f>
        <v>262233</v>
      </c>
      <c r="C359" s="1228" t="s">
        <v>45</v>
      </c>
      <c r="D359" s="402"/>
      <c r="E359" s="1588"/>
      <c r="F359" s="1280"/>
      <c r="G359" s="1280"/>
      <c r="H359" s="1280"/>
      <c r="I359" s="1280"/>
    </row>
    <row r="360" spans="1:12" s="17" customFormat="1" ht="16.8">
      <c r="A360" s="492"/>
      <c r="B360" s="492"/>
      <c r="C360" s="492"/>
      <c r="D360" s="492"/>
      <c r="E360" s="492"/>
      <c r="F360" s="492"/>
      <c r="G360" s="492"/>
      <c r="H360" s="492"/>
      <c r="I360" s="492"/>
      <c r="J360" s="2902"/>
      <c r="K360" s="2902"/>
      <c r="L360" s="2902"/>
    </row>
    <row r="361" spans="1:12" ht="18">
      <c r="A361" s="1578"/>
      <c r="B361" s="3566" t="s">
        <v>5663</v>
      </c>
      <c r="C361" s="3567"/>
      <c r="D361" s="3567"/>
      <c r="E361" s="3567"/>
      <c r="F361" s="3567"/>
      <c r="G361" s="3567"/>
      <c r="H361" s="3567"/>
      <c r="I361" s="3568"/>
    </row>
    <row r="362" spans="1:12" ht="18">
      <c r="A362" s="1579"/>
      <c r="B362" s="1262"/>
      <c r="C362" s="1299" t="s">
        <v>140</v>
      </c>
      <c r="D362" s="1580" t="s">
        <v>343</v>
      </c>
      <c r="E362" s="1581" t="s">
        <v>344</v>
      </c>
      <c r="F362" s="1581" t="s">
        <v>482</v>
      </c>
      <c r="G362" s="1581" t="s">
        <v>483</v>
      </c>
      <c r="H362" s="1581" t="s">
        <v>232</v>
      </c>
      <c r="I362" s="1581" t="s">
        <v>171</v>
      </c>
    </row>
    <row r="363" spans="1:12" ht="18">
      <c r="A363" s="1589"/>
      <c r="B363" s="1582" t="s">
        <v>5696</v>
      </c>
      <c r="C363" s="183">
        <v>7.5</v>
      </c>
      <c r="D363" s="1580" t="s">
        <v>363</v>
      </c>
      <c r="E363" s="1581">
        <v>2025.0000000000002</v>
      </c>
      <c r="F363" s="1581"/>
      <c r="G363" s="1581">
        <f>+E363*C363</f>
        <v>15187.500000000002</v>
      </c>
      <c r="H363" s="1581"/>
      <c r="I363" s="1581"/>
    </row>
    <row r="364" spans="1:12" s="402" customFormat="1" ht="15" customHeight="1">
      <c r="A364" s="1589"/>
      <c r="B364" s="1582" t="s">
        <v>946</v>
      </c>
      <c r="C364" s="183">
        <v>0.02</v>
      </c>
      <c r="D364" s="1580" t="s">
        <v>1292</v>
      </c>
      <c r="E364" s="1581">
        <f>+'BASE CTOS'!B150</f>
        <v>414261.84922490001</v>
      </c>
      <c r="F364" s="1581"/>
      <c r="G364" s="1581">
        <f>+E364*C364</f>
        <v>8285.2369844980003</v>
      </c>
      <c r="H364" s="1581"/>
      <c r="I364" s="1581"/>
      <c r="J364" s="2895"/>
      <c r="K364" s="2895"/>
      <c r="L364" s="2895"/>
    </row>
    <row r="365" spans="1:12" s="402" customFormat="1" ht="15" customHeight="1">
      <c r="A365" s="1579"/>
      <c r="B365" s="1584" t="s">
        <v>5600</v>
      </c>
      <c r="C365" s="183">
        <f>1/15</f>
        <v>6.6666666666666666E-2</v>
      </c>
      <c r="D365" s="1229" t="s">
        <v>346</v>
      </c>
      <c r="E365" s="1581">
        <f>+OFICI</f>
        <v>80479.625344</v>
      </c>
      <c r="F365" s="1585"/>
      <c r="G365" s="1583"/>
      <c r="H365" s="1585">
        <f>+E365*C365</f>
        <v>5365.308356266667</v>
      </c>
      <c r="I365" s="1585"/>
      <c r="J365" s="2895"/>
      <c r="K365" s="2895"/>
      <c r="L365" s="2895"/>
    </row>
    <row r="366" spans="1:12" s="402" customFormat="1" ht="15" customHeight="1">
      <c r="A366" s="1579"/>
      <c r="B366" s="1584" t="s">
        <v>1062</v>
      </c>
      <c r="C366" s="183">
        <f>1/15</f>
        <v>6.6666666666666666E-2</v>
      </c>
      <c r="D366" s="1229" t="s">
        <v>346</v>
      </c>
      <c r="E366" s="1581">
        <f>+AYUDR</f>
        <v>50299.76584</v>
      </c>
      <c r="F366" s="1585"/>
      <c r="G366" s="1583"/>
      <c r="H366" s="1585">
        <f>+E366*C366</f>
        <v>3353.3177226666667</v>
      </c>
      <c r="I366" s="1585"/>
      <c r="J366" s="2895"/>
      <c r="K366" s="2895"/>
      <c r="L366" s="2895"/>
    </row>
    <row r="367" spans="1:12" ht="18">
      <c r="A367" s="1579" t="s">
        <v>349</v>
      </c>
      <c r="B367" s="1262" t="s">
        <v>5691</v>
      </c>
      <c r="C367" s="183">
        <v>1</v>
      </c>
      <c r="D367" s="1229" t="s">
        <v>583</v>
      </c>
      <c r="E367" s="1581">
        <f>H368*0.05</f>
        <v>435.93130394666673</v>
      </c>
      <c r="F367" s="1585"/>
      <c r="G367" s="1585"/>
      <c r="H367" s="1585"/>
      <c r="I367" s="1585">
        <f>+E367*C367</f>
        <v>435.93130394666673</v>
      </c>
    </row>
    <row r="368" spans="1:12" ht="18">
      <c r="A368" s="1586" t="s">
        <v>190</v>
      </c>
      <c r="B368" s="1587">
        <f>SUM(F368:I368)</f>
        <v>32627.294367378003</v>
      </c>
      <c r="C368" s="687"/>
      <c r="D368" s="1229"/>
      <c r="E368" s="1581"/>
      <c r="F368" s="1585">
        <f>SUM(F363:F367)</f>
        <v>0</v>
      </c>
      <c r="G368" s="1585">
        <f>SUM(G363:G367)</f>
        <v>23472.736984498002</v>
      </c>
      <c r="H368" s="1585">
        <f>SUM(H363:H367)</f>
        <v>8718.6260789333337</v>
      </c>
      <c r="I368" s="1585">
        <f>SUM(I363:I367)</f>
        <v>435.93130394666673</v>
      </c>
    </row>
    <row r="369" spans="1:12" ht="18">
      <c r="A369" s="1586" t="s">
        <v>191</v>
      </c>
      <c r="B369" s="1587">
        <f>+ROUND(B368,0)</f>
        <v>32627</v>
      </c>
      <c r="C369" s="1228" t="s">
        <v>45</v>
      </c>
      <c r="D369" s="402"/>
      <c r="E369" s="1588"/>
      <c r="F369" s="1280"/>
      <c r="G369" s="1280"/>
      <c r="H369" s="1280"/>
      <c r="I369" s="1280"/>
    </row>
    <row r="370" spans="1:12" s="17" customFormat="1" ht="16.8">
      <c r="A370" s="492"/>
      <c r="B370" s="492"/>
      <c r="C370" s="492"/>
      <c r="D370" s="492"/>
      <c r="E370" s="492"/>
      <c r="F370" s="492"/>
      <c r="G370" s="492"/>
      <c r="H370" s="492"/>
      <c r="I370" s="492"/>
      <c r="J370" s="2902"/>
      <c r="K370" s="2902"/>
      <c r="L370" s="2902"/>
    </row>
    <row r="371" spans="1:12" ht="18">
      <c r="A371" s="1578"/>
      <c r="B371" s="3566" t="s">
        <v>5664</v>
      </c>
      <c r="C371" s="3567"/>
      <c r="D371" s="3567"/>
      <c r="E371" s="3567"/>
      <c r="F371" s="3567"/>
      <c r="G371" s="3567"/>
      <c r="H371" s="3567"/>
      <c r="I371" s="3568"/>
    </row>
    <row r="372" spans="1:12" ht="18">
      <c r="A372" s="1579"/>
      <c r="B372" s="1262"/>
      <c r="C372" s="1299" t="s">
        <v>140</v>
      </c>
      <c r="D372" s="1580" t="s">
        <v>343</v>
      </c>
      <c r="E372" s="1581" t="s">
        <v>344</v>
      </c>
      <c r="F372" s="1581" t="s">
        <v>482</v>
      </c>
      <c r="G372" s="1581" t="s">
        <v>483</v>
      </c>
      <c r="H372" s="1581" t="s">
        <v>232</v>
      </c>
      <c r="I372" s="1581" t="s">
        <v>171</v>
      </c>
    </row>
    <row r="373" spans="1:12" ht="18">
      <c r="A373" s="1589"/>
      <c r="B373" s="1582" t="s">
        <v>5696</v>
      </c>
      <c r="C373" s="183">
        <v>12.5</v>
      </c>
      <c r="D373" s="1580" t="s">
        <v>363</v>
      </c>
      <c r="E373" s="1581">
        <v>2025.0000000000002</v>
      </c>
      <c r="F373" s="1581"/>
      <c r="G373" s="1581">
        <f>+E373*C373</f>
        <v>25312.500000000004</v>
      </c>
      <c r="H373" s="1581"/>
      <c r="I373" s="1581"/>
    </row>
    <row r="374" spans="1:12" s="402" customFormat="1" ht="15" customHeight="1">
      <c r="A374" s="1589"/>
      <c r="B374" s="1582" t="s">
        <v>946</v>
      </c>
      <c r="C374" s="183">
        <v>0.02</v>
      </c>
      <c r="D374" s="1580" t="s">
        <v>1292</v>
      </c>
      <c r="E374" s="1581">
        <f>+'BASE CTOS'!B150</f>
        <v>414261.84922490001</v>
      </c>
      <c r="F374" s="1581"/>
      <c r="G374" s="1581">
        <f>+E374*C374</f>
        <v>8285.2369844980003</v>
      </c>
      <c r="H374" s="1581"/>
      <c r="I374" s="1581"/>
      <c r="J374" s="2895"/>
      <c r="K374" s="2895"/>
      <c r="L374" s="2895"/>
    </row>
    <row r="375" spans="1:12" s="402" customFormat="1" ht="15" customHeight="1">
      <c r="A375" s="1579"/>
      <c r="B375" s="1584" t="s">
        <v>5600</v>
      </c>
      <c r="C375" s="183">
        <f>1/12</f>
        <v>8.3333333333333329E-2</v>
      </c>
      <c r="D375" s="1229" t="s">
        <v>346</v>
      </c>
      <c r="E375" s="1581">
        <f>+OFICI</f>
        <v>80479.625344</v>
      </c>
      <c r="F375" s="1585"/>
      <c r="G375" s="1583"/>
      <c r="H375" s="1585">
        <f>+E375*C375</f>
        <v>6706.6354453333333</v>
      </c>
      <c r="I375" s="1585"/>
      <c r="J375" s="2895"/>
      <c r="K375" s="2895"/>
      <c r="L375" s="2895"/>
    </row>
    <row r="376" spans="1:12" s="402" customFormat="1" ht="15" customHeight="1">
      <c r="A376" s="1579"/>
      <c r="B376" s="1584" t="s">
        <v>1062</v>
      </c>
      <c r="C376" s="183">
        <f>1/12</f>
        <v>8.3333333333333329E-2</v>
      </c>
      <c r="D376" s="1229" t="s">
        <v>346</v>
      </c>
      <c r="E376" s="1581">
        <f>+AYUDR</f>
        <v>50299.76584</v>
      </c>
      <c r="F376" s="1585"/>
      <c r="G376" s="1583"/>
      <c r="H376" s="1585">
        <f>+E376*C376</f>
        <v>4191.6471533333333</v>
      </c>
      <c r="I376" s="1585"/>
      <c r="J376" s="2895"/>
      <c r="K376" s="2895"/>
      <c r="L376" s="2895"/>
    </row>
    <row r="377" spans="1:12" ht="18">
      <c r="A377" s="1579" t="s">
        <v>349</v>
      </c>
      <c r="B377" s="1262" t="s">
        <v>5691</v>
      </c>
      <c r="C377" s="183">
        <v>1</v>
      </c>
      <c r="D377" s="1229" t="s">
        <v>583</v>
      </c>
      <c r="E377" s="1581">
        <f>H378*0.05</f>
        <v>544.91412993333336</v>
      </c>
      <c r="F377" s="1585"/>
      <c r="G377" s="1585"/>
      <c r="H377" s="1585"/>
      <c r="I377" s="1585">
        <f>+E377*C377</f>
        <v>544.91412993333336</v>
      </c>
    </row>
    <row r="378" spans="1:12" ht="18">
      <c r="A378" s="1586" t="s">
        <v>190</v>
      </c>
      <c r="B378" s="1587">
        <f>SUM(F378:I378)</f>
        <v>45040.933713098006</v>
      </c>
      <c r="C378" s="687"/>
      <c r="D378" s="1229"/>
      <c r="E378" s="1581"/>
      <c r="F378" s="1585">
        <f>SUM(F373:F377)</f>
        <v>0</v>
      </c>
      <c r="G378" s="1585">
        <f>SUM(G373:G377)</f>
        <v>33597.736984498006</v>
      </c>
      <c r="H378" s="1585">
        <f>SUM(H373:H377)</f>
        <v>10898.282598666667</v>
      </c>
      <c r="I378" s="1585">
        <f>SUM(I373:I377)</f>
        <v>544.91412993333336</v>
      </c>
    </row>
    <row r="379" spans="1:12" ht="18">
      <c r="A379" s="1586" t="s">
        <v>191</v>
      </c>
      <c r="B379" s="1587">
        <f>+ROUND(B378,0)</f>
        <v>45041</v>
      </c>
      <c r="C379" s="1228" t="s">
        <v>1002</v>
      </c>
      <c r="D379" s="402"/>
      <c r="E379" s="1588"/>
      <c r="F379" s="1280"/>
      <c r="G379" s="1280"/>
      <c r="H379" s="1280"/>
      <c r="I379" s="1280"/>
    </row>
    <row r="380" spans="1:12" s="17" customFormat="1" ht="16.8">
      <c r="A380" s="492"/>
      <c r="B380" s="492"/>
      <c r="C380" s="492"/>
      <c r="D380" s="492"/>
      <c r="E380" s="492"/>
      <c r="F380" s="492"/>
      <c r="G380" s="492"/>
      <c r="H380" s="492"/>
      <c r="I380" s="492"/>
      <c r="J380" s="2902"/>
      <c r="K380" s="2902"/>
      <c r="L380" s="2902"/>
    </row>
    <row r="381" spans="1:12" ht="18">
      <c r="A381" s="1578"/>
      <c r="B381" s="3566" t="s">
        <v>5665</v>
      </c>
      <c r="C381" s="3567"/>
      <c r="D381" s="3567"/>
      <c r="E381" s="3567"/>
      <c r="F381" s="3567"/>
      <c r="G381" s="3567"/>
      <c r="H381" s="3567"/>
      <c r="I381" s="3568"/>
    </row>
    <row r="382" spans="1:12" ht="18">
      <c r="A382" s="1579"/>
      <c r="B382" s="1262"/>
      <c r="C382" s="1299" t="s">
        <v>140</v>
      </c>
      <c r="D382" s="1580" t="s">
        <v>343</v>
      </c>
      <c r="E382" s="1581" t="s">
        <v>344</v>
      </c>
      <c r="F382" s="1581" t="s">
        <v>482</v>
      </c>
      <c r="G382" s="1581" t="s">
        <v>483</v>
      </c>
      <c r="H382" s="1581" t="s">
        <v>232</v>
      </c>
      <c r="I382" s="1581" t="s">
        <v>171</v>
      </c>
    </row>
    <row r="383" spans="1:12" ht="18">
      <c r="A383" s="1589"/>
      <c r="B383" s="1582" t="s">
        <v>1302</v>
      </c>
      <c r="C383" s="182">
        <v>8.0258666666666674</v>
      </c>
      <c r="D383" s="1580" t="s">
        <v>647</v>
      </c>
      <c r="E383" s="1581">
        <f>+A60FI</f>
        <v>3200</v>
      </c>
      <c r="F383" s="1581"/>
      <c r="G383" s="1581">
        <f>+E383*C383</f>
        <v>25682.773333333334</v>
      </c>
      <c r="H383" s="1581"/>
      <c r="I383" s="1581"/>
    </row>
    <row r="384" spans="1:12" s="1918" customFormat="1" ht="18">
      <c r="A384" s="1589"/>
      <c r="B384" s="1582" t="s">
        <v>6567</v>
      </c>
      <c r="C384" s="182">
        <v>2.2903738013579991E-2</v>
      </c>
      <c r="D384" s="1580" t="s">
        <v>1292</v>
      </c>
      <c r="E384" s="1581">
        <f>+'BASE CTOS'!B107</f>
        <v>419022.54922489997</v>
      </c>
      <c r="F384" s="1581"/>
      <c r="G384" s="1581">
        <f t="shared" ref="G384:G387" si="25">+E384*C384</f>
        <v>9597.1826892295339</v>
      </c>
      <c r="H384" s="1581"/>
      <c r="I384" s="1581"/>
      <c r="J384" s="2901"/>
      <c r="K384" s="2901"/>
      <c r="L384" s="2901"/>
    </row>
    <row r="385" spans="1:12" ht="16.8">
      <c r="A385" s="1319"/>
      <c r="B385" s="1582" t="s">
        <v>6420</v>
      </c>
      <c r="C385" s="2191">
        <v>6</v>
      </c>
      <c r="D385" s="2026" t="s">
        <v>1002</v>
      </c>
      <c r="E385" s="2149">
        <f>+FORMA</f>
        <v>2222.2222222222222</v>
      </c>
      <c r="F385" s="2744"/>
      <c r="G385" s="2149">
        <f>+E385*C385</f>
        <v>13333.333333333332</v>
      </c>
      <c r="H385" s="2149"/>
      <c r="I385" s="2149"/>
    </row>
    <row r="386" spans="1:12" ht="18">
      <c r="A386" s="1589"/>
      <c r="B386" s="1582" t="s">
        <v>5694</v>
      </c>
      <c r="C386" s="182">
        <v>0.5</v>
      </c>
      <c r="D386" s="1580" t="s">
        <v>374</v>
      </c>
      <c r="E386" s="1581">
        <v>4050.0000000000005</v>
      </c>
      <c r="F386" s="1581"/>
      <c r="G386" s="1581">
        <f t="shared" si="25"/>
        <v>2025.0000000000002</v>
      </c>
      <c r="H386" s="1581"/>
      <c r="I386" s="1581"/>
    </row>
    <row r="387" spans="1:12" s="402" customFormat="1" ht="15" customHeight="1">
      <c r="A387" s="1589"/>
      <c r="B387" s="1582" t="s">
        <v>5690</v>
      </c>
      <c r="C387" s="182">
        <v>0.22</v>
      </c>
      <c r="D387" s="1580" t="s">
        <v>363</v>
      </c>
      <c r="E387" s="1581">
        <v>10800</v>
      </c>
      <c r="F387" s="1581"/>
      <c r="G387" s="1581">
        <f t="shared" si="25"/>
        <v>2376</v>
      </c>
      <c r="H387" s="1581"/>
      <c r="I387" s="1581"/>
      <c r="J387" s="2895"/>
      <c r="K387" s="2895"/>
      <c r="L387" s="2895"/>
    </row>
    <row r="388" spans="1:12" s="402" customFormat="1" ht="15" customHeight="1">
      <c r="A388" s="1579"/>
      <c r="B388" s="1584" t="s">
        <v>5600</v>
      </c>
      <c r="C388" s="183">
        <f>1/7</f>
        <v>0.14285714285714285</v>
      </c>
      <c r="D388" s="1229" t="s">
        <v>346</v>
      </c>
      <c r="E388" s="1581">
        <f>+OFICI</f>
        <v>80479.625344</v>
      </c>
      <c r="F388" s="1585"/>
      <c r="G388" s="1583"/>
      <c r="H388" s="1585">
        <f>+E388*C388</f>
        <v>11497.089334857143</v>
      </c>
      <c r="I388" s="1585"/>
      <c r="J388" s="2895"/>
      <c r="K388" s="2895"/>
      <c r="L388" s="2895"/>
    </row>
    <row r="389" spans="1:12" s="402" customFormat="1" ht="15" customHeight="1">
      <c r="A389" s="1579"/>
      <c r="B389" s="1584" t="s">
        <v>1062</v>
      </c>
      <c r="C389" s="183">
        <f>1/7</f>
        <v>0.14285714285714285</v>
      </c>
      <c r="D389" s="1229" t="s">
        <v>346</v>
      </c>
      <c r="E389" s="1581">
        <f>AYUDR*2</f>
        <v>100599.53168</v>
      </c>
      <c r="F389" s="1585"/>
      <c r="G389" s="1583"/>
      <c r="H389" s="1585">
        <f>+E389*C389</f>
        <v>14371.361668571428</v>
      </c>
      <c r="I389" s="1585"/>
      <c r="J389" s="2895"/>
      <c r="K389" s="2895"/>
      <c r="L389" s="2895"/>
    </row>
    <row r="390" spans="1:12" ht="18">
      <c r="A390" s="1579" t="s">
        <v>349</v>
      </c>
      <c r="B390" s="1262" t="s">
        <v>5691</v>
      </c>
      <c r="C390" s="183">
        <v>1</v>
      </c>
      <c r="D390" s="1229" t="s">
        <v>583</v>
      </c>
      <c r="E390" s="1581">
        <f>H391*0.05</f>
        <v>1293.4225501714286</v>
      </c>
      <c r="F390" s="1585"/>
      <c r="G390" s="1585"/>
      <c r="H390" s="1585"/>
      <c r="I390" s="1585">
        <f>+E390*C390</f>
        <v>1293.4225501714286</v>
      </c>
    </row>
    <row r="391" spans="1:12" ht="18">
      <c r="A391" s="1586" t="s">
        <v>190</v>
      </c>
      <c r="B391" s="1587">
        <f>SUM(F391:I391)</f>
        <v>80176.162909496183</v>
      </c>
      <c r="C391" s="687"/>
      <c r="D391" s="1229"/>
      <c r="E391" s="1581"/>
      <c r="F391" s="1585">
        <f>SUM(F383:F390)</f>
        <v>0</v>
      </c>
      <c r="G391" s="1585">
        <f>SUM(G383:G390)</f>
        <v>53014.289355896195</v>
      </c>
      <c r="H391" s="1585">
        <f>SUM(H383:H390)</f>
        <v>25868.45100342857</v>
      </c>
      <c r="I391" s="1585">
        <f>SUM(I383:I390)</f>
        <v>1293.4225501714286</v>
      </c>
    </row>
    <row r="392" spans="1:12" ht="18">
      <c r="A392" s="1586" t="s">
        <v>191</v>
      </c>
      <c r="B392" s="1587">
        <f>+ROUND(B391,0)</f>
        <v>80176</v>
      </c>
      <c r="C392" s="1228" t="s">
        <v>45</v>
      </c>
      <c r="D392" s="402"/>
      <c r="E392" s="1588"/>
      <c r="F392" s="1280"/>
      <c r="G392" s="1280"/>
      <c r="H392" s="1280"/>
      <c r="I392" s="1280"/>
    </row>
    <row r="394" spans="1:12" ht="18">
      <c r="A394" s="1578"/>
      <c r="B394" s="3566" t="s">
        <v>5666</v>
      </c>
      <c r="C394" s="3567"/>
      <c r="D394" s="3567"/>
      <c r="E394" s="3567"/>
      <c r="F394" s="3567"/>
      <c r="G394" s="3567"/>
      <c r="H394" s="3567"/>
      <c r="I394" s="3568"/>
    </row>
    <row r="395" spans="1:12" ht="18">
      <c r="A395" s="1579"/>
      <c r="B395" s="1262"/>
      <c r="C395" s="1299" t="s">
        <v>140</v>
      </c>
      <c r="D395" s="1580" t="s">
        <v>343</v>
      </c>
      <c r="E395" s="1581" t="s">
        <v>344</v>
      </c>
      <c r="F395" s="1581" t="s">
        <v>482</v>
      </c>
      <c r="G395" s="1581" t="s">
        <v>483</v>
      </c>
      <c r="H395" s="1581" t="s">
        <v>232</v>
      </c>
      <c r="I395" s="1581" t="s">
        <v>171</v>
      </c>
    </row>
    <row r="396" spans="1:12" ht="18">
      <c r="A396" s="1589"/>
      <c r="B396" s="1582" t="s">
        <v>1302</v>
      </c>
      <c r="C396" s="182">
        <v>8.2205333333333339</v>
      </c>
      <c r="D396" s="1580" t="s">
        <v>647</v>
      </c>
      <c r="E396" s="1581">
        <f>+A60FI</f>
        <v>3200</v>
      </c>
      <c r="F396" s="1581"/>
      <c r="G396" s="1581">
        <f>+E396*C396</f>
        <v>26305.706666666669</v>
      </c>
      <c r="H396" s="1581"/>
      <c r="I396" s="1581"/>
    </row>
    <row r="397" spans="1:12" s="1918" customFormat="1" ht="18">
      <c r="A397" s="1589"/>
      <c r="B397" s="1582" t="s">
        <v>6567</v>
      </c>
      <c r="C397" s="182">
        <v>3.973788387987344E-2</v>
      </c>
      <c r="D397" s="1580" t="s">
        <v>1292</v>
      </c>
      <c r="E397" s="1581">
        <f>+'BASE CTOS'!B107</f>
        <v>419022.54922489997</v>
      </c>
      <c r="F397" s="1581"/>
      <c r="G397" s="1581">
        <f t="shared" ref="G397" si="26">+E397*C397</f>
        <v>16651.069404147627</v>
      </c>
      <c r="H397" s="1581"/>
      <c r="I397" s="1581"/>
      <c r="J397" s="2901"/>
      <c r="K397" s="2901"/>
      <c r="L397" s="2901"/>
    </row>
    <row r="398" spans="1:12" s="402" customFormat="1" ht="15" customHeight="1">
      <c r="A398" s="1319"/>
      <c r="B398" s="1582" t="s">
        <v>6420</v>
      </c>
      <c r="C398" s="2191">
        <v>5</v>
      </c>
      <c r="D398" s="2026" t="s">
        <v>1002</v>
      </c>
      <c r="E398" s="2149">
        <f>+FORMA</f>
        <v>2222.2222222222222</v>
      </c>
      <c r="F398" s="2744"/>
      <c r="G398" s="2149">
        <f>+E398*C398</f>
        <v>11111.111111111111</v>
      </c>
      <c r="H398" s="2149"/>
      <c r="I398" s="2149"/>
      <c r="J398" s="2895"/>
      <c r="K398" s="2895"/>
      <c r="L398" s="2895"/>
    </row>
    <row r="399" spans="1:12" s="402" customFormat="1" ht="15" customHeight="1">
      <c r="A399" s="1579"/>
      <c r="B399" s="1584" t="s">
        <v>5600</v>
      </c>
      <c r="C399" s="183">
        <f>1/6.4</f>
        <v>0.15625</v>
      </c>
      <c r="D399" s="1229" t="s">
        <v>346</v>
      </c>
      <c r="E399" s="1581">
        <f>+OFICI</f>
        <v>80479.625344</v>
      </c>
      <c r="F399" s="1585"/>
      <c r="G399" s="1583"/>
      <c r="H399" s="1585">
        <f>+E399*C399</f>
        <v>12574.94146</v>
      </c>
      <c r="I399" s="1585"/>
      <c r="J399" s="2895"/>
      <c r="K399" s="2895"/>
      <c r="L399" s="2895"/>
    </row>
    <row r="400" spans="1:12" s="402" customFormat="1" ht="15" customHeight="1">
      <c r="A400" s="1579"/>
      <c r="B400" s="1584" t="s">
        <v>1062</v>
      </c>
      <c r="C400" s="183">
        <f>1/6.4</f>
        <v>0.15625</v>
      </c>
      <c r="D400" s="1229" t="s">
        <v>346</v>
      </c>
      <c r="E400" s="1581">
        <f>AYUDA*3</f>
        <v>196169.08677600001</v>
      </c>
      <c r="F400" s="1585"/>
      <c r="G400" s="1583"/>
      <c r="H400" s="1585">
        <f>+E400*C400</f>
        <v>30651.419808750001</v>
      </c>
      <c r="I400" s="1585"/>
      <c r="J400" s="2895"/>
      <c r="K400" s="2895"/>
      <c r="L400" s="2895"/>
    </row>
    <row r="401" spans="1:12" ht="18">
      <c r="A401" s="1579" t="s">
        <v>349</v>
      </c>
      <c r="B401" s="1262" t="s">
        <v>5691</v>
      </c>
      <c r="C401" s="183">
        <v>1</v>
      </c>
      <c r="D401" s="1229" t="s">
        <v>583</v>
      </c>
      <c r="E401" s="1581">
        <f>H402*0.05</f>
        <v>2161.3180634374999</v>
      </c>
      <c r="F401" s="1585"/>
      <c r="G401" s="1585"/>
      <c r="H401" s="1585"/>
      <c r="I401" s="1585">
        <f>+E401*C401</f>
        <v>2161.3180634374999</v>
      </c>
    </row>
    <row r="402" spans="1:12" ht="18">
      <c r="A402" s="1586" t="s">
        <v>190</v>
      </c>
      <c r="B402" s="1587">
        <f>SUM(F402:I402)</f>
        <v>99455.566514112899</v>
      </c>
      <c r="C402" s="687"/>
      <c r="D402" s="1229"/>
      <c r="E402" s="1581"/>
      <c r="F402" s="1585">
        <f>SUM(F396:F401)</f>
        <v>0</v>
      </c>
      <c r="G402" s="1585">
        <f>SUM(G396:G401)</f>
        <v>54067.887181925405</v>
      </c>
      <c r="H402" s="1585">
        <f>SUM(H396:H401)</f>
        <v>43226.361268749999</v>
      </c>
      <c r="I402" s="1585">
        <f>SUM(I396:I401)</f>
        <v>2161.3180634374999</v>
      </c>
    </row>
    <row r="403" spans="1:12" ht="18">
      <c r="A403" s="1586" t="s">
        <v>191</v>
      </c>
      <c r="B403" s="1587">
        <f>+ROUND(B402,0)</f>
        <v>99456</v>
      </c>
      <c r="C403" s="1228" t="s">
        <v>45</v>
      </c>
      <c r="D403" s="402"/>
      <c r="E403" s="1588"/>
      <c r="F403" s="1280"/>
      <c r="G403" s="1280"/>
      <c r="H403" s="1280"/>
      <c r="I403" s="1280"/>
    </row>
    <row r="405" spans="1:12" ht="18">
      <c r="A405" s="1578"/>
      <c r="B405" s="3566" t="s">
        <v>5667</v>
      </c>
      <c r="C405" s="3567"/>
      <c r="D405" s="3567"/>
      <c r="E405" s="3567"/>
      <c r="F405" s="3567"/>
      <c r="G405" s="3567"/>
      <c r="H405" s="3567"/>
      <c r="I405" s="3568"/>
    </row>
    <row r="406" spans="1:12" ht="18">
      <c r="A406" s="1579"/>
      <c r="B406" s="1262"/>
      <c r="C406" s="1299" t="s">
        <v>140</v>
      </c>
      <c r="D406" s="1580" t="s">
        <v>343</v>
      </c>
      <c r="E406" s="1581" t="s">
        <v>344</v>
      </c>
      <c r="F406" s="1581" t="s">
        <v>482</v>
      </c>
      <c r="G406" s="1581" t="s">
        <v>483</v>
      </c>
      <c r="H406" s="1581" t="s">
        <v>232</v>
      </c>
      <c r="I406" s="1581" t="s">
        <v>171</v>
      </c>
    </row>
    <row r="407" spans="1:12" ht="18">
      <c r="A407" s="1589"/>
      <c r="B407" s="1582" t="s">
        <v>1302</v>
      </c>
      <c r="C407" s="182">
        <v>3.0936000000000003</v>
      </c>
      <c r="D407" s="1580" t="s">
        <v>647</v>
      </c>
      <c r="E407" s="1581">
        <f>+A60FI</f>
        <v>3200</v>
      </c>
      <c r="F407" s="1581"/>
      <c r="G407" s="1581">
        <f>+E407*C407</f>
        <v>9899.52</v>
      </c>
      <c r="H407" s="1581"/>
      <c r="I407" s="1581"/>
    </row>
    <row r="408" spans="1:12" s="1918" customFormat="1" ht="18">
      <c r="A408" s="1589"/>
      <c r="B408" s="1582" t="s">
        <v>6567</v>
      </c>
      <c r="C408" s="182">
        <v>1.1450740410258333E-2</v>
      </c>
      <c r="D408" s="1580" t="s">
        <v>1292</v>
      </c>
      <c r="E408" s="1581">
        <f>+'BASE CTOS'!B107</f>
        <v>419022.54922489997</v>
      </c>
      <c r="F408" s="1581"/>
      <c r="G408" s="1581">
        <f t="shared" ref="G408:G410" si="27">+E408*C408</f>
        <v>4798.1184372190237</v>
      </c>
      <c r="H408" s="1581"/>
      <c r="I408" s="1581"/>
      <c r="J408" s="2901"/>
      <c r="K408" s="2901"/>
      <c r="L408" s="2901"/>
    </row>
    <row r="409" spans="1:12" ht="16.8">
      <c r="A409" s="1319"/>
      <c r="B409" s="1582" t="s">
        <v>6420</v>
      </c>
      <c r="C409" s="2191">
        <v>5</v>
      </c>
      <c r="D409" s="2026" t="s">
        <v>1002</v>
      </c>
      <c r="E409" s="2149">
        <f>+FORMA</f>
        <v>2222.2222222222222</v>
      </c>
      <c r="F409" s="2744"/>
      <c r="G409" s="2149">
        <f>+E409*C409</f>
        <v>11111.111111111111</v>
      </c>
      <c r="H409" s="2149"/>
      <c r="I409" s="2149"/>
    </row>
    <row r="410" spans="1:12" s="402" customFormat="1" ht="15" customHeight="1">
      <c r="A410" s="1589"/>
      <c r="B410" s="1582" t="s">
        <v>5694</v>
      </c>
      <c r="C410" s="182">
        <v>1</v>
      </c>
      <c r="D410" s="1580" t="s">
        <v>374</v>
      </c>
      <c r="E410" s="1581">
        <v>4050.0000000000005</v>
      </c>
      <c r="F410" s="1581"/>
      <c r="G410" s="1581">
        <f t="shared" si="27"/>
        <v>4050.0000000000005</v>
      </c>
      <c r="H410" s="1581"/>
      <c r="I410" s="1581"/>
      <c r="J410" s="2895"/>
      <c r="K410" s="2895"/>
      <c r="L410" s="2895"/>
    </row>
    <row r="411" spans="1:12" s="402" customFormat="1" ht="15" customHeight="1">
      <c r="A411" s="1579"/>
      <c r="B411" s="1584" t="s">
        <v>5600</v>
      </c>
      <c r="C411" s="183">
        <f>1/7</f>
        <v>0.14285714285714285</v>
      </c>
      <c r="D411" s="1229" t="s">
        <v>346</v>
      </c>
      <c r="E411" s="1581">
        <f>+OFICI</f>
        <v>80479.625344</v>
      </c>
      <c r="F411" s="1585"/>
      <c r="G411" s="1583"/>
      <c r="H411" s="1585">
        <f>+E411*C411</f>
        <v>11497.089334857143</v>
      </c>
      <c r="I411" s="1585"/>
      <c r="J411" s="2895"/>
      <c r="K411" s="2895"/>
      <c r="L411" s="2895"/>
    </row>
    <row r="412" spans="1:12" s="402" customFormat="1" ht="15" customHeight="1">
      <c r="A412" s="1579"/>
      <c r="B412" s="1584" t="s">
        <v>1062</v>
      </c>
      <c r="C412" s="183">
        <f>1/7</f>
        <v>0.14285714285714285</v>
      </c>
      <c r="D412" s="1229" t="s">
        <v>346</v>
      </c>
      <c r="E412" s="1581">
        <f>AYUDR*2</f>
        <v>100599.53168</v>
      </c>
      <c r="F412" s="1585"/>
      <c r="G412" s="1583"/>
      <c r="H412" s="1585">
        <f>+E412*C412</f>
        <v>14371.361668571428</v>
      </c>
      <c r="I412" s="1585"/>
      <c r="J412" s="2895"/>
      <c r="K412" s="2895"/>
      <c r="L412" s="2895"/>
    </row>
    <row r="413" spans="1:12" ht="18">
      <c r="A413" s="1579" t="s">
        <v>349</v>
      </c>
      <c r="B413" s="1262" t="s">
        <v>5691</v>
      </c>
      <c r="C413" s="183">
        <v>1</v>
      </c>
      <c r="D413" s="1229" t="s">
        <v>583</v>
      </c>
      <c r="E413" s="1581">
        <f>H414*0.05</f>
        <v>1293.4225501714286</v>
      </c>
      <c r="F413" s="1585"/>
      <c r="G413" s="1585"/>
      <c r="H413" s="1585"/>
      <c r="I413" s="1585">
        <f>+E413*C413</f>
        <v>1293.4225501714286</v>
      </c>
    </row>
    <row r="414" spans="1:12" ht="18">
      <c r="A414" s="1586" t="s">
        <v>190</v>
      </c>
      <c r="B414" s="1587">
        <f>SUM(F414:I414)</f>
        <v>57020.623101930141</v>
      </c>
      <c r="C414" s="687"/>
      <c r="D414" s="1229"/>
      <c r="E414" s="1581"/>
      <c r="F414" s="1585">
        <f>SUM(F407:F413)</f>
        <v>0</v>
      </c>
      <c r="G414" s="1585">
        <f>SUM(G407:G413)</f>
        <v>29858.749548330135</v>
      </c>
      <c r="H414" s="1585">
        <f>SUM(H407:H413)</f>
        <v>25868.45100342857</v>
      </c>
      <c r="I414" s="1585">
        <f>SUM(I407:I413)</f>
        <v>1293.4225501714286</v>
      </c>
    </row>
    <row r="415" spans="1:12" ht="18">
      <c r="A415" s="1586" t="s">
        <v>191</v>
      </c>
      <c r="B415" s="1587">
        <f>+ROUND(B414,0)</f>
        <v>57021</v>
      </c>
      <c r="C415" s="1228" t="s">
        <v>45</v>
      </c>
      <c r="D415" s="402"/>
      <c r="E415" s="1588"/>
      <c r="F415" s="1280"/>
      <c r="G415" s="1280"/>
      <c r="H415" s="1280"/>
      <c r="I415" s="1280"/>
    </row>
    <row r="417" spans="1:12" ht="18">
      <c r="A417" s="1578"/>
      <c r="B417" s="3566" t="s">
        <v>5668</v>
      </c>
      <c r="C417" s="3567"/>
      <c r="D417" s="3567"/>
      <c r="E417" s="3567"/>
      <c r="F417" s="3567"/>
      <c r="G417" s="3567"/>
      <c r="H417" s="3567"/>
      <c r="I417" s="3568"/>
    </row>
    <row r="418" spans="1:12" ht="18">
      <c r="A418" s="1579"/>
      <c r="B418" s="1262"/>
      <c r="C418" s="1299" t="s">
        <v>140</v>
      </c>
      <c r="D418" s="1580" t="s">
        <v>343</v>
      </c>
      <c r="E418" s="1581" t="s">
        <v>344</v>
      </c>
      <c r="F418" s="1581" t="s">
        <v>482</v>
      </c>
      <c r="G418" s="1581" t="s">
        <v>483</v>
      </c>
      <c r="H418" s="1581" t="s">
        <v>232</v>
      </c>
      <c r="I418" s="1581" t="s">
        <v>171</v>
      </c>
    </row>
    <row r="419" spans="1:12" ht="18">
      <c r="A419" s="1589"/>
      <c r="B419" s="1582" t="s">
        <v>947</v>
      </c>
      <c r="C419" s="182">
        <v>4.5452056232396412E-2</v>
      </c>
      <c r="D419" s="1580" t="s">
        <v>1292</v>
      </c>
      <c r="E419" s="1581">
        <f>+'BASE CTOS'!B163</f>
        <v>372116.6492249</v>
      </c>
      <c r="F419" s="1581"/>
      <c r="G419" s="1581">
        <f>+E419*C419</f>
        <v>16913.466865581086</v>
      </c>
      <c r="H419" s="1581"/>
      <c r="I419" s="1581"/>
    </row>
    <row r="420" spans="1:12" s="402" customFormat="1" ht="15" customHeight="1">
      <c r="A420" s="1589"/>
      <c r="B420" s="1582" t="s">
        <v>5699</v>
      </c>
      <c r="C420" s="182">
        <v>0.6</v>
      </c>
      <c r="D420" s="1580" t="s">
        <v>647</v>
      </c>
      <c r="E420" s="1581">
        <v>7830.0000000000009</v>
      </c>
      <c r="F420" s="1581"/>
      <c r="G420" s="1581">
        <f t="shared" ref="G420" si="28">+E420*C420</f>
        <v>4698</v>
      </c>
      <c r="H420" s="1581"/>
      <c r="I420" s="1581"/>
      <c r="J420" s="2895"/>
      <c r="K420" s="2895"/>
      <c r="L420" s="2895"/>
    </row>
    <row r="421" spans="1:12" s="402" customFormat="1" ht="15" customHeight="1">
      <c r="A421" s="1579"/>
      <c r="B421" s="1584" t="s">
        <v>5600</v>
      </c>
      <c r="C421" s="183">
        <f>1/8</f>
        <v>0.125</v>
      </c>
      <c r="D421" s="1229" t="s">
        <v>346</v>
      </c>
      <c r="E421" s="1581">
        <f>+OFICI</f>
        <v>80479.625344</v>
      </c>
      <c r="F421" s="1585"/>
      <c r="G421" s="1583"/>
      <c r="H421" s="1585">
        <f>+E421*C421</f>
        <v>10059.953168</v>
      </c>
      <c r="I421" s="1585"/>
      <c r="J421" s="2895"/>
      <c r="K421" s="2895"/>
      <c r="L421" s="2895"/>
    </row>
    <row r="422" spans="1:12" s="402" customFormat="1" ht="15" customHeight="1">
      <c r="A422" s="1579"/>
      <c r="B422" s="1584" t="s">
        <v>1062</v>
      </c>
      <c r="C422" s="183">
        <f>1/8</f>
        <v>0.125</v>
      </c>
      <c r="D422" s="1229" t="s">
        <v>346</v>
      </c>
      <c r="E422" s="1581">
        <f>+AYUDR</f>
        <v>50299.76584</v>
      </c>
      <c r="F422" s="1585"/>
      <c r="G422" s="1583"/>
      <c r="H422" s="1585">
        <f>+E422*C422</f>
        <v>6287.47073</v>
      </c>
      <c r="I422" s="1585"/>
      <c r="J422" s="2895"/>
      <c r="K422" s="2895"/>
      <c r="L422" s="2895"/>
    </row>
    <row r="423" spans="1:12" ht="18">
      <c r="A423" s="1579" t="s">
        <v>349</v>
      </c>
      <c r="B423" s="1262" t="s">
        <v>5691</v>
      </c>
      <c r="C423" s="183">
        <v>1</v>
      </c>
      <c r="D423" s="1229" t="s">
        <v>583</v>
      </c>
      <c r="E423" s="1581">
        <f>H424*0.05</f>
        <v>817.37119490000009</v>
      </c>
      <c r="F423" s="1585"/>
      <c r="G423" s="1585"/>
      <c r="H423" s="1585"/>
      <c r="I423" s="1585">
        <f>+E423*C423</f>
        <v>817.37119490000009</v>
      </c>
    </row>
    <row r="424" spans="1:12" ht="18">
      <c r="A424" s="1586" t="s">
        <v>190</v>
      </c>
      <c r="B424" s="1587">
        <f>SUM(F424:I424)</f>
        <v>38776.261958481089</v>
      </c>
      <c r="C424" s="687"/>
      <c r="D424" s="1229"/>
      <c r="E424" s="1581"/>
      <c r="F424" s="1585">
        <f>SUM(F419:F423)</f>
        <v>0</v>
      </c>
      <c r="G424" s="1585">
        <f>SUM(G419:G423)</f>
        <v>21611.466865581086</v>
      </c>
      <c r="H424" s="1585">
        <f>SUM(H419:H423)</f>
        <v>16347.423898000001</v>
      </c>
      <c r="I424" s="1585">
        <f>SUM(I419:I423)</f>
        <v>817.37119490000009</v>
      </c>
    </row>
    <row r="425" spans="1:12" ht="18">
      <c r="A425" s="1586" t="s">
        <v>191</v>
      </c>
      <c r="B425" s="1587">
        <f>+ROUND(B424,0)</f>
        <v>38776</v>
      </c>
      <c r="C425" s="1228" t="s">
        <v>1002</v>
      </c>
      <c r="D425" s="402"/>
      <c r="E425" s="1588"/>
      <c r="F425" s="1280"/>
      <c r="G425" s="1280"/>
      <c r="H425" s="1280"/>
      <c r="I425" s="1280"/>
    </row>
    <row r="427" spans="1:12" ht="18">
      <c r="A427" s="1578"/>
      <c r="B427" s="3566" t="s">
        <v>5669</v>
      </c>
      <c r="C427" s="3567"/>
      <c r="D427" s="3567"/>
      <c r="E427" s="3567"/>
      <c r="F427" s="3567"/>
      <c r="G427" s="3567"/>
      <c r="H427" s="3567"/>
      <c r="I427" s="3568"/>
    </row>
    <row r="428" spans="1:12" ht="18">
      <c r="A428" s="1579"/>
      <c r="B428" s="1262"/>
      <c r="C428" s="1299" t="s">
        <v>140</v>
      </c>
      <c r="D428" s="1580" t="s">
        <v>343</v>
      </c>
      <c r="E428" s="1581" t="s">
        <v>344</v>
      </c>
      <c r="F428" s="1581" t="s">
        <v>482</v>
      </c>
      <c r="G428" s="1581" t="s">
        <v>483</v>
      </c>
      <c r="H428" s="1581" t="s">
        <v>232</v>
      </c>
      <c r="I428" s="1581" t="s">
        <v>171</v>
      </c>
    </row>
    <row r="429" spans="1:12" s="402" customFormat="1" ht="15" customHeight="1">
      <c r="A429" s="1589"/>
      <c r="B429" s="1582" t="s">
        <v>5700</v>
      </c>
      <c r="C429" s="182">
        <v>6.8708956847676653E-2</v>
      </c>
      <c r="D429" s="1580" t="s">
        <v>1292</v>
      </c>
      <c r="E429" s="1581">
        <f>+'BASE CTOS'!B107</f>
        <v>419022.54922489997</v>
      </c>
      <c r="F429" s="1581"/>
      <c r="G429" s="1581">
        <f>+E429*C429</f>
        <v>28790.602252897119</v>
      </c>
      <c r="H429" s="1581"/>
      <c r="I429" s="1581"/>
      <c r="J429" s="2895"/>
      <c r="K429" s="2895"/>
      <c r="L429" s="2895"/>
    </row>
    <row r="430" spans="1:12" s="402" customFormat="1" ht="15" customHeight="1">
      <c r="A430" s="1579"/>
      <c r="B430" s="1584" t="s">
        <v>5600</v>
      </c>
      <c r="C430" s="183">
        <f>1/8</f>
        <v>0.125</v>
      </c>
      <c r="D430" s="1229" t="s">
        <v>346</v>
      </c>
      <c r="E430" s="1581">
        <f>+OFICI</f>
        <v>80479.625344</v>
      </c>
      <c r="F430" s="1585"/>
      <c r="G430" s="1583"/>
      <c r="H430" s="1585">
        <f>+E430*C430</f>
        <v>10059.953168</v>
      </c>
      <c r="I430" s="1585"/>
      <c r="J430" s="2895"/>
      <c r="K430" s="2895"/>
      <c r="L430" s="2895"/>
    </row>
    <row r="431" spans="1:12" s="402" customFormat="1" ht="15" customHeight="1">
      <c r="A431" s="1579"/>
      <c r="B431" s="1584" t="s">
        <v>1062</v>
      </c>
      <c r="C431" s="183">
        <f>1/8</f>
        <v>0.125</v>
      </c>
      <c r="D431" s="1229" t="s">
        <v>346</v>
      </c>
      <c r="E431" s="1581">
        <f>+AYUDR</f>
        <v>50299.76584</v>
      </c>
      <c r="F431" s="1585"/>
      <c r="G431" s="1583"/>
      <c r="H431" s="1585">
        <f>+E431*C431</f>
        <v>6287.47073</v>
      </c>
      <c r="I431" s="1585"/>
      <c r="J431" s="2895"/>
      <c r="K431" s="2895"/>
      <c r="L431" s="2895"/>
    </row>
    <row r="432" spans="1:12" ht="18">
      <c r="A432" s="1579" t="s">
        <v>349</v>
      </c>
      <c r="B432" s="1262" t="s">
        <v>5691</v>
      </c>
      <c r="C432" s="183">
        <v>1</v>
      </c>
      <c r="D432" s="1229" t="s">
        <v>583</v>
      </c>
      <c r="E432" s="1581">
        <f>H433*0.05</f>
        <v>817.37119490000009</v>
      </c>
      <c r="F432" s="1585"/>
      <c r="G432" s="1585"/>
      <c r="H432" s="1585"/>
      <c r="I432" s="1585">
        <f>+E432*C432</f>
        <v>817.37119490000009</v>
      </c>
    </row>
    <row r="433" spans="1:12" ht="18">
      <c r="A433" s="1586" t="s">
        <v>190</v>
      </c>
      <c r="B433" s="1587">
        <f>SUM(F433:I433)</f>
        <v>45955.397345797115</v>
      </c>
      <c r="C433" s="687"/>
      <c r="D433" s="1229"/>
      <c r="E433" s="1581"/>
      <c r="F433" s="1585">
        <f>SUM(F429:F432)</f>
        <v>0</v>
      </c>
      <c r="G433" s="1585">
        <f>SUM(G429:G432)</f>
        <v>28790.602252897119</v>
      </c>
      <c r="H433" s="1585">
        <f>SUM(H429:H432)</f>
        <v>16347.423898000001</v>
      </c>
      <c r="I433" s="1585">
        <f>SUM(I429:I432)</f>
        <v>817.37119490000009</v>
      </c>
    </row>
    <row r="434" spans="1:12" ht="18">
      <c r="A434" s="1586" t="s">
        <v>191</v>
      </c>
      <c r="B434" s="1587">
        <f>+ROUND(B433,0)</f>
        <v>45955</v>
      </c>
      <c r="C434" s="1228" t="s">
        <v>1002</v>
      </c>
      <c r="D434" s="402"/>
      <c r="E434" s="1588"/>
      <c r="F434" s="1280"/>
      <c r="G434" s="1280"/>
      <c r="H434" s="1280"/>
      <c r="I434" s="1280"/>
    </row>
    <row r="436" spans="1:12" ht="18">
      <c r="A436" s="1578"/>
      <c r="B436" s="3566" t="s">
        <v>5670</v>
      </c>
      <c r="C436" s="3567"/>
      <c r="D436" s="3567"/>
      <c r="E436" s="3567"/>
      <c r="F436" s="3567"/>
      <c r="G436" s="3567"/>
      <c r="H436" s="3567"/>
      <c r="I436" s="3568"/>
    </row>
    <row r="437" spans="1:12" ht="18">
      <c r="A437" s="1579"/>
      <c r="B437" s="1262"/>
      <c r="C437" s="1299" t="s">
        <v>140</v>
      </c>
      <c r="D437" s="1580" t="s">
        <v>343</v>
      </c>
      <c r="E437" s="1581" t="s">
        <v>344</v>
      </c>
      <c r="F437" s="1581" t="s">
        <v>482</v>
      </c>
      <c r="G437" s="1581" t="s">
        <v>483</v>
      </c>
      <c r="H437" s="1581" t="s">
        <v>232</v>
      </c>
      <c r="I437" s="1581" t="s">
        <v>171</v>
      </c>
    </row>
    <row r="438" spans="1:12" s="402" customFormat="1" ht="15" customHeight="1">
      <c r="A438" s="1589"/>
      <c r="B438" s="1582" t="s">
        <v>5701</v>
      </c>
      <c r="C438" s="1796">
        <v>0.03</v>
      </c>
      <c r="D438" s="1580" t="s">
        <v>363</v>
      </c>
      <c r="E438" s="1581">
        <v>93150</v>
      </c>
      <c r="F438" s="1581"/>
      <c r="G438" s="1581">
        <f>+E438*C438</f>
        <v>2794.5</v>
      </c>
      <c r="H438" s="1581"/>
      <c r="I438" s="1581"/>
      <c r="J438" s="2895"/>
      <c r="K438" s="2895"/>
      <c r="L438" s="2895"/>
    </row>
    <row r="439" spans="1:12" s="402" customFormat="1" ht="15" customHeight="1">
      <c r="A439" s="1579"/>
      <c r="B439" s="1584" t="s">
        <v>5600</v>
      </c>
      <c r="C439" s="838">
        <f>1/14</f>
        <v>7.1428571428571425E-2</v>
      </c>
      <c r="D439" s="1580" t="s">
        <v>346</v>
      </c>
      <c r="E439" s="1581">
        <f>+OFICI</f>
        <v>80479.625344</v>
      </c>
      <c r="F439" s="1585"/>
      <c r="G439" s="1583"/>
      <c r="H439" s="1585">
        <f>+E439*C439</f>
        <v>5748.5446674285713</v>
      </c>
      <c r="I439" s="1585"/>
      <c r="J439" s="2895"/>
      <c r="K439" s="2895"/>
      <c r="L439" s="2895"/>
    </row>
    <row r="440" spans="1:12" s="402" customFormat="1" ht="15" customHeight="1">
      <c r="A440" s="1579"/>
      <c r="B440" s="1584" t="s">
        <v>1062</v>
      </c>
      <c r="C440" s="183">
        <f>1/14</f>
        <v>7.1428571428571425E-2</v>
      </c>
      <c r="D440" s="1229" t="s">
        <v>346</v>
      </c>
      <c r="E440" s="1581">
        <f>+AYUDR</f>
        <v>50299.76584</v>
      </c>
      <c r="F440" s="1585"/>
      <c r="G440" s="1583"/>
      <c r="H440" s="1585">
        <f>+E440*C440</f>
        <v>3592.8404171428569</v>
      </c>
      <c r="I440" s="1585"/>
      <c r="J440" s="2895"/>
      <c r="K440" s="2895"/>
      <c r="L440" s="2895"/>
    </row>
    <row r="441" spans="1:12" ht="18">
      <c r="A441" s="1579" t="s">
        <v>349</v>
      </c>
      <c r="B441" s="1262" t="s">
        <v>5691</v>
      </c>
      <c r="C441" s="183">
        <v>1</v>
      </c>
      <c r="D441" s="1229" t="s">
        <v>583</v>
      </c>
      <c r="E441" s="1581">
        <f>H442*0.05</f>
        <v>467.06925422857142</v>
      </c>
      <c r="F441" s="1585"/>
      <c r="G441" s="1585"/>
      <c r="H441" s="1585"/>
      <c r="I441" s="1585">
        <f>+E441*C441</f>
        <v>467.06925422857142</v>
      </c>
    </row>
    <row r="442" spans="1:12" ht="18">
      <c r="A442" s="1586" t="s">
        <v>190</v>
      </c>
      <c r="B442" s="1587">
        <f>SUM(F442:I442)</f>
        <v>12602.954338799998</v>
      </c>
      <c r="C442" s="687"/>
      <c r="D442" s="1229"/>
      <c r="E442" s="1581"/>
      <c r="F442" s="1585">
        <f>SUM(F438:F441)</f>
        <v>0</v>
      </c>
      <c r="G442" s="1585">
        <f>SUM(G438:G441)</f>
        <v>2794.5</v>
      </c>
      <c r="H442" s="1585">
        <f>SUM(H438:H441)</f>
        <v>9341.3850845714278</v>
      </c>
      <c r="I442" s="1585">
        <f>SUM(I438:I441)</f>
        <v>467.06925422857142</v>
      </c>
    </row>
    <row r="443" spans="1:12" ht="18">
      <c r="A443" s="1586" t="s">
        <v>191</v>
      </c>
      <c r="B443" s="1587">
        <f>+ROUND(B442,0)</f>
        <v>12603</v>
      </c>
      <c r="C443" s="1228" t="s">
        <v>1002</v>
      </c>
      <c r="D443" s="402"/>
      <c r="E443" s="1588"/>
      <c r="F443" s="1280"/>
      <c r="G443" s="1280"/>
      <c r="H443" s="1280"/>
      <c r="I443" s="1280"/>
    </row>
    <row r="445" spans="1:12" ht="18">
      <c r="A445" s="1578"/>
      <c r="B445" s="3566" t="s">
        <v>5671</v>
      </c>
      <c r="C445" s="3567"/>
      <c r="D445" s="3567"/>
      <c r="E445" s="3567"/>
      <c r="F445" s="3567"/>
      <c r="G445" s="3567"/>
      <c r="H445" s="3567"/>
      <c r="I445" s="3568"/>
    </row>
    <row r="446" spans="1:12" ht="18">
      <c r="A446" s="1579"/>
      <c r="B446" s="1262"/>
      <c r="C446" s="1299" t="s">
        <v>140</v>
      </c>
      <c r="D446" s="1580" t="s">
        <v>343</v>
      </c>
      <c r="E446" s="1581" t="s">
        <v>344</v>
      </c>
      <c r="F446" s="1581" t="s">
        <v>482</v>
      </c>
      <c r="G446" s="1581" t="s">
        <v>483</v>
      </c>
      <c r="H446" s="1581" t="s">
        <v>232</v>
      </c>
      <c r="I446" s="1581" t="s">
        <v>171</v>
      </c>
    </row>
    <row r="447" spans="1:12" s="402" customFormat="1" ht="15" customHeight="1">
      <c r="A447" s="1589"/>
      <c r="B447" s="1582" t="s">
        <v>5702</v>
      </c>
      <c r="C447" s="1796">
        <v>0.03</v>
      </c>
      <c r="D447" s="1580" t="s">
        <v>363</v>
      </c>
      <c r="E447" s="1581">
        <v>195750</v>
      </c>
      <c r="F447" s="1581"/>
      <c r="G447" s="1581">
        <f>+E447*C447</f>
        <v>5872.5</v>
      </c>
      <c r="H447" s="1581"/>
      <c r="I447" s="1581"/>
      <c r="J447" s="2895"/>
      <c r="K447" s="2895"/>
      <c r="L447" s="2895"/>
    </row>
    <row r="448" spans="1:12" s="402" customFormat="1" ht="15" customHeight="1">
      <c r="A448" s="1579"/>
      <c r="B448" s="1584" t="s">
        <v>5600</v>
      </c>
      <c r="C448" s="183">
        <f>1/14</f>
        <v>7.1428571428571425E-2</v>
      </c>
      <c r="D448" s="1229" t="s">
        <v>346</v>
      </c>
      <c r="E448" s="1581">
        <f>+OFICI</f>
        <v>80479.625344</v>
      </c>
      <c r="F448" s="1585"/>
      <c r="G448" s="1583"/>
      <c r="H448" s="1585">
        <f>+E448*C448</f>
        <v>5748.5446674285713</v>
      </c>
      <c r="I448" s="1585"/>
      <c r="J448" s="2895"/>
      <c r="K448" s="2895"/>
      <c r="L448" s="2895"/>
    </row>
    <row r="449" spans="1:12" s="402" customFormat="1" ht="15" customHeight="1">
      <c r="A449" s="1579"/>
      <c r="B449" s="1584" t="s">
        <v>1062</v>
      </c>
      <c r="C449" s="183">
        <f>1/14</f>
        <v>7.1428571428571425E-2</v>
      </c>
      <c r="D449" s="1229" t="s">
        <v>346</v>
      </c>
      <c r="E449" s="1581">
        <f>+AYUDR</f>
        <v>50299.76584</v>
      </c>
      <c r="F449" s="1585"/>
      <c r="G449" s="1583"/>
      <c r="H449" s="1585">
        <f>+E449*C449</f>
        <v>3592.8404171428569</v>
      </c>
      <c r="I449" s="1585"/>
      <c r="J449" s="2895"/>
      <c r="K449" s="2895"/>
      <c r="L449" s="2895"/>
    </row>
    <row r="450" spans="1:12" ht="18">
      <c r="A450" s="1579" t="s">
        <v>349</v>
      </c>
      <c r="B450" s="1262" t="s">
        <v>5691</v>
      </c>
      <c r="C450" s="183">
        <v>1</v>
      </c>
      <c r="D450" s="1229" t="s">
        <v>583</v>
      </c>
      <c r="E450" s="1581">
        <f>H451*0.05</f>
        <v>467.06925422857142</v>
      </c>
      <c r="F450" s="1585"/>
      <c r="G450" s="1585"/>
      <c r="H450" s="1585"/>
      <c r="I450" s="1585">
        <f>+E450*C450</f>
        <v>467.06925422857142</v>
      </c>
    </row>
    <row r="451" spans="1:12" ht="18">
      <c r="A451" s="1586" t="s">
        <v>190</v>
      </c>
      <c r="B451" s="1587">
        <f>SUM(F451:I451)</f>
        <v>15680.954338799998</v>
      </c>
      <c r="C451" s="687"/>
      <c r="D451" s="1229"/>
      <c r="E451" s="1581"/>
      <c r="F451" s="1585">
        <f>SUM(F447:F450)</f>
        <v>0</v>
      </c>
      <c r="G451" s="1585">
        <f>SUM(G447:G450)</f>
        <v>5872.5</v>
      </c>
      <c r="H451" s="1585">
        <f>SUM(H447:H450)</f>
        <v>9341.3850845714278</v>
      </c>
      <c r="I451" s="1585">
        <f>SUM(I447:I450)</f>
        <v>467.06925422857142</v>
      </c>
    </row>
    <row r="452" spans="1:12" ht="18">
      <c r="A452" s="1586" t="s">
        <v>191</v>
      </c>
      <c r="B452" s="1587">
        <f>+ROUND(B451,0)</f>
        <v>15681</v>
      </c>
      <c r="C452" s="1228" t="s">
        <v>1002</v>
      </c>
      <c r="D452" s="402"/>
      <c r="E452" s="1588"/>
      <c r="F452" s="1280"/>
      <c r="G452" s="1280"/>
      <c r="H452" s="1280"/>
      <c r="I452" s="1280"/>
    </row>
    <row r="454" spans="1:12" ht="18">
      <c r="A454" s="1578"/>
      <c r="B454" s="3566" t="s">
        <v>5672</v>
      </c>
      <c r="C454" s="3567"/>
      <c r="D454" s="3567"/>
      <c r="E454" s="3567"/>
      <c r="F454" s="3567"/>
      <c r="G454" s="3567"/>
      <c r="H454" s="3567"/>
      <c r="I454" s="3568"/>
    </row>
    <row r="455" spans="1:12" ht="18">
      <c r="A455" s="1579"/>
      <c r="B455" s="1262"/>
      <c r="C455" s="1299" t="s">
        <v>140</v>
      </c>
      <c r="D455" s="1580" t="s">
        <v>343</v>
      </c>
      <c r="E455" s="1581" t="s">
        <v>344</v>
      </c>
      <c r="F455" s="1581" t="s">
        <v>482</v>
      </c>
      <c r="G455" s="1581" t="s">
        <v>483</v>
      </c>
      <c r="H455" s="1581" t="s">
        <v>232</v>
      </c>
      <c r="I455" s="1581" t="s">
        <v>171</v>
      </c>
    </row>
    <row r="456" spans="1:12" s="402" customFormat="1" ht="15" customHeight="1">
      <c r="A456" s="1589"/>
      <c r="B456" s="1582" t="s">
        <v>5703</v>
      </c>
      <c r="C456" s="1796">
        <v>0.03</v>
      </c>
      <c r="D456" s="1580" t="s">
        <v>363</v>
      </c>
      <c r="E456" s="1581">
        <v>297000</v>
      </c>
      <c r="F456" s="1581"/>
      <c r="G456" s="1581">
        <f>+E456*C456</f>
        <v>8910</v>
      </c>
      <c r="H456" s="1581"/>
      <c r="I456" s="1581"/>
      <c r="J456" s="2895"/>
      <c r="K456" s="2895"/>
      <c r="L456" s="2895"/>
    </row>
    <row r="457" spans="1:12" s="402" customFormat="1" ht="15" customHeight="1">
      <c r="A457" s="1579"/>
      <c r="B457" s="1584" t="s">
        <v>5600</v>
      </c>
      <c r="C457" s="183">
        <f>1/14</f>
        <v>7.1428571428571425E-2</v>
      </c>
      <c r="D457" s="1229" t="s">
        <v>346</v>
      </c>
      <c r="E457" s="1581">
        <f>+OFICI</f>
        <v>80479.625344</v>
      </c>
      <c r="F457" s="1585"/>
      <c r="G457" s="1583"/>
      <c r="H457" s="1585">
        <f>+E457*C457</f>
        <v>5748.5446674285713</v>
      </c>
      <c r="I457" s="1585"/>
      <c r="J457" s="2895"/>
      <c r="K457" s="2895"/>
      <c r="L457" s="2895"/>
    </row>
    <row r="458" spans="1:12" s="402" customFormat="1" ht="15" customHeight="1">
      <c r="A458" s="1579"/>
      <c r="B458" s="1584" t="s">
        <v>1062</v>
      </c>
      <c r="C458" s="183">
        <f>1/14</f>
        <v>7.1428571428571425E-2</v>
      </c>
      <c r="D458" s="1229" t="s">
        <v>346</v>
      </c>
      <c r="E458" s="1581">
        <f>+AYUDR</f>
        <v>50299.76584</v>
      </c>
      <c r="F458" s="1585"/>
      <c r="G458" s="1583"/>
      <c r="H458" s="1585">
        <f>+E458*C458</f>
        <v>3592.8404171428569</v>
      </c>
      <c r="I458" s="1585"/>
      <c r="J458" s="2895"/>
      <c r="K458" s="2895"/>
      <c r="L458" s="2895"/>
    </row>
    <row r="459" spans="1:12" ht="18">
      <c r="A459" s="1579" t="s">
        <v>349</v>
      </c>
      <c r="B459" s="1262" t="s">
        <v>5691</v>
      </c>
      <c r="C459" s="183">
        <v>1</v>
      </c>
      <c r="D459" s="1229" t="s">
        <v>583</v>
      </c>
      <c r="E459" s="1581">
        <f>H460*0.05</f>
        <v>467.06925422857142</v>
      </c>
      <c r="F459" s="1585"/>
      <c r="G459" s="1585"/>
      <c r="H459" s="1585"/>
      <c r="I459" s="1585">
        <f>+E459*C459</f>
        <v>467.06925422857142</v>
      </c>
    </row>
    <row r="460" spans="1:12" ht="18">
      <c r="A460" s="1586" t="s">
        <v>190</v>
      </c>
      <c r="B460" s="1587">
        <f>SUM(F460:I460)</f>
        <v>18718.454338799998</v>
      </c>
      <c r="C460" s="687"/>
      <c r="D460" s="1229"/>
      <c r="E460" s="1581"/>
      <c r="F460" s="1585">
        <f>SUM(F456:F459)</f>
        <v>0</v>
      </c>
      <c r="G460" s="1585">
        <f>SUM(G456:G459)</f>
        <v>8910</v>
      </c>
      <c r="H460" s="1585">
        <f>SUM(H456:H459)</f>
        <v>9341.3850845714278</v>
      </c>
      <c r="I460" s="1585">
        <f>SUM(I456:I459)</f>
        <v>467.06925422857142</v>
      </c>
    </row>
    <row r="461" spans="1:12" ht="18">
      <c r="A461" s="1586" t="s">
        <v>191</v>
      </c>
      <c r="B461" s="1587">
        <f>+ROUND(B460,0)</f>
        <v>18718</v>
      </c>
      <c r="C461" s="1228" t="s">
        <v>1002</v>
      </c>
      <c r="D461" s="402"/>
      <c r="E461" s="1588"/>
      <c r="F461" s="1280"/>
      <c r="G461" s="1280"/>
      <c r="H461" s="1280"/>
      <c r="I461" s="1280"/>
    </row>
    <row r="463" spans="1:12" ht="18">
      <c r="A463" s="1578"/>
      <c r="B463" s="3566" t="s">
        <v>5676</v>
      </c>
      <c r="C463" s="3567"/>
      <c r="D463" s="3567"/>
      <c r="E463" s="3567"/>
      <c r="F463" s="3567"/>
      <c r="G463" s="3567"/>
      <c r="H463" s="3567"/>
      <c r="I463" s="3568"/>
    </row>
    <row r="464" spans="1:12" ht="18">
      <c r="A464" s="1579"/>
      <c r="B464" s="1262"/>
      <c r="C464" s="1299" t="s">
        <v>140</v>
      </c>
      <c r="D464" s="1580" t="s">
        <v>343</v>
      </c>
      <c r="E464" s="1581" t="s">
        <v>344</v>
      </c>
      <c r="F464" s="1581" t="s">
        <v>482</v>
      </c>
      <c r="G464" s="1581" t="s">
        <v>483</v>
      </c>
      <c r="H464" s="1581" t="s">
        <v>232</v>
      </c>
      <c r="I464" s="1581" t="s">
        <v>171</v>
      </c>
    </row>
    <row r="465" spans="1:12" ht="18">
      <c r="A465" s="1589"/>
      <c r="B465" s="1582" t="s">
        <v>1302</v>
      </c>
      <c r="C465" s="182">
        <v>10.513866666666667</v>
      </c>
      <c r="D465" s="1580" t="s">
        <v>647</v>
      </c>
      <c r="E465" s="1581">
        <f>+A60FI</f>
        <v>3200</v>
      </c>
      <c r="F465" s="1581"/>
      <c r="G465" s="1581">
        <f>+E465*C465</f>
        <v>33644.373333333337</v>
      </c>
      <c r="H465" s="1581"/>
      <c r="I465" s="1581"/>
    </row>
    <row r="466" spans="1:12" s="1918" customFormat="1" ht="18">
      <c r="A466" s="1589"/>
      <c r="B466" s="1582" t="s">
        <v>5698</v>
      </c>
      <c r="C466" s="182">
        <v>6.8708956847676653E-2</v>
      </c>
      <c r="D466" s="1580" t="s">
        <v>1292</v>
      </c>
      <c r="E466" s="1581">
        <f>+'BASE CTOS'!B107</f>
        <v>419022.54922489997</v>
      </c>
      <c r="F466" s="1581"/>
      <c r="G466" s="1581">
        <f t="shared" ref="G466:G469" si="29">+E466*C466</f>
        <v>28790.602252897119</v>
      </c>
      <c r="H466" s="1581"/>
      <c r="I466" s="1581"/>
      <c r="J466" s="2901"/>
      <c r="K466" s="2901"/>
      <c r="L466" s="2901"/>
    </row>
    <row r="467" spans="1:12" ht="16.8">
      <c r="A467" s="1319"/>
      <c r="B467" s="1582" t="s">
        <v>6420</v>
      </c>
      <c r="C467" s="2191">
        <v>4</v>
      </c>
      <c r="D467" s="2026" t="s">
        <v>1002</v>
      </c>
      <c r="E467" s="2149">
        <f>+FORMA</f>
        <v>2222.2222222222222</v>
      </c>
      <c r="F467" s="2744"/>
      <c r="G467" s="2149">
        <f>+E467*C467</f>
        <v>8888.8888888888887</v>
      </c>
      <c r="H467" s="2149"/>
      <c r="I467" s="2149"/>
    </row>
    <row r="468" spans="1:12" ht="18">
      <c r="A468" s="1589"/>
      <c r="B468" s="1582" t="s">
        <v>5694</v>
      </c>
      <c r="C468" s="182">
        <v>1</v>
      </c>
      <c r="D468" s="1580" t="s">
        <v>374</v>
      </c>
      <c r="E468" s="1581">
        <v>4050.0000000000005</v>
      </c>
      <c r="F468" s="1581"/>
      <c r="G468" s="1581">
        <f t="shared" si="29"/>
        <v>4050.0000000000005</v>
      </c>
      <c r="H468" s="1581"/>
      <c r="I468" s="1581"/>
    </row>
    <row r="469" spans="1:12" s="402" customFormat="1" ht="15" customHeight="1">
      <c r="A469" s="1589"/>
      <c r="B469" s="1582" t="s">
        <v>5690</v>
      </c>
      <c r="C469" s="182">
        <v>0.22</v>
      </c>
      <c r="D469" s="1580" t="s">
        <v>363</v>
      </c>
      <c r="E469" s="1581">
        <v>10800</v>
      </c>
      <c r="F469" s="1581"/>
      <c r="G469" s="1581">
        <f t="shared" si="29"/>
        <v>2376</v>
      </c>
      <c r="H469" s="1581"/>
      <c r="I469" s="1581"/>
      <c r="J469" s="2895"/>
      <c r="K469" s="2895"/>
      <c r="L469" s="2895"/>
    </row>
    <row r="470" spans="1:12" s="402" customFormat="1" ht="15" customHeight="1">
      <c r="A470" s="1579"/>
      <c r="B470" s="1584" t="s">
        <v>5600</v>
      </c>
      <c r="C470" s="183">
        <f>1/9</f>
        <v>0.1111111111111111</v>
      </c>
      <c r="D470" s="1229" t="s">
        <v>346</v>
      </c>
      <c r="E470" s="1581">
        <f>+OFICI</f>
        <v>80479.625344</v>
      </c>
      <c r="F470" s="1585"/>
      <c r="G470" s="1583"/>
      <c r="H470" s="1585">
        <f>+E470*C470</f>
        <v>8942.1805937777772</v>
      </c>
      <c r="I470" s="1585"/>
      <c r="J470" s="2895"/>
      <c r="K470" s="2895"/>
      <c r="L470" s="2895"/>
    </row>
    <row r="471" spans="1:12" s="402" customFormat="1" ht="15" customHeight="1">
      <c r="A471" s="1579"/>
      <c r="B471" s="1584" t="s">
        <v>1062</v>
      </c>
      <c r="C471" s="183">
        <f>1/9</f>
        <v>0.1111111111111111</v>
      </c>
      <c r="D471" s="1229" t="s">
        <v>346</v>
      </c>
      <c r="E471" s="1581">
        <f>AYUDR*2</f>
        <v>100599.53168</v>
      </c>
      <c r="F471" s="1585"/>
      <c r="G471" s="1583"/>
      <c r="H471" s="1585">
        <f>+E471*C471</f>
        <v>11177.725742222221</v>
      </c>
      <c r="I471" s="1585"/>
      <c r="J471" s="2895"/>
      <c r="K471" s="2895"/>
      <c r="L471" s="2895"/>
    </row>
    <row r="472" spans="1:12" ht="18">
      <c r="A472" s="1579" t="s">
        <v>349</v>
      </c>
      <c r="B472" s="1262" t="s">
        <v>5691</v>
      </c>
      <c r="C472" s="183">
        <v>1</v>
      </c>
      <c r="D472" s="1229" t="s">
        <v>583</v>
      </c>
      <c r="E472" s="1581">
        <f>H473*0.05</f>
        <v>1005.9953168000001</v>
      </c>
      <c r="F472" s="1585"/>
      <c r="G472" s="1585"/>
      <c r="H472" s="1585"/>
      <c r="I472" s="1585">
        <f>+E472*C472</f>
        <v>1005.9953168000001</v>
      </c>
    </row>
    <row r="473" spans="1:12" ht="18">
      <c r="A473" s="1586" t="s">
        <v>190</v>
      </c>
      <c r="B473" s="1587">
        <f>SUM(F473:I473)</f>
        <v>98875.766127919356</v>
      </c>
      <c r="C473" s="687"/>
      <c r="D473" s="1229"/>
      <c r="E473" s="1581"/>
      <c r="F473" s="1585">
        <f>SUM(F465:F472)</f>
        <v>0</v>
      </c>
      <c r="G473" s="1585">
        <f>SUM(G465:G472)</f>
        <v>77749.86447511935</v>
      </c>
      <c r="H473" s="1585">
        <f>SUM(H465:H472)</f>
        <v>20119.906336</v>
      </c>
      <c r="I473" s="1585">
        <f>SUM(I465:I472)</f>
        <v>1005.9953168000001</v>
      </c>
    </row>
    <row r="474" spans="1:12" ht="18">
      <c r="A474" s="1586" t="s">
        <v>191</v>
      </c>
      <c r="B474" s="1587">
        <f>+ROUND(B473,0)</f>
        <v>98876</v>
      </c>
      <c r="C474" s="1228" t="s">
        <v>45</v>
      </c>
      <c r="D474" s="402"/>
      <c r="E474" s="1588"/>
      <c r="F474" s="1280"/>
      <c r="G474" s="1280"/>
      <c r="H474" s="1280"/>
      <c r="I474" s="1280"/>
    </row>
    <row r="476" spans="1:12" ht="18">
      <c r="A476" s="1578"/>
      <c r="B476" s="3566" t="s">
        <v>5677</v>
      </c>
      <c r="C476" s="3567"/>
      <c r="D476" s="3567"/>
      <c r="E476" s="3567"/>
      <c r="F476" s="3567"/>
      <c r="G476" s="3567"/>
      <c r="H476" s="3567"/>
      <c r="I476" s="3568"/>
    </row>
    <row r="477" spans="1:12" ht="18">
      <c r="A477" s="1579"/>
      <c r="B477" s="1262"/>
      <c r="C477" s="1299" t="s">
        <v>140</v>
      </c>
      <c r="D477" s="1580" t="s">
        <v>343</v>
      </c>
      <c r="E477" s="1581" t="s">
        <v>344</v>
      </c>
      <c r="F477" s="1581" t="s">
        <v>482</v>
      </c>
      <c r="G477" s="1581" t="s">
        <v>483</v>
      </c>
      <c r="H477" s="1581" t="s">
        <v>232</v>
      </c>
      <c r="I477" s="1581" t="s">
        <v>171</v>
      </c>
    </row>
    <row r="478" spans="1:12" ht="18">
      <c r="A478" s="1589"/>
      <c r="B478" s="1582" t="s">
        <v>5696</v>
      </c>
      <c r="C478" s="183">
        <v>5</v>
      </c>
      <c r="D478" s="1580" t="s">
        <v>363</v>
      </c>
      <c r="E478" s="1581">
        <v>2025.0000000000002</v>
      </c>
      <c r="F478" s="1581"/>
      <c r="G478" s="1581">
        <f>+E478*C478</f>
        <v>10125.000000000002</v>
      </c>
      <c r="H478" s="1581"/>
      <c r="I478" s="1581"/>
    </row>
    <row r="479" spans="1:12" s="402" customFormat="1" ht="15" customHeight="1">
      <c r="A479" s="1589"/>
      <c r="B479" s="1582" t="s">
        <v>946</v>
      </c>
      <c r="C479" s="183">
        <v>0.02</v>
      </c>
      <c r="D479" s="1580" t="s">
        <v>1292</v>
      </c>
      <c r="E479" s="1581">
        <f>+'BASE CTOS'!B150</f>
        <v>414261.84922490001</v>
      </c>
      <c r="F479" s="1581"/>
      <c r="G479" s="1581">
        <f>+E479*C479</f>
        <v>8285.2369844980003</v>
      </c>
      <c r="H479" s="1581"/>
      <c r="I479" s="1581"/>
      <c r="J479" s="2895"/>
      <c r="K479" s="2895"/>
      <c r="L479" s="2895"/>
    </row>
    <row r="480" spans="1:12" s="402" customFormat="1" ht="15" customHeight="1">
      <c r="A480" s="1579"/>
      <c r="B480" s="1584" t="s">
        <v>5600</v>
      </c>
      <c r="C480" s="183">
        <f>1/16</f>
        <v>6.25E-2</v>
      </c>
      <c r="D480" s="1229" t="s">
        <v>346</v>
      </c>
      <c r="E480" s="1581">
        <f>+OFICI</f>
        <v>80479.625344</v>
      </c>
      <c r="F480" s="1585"/>
      <c r="G480" s="1583"/>
      <c r="H480" s="1585">
        <f>+E480*C480</f>
        <v>5029.976584</v>
      </c>
      <c r="I480" s="1585"/>
      <c r="J480" s="2895"/>
      <c r="K480" s="2895"/>
      <c r="L480" s="2895"/>
    </row>
    <row r="481" spans="1:12" s="402" customFormat="1" ht="15" customHeight="1">
      <c r="A481" s="1579"/>
      <c r="B481" s="1584" t="s">
        <v>1062</v>
      </c>
      <c r="C481" s="183">
        <f>1/16</f>
        <v>6.25E-2</v>
      </c>
      <c r="D481" s="1229" t="s">
        <v>346</v>
      </c>
      <c r="E481" s="1581">
        <f>+AYUDR</f>
        <v>50299.76584</v>
      </c>
      <c r="F481" s="1585"/>
      <c r="G481" s="1583"/>
      <c r="H481" s="1585">
        <f>+E481*C481</f>
        <v>3143.735365</v>
      </c>
      <c r="I481" s="1585"/>
      <c r="J481" s="2895"/>
      <c r="K481" s="2895"/>
      <c r="L481" s="2895"/>
    </row>
    <row r="482" spans="1:12" ht="18">
      <c r="A482" s="1579" t="s">
        <v>349</v>
      </c>
      <c r="B482" s="1262" t="s">
        <v>5691</v>
      </c>
      <c r="C482" s="183">
        <v>1</v>
      </c>
      <c r="D482" s="1229" t="s">
        <v>583</v>
      </c>
      <c r="E482" s="1581">
        <f>H483*0.05</f>
        <v>408.68559745000005</v>
      </c>
      <c r="F482" s="1585"/>
      <c r="G482" s="1585"/>
      <c r="H482" s="1585"/>
      <c r="I482" s="1585">
        <f>+E482*C482</f>
        <v>408.68559745000005</v>
      </c>
    </row>
    <row r="483" spans="1:12" ht="18">
      <c r="A483" s="1586" t="s">
        <v>190</v>
      </c>
      <c r="B483" s="1587">
        <f>SUM(F483:I483)</f>
        <v>26992.634530948002</v>
      </c>
      <c r="C483" s="687"/>
      <c r="D483" s="1229"/>
      <c r="E483" s="1581"/>
      <c r="F483" s="1585">
        <f>SUM(F478:F482)</f>
        <v>0</v>
      </c>
      <c r="G483" s="1585">
        <f>SUM(G478:G482)</f>
        <v>18410.236984498002</v>
      </c>
      <c r="H483" s="1585">
        <f>SUM(H478:H482)</f>
        <v>8173.7119490000005</v>
      </c>
      <c r="I483" s="1585">
        <f>SUM(I478:I482)</f>
        <v>408.68559745000005</v>
      </c>
    </row>
    <row r="484" spans="1:12" ht="18">
      <c r="A484" s="1586" t="s">
        <v>191</v>
      </c>
      <c r="B484" s="1587">
        <f>+ROUND(B483,0)</f>
        <v>26993</v>
      </c>
      <c r="C484" s="1228" t="s">
        <v>45</v>
      </c>
      <c r="D484" s="402"/>
      <c r="E484" s="1588"/>
      <c r="F484" s="1280"/>
      <c r="G484" s="1280"/>
      <c r="H484" s="1280"/>
      <c r="I484" s="1280"/>
    </row>
    <row r="486" spans="1:12" ht="18">
      <c r="A486" s="1578"/>
      <c r="B486" s="3566" t="s">
        <v>5678</v>
      </c>
      <c r="C486" s="3567"/>
      <c r="D486" s="3567"/>
      <c r="E486" s="3567"/>
      <c r="F486" s="3567"/>
      <c r="G486" s="3567"/>
      <c r="H486" s="3567"/>
      <c r="I486" s="3568"/>
    </row>
    <row r="487" spans="1:12" ht="18">
      <c r="A487" s="1579"/>
      <c r="B487" s="1262"/>
      <c r="C487" s="1299" t="s">
        <v>140</v>
      </c>
      <c r="D487" s="1580" t="s">
        <v>343</v>
      </c>
      <c r="E487" s="1581" t="s">
        <v>344</v>
      </c>
      <c r="F487" s="1581" t="s">
        <v>482</v>
      </c>
      <c r="G487" s="1581" t="s">
        <v>483</v>
      </c>
      <c r="H487" s="1581" t="s">
        <v>232</v>
      </c>
      <c r="I487" s="1581" t="s">
        <v>171</v>
      </c>
    </row>
    <row r="488" spans="1:12" s="402" customFormat="1" ht="15" customHeight="1">
      <c r="A488" s="1589"/>
      <c r="B488" s="1582" t="s">
        <v>5700</v>
      </c>
      <c r="C488" s="182">
        <v>6.8708956847676653E-2</v>
      </c>
      <c r="D488" s="1580" t="s">
        <v>1292</v>
      </c>
      <c r="E488" s="1581">
        <f>+'BASE CTOS'!B107</f>
        <v>419022.54922489997</v>
      </c>
      <c r="F488" s="1581"/>
      <c r="G488" s="1581">
        <f>+E488*C488</f>
        <v>28790.602252897119</v>
      </c>
      <c r="H488" s="1581"/>
      <c r="I488" s="1581"/>
      <c r="J488" s="2895"/>
      <c r="K488" s="2895"/>
      <c r="L488" s="2895"/>
    </row>
    <row r="489" spans="1:12" s="402" customFormat="1" ht="15" customHeight="1">
      <c r="A489" s="1579"/>
      <c r="B489" s="1584" t="s">
        <v>5600</v>
      </c>
      <c r="C489" s="183">
        <f>1/8</f>
        <v>0.125</v>
      </c>
      <c r="D489" s="1229" t="s">
        <v>346</v>
      </c>
      <c r="E489" s="1581">
        <f>+OFICI</f>
        <v>80479.625344</v>
      </c>
      <c r="F489" s="1585"/>
      <c r="G489" s="1583"/>
      <c r="H489" s="1585">
        <f>+E489*C489</f>
        <v>10059.953168</v>
      </c>
      <c r="I489" s="1585"/>
      <c r="J489" s="2895"/>
      <c r="K489" s="2895"/>
      <c r="L489" s="2895"/>
    </row>
    <row r="490" spans="1:12" s="402" customFormat="1" ht="15" customHeight="1">
      <c r="A490" s="1579"/>
      <c r="B490" s="1584" t="s">
        <v>1062</v>
      </c>
      <c r="C490" s="183">
        <f>1/8</f>
        <v>0.125</v>
      </c>
      <c r="D490" s="1229" t="s">
        <v>346</v>
      </c>
      <c r="E490" s="1581">
        <f>+AYUDR</f>
        <v>50299.76584</v>
      </c>
      <c r="F490" s="1585"/>
      <c r="G490" s="1583"/>
      <c r="H490" s="1585">
        <f>+E490*C490</f>
        <v>6287.47073</v>
      </c>
      <c r="I490" s="1585"/>
      <c r="J490" s="2895"/>
      <c r="K490" s="2895"/>
      <c r="L490" s="2895"/>
    </row>
    <row r="491" spans="1:12" ht="18">
      <c r="A491" s="1579" t="s">
        <v>349</v>
      </c>
      <c r="B491" s="1262" t="s">
        <v>5691</v>
      </c>
      <c r="C491" s="183">
        <v>1</v>
      </c>
      <c r="D491" s="1229" t="s">
        <v>583</v>
      </c>
      <c r="E491" s="1581">
        <f>H492*0.05</f>
        <v>817.37119490000009</v>
      </c>
      <c r="F491" s="1585"/>
      <c r="G491" s="1585"/>
      <c r="H491" s="1585"/>
      <c r="I491" s="1585">
        <f>+E491*C491</f>
        <v>817.37119490000009</v>
      </c>
    </row>
    <row r="492" spans="1:12" ht="18">
      <c r="A492" s="1586" t="s">
        <v>190</v>
      </c>
      <c r="B492" s="1587">
        <f>SUM(F492:I492)</f>
        <v>45955.397345797115</v>
      </c>
      <c r="C492" s="687"/>
      <c r="D492" s="1229"/>
      <c r="E492" s="1581"/>
      <c r="F492" s="1585">
        <f>SUM(F488:F491)</f>
        <v>0</v>
      </c>
      <c r="G492" s="1585">
        <f>SUM(G488:G491)</f>
        <v>28790.602252897119</v>
      </c>
      <c r="H492" s="1585">
        <f>SUM(H488:H491)</f>
        <v>16347.423898000001</v>
      </c>
      <c r="I492" s="1585">
        <f>SUM(I488:I491)</f>
        <v>817.37119490000009</v>
      </c>
    </row>
    <row r="493" spans="1:12" ht="18">
      <c r="A493" s="1586" t="s">
        <v>191</v>
      </c>
      <c r="B493" s="1587">
        <f>+ROUND(B492,0)</f>
        <v>45955</v>
      </c>
      <c r="C493" s="1228" t="s">
        <v>1002</v>
      </c>
      <c r="D493" s="402"/>
      <c r="E493" s="1588"/>
      <c r="F493" s="1280"/>
      <c r="G493" s="1280"/>
      <c r="H493" s="1280"/>
      <c r="I493" s="1280"/>
    </row>
    <row r="495" spans="1:12" ht="18">
      <c r="A495" s="1578"/>
      <c r="B495" s="3566" t="s">
        <v>6622</v>
      </c>
      <c r="C495" s="3567"/>
      <c r="D495" s="3567"/>
      <c r="E495" s="3567"/>
      <c r="F495" s="3567"/>
      <c r="G495" s="3567"/>
      <c r="H495" s="3567"/>
      <c r="I495" s="3568"/>
    </row>
    <row r="496" spans="1:12" s="402" customFormat="1" ht="16.5" customHeight="1">
      <c r="A496" s="1579"/>
      <c r="B496" s="1262"/>
      <c r="C496" s="1299" t="s">
        <v>140</v>
      </c>
      <c r="D496" s="1580" t="s">
        <v>343</v>
      </c>
      <c r="E496" s="1581" t="s">
        <v>344</v>
      </c>
      <c r="F496" s="1581" t="s">
        <v>482</v>
      </c>
      <c r="G496" s="1581" t="s">
        <v>483</v>
      </c>
      <c r="H496" s="1581" t="s">
        <v>232</v>
      </c>
      <c r="I496" s="1581" t="s">
        <v>171</v>
      </c>
      <c r="J496" s="2895"/>
      <c r="K496" s="2895">
        <f>1/C497</f>
        <v>30</v>
      </c>
      <c r="L496" s="2895"/>
    </row>
    <row r="497" spans="1:12" s="402" customFormat="1" ht="20.25" customHeight="1">
      <c r="A497" s="1579"/>
      <c r="B497" s="1584" t="s">
        <v>5600</v>
      </c>
      <c r="C497" s="183">
        <f>1/30</f>
        <v>3.3333333333333333E-2</v>
      </c>
      <c r="D497" s="1229" t="s">
        <v>346</v>
      </c>
      <c r="E497" s="1581">
        <f>+OFICI</f>
        <v>80479.625344</v>
      </c>
      <c r="F497" s="1585"/>
      <c r="G497" s="1583"/>
      <c r="H497" s="1585">
        <f>+E497*C497</f>
        <v>2682.6541781333335</v>
      </c>
      <c r="I497" s="1585"/>
      <c r="J497" s="2895"/>
      <c r="K497" s="2895"/>
      <c r="L497" s="2895"/>
    </row>
    <row r="498" spans="1:12" s="402" customFormat="1" ht="20.25" customHeight="1">
      <c r="A498" s="1579"/>
      <c r="B498" s="1584" t="s">
        <v>1062</v>
      </c>
      <c r="C498" s="183">
        <f>1/30</f>
        <v>3.3333333333333333E-2</v>
      </c>
      <c r="D498" s="1229" t="s">
        <v>346</v>
      </c>
      <c r="E498" s="1581">
        <f>AYUDR*3</f>
        <v>150899.29751999999</v>
      </c>
      <c r="F498" s="1585"/>
      <c r="G498" s="1583"/>
      <c r="H498" s="1585">
        <f>+E498*C498</f>
        <v>5029.976584</v>
      </c>
      <c r="I498" s="1585"/>
      <c r="J498" s="2895"/>
      <c r="K498" s="2895"/>
      <c r="L498" s="2895"/>
    </row>
    <row r="499" spans="1:12" ht="21" customHeight="1">
      <c r="A499" s="1579" t="s">
        <v>349</v>
      </c>
      <c r="B499" s="1262" t="s">
        <v>5691</v>
      </c>
      <c r="C499" s="183">
        <v>1</v>
      </c>
      <c r="D499" s="1229" t="s">
        <v>583</v>
      </c>
      <c r="E499" s="1581">
        <f>H500*0.05</f>
        <v>385.63153810666671</v>
      </c>
      <c r="F499" s="1585"/>
      <c r="G499" s="1585"/>
      <c r="H499" s="1585"/>
      <c r="I499" s="1585">
        <f>+E499*C499</f>
        <v>385.63153810666671</v>
      </c>
    </row>
    <row r="500" spans="1:12" ht="16.5" customHeight="1">
      <c r="A500" s="1586" t="s">
        <v>190</v>
      </c>
      <c r="B500" s="1587">
        <f>SUM(F500:I500)</f>
        <v>8098.2623002400005</v>
      </c>
      <c r="C500" s="687"/>
      <c r="D500" s="1229"/>
      <c r="E500" s="1581"/>
      <c r="F500" s="1585">
        <f>SUM(F497:F499)</f>
        <v>0</v>
      </c>
      <c r="G500" s="1585">
        <f>SUM(G497:G499)</f>
        <v>0</v>
      </c>
      <c r="H500" s="1585">
        <f>SUM(H497:H499)</f>
        <v>7712.6307621333335</v>
      </c>
      <c r="I500" s="1585">
        <f>SUM(I497:I499)</f>
        <v>385.63153810666671</v>
      </c>
    </row>
    <row r="501" spans="1:12" ht="15" customHeight="1">
      <c r="A501" s="1586" t="s">
        <v>191</v>
      </c>
      <c r="B501" s="1587">
        <f>+ROUND(B500,0)</f>
        <v>8098</v>
      </c>
      <c r="C501" s="1228" t="s">
        <v>45</v>
      </c>
      <c r="D501" s="402"/>
      <c r="E501" s="1588"/>
      <c r="F501" s="1280"/>
      <c r="G501" s="1280"/>
      <c r="H501" s="1280"/>
      <c r="I501" s="1280"/>
    </row>
    <row r="502" spans="1:12" ht="19.5" customHeight="1"/>
    <row r="503" spans="1:12" ht="18">
      <c r="A503" s="1578"/>
      <c r="B503" s="3566" t="s">
        <v>6621</v>
      </c>
      <c r="C503" s="3567"/>
      <c r="D503" s="3567"/>
      <c r="E503" s="3567"/>
      <c r="F503" s="3567"/>
      <c r="G503" s="3567"/>
      <c r="H503" s="3567"/>
      <c r="I503" s="3568"/>
    </row>
    <row r="504" spans="1:12" s="402" customFormat="1" ht="19.5" customHeight="1">
      <c r="A504" s="1579"/>
      <c r="B504" s="1262"/>
      <c r="C504" s="1299" t="s">
        <v>140</v>
      </c>
      <c r="D504" s="1580" t="s">
        <v>343</v>
      </c>
      <c r="E504" s="1581" t="s">
        <v>344</v>
      </c>
      <c r="F504" s="1581" t="s">
        <v>482</v>
      </c>
      <c r="G504" s="1581" t="s">
        <v>483</v>
      </c>
      <c r="H504" s="1581" t="s">
        <v>232</v>
      </c>
      <c r="I504" s="1581" t="s">
        <v>171</v>
      </c>
      <c r="J504" s="2895"/>
      <c r="K504" s="2895"/>
      <c r="L504" s="2895"/>
    </row>
    <row r="505" spans="1:12" s="402" customFormat="1" ht="48.75" customHeight="1">
      <c r="A505" s="1579"/>
      <c r="B505" s="1582" t="s">
        <v>6959</v>
      </c>
      <c r="C505" s="182">
        <v>1</v>
      </c>
      <c r="D505" s="1420" t="s">
        <v>45</v>
      </c>
      <c r="E505" s="1804">
        <f>+'BASE 2'!D664</f>
        <v>73780</v>
      </c>
      <c r="F505" s="2141"/>
      <c r="G505" s="2142">
        <f>+E505*C505</f>
        <v>73780</v>
      </c>
      <c r="H505" s="2141"/>
      <c r="I505" s="2141"/>
      <c r="J505" s="2895"/>
      <c r="K505" s="2895"/>
      <c r="L505" s="2895"/>
    </row>
    <row r="506" spans="1:12" ht="16.5" customHeight="1">
      <c r="A506" s="1579"/>
      <c r="B506" s="1262" t="s">
        <v>6958</v>
      </c>
      <c r="C506" s="183">
        <v>1</v>
      </c>
      <c r="D506" s="1229" t="s">
        <v>5192</v>
      </c>
      <c r="E506" s="1581">
        <v>3000</v>
      </c>
      <c r="F506" s="1585"/>
      <c r="G506" s="1585"/>
      <c r="H506" s="1585"/>
      <c r="I506" s="1585">
        <f>+E506*C506</f>
        <v>3000</v>
      </c>
    </row>
    <row r="507" spans="1:12" ht="21.75" customHeight="1">
      <c r="A507" s="1586" t="s">
        <v>190</v>
      </c>
      <c r="B507" s="1587">
        <f>SUM(F507:I507)</f>
        <v>76780</v>
      </c>
      <c r="C507" s="687"/>
      <c r="D507" s="1229"/>
      <c r="E507" s="1581"/>
      <c r="F507" s="1585">
        <f>SUM(F505:F506)</f>
        <v>0</v>
      </c>
      <c r="G507" s="1585">
        <f>SUM(G505:G506)</f>
        <v>73780</v>
      </c>
      <c r="H507" s="1585">
        <f>SUM(H505:H506)</f>
        <v>0</v>
      </c>
      <c r="I507" s="1585">
        <f>SUM(I505:I506)</f>
        <v>3000</v>
      </c>
    </row>
    <row r="508" spans="1:12" ht="17.25" customHeight="1">
      <c r="A508" s="1586" t="s">
        <v>191</v>
      </c>
      <c r="B508" s="1587">
        <f>+ROUND(B507,0)</f>
        <v>76780</v>
      </c>
      <c r="C508" s="1228" t="s">
        <v>45</v>
      </c>
      <c r="D508" s="402"/>
      <c r="E508" s="1588"/>
      <c r="F508" s="1280"/>
      <c r="G508" s="1280"/>
      <c r="H508" s="1280"/>
      <c r="I508" s="1280"/>
    </row>
    <row r="510" spans="1:12" ht="18">
      <c r="A510" s="1578"/>
      <c r="B510" s="3566" t="s">
        <v>6625</v>
      </c>
      <c r="C510" s="3567"/>
      <c r="D510" s="3567"/>
      <c r="E510" s="3567"/>
      <c r="F510" s="3567"/>
      <c r="G510" s="3567"/>
      <c r="H510" s="3567"/>
      <c r="I510" s="3568"/>
    </row>
    <row r="511" spans="1:12" s="402" customFormat="1" ht="15" customHeight="1">
      <c r="A511" s="1579"/>
      <c r="B511" s="1262"/>
      <c r="C511" s="1299" t="s">
        <v>140</v>
      </c>
      <c r="D511" s="1580" t="s">
        <v>343</v>
      </c>
      <c r="E511" s="1581" t="s">
        <v>344</v>
      </c>
      <c r="F511" s="1581" t="s">
        <v>482</v>
      </c>
      <c r="G511" s="1581" t="s">
        <v>483</v>
      </c>
      <c r="H511" s="1581" t="s">
        <v>232</v>
      </c>
      <c r="I511" s="1581" t="s">
        <v>171</v>
      </c>
      <c r="J511" s="2895"/>
      <c r="K511" s="2895"/>
      <c r="L511" s="2895"/>
    </row>
    <row r="512" spans="1:12" s="402" customFormat="1" ht="15" customHeight="1">
      <c r="A512" s="1579"/>
      <c r="B512" s="1584" t="s">
        <v>5600</v>
      </c>
      <c r="C512" s="183">
        <f>1/20</f>
        <v>0.05</v>
      </c>
      <c r="D512" s="1229" t="s">
        <v>346</v>
      </c>
      <c r="E512" s="1581">
        <f>+OFICI</f>
        <v>80479.625344</v>
      </c>
      <c r="F512" s="1585"/>
      <c r="G512" s="1583"/>
      <c r="H512" s="1585">
        <f>+E512*C512</f>
        <v>4023.9812672000003</v>
      </c>
      <c r="I512" s="1585"/>
      <c r="J512" s="2895"/>
      <c r="K512" s="2895"/>
      <c r="L512" s="2895"/>
    </row>
    <row r="513" spans="1:12" s="402" customFormat="1" ht="15" customHeight="1">
      <c r="A513" s="1579"/>
      <c r="B513" s="1584" t="s">
        <v>1062</v>
      </c>
      <c r="C513" s="183">
        <f>1/20</f>
        <v>0.05</v>
      </c>
      <c r="D513" s="1229" t="s">
        <v>346</v>
      </c>
      <c r="E513" s="1581">
        <f>AYUDR*2</f>
        <v>100599.53168</v>
      </c>
      <c r="F513" s="1585"/>
      <c r="G513" s="1583"/>
      <c r="H513" s="1585">
        <f>+E513*C513</f>
        <v>5029.976584</v>
      </c>
      <c r="I513" s="1585"/>
      <c r="J513" s="2895"/>
      <c r="K513" s="2895"/>
      <c r="L513" s="2895"/>
    </row>
    <row r="514" spans="1:12" ht="18">
      <c r="A514" s="1579" t="s">
        <v>349</v>
      </c>
      <c r="B514" s="1262" t="s">
        <v>5691</v>
      </c>
      <c r="C514" s="183">
        <v>1</v>
      </c>
      <c r="D514" s="1229" t="s">
        <v>583</v>
      </c>
      <c r="E514" s="1581">
        <f>H515*0.05</f>
        <v>452.69789256000007</v>
      </c>
      <c r="F514" s="1585"/>
      <c r="G514" s="1585"/>
      <c r="H514" s="1585"/>
      <c r="I514" s="1585">
        <f>+E514*C514</f>
        <v>452.69789256000007</v>
      </c>
    </row>
    <row r="515" spans="1:12" ht="18">
      <c r="A515" s="1586" t="s">
        <v>190</v>
      </c>
      <c r="B515" s="1587">
        <f>SUM(F515:I515)</f>
        <v>9506.6557437600004</v>
      </c>
      <c r="C515" s="687"/>
      <c r="D515" s="1229"/>
      <c r="E515" s="1581"/>
      <c r="F515" s="1585">
        <f>SUM(F512:F514)</f>
        <v>0</v>
      </c>
      <c r="G515" s="1585">
        <f>SUM(G512:G514)</f>
        <v>0</v>
      </c>
      <c r="H515" s="1585">
        <f>SUM(H512:H514)</f>
        <v>9053.9578512000007</v>
      </c>
      <c r="I515" s="1585">
        <f>SUM(I512:I514)</f>
        <v>452.69789256000007</v>
      </c>
    </row>
    <row r="516" spans="1:12" ht="18">
      <c r="A516" s="1586" t="s">
        <v>191</v>
      </c>
      <c r="B516" s="1587">
        <f>+ROUND(B515,0)</f>
        <v>9507</v>
      </c>
      <c r="C516" s="1228" t="s">
        <v>1002</v>
      </c>
      <c r="D516" s="402"/>
      <c r="E516" s="2140">
        <f>+B523*0.15</f>
        <v>18135.75</v>
      </c>
      <c r="F516" s="1280"/>
      <c r="G516" s="1280"/>
      <c r="H516" s="1280"/>
      <c r="I516" s="1280"/>
    </row>
    <row r="518" spans="1:12" ht="18">
      <c r="A518" s="1578"/>
      <c r="B518" s="3566" t="s">
        <v>6624</v>
      </c>
      <c r="C518" s="3567"/>
      <c r="D518" s="3567"/>
      <c r="E518" s="3567"/>
      <c r="F518" s="3567"/>
      <c r="G518" s="3567"/>
      <c r="H518" s="3567"/>
      <c r="I518" s="3568"/>
    </row>
    <row r="519" spans="1:12" s="402" customFormat="1" ht="19.5" customHeight="1">
      <c r="A519" s="1579"/>
      <c r="B519" s="1262"/>
      <c r="C519" s="1299" t="s">
        <v>140</v>
      </c>
      <c r="D519" s="1580" t="s">
        <v>343</v>
      </c>
      <c r="E519" s="1581" t="s">
        <v>344</v>
      </c>
      <c r="F519" s="1581" t="s">
        <v>482</v>
      </c>
      <c r="G519" s="1581" t="s">
        <v>483</v>
      </c>
      <c r="H519" s="1581" t="s">
        <v>232</v>
      </c>
      <c r="I519" s="1581" t="s">
        <v>171</v>
      </c>
      <c r="J519" s="2895"/>
      <c r="K519" s="2895"/>
      <c r="L519" s="2895"/>
    </row>
    <row r="520" spans="1:12" s="402" customFormat="1" ht="34.5" customHeight="1">
      <c r="A520" s="1579"/>
      <c r="B520" s="1582" t="s">
        <v>6960</v>
      </c>
      <c r="C520" s="1420">
        <v>1</v>
      </c>
      <c r="D520" s="1420" t="s">
        <v>4696</v>
      </c>
      <c r="E520" s="1804">
        <f>+'BASE 2'!D665</f>
        <v>118405</v>
      </c>
      <c r="F520" s="2141"/>
      <c r="G520" s="2142">
        <f>+E520*C520</f>
        <v>118405</v>
      </c>
      <c r="H520" s="2141"/>
      <c r="I520" s="2141"/>
      <c r="J520" s="2895"/>
      <c r="K520" s="2895"/>
      <c r="L520" s="2895"/>
    </row>
    <row r="521" spans="1:12" ht="18">
      <c r="A521" s="1579"/>
      <c r="B521" s="1262" t="s">
        <v>5521</v>
      </c>
      <c r="C521" s="183">
        <v>5.0000000000000001E-3</v>
      </c>
      <c r="D521" s="1229" t="s">
        <v>5192</v>
      </c>
      <c r="E521" s="1581">
        <v>500000</v>
      </c>
      <c r="F521" s="1585"/>
      <c r="G521" s="1585"/>
      <c r="H521" s="1585"/>
      <c r="I521" s="1585">
        <f>+E521*C521</f>
        <v>2500</v>
      </c>
    </row>
    <row r="522" spans="1:12" ht="16.5" customHeight="1">
      <c r="A522" s="1586" t="s">
        <v>190</v>
      </c>
      <c r="B522" s="1587">
        <f>SUM(F522:I522)</f>
        <v>120905</v>
      </c>
      <c r="C522" s="687"/>
      <c r="D522" s="1229"/>
      <c r="E522" s="1581"/>
      <c r="F522" s="1585">
        <f>SUM(F520:F521)</f>
        <v>0</v>
      </c>
      <c r="G522" s="1585">
        <f>SUM(G520:G521)</f>
        <v>118405</v>
      </c>
      <c r="H522" s="1585">
        <f>SUM(H520:H521)</f>
        <v>0</v>
      </c>
      <c r="I522" s="1585">
        <f>SUM(I520:I521)</f>
        <v>2500</v>
      </c>
    </row>
    <row r="523" spans="1:12" ht="15" customHeight="1">
      <c r="A523" s="1586" t="s">
        <v>191</v>
      </c>
      <c r="B523" s="1587">
        <f>+ROUND(B522,0)</f>
        <v>120905</v>
      </c>
      <c r="C523" s="1228" t="s">
        <v>1002</v>
      </c>
      <c r="D523" s="402"/>
      <c r="E523" s="1588"/>
      <c r="F523" s="1280"/>
      <c r="G523" s="1280"/>
      <c r="H523" s="1280"/>
      <c r="I523" s="1280"/>
    </row>
    <row r="525" spans="1:12" ht="18">
      <c r="A525" s="1578"/>
      <c r="B525" s="3566" t="s">
        <v>5684</v>
      </c>
      <c r="C525" s="3567"/>
      <c r="D525" s="3567"/>
      <c r="E525" s="3567"/>
      <c r="F525" s="3567"/>
      <c r="G525" s="3567"/>
      <c r="H525" s="3567"/>
      <c r="I525" s="3568"/>
    </row>
    <row r="526" spans="1:12" s="402" customFormat="1" ht="15" customHeight="1">
      <c r="A526" s="1579"/>
      <c r="B526" s="1262"/>
      <c r="C526" s="1299" t="s">
        <v>140</v>
      </c>
      <c r="D526" s="1580" t="s">
        <v>343</v>
      </c>
      <c r="E526" s="1581" t="s">
        <v>344</v>
      </c>
      <c r="F526" s="1581" t="s">
        <v>482</v>
      </c>
      <c r="G526" s="1581" t="s">
        <v>483</v>
      </c>
      <c r="H526" s="1581" t="s">
        <v>232</v>
      </c>
      <c r="I526" s="1581" t="s">
        <v>171</v>
      </c>
      <c r="J526" s="2895"/>
      <c r="K526" s="2895"/>
      <c r="L526" s="2895"/>
    </row>
    <row r="527" spans="1:12" s="402" customFormat="1" ht="15" customHeight="1">
      <c r="A527" s="1579"/>
      <c r="B527" s="1584" t="s">
        <v>5600</v>
      </c>
      <c r="C527" s="183">
        <f>1/4</f>
        <v>0.25</v>
      </c>
      <c r="D527" s="1229" t="s">
        <v>346</v>
      </c>
      <c r="E527" s="1581">
        <f>+OFICI</f>
        <v>80479.625344</v>
      </c>
      <c r="F527" s="1585"/>
      <c r="G527" s="1583"/>
      <c r="H527" s="1585">
        <f>+E527*C527</f>
        <v>20119.906336</v>
      </c>
      <c r="I527" s="1585"/>
      <c r="J527" s="2895"/>
      <c r="K527" s="2895"/>
      <c r="L527" s="2895"/>
    </row>
    <row r="528" spans="1:12" s="402" customFormat="1" ht="15" customHeight="1">
      <c r="A528" s="1579"/>
      <c r="B528" s="1584" t="s">
        <v>1062</v>
      </c>
      <c r="C528" s="183">
        <f>1/4</f>
        <v>0.25</v>
      </c>
      <c r="D528" s="1229" t="s">
        <v>346</v>
      </c>
      <c r="E528" s="1581">
        <f>+AYUDR</f>
        <v>50299.76584</v>
      </c>
      <c r="F528" s="1585"/>
      <c r="G528" s="1583"/>
      <c r="H528" s="1585">
        <f>+E528*C528</f>
        <v>12574.94146</v>
      </c>
      <c r="I528" s="1585"/>
      <c r="J528" s="2895"/>
      <c r="K528" s="2895"/>
      <c r="L528" s="2895"/>
    </row>
    <row r="529" spans="1:12" ht="18">
      <c r="A529" s="1579" t="s">
        <v>349</v>
      </c>
      <c r="B529" s="1262" t="s">
        <v>5691</v>
      </c>
      <c r="C529" s="183">
        <v>1</v>
      </c>
      <c r="D529" s="1229" t="s">
        <v>583</v>
      </c>
      <c r="E529" s="1581">
        <f>H530*0.05</f>
        <v>1634.7423898000002</v>
      </c>
      <c r="F529" s="1585"/>
      <c r="G529" s="1585"/>
      <c r="H529" s="1585"/>
      <c r="I529" s="1585">
        <f>+E529*C529</f>
        <v>1634.7423898000002</v>
      </c>
    </row>
    <row r="530" spans="1:12" ht="18">
      <c r="A530" s="1586" t="s">
        <v>190</v>
      </c>
      <c r="B530" s="1587">
        <f>SUM(F530:I530)</f>
        <v>34329.5901858</v>
      </c>
      <c r="C530" s="687"/>
      <c r="D530" s="1229"/>
      <c r="E530" s="1581"/>
      <c r="F530" s="1585">
        <f>SUM(F527:F529)</f>
        <v>0</v>
      </c>
      <c r="G530" s="1585">
        <f>SUM(G527:G529)</f>
        <v>0</v>
      </c>
      <c r="H530" s="1585">
        <f>SUM(H527:H529)</f>
        <v>32694.847796000002</v>
      </c>
      <c r="I530" s="1585">
        <f>SUM(I527:I529)</f>
        <v>1634.7423898000002</v>
      </c>
    </row>
    <row r="531" spans="1:12" ht="18">
      <c r="A531" s="1586" t="s">
        <v>191</v>
      </c>
      <c r="B531" s="1587">
        <f>+ROUND(B530,0)</f>
        <v>34330</v>
      </c>
      <c r="C531" s="1228" t="s">
        <v>363</v>
      </c>
      <c r="D531" s="402"/>
      <c r="E531" s="2140">
        <f>+B540*0.15</f>
        <v>66342.75</v>
      </c>
      <c r="F531" s="1280"/>
      <c r="G531" s="1280"/>
      <c r="H531" s="1280"/>
      <c r="I531" s="1280"/>
    </row>
    <row r="533" spans="1:12" ht="18">
      <c r="A533" s="1578"/>
      <c r="B533" s="3566" t="s">
        <v>5688</v>
      </c>
      <c r="C533" s="3567"/>
      <c r="D533" s="3567"/>
      <c r="E533" s="3567"/>
      <c r="F533" s="3567"/>
      <c r="G533" s="3567"/>
      <c r="H533" s="3567"/>
      <c r="I533" s="3568"/>
    </row>
    <row r="534" spans="1:12" s="402" customFormat="1" ht="15" customHeight="1">
      <c r="A534" s="1579"/>
      <c r="B534" s="1262"/>
      <c r="C534" s="1299" t="s">
        <v>140</v>
      </c>
      <c r="D534" s="1580" t="s">
        <v>343</v>
      </c>
      <c r="E534" s="1581" t="s">
        <v>344</v>
      </c>
      <c r="F534" s="1581" t="s">
        <v>482</v>
      </c>
      <c r="G534" s="1581" t="s">
        <v>483</v>
      </c>
      <c r="H534" s="1581" t="s">
        <v>232</v>
      </c>
      <c r="I534" s="1581" t="s">
        <v>171</v>
      </c>
      <c r="J534" s="2895"/>
      <c r="K534" s="2895"/>
      <c r="L534" s="2895"/>
    </row>
    <row r="535" spans="1:12" s="402" customFormat="1" ht="15" customHeight="1">
      <c r="A535" s="1579"/>
      <c r="B535" s="1584" t="s">
        <v>6963</v>
      </c>
      <c r="C535" s="1420">
        <v>1</v>
      </c>
      <c r="D535" s="1420" t="s">
        <v>363</v>
      </c>
      <c r="E535" s="1581">
        <f>+'BASE 2'!D666</f>
        <v>416500</v>
      </c>
      <c r="F535" s="1585"/>
      <c r="G535" s="1583">
        <f>+E535*C535</f>
        <v>416500</v>
      </c>
      <c r="H535" s="1585"/>
      <c r="I535" s="1585"/>
      <c r="J535" s="2895"/>
      <c r="K535" s="2895"/>
      <c r="L535" s="2895"/>
    </row>
    <row r="536" spans="1:12" s="402" customFormat="1" ht="15" customHeight="1">
      <c r="A536" s="1579"/>
      <c r="B536" s="1584" t="s">
        <v>946</v>
      </c>
      <c r="C536" s="1420">
        <v>0.02</v>
      </c>
      <c r="D536" s="1420" t="s">
        <v>3639</v>
      </c>
      <c r="E536" s="1581">
        <f>+'BASE CTOS'!B150</f>
        <v>414261.84922490001</v>
      </c>
      <c r="F536" s="1585"/>
      <c r="G536" s="1583">
        <f t="shared" ref="G536:G537" si="30">+E536*C536</f>
        <v>8285.2369844980003</v>
      </c>
      <c r="H536" s="1585"/>
      <c r="I536" s="1585"/>
      <c r="J536" s="2895"/>
      <c r="K536" s="2895"/>
      <c r="L536" s="2895"/>
    </row>
    <row r="537" spans="1:12" s="402" customFormat="1" ht="15" customHeight="1">
      <c r="A537" s="1579"/>
      <c r="B537" s="1584" t="s">
        <v>5705</v>
      </c>
      <c r="C537" s="1420">
        <v>1</v>
      </c>
      <c r="D537" s="1420" t="s">
        <v>5706</v>
      </c>
      <c r="E537" s="1581">
        <v>2500</v>
      </c>
      <c r="F537" s="1585"/>
      <c r="G537" s="1583">
        <f t="shared" si="30"/>
        <v>2500</v>
      </c>
      <c r="H537" s="1585"/>
      <c r="I537" s="1585"/>
      <c r="J537" s="2895"/>
      <c r="K537" s="2895"/>
      <c r="L537" s="2895"/>
    </row>
    <row r="538" spans="1:12" ht="18">
      <c r="A538" s="1579"/>
      <c r="B538" s="1262" t="s">
        <v>5521</v>
      </c>
      <c r="C538" s="183">
        <v>1</v>
      </c>
      <c r="D538" s="1229" t="s">
        <v>5192</v>
      </c>
      <c r="E538" s="1581">
        <v>15000</v>
      </c>
      <c r="F538" s="1585"/>
      <c r="G538" s="1585"/>
      <c r="H538" s="1585"/>
      <c r="I538" s="1585">
        <f>+E538*C538</f>
        <v>15000</v>
      </c>
    </row>
    <row r="539" spans="1:12" ht="18">
      <c r="A539" s="1586" t="s">
        <v>190</v>
      </c>
      <c r="B539" s="1587">
        <f>SUM(F539:I539)</f>
        <v>442285.23698449798</v>
      </c>
      <c r="C539" s="687"/>
      <c r="D539" s="1229"/>
      <c r="E539" s="1581"/>
      <c r="F539" s="1585">
        <f>SUM(F535:F538)</f>
        <v>0</v>
      </c>
      <c r="G539" s="1585">
        <f>SUM(G535:G538)</f>
        <v>427285.23698449798</v>
      </c>
      <c r="H539" s="1585">
        <f>SUM(H535:H538)</f>
        <v>0</v>
      </c>
      <c r="I539" s="1585">
        <f>SUM(I535:I538)</f>
        <v>15000</v>
      </c>
    </row>
    <row r="540" spans="1:12" ht="18">
      <c r="A540" s="1586" t="s">
        <v>191</v>
      </c>
      <c r="B540" s="1587">
        <f>+ROUND(B539,0)</f>
        <v>442285</v>
      </c>
      <c r="C540" s="1228" t="s">
        <v>363</v>
      </c>
      <c r="D540" s="402"/>
      <c r="E540" s="1588"/>
      <c r="F540" s="1280"/>
      <c r="G540" s="1280"/>
      <c r="H540" s="1280"/>
      <c r="I540" s="1280"/>
    </row>
    <row r="542" spans="1:12" ht="18">
      <c r="A542" s="1578"/>
      <c r="B542" s="3566" t="s">
        <v>6627</v>
      </c>
      <c r="C542" s="3567"/>
      <c r="D542" s="3567"/>
      <c r="E542" s="3567"/>
      <c r="F542" s="3567"/>
      <c r="G542" s="3567"/>
      <c r="H542" s="3567"/>
      <c r="I542" s="3568"/>
    </row>
    <row r="543" spans="1:12" s="402" customFormat="1" ht="15" customHeight="1">
      <c r="A543" s="1579"/>
      <c r="B543" s="1262"/>
      <c r="C543" s="1299" t="s">
        <v>140</v>
      </c>
      <c r="D543" s="1580" t="s">
        <v>343</v>
      </c>
      <c r="E543" s="1581" t="s">
        <v>344</v>
      </c>
      <c r="F543" s="1581" t="s">
        <v>482</v>
      </c>
      <c r="G543" s="1581" t="s">
        <v>483</v>
      </c>
      <c r="H543" s="1581" t="s">
        <v>232</v>
      </c>
      <c r="I543" s="1581" t="s">
        <v>171</v>
      </c>
      <c r="J543" s="2895"/>
      <c r="K543" s="2895"/>
      <c r="L543" s="2895"/>
    </row>
    <row r="544" spans="1:12" s="402" customFormat="1" ht="15" customHeight="1">
      <c r="A544" s="1579"/>
      <c r="B544" s="1584" t="s">
        <v>5600</v>
      </c>
      <c r="C544" s="183">
        <f>1/3</f>
        <v>0.33333333333333331</v>
      </c>
      <c r="D544" s="1229" t="s">
        <v>346</v>
      </c>
      <c r="E544" s="1581">
        <f>+OFICI</f>
        <v>80479.625344</v>
      </c>
      <c r="F544" s="1585"/>
      <c r="G544" s="1583"/>
      <c r="H544" s="1585">
        <f>+E544*C544</f>
        <v>26826.541781333333</v>
      </c>
      <c r="I544" s="1585"/>
      <c r="J544" s="2895"/>
      <c r="K544" s="2895"/>
      <c r="L544" s="2895"/>
    </row>
    <row r="545" spans="1:12" s="402" customFormat="1" ht="15" customHeight="1">
      <c r="A545" s="1579"/>
      <c r="B545" s="1584" t="s">
        <v>1062</v>
      </c>
      <c r="C545" s="183">
        <f>1/3</f>
        <v>0.33333333333333331</v>
      </c>
      <c r="D545" s="1229" t="s">
        <v>346</v>
      </c>
      <c r="E545" s="1581">
        <f>+AYUDR</f>
        <v>50299.76584</v>
      </c>
      <c r="F545" s="1585"/>
      <c r="G545" s="1583"/>
      <c r="H545" s="1585">
        <f>+E545*C545</f>
        <v>16766.588613333333</v>
      </c>
      <c r="I545" s="1585"/>
      <c r="J545" s="2895"/>
      <c r="K545" s="2895"/>
      <c r="L545" s="2895"/>
    </row>
    <row r="546" spans="1:12" ht="18">
      <c r="A546" s="1579" t="s">
        <v>349</v>
      </c>
      <c r="B546" s="1262" t="s">
        <v>5691</v>
      </c>
      <c r="C546" s="183">
        <v>1</v>
      </c>
      <c r="D546" s="1229" t="s">
        <v>583</v>
      </c>
      <c r="E546" s="1581">
        <f>H547*0.05</f>
        <v>2179.6565197333334</v>
      </c>
      <c r="F546" s="1585"/>
      <c r="G546" s="1585"/>
      <c r="H546" s="1585"/>
      <c r="I546" s="1585">
        <f>+E546*C546</f>
        <v>2179.6565197333334</v>
      </c>
    </row>
    <row r="547" spans="1:12" ht="18">
      <c r="A547" s="1586" t="s">
        <v>190</v>
      </c>
      <c r="B547" s="1587">
        <f>SUM(F547:I547)</f>
        <v>45772.7869144</v>
      </c>
      <c r="C547" s="687"/>
      <c r="D547" s="1229"/>
      <c r="E547" s="1581"/>
      <c r="F547" s="1585">
        <f>SUM(F544:F546)</f>
        <v>0</v>
      </c>
      <c r="G547" s="1585">
        <f>SUM(G544:G546)</f>
        <v>0</v>
      </c>
      <c r="H547" s="1585">
        <f>SUM(H544:H546)</f>
        <v>43593.130394666667</v>
      </c>
      <c r="I547" s="1585">
        <f>SUM(I544:I546)</f>
        <v>2179.6565197333334</v>
      </c>
    </row>
    <row r="548" spans="1:12" ht="18">
      <c r="A548" s="1586" t="s">
        <v>191</v>
      </c>
      <c r="B548" s="1587">
        <f>+ROUND(B547,0)</f>
        <v>45773</v>
      </c>
      <c r="C548" s="1228" t="s">
        <v>363</v>
      </c>
      <c r="D548" s="402"/>
      <c r="E548" s="2140">
        <f>+B556*0.15</f>
        <v>263740.5</v>
      </c>
      <c r="F548" s="1280"/>
      <c r="G548" s="1280"/>
      <c r="H548" s="1280"/>
      <c r="I548" s="1280"/>
    </row>
    <row r="550" spans="1:12" ht="18">
      <c r="A550" s="1578"/>
      <c r="B550" s="3566" t="s">
        <v>6626</v>
      </c>
      <c r="C550" s="3567"/>
      <c r="D550" s="3567"/>
      <c r="E550" s="3567"/>
      <c r="F550" s="3567"/>
      <c r="G550" s="3567"/>
      <c r="H550" s="3567"/>
      <c r="I550" s="3568"/>
    </row>
    <row r="551" spans="1:12" s="499" customFormat="1" ht="20.25" customHeight="1">
      <c r="A551" s="1579"/>
      <c r="B551" s="1262"/>
      <c r="C551" s="1299" t="s">
        <v>140</v>
      </c>
      <c r="D551" s="1580" t="s">
        <v>343</v>
      </c>
      <c r="E551" s="1581" t="s">
        <v>344</v>
      </c>
      <c r="F551" s="1581" t="s">
        <v>482</v>
      </c>
      <c r="G551" s="1581" t="s">
        <v>483</v>
      </c>
      <c r="H551" s="1581" t="s">
        <v>232</v>
      </c>
      <c r="I551" s="1581" t="s">
        <v>171</v>
      </c>
      <c r="J551" s="2903"/>
      <c r="K551" s="2903"/>
      <c r="L551" s="2903"/>
    </row>
    <row r="552" spans="1:12" s="402" customFormat="1" ht="31.5" customHeight="1">
      <c r="A552" s="1579"/>
      <c r="B552" s="1582" t="s">
        <v>6967</v>
      </c>
      <c r="C552" s="1420">
        <v>1</v>
      </c>
      <c r="D552" s="1420" t="s">
        <v>5191</v>
      </c>
      <c r="E552" s="1804">
        <f>+'BASE 2'!D667</f>
        <v>1701700</v>
      </c>
      <c r="F552" s="2141"/>
      <c r="G552" s="2142">
        <f>+E552*C552</f>
        <v>1701700</v>
      </c>
      <c r="H552" s="2141"/>
      <c r="I552" s="2141"/>
      <c r="J552" s="2895"/>
      <c r="K552" s="2895"/>
      <c r="L552" s="2895"/>
    </row>
    <row r="553" spans="1:12" s="402" customFormat="1" ht="15" customHeight="1">
      <c r="A553" s="1579"/>
      <c r="B553" s="1584" t="s">
        <v>946</v>
      </c>
      <c r="C553" s="1420">
        <v>0.04</v>
      </c>
      <c r="D553" s="1420" t="s">
        <v>3639</v>
      </c>
      <c r="E553" s="1581">
        <f>+'BASE CTOS'!B150</f>
        <v>414261.84922490001</v>
      </c>
      <c r="F553" s="1585"/>
      <c r="G553" s="1583">
        <f t="shared" ref="G553" si="31">+E553*C553</f>
        <v>16570.473968996001</v>
      </c>
      <c r="H553" s="1585"/>
      <c r="I553" s="1585"/>
      <c r="J553" s="2895"/>
      <c r="K553" s="2895"/>
      <c r="L553" s="2895"/>
    </row>
    <row r="554" spans="1:12" ht="18">
      <c r="A554" s="1579"/>
      <c r="B554" s="1262" t="s">
        <v>5521</v>
      </c>
      <c r="C554" s="183">
        <v>1</v>
      </c>
      <c r="D554" s="1229" t="s">
        <v>5192</v>
      </c>
      <c r="E554" s="1581">
        <v>40000</v>
      </c>
      <c r="F554" s="1585"/>
      <c r="G554" s="1585"/>
      <c r="H554" s="1585"/>
      <c r="I554" s="1585">
        <f>+E554*C554</f>
        <v>40000</v>
      </c>
    </row>
    <row r="555" spans="1:12" ht="15" customHeight="1">
      <c r="A555" s="1586" t="s">
        <v>190</v>
      </c>
      <c r="B555" s="1587">
        <f>SUM(F555:I555)</f>
        <v>1758270.473968996</v>
      </c>
      <c r="C555" s="687"/>
      <c r="D555" s="1229"/>
      <c r="E555" s="1581"/>
      <c r="F555" s="1585">
        <f>SUM(F552:F554)</f>
        <v>0</v>
      </c>
      <c r="G555" s="1585">
        <f>SUM(G552:G554)</f>
        <v>1718270.473968996</v>
      </c>
      <c r="H555" s="1585">
        <f>SUM(H552:H554)</f>
        <v>0</v>
      </c>
      <c r="I555" s="1585">
        <f>SUM(I552:I554)</f>
        <v>40000</v>
      </c>
    </row>
    <row r="556" spans="1:12" ht="15.75" customHeight="1">
      <c r="A556" s="1586" t="s">
        <v>191</v>
      </c>
      <c r="B556" s="1587">
        <f>+ROUND(B555,0)</f>
        <v>1758270</v>
      </c>
      <c r="C556" s="1228" t="s">
        <v>363</v>
      </c>
      <c r="D556" s="402"/>
      <c r="E556" s="1588"/>
      <c r="F556" s="1280"/>
      <c r="G556" s="1280"/>
      <c r="H556" s="1280"/>
      <c r="I556" s="1280"/>
    </row>
    <row r="559" spans="1:12" s="61" customFormat="1" ht="18">
      <c r="A559" s="3616" t="s">
        <v>8052</v>
      </c>
      <c r="B559" s="3617"/>
      <c r="C559" s="3617"/>
      <c r="D559" s="3617"/>
      <c r="E559" s="3617"/>
      <c r="F559" s="3617"/>
      <c r="G559" s="3617"/>
      <c r="H559" s="3617"/>
      <c r="I559" s="3618"/>
      <c r="J559" s="2894"/>
      <c r="K559" s="2894"/>
      <c r="L559" s="2894"/>
    </row>
    <row r="561" spans="1:13" s="1918" customFormat="1" ht="16.8">
      <c r="A561" s="1318"/>
      <c r="B561" s="3849" t="s">
        <v>7068</v>
      </c>
      <c r="C561" s="3849"/>
      <c r="D561" s="3849"/>
      <c r="E561" s="3849"/>
      <c r="F561" s="3849"/>
      <c r="G561" s="3849"/>
      <c r="H561" s="3849"/>
      <c r="I561" s="3849"/>
      <c r="J561" s="2901"/>
      <c r="K561" s="2901"/>
      <c r="L561" s="2901"/>
    </row>
    <row r="562" spans="1:13" s="1918" customFormat="1" ht="16.8">
      <c r="A562" s="1319"/>
      <c r="B562" s="1320"/>
      <c r="C562" s="1319" t="s">
        <v>140</v>
      </c>
      <c r="D562" s="1319" t="s">
        <v>343</v>
      </c>
      <c r="E562" s="1319" t="s">
        <v>344</v>
      </c>
      <c r="F562" s="1319" t="s">
        <v>482</v>
      </c>
      <c r="G562" s="1319" t="s">
        <v>483</v>
      </c>
      <c r="H562" s="1319" t="s">
        <v>170</v>
      </c>
      <c r="I562" s="1319" t="s">
        <v>171</v>
      </c>
      <c r="J562" s="2901"/>
      <c r="K562" s="2901"/>
      <c r="L562" s="2901"/>
    </row>
    <row r="563" spans="1:13" s="1918" customFormat="1" ht="16.8">
      <c r="A563" s="1319" t="s">
        <v>345</v>
      </c>
      <c r="B563" s="1320" t="s">
        <v>6439</v>
      </c>
      <c r="C563" s="1322">
        <v>2.25</v>
      </c>
      <c r="D563" s="1323" t="s">
        <v>346</v>
      </c>
      <c r="E563" s="1324">
        <f>+OFICI</f>
        <v>80479.625344</v>
      </c>
      <c r="F563" s="1324"/>
      <c r="G563" s="1324"/>
      <c r="H563" s="1324">
        <f>+E563*C563</f>
        <v>181079.15702400001</v>
      </c>
      <c r="I563" s="1324"/>
      <c r="J563" s="2901"/>
      <c r="K563" s="2901"/>
      <c r="L563" s="2901"/>
      <c r="M563" s="1918">
        <f>600000*0.02</f>
        <v>12000</v>
      </c>
    </row>
    <row r="564" spans="1:13" s="1918" customFormat="1" ht="16.8">
      <c r="A564" s="1319" t="s">
        <v>348</v>
      </c>
      <c r="B564" s="1320" t="s">
        <v>6579</v>
      </c>
      <c r="C564" s="1322">
        <v>2.25</v>
      </c>
      <c r="D564" s="1323" t="s">
        <v>346</v>
      </c>
      <c r="E564" s="1324">
        <f>+AYUDR</f>
        <v>50299.76584</v>
      </c>
      <c r="F564" s="1324"/>
      <c r="G564" s="1324"/>
      <c r="H564" s="1324">
        <f>+E564*C564</f>
        <v>113174.47314</v>
      </c>
      <c r="I564" s="1324"/>
      <c r="J564" s="2901"/>
      <c r="K564" s="2901"/>
      <c r="L564" s="2901"/>
    </row>
    <row r="565" spans="1:13" s="1918" customFormat="1" ht="16.8">
      <c r="A565" s="1319"/>
      <c r="B565" s="1320" t="s">
        <v>6426</v>
      </c>
      <c r="C565" s="1322">
        <v>2.25</v>
      </c>
      <c r="D565" s="1323" t="s">
        <v>346</v>
      </c>
      <c r="E565" s="1324">
        <f>+'BASE 2'!D736</f>
        <v>18500</v>
      </c>
      <c r="F565" s="1324">
        <f>+C565*E565</f>
        <v>41625</v>
      </c>
      <c r="G565" s="1324"/>
      <c r="H565" s="1324"/>
      <c r="I565" s="1324"/>
      <c r="J565" s="2901"/>
      <c r="K565" s="2901"/>
      <c r="L565" s="2901"/>
    </row>
    <row r="566" spans="1:13" s="1918" customFormat="1" ht="16.8">
      <c r="A566" s="1319" t="s">
        <v>172</v>
      </c>
      <c r="B566" s="1320" t="s">
        <v>189</v>
      </c>
      <c r="C566" s="1322">
        <v>1</v>
      </c>
      <c r="D566" s="1323" t="s">
        <v>583</v>
      </c>
      <c r="E566" s="1324">
        <f>+H567*0.05</f>
        <v>14712.681508200003</v>
      </c>
      <c r="F566" s="1324"/>
      <c r="G566" s="1324"/>
      <c r="H566" s="1324"/>
      <c r="I566" s="1324">
        <f>+E566*C566</f>
        <v>14712.681508200003</v>
      </c>
      <c r="J566" s="2901"/>
      <c r="K566" s="2901"/>
      <c r="L566" s="2901"/>
    </row>
    <row r="567" spans="1:13" s="1918" customFormat="1" ht="16.8">
      <c r="A567" s="1325" t="s">
        <v>190</v>
      </c>
      <c r="B567" s="1326">
        <f>ROUND(SUM(F567:I567),0)</f>
        <v>350591</v>
      </c>
      <c r="C567" s="1323"/>
      <c r="D567" s="1327"/>
      <c r="E567" s="1319"/>
      <c r="F567" s="1324">
        <f>SUM(F563:F566)</f>
        <v>41625</v>
      </c>
      <c r="G567" s="1324">
        <f>SUM(G563:G564)</f>
        <v>0</v>
      </c>
      <c r="H567" s="1324">
        <f>SUM(H563:H564)</f>
        <v>294253.63016400003</v>
      </c>
      <c r="I567" s="1324">
        <f>SUM(I563:I566)</f>
        <v>14712.681508200003</v>
      </c>
      <c r="J567" s="2901"/>
      <c r="K567" s="2901"/>
      <c r="L567" s="2901"/>
    </row>
    <row r="568" spans="1:13" ht="16.8">
      <c r="A568" s="1325" t="s">
        <v>191</v>
      </c>
      <c r="B568" s="1326">
        <f>+B567</f>
        <v>350591</v>
      </c>
      <c r="C568" s="1328" t="s">
        <v>133</v>
      </c>
      <c r="D568" s="1329"/>
      <c r="E568" s="1329">
        <f>+B576*0.15</f>
        <v>348301.05</v>
      </c>
      <c r="F568" s="1329"/>
      <c r="G568" s="1329"/>
      <c r="H568" s="1330"/>
      <c r="I568" s="1330"/>
    </row>
    <row r="569" spans="1:13" s="1918" customFormat="1" ht="15.75" customHeight="1">
      <c r="A569" s="492"/>
      <c r="B569" s="492"/>
      <c r="C569" s="492"/>
      <c r="D569" s="492"/>
      <c r="E569" s="492"/>
      <c r="F569" s="492"/>
      <c r="G569" s="492"/>
      <c r="H569" s="492"/>
      <c r="I569" s="492"/>
      <c r="J569" s="2901"/>
      <c r="K569" s="2901">
        <f>0.05*1</f>
        <v>0.05</v>
      </c>
      <c r="L569" s="2901"/>
    </row>
    <row r="570" spans="1:13" s="1918" customFormat="1" ht="16.8">
      <c r="A570" s="1318"/>
      <c r="B570" s="3849" t="s">
        <v>7098</v>
      </c>
      <c r="C570" s="3849"/>
      <c r="D570" s="3849"/>
      <c r="E570" s="3849"/>
      <c r="F570" s="3849"/>
      <c r="G570" s="3849"/>
      <c r="H570" s="3849"/>
      <c r="I570" s="3849"/>
      <c r="J570" s="2901"/>
      <c r="K570" s="2901"/>
      <c r="L570" s="2901"/>
    </row>
    <row r="571" spans="1:13" s="1918" customFormat="1" ht="19.5" customHeight="1">
      <c r="A571" s="1319"/>
      <c r="B571" s="1320"/>
      <c r="C571" s="1319" t="s">
        <v>140</v>
      </c>
      <c r="D571" s="1319" t="s">
        <v>343</v>
      </c>
      <c r="E571" s="1319" t="s">
        <v>344</v>
      </c>
      <c r="F571" s="1319" t="s">
        <v>482</v>
      </c>
      <c r="G571" s="1319" t="s">
        <v>483</v>
      </c>
      <c r="H571" s="1319" t="s">
        <v>170</v>
      </c>
      <c r="I571" s="1319" t="s">
        <v>171</v>
      </c>
      <c r="J571" s="2901"/>
      <c r="K571" s="2901"/>
      <c r="L571" s="2901"/>
    </row>
    <row r="572" spans="1:13" s="1918" customFormat="1" ht="31.5" customHeight="1">
      <c r="A572" s="1319"/>
      <c r="B572" s="1335" t="s">
        <v>7097</v>
      </c>
      <c r="C572" s="1336">
        <v>1</v>
      </c>
      <c r="D572" s="1337" t="s">
        <v>150</v>
      </c>
      <c r="E572" s="1338">
        <f>+'BASE 2'!D589</f>
        <v>2136407</v>
      </c>
      <c r="F572" s="1336"/>
      <c r="G572" s="1338">
        <f>+E572*C572</f>
        <v>2136407</v>
      </c>
      <c r="H572" s="1336"/>
      <c r="I572" s="1336"/>
      <c r="J572" s="2901"/>
      <c r="K572" s="2901"/>
      <c r="L572" s="2901"/>
    </row>
    <row r="573" spans="1:13" s="1918" customFormat="1" ht="16.8">
      <c r="A573" s="1319"/>
      <c r="B573" s="2148" t="s">
        <v>6457</v>
      </c>
      <c r="C573" s="1336">
        <v>1</v>
      </c>
      <c r="D573" s="1337" t="s">
        <v>150</v>
      </c>
      <c r="E573" s="1338">
        <f>+'BASE 2'!D623</f>
        <v>170000</v>
      </c>
      <c r="F573" s="1336"/>
      <c r="G573" s="1338">
        <f>+E573*C573</f>
        <v>170000</v>
      </c>
      <c r="H573" s="1336"/>
      <c r="I573" s="1336"/>
      <c r="J573" s="2901"/>
      <c r="K573" s="2901"/>
      <c r="L573" s="2901"/>
    </row>
    <row r="574" spans="1:13" s="1918" customFormat="1" ht="16.8">
      <c r="A574" s="1319"/>
      <c r="B574" s="1320" t="s">
        <v>4727</v>
      </c>
      <c r="C574" s="1919">
        <v>1.2999999999999999E-2</v>
      </c>
      <c r="D574" s="1921" t="s">
        <v>583</v>
      </c>
      <c r="E574" s="1324">
        <f>+VIAJE</f>
        <v>1200000</v>
      </c>
      <c r="F574" s="1324"/>
      <c r="G574" s="1324"/>
      <c r="H574" s="1324"/>
      <c r="I574" s="2149">
        <f>+E574*C574</f>
        <v>15600</v>
      </c>
      <c r="J574" s="2901"/>
      <c r="K574" s="2901"/>
      <c r="L574" s="2901"/>
    </row>
    <row r="575" spans="1:13" s="1918" customFormat="1" ht="16.8">
      <c r="A575" s="1325" t="s">
        <v>190</v>
      </c>
      <c r="B575" s="1326">
        <f>ROUND(SUM(F575:I575),0)</f>
        <v>2322007</v>
      </c>
      <c r="C575" s="1323"/>
      <c r="D575" s="1327"/>
      <c r="E575" s="1319"/>
      <c r="F575" s="1324">
        <f>SUM(F572:F574)</f>
        <v>0</v>
      </c>
      <c r="G575" s="1324">
        <f t="shared" ref="G575:I575" si="32">SUM(G572:G574)</f>
        <v>2306407</v>
      </c>
      <c r="H575" s="1324">
        <f t="shared" si="32"/>
        <v>0</v>
      </c>
      <c r="I575" s="2149">
        <f t="shared" si="32"/>
        <v>15600</v>
      </c>
      <c r="J575" s="2901"/>
      <c r="K575" s="2901"/>
      <c r="L575" s="2901"/>
    </row>
    <row r="576" spans="1:13" s="2747" customFormat="1" ht="16.8">
      <c r="A576" s="1325" t="s">
        <v>191</v>
      </c>
      <c r="B576" s="1326">
        <f>+B575</f>
        <v>2322007</v>
      </c>
      <c r="C576" s="1328" t="s">
        <v>133</v>
      </c>
      <c r="D576" s="1329"/>
      <c r="E576" s="1329"/>
      <c r="F576" s="1329"/>
      <c r="G576" s="1329"/>
      <c r="H576" s="1330"/>
      <c r="I576" s="1330"/>
      <c r="J576" s="2901"/>
      <c r="K576" s="2901"/>
      <c r="L576" s="2901"/>
    </row>
    <row r="578" spans="1:12" s="1918" customFormat="1" ht="16.8">
      <c r="A578" s="1318"/>
      <c r="B578" s="3849" t="s">
        <v>6674</v>
      </c>
      <c r="C578" s="3849"/>
      <c r="D578" s="3849"/>
      <c r="E578" s="3849"/>
      <c r="F578" s="3849"/>
      <c r="G578" s="3849"/>
      <c r="H578" s="3849"/>
      <c r="I578" s="3849"/>
      <c r="J578" s="2901"/>
      <c r="K578" s="2901"/>
      <c r="L578" s="2901"/>
    </row>
    <row r="579" spans="1:12" s="1918" customFormat="1" ht="16.8">
      <c r="A579" s="1319"/>
      <c r="B579" s="1320"/>
      <c r="C579" s="1319" t="s">
        <v>140</v>
      </c>
      <c r="D579" s="1319" t="s">
        <v>343</v>
      </c>
      <c r="E579" s="1319" t="s">
        <v>344</v>
      </c>
      <c r="F579" s="1319" t="s">
        <v>482</v>
      </c>
      <c r="G579" s="1319" t="s">
        <v>483</v>
      </c>
      <c r="H579" s="1319" t="s">
        <v>170</v>
      </c>
      <c r="I579" s="1319" t="s">
        <v>171</v>
      </c>
      <c r="J579" s="2901"/>
      <c r="K579" s="2901"/>
      <c r="L579" s="2901"/>
    </row>
    <row r="580" spans="1:12" s="1918" customFormat="1" ht="16.8">
      <c r="A580" s="1319" t="s">
        <v>345</v>
      </c>
      <c r="B580" s="1320" t="s">
        <v>6439</v>
      </c>
      <c r="C580" s="1322">
        <v>0.66</v>
      </c>
      <c r="D580" s="1323" t="s">
        <v>346</v>
      </c>
      <c r="E580" s="1324">
        <f>+OFICI</f>
        <v>80479.625344</v>
      </c>
      <c r="F580" s="1324"/>
      <c r="G580" s="1324"/>
      <c r="H580" s="1324">
        <f>+E580*C580</f>
        <v>53116.552727040005</v>
      </c>
      <c r="I580" s="1324"/>
      <c r="J580" s="2901"/>
      <c r="K580" s="2901"/>
      <c r="L580" s="2901"/>
    </row>
    <row r="581" spans="1:12" s="1918" customFormat="1" ht="16.8">
      <c r="A581" s="1319" t="s">
        <v>348</v>
      </c>
      <c r="B581" s="1320" t="s">
        <v>6579</v>
      </c>
      <c r="C581" s="1322">
        <v>0.66</v>
      </c>
      <c r="D581" s="1323" t="s">
        <v>346</v>
      </c>
      <c r="E581" s="1324">
        <f>+AYUDR</f>
        <v>50299.76584</v>
      </c>
      <c r="F581" s="1324"/>
      <c r="G581" s="1324"/>
      <c r="H581" s="1324">
        <f>+E581*C581</f>
        <v>33197.845454400005</v>
      </c>
      <c r="I581" s="1324"/>
      <c r="J581" s="2901"/>
      <c r="K581" s="2901"/>
      <c r="L581" s="2901"/>
    </row>
    <row r="582" spans="1:12" s="1918" customFormat="1" ht="16.8">
      <c r="A582" s="1319" t="s">
        <v>172</v>
      </c>
      <c r="B582" s="1320" t="s">
        <v>189</v>
      </c>
      <c r="C582" s="1322">
        <v>1</v>
      </c>
      <c r="D582" s="1323" t="s">
        <v>583</v>
      </c>
      <c r="E582" s="1324">
        <f>+H583*0.05</f>
        <v>4315.7199090720014</v>
      </c>
      <c r="F582" s="1324"/>
      <c r="G582" s="1324"/>
      <c r="H582" s="1324"/>
      <c r="I582" s="1324">
        <f>+E582*C582</f>
        <v>4315.7199090720014</v>
      </c>
      <c r="J582" s="2901"/>
      <c r="K582" s="2901"/>
      <c r="L582" s="2901"/>
    </row>
    <row r="583" spans="1:12" s="1918" customFormat="1" ht="16.8">
      <c r="A583" s="1325" t="s">
        <v>190</v>
      </c>
      <c r="B583" s="1326">
        <f>ROUND(SUM(F583:I583),0)</f>
        <v>90630</v>
      </c>
      <c r="C583" s="1323"/>
      <c r="D583" s="1327"/>
      <c r="E583" s="1319"/>
      <c r="F583" s="1324">
        <f>SUM(F580:F582)</f>
        <v>0</v>
      </c>
      <c r="G583" s="1324">
        <f>SUM(G580:G581)</f>
        <v>0</v>
      </c>
      <c r="H583" s="1324">
        <f>SUM(H580:H581)</f>
        <v>86314.398181440018</v>
      </c>
      <c r="I583" s="1324">
        <f>SUM(I580:I582)</f>
        <v>4315.7199090720014</v>
      </c>
      <c r="J583" s="2901"/>
      <c r="K583" s="2901"/>
      <c r="L583" s="2901"/>
    </row>
    <row r="584" spans="1:12" ht="16.8">
      <c r="A584" s="1325" t="s">
        <v>191</v>
      </c>
      <c r="B584" s="1326">
        <f>+B583</f>
        <v>90630</v>
      </c>
      <c r="C584" s="1328" t="s">
        <v>133</v>
      </c>
      <c r="D584" s="1329"/>
      <c r="E584" s="1329">
        <f>+B592*0.15</f>
        <v>90915</v>
      </c>
      <c r="F584" s="1329"/>
      <c r="G584" s="1329"/>
      <c r="H584" s="1330"/>
      <c r="I584" s="1330"/>
    </row>
    <row r="585" spans="1:12" s="1918" customFormat="1" ht="15.75" customHeight="1">
      <c r="A585" s="492"/>
      <c r="B585" s="492"/>
      <c r="C585" s="492"/>
      <c r="D585" s="492"/>
      <c r="E585" s="492"/>
      <c r="F585" s="492"/>
      <c r="G585" s="492"/>
      <c r="H585" s="492"/>
      <c r="I585" s="492"/>
      <c r="J585" s="2901"/>
      <c r="K585" s="2901">
        <f>0.05*1</f>
        <v>0.05</v>
      </c>
      <c r="L585" s="2901"/>
    </row>
    <row r="586" spans="1:12" s="1918" customFormat="1" ht="16.8">
      <c r="A586" s="1318"/>
      <c r="B586" s="3849" t="s">
        <v>6673</v>
      </c>
      <c r="C586" s="3849"/>
      <c r="D586" s="3849"/>
      <c r="E586" s="3849"/>
      <c r="F586" s="3849"/>
      <c r="G586" s="3849"/>
      <c r="H586" s="3849"/>
      <c r="I586" s="3849"/>
      <c r="J586" s="2901"/>
      <c r="K586" s="2901"/>
      <c r="L586" s="2901"/>
    </row>
    <row r="587" spans="1:12" s="1918" customFormat="1" ht="17.25" customHeight="1">
      <c r="A587" s="1319"/>
      <c r="B587" s="1320"/>
      <c r="C587" s="1319" t="s">
        <v>140</v>
      </c>
      <c r="D587" s="1319" t="s">
        <v>343</v>
      </c>
      <c r="E587" s="1319" t="s">
        <v>344</v>
      </c>
      <c r="F587" s="1319" t="s">
        <v>482</v>
      </c>
      <c r="G587" s="1319" t="s">
        <v>483</v>
      </c>
      <c r="H587" s="1319" t="s">
        <v>170</v>
      </c>
      <c r="I587" s="1319" t="s">
        <v>171</v>
      </c>
      <c r="J587" s="2901"/>
      <c r="K587" s="2901"/>
      <c r="L587" s="2901"/>
    </row>
    <row r="588" spans="1:12" s="1918" customFormat="1" ht="22.5" customHeight="1">
      <c r="A588" s="1319"/>
      <c r="B588" s="2148" t="s">
        <v>4818</v>
      </c>
      <c r="C588" s="1336">
        <v>1</v>
      </c>
      <c r="D588" s="1337" t="s">
        <v>150</v>
      </c>
      <c r="E588" s="1338">
        <f>+'BASE 2'!D647</f>
        <v>511700</v>
      </c>
      <c r="F588" s="1336"/>
      <c r="G588" s="1338">
        <f>+E588*C588</f>
        <v>511700</v>
      </c>
      <c r="H588" s="1336"/>
      <c r="I588" s="1336"/>
      <c r="J588" s="2901"/>
      <c r="K588" s="2901"/>
      <c r="L588" s="2901"/>
    </row>
    <row r="589" spans="1:12" s="1918" customFormat="1" ht="16.8">
      <c r="A589" s="1319"/>
      <c r="B589" s="2148" t="s">
        <v>6448</v>
      </c>
      <c r="C589" s="1336">
        <v>1</v>
      </c>
      <c r="D589" s="1337" t="s">
        <v>150</v>
      </c>
      <c r="E589" s="1338">
        <f>+'BASE 2'!D626</f>
        <v>80000</v>
      </c>
      <c r="F589" s="1336"/>
      <c r="G589" s="1338">
        <f>+E589*C589</f>
        <v>80000</v>
      </c>
      <c r="H589" s="1336"/>
      <c r="I589" s="1336"/>
      <c r="J589" s="2901"/>
      <c r="K589" s="2901"/>
      <c r="L589" s="2901"/>
    </row>
    <row r="590" spans="1:12" s="1918" customFormat="1" ht="16.8">
      <c r="A590" s="1319"/>
      <c r="B590" s="1320" t="s">
        <v>4727</v>
      </c>
      <c r="C590" s="1919">
        <v>1.2E-2</v>
      </c>
      <c r="D590" s="1921" t="s">
        <v>583</v>
      </c>
      <c r="E590" s="1324">
        <f>+VIAJE</f>
        <v>1200000</v>
      </c>
      <c r="F590" s="1324"/>
      <c r="G590" s="1324"/>
      <c r="H590" s="1324"/>
      <c r="I590" s="2149">
        <f>+E590*C590</f>
        <v>14400</v>
      </c>
      <c r="J590" s="2901"/>
      <c r="K590" s="2901"/>
      <c r="L590" s="2901"/>
    </row>
    <row r="591" spans="1:12" s="1918" customFormat="1" ht="16.8">
      <c r="A591" s="1325" t="s">
        <v>190</v>
      </c>
      <c r="B591" s="1326">
        <f>ROUND(SUM(F591:I591),0)</f>
        <v>606100</v>
      </c>
      <c r="C591" s="1323"/>
      <c r="D591" s="1327"/>
      <c r="E591" s="1319"/>
      <c r="F591" s="1324">
        <f>SUM(F588:F590)</f>
        <v>0</v>
      </c>
      <c r="G591" s="1324">
        <f t="shared" ref="G591:I591" si="33">SUM(G588:G590)</f>
        <v>591700</v>
      </c>
      <c r="H591" s="1324">
        <f t="shared" si="33"/>
        <v>0</v>
      </c>
      <c r="I591" s="2149">
        <f t="shared" si="33"/>
        <v>14400</v>
      </c>
      <c r="J591" s="2901"/>
      <c r="K591" s="2901"/>
      <c r="L591" s="2901"/>
    </row>
    <row r="592" spans="1:12" s="2747" customFormat="1" ht="16.8">
      <c r="A592" s="1325" t="s">
        <v>191</v>
      </c>
      <c r="B592" s="1326">
        <f>+B591</f>
        <v>606100</v>
      </c>
      <c r="C592" s="1328" t="s">
        <v>133</v>
      </c>
      <c r="D592" s="1329"/>
      <c r="E592" s="1329"/>
      <c r="F592" s="1329"/>
      <c r="G592" s="1329"/>
      <c r="H592" s="1330"/>
      <c r="I592" s="1330"/>
      <c r="J592" s="2901"/>
      <c r="K592" s="2901"/>
      <c r="L592" s="2901"/>
    </row>
    <row r="594" spans="1:12" s="1918" customFormat="1" ht="16.8">
      <c r="A594" s="1318"/>
      <c r="B594" s="3849" t="s">
        <v>6971</v>
      </c>
      <c r="C594" s="3849"/>
      <c r="D594" s="3849"/>
      <c r="E594" s="3849"/>
      <c r="F594" s="3849"/>
      <c r="G594" s="3849"/>
      <c r="H594" s="3849"/>
      <c r="I594" s="3849"/>
      <c r="J594" s="2901"/>
      <c r="K594" s="2901"/>
      <c r="L594" s="2901"/>
    </row>
    <row r="595" spans="1:12" s="1918" customFormat="1" ht="16.8">
      <c r="A595" s="1319"/>
      <c r="B595" s="1320"/>
      <c r="C595" s="1319" t="s">
        <v>140</v>
      </c>
      <c r="D595" s="1319" t="s">
        <v>343</v>
      </c>
      <c r="E595" s="1319" t="s">
        <v>344</v>
      </c>
      <c r="F595" s="1319" t="s">
        <v>482</v>
      </c>
      <c r="G595" s="1319" t="s">
        <v>483</v>
      </c>
      <c r="H595" s="1319" t="s">
        <v>170</v>
      </c>
      <c r="I595" s="1319" t="s">
        <v>171</v>
      </c>
      <c r="J595" s="2901"/>
      <c r="K595" s="2901"/>
      <c r="L595" s="2901"/>
    </row>
    <row r="596" spans="1:12" s="1918" customFormat="1" ht="16.8">
      <c r="A596" s="1319" t="s">
        <v>345</v>
      </c>
      <c r="B596" s="1320" t="s">
        <v>6439</v>
      </c>
      <c r="C596" s="1322">
        <v>7.1</v>
      </c>
      <c r="D596" s="1323" t="s">
        <v>346</v>
      </c>
      <c r="E596" s="1324">
        <f>+OFICI</f>
        <v>80479.625344</v>
      </c>
      <c r="F596" s="1324"/>
      <c r="G596" s="1324"/>
      <c r="H596" s="1324">
        <f>+E596*C596</f>
        <v>571405.33994239999</v>
      </c>
      <c r="I596" s="1324"/>
      <c r="J596" s="2901"/>
      <c r="K596" s="2901"/>
      <c r="L596" s="2901"/>
    </row>
    <row r="597" spans="1:12" s="1918" customFormat="1" ht="16.8">
      <c r="A597" s="1319" t="s">
        <v>348</v>
      </c>
      <c r="B597" s="1320" t="s">
        <v>266</v>
      </c>
      <c r="C597" s="1322">
        <v>7.1</v>
      </c>
      <c r="D597" s="1323" t="s">
        <v>346</v>
      </c>
      <c r="E597" s="1324">
        <f>+AYUDA</f>
        <v>65389.695592000004</v>
      </c>
      <c r="F597" s="1324"/>
      <c r="G597" s="1324"/>
      <c r="H597" s="1324">
        <f>+E597*C597</f>
        <v>464266.83870319999</v>
      </c>
      <c r="I597" s="1324"/>
      <c r="J597" s="2901"/>
      <c r="K597" s="2901"/>
      <c r="L597" s="2901"/>
    </row>
    <row r="598" spans="1:12" s="1918" customFormat="1" ht="16.8">
      <c r="A598" s="1319" t="s">
        <v>172</v>
      </c>
      <c r="B598" s="1320" t="s">
        <v>189</v>
      </c>
      <c r="C598" s="1322">
        <v>1</v>
      </c>
      <c r="D598" s="1323" t="s">
        <v>583</v>
      </c>
      <c r="E598" s="1324">
        <f>+H599*0.05</f>
        <v>51783.608932280004</v>
      </c>
      <c r="F598" s="1324"/>
      <c r="G598" s="1324"/>
      <c r="H598" s="1324"/>
      <c r="I598" s="1324">
        <f>+E598*C598</f>
        <v>51783.608932280004</v>
      </c>
      <c r="J598" s="2901"/>
      <c r="K598" s="2901"/>
      <c r="L598" s="2901"/>
    </row>
    <row r="599" spans="1:12" s="1918" customFormat="1" ht="16.8">
      <c r="A599" s="1325" t="s">
        <v>190</v>
      </c>
      <c r="B599" s="1326">
        <f>ROUND(SUM(F599:I599),0)</f>
        <v>1087456</v>
      </c>
      <c r="C599" s="1323"/>
      <c r="D599" s="1327"/>
      <c r="E599" s="1319"/>
      <c r="F599" s="1324">
        <f>SUM(F596:F598)</f>
        <v>0</v>
      </c>
      <c r="G599" s="1324">
        <f>SUM(G596:G597)</f>
        <v>0</v>
      </c>
      <c r="H599" s="1324">
        <f>SUM(H596:H597)</f>
        <v>1035672.1786456</v>
      </c>
      <c r="I599" s="1324">
        <f>SUM(I596:I598)</f>
        <v>51783.608932280004</v>
      </c>
      <c r="J599" s="2901"/>
      <c r="K599" s="2901"/>
      <c r="L599" s="2901"/>
    </row>
    <row r="600" spans="1:12" ht="16.8">
      <c r="A600" s="1325" t="s">
        <v>191</v>
      </c>
      <c r="B600" s="1326">
        <f>+B599</f>
        <v>1087456</v>
      </c>
      <c r="C600" s="1328" t="s">
        <v>133</v>
      </c>
      <c r="D600" s="1329"/>
      <c r="E600" s="1329">
        <f>+B607*0.15</f>
        <v>1069416</v>
      </c>
      <c r="F600" s="1329"/>
      <c r="G600" s="1329"/>
      <c r="H600" s="1330"/>
      <c r="I600" s="1330"/>
    </row>
    <row r="601" spans="1:12" s="1918" customFormat="1" ht="14.4">
      <c r="A601" s="492"/>
      <c r="B601" s="492"/>
      <c r="C601" s="492"/>
      <c r="D601" s="492"/>
      <c r="E601" s="492"/>
      <c r="F601" s="492"/>
      <c r="G601" s="492"/>
      <c r="H601" s="492"/>
      <c r="I601" s="492"/>
      <c r="J601" s="2901"/>
      <c r="K601" s="2901">
        <f>0.05*1</f>
        <v>0.05</v>
      </c>
      <c r="L601" s="2901"/>
    </row>
    <row r="602" spans="1:12" s="1918" customFormat="1" ht="16.8">
      <c r="A602" s="1318"/>
      <c r="B602" s="3849" t="s">
        <v>6970</v>
      </c>
      <c r="C602" s="3849"/>
      <c r="D602" s="3849"/>
      <c r="E602" s="3849"/>
      <c r="F602" s="3849"/>
      <c r="G602" s="3849"/>
      <c r="H602" s="3849"/>
      <c r="I602" s="3849"/>
      <c r="J602" s="2901"/>
      <c r="K602" s="2901"/>
      <c r="L602" s="2901"/>
    </row>
    <row r="603" spans="1:12" s="1918" customFormat="1" ht="18" customHeight="1">
      <c r="A603" s="1319"/>
      <c r="B603" s="1320"/>
      <c r="C603" s="1319" t="s">
        <v>140</v>
      </c>
      <c r="D603" s="1319" t="s">
        <v>343</v>
      </c>
      <c r="E603" s="1319" t="s">
        <v>344</v>
      </c>
      <c r="F603" s="1319" t="s">
        <v>482</v>
      </c>
      <c r="G603" s="1319" t="s">
        <v>483</v>
      </c>
      <c r="H603" s="1319" t="s">
        <v>170</v>
      </c>
      <c r="I603" s="1319" t="s">
        <v>171</v>
      </c>
      <c r="J603" s="2901"/>
      <c r="K603" s="2901"/>
      <c r="L603" s="2901"/>
    </row>
    <row r="604" spans="1:12" s="1918" customFormat="1" ht="50.4">
      <c r="A604" s="1319"/>
      <c r="B604" s="1335" t="s">
        <v>4819</v>
      </c>
      <c r="C604" s="1336">
        <v>1</v>
      </c>
      <c r="D604" s="1337" t="s">
        <v>150</v>
      </c>
      <c r="E604" s="1338">
        <f>+'BASE 2'!D509</f>
        <v>7111440</v>
      </c>
      <c r="F604" s="1336"/>
      <c r="G604" s="1338">
        <f>+E604*C604</f>
        <v>7111440</v>
      </c>
      <c r="H604" s="1336"/>
      <c r="I604" s="1336"/>
      <c r="J604" s="2901"/>
      <c r="K604" s="2901"/>
      <c r="L604" s="2901"/>
    </row>
    <row r="605" spans="1:12" s="1918" customFormat="1" ht="16.8">
      <c r="A605" s="1319"/>
      <c r="B605" s="1320" t="s">
        <v>4727</v>
      </c>
      <c r="C605" s="1919">
        <v>1.4999999999999999E-2</v>
      </c>
      <c r="D605" s="1921" t="s">
        <v>583</v>
      </c>
      <c r="E605" s="1324">
        <f>+VIAJE</f>
        <v>1200000</v>
      </c>
      <c r="F605" s="1324"/>
      <c r="G605" s="1324"/>
      <c r="H605" s="1324"/>
      <c r="I605" s="2149">
        <f>+E605*C605</f>
        <v>18000</v>
      </c>
      <c r="J605" s="2901"/>
      <c r="K605" s="2901"/>
      <c r="L605" s="2901"/>
    </row>
    <row r="606" spans="1:12" s="1918" customFormat="1" ht="16.8">
      <c r="A606" s="1325" t="s">
        <v>190</v>
      </c>
      <c r="B606" s="1326">
        <f>ROUND(SUM(F606:I606),0)</f>
        <v>7129440</v>
      </c>
      <c r="C606" s="1323"/>
      <c r="D606" s="1327"/>
      <c r="E606" s="1319"/>
      <c r="F606" s="1324">
        <f>SUM(F604:F605)</f>
        <v>0</v>
      </c>
      <c r="G606" s="1324">
        <f t="shared" ref="G606:I606" si="34">SUM(G604:G605)</f>
        <v>7111440</v>
      </c>
      <c r="H606" s="1324">
        <f t="shared" si="34"/>
        <v>0</v>
      </c>
      <c r="I606" s="2149">
        <f t="shared" si="34"/>
        <v>18000</v>
      </c>
      <c r="J606" s="2901"/>
      <c r="K606" s="2901"/>
      <c r="L606" s="2901"/>
    </row>
    <row r="607" spans="1:12" s="2747" customFormat="1" ht="16.8">
      <c r="A607" s="1325" t="s">
        <v>191</v>
      </c>
      <c r="B607" s="1326">
        <f>+B606</f>
        <v>7129440</v>
      </c>
      <c r="C607" s="1328" t="s">
        <v>133</v>
      </c>
      <c r="D607" s="1329"/>
      <c r="E607" s="1329"/>
      <c r="F607" s="1329"/>
      <c r="G607" s="1329"/>
      <c r="H607" s="1330"/>
      <c r="I607" s="1330"/>
      <c r="J607" s="2901"/>
      <c r="K607" s="2901"/>
      <c r="L607" s="2901"/>
    </row>
    <row r="609" spans="1:12" s="1918" customFormat="1" ht="16.8">
      <c r="A609" s="1318"/>
      <c r="B609" s="3849" t="s">
        <v>4775</v>
      </c>
      <c r="C609" s="3849"/>
      <c r="D609" s="3849"/>
      <c r="E609" s="3849"/>
      <c r="F609" s="3849"/>
      <c r="G609" s="3849"/>
      <c r="H609" s="3849"/>
      <c r="I609" s="3849"/>
      <c r="J609" s="2901"/>
      <c r="K609" s="2901"/>
      <c r="L609" s="2901"/>
    </row>
    <row r="610" spans="1:12" s="1918" customFormat="1" ht="16.8">
      <c r="A610" s="1319"/>
      <c r="B610" s="1320"/>
      <c r="C610" s="1319" t="s">
        <v>140</v>
      </c>
      <c r="D610" s="1319" t="s">
        <v>343</v>
      </c>
      <c r="E610" s="1319" t="s">
        <v>344</v>
      </c>
      <c r="F610" s="1319" t="s">
        <v>482</v>
      </c>
      <c r="G610" s="1319" t="s">
        <v>483</v>
      </c>
      <c r="H610" s="1319" t="s">
        <v>170</v>
      </c>
      <c r="I610" s="1319" t="s">
        <v>171</v>
      </c>
      <c r="J610" s="2901"/>
      <c r="K610" s="2901"/>
      <c r="L610" s="2901"/>
    </row>
    <row r="611" spans="1:12" s="1918" customFormat="1" ht="16.8">
      <c r="A611" s="1319" t="s">
        <v>345</v>
      </c>
      <c r="B611" s="1320" t="s">
        <v>6439</v>
      </c>
      <c r="C611" s="1322">
        <v>12.5</v>
      </c>
      <c r="D611" s="1323" t="s">
        <v>346</v>
      </c>
      <c r="E611" s="1324">
        <f>+OFICI</f>
        <v>80479.625344</v>
      </c>
      <c r="F611" s="1324"/>
      <c r="G611" s="1324"/>
      <c r="H611" s="1324">
        <f>+E611*C611</f>
        <v>1005995.3168</v>
      </c>
      <c r="I611" s="1324"/>
      <c r="J611" s="2901"/>
      <c r="K611" s="2901"/>
      <c r="L611" s="2901"/>
    </row>
    <row r="612" spans="1:12" s="1918" customFormat="1" ht="16.8">
      <c r="A612" s="1319" t="s">
        <v>348</v>
      </c>
      <c r="B612" s="1320" t="s">
        <v>266</v>
      </c>
      <c r="C612" s="1322">
        <v>12.5</v>
      </c>
      <c r="D612" s="1323" t="s">
        <v>346</v>
      </c>
      <c r="E612" s="1324">
        <f>+AYUDA</f>
        <v>65389.695592000004</v>
      </c>
      <c r="F612" s="1324"/>
      <c r="G612" s="1324"/>
      <c r="H612" s="1324">
        <f>+E612*C612</f>
        <v>817371.1949</v>
      </c>
      <c r="I612" s="1324"/>
      <c r="J612" s="2901"/>
      <c r="K612" s="2901"/>
      <c r="L612" s="2901"/>
    </row>
    <row r="613" spans="1:12" s="1918" customFormat="1" ht="16.8">
      <c r="A613" s="1319" t="s">
        <v>172</v>
      </c>
      <c r="B613" s="1320" t="s">
        <v>189</v>
      </c>
      <c r="C613" s="1322">
        <v>1</v>
      </c>
      <c r="D613" s="1323" t="s">
        <v>583</v>
      </c>
      <c r="E613" s="1324">
        <f>+H614*0.05</f>
        <v>91168.325585000013</v>
      </c>
      <c r="F613" s="1324"/>
      <c r="G613" s="1324"/>
      <c r="H613" s="1324"/>
      <c r="I613" s="1324">
        <f>+E613*C613</f>
        <v>91168.325585000013</v>
      </c>
      <c r="J613" s="2901"/>
      <c r="K613" s="2901"/>
      <c r="L613" s="2901"/>
    </row>
    <row r="614" spans="1:12" s="1918" customFormat="1" ht="16.8">
      <c r="A614" s="1325" t="s">
        <v>190</v>
      </c>
      <c r="B614" s="1326">
        <f>ROUND(SUM(F614:I614),0)</f>
        <v>1914535</v>
      </c>
      <c r="C614" s="1323"/>
      <c r="D614" s="1327"/>
      <c r="E614" s="1319"/>
      <c r="F614" s="1324">
        <f>SUM(F611:F613)</f>
        <v>0</v>
      </c>
      <c r="G614" s="1324">
        <f>SUM(G611:G612)</f>
        <v>0</v>
      </c>
      <c r="H614" s="1324">
        <f>SUM(H611:H612)</f>
        <v>1823366.5117000001</v>
      </c>
      <c r="I614" s="1324">
        <f>SUM(I611:I613)</f>
        <v>91168.325585000013</v>
      </c>
      <c r="J614" s="2901"/>
      <c r="K614" s="2901"/>
      <c r="L614" s="2901"/>
    </row>
    <row r="615" spans="1:12" ht="16.8">
      <c r="A615" s="1325" t="s">
        <v>191</v>
      </c>
      <c r="B615" s="1326">
        <f>+B614</f>
        <v>1914535</v>
      </c>
      <c r="C615" s="1328" t="s">
        <v>133</v>
      </c>
      <c r="D615" s="1329"/>
      <c r="E615" s="1329">
        <f>+B622*0.15</f>
        <v>1908645.2999999998</v>
      </c>
      <c r="F615" s="1329"/>
      <c r="G615" s="1329"/>
      <c r="H615" s="1330"/>
      <c r="I615" s="1330"/>
    </row>
    <row r="616" spans="1:12" s="1918" customFormat="1" ht="19.5" customHeight="1">
      <c r="A616" s="492"/>
      <c r="B616" s="492"/>
      <c r="C616" s="492"/>
      <c r="D616" s="492"/>
      <c r="E616" s="492"/>
      <c r="F616" s="492"/>
      <c r="G616" s="492"/>
      <c r="H616" s="492"/>
      <c r="I616" s="492"/>
      <c r="J616" s="2901"/>
      <c r="K616" s="2901">
        <f>0.05*1</f>
        <v>0.05</v>
      </c>
      <c r="L616" s="2901"/>
    </row>
    <row r="617" spans="1:12" s="1918" customFormat="1" ht="16.8">
      <c r="A617" s="1318"/>
      <c r="B617" s="3849" t="s">
        <v>4820</v>
      </c>
      <c r="C617" s="3849"/>
      <c r="D617" s="3849"/>
      <c r="E617" s="3849"/>
      <c r="F617" s="3849"/>
      <c r="G617" s="3849"/>
      <c r="H617" s="3849"/>
      <c r="I617" s="3849"/>
      <c r="J617" s="2901"/>
      <c r="K617" s="2901"/>
      <c r="L617" s="2901"/>
    </row>
    <row r="618" spans="1:12" s="1918" customFormat="1" ht="27" customHeight="1">
      <c r="A618" s="1319"/>
      <c r="B618" s="1320"/>
      <c r="C618" s="1319" t="s">
        <v>140</v>
      </c>
      <c r="D618" s="1319" t="s">
        <v>343</v>
      </c>
      <c r="E618" s="1319" t="s">
        <v>344</v>
      </c>
      <c r="F618" s="1319" t="s">
        <v>482</v>
      </c>
      <c r="G618" s="1319" t="s">
        <v>483</v>
      </c>
      <c r="H618" s="1319" t="s">
        <v>170</v>
      </c>
      <c r="I618" s="1319" t="s">
        <v>171</v>
      </c>
      <c r="J618" s="2901"/>
      <c r="K618" s="2901"/>
      <c r="L618" s="2901"/>
    </row>
    <row r="619" spans="1:12" s="1918" customFormat="1" ht="50.4">
      <c r="A619" s="1319"/>
      <c r="B619" s="1335" t="s">
        <v>4821</v>
      </c>
      <c r="C619" s="1336">
        <v>1</v>
      </c>
      <c r="D619" s="1337" t="s">
        <v>150</v>
      </c>
      <c r="E619" s="1338">
        <f>+'BASE 2'!D511</f>
        <v>12703902.119999999</v>
      </c>
      <c r="F619" s="1336"/>
      <c r="G619" s="1338">
        <f>+E619*C619</f>
        <v>12703902.119999999</v>
      </c>
      <c r="H619" s="1336"/>
      <c r="I619" s="1336"/>
      <c r="J619" s="2901"/>
      <c r="K619" s="2901"/>
      <c r="L619" s="2901"/>
    </row>
    <row r="620" spans="1:12" s="1918" customFormat="1" ht="16.8">
      <c r="A620" s="1319"/>
      <c r="B620" s="1320" t="s">
        <v>4727</v>
      </c>
      <c r="C620" s="1919">
        <v>1.7000000000000001E-2</v>
      </c>
      <c r="D620" s="1921" t="s">
        <v>583</v>
      </c>
      <c r="E620" s="1324">
        <f>+VIAJE</f>
        <v>1200000</v>
      </c>
      <c r="F620" s="1324"/>
      <c r="G620" s="1324"/>
      <c r="H620" s="1324"/>
      <c r="I620" s="2149">
        <f>+E620*C620</f>
        <v>20400</v>
      </c>
      <c r="J620" s="2901"/>
      <c r="K620" s="2901"/>
      <c r="L620" s="2901"/>
    </row>
    <row r="621" spans="1:12" s="1918" customFormat="1" ht="16.8">
      <c r="A621" s="1325" t="s">
        <v>190</v>
      </c>
      <c r="B621" s="1326">
        <f>ROUND(SUM(F621:I621),0)</f>
        <v>12724302</v>
      </c>
      <c r="C621" s="1323"/>
      <c r="D621" s="1327"/>
      <c r="E621" s="1319"/>
      <c r="F621" s="1324">
        <f>SUM(F619:F620)</f>
        <v>0</v>
      </c>
      <c r="G621" s="1324">
        <f t="shared" ref="G621:I621" si="35">SUM(G619:G620)</f>
        <v>12703902.119999999</v>
      </c>
      <c r="H621" s="1324">
        <f t="shared" si="35"/>
        <v>0</v>
      </c>
      <c r="I621" s="2149">
        <f t="shared" si="35"/>
        <v>20400</v>
      </c>
      <c r="J621" s="2901"/>
      <c r="K621" s="2901"/>
      <c r="L621" s="2901"/>
    </row>
    <row r="622" spans="1:12" s="2747" customFormat="1" ht="16.8">
      <c r="A622" s="1325" t="s">
        <v>191</v>
      </c>
      <c r="B622" s="1326">
        <f>+B621</f>
        <v>12724302</v>
      </c>
      <c r="C622" s="1328" t="s">
        <v>133</v>
      </c>
      <c r="D622" s="1329"/>
      <c r="E622" s="1329"/>
      <c r="F622" s="1329"/>
      <c r="G622" s="1329"/>
      <c r="H622" s="1330"/>
      <c r="I622" s="1330"/>
      <c r="J622" s="2901"/>
      <c r="K622" s="2901"/>
      <c r="L622" s="2901"/>
    </row>
    <row r="624" spans="1:12" s="1918" customFormat="1" ht="16.8">
      <c r="A624" s="1318"/>
      <c r="B624" s="3849" t="s">
        <v>6974</v>
      </c>
      <c r="C624" s="3849"/>
      <c r="D624" s="3849"/>
      <c r="E624" s="3849"/>
      <c r="F624" s="3849"/>
      <c r="G624" s="3849"/>
      <c r="H624" s="3849"/>
      <c r="I624" s="3849"/>
      <c r="J624" s="2901"/>
      <c r="K624" s="2901"/>
      <c r="L624" s="2901"/>
    </row>
    <row r="625" spans="1:12" s="1918" customFormat="1" ht="16.8">
      <c r="A625" s="1319"/>
      <c r="B625" s="1320"/>
      <c r="C625" s="1319" t="s">
        <v>140</v>
      </c>
      <c r="D625" s="1319" t="s">
        <v>343</v>
      </c>
      <c r="E625" s="1319" t="s">
        <v>344</v>
      </c>
      <c r="F625" s="1319" t="s">
        <v>482</v>
      </c>
      <c r="G625" s="1319" t="s">
        <v>483</v>
      </c>
      <c r="H625" s="1319" t="s">
        <v>170</v>
      </c>
      <c r="I625" s="1319" t="s">
        <v>171</v>
      </c>
      <c r="J625" s="2901"/>
      <c r="K625" s="2901"/>
      <c r="L625" s="2901"/>
    </row>
    <row r="626" spans="1:12" s="1918" customFormat="1" ht="16.8">
      <c r="A626" s="1319" t="s">
        <v>345</v>
      </c>
      <c r="B626" s="1320" t="s">
        <v>6439</v>
      </c>
      <c r="C626" s="1322">
        <v>7.1</v>
      </c>
      <c r="D626" s="1323" t="s">
        <v>346</v>
      </c>
      <c r="E626" s="1324">
        <f>+OFICI</f>
        <v>80479.625344</v>
      </c>
      <c r="F626" s="1324"/>
      <c r="G626" s="1324"/>
      <c r="H626" s="1324">
        <f>+E626*C626</f>
        <v>571405.33994239999</v>
      </c>
      <c r="I626" s="1324"/>
      <c r="J626" s="2901"/>
      <c r="K626" s="2901"/>
      <c r="L626" s="2901"/>
    </row>
    <row r="627" spans="1:12" s="1918" customFormat="1" ht="16.8">
      <c r="A627" s="1319" t="s">
        <v>348</v>
      </c>
      <c r="B627" s="1320" t="s">
        <v>266</v>
      </c>
      <c r="C627" s="1322">
        <v>7.1</v>
      </c>
      <c r="D627" s="1323" t="s">
        <v>346</v>
      </c>
      <c r="E627" s="1324">
        <f>AYUDA</f>
        <v>65389.695592000004</v>
      </c>
      <c r="F627" s="1324"/>
      <c r="G627" s="1324"/>
      <c r="H627" s="1324">
        <f>+E627*C627</f>
        <v>464266.83870319999</v>
      </c>
      <c r="I627" s="1324"/>
      <c r="J627" s="2901"/>
      <c r="K627" s="2901"/>
      <c r="L627" s="2901"/>
    </row>
    <row r="628" spans="1:12" s="1918" customFormat="1" ht="16.8">
      <c r="A628" s="1319" t="s">
        <v>172</v>
      </c>
      <c r="B628" s="1320" t="s">
        <v>189</v>
      </c>
      <c r="C628" s="1322">
        <v>1</v>
      </c>
      <c r="D628" s="1323" t="s">
        <v>583</v>
      </c>
      <c r="E628" s="1324">
        <f>+H629*0.05</f>
        <v>51783.608932280004</v>
      </c>
      <c r="F628" s="1324"/>
      <c r="G628" s="1324"/>
      <c r="H628" s="1324"/>
      <c r="I628" s="1324">
        <f>+E628*C628</f>
        <v>51783.608932280004</v>
      </c>
      <c r="J628" s="2901"/>
      <c r="K628" s="2901"/>
      <c r="L628" s="2901"/>
    </row>
    <row r="629" spans="1:12" s="1918" customFormat="1" ht="16.8">
      <c r="A629" s="1325" t="s">
        <v>190</v>
      </c>
      <c r="B629" s="1326">
        <f>ROUND(SUM(F629:I629),0)</f>
        <v>1087456</v>
      </c>
      <c r="C629" s="1323"/>
      <c r="D629" s="1327"/>
      <c r="E629" s="1319"/>
      <c r="F629" s="1324">
        <f>SUM(F626:F628)</f>
        <v>0</v>
      </c>
      <c r="G629" s="1324">
        <f>SUM(G626:G627)</f>
        <v>0</v>
      </c>
      <c r="H629" s="1324">
        <f>SUM(H626:H627)</f>
        <v>1035672.1786456</v>
      </c>
      <c r="I629" s="1324">
        <f>SUM(I626:I628)</f>
        <v>51783.608932280004</v>
      </c>
      <c r="J629" s="2901"/>
      <c r="K629" s="2901"/>
      <c r="L629" s="2901"/>
    </row>
    <row r="630" spans="1:12" ht="16.8">
      <c r="A630" s="1325" t="s">
        <v>191</v>
      </c>
      <c r="B630" s="1326">
        <f>+B629</f>
        <v>1087456</v>
      </c>
      <c r="C630" s="1328" t="s">
        <v>133</v>
      </c>
      <c r="D630" s="1329"/>
      <c r="E630" s="1329">
        <f>+B637*0.15</f>
        <v>1148434.3499999999</v>
      </c>
      <c r="F630" s="1329"/>
      <c r="G630" s="1329"/>
      <c r="H630" s="1330"/>
      <c r="I630" s="1330"/>
    </row>
    <row r="631" spans="1:12" s="1918" customFormat="1" ht="20.25" customHeight="1">
      <c r="A631" s="492"/>
      <c r="B631" s="492"/>
      <c r="C631" s="492"/>
      <c r="D631" s="492"/>
      <c r="E631" s="492"/>
      <c r="F631" s="492"/>
      <c r="G631" s="492"/>
      <c r="H631" s="492"/>
      <c r="I631" s="492"/>
      <c r="J631" s="2901"/>
      <c r="K631" s="2901">
        <f>0.05*1</f>
        <v>0.05</v>
      </c>
      <c r="L631" s="2901"/>
    </row>
    <row r="632" spans="1:12" s="1918" customFormat="1" ht="16.8">
      <c r="A632" s="1318"/>
      <c r="B632" s="3849" t="s">
        <v>6973</v>
      </c>
      <c r="C632" s="3849"/>
      <c r="D632" s="3849"/>
      <c r="E632" s="3849"/>
      <c r="F632" s="3849"/>
      <c r="G632" s="3849"/>
      <c r="H632" s="3849"/>
      <c r="I632" s="3849"/>
      <c r="J632" s="2901"/>
      <c r="K632" s="2901"/>
      <c r="L632" s="2901"/>
    </row>
    <row r="633" spans="1:12" s="1918" customFormat="1" ht="18" customHeight="1">
      <c r="A633" s="1319"/>
      <c r="B633" s="1320"/>
      <c r="C633" s="1319" t="s">
        <v>140</v>
      </c>
      <c r="D633" s="1319" t="s">
        <v>343</v>
      </c>
      <c r="E633" s="1319" t="s">
        <v>344</v>
      </c>
      <c r="F633" s="1319" t="s">
        <v>482</v>
      </c>
      <c r="G633" s="1319" t="s">
        <v>483</v>
      </c>
      <c r="H633" s="1319" t="s">
        <v>170</v>
      </c>
      <c r="I633" s="1319" t="s">
        <v>171</v>
      </c>
      <c r="J633" s="2901"/>
      <c r="K633" s="2901"/>
      <c r="L633" s="2901"/>
    </row>
    <row r="634" spans="1:12" s="1918" customFormat="1" ht="50.4">
      <c r="A634" s="1319"/>
      <c r="B634" s="1335" t="s">
        <v>4822</v>
      </c>
      <c r="C634" s="1336">
        <v>1</v>
      </c>
      <c r="D634" s="1337" t="s">
        <v>150</v>
      </c>
      <c r="E634" s="1338">
        <f>+'BASE 2'!D510</f>
        <v>7638229.1999999993</v>
      </c>
      <c r="F634" s="1336"/>
      <c r="G634" s="1338">
        <f>+E634*C634</f>
        <v>7638229.1999999993</v>
      </c>
      <c r="H634" s="1336"/>
      <c r="I634" s="1336"/>
      <c r="J634" s="2901"/>
      <c r="K634" s="2901"/>
      <c r="L634" s="2901"/>
    </row>
    <row r="635" spans="1:12" s="1918" customFormat="1" ht="16.8">
      <c r="A635" s="1319"/>
      <c r="B635" s="1320" t="s">
        <v>4727</v>
      </c>
      <c r="C635" s="1919">
        <v>1.4999999999999999E-2</v>
      </c>
      <c r="D635" s="1921" t="s">
        <v>583</v>
      </c>
      <c r="E635" s="1324">
        <f>+VIAJE</f>
        <v>1200000</v>
      </c>
      <c r="F635" s="1324"/>
      <c r="G635" s="1324"/>
      <c r="H635" s="1324"/>
      <c r="I635" s="1324">
        <f>+E635*C635</f>
        <v>18000</v>
      </c>
      <c r="J635" s="2901"/>
      <c r="K635" s="2901"/>
      <c r="L635" s="2901"/>
    </row>
    <row r="636" spans="1:12" s="1918" customFormat="1" ht="16.8">
      <c r="A636" s="1325" t="s">
        <v>190</v>
      </c>
      <c r="B636" s="1326">
        <f>ROUND(SUM(F636:I636),0)</f>
        <v>7656229</v>
      </c>
      <c r="C636" s="1323"/>
      <c r="D636" s="1327"/>
      <c r="E636" s="1319"/>
      <c r="F636" s="1324">
        <f>SUM(F634:F635)</f>
        <v>0</v>
      </c>
      <c r="G636" s="1324">
        <f>SUM(G634:G635)</f>
        <v>7638229.1999999993</v>
      </c>
      <c r="H636" s="1324">
        <f>SUM(H634:H635)</f>
        <v>0</v>
      </c>
      <c r="I636" s="1324">
        <f>SUM(I634:I635)</f>
        <v>18000</v>
      </c>
      <c r="J636" s="2901"/>
      <c r="K636" s="2901"/>
      <c r="L636" s="2901"/>
    </row>
    <row r="637" spans="1:12" s="2747" customFormat="1" ht="16.8">
      <c r="A637" s="1325" t="s">
        <v>191</v>
      </c>
      <c r="B637" s="1326">
        <f>+B636</f>
        <v>7656229</v>
      </c>
      <c r="C637" s="1328" t="s">
        <v>133</v>
      </c>
      <c r="D637" s="1329"/>
      <c r="E637" s="1329"/>
      <c r="F637" s="1329"/>
      <c r="G637" s="1329"/>
      <c r="H637" s="1330"/>
      <c r="I637" s="1330"/>
      <c r="J637" s="2901"/>
      <c r="K637" s="2901"/>
      <c r="L637" s="2901"/>
    </row>
    <row r="639" spans="1:12" s="1918" customFormat="1" ht="16.8">
      <c r="A639" s="1318"/>
      <c r="B639" s="3849" t="s">
        <v>7101</v>
      </c>
      <c r="C639" s="3849"/>
      <c r="D639" s="3849"/>
      <c r="E639" s="3849"/>
      <c r="F639" s="3849"/>
      <c r="G639" s="3849"/>
      <c r="H639" s="3849"/>
      <c r="I639" s="3849"/>
      <c r="J639" s="2901"/>
      <c r="K639" s="2901"/>
      <c r="L639" s="2901"/>
    </row>
    <row r="640" spans="1:12" s="1918" customFormat="1" ht="16.8">
      <c r="A640" s="1319"/>
      <c r="B640" s="1320"/>
      <c r="C640" s="1319" t="s">
        <v>140</v>
      </c>
      <c r="D640" s="1319" t="s">
        <v>343</v>
      </c>
      <c r="E640" s="1319" t="s">
        <v>344</v>
      </c>
      <c r="F640" s="1319" t="s">
        <v>482</v>
      </c>
      <c r="G640" s="1319" t="s">
        <v>483</v>
      </c>
      <c r="H640" s="1319" t="s">
        <v>170</v>
      </c>
      <c r="I640" s="1319" t="s">
        <v>171</v>
      </c>
      <c r="J640" s="2901"/>
      <c r="K640" s="2901"/>
      <c r="L640" s="2901"/>
    </row>
    <row r="641" spans="1:12" s="1918" customFormat="1" ht="16.8">
      <c r="A641" s="1319" t="s">
        <v>345</v>
      </c>
      <c r="B641" s="1320" t="s">
        <v>6439</v>
      </c>
      <c r="C641" s="1322">
        <v>2.96</v>
      </c>
      <c r="D641" s="1323" t="s">
        <v>346</v>
      </c>
      <c r="E641" s="1324">
        <f>+OFICI</f>
        <v>80479.625344</v>
      </c>
      <c r="F641" s="1324"/>
      <c r="G641" s="1324"/>
      <c r="H641" s="1324">
        <f>+E641*C641</f>
        <v>238219.69101824</v>
      </c>
      <c r="I641" s="1324"/>
      <c r="J641" s="2901"/>
      <c r="K641" s="2901"/>
      <c r="L641" s="2901"/>
    </row>
    <row r="642" spans="1:12" s="1918" customFormat="1" ht="16.8">
      <c r="A642" s="1319" t="s">
        <v>348</v>
      </c>
      <c r="B642" s="1320" t="s">
        <v>966</v>
      </c>
      <c r="C642" s="1322">
        <v>2.96</v>
      </c>
      <c r="D642" s="1323" t="s">
        <v>346</v>
      </c>
      <c r="E642" s="1324">
        <f>+AYUDR</f>
        <v>50299.76584</v>
      </c>
      <c r="F642" s="1324"/>
      <c r="G642" s="1324"/>
      <c r="H642" s="1324">
        <f>+E642*C642</f>
        <v>148887.30688640001</v>
      </c>
      <c r="I642" s="1324"/>
      <c r="J642" s="2901"/>
      <c r="K642" s="2901"/>
      <c r="L642" s="2901"/>
    </row>
    <row r="643" spans="1:12" s="1918" customFormat="1" ht="16.8">
      <c r="A643" s="1319"/>
      <c r="B643" s="1320" t="s">
        <v>736</v>
      </c>
      <c r="C643" s="1322">
        <v>2</v>
      </c>
      <c r="D643" s="1323" t="s">
        <v>735</v>
      </c>
      <c r="E643" s="1324">
        <f>+RETRO</f>
        <v>150000</v>
      </c>
      <c r="F643" s="1324">
        <f>+C643*E643</f>
        <v>300000</v>
      </c>
      <c r="G643" s="1324"/>
      <c r="H643" s="1324"/>
      <c r="I643" s="1324"/>
      <c r="J643" s="2901"/>
      <c r="K643" s="2901"/>
      <c r="L643" s="2901"/>
    </row>
    <row r="644" spans="1:12" s="1918" customFormat="1" ht="16.8">
      <c r="A644" s="1319"/>
      <c r="B644" s="1320" t="s">
        <v>6426</v>
      </c>
      <c r="C644" s="1322">
        <v>2.96</v>
      </c>
      <c r="D644" s="1323" t="s">
        <v>346</v>
      </c>
      <c r="E644" s="1324">
        <f>+'BASE 2'!D736</f>
        <v>18500</v>
      </c>
      <c r="F644" s="1324">
        <f>+C644*E644</f>
        <v>54760</v>
      </c>
      <c r="G644" s="1324"/>
      <c r="H644" s="1324"/>
      <c r="I644" s="1324"/>
      <c r="J644" s="2901"/>
      <c r="K644" s="2901"/>
      <c r="L644" s="2901"/>
    </row>
    <row r="645" spans="1:12" s="1918" customFormat="1" ht="16.8">
      <c r="A645" s="1319" t="s">
        <v>172</v>
      </c>
      <c r="B645" s="1320" t="s">
        <v>189</v>
      </c>
      <c r="C645" s="1322">
        <v>1</v>
      </c>
      <c r="D645" s="1323" t="s">
        <v>583</v>
      </c>
      <c r="E645" s="1324">
        <f>+H646*0.05</f>
        <v>19355.349895232004</v>
      </c>
      <c r="F645" s="1324"/>
      <c r="G645" s="1324"/>
      <c r="H645" s="1324"/>
      <c r="I645" s="1324">
        <f>+E645*C645</f>
        <v>19355.349895232004</v>
      </c>
      <c r="J645" s="2901"/>
      <c r="K645" s="2901"/>
      <c r="L645" s="2901"/>
    </row>
    <row r="646" spans="1:12" s="1918" customFormat="1" ht="16.8">
      <c r="A646" s="1325" t="s">
        <v>190</v>
      </c>
      <c r="B646" s="1326">
        <f>ROUND(SUM(F646:I646),0)</f>
        <v>761222</v>
      </c>
      <c r="C646" s="1323"/>
      <c r="D646" s="1327"/>
      <c r="E646" s="1319"/>
      <c r="F646" s="1324">
        <f>SUM(F641:F645)</f>
        <v>354760</v>
      </c>
      <c r="G646" s="1324">
        <f>SUM(G641:G642)</f>
        <v>0</v>
      </c>
      <c r="H646" s="1324">
        <f>SUM(H641:H642)</f>
        <v>387106.99790464004</v>
      </c>
      <c r="I646" s="1324">
        <f>SUM(I641:I645)</f>
        <v>19355.349895232004</v>
      </c>
      <c r="J646" s="2901"/>
      <c r="K646" s="2901"/>
      <c r="L646" s="2901"/>
    </row>
    <row r="647" spans="1:12" ht="16.8">
      <c r="A647" s="1325" t="s">
        <v>191</v>
      </c>
      <c r="B647" s="1326">
        <f>+B646</f>
        <v>761222</v>
      </c>
      <c r="C647" s="1328" t="s">
        <v>133</v>
      </c>
      <c r="D647" s="1329"/>
      <c r="E647" s="1329">
        <f>+B655*0.15</f>
        <v>761179.2</v>
      </c>
      <c r="F647" s="1329"/>
      <c r="G647" s="1329"/>
      <c r="H647" s="1330"/>
      <c r="I647" s="1330"/>
    </row>
    <row r="648" spans="1:12" s="1918" customFormat="1" ht="20.25" customHeight="1">
      <c r="A648" s="492"/>
      <c r="B648" s="492"/>
      <c r="C648" s="492"/>
      <c r="D648" s="492"/>
      <c r="E648" s="492"/>
      <c r="F648" s="492"/>
      <c r="G648" s="492"/>
      <c r="H648" s="492"/>
      <c r="I648" s="492"/>
      <c r="J648" s="2901"/>
      <c r="K648" s="2901">
        <f>0.05*1</f>
        <v>0.05</v>
      </c>
      <c r="L648" s="2901"/>
    </row>
    <row r="649" spans="1:12" s="1918" customFormat="1" ht="16.8">
      <c r="A649" s="1318"/>
      <c r="B649" s="3849" t="s">
        <v>7100</v>
      </c>
      <c r="C649" s="3849"/>
      <c r="D649" s="3849"/>
      <c r="E649" s="3849"/>
      <c r="F649" s="3849"/>
      <c r="G649" s="3849"/>
      <c r="H649" s="3849"/>
      <c r="I649" s="3849"/>
      <c r="J649" s="2901"/>
      <c r="K649" s="2901"/>
      <c r="L649" s="2901"/>
    </row>
    <row r="650" spans="1:12" s="1918" customFormat="1" ht="18" customHeight="1">
      <c r="A650" s="1319"/>
      <c r="B650" s="1320"/>
      <c r="C650" s="1319" t="s">
        <v>140</v>
      </c>
      <c r="D650" s="1319" t="s">
        <v>343</v>
      </c>
      <c r="E650" s="1319" t="s">
        <v>344</v>
      </c>
      <c r="F650" s="1319" t="s">
        <v>482</v>
      </c>
      <c r="G650" s="1319" t="s">
        <v>483</v>
      </c>
      <c r="H650" s="1319" t="s">
        <v>170</v>
      </c>
      <c r="I650" s="1319" t="s">
        <v>171</v>
      </c>
      <c r="J650" s="2901"/>
      <c r="K650" s="2901"/>
      <c r="L650" s="2901"/>
    </row>
    <row r="651" spans="1:12" s="1918" customFormat="1" ht="33.6">
      <c r="A651" s="1319"/>
      <c r="B651" s="1335" t="s">
        <v>7099</v>
      </c>
      <c r="C651" s="1336">
        <v>1</v>
      </c>
      <c r="D651" s="1337" t="s">
        <v>150</v>
      </c>
      <c r="E651" s="1338">
        <f>+'BASE 2'!D592</f>
        <v>4868528</v>
      </c>
      <c r="F651" s="1336"/>
      <c r="G651" s="1338">
        <f>+E651*C651</f>
        <v>4868528</v>
      </c>
      <c r="H651" s="1336"/>
      <c r="I651" s="1336"/>
      <c r="J651" s="2901"/>
      <c r="K651" s="2901"/>
      <c r="L651" s="2901"/>
    </row>
    <row r="652" spans="1:12" s="1918" customFormat="1" ht="16.8">
      <c r="A652" s="1319"/>
      <c r="B652" s="1335" t="s">
        <v>6457</v>
      </c>
      <c r="C652" s="1336">
        <v>1</v>
      </c>
      <c r="D652" s="1337" t="s">
        <v>363</v>
      </c>
      <c r="E652" s="1338">
        <f>+'BASE 2'!D623</f>
        <v>170000</v>
      </c>
      <c r="F652" s="1336"/>
      <c r="G652" s="1338">
        <f>+E652*C652</f>
        <v>170000</v>
      </c>
      <c r="H652" s="1336"/>
      <c r="I652" s="1336"/>
      <c r="J652" s="2901"/>
      <c r="K652" s="2901"/>
      <c r="L652" s="2901"/>
    </row>
    <row r="653" spans="1:12" s="1918" customFormat="1" ht="16.8">
      <c r="A653" s="1319"/>
      <c r="B653" s="1320" t="s">
        <v>4727</v>
      </c>
      <c r="C653" s="1919">
        <v>0.03</v>
      </c>
      <c r="D653" s="1921" t="s">
        <v>583</v>
      </c>
      <c r="E653" s="1324">
        <f>+VIAJE</f>
        <v>1200000</v>
      </c>
      <c r="F653" s="1324"/>
      <c r="G653" s="1324"/>
      <c r="H653" s="1324"/>
      <c r="I653" s="2149">
        <f>+E653*C653</f>
        <v>36000</v>
      </c>
      <c r="J653" s="2901"/>
      <c r="K653" s="2901"/>
      <c r="L653" s="2901"/>
    </row>
    <row r="654" spans="1:12" s="1918" customFormat="1" ht="16.8">
      <c r="A654" s="1325" t="s">
        <v>190</v>
      </c>
      <c r="B654" s="1326">
        <f>ROUND(SUM(F654:I654),0)</f>
        <v>5074528</v>
      </c>
      <c r="C654" s="1323"/>
      <c r="D654" s="1327"/>
      <c r="E654" s="1319"/>
      <c r="F654" s="1324">
        <f>SUM(F651:F653)</f>
        <v>0</v>
      </c>
      <c r="G654" s="1324">
        <f>SUM(G651:G653)</f>
        <v>5038528</v>
      </c>
      <c r="H654" s="1324">
        <f>SUM(H651:H653)</f>
        <v>0</v>
      </c>
      <c r="I654" s="2149">
        <f>SUM(I651:I653)</f>
        <v>36000</v>
      </c>
      <c r="J654" s="2901"/>
      <c r="K654" s="2901"/>
      <c r="L654" s="2901"/>
    </row>
    <row r="655" spans="1:12" s="2747" customFormat="1" ht="16.8">
      <c r="A655" s="1325" t="s">
        <v>191</v>
      </c>
      <c r="B655" s="1326">
        <f>+B654</f>
        <v>5074528</v>
      </c>
      <c r="C655" s="1328" t="s">
        <v>133</v>
      </c>
      <c r="D655" s="1329"/>
      <c r="E655" s="1329"/>
      <c r="F655" s="1329"/>
      <c r="G655" s="1329"/>
      <c r="H655" s="1330"/>
      <c r="I655" s="1330"/>
      <c r="J655" s="2901"/>
      <c r="K655" s="2901"/>
      <c r="L655" s="2901"/>
    </row>
    <row r="657" spans="1:12" s="1918" customFormat="1" ht="16.8">
      <c r="A657" s="1318"/>
      <c r="B657" s="3849" t="s">
        <v>7070</v>
      </c>
      <c r="C657" s="3849"/>
      <c r="D657" s="3849"/>
      <c r="E657" s="3849"/>
      <c r="F657" s="3849"/>
      <c r="G657" s="3849"/>
      <c r="H657" s="3849"/>
      <c r="I657" s="3849"/>
      <c r="J657" s="2901"/>
      <c r="K657" s="2901"/>
      <c r="L657" s="2901"/>
    </row>
    <row r="658" spans="1:12" s="1918" customFormat="1" ht="16.8">
      <c r="A658" s="1319"/>
      <c r="B658" s="1320"/>
      <c r="C658" s="1319" t="s">
        <v>140</v>
      </c>
      <c r="D658" s="1319" t="s">
        <v>343</v>
      </c>
      <c r="E658" s="1319" t="s">
        <v>344</v>
      </c>
      <c r="F658" s="1319" t="s">
        <v>482</v>
      </c>
      <c r="G658" s="1319" t="s">
        <v>483</v>
      </c>
      <c r="H658" s="1319" t="s">
        <v>170</v>
      </c>
      <c r="I658" s="1319" t="s">
        <v>171</v>
      </c>
      <c r="J658" s="2901"/>
      <c r="K658" s="2901"/>
      <c r="L658" s="2901"/>
    </row>
    <row r="659" spans="1:12" s="1918" customFormat="1" ht="16.8">
      <c r="A659" s="1319" t="s">
        <v>345</v>
      </c>
      <c r="B659" s="1320" t="s">
        <v>6439</v>
      </c>
      <c r="C659" s="1322">
        <v>1.05</v>
      </c>
      <c r="D659" s="1323" t="s">
        <v>346</v>
      </c>
      <c r="E659" s="1324">
        <f>+OFICI</f>
        <v>80479.625344</v>
      </c>
      <c r="F659" s="1324"/>
      <c r="G659" s="1324"/>
      <c r="H659" s="1324">
        <f>+E659*C659</f>
        <v>84503.606611199997</v>
      </c>
      <c r="I659" s="1324"/>
      <c r="J659" s="2901"/>
      <c r="K659" s="2901"/>
      <c r="L659" s="2901"/>
    </row>
    <row r="660" spans="1:12" s="1918" customFormat="1" ht="16.8">
      <c r="A660" s="1319" t="s">
        <v>348</v>
      </c>
      <c r="B660" s="1320" t="s">
        <v>6579</v>
      </c>
      <c r="C660" s="1322">
        <v>1.05</v>
      </c>
      <c r="D660" s="1323" t="s">
        <v>346</v>
      </c>
      <c r="E660" s="1324">
        <f>+AYUDR</f>
        <v>50299.76584</v>
      </c>
      <c r="F660" s="1324"/>
      <c r="G660" s="1324"/>
      <c r="H660" s="1324">
        <f>+E660*C660</f>
        <v>52814.754132000002</v>
      </c>
      <c r="I660" s="1324"/>
      <c r="J660" s="2901"/>
      <c r="K660" s="2901"/>
      <c r="L660" s="2901"/>
    </row>
    <row r="661" spans="1:12" s="1918" customFormat="1" ht="16.8">
      <c r="A661" s="1319" t="s">
        <v>172</v>
      </c>
      <c r="B661" s="1320" t="s">
        <v>189</v>
      </c>
      <c r="C661" s="1322">
        <v>1</v>
      </c>
      <c r="D661" s="1323" t="s">
        <v>583</v>
      </c>
      <c r="E661" s="1324">
        <f>+H662*0.05</f>
        <v>6865.9180371600005</v>
      </c>
      <c r="F661" s="1324"/>
      <c r="G661" s="1324"/>
      <c r="H661" s="1324"/>
      <c r="I661" s="1324">
        <f>+E661*C661</f>
        <v>6865.9180371600005</v>
      </c>
      <c r="J661" s="2901"/>
      <c r="K661" s="2901"/>
      <c r="L661" s="2901"/>
    </row>
    <row r="662" spans="1:12" s="1918" customFormat="1" ht="16.8">
      <c r="A662" s="1325" t="s">
        <v>190</v>
      </c>
      <c r="B662" s="1326">
        <f>ROUND(SUM(F662:I662),0)</f>
        <v>144184</v>
      </c>
      <c r="C662" s="1323"/>
      <c r="D662" s="1327"/>
      <c r="E662" s="1319"/>
      <c r="F662" s="1324">
        <f>SUM(F659:F661)</f>
        <v>0</v>
      </c>
      <c r="G662" s="1324">
        <f>SUM(G659:G660)</f>
        <v>0</v>
      </c>
      <c r="H662" s="1324">
        <f>SUM(H659:H660)</f>
        <v>137318.3607432</v>
      </c>
      <c r="I662" s="1324">
        <f>SUM(I659:I661)</f>
        <v>6865.9180371600005</v>
      </c>
      <c r="J662" s="2901"/>
      <c r="K662" s="2901"/>
      <c r="L662" s="2901"/>
    </row>
    <row r="663" spans="1:12" ht="16.8">
      <c r="A663" s="1325" t="s">
        <v>191</v>
      </c>
      <c r="B663" s="1326">
        <f>+B662</f>
        <v>144184</v>
      </c>
      <c r="C663" s="1328" t="s">
        <v>133</v>
      </c>
      <c r="D663" s="1329"/>
      <c r="E663" s="1329">
        <f>+B671*0.15</f>
        <v>143786.69999999998</v>
      </c>
      <c r="F663" s="1329"/>
      <c r="G663" s="1329"/>
      <c r="H663" s="1330"/>
      <c r="I663" s="1330"/>
    </row>
    <row r="664" spans="1:12" s="1918" customFormat="1" ht="21.75" customHeight="1">
      <c r="A664" s="492"/>
      <c r="B664" s="492"/>
      <c r="C664" s="492"/>
      <c r="D664" s="492"/>
      <c r="E664" s="492"/>
      <c r="F664" s="492"/>
      <c r="G664" s="492"/>
      <c r="H664" s="492"/>
      <c r="I664" s="492"/>
      <c r="J664" s="2901"/>
      <c r="K664" s="2901">
        <f>0.05*1</f>
        <v>0.05</v>
      </c>
      <c r="L664" s="2901"/>
    </row>
    <row r="665" spans="1:12" s="1918" customFormat="1" ht="16.8">
      <c r="A665" s="1318"/>
      <c r="B665" s="3849" t="s">
        <v>7102</v>
      </c>
      <c r="C665" s="3849"/>
      <c r="D665" s="3849"/>
      <c r="E665" s="3849"/>
      <c r="F665" s="3849"/>
      <c r="G665" s="3849"/>
      <c r="H665" s="3849"/>
      <c r="I665" s="3849"/>
      <c r="J665" s="2901"/>
      <c r="K665" s="2901"/>
      <c r="L665" s="2901"/>
    </row>
    <row r="666" spans="1:12" s="1918" customFormat="1" ht="16.8">
      <c r="A666" s="1319"/>
      <c r="B666" s="1320"/>
      <c r="C666" s="1319" t="s">
        <v>140</v>
      </c>
      <c r="D666" s="1319" t="s">
        <v>343</v>
      </c>
      <c r="E666" s="1319" t="s">
        <v>344</v>
      </c>
      <c r="F666" s="1319" t="s">
        <v>482</v>
      </c>
      <c r="G666" s="1319" t="s">
        <v>483</v>
      </c>
      <c r="H666" s="1319" t="s">
        <v>170</v>
      </c>
      <c r="I666" s="1319" t="s">
        <v>171</v>
      </c>
      <c r="J666" s="2901"/>
      <c r="K666" s="2901"/>
      <c r="L666" s="2901"/>
    </row>
    <row r="667" spans="1:12" s="1918" customFormat="1" ht="16.8">
      <c r="A667" s="1319"/>
      <c r="B667" s="1335" t="s">
        <v>7103</v>
      </c>
      <c r="C667" s="1336">
        <v>1</v>
      </c>
      <c r="D667" s="1337" t="s">
        <v>150</v>
      </c>
      <c r="E667" s="1338">
        <f>+'BASE 2'!D551</f>
        <v>864178</v>
      </c>
      <c r="F667" s="1336"/>
      <c r="G667" s="1338">
        <f>+E667*C667</f>
        <v>864178</v>
      </c>
      <c r="H667" s="1336"/>
      <c r="I667" s="1336"/>
      <c r="J667" s="2901"/>
      <c r="K667" s="2901"/>
      <c r="L667" s="2901"/>
    </row>
    <row r="668" spans="1:12" s="1918" customFormat="1" ht="16.8">
      <c r="A668" s="1319"/>
      <c r="B668" s="1335" t="s">
        <v>6448</v>
      </c>
      <c r="C668" s="1336">
        <v>1</v>
      </c>
      <c r="D668" s="1337" t="s">
        <v>363</v>
      </c>
      <c r="E668" s="1338">
        <f>+'BASE 2'!D626</f>
        <v>80000</v>
      </c>
      <c r="F668" s="1336"/>
      <c r="G668" s="1338">
        <f>+E668*C668</f>
        <v>80000</v>
      </c>
      <c r="H668" s="1336"/>
      <c r="I668" s="1336"/>
      <c r="J668" s="2901"/>
      <c r="K668" s="2901"/>
      <c r="L668" s="2901"/>
    </row>
    <row r="669" spans="1:12" s="1918" customFormat="1" ht="16.8">
      <c r="A669" s="1319"/>
      <c r="B669" s="1320" t="s">
        <v>4727</v>
      </c>
      <c r="C669" s="1919">
        <v>1.2E-2</v>
      </c>
      <c r="D669" s="1921" t="s">
        <v>583</v>
      </c>
      <c r="E669" s="1324">
        <f>+VIAJE</f>
        <v>1200000</v>
      </c>
      <c r="F669" s="1324"/>
      <c r="G669" s="1324"/>
      <c r="H669" s="1324"/>
      <c r="I669" s="2149">
        <f>+E669*C669</f>
        <v>14400</v>
      </c>
      <c r="J669" s="2901"/>
      <c r="K669" s="2901"/>
      <c r="L669" s="2901"/>
    </row>
    <row r="670" spans="1:12" s="1918" customFormat="1" ht="16.8">
      <c r="A670" s="1325" t="s">
        <v>190</v>
      </c>
      <c r="B670" s="1326">
        <f>ROUND(SUM(F670:I670),0)</f>
        <v>958578</v>
      </c>
      <c r="C670" s="1323"/>
      <c r="D670" s="1327"/>
      <c r="E670" s="1319"/>
      <c r="F670" s="1324">
        <f>SUM(F667:F669)</f>
        <v>0</v>
      </c>
      <c r="G670" s="1324">
        <f t="shared" ref="G670:I670" si="36">SUM(G667:G669)</f>
        <v>944178</v>
      </c>
      <c r="H670" s="1324">
        <f t="shared" si="36"/>
        <v>0</v>
      </c>
      <c r="I670" s="2149">
        <f t="shared" si="36"/>
        <v>14400</v>
      </c>
      <c r="J670" s="2901"/>
      <c r="K670" s="2901"/>
      <c r="L670" s="2901"/>
    </row>
    <row r="671" spans="1:12" s="2747" customFormat="1" ht="16.8">
      <c r="A671" s="1325" t="s">
        <v>191</v>
      </c>
      <c r="B671" s="1326">
        <f>+B670</f>
        <v>958578</v>
      </c>
      <c r="C671" s="1328" t="s">
        <v>133</v>
      </c>
      <c r="D671" s="1329"/>
      <c r="E671" s="1329"/>
      <c r="F671" s="1329"/>
      <c r="G671" s="1329"/>
      <c r="H671" s="1330"/>
      <c r="I671" s="1330"/>
      <c r="J671" s="2901"/>
      <c r="K671" s="2901"/>
      <c r="L671" s="2901"/>
    </row>
    <row r="673" spans="1:12" s="1918" customFormat="1" ht="16.8">
      <c r="A673" s="1318"/>
      <c r="B673" s="3849" t="s">
        <v>6672</v>
      </c>
      <c r="C673" s="3849"/>
      <c r="D673" s="3849"/>
      <c r="E673" s="3849"/>
      <c r="F673" s="3849"/>
      <c r="G673" s="3849"/>
      <c r="H673" s="3849"/>
      <c r="I673" s="3849"/>
      <c r="J673" s="2901"/>
      <c r="K673" s="2901"/>
      <c r="L673" s="2901"/>
    </row>
    <row r="674" spans="1:12" s="1918" customFormat="1" ht="16.8">
      <c r="A674" s="1319"/>
      <c r="B674" s="1320"/>
      <c r="C674" s="1319" t="s">
        <v>140</v>
      </c>
      <c r="D674" s="1319" t="s">
        <v>343</v>
      </c>
      <c r="E674" s="1319" t="s">
        <v>344</v>
      </c>
      <c r="F674" s="1319" t="s">
        <v>482</v>
      </c>
      <c r="G674" s="1319" t="s">
        <v>483</v>
      </c>
      <c r="H674" s="1319" t="s">
        <v>170</v>
      </c>
      <c r="I674" s="1319" t="s">
        <v>171</v>
      </c>
      <c r="J674" s="2901"/>
      <c r="K674" s="2901"/>
      <c r="L674" s="2901"/>
    </row>
    <row r="675" spans="1:12" s="1918" customFormat="1" ht="16.8">
      <c r="A675" s="1319" t="s">
        <v>345</v>
      </c>
      <c r="B675" s="1320" t="s">
        <v>965</v>
      </c>
      <c r="C675" s="1322">
        <v>0.82</v>
      </c>
      <c r="D675" s="1323" t="s">
        <v>346</v>
      </c>
      <c r="E675" s="1324">
        <f>+OFICI</f>
        <v>80479.625344</v>
      </c>
      <c r="F675" s="1324"/>
      <c r="G675" s="1324"/>
      <c r="H675" s="1324">
        <f>+E675*C675</f>
        <v>65993.292782079996</v>
      </c>
      <c r="I675" s="1324"/>
      <c r="J675" s="2901"/>
      <c r="K675" s="2901"/>
      <c r="L675" s="2901"/>
    </row>
    <row r="676" spans="1:12" s="1918" customFormat="1" ht="16.8">
      <c r="A676" s="1319" t="s">
        <v>348</v>
      </c>
      <c r="B676" s="1320" t="s">
        <v>6579</v>
      </c>
      <c r="C676" s="1322">
        <v>0.82</v>
      </c>
      <c r="D676" s="1323" t="s">
        <v>346</v>
      </c>
      <c r="E676" s="1324">
        <f>+AYUDR</f>
        <v>50299.76584</v>
      </c>
      <c r="F676" s="1324"/>
      <c r="G676" s="1324"/>
      <c r="H676" s="1324">
        <f>+E676*C676</f>
        <v>41245.807988799999</v>
      </c>
      <c r="I676" s="1324"/>
      <c r="J676" s="2901"/>
      <c r="K676" s="2901"/>
      <c r="L676" s="2901"/>
    </row>
    <row r="677" spans="1:12" s="1918" customFormat="1" ht="16.8">
      <c r="A677" s="1319" t="s">
        <v>172</v>
      </c>
      <c r="B677" s="1320" t="s">
        <v>189</v>
      </c>
      <c r="C677" s="1322">
        <v>1</v>
      </c>
      <c r="D677" s="1323" t="s">
        <v>583</v>
      </c>
      <c r="E677" s="1324">
        <f>+H678*0.05</f>
        <v>5361.9550385440007</v>
      </c>
      <c r="F677" s="1324"/>
      <c r="G677" s="1324"/>
      <c r="H677" s="1324"/>
      <c r="I677" s="1324">
        <f>+E677*C677</f>
        <v>5361.9550385440007</v>
      </c>
      <c r="J677" s="2901"/>
      <c r="K677" s="2901"/>
      <c r="L677" s="2901"/>
    </row>
    <row r="678" spans="1:12" s="1918" customFormat="1" ht="16.8">
      <c r="A678" s="1325" t="s">
        <v>190</v>
      </c>
      <c r="B678" s="1326">
        <f>ROUND(SUM(F678:I678),0)</f>
        <v>112601</v>
      </c>
      <c r="C678" s="1323"/>
      <c r="D678" s="1327"/>
      <c r="E678" s="1319"/>
      <c r="F678" s="1324">
        <f>SUM(F675:F677)</f>
        <v>0</v>
      </c>
      <c r="G678" s="1324">
        <f>SUM(G675:G676)</f>
        <v>0</v>
      </c>
      <c r="H678" s="1324">
        <f>SUM(H675:H676)</f>
        <v>107239.10077088</v>
      </c>
      <c r="I678" s="1324">
        <f>SUM(I675:I677)</f>
        <v>5361.9550385440007</v>
      </c>
      <c r="J678" s="2901"/>
      <c r="K678" s="2901"/>
      <c r="L678" s="2901"/>
    </row>
    <row r="679" spans="1:12" ht="16.8">
      <c r="A679" s="1325" t="s">
        <v>191</v>
      </c>
      <c r="B679" s="1326">
        <f>+B678</f>
        <v>112601</v>
      </c>
      <c r="C679" s="1328" t="s">
        <v>133</v>
      </c>
      <c r="D679" s="1329"/>
      <c r="E679" s="1329">
        <f>+B687*0.15</f>
        <v>112200</v>
      </c>
      <c r="F679" s="1329"/>
      <c r="G679" s="1329"/>
      <c r="H679" s="1330"/>
      <c r="I679" s="1330"/>
    </row>
    <row r="680" spans="1:12" s="1918" customFormat="1" ht="21.75" customHeight="1">
      <c r="A680" s="492"/>
      <c r="B680" s="492"/>
      <c r="C680" s="492"/>
      <c r="D680" s="492"/>
      <c r="E680" s="492"/>
      <c r="F680" s="492"/>
      <c r="G680" s="492"/>
      <c r="H680" s="492"/>
      <c r="I680" s="492"/>
      <c r="J680" s="2901"/>
      <c r="K680" s="2901">
        <f>0.05*1</f>
        <v>0.05</v>
      </c>
      <c r="L680" s="2901"/>
    </row>
    <row r="681" spans="1:12" s="1918" customFormat="1" ht="16.8">
      <c r="A681" s="1318"/>
      <c r="B681" s="3849" t="s">
        <v>6670</v>
      </c>
      <c r="C681" s="3849"/>
      <c r="D681" s="3849"/>
      <c r="E681" s="3849"/>
      <c r="F681" s="3849"/>
      <c r="G681" s="3849"/>
      <c r="H681" s="3849"/>
      <c r="I681" s="3849"/>
      <c r="J681" s="2901"/>
      <c r="K681" s="2901"/>
      <c r="L681" s="2901"/>
    </row>
    <row r="682" spans="1:12" s="1918" customFormat="1" ht="16.8">
      <c r="A682" s="1319"/>
      <c r="B682" s="1320"/>
      <c r="C682" s="1319" t="s">
        <v>140</v>
      </c>
      <c r="D682" s="1319" t="s">
        <v>343</v>
      </c>
      <c r="E682" s="1319" t="s">
        <v>344</v>
      </c>
      <c r="F682" s="1319" t="s">
        <v>482</v>
      </c>
      <c r="G682" s="1319" t="s">
        <v>483</v>
      </c>
      <c r="H682" s="1319" t="s">
        <v>170</v>
      </c>
      <c r="I682" s="1319" t="s">
        <v>171</v>
      </c>
      <c r="J682" s="2901"/>
      <c r="K682" s="2901"/>
      <c r="L682" s="2901"/>
    </row>
    <row r="683" spans="1:12" s="1918" customFormat="1" ht="16.8">
      <c r="A683" s="1319"/>
      <c r="B683" s="1335" t="s">
        <v>6671</v>
      </c>
      <c r="C683" s="1336">
        <v>1</v>
      </c>
      <c r="D683" s="1337" t="s">
        <v>150</v>
      </c>
      <c r="E683" s="1338">
        <f>+'BASE 2'!D645</f>
        <v>642600</v>
      </c>
      <c r="F683" s="1336"/>
      <c r="G683" s="1338">
        <f>+E683*C683</f>
        <v>642600</v>
      </c>
      <c r="H683" s="1336"/>
      <c r="I683" s="1336"/>
      <c r="J683" s="2901"/>
      <c r="K683" s="2901"/>
      <c r="L683" s="2901"/>
    </row>
    <row r="684" spans="1:12" s="1918" customFormat="1" ht="16.8">
      <c r="A684" s="1319"/>
      <c r="B684" s="1335" t="s">
        <v>6455</v>
      </c>
      <c r="C684" s="1336">
        <v>1</v>
      </c>
      <c r="D684" s="1337" t="s">
        <v>363</v>
      </c>
      <c r="E684" s="1338">
        <f>+'BASE 2'!D625</f>
        <v>91000</v>
      </c>
      <c r="F684" s="1336"/>
      <c r="G684" s="1338">
        <f>+E684*C684</f>
        <v>91000</v>
      </c>
      <c r="H684" s="1336"/>
      <c r="I684" s="1336"/>
      <c r="J684" s="2901"/>
      <c r="K684" s="2901"/>
      <c r="L684" s="2901"/>
    </row>
    <row r="685" spans="1:12" s="1918" customFormat="1" ht="16.8">
      <c r="A685" s="1319"/>
      <c r="B685" s="1320" t="s">
        <v>4727</v>
      </c>
      <c r="C685" s="1919">
        <v>1.2E-2</v>
      </c>
      <c r="D685" s="1921" t="s">
        <v>583</v>
      </c>
      <c r="E685" s="1324">
        <f>+VIAJE</f>
        <v>1200000</v>
      </c>
      <c r="F685" s="1324"/>
      <c r="G685" s="1324"/>
      <c r="H685" s="1324"/>
      <c r="I685" s="2149">
        <f>+E685*C685</f>
        <v>14400</v>
      </c>
      <c r="J685" s="2901"/>
      <c r="K685" s="2901"/>
      <c r="L685" s="2901"/>
    </row>
    <row r="686" spans="1:12" s="1918" customFormat="1" ht="16.8">
      <c r="A686" s="1325" t="s">
        <v>190</v>
      </c>
      <c r="B686" s="1326">
        <f>ROUND(SUM(F686:I686),0)</f>
        <v>748000</v>
      </c>
      <c r="C686" s="1323"/>
      <c r="D686" s="1327"/>
      <c r="E686" s="1319"/>
      <c r="F686" s="1324">
        <f>SUM(F683:F685)</f>
        <v>0</v>
      </c>
      <c r="G686" s="1324">
        <f>SUM(G683:G685)</f>
        <v>733600</v>
      </c>
      <c r="H686" s="1324">
        <f t="shared" ref="H686:I686" si="37">SUM(H683:H685)</f>
        <v>0</v>
      </c>
      <c r="I686" s="2149">
        <f t="shared" si="37"/>
        <v>14400</v>
      </c>
      <c r="J686" s="2901"/>
      <c r="K686" s="2901"/>
      <c r="L686" s="2901"/>
    </row>
    <row r="687" spans="1:12" s="2747" customFormat="1" ht="16.8">
      <c r="A687" s="1325" t="s">
        <v>191</v>
      </c>
      <c r="B687" s="1326">
        <f>+B686</f>
        <v>748000</v>
      </c>
      <c r="C687" s="1328" t="s">
        <v>133</v>
      </c>
      <c r="D687" s="1329"/>
      <c r="E687" s="1329"/>
      <c r="F687" s="1329"/>
      <c r="G687" s="1329"/>
      <c r="H687" s="1330"/>
      <c r="I687" s="1330"/>
      <c r="J687" s="2901"/>
      <c r="K687" s="2901"/>
      <c r="L687" s="2901"/>
    </row>
    <row r="689" spans="1:12" s="1918" customFormat="1" ht="16.8">
      <c r="A689" s="1318"/>
      <c r="B689" s="3849" t="s">
        <v>6679</v>
      </c>
      <c r="C689" s="3849"/>
      <c r="D689" s="3849"/>
      <c r="E689" s="3849"/>
      <c r="F689" s="3849"/>
      <c r="G689" s="3849"/>
      <c r="H689" s="3849"/>
      <c r="I689" s="3849"/>
      <c r="J689" s="2901"/>
      <c r="K689" s="2901"/>
      <c r="L689" s="2901"/>
    </row>
    <row r="690" spans="1:12" s="1918" customFormat="1" ht="16.8">
      <c r="A690" s="1319"/>
      <c r="B690" s="1320"/>
      <c r="C690" s="1319" t="s">
        <v>140</v>
      </c>
      <c r="D690" s="1319" t="s">
        <v>343</v>
      </c>
      <c r="E690" s="1319" t="s">
        <v>344</v>
      </c>
      <c r="F690" s="1319" t="s">
        <v>482</v>
      </c>
      <c r="G690" s="1319" t="s">
        <v>483</v>
      </c>
      <c r="H690" s="1319" t="s">
        <v>170</v>
      </c>
      <c r="I690" s="1319" t="s">
        <v>171</v>
      </c>
      <c r="J690" s="2901"/>
      <c r="K690" s="2901"/>
      <c r="L690" s="2901"/>
    </row>
    <row r="691" spans="1:12" s="1918" customFormat="1" ht="16.8">
      <c r="A691" s="1319" t="s">
        <v>345</v>
      </c>
      <c r="B691" s="1320" t="s">
        <v>965</v>
      </c>
      <c r="C691" s="1322">
        <v>1.75</v>
      </c>
      <c r="D691" s="1323" t="s">
        <v>346</v>
      </c>
      <c r="E691" s="1324">
        <f>+OFICI</f>
        <v>80479.625344</v>
      </c>
      <c r="F691" s="1324"/>
      <c r="G691" s="1324"/>
      <c r="H691" s="1324">
        <f>+E691*C691</f>
        <v>140839.34435199999</v>
      </c>
      <c r="I691" s="1324"/>
      <c r="J691" s="2901"/>
      <c r="K691" s="2901"/>
      <c r="L691" s="2901"/>
    </row>
    <row r="692" spans="1:12" s="1918" customFormat="1" ht="16.8">
      <c r="A692" s="1319" t="s">
        <v>348</v>
      </c>
      <c r="B692" s="1320" t="s">
        <v>966</v>
      </c>
      <c r="C692" s="1322">
        <v>1.75</v>
      </c>
      <c r="D692" s="1323" t="s">
        <v>346</v>
      </c>
      <c r="E692" s="1324">
        <f>+AYUDR</f>
        <v>50299.76584</v>
      </c>
      <c r="F692" s="1324"/>
      <c r="G692" s="1324"/>
      <c r="H692" s="1324">
        <f>+E692*C692</f>
        <v>88024.590219999998</v>
      </c>
      <c r="I692" s="1324"/>
      <c r="J692" s="2901"/>
      <c r="K692" s="2901"/>
      <c r="L692" s="2901"/>
    </row>
    <row r="693" spans="1:12" s="1918" customFormat="1" ht="16.8">
      <c r="A693" s="1319" t="s">
        <v>172</v>
      </c>
      <c r="B693" s="1320" t="s">
        <v>189</v>
      </c>
      <c r="C693" s="1322">
        <v>1</v>
      </c>
      <c r="D693" s="1323" t="s">
        <v>583</v>
      </c>
      <c r="E693" s="1324">
        <f>+H694*0.05</f>
        <v>11443.1967286</v>
      </c>
      <c r="F693" s="1324"/>
      <c r="G693" s="1324"/>
      <c r="H693" s="1324"/>
      <c r="I693" s="1324">
        <f>+E693*C693</f>
        <v>11443.1967286</v>
      </c>
      <c r="J693" s="2901"/>
      <c r="K693" s="2901"/>
      <c r="L693" s="2901"/>
    </row>
    <row r="694" spans="1:12" s="1918" customFormat="1" ht="16.8">
      <c r="A694" s="1325" t="s">
        <v>190</v>
      </c>
      <c r="B694" s="1326">
        <f>ROUND(SUM(F694:I694),0)</f>
        <v>240307</v>
      </c>
      <c r="C694" s="1323"/>
      <c r="D694" s="1327"/>
      <c r="E694" s="1319"/>
      <c r="F694" s="1324">
        <f>SUM(F691:F693)</f>
        <v>0</v>
      </c>
      <c r="G694" s="1324">
        <f>SUM(G691:G692)</f>
        <v>0</v>
      </c>
      <c r="H694" s="1324">
        <f>SUM(H691:H692)</f>
        <v>228863.934572</v>
      </c>
      <c r="I694" s="1324">
        <f>SUM(I691:I693)</f>
        <v>11443.1967286</v>
      </c>
      <c r="J694" s="2901"/>
      <c r="K694" s="2901"/>
      <c r="L694" s="2901"/>
    </row>
    <row r="695" spans="1:12" ht="16.8">
      <c r="A695" s="1325" t="s">
        <v>191</v>
      </c>
      <c r="B695" s="1326">
        <f>+B694</f>
        <v>240307</v>
      </c>
      <c r="C695" s="1328" t="s">
        <v>133</v>
      </c>
      <c r="D695" s="1329"/>
      <c r="E695" s="1329">
        <f>+B703*0.15</f>
        <v>241860</v>
      </c>
      <c r="F695" s="1329"/>
      <c r="G695" s="1329"/>
      <c r="H695" s="1330"/>
      <c r="I695" s="1330"/>
    </row>
    <row r="696" spans="1:12" s="1918" customFormat="1" ht="21.75" customHeight="1">
      <c r="A696" s="492"/>
      <c r="B696" s="492"/>
      <c r="C696" s="492"/>
      <c r="D696" s="492"/>
      <c r="E696" s="492"/>
      <c r="F696" s="492"/>
      <c r="G696" s="492"/>
      <c r="H696" s="492"/>
      <c r="I696" s="492"/>
      <c r="J696" s="2901"/>
      <c r="K696" s="2901">
        <f>0.05*1</f>
        <v>0.05</v>
      </c>
      <c r="L696" s="2901"/>
    </row>
    <row r="697" spans="1:12" s="1918" customFormat="1" ht="16.8">
      <c r="A697" s="1318"/>
      <c r="B697" s="3849" t="s">
        <v>6678</v>
      </c>
      <c r="C697" s="3849"/>
      <c r="D697" s="3849"/>
      <c r="E697" s="3849"/>
      <c r="F697" s="3849"/>
      <c r="G697" s="3849"/>
      <c r="H697" s="3849"/>
      <c r="I697" s="3849"/>
      <c r="J697" s="2901"/>
      <c r="K697" s="2901"/>
      <c r="L697" s="2901"/>
    </row>
    <row r="698" spans="1:12" s="1918" customFormat="1" ht="16.8">
      <c r="A698" s="1319"/>
      <c r="B698" s="1320"/>
      <c r="C698" s="1319" t="s">
        <v>140</v>
      </c>
      <c r="D698" s="1319" t="s">
        <v>343</v>
      </c>
      <c r="E698" s="1319" t="s">
        <v>344</v>
      </c>
      <c r="F698" s="1319" t="s">
        <v>482</v>
      </c>
      <c r="G698" s="1319" t="s">
        <v>483</v>
      </c>
      <c r="H698" s="1319" t="s">
        <v>170</v>
      </c>
      <c r="I698" s="1319" t="s">
        <v>171</v>
      </c>
      <c r="J698" s="2901"/>
      <c r="K698" s="2901"/>
      <c r="L698" s="2901"/>
    </row>
    <row r="699" spans="1:12" s="1918" customFormat="1" ht="16.8">
      <c r="A699" s="1319"/>
      <c r="B699" s="1335" t="s">
        <v>6677</v>
      </c>
      <c r="C699" s="1336">
        <v>1</v>
      </c>
      <c r="D699" s="1337" t="s">
        <v>150</v>
      </c>
      <c r="E699" s="1338">
        <f>+'BASE 2'!D642</f>
        <v>1428000</v>
      </c>
      <c r="F699" s="1336"/>
      <c r="G699" s="1338">
        <f>+E699*C699</f>
        <v>1428000</v>
      </c>
      <c r="H699" s="1336"/>
      <c r="I699" s="1336"/>
      <c r="J699" s="2901"/>
      <c r="K699" s="2901"/>
      <c r="L699" s="2901"/>
    </row>
    <row r="700" spans="1:12" s="1918" customFormat="1" ht="16.8">
      <c r="A700" s="1319"/>
      <c r="B700" s="1335" t="s">
        <v>6457</v>
      </c>
      <c r="C700" s="1336">
        <v>1</v>
      </c>
      <c r="D700" s="1337" t="s">
        <v>150</v>
      </c>
      <c r="E700" s="1338">
        <f>+'BASE 2'!D623</f>
        <v>170000</v>
      </c>
      <c r="F700" s="1336"/>
      <c r="G700" s="1338">
        <f>+E700*C700</f>
        <v>170000</v>
      </c>
      <c r="H700" s="1336"/>
      <c r="I700" s="1336"/>
      <c r="J700" s="2901"/>
      <c r="K700" s="2901"/>
      <c r="L700" s="2901"/>
    </row>
    <row r="701" spans="1:12" s="1918" customFormat="1" ht="16.8">
      <c r="A701" s="1319"/>
      <c r="B701" s="1320" t="s">
        <v>4727</v>
      </c>
      <c r="C701" s="1919">
        <v>1.2E-2</v>
      </c>
      <c r="D701" s="1921" t="s">
        <v>583</v>
      </c>
      <c r="E701" s="1324">
        <f>+VIAJE</f>
        <v>1200000</v>
      </c>
      <c r="F701" s="1324"/>
      <c r="G701" s="1324"/>
      <c r="H701" s="1324"/>
      <c r="I701" s="2149">
        <f>+E701*C701</f>
        <v>14400</v>
      </c>
      <c r="J701" s="2901"/>
      <c r="K701" s="2901"/>
      <c r="L701" s="2901"/>
    </row>
    <row r="702" spans="1:12" s="1918" customFormat="1" ht="16.8">
      <c r="A702" s="1325" t="s">
        <v>190</v>
      </c>
      <c r="B702" s="1326">
        <f>ROUND(SUM(F702:I702),0)</f>
        <v>1612400</v>
      </c>
      <c r="C702" s="1323"/>
      <c r="D702" s="1327"/>
      <c r="E702" s="1319"/>
      <c r="F702" s="1324">
        <f>SUM(F699:F701)</f>
        <v>0</v>
      </c>
      <c r="G702" s="1324">
        <f>SUM(G699:G701)</f>
        <v>1598000</v>
      </c>
      <c r="H702" s="1324">
        <f t="shared" ref="H702:I702" si="38">SUM(H699:H701)</f>
        <v>0</v>
      </c>
      <c r="I702" s="2149">
        <f t="shared" si="38"/>
        <v>14400</v>
      </c>
      <c r="J702" s="2901"/>
      <c r="K702" s="2901"/>
      <c r="L702" s="2901"/>
    </row>
    <row r="703" spans="1:12" s="2747" customFormat="1" ht="16.8">
      <c r="A703" s="1325" t="s">
        <v>191</v>
      </c>
      <c r="B703" s="1326">
        <f>+B702</f>
        <v>1612400</v>
      </c>
      <c r="C703" s="1328" t="s">
        <v>133</v>
      </c>
      <c r="D703" s="1329"/>
      <c r="E703" s="1329"/>
      <c r="F703" s="1329"/>
      <c r="G703" s="1329"/>
      <c r="H703" s="1330"/>
      <c r="I703" s="1330"/>
      <c r="J703" s="2901"/>
      <c r="K703" s="2901"/>
      <c r="L703" s="2901"/>
    </row>
    <row r="705" spans="1:12" s="1918" customFormat="1" ht="16.8">
      <c r="A705" s="1318"/>
      <c r="B705" s="3849" t="s">
        <v>7107</v>
      </c>
      <c r="C705" s="3849"/>
      <c r="D705" s="3849"/>
      <c r="E705" s="3849"/>
      <c r="F705" s="3849"/>
      <c r="G705" s="3849"/>
      <c r="H705" s="3849"/>
      <c r="I705" s="3849"/>
      <c r="J705" s="2901"/>
      <c r="K705" s="2901"/>
      <c r="L705" s="2901"/>
    </row>
    <row r="706" spans="1:12" s="1918" customFormat="1" ht="16.8">
      <c r="A706" s="1319"/>
      <c r="B706" s="1320"/>
      <c r="C706" s="1319" t="s">
        <v>140</v>
      </c>
      <c r="D706" s="1319" t="s">
        <v>343</v>
      </c>
      <c r="E706" s="1319" t="s">
        <v>344</v>
      </c>
      <c r="F706" s="1319" t="s">
        <v>482</v>
      </c>
      <c r="G706" s="1319" t="s">
        <v>483</v>
      </c>
      <c r="H706" s="1319" t="s">
        <v>170</v>
      </c>
      <c r="I706" s="1319" t="s">
        <v>171</v>
      </c>
      <c r="J706" s="2901"/>
      <c r="K706" s="2901"/>
      <c r="L706" s="2901"/>
    </row>
    <row r="707" spans="1:12" s="1918" customFormat="1" ht="16.8">
      <c r="A707" s="1319" t="s">
        <v>345</v>
      </c>
      <c r="B707" s="1320" t="s">
        <v>6439</v>
      </c>
      <c r="C707" s="1322">
        <v>1.25</v>
      </c>
      <c r="D707" s="1323" t="s">
        <v>346</v>
      </c>
      <c r="E707" s="1324">
        <f>+OFICI</f>
        <v>80479.625344</v>
      </c>
      <c r="F707" s="1324"/>
      <c r="G707" s="1324"/>
      <c r="H707" s="1324">
        <f>+E707*C707</f>
        <v>100599.53168</v>
      </c>
      <c r="I707" s="1324"/>
      <c r="J707" s="2901"/>
      <c r="K707" s="2901"/>
      <c r="L707" s="2901"/>
    </row>
    <row r="708" spans="1:12" s="1918" customFormat="1" ht="16.8">
      <c r="A708" s="1319" t="s">
        <v>348</v>
      </c>
      <c r="B708" s="1320" t="s">
        <v>6579</v>
      </c>
      <c r="C708" s="1322">
        <v>1.25</v>
      </c>
      <c r="D708" s="1323" t="s">
        <v>346</v>
      </c>
      <c r="E708" s="1324">
        <f>+AYUDR</f>
        <v>50299.76584</v>
      </c>
      <c r="F708" s="1324"/>
      <c r="G708" s="1324"/>
      <c r="H708" s="1324">
        <f>+E708*C708</f>
        <v>62874.707300000002</v>
      </c>
      <c r="I708" s="1324"/>
      <c r="J708" s="2901"/>
      <c r="K708" s="2901"/>
      <c r="L708" s="2901"/>
    </row>
    <row r="709" spans="1:12" s="1918" customFormat="1" ht="16.8">
      <c r="A709" s="1319" t="s">
        <v>172</v>
      </c>
      <c r="B709" s="1320" t="s">
        <v>189</v>
      </c>
      <c r="C709" s="1322">
        <v>1</v>
      </c>
      <c r="D709" s="1323" t="s">
        <v>583</v>
      </c>
      <c r="E709" s="1324">
        <f>+H710*0.05</f>
        <v>8173.7119490000005</v>
      </c>
      <c r="F709" s="1324"/>
      <c r="G709" s="1324"/>
      <c r="H709" s="1324"/>
      <c r="I709" s="1324">
        <f>+E709*C709</f>
        <v>8173.7119490000005</v>
      </c>
      <c r="J709" s="2901"/>
      <c r="K709" s="2901"/>
      <c r="L709" s="2901"/>
    </row>
    <row r="710" spans="1:12" s="1918" customFormat="1" ht="16.8">
      <c r="A710" s="1325" t="s">
        <v>190</v>
      </c>
      <c r="B710" s="1326">
        <f>ROUND(SUM(F710:I710),0)</f>
        <v>171648</v>
      </c>
      <c r="C710" s="1323"/>
      <c r="D710" s="1327"/>
      <c r="E710" s="1319"/>
      <c r="F710" s="1324">
        <f>SUM(F707:F709)</f>
        <v>0</v>
      </c>
      <c r="G710" s="1324">
        <f>SUM(G707:G708)</f>
        <v>0</v>
      </c>
      <c r="H710" s="1324">
        <f>SUM(H707:H708)</f>
        <v>163474.23897999999</v>
      </c>
      <c r="I710" s="1324">
        <f>SUM(I707:I709)</f>
        <v>8173.7119490000005</v>
      </c>
      <c r="J710" s="2901"/>
      <c r="K710" s="2901"/>
      <c r="L710" s="2901"/>
    </row>
    <row r="711" spans="1:12" ht="16.8">
      <c r="A711" s="1325" t="s">
        <v>191</v>
      </c>
      <c r="B711" s="1326">
        <f>+B710</f>
        <v>171648</v>
      </c>
      <c r="C711" s="1328" t="s">
        <v>133</v>
      </c>
      <c r="D711" s="1329"/>
      <c r="E711" s="1329">
        <f>+B719*0.15</f>
        <v>170204.69999999998</v>
      </c>
      <c r="F711" s="1329"/>
      <c r="G711" s="1329"/>
      <c r="H711" s="1330"/>
      <c r="I711" s="1330"/>
    </row>
    <row r="712" spans="1:12" s="1918" customFormat="1" ht="21.75" customHeight="1">
      <c r="A712" s="492"/>
      <c r="B712" s="492"/>
      <c r="C712" s="492"/>
      <c r="D712" s="492"/>
      <c r="E712" s="492"/>
      <c r="F712" s="492"/>
      <c r="G712" s="492"/>
      <c r="H712" s="492"/>
      <c r="I712" s="492"/>
      <c r="J712" s="2901"/>
      <c r="K712" s="2901">
        <f>0.05*1</f>
        <v>0.05</v>
      </c>
      <c r="L712" s="2901"/>
    </row>
    <row r="713" spans="1:12" s="1918" customFormat="1" ht="16.8">
      <c r="A713" s="1318"/>
      <c r="B713" s="3849" t="s">
        <v>7106</v>
      </c>
      <c r="C713" s="3849"/>
      <c r="D713" s="3849"/>
      <c r="E713" s="3849"/>
      <c r="F713" s="3849"/>
      <c r="G713" s="3849"/>
      <c r="H713" s="3849"/>
      <c r="I713" s="3849"/>
      <c r="J713" s="2901"/>
      <c r="K713" s="2901"/>
      <c r="L713" s="2901"/>
    </row>
    <row r="714" spans="1:12" s="1918" customFormat="1" ht="18.75" customHeight="1">
      <c r="A714" s="1319"/>
      <c r="B714" s="1320"/>
      <c r="C714" s="1319" t="s">
        <v>140</v>
      </c>
      <c r="D714" s="1319" t="s">
        <v>343</v>
      </c>
      <c r="E714" s="1319" t="s">
        <v>344</v>
      </c>
      <c r="F714" s="1319" t="s">
        <v>482</v>
      </c>
      <c r="G714" s="1319" t="s">
        <v>483</v>
      </c>
      <c r="H714" s="1319" t="s">
        <v>170</v>
      </c>
      <c r="I714" s="1319" t="s">
        <v>171</v>
      </c>
      <c r="J714" s="2901"/>
      <c r="K714" s="2901"/>
      <c r="L714" s="2901"/>
    </row>
    <row r="715" spans="1:12" s="1918" customFormat="1" ht="16.8">
      <c r="A715" s="1319"/>
      <c r="B715" s="1335" t="s">
        <v>7105</v>
      </c>
      <c r="C715" s="1336">
        <v>1</v>
      </c>
      <c r="D715" s="1337" t="s">
        <v>150</v>
      </c>
      <c r="E715" s="1338">
        <f>+'BASE 2'!D556</f>
        <v>1040298</v>
      </c>
      <c r="F715" s="1336"/>
      <c r="G715" s="1338">
        <f>+E715*C715</f>
        <v>1040298</v>
      </c>
      <c r="H715" s="1336"/>
      <c r="I715" s="1336"/>
      <c r="J715" s="2901"/>
      <c r="K715" s="2901"/>
      <c r="L715" s="2901"/>
    </row>
    <row r="716" spans="1:12" s="1918" customFormat="1" ht="16.8">
      <c r="A716" s="1319"/>
      <c r="B716" s="1335" t="s">
        <v>6448</v>
      </c>
      <c r="C716" s="1336">
        <v>1</v>
      </c>
      <c r="D716" s="1337" t="s">
        <v>150</v>
      </c>
      <c r="E716" s="1338">
        <f>+'BASE 2'!D626</f>
        <v>80000</v>
      </c>
      <c r="F716" s="1336"/>
      <c r="G716" s="1338">
        <f>+E716*C716</f>
        <v>80000</v>
      </c>
      <c r="H716" s="1336"/>
      <c r="I716" s="1336"/>
      <c r="J716" s="2901"/>
      <c r="K716" s="2901"/>
      <c r="L716" s="2901"/>
    </row>
    <row r="717" spans="1:12" s="1918" customFormat="1" ht="16.8">
      <c r="A717" s="1319"/>
      <c r="B717" s="1320" t="s">
        <v>4727</v>
      </c>
      <c r="C717" s="1919">
        <v>1.2E-2</v>
      </c>
      <c r="D717" s="1921" t="s">
        <v>583</v>
      </c>
      <c r="E717" s="1324">
        <f>+VIAJE</f>
        <v>1200000</v>
      </c>
      <c r="F717" s="1324"/>
      <c r="G717" s="1324"/>
      <c r="H717" s="1324"/>
      <c r="I717" s="1324">
        <f>+E717*C717</f>
        <v>14400</v>
      </c>
      <c r="J717" s="2901"/>
      <c r="K717" s="2901"/>
      <c r="L717" s="2901"/>
    </row>
    <row r="718" spans="1:12" s="1918" customFormat="1" ht="16.8">
      <c r="A718" s="1325" t="s">
        <v>190</v>
      </c>
      <c r="B718" s="1326">
        <f>ROUND(SUM(F718:I718),0)</f>
        <v>1134698</v>
      </c>
      <c r="C718" s="1323"/>
      <c r="D718" s="1327"/>
      <c r="E718" s="1319"/>
      <c r="F718" s="1324">
        <f>SUM(F715:F717)</f>
        <v>0</v>
      </c>
      <c r="G718" s="1324">
        <f>SUM(G715:G717)</f>
        <v>1120298</v>
      </c>
      <c r="H718" s="1324">
        <f>SUM(H715:H717)</f>
        <v>0</v>
      </c>
      <c r="I718" s="1324">
        <f>SUM(I715:I717)</f>
        <v>14400</v>
      </c>
      <c r="J718" s="2901"/>
      <c r="K718" s="2901"/>
      <c r="L718" s="2901"/>
    </row>
    <row r="719" spans="1:12" s="2747" customFormat="1" ht="16.8">
      <c r="A719" s="1325" t="s">
        <v>191</v>
      </c>
      <c r="B719" s="1326">
        <f>+B718</f>
        <v>1134698</v>
      </c>
      <c r="C719" s="1328" t="s">
        <v>133</v>
      </c>
      <c r="D719" s="1329"/>
      <c r="E719" s="1329"/>
      <c r="F719" s="1329"/>
      <c r="G719" s="1329"/>
      <c r="H719" s="1330"/>
      <c r="I719" s="1330"/>
      <c r="J719" s="2901"/>
      <c r="K719" s="2901"/>
      <c r="L719" s="2901"/>
    </row>
    <row r="721" spans="1:12" s="1918" customFormat="1" ht="16.8">
      <c r="A721" s="1318"/>
      <c r="B721" s="3849" t="s">
        <v>7110</v>
      </c>
      <c r="C721" s="3849"/>
      <c r="D721" s="3849"/>
      <c r="E721" s="3849"/>
      <c r="F721" s="3849"/>
      <c r="G721" s="3849"/>
      <c r="H721" s="3849"/>
      <c r="I721" s="3849"/>
      <c r="J721" s="2901"/>
      <c r="K721" s="2901"/>
      <c r="L721" s="2901"/>
    </row>
    <row r="722" spans="1:12" s="1918" customFormat="1" ht="16.8">
      <c r="A722" s="1319"/>
      <c r="B722" s="1320"/>
      <c r="C722" s="1319" t="s">
        <v>140</v>
      </c>
      <c r="D722" s="1319" t="s">
        <v>343</v>
      </c>
      <c r="E722" s="1319" t="s">
        <v>344</v>
      </c>
      <c r="F722" s="1319" t="s">
        <v>482</v>
      </c>
      <c r="G722" s="1319" t="s">
        <v>483</v>
      </c>
      <c r="H722" s="1319" t="s">
        <v>170</v>
      </c>
      <c r="I722" s="1319" t="s">
        <v>171</v>
      </c>
      <c r="J722" s="2901"/>
      <c r="K722" s="2901"/>
      <c r="L722" s="2901"/>
    </row>
    <row r="723" spans="1:12" s="1918" customFormat="1" ht="16.8">
      <c r="A723" s="1319" t="s">
        <v>345</v>
      </c>
      <c r="B723" s="1320" t="s">
        <v>6439</v>
      </c>
      <c r="C723" s="1322">
        <v>1.4</v>
      </c>
      <c r="D723" s="1323" t="s">
        <v>346</v>
      </c>
      <c r="E723" s="1324">
        <f>+OFICI</f>
        <v>80479.625344</v>
      </c>
      <c r="F723" s="1324"/>
      <c r="G723" s="1324"/>
      <c r="H723" s="1324">
        <f>+E723*C723</f>
        <v>112671.47548159999</v>
      </c>
      <c r="I723" s="1324"/>
      <c r="J723" s="2901"/>
      <c r="K723" s="2901"/>
      <c r="L723" s="2901"/>
    </row>
    <row r="724" spans="1:12" s="1918" customFormat="1" ht="16.8">
      <c r="A724" s="1319" t="s">
        <v>348</v>
      </c>
      <c r="B724" s="1320" t="s">
        <v>6579</v>
      </c>
      <c r="C724" s="1322">
        <v>1.4</v>
      </c>
      <c r="D724" s="1323" t="s">
        <v>346</v>
      </c>
      <c r="E724" s="1324">
        <f>+AYUDR</f>
        <v>50299.76584</v>
      </c>
      <c r="F724" s="1324"/>
      <c r="G724" s="1324"/>
      <c r="H724" s="1324">
        <f>+E724*C724</f>
        <v>70419.672175999993</v>
      </c>
      <c r="I724" s="1324"/>
      <c r="J724" s="2901"/>
      <c r="K724" s="2901"/>
      <c r="L724" s="2901"/>
    </row>
    <row r="725" spans="1:12" s="1918" customFormat="1" ht="16.8">
      <c r="A725" s="1319" t="s">
        <v>172</v>
      </c>
      <c r="B725" s="1320" t="s">
        <v>189</v>
      </c>
      <c r="C725" s="1322">
        <v>1</v>
      </c>
      <c r="D725" s="1323" t="s">
        <v>583</v>
      </c>
      <c r="E725" s="1324">
        <f>+H726*0.05</f>
        <v>9154.5573828800007</v>
      </c>
      <c r="F725" s="1324"/>
      <c r="G725" s="1324"/>
      <c r="H725" s="1324"/>
      <c r="I725" s="1324">
        <f>+E725*C725</f>
        <v>9154.5573828800007</v>
      </c>
      <c r="J725" s="2901"/>
      <c r="K725" s="2901"/>
      <c r="L725" s="2901"/>
    </row>
    <row r="726" spans="1:12" s="1918" customFormat="1" ht="16.8">
      <c r="A726" s="1325" t="s">
        <v>190</v>
      </c>
      <c r="B726" s="1326">
        <f>ROUND(SUM(F726:I726),0)</f>
        <v>192246</v>
      </c>
      <c r="C726" s="1323"/>
      <c r="D726" s="1327"/>
      <c r="E726" s="1319"/>
      <c r="F726" s="1324">
        <f>SUM(F723:F725)</f>
        <v>0</v>
      </c>
      <c r="G726" s="1324">
        <f>SUM(G723:G724)</f>
        <v>0</v>
      </c>
      <c r="H726" s="1324">
        <f>SUM(H723:H724)</f>
        <v>183091.1476576</v>
      </c>
      <c r="I726" s="1324">
        <f>SUM(I723:I725)</f>
        <v>9154.5573828800007</v>
      </c>
      <c r="J726" s="2901"/>
      <c r="K726" s="2901"/>
      <c r="L726" s="2901"/>
    </row>
    <row r="727" spans="1:12" ht="16.8">
      <c r="A727" s="1325" t="s">
        <v>191</v>
      </c>
      <c r="B727" s="1326">
        <f>+B726</f>
        <v>192246</v>
      </c>
      <c r="C727" s="1328" t="s">
        <v>133</v>
      </c>
      <c r="D727" s="1329"/>
      <c r="E727" s="1329">
        <f>+B735*0.15</f>
        <v>191822.55</v>
      </c>
      <c r="F727" s="1329"/>
      <c r="G727" s="1329"/>
      <c r="H727" s="1330"/>
      <c r="I727" s="1330"/>
    </row>
    <row r="728" spans="1:12" s="1918" customFormat="1" ht="21.75" customHeight="1">
      <c r="A728" s="492"/>
      <c r="B728" s="492"/>
      <c r="C728" s="492"/>
      <c r="D728" s="492"/>
      <c r="E728" s="492"/>
      <c r="F728" s="492"/>
      <c r="G728" s="492"/>
      <c r="H728" s="492"/>
      <c r="I728" s="492"/>
      <c r="J728" s="2901"/>
      <c r="K728" s="2901">
        <f>0.05*1</f>
        <v>0.05</v>
      </c>
      <c r="L728" s="2901"/>
    </row>
    <row r="729" spans="1:12" s="1918" customFormat="1" ht="16.8">
      <c r="A729" s="1318"/>
      <c r="B729" s="3849" t="s">
        <v>7109</v>
      </c>
      <c r="C729" s="3849"/>
      <c r="D729" s="3849"/>
      <c r="E729" s="3849"/>
      <c r="F729" s="3849"/>
      <c r="G729" s="3849"/>
      <c r="H729" s="3849"/>
      <c r="I729" s="3849"/>
      <c r="J729" s="2901"/>
      <c r="K729" s="2901"/>
      <c r="L729" s="2901"/>
    </row>
    <row r="730" spans="1:12" s="1918" customFormat="1" ht="14.25" customHeight="1">
      <c r="A730" s="1319"/>
      <c r="B730" s="1320"/>
      <c r="C730" s="1319" t="s">
        <v>140</v>
      </c>
      <c r="D730" s="1319" t="s">
        <v>343</v>
      </c>
      <c r="E730" s="1319" t="s">
        <v>344</v>
      </c>
      <c r="F730" s="1319" t="s">
        <v>482</v>
      </c>
      <c r="G730" s="1319" t="s">
        <v>483</v>
      </c>
      <c r="H730" s="1319" t="s">
        <v>170</v>
      </c>
      <c r="I730" s="1319" t="s">
        <v>171</v>
      </c>
      <c r="J730" s="2901"/>
      <c r="K730" s="2901"/>
      <c r="L730" s="2901"/>
    </row>
    <row r="731" spans="1:12" s="1918" customFormat="1" ht="16.8">
      <c r="A731" s="1319"/>
      <c r="B731" s="1335" t="s">
        <v>7108</v>
      </c>
      <c r="C731" s="1336">
        <v>1</v>
      </c>
      <c r="D731" s="1337" t="s">
        <v>150</v>
      </c>
      <c r="E731" s="1338">
        <f>+'BASE 2'!D558</f>
        <v>1183217</v>
      </c>
      <c r="F731" s="1336"/>
      <c r="G731" s="1338">
        <f>+E731*C731</f>
        <v>1183217</v>
      </c>
      <c r="H731" s="1336"/>
      <c r="I731" s="1336"/>
      <c r="J731" s="2901"/>
      <c r="K731" s="2901"/>
      <c r="L731" s="2901"/>
    </row>
    <row r="732" spans="1:12" s="1918" customFormat="1" ht="16.8">
      <c r="A732" s="1319"/>
      <c r="B732" s="1335" t="s">
        <v>6448</v>
      </c>
      <c r="C732" s="1336">
        <v>1</v>
      </c>
      <c r="D732" s="1337" t="s">
        <v>150</v>
      </c>
      <c r="E732" s="1338">
        <f>+'BASE 2'!D626</f>
        <v>80000</v>
      </c>
      <c r="F732" s="1336"/>
      <c r="G732" s="1338">
        <f>+E732*C732</f>
        <v>80000</v>
      </c>
      <c r="H732" s="1336"/>
      <c r="I732" s="1336"/>
      <c r="J732" s="2901"/>
      <c r="K732" s="2901"/>
      <c r="L732" s="2901"/>
    </row>
    <row r="733" spans="1:12" s="1918" customFormat="1" ht="16.8">
      <c r="A733" s="1319"/>
      <c r="B733" s="1320" t="s">
        <v>4727</v>
      </c>
      <c r="C733" s="1919">
        <v>1.2999999999999999E-2</v>
      </c>
      <c r="D733" s="1921" t="s">
        <v>583</v>
      </c>
      <c r="E733" s="1324">
        <f>+VIAJE</f>
        <v>1200000</v>
      </c>
      <c r="F733" s="1324"/>
      <c r="G733" s="1324"/>
      <c r="H733" s="1324"/>
      <c r="I733" s="1324">
        <f>+E733*C733</f>
        <v>15600</v>
      </c>
      <c r="J733" s="2901"/>
      <c r="K733" s="2901"/>
      <c r="L733" s="2901"/>
    </row>
    <row r="734" spans="1:12" s="1918" customFormat="1" ht="16.8">
      <c r="A734" s="1325" t="s">
        <v>190</v>
      </c>
      <c r="B734" s="1326">
        <f>ROUND(SUM(F734:I734),0)</f>
        <v>1278817</v>
      </c>
      <c r="C734" s="1323"/>
      <c r="D734" s="1327"/>
      <c r="E734" s="1319"/>
      <c r="F734" s="1324">
        <f>SUM(F731:F733)</f>
        <v>0</v>
      </c>
      <c r="G734" s="1324">
        <f>SUM(G731:G733)</f>
        <v>1263217</v>
      </c>
      <c r="H734" s="1324">
        <f t="shared" ref="H734:I734" si="39">SUM(H731:H733)</f>
        <v>0</v>
      </c>
      <c r="I734" s="1324">
        <f t="shared" si="39"/>
        <v>15600</v>
      </c>
      <c r="J734" s="2901"/>
      <c r="K734" s="2901"/>
      <c r="L734" s="2901"/>
    </row>
    <row r="735" spans="1:12" s="2747" customFormat="1" ht="16.8">
      <c r="A735" s="1325" t="s">
        <v>191</v>
      </c>
      <c r="B735" s="1326">
        <f>+B734</f>
        <v>1278817</v>
      </c>
      <c r="C735" s="1328" t="s">
        <v>133</v>
      </c>
      <c r="D735" s="1329"/>
      <c r="E735" s="1329"/>
      <c r="F735" s="1329"/>
      <c r="G735" s="1329"/>
      <c r="H735" s="1330"/>
      <c r="I735" s="1330"/>
      <c r="J735" s="2901"/>
      <c r="K735" s="2901"/>
      <c r="L735" s="2901"/>
    </row>
    <row r="737" spans="1:12" s="1918" customFormat="1" ht="16.8">
      <c r="A737" s="1318"/>
      <c r="B737" s="3849" t="s">
        <v>7071</v>
      </c>
      <c r="C737" s="3849"/>
      <c r="D737" s="3849"/>
      <c r="E737" s="3849"/>
      <c r="F737" s="3849"/>
      <c r="G737" s="3849"/>
      <c r="H737" s="3849"/>
      <c r="I737" s="3849"/>
      <c r="J737" s="2901"/>
      <c r="K737" s="2901"/>
      <c r="L737" s="2901"/>
    </row>
    <row r="738" spans="1:12" s="1918" customFormat="1" ht="16.8">
      <c r="A738" s="1319"/>
      <c r="B738" s="1320"/>
      <c r="C738" s="1319" t="s">
        <v>140</v>
      </c>
      <c r="D738" s="1319" t="s">
        <v>343</v>
      </c>
      <c r="E738" s="1319" t="s">
        <v>344</v>
      </c>
      <c r="F738" s="1319" t="s">
        <v>482</v>
      </c>
      <c r="G738" s="1319" t="s">
        <v>483</v>
      </c>
      <c r="H738" s="1319" t="s">
        <v>170</v>
      </c>
      <c r="I738" s="1319" t="s">
        <v>171</v>
      </c>
      <c r="J738" s="2901"/>
      <c r="K738" s="2901"/>
      <c r="L738" s="2901"/>
    </row>
    <row r="739" spans="1:12" s="1918" customFormat="1" ht="16.8">
      <c r="A739" s="1319" t="s">
        <v>345</v>
      </c>
      <c r="B739" s="1320" t="s">
        <v>6439</v>
      </c>
      <c r="C739" s="1322">
        <v>1.9</v>
      </c>
      <c r="D739" s="1323" t="s">
        <v>346</v>
      </c>
      <c r="E739" s="1324">
        <f>+OFICI</f>
        <v>80479.625344</v>
      </c>
      <c r="F739" s="1324"/>
      <c r="G739" s="1324"/>
      <c r="H739" s="1324">
        <f>+E739*C739</f>
        <v>152911.28815360001</v>
      </c>
      <c r="I739" s="1324"/>
      <c r="J739" s="2901"/>
      <c r="K739" s="2901"/>
      <c r="L739" s="2901"/>
    </row>
    <row r="740" spans="1:12" s="1918" customFormat="1" ht="16.8">
      <c r="A740" s="1319" t="s">
        <v>348</v>
      </c>
      <c r="B740" s="1320" t="s">
        <v>6579</v>
      </c>
      <c r="C740" s="1322">
        <v>1.9</v>
      </c>
      <c r="D740" s="1323" t="s">
        <v>346</v>
      </c>
      <c r="E740" s="1324">
        <f>+AYUDR</f>
        <v>50299.76584</v>
      </c>
      <c r="F740" s="1324"/>
      <c r="G740" s="1324"/>
      <c r="H740" s="1324">
        <f>+E740*C740</f>
        <v>95569.555095999996</v>
      </c>
      <c r="I740" s="1324"/>
      <c r="J740" s="2901"/>
      <c r="K740" s="2901"/>
      <c r="L740" s="2901"/>
    </row>
    <row r="741" spans="1:12" s="1918" customFormat="1" ht="16.8">
      <c r="A741" s="1319" t="s">
        <v>172</v>
      </c>
      <c r="B741" s="1320" t="s">
        <v>189</v>
      </c>
      <c r="C741" s="1322">
        <v>1</v>
      </c>
      <c r="D741" s="1323" t="s">
        <v>583</v>
      </c>
      <c r="E741" s="1324">
        <f>+H742*0.05</f>
        <v>12424.04216248</v>
      </c>
      <c r="F741" s="1324"/>
      <c r="G741" s="1324"/>
      <c r="H741" s="1324"/>
      <c r="I741" s="1324">
        <f>+E741*C741</f>
        <v>12424.04216248</v>
      </c>
      <c r="J741" s="2901"/>
      <c r="K741" s="2901"/>
      <c r="L741" s="2901"/>
    </row>
    <row r="742" spans="1:12" s="1918" customFormat="1" ht="16.8">
      <c r="A742" s="1325" t="s">
        <v>190</v>
      </c>
      <c r="B742" s="1326">
        <f>ROUND(SUM(F742:I742),0)</f>
        <v>260905</v>
      </c>
      <c r="C742" s="1323"/>
      <c r="D742" s="1327"/>
      <c r="E742" s="1319"/>
      <c r="F742" s="1324">
        <f>SUM(F739:F741)</f>
        <v>0</v>
      </c>
      <c r="G742" s="1324">
        <f>SUM(G739:G740)</f>
        <v>0</v>
      </c>
      <c r="H742" s="1324">
        <f>SUM(H739:H740)</f>
        <v>248480.8432496</v>
      </c>
      <c r="I742" s="1324">
        <f>SUM(I739:I741)</f>
        <v>12424.04216248</v>
      </c>
      <c r="J742" s="2901"/>
      <c r="K742" s="2901"/>
      <c r="L742" s="2901"/>
    </row>
    <row r="743" spans="1:12" ht="16.8">
      <c r="A743" s="1325" t="s">
        <v>191</v>
      </c>
      <c r="B743" s="1326">
        <f>+B742</f>
        <v>260905</v>
      </c>
      <c r="C743" s="1328" t="s">
        <v>133</v>
      </c>
      <c r="D743" s="1329"/>
      <c r="E743" s="1329">
        <f>+B751*0.15</f>
        <v>267343.34999999998</v>
      </c>
      <c r="F743" s="1329"/>
      <c r="G743" s="1329"/>
      <c r="H743" s="1330"/>
      <c r="I743" s="1330"/>
    </row>
    <row r="744" spans="1:12" s="1918" customFormat="1" ht="21.75" customHeight="1">
      <c r="A744" s="492"/>
      <c r="B744" s="492"/>
      <c r="C744" s="492"/>
      <c r="D744" s="492"/>
      <c r="E744" s="492"/>
      <c r="F744" s="492"/>
      <c r="G744" s="492"/>
      <c r="H744" s="492"/>
      <c r="I744" s="492"/>
      <c r="J744" s="2901"/>
      <c r="K744" s="2901">
        <f>0.05*1</f>
        <v>0.05</v>
      </c>
      <c r="L744" s="2901"/>
    </row>
    <row r="745" spans="1:12" s="1918" customFormat="1" ht="16.8">
      <c r="A745" s="1318"/>
      <c r="B745" s="3849" t="s">
        <v>7112</v>
      </c>
      <c r="C745" s="3849"/>
      <c r="D745" s="3849"/>
      <c r="E745" s="3849"/>
      <c r="F745" s="3849"/>
      <c r="G745" s="3849"/>
      <c r="H745" s="3849"/>
      <c r="I745" s="3849"/>
      <c r="J745" s="2901"/>
      <c r="K745" s="2901"/>
      <c r="L745" s="2901"/>
    </row>
    <row r="746" spans="1:12" s="1918" customFormat="1" ht="30.75" customHeight="1">
      <c r="A746" s="1319"/>
      <c r="B746" s="1320"/>
      <c r="C746" s="1319" t="s">
        <v>140</v>
      </c>
      <c r="D746" s="1319" t="s">
        <v>343</v>
      </c>
      <c r="E746" s="1319" t="s">
        <v>344</v>
      </c>
      <c r="F746" s="1319" t="s">
        <v>482</v>
      </c>
      <c r="G746" s="1319" t="s">
        <v>483</v>
      </c>
      <c r="H746" s="1319" t="s">
        <v>170</v>
      </c>
      <c r="I746" s="1319" t="s">
        <v>171</v>
      </c>
      <c r="J746" s="2901"/>
      <c r="K746" s="2901"/>
      <c r="L746" s="2901"/>
    </row>
    <row r="747" spans="1:12" s="1918" customFormat="1" ht="16.8">
      <c r="A747" s="1319"/>
      <c r="B747" s="1335" t="s">
        <v>7111</v>
      </c>
      <c r="C747" s="1336">
        <v>1</v>
      </c>
      <c r="D747" s="1337" t="s">
        <v>150</v>
      </c>
      <c r="E747" s="1338">
        <f>+'BASE 2'!D568</f>
        <v>1676888.5</v>
      </c>
      <c r="F747" s="1336"/>
      <c r="G747" s="1338">
        <f>+E747*C747</f>
        <v>1676888.5</v>
      </c>
      <c r="H747" s="1336"/>
      <c r="I747" s="1336"/>
      <c r="J747" s="2901"/>
      <c r="K747" s="2901"/>
      <c r="L747" s="2901"/>
    </row>
    <row r="748" spans="1:12" s="1918" customFormat="1" ht="16.8">
      <c r="A748" s="1319"/>
      <c r="B748" s="1335" t="s">
        <v>6455</v>
      </c>
      <c r="C748" s="1336">
        <v>1</v>
      </c>
      <c r="D748" s="1337" t="s">
        <v>150</v>
      </c>
      <c r="E748" s="1338">
        <f>+'BASE 2'!D625</f>
        <v>91000</v>
      </c>
      <c r="F748" s="1336"/>
      <c r="G748" s="1338">
        <f>+E748*C748</f>
        <v>91000</v>
      </c>
      <c r="H748" s="1336"/>
      <c r="I748" s="1336"/>
      <c r="J748" s="2901"/>
      <c r="K748" s="2901"/>
      <c r="L748" s="2901"/>
    </row>
    <row r="749" spans="1:12" s="1918" customFormat="1" ht="16.8">
      <c r="A749" s="1319"/>
      <c r="B749" s="1320" t="s">
        <v>4727</v>
      </c>
      <c r="C749" s="1919">
        <v>1.2E-2</v>
      </c>
      <c r="D749" s="1921" t="s">
        <v>583</v>
      </c>
      <c r="E749" s="1324">
        <f>+VIAJE</f>
        <v>1200000</v>
      </c>
      <c r="F749" s="1324"/>
      <c r="G749" s="1324"/>
      <c r="H749" s="1324"/>
      <c r="I749" s="1324">
        <f>+E749*C749</f>
        <v>14400</v>
      </c>
      <c r="J749" s="2901"/>
      <c r="K749" s="2901"/>
      <c r="L749" s="2901"/>
    </row>
    <row r="750" spans="1:12" s="1918" customFormat="1" ht="16.8">
      <c r="A750" s="1325" t="s">
        <v>190</v>
      </c>
      <c r="B750" s="1326">
        <f>ROUND(SUM(F750:I750),0)</f>
        <v>1782289</v>
      </c>
      <c r="C750" s="1323"/>
      <c r="D750" s="1327"/>
      <c r="E750" s="1319"/>
      <c r="F750" s="1324">
        <f>SUM(F747:F749)</f>
        <v>0</v>
      </c>
      <c r="G750" s="1324">
        <f>SUM(G747:G749)</f>
        <v>1767888.5</v>
      </c>
      <c r="H750" s="1324">
        <f t="shared" ref="H750:I750" si="40">SUM(H747:H749)</f>
        <v>0</v>
      </c>
      <c r="I750" s="1324">
        <f t="shared" si="40"/>
        <v>14400</v>
      </c>
      <c r="J750" s="2901"/>
      <c r="K750" s="2901"/>
      <c r="L750" s="2901"/>
    </row>
    <row r="751" spans="1:12" s="2747" customFormat="1" ht="16.8">
      <c r="A751" s="1325" t="s">
        <v>191</v>
      </c>
      <c r="B751" s="1326">
        <f>+B750</f>
        <v>1782289</v>
      </c>
      <c r="C751" s="1328" t="s">
        <v>133</v>
      </c>
      <c r="D751" s="1329"/>
      <c r="E751" s="1329"/>
      <c r="F751" s="1329"/>
      <c r="G751" s="1329"/>
      <c r="H751" s="1330"/>
      <c r="I751" s="1330"/>
      <c r="J751" s="2901"/>
      <c r="K751" s="2901"/>
      <c r="L751" s="2901"/>
    </row>
    <row r="754" spans="1:12" s="61" customFormat="1" ht="18">
      <c r="A754" s="3616" t="s">
        <v>8053</v>
      </c>
      <c r="B754" s="3617"/>
      <c r="C754" s="3617"/>
      <c r="D754" s="3617"/>
      <c r="E754" s="3617"/>
      <c r="F754" s="3617"/>
      <c r="G754" s="3617"/>
      <c r="H754" s="3617"/>
      <c r="I754" s="3618"/>
      <c r="J754" s="2894"/>
      <c r="K754" s="2894"/>
      <c r="L754" s="2894"/>
    </row>
    <row r="756" spans="1:12" s="1918" customFormat="1" ht="16.8">
      <c r="A756" s="1318"/>
      <c r="B756" s="3849" t="s">
        <v>4842</v>
      </c>
      <c r="C756" s="3849"/>
      <c r="D756" s="3849"/>
      <c r="E756" s="3849"/>
      <c r="F756" s="3849"/>
      <c r="G756" s="3849"/>
      <c r="H756" s="3849"/>
      <c r="I756" s="3849"/>
      <c r="J756" s="2901"/>
      <c r="K756" s="2901"/>
      <c r="L756" s="2901"/>
    </row>
    <row r="757" spans="1:12" s="1918" customFormat="1" ht="16.8">
      <c r="A757" s="1319"/>
      <c r="C757" s="1319" t="s">
        <v>140</v>
      </c>
      <c r="D757" s="1319" t="s">
        <v>343</v>
      </c>
      <c r="E757" s="1319" t="s">
        <v>344</v>
      </c>
      <c r="F757" s="1319" t="s">
        <v>482</v>
      </c>
      <c r="G757" s="1319" t="s">
        <v>483</v>
      </c>
      <c r="H757" s="1319" t="s">
        <v>170</v>
      </c>
      <c r="I757" s="1319" t="s">
        <v>171</v>
      </c>
      <c r="J757" s="2901"/>
      <c r="K757" s="2901"/>
      <c r="L757" s="2901"/>
    </row>
    <row r="758" spans="1:12" s="1918" customFormat="1" ht="16.8">
      <c r="A758" s="1319" t="s">
        <v>345</v>
      </c>
      <c r="B758" s="1320" t="s">
        <v>6439</v>
      </c>
      <c r="C758" s="1322">
        <f>1/20</f>
        <v>0.05</v>
      </c>
      <c r="D758" s="1323" t="s">
        <v>346</v>
      </c>
      <c r="E758" s="1324">
        <f>+OFICI</f>
        <v>80479.625344</v>
      </c>
      <c r="F758" s="1324"/>
      <c r="G758" s="1324"/>
      <c r="H758" s="1324">
        <f>+E758*C758</f>
        <v>4023.9812672000003</v>
      </c>
      <c r="I758" s="1324"/>
      <c r="J758" s="2901"/>
      <c r="K758" s="2901"/>
      <c r="L758" s="2901"/>
    </row>
    <row r="759" spans="1:12" s="1918" customFormat="1" ht="16.8">
      <c r="A759" s="1319" t="s">
        <v>348</v>
      </c>
      <c r="B759" s="1320" t="s">
        <v>966</v>
      </c>
      <c r="C759" s="1322">
        <f>1/20</f>
        <v>0.05</v>
      </c>
      <c r="D759" s="1323" t="s">
        <v>346</v>
      </c>
      <c r="E759" s="1324">
        <f>+AYUDR</f>
        <v>50299.76584</v>
      </c>
      <c r="F759" s="1324"/>
      <c r="G759" s="1324"/>
      <c r="H759" s="1324">
        <f>+E759*C759</f>
        <v>2514.988292</v>
      </c>
      <c r="I759" s="1324"/>
      <c r="J759" s="2901"/>
      <c r="K759" s="2901"/>
      <c r="L759" s="2901"/>
    </row>
    <row r="760" spans="1:12" s="1918" customFormat="1" ht="16.8">
      <c r="A760" s="1319" t="s">
        <v>172</v>
      </c>
      <c r="B760" s="1320" t="s">
        <v>189</v>
      </c>
      <c r="C760" s="1322">
        <v>1</v>
      </c>
      <c r="D760" s="1323" t="s">
        <v>583</v>
      </c>
      <c r="E760" s="1324">
        <f>+H761*0.05</f>
        <v>326.94847796000005</v>
      </c>
      <c r="F760" s="1324"/>
      <c r="G760" s="1324"/>
      <c r="H760" s="1324"/>
      <c r="I760" s="1324">
        <f>+E760*C760</f>
        <v>326.94847796000005</v>
      </c>
      <c r="J760" s="2901"/>
      <c r="K760" s="2901"/>
      <c r="L760" s="2901"/>
    </row>
    <row r="761" spans="1:12" s="1918" customFormat="1" ht="16.8">
      <c r="A761" s="1325" t="s">
        <v>190</v>
      </c>
      <c r="B761" s="1326">
        <f>ROUND(SUM(F761:I761),0)</f>
        <v>6866</v>
      </c>
      <c r="C761" s="1323"/>
      <c r="D761" s="1327"/>
      <c r="E761" s="1319"/>
      <c r="F761" s="1324">
        <f>SUM(F758:F760)</f>
        <v>0</v>
      </c>
      <c r="G761" s="1324">
        <f>SUM(G758:G759)</f>
        <v>0</v>
      </c>
      <c r="H761" s="1324">
        <f>SUM(H758:H759)</f>
        <v>6538.9695592000007</v>
      </c>
      <c r="I761" s="1324">
        <f>SUM(I758:I760)</f>
        <v>326.94847796000005</v>
      </c>
      <c r="J761" s="2901"/>
      <c r="K761" s="2901"/>
      <c r="L761" s="2901"/>
    </row>
    <row r="762" spans="1:12" s="2747" customFormat="1" ht="16.8">
      <c r="A762" s="1325" t="s">
        <v>191</v>
      </c>
      <c r="B762" s="1326">
        <f>+B761</f>
        <v>6866</v>
      </c>
      <c r="C762" s="1328" t="s">
        <v>45</v>
      </c>
      <c r="D762" s="1329"/>
      <c r="E762" s="1329"/>
      <c r="F762" s="1329"/>
      <c r="G762" s="1329"/>
      <c r="H762" s="1330"/>
      <c r="I762" s="1330"/>
      <c r="J762" s="2901"/>
      <c r="K762" s="2901"/>
      <c r="L762" s="2901"/>
    </row>
    <row r="763" spans="1:12" s="1918" customFormat="1" ht="15.75" customHeight="1">
      <c r="A763" s="1339"/>
      <c r="B763" s="1340"/>
      <c r="C763" s="1341"/>
      <c r="D763" s="1329"/>
      <c r="E763" s="1329"/>
      <c r="F763" s="1329"/>
      <c r="G763" s="1329"/>
      <c r="H763" s="1330"/>
      <c r="I763" s="1330"/>
      <c r="J763" s="2901"/>
      <c r="K763" s="2901">
        <f>0.05*1</f>
        <v>0.05</v>
      </c>
      <c r="L763" s="2901"/>
    </row>
    <row r="764" spans="1:12" s="1918" customFormat="1" ht="16.8">
      <c r="A764" s="1318"/>
      <c r="B764" s="3849" t="s">
        <v>6976</v>
      </c>
      <c r="C764" s="3849"/>
      <c r="D764" s="3849"/>
      <c r="E764" s="3849"/>
      <c r="F764" s="3849"/>
      <c r="G764" s="3849"/>
      <c r="H764" s="3849"/>
      <c r="I764" s="3849"/>
      <c r="J764" s="2901"/>
      <c r="K764" s="2901"/>
      <c r="L764" s="2901"/>
    </row>
    <row r="765" spans="1:12" s="1918" customFormat="1" ht="16.8">
      <c r="A765" s="1319"/>
      <c r="C765" s="1319" t="s">
        <v>140</v>
      </c>
      <c r="D765" s="1319" t="s">
        <v>343</v>
      </c>
      <c r="E765" s="1319" t="s">
        <v>344</v>
      </c>
      <c r="F765" s="1319" t="s">
        <v>482</v>
      </c>
      <c r="G765" s="1319" t="s">
        <v>483</v>
      </c>
      <c r="H765" s="1319" t="s">
        <v>170</v>
      </c>
      <c r="I765" s="1319" t="s">
        <v>171</v>
      </c>
      <c r="J765" s="2901"/>
      <c r="K765" s="2901"/>
      <c r="L765" s="2901"/>
    </row>
    <row r="766" spans="1:12" s="1918" customFormat="1" ht="50.4">
      <c r="A766" s="1319"/>
      <c r="B766" s="1335" t="s">
        <v>6975</v>
      </c>
      <c r="C766" s="2176">
        <v>1</v>
      </c>
      <c r="D766" s="1336" t="s">
        <v>45</v>
      </c>
      <c r="E766" s="1338">
        <f>+'BASE 2'!D668</f>
        <v>208250</v>
      </c>
      <c r="F766" s="1336"/>
      <c r="G766" s="1338">
        <f>+E766*C766</f>
        <v>208250</v>
      </c>
      <c r="H766" s="1336"/>
      <c r="I766" s="1336"/>
      <c r="J766" s="2901"/>
      <c r="K766" s="2901"/>
      <c r="L766" s="2901"/>
    </row>
    <row r="767" spans="1:12" s="1918" customFormat="1" ht="16.8">
      <c r="A767" s="1319"/>
      <c r="B767" s="1320" t="s">
        <v>4727</v>
      </c>
      <c r="C767" s="1919">
        <v>1.2E-2</v>
      </c>
      <c r="D767" s="1921" t="s">
        <v>583</v>
      </c>
      <c r="E767" s="1324">
        <f>+VIAJE</f>
        <v>1200000</v>
      </c>
      <c r="F767" s="1324"/>
      <c r="G767" s="1324"/>
      <c r="H767" s="1324"/>
      <c r="I767" s="2149">
        <f>+E767*C767</f>
        <v>14400</v>
      </c>
      <c r="J767" s="2901"/>
      <c r="K767" s="2901"/>
      <c r="L767" s="2901"/>
    </row>
    <row r="768" spans="1:12" s="1918" customFormat="1" ht="16.8">
      <c r="A768" s="1325" t="s">
        <v>190</v>
      </c>
      <c r="B768" s="1326">
        <f>ROUND(SUM(F768:I768),0)</f>
        <v>222650</v>
      </c>
      <c r="C768" s="1323"/>
      <c r="D768" s="1327"/>
      <c r="E768" s="1319"/>
      <c r="F768" s="1324">
        <f>+SUM(F766:F766)</f>
        <v>0</v>
      </c>
      <c r="G768" s="1324">
        <f>+SUM(G766:G767)</f>
        <v>208250</v>
      </c>
      <c r="H768" s="1324">
        <f t="shared" ref="H768:I768" si="41">+SUM(H766:H767)</f>
        <v>0</v>
      </c>
      <c r="I768" s="1324">
        <f t="shared" si="41"/>
        <v>14400</v>
      </c>
      <c r="J768" s="2901"/>
      <c r="K768" s="2901"/>
      <c r="L768" s="2901"/>
    </row>
    <row r="769" spans="1:12" ht="16.8">
      <c r="A769" s="1325" t="s">
        <v>191</v>
      </c>
      <c r="B769" s="1326">
        <f>+B768</f>
        <v>222650</v>
      </c>
      <c r="C769" s="1328" t="s">
        <v>45</v>
      </c>
      <c r="D769" s="1329"/>
      <c r="E769" s="1329"/>
      <c r="F769" s="1329"/>
      <c r="G769" s="1329"/>
      <c r="H769" s="1330"/>
      <c r="I769" s="1330"/>
    </row>
    <row r="771" spans="1:12" s="1918" customFormat="1" ht="16.8">
      <c r="A771" s="1318"/>
      <c r="B771" s="3849" t="s">
        <v>6980</v>
      </c>
      <c r="C771" s="3849"/>
      <c r="D771" s="3849"/>
      <c r="E771" s="3849"/>
      <c r="F771" s="3849"/>
      <c r="G771" s="3849"/>
      <c r="H771" s="3849"/>
      <c r="I771" s="3849"/>
      <c r="J771" s="2901"/>
      <c r="K771" s="2901"/>
      <c r="L771" s="2901"/>
    </row>
    <row r="772" spans="1:12" s="1918" customFormat="1" ht="16.8">
      <c r="A772" s="1319"/>
      <c r="B772" s="1320"/>
      <c r="C772" s="1319" t="s">
        <v>140</v>
      </c>
      <c r="D772" s="1319" t="s">
        <v>343</v>
      </c>
      <c r="E772" s="1319" t="s">
        <v>344</v>
      </c>
      <c r="F772" s="1319" t="s">
        <v>482</v>
      </c>
      <c r="G772" s="1319" t="s">
        <v>483</v>
      </c>
      <c r="H772" s="1319" t="s">
        <v>170</v>
      </c>
      <c r="I772" s="1319" t="s">
        <v>171</v>
      </c>
      <c r="J772" s="2901"/>
      <c r="K772" s="2901"/>
      <c r="L772" s="2901"/>
    </row>
    <row r="773" spans="1:12" s="1918" customFormat="1" ht="16.8">
      <c r="A773" s="1319" t="s">
        <v>345</v>
      </c>
      <c r="B773" s="1320" t="s">
        <v>965</v>
      </c>
      <c r="C773" s="1322">
        <v>0.44</v>
      </c>
      <c r="D773" s="1323" t="s">
        <v>346</v>
      </c>
      <c r="E773" s="1324">
        <f>+OFICI</f>
        <v>80479.625344</v>
      </c>
      <c r="F773" s="1324"/>
      <c r="G773" s="1324"/>
      <c r="H773" s="1324">
        <f>+E773*C773</f>
        <v>35411.035151360004</v>
      </c>
      <c r="I773" s="1324"/>
      <c r="J773" s="2901"/>
      <c r="K773" s="2901"/>
      <c r="L773" s="2901"/>
    </row>
    <row r="774" spans="1:12" s="1918" customFormat="1" ht="16.8">
      <c r="A774" s="1319" t="s">
        <v>348</v>
      </c>
      <c r="B774" s="1320" t="s">
        <v>6579</v>
      </c>
      <c r="C774" s="1322">
        <v>0.44</v>
      </c>
      <c r="D774" s="1323" t="s">
        <v>346</v>
      </c>
      <c r="E774" s="1324">
        <f>+AYUDR</f>
        <v>50299.76584</v>
      </c>
      <c r="F774" s="1324"/>
      <c r="G774" s="1324"/>
      <c r="H774" s="1324">
        <f>+E774*C774</f>
        <v>22131.896969599999</v>
      </c>
      <c r="I774" s="1324"/>
      <c r="J774" s="2901"/>
      <c r="K774" s="2901"/>
      <c r="L774" s="2901"/>
    </row>
    <row r="775" spans="1:12" s="1918" customFormat="1" ht="16.8">
      <c r="A775" s="1319" t="s">
        <v>172</v>
      </c>
      <c r="B775" s="1320" t="s">
        <v>189</v>
      </c>
      <c r="C775" s="1322">
        <v>1</v>
      </c>
      <c r="D775" s="1323" t="s">
        <v>583</v>
      </c>
      <c r="E775" s="1324">
        <f>+H776*0.05</f>
        <v>2877.1466060480002</v>
      </c>
      <c r="F775" s="1324"/>
      <c r="G775" s="1324"/>
      <c r="H775" s="1324"/>
      <c r="I775" s="1324">
        <f>+E775*C775</f>
        <v>2877.1466060480002</v>
      </c>
      <c r="J775" s="2901"/>
      <c r="K775" s="2901"/>
      <c r="L775" s="2901"/>
    </row>
    <row r="776" spans="1:12" s="1918" customFormat="1" ht="16.8">
      <c r="A776" s="1325" t="s">
        <v>190</v>
      </c>
      <c r="B776" s="1326">
        <f>ROUND(SUM(F776:I776),0)</f>
        <v>60420</v>
      </c>
      <c r="C776" s="1323"/>
      <c r="D776" s="1327"/>
      <c r="E776" s="1319"/>
      <c r="F776" s="1324">
        <f>SUM(F773:F775)</f>
        <v>0</v>
      </c>
      <c r="G776" s="1324">
        <f>SUM(G773:G774)</f>
        <v>0</v>
      </c>
      <c r="H776" s="1324">
        <f>SUM(H773:H774)</f>
        <v>57542.932120960002</v>
      </c>
      <c r="I776" s="1324">
        <f>SUM(I773:I775)</f>
        <v>2877.1466060480002</v>
      </c>
      <c r="J776" s="2901"/>
      <c r="K776" s="2901"/>
      <c r="L776" s="2901"/>
    </row>
    <row r="777" spans="1:12" ht="16.8">
      <c r="A777" s="1325" t="s">
        <v>191</v>
      </c>
      <c r="B777" s="1326">
        <f>+B776</f>
        <v>60420</v>
      </c>
      <c r="C777" s="1328" t="s">
        <v>150</v>
      </c>
      <c r="D777" s="1329"/>
      <c r="E777" s="1329">
        <f>+B784*0.15</f>
        <v>60172.5</v>
      </c>
      <c r="F777" s="1329"/>
      <c r="G777" s="1329"/>
      <c r="H777" s="1330"/>
      <c r="I777" s="1330"/>
    </row>
    <row r="778" spans="1:12" s="1918" customFormat="1" ht="15.75" customHeight="1">
      <c r="A778" s="492"/>
      <c r="B778" s="492"/>
      <c r="C778" s="492"/>
      <c r="D778" s="492"/>
      <c r="E778" s="492"/>
      <c r="F778" s="492"/>
      <c r="G778" s="492"/>
      <c r="H778" s="492"/>
      <c r="I778" s="492"/>
      <c r="J778" s="2901"/>
      <c r="K778" s="2901">
        <f>0.05*1</f>
        <v>0.05</v>
      </c>
      <c r="L778" s="2901"/>
    </row>
    <row r="779" spans="1:12" s="1918" customFormat="1" ht="16.8">
      <c r="A779" s="1318"/>
      <c r="B779" s="3849" t="s">
        <v>6979</v>
      </c>
      <c r="C779" s="3849"/>
      <c r="D779" s="3849"/>
      <c r="E779" s="3849"/>
      <c r="F779" s="3849"/>
      <c r="G779" s="3849"/>
      <c r="H779" s="3849"/>
      <c r="I779" s="3849"/>
      <c r="J779" s="2901"/>
      <c r="K779" s="2901"/>
      <c r="L779" s="2901"/>
    </row>
    <row r="780" spans="1:12" s="1918" customFormat="1" ht="16.8">
      <c r="A780" s="1319"/>
      <c r="B780" s="1320"/>
      <c r="C780" s="1319" t="s">
        <v>140</v>
      </c>
      <c r="D780" s="1319" t="s">
        <v>343</v>
      </c>
      <c r="E780" s="1319" t="s">
        <v>344</v>
      </c>
      <c r="F780" s="1319" t="s">
        <v>482</v>
      </c>
      <c r="G780" s="1319" t="s">
        <v>483</v>
      </c>
      <c r="H780" s="1319" t="s">
        <v>170</v>
      </c>
      <c r="I780" s="1319" t="s">
        <v>171</v>
      </c>
      <c r="J780" s="2901"/>
      <c r="K780" s="2901"/>
      <c r="L780" s="2901"/>
    </row>
    <row r="781" spans="1:12" s="1918" customFormat="1" ht="33.6">
      <c r="A781" s="1319"/>
      <c r="B781" s="1335" t="s">
        <v>6978</v>
      </c>
      <c r="C781" s="1922">
        <v>1</v>
      </c>
      <c r="D781" s="1920" t="s">
        <v>133</v>
      </c>
      <c r="E781" s="1374">
        <f>+'BASE 2'!D669</f>
        <v>386750</v>
      </c>
      <c r="F781" s="1374"/>
      <c r="G781" s="1374">
        <f>+E781*C781</f>
        <v>386750</v>
      </c>
      <c r="H781" s="1374"/>
      <c r="I781" s="1374"/>
      <c r="J781" s="2901"/>
      <c r="K781" s="2901"/>
      <c r="L781" s="2901"/>
    </row>
    <row r="782" spans="1:12" s="1918" customFormat="1" ht="16.8">
      <c r="A782" s="1319"/>
      <c r="B782" s="1320" t="s">
        <v>4727</v>
      </c>
      <c r="C782" s="1919">
        <v>1.2E-2</v>
      </c>
      <c r="D782" s="1921" t="s">
        <v>583</v>
      </c>
      <c r="E782" s="1324">
        <f>+VIAJE</f>
        <v>1200000</v>
      </c>
      <c r="F782" s="1324"/>
      <c r="G782" s="1324"/>
      <c r="H782" s="1324"/>
      <c r="I782" s="2149">
        <f>+E782*C782</f>
        <v>14400</v>
      </c>
      <c r="J782" s="2901"/>
      <c r="K782" s="2901"/>
      <c r="L782" s="2901"/>
    </row>
    <row r="783" spans="1:12" s="1918" customFormat="1" ht="16.8">
      <c r="A783" s="1325" t="s">
        <v>190</v>
      </c>
      <c r="B783" s="1326">
        <f>ROUND(SUM(F783:I783),0)</f>
        <v>401150</v>
      </c>
      <c r="C783" s="1323"/>
      <c r="D783" s="1327"/>
      <c r="E783" s="1319"/>
      <c r="F783" s="1324">
        <f>SUM(F781:F781)</f>
        <v>0</v>
      </c>
      <c r="G783" s="1324">
        <f>SUM(G781:G782)</f>
        <v>386750</v>
      </c>
      <c r="H783" s="1324">
        <f>SUM(H781:H781)</f>
        <v>0</v>
      </c>
      <c r="I783" s="2149">
        <f>+I782</f>
        <v>14400</v>
      </c>
      <c r="J783" s="2901"/>
      <c r="K783" s="2901"/>
      <c r="L783" s="2901"/>
    </row>
    <row r="784" spans="1:12" ht="16.8">
      <c r="A784" s="1325" t="s">
        <v>191</v>
      </c>
      <c r="B784" s="1326">
        <f>+B783</f>
        <v>401150</v>
      </c>
      <c r="C784" s="1328" t="s">
        <v>150</v>
      </c>
      <c r="D784" s="1329"/>
      <c r="E784" s="1329"/>
      <c r="F784" s="1329"/>
      <c r="G784" s="1329"/>
      <c r="H784" s="1330"/>
      <c r="I784" s="1330"/>
    </row>
    <row r="786" spans="1:12" s="1918" customFormat="1" ht="16.8">
      <c r="A786" s="1318"/>
      <c r="B786" s="3849" t="s">
        <v>6984</v>
      </c>
      <c r="C786" s="3849"/>
      <c r="D786" s="3849"/>
      <c r="E786" s="3849"/>
      <c r="F786" s="3849"/>
      <c r="G786" s="3849"/>
      <c r="H786" s="3849"/>
      <c r="I786" s="3849"/>
      <c r="J786" s="2901"/>
      <c r="K786" s="2901"/>
      <c r="L786" s="2901"/>
    </row>
    <row r="787" spans="1:12" s="1918" customFormat="1" ht="16.8">
      <c r="A787" s="1319"/>
      <c r="B787" s="1320"/>
      <c r="C787" s="1319" t="s">
        <v>140</v>
      </c>
      <c r="D787" s="1319" t="s">
        <v>343</v>
      </c>
      <c r="E787" s="1319" t="s">
        <v>344</v>
      </c>
      <c r="F787" s="1319" t="s">
        <v>482</v>
      </c>
      <c r="G787" s="1319" t="s">
        <v>483</v>
      </c>
      <c r="H787" s="1319" t="s">
        <v>170</v>
      </c>
      <c r="I787" s="1319" t="s">
        <v>171</v>
      </c>
      <c r="J787" s="2901"/>
      <c r="K787" s="2901"/>
      <c r="L787" s="2901"/>
    </row>
    <row r="788" spans="1:12" s="1918" customFormat="1" ht="16.8">
      <c r="A788" s="1319" t="s">
        <v>345</v>
      </c>
      <c r="B788" s="1320" t="s">
        <v>965</v>
      </c>
      <c r="C788" s="1322">
        <f>1/12</f>
        <v>8.3333333333333329E-2</v>
      </c>
      <c r="D788" s="1323" t="s">
        <v>346</v>
      </c>
      <c r="E788" s="1324">
        <f>+OFICI</f>
        <v>80479.625344</v>
      </c>
      <c r="F788" s="1324"/>
      <c r="G788" s="1324"/>
      <c r="H788" s="1324">
        <f>+E788*C788</f>
        <v>6706.6354453333333</v>
      </c>
      <c r="I788" s="1324"/>
      <c r="J788" s="2901"/>
      <c r="K788" s="2901"/>
      <c r="L788" s="2901"/>
    </row>
    <row r="789" spans="1:12" s="1918" customFormat="1" ht="16.8">
      <c r="A789" s="1319" t="s">
        <v>348</v>
      </c>
      <c r="B789" s="1320" t="s">
        <v>6579</v>
      </c>
      <c r="C789" s="1322">
        <f>1/12</f>
        <v>8.3333333333333329E-2</v>
      </c>
      <c r="D789" s="1323" t="s">
        <v>346</v>
      </c>
      <c r="E789" s="1324">
        <f>+AYUDR</f>
        <v>50299.76584</v>
      </c>
      <c r="F789" s="1324"/>
      <c r="G789" s="1324"/>
      <c r="H789" s="1324">
        <f>+E789*C789</f>
        <v>4191.6471533333333</v>
      </c>
      <c r="I789" s="1324"/>
      <c r="J789" s="2901"/>
      <c r="K789" s="2901"/>
      <c r="L789" s="2901"/>
    </row>
    <row r="790" spans="1:12" s="1918" customFormat="1" ht="16.8">
      <c r="A790" s="1319" t="s">
        <v>172</v>
      </c>
      <c r="B790" s="1320" t="s">
        <v>189</v>
      </c>
      <c r="C790" s="1322">
        <v>1</v>
      </c>
      <c r="D790" s="1323" t="s">
        <v>583</v>
      </c>
      <c r="E790" s="1324">
        <f>+H791*0.05</f>
        <v>544.91412993333336</v>
      </c>
      <c r="F790" s="1324"/>
      <c r="G790" s="1324"/>
      <c r="H790" s="1324"/>
      <c r="I790" s="1324">
        <f>+E790*C790</f>
        <v>544.91412993333336</v>
      </c>
      <c r="J790" s="2901"/>
      <c r="K790" s="2901"/>
      <c r="L790" s="2901"/>
    </row>
    <row r="791" spans="1:12" s="1918" customFormat="1" ht="16.8">
      <c r="A791" s="1325" t="s">
        <v>190</v>
      </c>
      <c r="B791" s="1326">
        <f>ROUND(SUM(F791:I791),0)</f>
        <v>11443</v>
      </c>
      <c r="C791" s="1323"/>
      <c r="D791" s="1327"/>
      <c r="E791" s="1319"/>
      <c r="F791" s="1324">
        <f>SUM(F788:F790)</f>
        <v>0</v>
      </c>
      <c r="G791" s="1324">
        <f>SUM(G788:G789)</f>
        <v>0</v>
      </c>
      <c r="H791" s="1324">
        <f>SUM(H788:H789)</f>
        <v>10898.282598666667</v>
      </c>
      <c r="I791" s="1324">
        <f>SUM(I788:I790)</f>
        <v>544.91412993333336</v>
      </c>
      <c r="J791" s="2901"/>
      <c r="K791" s="2901"/>
      <c r="L791" s="2901"/>
    </row>
    <row r="792" spans="1:12" ht="16.8">
      <c r="A792" s="1325" t="s">
        <v>191</v>
      </c>
      <c r="B792" s="1326">
        <f>+B791</f>
        <v>11443</v>
      </c>
      <c r="C792" s="1328" t="s">
        <v>150</v>
      </c>
      <c r="D792" s="1329"/>
      <c r="E792" s="1329">
        <f>+B799*0.15</f>
        <v>11097</v>
      </c>
      <c r="F792" s="1329"/>
      <c r="G792" s="1329"/>
      <c r="H792" s="1330"/>
      <c r="I792" s="1330"/>
    </row>
    <row r="793" spans="1:12" s="1918" customFormat="1" ht="15.75" customHeight="1">
      <c r="A793" s="492"/>
      <c r="B793" s="492"/>
      <c r="C793" s="492"/>
      <c r="D793" s="492"/>
      <c r="E793" s="492"/>
      <c r="F793" s="492"/>
      <c r="G793" s="492"/>
      <c r="H793" s="492"/>
      <c r="I793" s="492"/>
      <c r="J793" s="2901"/>
      <c r="K793" s="2901">
        <f>0.05*1</f>
        <v>0.05</v>
      </c>
      <c r="L793" s="2901"/>
    </row>
    <row r="794" spans="1:12" s="1918" customFormat="1" ht="16.8">
      <c r="A794" s="1318"/>
      <c r="B794" s="3849" t="s">
        <v>6983</v>
      </c>
      <c r="C794" s="3849"/>
      <c r="D794" s="3849"/>
      <c r="E794" s="3849"/>
      <c r="F794" s="3849"/>
      <c r="G794" s="3849"/>
      <c r="H794" s="3849"/>
      <c r="I794" s="3849"/>
      <c r="J794" s="2901"/>
      <c r="K794" s="2901"/>
      <c r="L794" s="2901"/>
    </row>
    <row r="795" spans="1:12" s="1918" customFormat="1" ht="16.8">
      <c r="A795" s="1319"/>
      <c r="B795" s="1320"/>
      <c r="C795" s="1319" t="s">
        <v>140</v>
      </c>
      <c r="D795" s="1319" t="s">
        <v>343</v>
      </c>
      <c r="E795" s="1319" t="s">
        <v>344</v>
      </c>
      <c r="F795" s="1319" t="s">
        <v>482</v>
      </c>
      <c r="G795" s="1319" t="s">
        <v>483</v>
      </c>
      <c r="H795" s="1319" t="s">
        <v>170</v>
      </c>
      <c r="I795" s="1319" t="s">
        <v>171</v>
      </c>
      <c r="J795" s="2901"/>
      <c r="K795" s="2901"/>
      <c r="L795" s="2901"/>
    </row>
    <row r="796" spans="1:12" s="1918" customFormat="1" ht="33.6">
      <c r="A796" s="1319"/>
      <c r="B796" s="1335" t="s">
        <v>6981</v>
      </c>
      <c r="C796" s="2177">
        <v>0.06</v>
      </c>
      <c r="D796" s="1336" t="s">
        <v>150</v>
      </c>
      <c r="E796" s="1374">
        <f>+'BASE 2'!D670</f>
        <v>833000</v>
      </c>
      <c r="F796" s="1336"/>
      <c r="G796" s="1338">
        <f>+E796*C796</f>
        <v>49980</v>
      </c>
      <c r="H796" s="1336"/>
      <c r="I796" s="1336"/>
      <c r="J796" s="2901"/>
      <c r="K796" s="2901"/>
      <c r="L796" s="2901"/>
    </row>
    <row r="797" spans="1:12" s="1918" customFormat="1" ht="16.8">
      <c r="A797" s="1319"/>
      <c r="B797" s="1320" t="s">
        <v>4727</v>
      </c>
      <c r="C797" s="1919">
        <v>0.02</v>
      </c>
      <c r="D797" s="1921" t="s">
        <v>583</v>
      </c>
      <c r="E797" s="1324">
        <f>+VIAJE</f>
        <v>1200000</v>
      </c>
      <c r="F797" s="1324"/>
      <c r="G797" s="1324"/>
      <c r="H797" s="1324"/>
      <c r="I797" s="2149">
        <f>+E797*C797</f>
        <v>24000</v>
      </c>
      <c r="J797" s="2901"/>
      <c r="K797" s="2901"/>
      <c r="L797" s="2901"/>
    </row>
    <row r="798" spans="1:12" s="1918" customFormat="1" ht="16.8">
      <c r="A798" s="1325" t="s">
        <v>190</v>
      </c>
      <c r="B798" s="1326">
        <f>ROUND(SUM(F798:I798),0)</f>
        <v>73980</v>
      </c>
      <c r="C798" s="1323"/>
      <c r="D798" s="1327"/>
      <c r="E798" s="1319"/>
      <c r="F798" s="1324">
        <f>SUM(F796:F797)</f>
        <v>0</v>
      </c>
      <c r="G798" s="1324">
        <f>SUM(G796:G797)</f>
        <v>49980</v>
      </c>
      <c r="H798" s="1324">
        <f t="shared" ref="H798:I798" si="42">SUM(H796:H797)</f>
        <v>0</v>
      </c>
      <c r="I798" s="2149">
        <f t="shared" si="42"/>
        <v>24000</v>
      </c>
      <c r="J798" s="2901"/>
      <c r="K798" s="2901"/>
      <c r="L798" s="2901"/>
    </row>
    <row r="799" spans="1:12" ht="16.8">
      <c r="A799" s="1325" t="s">
        <v>191</v>
      </c>
      <c r="B799" s="1326">
        <f>+B798</f>
        <v>73980</v>
      </c>
      <c r="C799" s="1328" t="s">
        <v>150</v>
      </c>
      <c r="D799" s="1329"/>
      <c r="E799" s="1329"/>
      <c r="F799" s="1329"/>
      <c r="G799" s="1329"/>
      <c r="H799" s="1330"/>
      <c r="I799" s="1330"/>
    </row>
    <row r="802" spans="1:12" s="61" customFormat="1" ht="18">
      <c r="A802" s="3616" t="s">
        <v>8054</v>
      </c>
      <c r="B802" s="3617"/>
      <c r="C802" s="3617"/>
      <c r="D802" s="3617"/>
      <c r="E802" s="3617"/>
      <c r="F802" s="3617"/>
      <c r="G802" s="3617"/>
      <c r="H802" s="3617"/>
      <c r="I802" s="3618"/>
      <c r="J802" s="2894"/>
      <c r="K802" s="2894"/>
      <c r="L802" s="2894"/>
    </row>
    <row r="804" spans="1:12" s="1918" customFormat="1" ht="16.8">
      <c r="A804" s="1300"/>
      <c r="B804" s="3630" t="s">
        <v>6987</v>
      </c>
      <c r="C804" s="3630"/>
      <c r="D804" s="3630"/>
      <c r="E804" s="3630"/>
      <c r="F804" s="3630"/>
      <c r="G804" s="3630"/>
      <c r="H804" s="3630"/>
      <c r="I804" s="3630"/>
      <c r="J804" s="2901"/>
      <c r="K804" s="2901"/>
      <c r="L804" s="2901"/>
    </row>
    <row r="805" spans="1:12" s="1918" customFormat="1" ht="16.8">
      <c r="A805" s="1301"/>
      <c r="B805" s="1302"/>
      <c r="C805" s="1303" t="s">
        <v>140</v>
      </c>
      <c r="D805" s="1304" t="s">
        <v>343</v>
      </c>
      <c r="E805" s="1305" t="s">
        <v>344</v>
      </c>
      <c r="F805" s="1305" t="s">
        <v>482</v>
      </c>
      <c r="G805" s="1305" t="s">
        <v>483</v>
      </c>
      <c r="H805" s="1305" t="s">
        <v>232</v>
      </c>
      <c r="I805" s="1305" t="s">
        <v>171</v>
      </c>
      <c r="J805" s="2901"/>
      <c r="K805" s="2901"/>
      <c r="L805" s="2901"/>
    </row>
    <row r="806" spans="1:12" s="1918" customFormat="1" ht="16.8">
      <c r="A806" s="1301" t="s">
        <v>172</v>
      </c>
      <c r="B806" s="1302" t="s">
        <v>189</v>
      </c>
      <c r="C806" s="1306">
        <v>1</v>
      </c>
      <c r="D806" s="1307" t="s">
        <v>583</v>
      </c>
      <c r="E806" s="1308">
        <f>+H810*0.05</f>
        <v>22559.444979239997</v>
      </c>
      <c r="F806" s="1308"/>
      <c r="G806" s="1308"/>
      <c r="H806" s="1308"/>
      <c r="I806" s="1308">
        <f>+E806*C806</f>
        <v>22559.444979239997</v>
      </c>
      <c r="J806" s="2901"/>
      <c r="K806" s="2901"/>
      <c r="L806" s="2901"/>
    </row>
    <row r="807" spans="1:12" s="1918" customFormat="1" ht="16.8">
      <c r="A807" s="1309" t="s">
        <v>345</v>
      </c>
      <c r="B807" s="1310" t="s">
        <v>965</v>
      </c>
      <c r="C807" s="2748">
        <v>2.2999999999999998</v>
      </c>
      <c r="D807" s="1307" t="s">
        <v>346</v>
      </c>
      <c r="E807" s="1308">
        <f>+OFICI</f>
        <v>80479.625344</v>
      </c>
      <c r="F807" s="1308"/>
      <c r="G807" s="1308"/>
      <c r="H807" s="1308">
        <f>+E807*C807</f>
        <v>185103.13829119998</v>
      </c>
      <c r="I807" s="1308"/>
      <c r="J807" s="2901"/>
      <c r="K807" s="2901"/>
      <c r="L807" s="2901"/>
    </row>
    <row r="808" spans="1:12" s="1918" customFormat="1" ht="16.8">
      <c r="A808" s="1309" t="s">
        <v>347</v>
      </c>
      <c r="B808" s="1310" t="s">
        <v>266</v>
      </c>
      <c r="C808" s="2748">
        <v>2.2999999999999998</v>
      </c>
      <c r="D808" s="1307" t="s">
        <v>346</v>
      </c>
      <c r="E808" s="1308">
        <f>+AYUDA</f>
        <v>65389.695592000004</v>
      </c>
      <c r="F808" s="1308"/>
      <c r="G808" s="1308"/>
      <c r="H808" s="1308">
        <f>+E808*C808</f>
        <v>150396.29986160001</v>
      </c>
      <c r="I808" s="1308"/>
      <c r="J808" s="2901"/>
      <c r="K808" s="2901"/>
      <c r="L808" s="2901"/>
    </row>
    <row r="809" spans="1:12" s="1918" customFormat="1" ht="16.8">
      <c r="A809" s="1319" t="s">
        <v>348</v>
      </c>
      <c r="B809" s="1310" t="s">
        <v>966</v>
      </c>
      <c r="C809" s="2186">
        <v>2.2999999999999998</v>
      </c>
      <c r="D809" s="1323" t="s">
        <v>346</v>
      </c>
      <c r="E809" s="2149">
        <f>+AYUDR</f>
        <v>50299.76584</v>
      </c>
      <c r="F809" s="1324"/>
      <c r="G809" s="1324"/>
      <c r="H809" s="1324">
        <f>+E809*C809</f>
        <v>115689.461432</v>
      </c>
      <c r="I809" s="1324"/>
      <c r="J809" s="2901"/>
      <c r="K809" s="2901"/>
      <c r="L809" s="2901"/>
    </row>
    <row r="810" spans="1:12" s="1918" customFormat="1" ht="16.8">
      <c r="A810" s="1312" t="s">
        <v>190</v>
      </c>
      <c r="B810" s="1313">
        <f>SUM(F810:I810)</f>
        <v>473748.34456403996</v>
      </c>
      <c r="C810" s="1303"/>
      <c r="D810" s="1307"/>
      <c r="E810" s="1308"/>
      <c r="F810" s="1308">
        <f>+SUM(F806:F809)</f>
        <v>0</v>
      </c>
      <c r="G810" s="1308">
        <f>+SUM(G806:G809)</f>
        <v>0</v>
      </c>
      <c r="H810" s="1308">
        <f>+SUM(H806:H809)</f>
        <v>451188.89958479995</v>
      </c>
      <c r="I810" s="1308">
        <f>+SUM(I806:I809)</f>
        <v>22559.444979239997</v>
      </c>
      <c r="J810" s="2901"/>
      <c r="K810" s="2901"/>
      <c r="L810" s="2901"/>
    </row>
    <row r="811" spans="1:12" ht="16.8">
      <c r="A811" s="1312" t="s">
        <v>191</v>
      </c>
      <c r="B811" s="1313">
        <f>+B810</f>
        <v>473748.34456403996</v>
      </c>
      <c r="C811" s="1314" t="s">
        <v>133</v>
      </c>
      <c r="D811" s="1315"/>
      <c r="E811" s="1316">
        <f>+B818*0.15</f>
        <v>473613</v>
      </c>
      <c r="F811" s="1316"/>
      <c r="G811" s="1316"/>
      <c r="H811" s="1316"/>
      <c r="I811" s="1316"/>
    </row>
    <row r="812" spans="1:12" s="1918" customFormat="1" ht="14.4">
      <c r="A812" s="492"/>
      <c r="B812" s="492"/>
      <c r="C812" s="492"/>
      <c r="D812" s="492"/>
      <c r="E812" s="492"/>
      <c r="F812" s="492"/>
      <c r="G812" s="492"/>
      <c r="H812" s="492"/>
      <c r="I812" s="492"/>
      <c r="J812" s="2901"/>
      <c r="K812" s="2901"/>
      <c r="L812" s="2901"/>
    </row>
    <row r="813" spans="1:12" s="1918" customFormat="1" ht="16.8">
      <c r="A813" s="1300"/>
      <c r="B813" s="3630" t="s">
        <v>6985</v>
      </c>
      <c r="C813" s="3630"/>
      <c r="D813" s="3630"/>
      <c r="E813" s="3630"/>
      <c r="F813" s="3630"/>
      <c r="G813" s="3630"/>
      <c r="H813" s="3630"/>
      <c r="I813" s="3630"/>
      <c r="J813" s="2901"/>
      <c r="K813" s="2901"/>
      <c r="L813" s="2901"/>
    </row>
    <row r="814" spans="1:12" s="1918" customFormat="1" ht="16.8">
      <c r="A814" s="1301"/>
      <c r="B814" s="1302"/>
      <c r="C814" s="1303" t="s">
        <v>140</v>
      </c>
      <c r="D814" s="1304" t="s">
        <v>343</v>
      </c>
      <c r="E814" s="1305" t="s">
        <v>344</v>
      </c>
      <c r="F814" s="1305" t="s">
        <v>482</v>
      </c>
      <c r="G814" s="1305" t="s">
        <v>483</v>
      </c>
      <c r="H814" s="1305" t="s">
        <v>232</v>
      </c>
      <c r="I814" s="1305" t="s">
        <v>171</v>
      </c>
      <c r="J814" s="2901"/>
      <c r="K814" s="2901"/>
      <c r="L814" s="2901"/>
    </row>
    <row r="815" spans="1:12" s="1918" customFormat="1" ht="16.8">
      <c r="A815" s="1301" t="s">
        <v>172</v>
      </c>
      <c r="B815" s="1302" t="s">
        <v>6986</v>
      </c>
      <c r="C815" s="1306">
        <v>1</v>
      </c>
      <c r="D815" s="1307" t="s">
        <v>583</v>
      </c>
      <c r="E815" s="1308">
        <f>+'BASE 2'!D671</f>
        <v>3115420</v>
      </c>
      <c r="F815" s="1308"/>
      <c r="G815" s="1308"/>
      <c r="H815" s="1308"/>
      <c r="I815" s="1308">
        <f>+E815*C815</f>
        <v>3115420</v>
      </c>
      <c r="J815" s="2901"/>
      <c r="K815" s="2901"/>
      <c r="L815" s="2901"/>
    </row>
    <row r="816" spans="1:12" s="1918" customFormat="1" ht="16.8">
      <c r="A816" s="1301" t="s">
        <v>584</v>
      </c>
      <c r="B816" s="1302" t="s">
        <v>134</v>
      </c>
      <c r="C816" s="1311">
        <v>3.5000000000000003E-2</v>
      </c>
      <c r="D816" s="1307" t="s">
        <v>583</v>
      </c>
      <c r="E816" s="1308">
        <f>+VIAJE</f>
        <v>1200000</v>
      </c>
      <c r="F816" s="1308"/>
      <c r="G816" s="1308"/>
      <c r="H816" s="1308"/>
      <c r="I816" s="1308">
        <f>+E816*C816</f>
        <v>42000.000000000007</v>
      </c>
      <c r="J816" s="2901"/>
      <c r="K816" s="2901"/>
      <c r="L816" s="2901"/>
    </row>
    <row r="817" spans="1:12" s="1918" customFormat="1" ht="16.8">
      <c r="A817" s="1312" t="s">
        <v>190</v>
      </c>
      <c r="B817" s="1313">
        <f>SUM(F817:I817)</f>
        <v>3157420</v>
      </c>
      <c r="C817" s="1303"/>
      <c r="D817" s="1307"/>
      <c r="E817" s="1308"/>
      <c r="F817" s="1308">
        <f>+SUM(F815:F816)</f>
        <v>0</v>
      </c>
      <c r="G817" s="1308">
        <f>+SUM(G815:G816)</f>
        <v>0</v>
      </c>
      <c r="H817" s="1308">
        <f>+SUM(H815:H816)</f>
        <v>0</v>
      </c>
      <c r="I817" s="1308">
        <f>+SUM(I815:I816)</f>
        <v>3157420</v>
      </c>
      <c r="J817" s="2901"/>
      <c r="K817" s="2901"/>
      <c r="L817" s="2901"/>
    </row>
    <row r="818" spans="1:12" ht="16.8">
      <c r="A818" s="1312" t="s">
        <v>191</v>
      </c>
      <c r="B818" s="1313">
        <f>+B817</f>
        <v>3157420</v>
      </c>
      <c r="C818" s="1314" t="s">
        <v>133</v>
      </c>
      <c r="D818" s="1315"/>
      <c r="E818" s="1316"/>
      <c r="F818" s="1316"/>
      <c r="G818" s="1316"/>
      <c r="H818" s="1316"/>
      <c r="I818" s="1316"/>
    </row>
    <row r="820" spans="1:12" s="1918" customFormat="1" ht="16.8">
      <c r="A820" s="1300"/>
      <c r="B820" s="3630" t="s">
        <v>6991</v>
      </c>
      <c r="C820" s="3630"/>
      <c r="D820" s="3630"/>
      <c r="E820" s="3630"/>
      <c r="F820" s="3630"/>
      <c r="G820" s="3630"/>
      <c r="H820" s="3630"/>
      <c r="I820" s="3630"/>
      <c r="J820" s="2901"/>
      <c r="K820" s="2901"/>
      <c r="L820" s="2901"/>
    </row>
    <row r="821" spans="1:12" s="1918" customFormat="1" ht="16.8">
      <c r="A821" s="1301"/>
      <c r="B821" s="1302"/>
      <c r="C821" s="1303" t="s">
        <v>140</v>
      </c>
      <c r="D821" s="1304" t="s">
        <v>343</v>
      </c>
      <c r="E821" s="1305" t="s">
        <v>344</v>
      </c>
      <c r="F821" s="1305" t="s">
        <v>482</v>
      </c>
      <c r="G821" s="1305" t="s">
        <v>483</v>
      </c>
      <c r="H821" s="1305" t="s">
        <v>232</v>
      </c>
      <c r="I821" s="1305" t="s">
        <v>171</v>
      </c>
      <c r="J821" s="2901"/>
      <c r="K821" s="2901"/>
      <c r="L821" s="2901"/>
    </row>
    <row r="822" spans="1:12" s="1918" customFormat="1" ht="16.8">
      <c r="A822" s="1301" t="s">
        <v>172</v>
      </c>
      <c r="B822" s="1302" t="s">
        <v>189</v>
      </c>
      <c r="C822" s="1306">
        <v>1</v>
      </c>
      <c r="D822" s="1307" t="s">
        <v>583</v>
      </c>
      <c r="E822" s="1308">
        <f>+H827*0.05</f>
        <v>87295.243615320011</v>
      </c>
      <c r="F822" s="1308"/>
      <c r="G822" s="1308"/>
      <c r="H822" s="1308"/>
      <c r="I822" s="1308">
        <f>+E822*C822</f>
        <v>87295.243615320011</v>
      </c>
      <c r="J822" s="2901"/>
      <c r="K822" s="2901"/>
      <c r="L822" s="2901"/>
    </row>
    <row r="823" spans="1:12" s="1918" customFormat="1" ht="16.8">
      <c r="A823" s="1309" t="s">
        <v>345</v>
      </c>
      <c r="B823" s="1310" t="s">
        <v>965</v>
      </c>
      <c r="C823" s="2748">
        <v>8.9</v>
      </c>
      <c r="D823" s="1307" t="s">
        <v>346</v>
      </c>
      <c r="E823" s="1308">
        <f>+OFICI</f>
        <v>80479.625344</v>
      </c>
      <c r="F823" s="1308"/>
      <c r="G823" s="1308"/>
      <c r="H823" s="1308">
        <f>+E823*C823</f>
        <v>716268.66556160001</v>
      </c>
      <c r="I823" s="1308"/>
      <c r="J823" s="2901"/>
      <c r="K823" s="2901"/>
      <c r="L823" s="2901"/>
    </row>
    <row r="824" spans="1:12" s="1918" customFormat="1" ht="16.8">
      <c r="A824" s="1309" t="s">
        <v>347</v>
      </c>
      <c r="B824" s="1310" t="s">
        <v>266</v>
      </c>
      <c r="C824" s="2748">
        <v>8.9</v>
      </c>
      <c r="D824" s="1307" t="s">
        <v>346</v>
      </c>
      <c r="E824" s="1308">
        <f>+AYUDA</f>
        <v>65389.695592000004</v>
      </c>
      <c r="F824" s="1308"/>
      <c r="G824" s="1308"/>
      <c r="H824" s="1308">
        <f>+E824*C824</f>
        <v>581968.29076880007</v>
      </c>
      <c r="I824" s="1308"/>
      <c r="J824" s="2901"/>
      <c r="K824" s="2901"/>
      <c r="L824" s="2901"/>
    </row>
    <row r="825" spans="1:12" s="1918" customFormat="1" ht="16.8">
      <c r="A825" s="1319" t="s">
        <v>348</v>
      </c>
      <c r="B825" s="1320" t="s">
        <v>966</v>
      </c>
      <c r="C825" s="2748">
        <v>8.9</v>
      </c>
      <c r="D825" s="1323" t="s">
        <v>346</v>
      </c>
      <c r="E825" s="2149">
        <f>+AYUDR</f>
        <v>50299.76584</v>
      </c>
      <c r="F825" s="1324"/>
      <c r="G825" s="1324"/>
      <c r="H825" s="1324">
        <f>+E825*C825</f>
        <v>447667.91597600002</v>
      </c>
      <c r="I825" s="1324"/>
      <c r="J825" s="2901"/>
      <c r="K825" s="2901"/>
      <c r="L825" s="2901"/>
    </row>
    <row r="826" spans="1:12" s="1918" customFormat="1" ht="16.8">
      <c r="A826" s="1301" t="s">
        <v>584</v>
      </c>
      <c r="B826" s="1302" t="s">
        <v>134</v>
      </c>
      <c r="C826" s="1311">
        <v>3.5E-4</v>
      </c>
      <c r="D826" s="1307" t="s">
        <v>583</v>
      </c>
      <c r="E826" s="1308">
        <f>+VIAJE</f>
        <v>1200000</v>
      </c>
      <c r="F826" s="1308"/>
      <c r="G826" s="1308"/>
      <c r="H826" s="1308"/>
      <c r="I826" s="1308">
        <f>+E826*C826</f>
        <v>420</v>
      </c>
      <c r="J826" s="2901"/>
      <c r="K826" s="2901"/>
      <c r="L826" s="2901"/>
    </row>
    <row r="827" spans="1:12" s="1918" customFormat="1" ht="16.8">
      <c r="A827" s="1312" t="s">
        <v>190</v>
      </c>
      <c r="B827" s="1313">
        <f>SUM(F827:I827)</f>
        <v>1833620.1159217199</v>
      </c>
      <c r="C827" s="1303"/>
      <c r="D827" s="1307"/>
      <c r="E827" s="1308"/>
      <c r="F827" s="1308">
        <f>+SUM(F822:F826)</f>
        <v>0</v>
      </c>
      <c r="G827" s="1308">
        <f>+SUM(G822:G826)</f>
        <v>0</v>
      </c>
      <c r="H827" s="1308">
        <f>+SUM(H822:H826)</f>
        <v>1745904.8723064</v>
      </c>
      <c r="I827" s="1308">
        <f>+SUM(I822:I826)</f>
        <v>87715.243615320011</v>
      </c>
      <c r="J827" s="2901"/>
      <c r="K827" s="2901"/>
      <c r="L827" s="2901"/>
    </row>
    <row r="828" spans="1:12" ht="16.8">
      <c r="A828" s="1312" t="s">
        <v>191</v>
      </c>
      <c r="B828" s="1313">
        <f>+B827</f>
        <v>1833620.1159217199</v>
      </c>
      <c r="C828" s="1314" t="s">
        <v>133</v>
      </c>
      <c r="D828" s="1315"/>
      <c r="E828" s="1316">
        <f>+B835*0.15</f>
        <v>1969800</v>
      </c>
      <c r="F828" s="1316"/>
      <c r="G828" s="1316"/>
      <c r="H828" s="1316"/>
      <c r="I828" s="1316"/>
    </row>
    <row r="829" spans="1:12" s="1918" customFormat="1" ht="14.4">
      <c r="A829" s="492"/>
      <c r="B829" s="492"/>
      <c r="C829" s="492"/>
      <c r="D829" s="492"/>
      <c r="E829" s="492"/>
      <c r="F829" s="492"/>
      <c r="G829" s="492"/>
      <c r="H829" s="492"/>
      <c r="I829" s="492"/>
      <c r="J829" s="2901"/>
      <c r="K829" s="2901"/>
      <c r="L829" s="2901"/>
    </row>
    <row r="830" spans="1:12" s="1918" customFormat="1" ht="16.8">
      <c r="A830" s="1300"/>
      <c r="B830" s="3630" t="s">
        <v>4724</v>
      </c>
      <c r="C830" s="3630"/>
      <c r="D830" s="3630"/>
      <c r="E830" s="3630"/>
      <c r="F830" s="3630"/>
      <c r="G830" s="3630"/>
      <c r="H830" s="3630"/>
      <c r="I830" s="3630"/>
      <c r="J830" s="2901"/>
      <c r="K830" s="2901"/>
      <c r="L830" s="2901"/>
    </row>
    <row r="831" spans="1:12" s="1918" customFormat="1" ht="30" customHeight="1">
      <c r="A831" s="1301"/>
      <c r="B831" s="1302"/>
      <c r="C831" s="1303" t="s">
        <v>140</v>
      </c>
      <c r="D831" s="1304" t="s">
        <v>343</v>
      </c>
      <c r="E831" s="1305" t="s">
        <v>344</v>
      </c>
      <c r="F831" s="1305" t="s">
        <v>482</v>
      </c>
      <c r="G831" s="1305" t="s">
        <v>483</v>
      </c>
      <c r="H831" s="1305" t="s">
        <v>232</v>
      </c>
      <c r="I831" s="1305" t="s">
        <v>171</v>
      </c>
      <c r="J831" s="2901"/>
      <c r="K831" s="2901"/>
      <c r="L831" s="2901"/>
    </row>
    <row r="832" spans="1:12" s="1918" customFormat="1" ht="33.6">
      <c r="A832" s="1301" t="s">
        <v>172</v>
      </c>
      <c r="B832" s="2749" t="s">
        <v>6990</v>
      </c>
      <c r="C832" s="2178">
        <v>1</v>
      </c>
      <c r="D832" s="2179" t="s">
        <v>583</v>
      </c>
      <c r="E832" s="2180">
        <f>+'BASE 2'!D672</f>
        <v>13090000</v>
      </c>
      <c r="F832" s="2180"/>
      <c r="G832" s="2180"/>
      <c r="H832" s="2180"/>
      <c r="I832" s="2180">
        <f>+E832*C832</f>
        <v>13090000</v>
      </c>
      <c r="J832" s="2901"/>
      <c r="K832" s="2901"/>
      <c r="L832" s="2901"/>
    </row>
    <row r="833" spans="1:12" s="1918" customFormat="1" ht="16.8">
      <c r="A833" s="1301" t="s">
        <v>584</v>
      </c>
      <c r="B833" s="1302" t="s">
        <v>134</v>
      </c>
      <c r="C833" s="1311">
        <v>3.5000000000000003E-2</v>
      </c>
      <c r="D833" s="1307" t="s">
        <v>583</v>
      </c>
      <c r="E833" s="1308">
        <f>+VIAJE</f>
        <v>1200000</v>
      </c>
      <c r="F833" s="1308"/>
      <c r="G833" s="1308"/>
      <c r="H833" s="1308"/>
      <c r="I833" s="1308">
        <f>+E833*C833</f>
        <v>42000.000000000007</v>
      </c>
      <c r="J833" s="2901"/>
      <c r="K833" s="2901"/>
      <c r="L833" s="2901"/>
    </row>
    <row r="834" spans="1:12" s="1918" customFormat="1" ht="16.8">
      <c r="A834" s="1312" t="s">
        <v>190</v>
      </c>
      <c r="B834" s="1313">
        <f>SUM(F834:I834)</f>
        <v>13132000</v>
      </c>
      <c r="C834" s="1303"/>
      <c r="D834" s="1307"/>
      <c r="E834" s="1308"/>
      <c r="F834" s="1308">
        <f>+SUM(F832:F833)</f>
        <v>0</v>
      </c>
      <c r="G834" s="1308">
        <f>+SUM(G832:G833)</f>
        <v>0</v>
      </c>
      <c r="H834" s="1308">
        <f>+SUM(H832:H833)</f>
        <v>0</v>
      </c>
      <c r="I834" s="1308">
        <f>+SUM(I832:I833)</f>
        <v>13132000</v>
      </c>
      <c r="J834" s="2901"/>
      <c r="K834" s="2901"/>
      <c r="L834" s="2901"/>
    </row>
    <row r="835" spans="1:12" s="2747" customFormat="1" ht="16.8">
      <c r="A835" s="1312" t="s">
        <v>191</v>
      </c>
      <c r="B835" s="1313">
        <f>+B834</f>
        <v>13132000</v>
      </c>
      <c r="C835" s="1314" t="s">
        <v>133</v>
      </c>
      <c r="D835" s="1315"/>
      <c r="E835" s="1316"/>
      <c r="F835" s="1316"/>
      <c r="G835" s="1316"/>
      <c r="H835" s="1316"/>
      <c r="I835" s="1316"/>
      <c r="J835" s="2901"/>
      <c r="K835" s="2901"/>
      <c r="L835" s="2901"/>
    </row>
    <row r="837" spans="1:12" s="1918" customFormat="1" ht="16.8">
      <c r="A837" s="1300"/>
      <c r="B837" s="3630" t="s">
        <v>4725</v>
      </c>
      <c r="C837" s="3630"/>
      <c r="D837" s="3630"/>
      <c r="E837" s="3630"/>
      <c r="F837" s="3630"/>
      <c r="G837" s="3630"/>
      <c r="H837" s="3630"/>
      <c r="I837" s="3630"/>
      <c r="J837" s="2901"/>
      <c r="K837" s="2901"/>
      <c r="L837" s="2901"/>
    </row>
    <row r="838" spans="1:12" s="1918" customFormat="1" ht="16.8">
      <c r="A838" s="1301"/>
      <c r="B838" s="1302"/>
      <c r="C838" s="1303" t="s">
        <v>140</v>
      </c>
      <c r="D838" s="1304" t="s">
        <v>343</v>
      </c>
      <c r="E838" s="1305" t="s">
        <v>344</v>
      </c>
      <c r="F838" s="1305" t="s">
        <v>482</v>
      </c>
      <c r="G838" s="1305" t="s">
        <v>483</v>
      </c>
      <c r="H838" s="1305" t="s">
        <v>232</v>
      </c>
      <c r="I838" s="1305" t="s">
        <v>171</v>
      </c>
      <c r="J838" s="2901"/>
      <c r="K838" s="2901"/>
      <c r="L838" s="2901"/>
    </row>
    <row r="839" spans="1:12" s="1918" customFormat="1" ht="16.8">
      <c r="A839" s="1301" t="s">
        <v>172</v>
      </c>
      <c r="B839" s="1302" t="s">
        <v>189</v>
      </c>
      <c r="C839" s="1306">
        <v>1</v>
      </c>
      <c r="D839" s="1307" t="s">
        <v>583</v>
      </c>
      <c r="E839" s="1308">
        <f>+H843*0.05</f>
        <v>119663.14293336001</v>
      </c>
      <c r="F839" s="1308"/>
      <c r="G839" s="1308"/>
      <c r="H839" s="1308"/>
      <c r="I839" s="1308">
        <f>+E839*C839</f>
        <v>119663.14293336001</v>
      </c>
      <c r="J839" s="2901"/>
      <c r="K839" s="2901"/>
      <c r="L839" s="2901"/>
    </row>
    <row r="840" spans="1:12" s="1918" customFormat="1" ht="16.8">
      <c r="A840" s="1309" t="s">
        <v>345</v>
      </c>
      <c r="B840" s="1310" t="s">
        <v>965</v>
      </c>
      <c r="C840" s="1306">
        <v>12.2</v>
      </c>
      <c r="D840" s="1307" t="s">
        <v>346</v>
      </c>
      <c r="E840" s="1308">
        <f>+OFICI</f>
        <v>80479.625344</v>
      </c>
      <c r="F840" s="1308"/>
      <c r="G840" s="1308"/>
      <c r="H840" s="1308">
        <f>+E840*C840</f>
        <v>981851.42919679999</v>
      </c>
      <c r="I840" s="1308"/>
      <c r="J840" s="2901"/>
      <c r="K840" s="2901"/>
      <c r="L840" s="2901"/>
    </row>
    <row r="841" spans="1:12" s="1918" customFormat="1" ht="16.8">
      <c r="A841" s="1309" t="s">
        <v>347</v>
      </c>
      <c r="B841" s="1310" t="s">
        <v>266</v>
      </c>
      <c r="C841" s="1306">
        <v>12.2</v>
      </c>
      <c r="D841" s="1307" t="s">
        <v>346</v>
      </c>
      <c r="E841" s="1308">
        <f>+AYUDA</f>
        <v>65389.695592000004</v>
      </c>
      <c r="F841" s="1308"/>
      <c r="G841" s="1308"/>
      <c r="H841" s="1308">
        <f>+E841*C841</f>
        <v>797754.28622240003</v>
      </c>
      <c r="I841" s="1308"/>
      <c r="J841" s="2901"/>
      <c r="K841" s="2901"/>
      <c r="L841" s="2901"/>
    </row>
    <row r="842" spans="1:12" s="1918" customFormat="1" ht="16.8">
      <c r="A842" s="1319" t="s">
        <v>348</v>
      </c>
      <c r="B842" s="1310" t="s">
        <v>6579</v>
      </c>
      <c r="C842" s="1306">
        <v>12.2</v>
      </c>
      <c r="D842" s="1323" t="s">
        <v>346</v>
      </c>
      <c r="E842" s="1324">
        <f>+AYUDR</f>
        <v>50299.76584</v>
      </c>
      <c r="F842" s="1324"/>
      <c r="G842" s="1324"/>
      <c r="H842" s="1324">
        <f>+E842*C842</f>
        <v>613657.14324799995</v>
      </c>
      <c r="I842" s="1324"/>
      <c r="J842" s="2901"/>
      <c r="K842" s="2901"/>
      <c r="L842" s="2901"/>
    </row>
    <row r="843" spans="1:12" s="1918" customFormat="1" ht="17.25" customHeight="1">
      <c r="A843" s="1366" t="s">
        <v>190</v>
      </c>
      <c r="B843" s="1367">
        <f>SUM(F843:I843)</f>
        <v>2512926.0016005598</v>
      </c>
      <c r="C843" s="1372"/>
      <c r="D843" s="1307"/>
      <c r="E843" s="1308"/>
      <c r="F843" s="1308">
        <f>+SUM(F839:F842)</f>
        <v>0</v>
      </c>
      <c r="G843" s="1308">
        <f>+SUM(G839:G842)</f>
        <v>0</v>
      </c>
      <c r="H843" s="1308">
        <f>+SUM(H839:H842)</f>
        <v>2393262.8586672</v>
      </c>
      <c r="I843" s="1308">
        <f>+SUM(I839:I842)</f>
        <v>119663.14293336001</v>
      </c>
      <c r="J843" s="2901"/>
      <c r="K843" s="2901"/>
      <c r="L843" s="2901"/>
    </row>
    <row r="844" spans="1:12" s="2747" customFormat="1" ht="17.25" customHeight="1">
      <c r="A844" s="1312" t="s">
        <v>191</v>
      </c>
      <c r="B844" s="1313">
        <f>+B843</f>
        <v>2512926.0016005598</v>
      </c>
      <c r="C844" s="1314" t="s">
        <v>133</v>
      </c>
      <c r="D844" s="1315"/>
      <c r="E844" s="1316">
        <f>+B851*0.15</f>
        <v>2528634.6</v>
      </c>
      <c r="F844" s="1316"/>
      <c r="G844" s="1316"/>
      <c r="H844" s="1316"/>
      <c r="I844" s="1316"/>
      <c r="J844" s="2901"/>
      <c r="K844" s="2901"/>
      <c r="L844" s="2901"/>
    </row>
    <row r="845" spans="1:12" s="1918" customFormat="1" ht="29.25" customHeight="1">
      <c r="A845" s="1368"/>
      <c r="B845" s="1369"/>
      <c r="C845" s="1370"/>
      <c r="D845" s="1371"/>
      <c r="E845" s="1317"/>
      <c r="F845" s="1317"/>
      <c r="G845" s="1317"/>
      <c r="H845" s="1317"/>
      <c r="I845" s="1317"/>
      <c r="J845" s="2901"/>
      <c r="K845" s="2901"/>
      <c r="L845" s="2901"/>
    </row>
    <row r="846" spans="1:12" s="1918" customFormat="1" ht="16.8">
      <c r="A846" s="1300"/>
      <c r="B846" s="3630" t="s">
        <v>4726</v>
      </c>
      <c r="C846" s="3630"/>
      <c r="D846" s="3630"/>
      <c r="E846" s="3630"/>
      <c r="F846" s="3630"/>
      <c r="G846" s="3630"/>
      <c r="H846" s="3630"/>
      <c r="I846" s="3630"/>
      <c r="J846" s="2901"/>
      <c r="K846" s="2901"/>
      <c r="L846" s="2901"/>
    </row>
    <row r="847" spans="1:12" s="1918" customFormat="1" ht="16.8">
      <c r="A847" s="1301"/>
      <c r="B847" s="1302"/>
      <c r="C847" s="1303" t="s">
        <v>140</v>
      </c>
      <c r="D847" s="1304" t="s">
        <v>343</v>
      </c>
      <c r="E847" s="1305" t="s">
        <v>344</v>
      </c>
      <c r="F847" s="1305" t="s">
        <v>482</v>
      </c>
      <c r="G847" s="1305" t="s">
        <v>483</v>
      </c>
      <c r="H847" s="1305" t="s">
        <v>232</v>
      </c>
      <c r="I847" s="1305" t="s">
        <v>171</v>
      </c>
      <c r="J847" s="2901"/>
      <c r="K847" s="2901"/>
      <c r="L847" s="2901"/>
    </row>
    <row r="848" spans="1:12" s="1918" customFormat="1" ht="50.4">
      <c r="A848" s="1301" t="s">
        <v>172</v>
      </c>
      <c r="B848" s="2749" t="s">
        <v>6993</v>
      </c>
      <c r="C848" s="2178">
        <v>1</v>
      </c>
      <c r="D848" s="2179" t="s">
        <v>583</v>
      </c>
      <c r="E848" s="2180">
        <f>+'BASE 2'!D673</f>
        <v>16797564</v>
      </c>
      <c r="F848" s="2180"/>
      <c r="G848" s="2180"/>
      <c r="H848" s="2180"/>
      <c r="I848" s="2180">
        <f>+E848*C848</f>
        <v>16797564</v>
      </c>
      <c r="J848" s="2901"/>
      <c r="K848" s="2901"/>
      <c r="L848" s="2901"/>
    </row>
    <row r="849" spans="1:12" s="1918" customFormat="1" ht="16.8">
      <c r="A849" s="1301" t="s">
        <v>584</v>
      </c>
      <c r="B849" s="1302" t="s">
        <v>134</v>
      </c>
      <c r="C849" s="1311">
        <v>0.05</v>
      </c>
      <c r="D849" s="1307" t="s">
        <v>583</v>
      </c>
      <c r="E849" s="1308">
        <f>+VIAJE</f>
        <v>1200000</v>
      </c>
      <c r="F849" s="1308"/>
      <c r="G849" s="1308"/>
      <c r="H849" s="1308"/>
      <c r="I849" s="1308">
        <f>+E849*C849</f>
        <v>60000</v>
      </c>
      <c r="J849" s="2901"/>
      <c r="K849" s="2901"/>
      <c r="L849" s="2901"/>
    </row>
    <row r="850" spans="1:12" s="1918" customFormat="1" ht="16.8">
      <c r="A850" s="1312" t="s">
        <v>190</v>
      </c>
      <c r="B850" s="1313">
        <f>SUM(F850:I850)</f>
        <v>16857564</v>
      </c>
      <c r="C850" s="1303"/>
      <c r="D850" s="1307"/>
      <c r="E850" s="1308"/>
      <c r="F850" s="1308">
        <f>+SUM(F848:F849)</f>
        <v>0</v>
      </c>
      <c r="G850" s="1308">
        <f>+SUM(G848:G849)</f>
        <v>0</v>
      </c>
      <c r="H850" s="1308">
        <f>+SUM(H848:H849)</f>
        <v>0</v>
      </c>
      <c r="I850" s="1308">
        <f>+SUM(I848:I849)</f>
        <v>16857564</v>
      </c>
      <c r="J850" s="2901"/>
      <c r="K850" s="2901"/>
      <c r="L850" s="2901"/>
    </row>
    <row r="851" spans="1:12" s="2747" customFormat="1" ht="16.8">
      <c r="A851" s="1312" t="s">
        <v>191</v>
      </c>
      <c r="B851" s="1313">
        <f>+B850</f>
        <v>16857564</v>
      </c>
      <c r="C851" s="1314" t="s">
        <v>133</v>
      </c>
      <c r="D851" s="1315"/>
      <c r="E851" s="1316"/>
      <c r="F851" s="1316"/>
      <c r="G851" s="1316"/>
      <c r="H851" s="1316"/>
      <c r="I851" s="1316"/>
      <c r="J851" s="2901"/>
      <c r="K851" s="2901"/>
      <c r="L851" s="2901"/>
    </row>
    <row r="854" spans="1:12" s="61" customFormat="1" ht="18">
      <c r="A854" s="3616" t="s">
        <v>8055</v>
      </c>
      <c r="B854" s="3617"/>
      <c r="C854" s="3617"/>
      <c r="D854" s="3617"/>
      <c r="E854" s="3617"/>
      <c r="F854" s="3617"/>
      <c r="G854" s="3617"/>
      <c r="H854" s="3617"/>
      <c r="I854" s="3618"/>
      <c r="J854" s="2894"/>
      <c r="K854" s="2894"/>
      <c r="L854" s="2894"/>
    </row>
    <row r="856" spans="1:12" s="1918" customFormat="1" ht="16.8">
      <c r="A856" s="1373"/>
      <c r="B856" s="3849" t="s">
        <v>6998</v>
      </c>
      <c r="C856" s="3849"/>
      <c r="D856" s="3849"/>
      <c r="E856" s="3849"/>
      <c r="F856" s="3849"/>
      <c r="G856" s="3849"/>
      <c r="H856" s="3849"/>
      <c r="I856" s="3849"/>
      <c r="J856" s="2901"/>
      <c r="K856" s="2901"/>
      <c r="L856" s="2901"/>
    </row>
    <row r="857" spans="1:12" s="1918" customFormat="1" ht="16.8">
      <c r="A857" s="1319"/>
      <c r="B857" s="1320"/>
      <c r="C857" s="1319" t="s">
        <v>140</v>
      </c>
      <c r="D857" s="1319" t="s">
        <v>343</v>
      </c>
      <c r="E857" s="1319" t="s">
        <v>344</v>
      </c>
      <c r="F857" s="1319" t="s">
        <v>482</v>
      </c>
      <c r="G857" s="1319" t="s">
        <v>483</v>
      </c>
      <c r="H857" s="1319" t="s">
        <v>170</v>
      </c>
      <c r="I857" s="1319" t="s">
        <v>171</v>
      </c>
      <c r="J857" s="2901"/>
      <c r="K857" s="2901"/>
      <c r="L857" s="2901"/>
    </row>
    <row r="858" spans="1:12" s="1918" customFormat="1" ht="16.8">
      <c r="A858" s="1319" t="s">
        <v>345</v>
      </c>
      <c r="B858" s="1320" t="s">
        <v>6439</v>
      </c>
      <c r="C858" s="1322">
        <v>5.9</v>
      </c>
      <c r="D858" s="1323" t="s">
        <v>346</v>
      </c>
      <c r="E858" s="1324">
        <f>+OFICI</f>
        <v>80479.625344</v>
      </c>
      <c r="F858" s="1324"/>
      <c r="G858" s="1324"/>
      <c r="H858" s="1324">
        <f>+E858*C858</f>
        <v>474829.78952960001</v>
      </c>
      <c r="I858" s="1324"/>
      <c r="J858" s="2901"/>
      <c r="K858" s="2901"/>
      <c r="L858" s="2901"/>
    </row>
    <row r="859" spans="1:12" s="1918" customFormat="1" ht="16.8">
      <c r="A859" s="1319" t="s">
        <v>348</v>
      </c>
      <c r="B859" s="1320" t="s">
        <v>6579</v>
      </c>
      <c r="C859" s="1322">
        <v>5.9</v>
      </c>
      <c r="D859" s="1323" t="s">
        <v>346</v>
      </c>
      <c r="E859" s="1324">
        <f>+AYUDR</f>
        <v>50299.76584</v>
      </c>
      <c r="F859" s="1324"/>
      <c r="G859" s="1324"/>
      <c r="H859" s="1324">
        <f>+E859*C859</f>
        <v>296768.618456</v>
      </c>
      <c r="I859" s="1324"/>
      <c r="J859" s="2901"/>
      <c r="K859" s="2901"/>
      <c r="L859" s="2901"/>
    </row>
    <row r="860" spans="1:12" s="1918" customFormat="1" ht="16.8">
      <c r="A860" s="1319" t="s">
        <v>172</v>
      </c>
      <c r="B860" s="1320" t="s">
        <v>189</v>
      </c>
      <c r="C860" s="1322">
        <v>1</v>
      </c>
      <c r="D860" s="1323" t="s">
        <v>583</v>
      </c>
      <c r="E860" s="1324">
        <f>+H861*0.05</f>
        <v>38579.920399279996</v>
      </c>
      <c r="F860" s="1324"/>
      <c r="G860" s="1324"/>
      <c r="H860" s="1324"/>
      <c r="I860" s="1324">
        <f>+E860*C860</f>
        <v>38579.920399279996</v>
      </c>
      <c r="J860" s="2901"/>
      <c r="K860" s="2901"/>
      <c r="L860" s="2901"/>
    </row>
    <row r="861" spans="1:12" s="1918" customFormat="1" ht="16.8">
      <c r="A861" s="1325" t="s">
        <v>190</v>
      </c>
      <c r="B861" s="1326">
        <f>ROUND(SUM(F861:I861),0)</f>
        <v>810178</v>
      </c>
      <c r="C861" s="1323"/>
      <c r="D861" s="1327"/>
      <c r="E861" s="1319"/>
      <c r="F861" s="1324">
        <f>SUM(F858:F859)</f>
        <v>0</v>
      </c>
      <c r="G861" s="1324">
        <f>SUM(G858:G859)</f>
        <v>0</v>
      </c>
      <c r="H861" s="1324">
        <f>SUM(H858:H859)</f>
        <v>771598.40798559994</v>
      </c>
      <c r="I861" s="1324">
        <f>SUM(I858:I860)</f>
        <v>38579.920399279996</v>
      </c>
      <c r="J861" s="2901"/>
      <c r="K861" s="2901"/>
      <c r="L861" s="2901"/>
    </row>
    <row r="862" spans="1:12" ht="16.8">
      <c r="A862" s="1325" t="s">
        <v>191</v>
      </c>
      <c r="B862" s="1326">
        <f>+B861</f>
        <v>810178</v>
      </c>
      <c r="C862" s="1328" t="s">
        <v>133</v>
      </c>
      <c r="D862" s="1329"/>
      <c r="E862" s="1329">
        <f>+B869*0.15</f>
        <v>819957.75</v>
      </c>
      <c r="F862" s="1329"/>
      <c r="G862" s="1329"/>
      <c r="H862" s="1330"/>
      <c r="I862" s="1330"/>
    </row>
    <row r="863" spans="1:12" s="1918" customFormat="1" ht="15.75" customHeight="1">
      <c r="A863" s="492"/>
      <c r="B863" s="492"/>
      <c r="C863" s="492"/>
      <c r="D863" s="492"/>
      <c r="E863" s="492"/>
      <c r="F863" s="492"/>
      <c r="G863" s="492"/>
      <c r="H863" s="492"/>
      <c r="I863" s="492"/>
      <c r="J863" s="2901"/>
      <c r="K863" s="2901">
        <f>0.05*1</f>
        <v>0.05</v>
      </c>
      <c r="L863" s="2901"/>
    </row>
    <row r="864" spans="1:12" s="1918" customFormat="1" ht="16.8">
      <c r="A864" s="1318"/>
      <c r="B864" s="3849" t="s">
        <v>6997</v>
      </c>
      <c r="C864" s="3849"/>
      <c r="D864" s="3849"/>
      <c r="E864" s="3849"/>
      <c r="F864" s="3849"/>
      <c r="G864" s="3849"/>
      <c r="H864" s="3849"/>
      <c r="I864" s="3849"/>
      <c r="J864" s="2901"/>
      <c r="K864" s="2901"/>
      <c r="L864" s="2901"/>
    </row>
    <row r="865" spans="1:12" s="1918" customFormat="1" ht="16.8">
      <c r="A865" s="1319"/>
      <c r="B865" s="1320"/>
      <c r="C865" s="1319" t="s">
        <v>140</v>
      </c>
      <c r="D865" s="1319" t="s">
        <v>343</v>
      </c>
      <c r="E865" s="1319" t="s">
        <v>344</v>
      </c>
      <c r="F865" s="1319" t="s">
        <v>482</v>
      </c>
      <c r="G865" s="1319" t="s">
        <v>483</v>
      </c>
      <c r="H865" s="1319" t="s">
        <v>170</v>
      </c>
      <c r="I865" s="1319" t="s">
        <v>171</v>
      </c>
      <c r="J865" s="2901"/>
      <c r="K865" s="2901"/>
      <c r="L865" s="2901"/>
    </row>
    <row r="866" spans="1:12" s="1918" customFormat="1" ht="33.6">
      <c r="A866" s="1319"/>
      <c r="B866" s="1335" t="s">
        <v>6995</v>
      </c>
      <c r="C866" s="1919">
        <v>1</v>
      </c>
      <c r="D866" s="1920" t="s">
        <v>150</v>
      </c>
      <c r="E866" s="1374">
        <f>+'BASE 2'!D674</f>
        <v>5451985</v>
      </c>
      <c r="F866" s="1324"/>
      <c r="G866" s="1324">
        <f>+E866*C866</f>
        <v>5451985</v>
      </c>
      <c r="H866" s="1324"/>
      <c r="I866" s="1324"/>
      <c r="J866" s="2901" t="s">
        <v>4728</v>
      </c>
      <c r="K866" s="2901"/>
      <c r="L866" s="2901"/>
    </row>
    <row r="867" spans="1:12" s="1918" customFormat="1" ht="16.8">
      <c r="A867" s="1319"/>
      <c r="B867" s="1320" t="s">
        <v>4727</v>
      </c>
      <c r="C867" s="1919">
        <v>1.2E-2</v>
      </c>
      <c r="D867" s="1921" t="s">
        <v>583</v>
      </c>
      <c r="E867" s="1324">
        <f>+VIAJE</f>
        <v>1200000</v>
      </c>
      <c r="F867" s="1324"/>
      <c r="G867" s="1324"/>
      <c r="H867" s="1324"/>
      <c r="I867" s="2149">
        <f>+E867*C867</f>
        <v>14400</v>
      </c>
      <c r="J867" s="2901"/>
      <c r="K867" s="2901"/>
      <c r="L867" s="2901"/>
    </row>
    <row r="868" spans="1:12" s="1918" customFormat="1" ht="16.8">
      <c r="A868" s="1325" t="s">
        <v>190</v>
      </c>
      <c r="B868" s="1326">
        <f>ROUND(SUM(F868:I868),0)</f>
        <v>5466385</v>
      </c>
      <c r="C868" s="1323"/>
      <c r="D868" s="1327"/>
      <c r="E868" s="1319"/>
      <c r="F868" s="1324">
        <f>SUM(F866:F867)</f>
        <v>0</v>
      </c>
      <c r="G868" s="1324">
        <f>SUM(G866:G867)</f>
        <v>5451985</v>
      </c>
      <c r="H868" s="1324">
        <f>SUM(H866:H867)</f>
        <v>0</v>
      </c>
      <c r="I868" s="2149">
        <f>SUM(I866:I867)</f>
        <v>14400</v>
      </c>
      <c r="J868" s="2901"/>
      <c r="K868" s="2901"/>
      <c r="L868" s="2901"/>
    </row>
    <row r="869" spans="1:12" ht="16.8">
      <c r="A869" s="1325" t="s">
        <v>191</v>
      </c>
      <c r="B869" s="1326">
        <f>+B868</f>
        <v>5466385</v>
      </c>
      <c r="C869" s="1328" t="s">
        <v>133</v>
      </c>
      <c r="D869" s="1329"/>
      <c r="E869" s="1329"/>
      <c r="F869" s="1329"/>
      <c r="G869" s="1329"/>
      <c r="H869" s="1330"/>
      <c r="I869" s="1330"/>
    </row>
    <row r="871" spans="1:12" s="1918" customFormat="1" ht="16.8">
      <c r="A871" s="1318"/>
      <c r="B871" s="3849" t="s">
        <v>4729</v>
      </c>
      <c r="C871" s="3849"/>
      <c r="D871" s="3849"/>
      <c r="E871" s="3849"/>
      <c r="F871" s="3849"/>
      <c r="G871" s="3849"/>
      <c r="H871" s="3849"/>
      <c r="I871" s="3849"/>
      <c r="J871" s="2901"/>
      <c r="K871" s="2901"/>
      <c r="L871" s="2901"/>
    </row>
    <row r="872" spans="1:12" s="1918" customFormat="1" ht="16.8">
      <c r="A872" s="1319"/>
      <c r="B872" s="1320"/>
      <c r="C872" s="1319" t="s">
        <v>140</v>
      </c>
      <c r="D872" s="1319" t="s">
        <v>343</v>
      </c>
      <c r="E872" s="1319" t="s">
        <v>344</v>
      </c>
      <c r="F872" s="1319" t="s">
        <v>482</v>
      </c>
      <c r="G872" s="1319" t="s">
        <v>483</v>
      </c>
      <c r="H872" s="1319" t="s">
        <v>170</v>
      </c>
      <c r="I872" s="1319" t="s">
        <v>171</v>
      </c>
      <c r="J872" s="2901"/>
      <c r="K872" s="2901"/>
      <c r="L872" s="2901"/>
    </row>
    <row r="873" spans="1:12" s="1918" customFormat="1" ht="16.8">
      <c r="A873" s="1319" t="s">
        <v>345</v>
      </c>
      <c r="B873" s="1320" t="s">
        <v>6439</v>
      </c>
      <c r="C873" s="1322">
        <v>5.15</v>
      </c>
      <c r="D873" s="1323" t="s">
        <v>346</v>
      </c>
      <c r="E873" s="1324">
        <f>+OFICI</f>
        <v>80479.625344</v>
      </c>
      <c r="F873" s="1324"/>
      <c r="G873" s="1324"/>
      <c r="H873" s="1324">
        <f>+E873*C873</f>
        <v>414470.07052160002</v>
      </c>
      <c r="I873" s="1324"/>
      <c r="J873" s="2901"/>
      <c r="K873" s="2901"/>
      <c r="L873" s="2901"/>
    </row>
    <row r="874" spans="1:12" s="1918" customFormat="1" ht="16.8">
      <c r="A874" s="1319" t="s">
        <v>348</v>
      </c>
      <c r="B874" s="1320" t="s">
        <v>6579</v>
      </c>
      <c r="C874" s="1322">
        <v>5.15</v>
      </c>
      <c r="D874" s="1323" t="s">
        <v>346</v>
      </c>
      <c r="E874" s="1324">
        <f>+AYUDR</f>
        <v>50299.76584</v>
      </c>
      <c r="F874" s="1324"/>
      <c r="G874" s="1324"/>
      <c r="H874" s="1324">
        <f>+E874*C874</f>
        <v>259043.79407600002</v>
      </c>
      <c r="I874" s="1324"/>
      <c r="J874" s="2901"/>
      <c r="K874" s="2901"/>
      <c r="L874" s="2901"/>
    </row>
    <row r="875" spans="1:12" s="1918" customFormat="1" ht="16.8">
      <c r="A875" s="1319" t="s">
        <v>172</v>
      </c>
      <c r="B875" s="1320" t="s">
        <v>189</v>
      </c>
      <c r="C875" s="1322">
        <v>1</v>
      </c>
      <c r="D875" s="1323" t="s">
        <v>583</v>
      </c>
      <c r="E875" s="1324">
        <f>+H876*0.05</f>
        <v>33675.693229880002</v>
      </c>
      <c r="F875" s="1324"/>
      <c r="G875" s="1324"/>
      <c r="H875" s="1324"/>
      <c r="I875" s="1324">
        <f>+E875*C875</f>
        <v>33675.693229880002</v>
      </c>
      <c r="J875" s="2901"/>
      <c r="K875" s="2901"/>
      <c r="L875" s="2901"/>
    </row>
    <row r="876" spans="1:12" s="1918" customFormat="1" ht="16.8">
      <c r="A876" s="1325" t="s">
        <v>190</v>
      </c>
      <c r="B876" s="1326">
        <f>ROUND(SUM(F876:I876),0)</f>
        <v>707190</v>
      </c>
      <c r="C876" s="1323"/>
      <c r="D876" s="1327"/>
      <c r="E876" s="1319"/>
      <c r="F876" s="1324">
        <f>SUM(F873:F874)</f>
        <v>0</v>
      </c>
      <c r="G876" s="1324">
        <f>SUM(G873:G874)</f>
        <v>0</v>
      </c>
      <c r="H876" s="1324">
        <f>SUM(H873:H874)</f>
        <v>673513.86459760007</v>
      </c>
      <c r="I876" s="1324">
        <f>SUM(I873:I875)</f>
        <v>33675.693229880002</v>
      </c>
      <c r="J876" s="2901"/>
      <c r="K876" s="2901"/>
      <c r="L876" s="2901"/>
    </row>
    <row r="877" spans="1:12" ht="16.8">
      <c r="A877" s="1325" t="s">
        <v>191</v>
      </c>
      <c r="B877" s="1326">
        <f>+B876</f>
        <v>707190</v>
      </c>
      <c r="C877" s="1328" t="s">
        <v>133</v>
      </c>
      <c r="D877" s="1329"/>
      <c r="E877" s="1329">
        <f>+B884*0.15</f>
        <v>703129.5</v>
      </c>
      <c r="F877" s="1329"/>
      <c r="G877" s="1329"/>
      <c r="H877" s="1330"/>
      <c r="I877" s="1330"/>
    </row>
    <row r="878" spans="1:12" s="1918" customFormat="1" ht="15.75" customHeight="1">
      <c r="A878" s="492"/>
      <c r="B878" s="492"/>
      <c r="C878" s="492"/>
      <c r="D878" s="492"/>
      <c r="E878" s="492"/>
      <c r="F878" s="492"/>
      <c r="G878" s="492"/>
      <c r="H878" s="492"/>
      <c r="I878" s="492"/>
      <c r="J878" s="2901"/>
      <c r="K878" s="2901">
        <f>0.05*1</f>
        <v>0.05</v>
      </c>
      <c r="L878" s="2901"/>
    </row>
    <row r="879" spans="1:12" s="1918" customFormat="1" ht="16.8">
      <c r="A879" s="1318"/>
      <c r="B879" s="3849" t="s">
        <v>4730</v>
      </c>
      <c r="C879" s="3849"/>
      <c r="D879" s="3849"/>
      <c r="E879" s="3849"/>
      <c r="F879" s="3849"/>
      <c r="G879" s="3849"/>
      <c r="H879" s="3849"/>
      <c r="I879" s="3849"/>
      <c r="J879" s="2901"/>
      <c r="K879" s="2901"/>
      <c r="L879" s="2901"/>
    </row>
    <row r="880" spans="1:12" s="1918" customFormat="1" ht="16.8">
      <c r="A880" s="1319"/>
      <c r="B880" s="1320"/>
      <c r="C880" s="1319" t="s">
        <v>140</v>
      </c>
      <c r="D880" s="1319" t="s">
        <v>343</v>
      </c>
      <c r="E880" s="1319" t="s">
        <v>344</v>
      </c>
      <c r="F880" s="1319" t="s">
        <v>482</v>
      </c>
      <c r="G880" s="1319" t="s">
        <v>483</v>
      </c>
      <c r="H880" s="1319" t="s">
        <v>170</v>
      </c>
      <c r="I880" s="1319" t="s">
        <v>171</v>
      </c>
      <c r="J880" s="2901"/>
      <c r="K880" s="2901"/>
      <c r="L880" s="2901"/>
    </row>
    <row r="881" spans="1:12" s="1918" customFormat="1" ht="33.6">
      <c r="A881" s="1319"/>
      <c r="B881" s="1335" t="s">
        <v>7000</v>
      </c>
      <c r="C881" s="1919">
        <v>1</v>
      </c>
      <c r="D881" s="1920" t="s">
        <v>363</v>
      </c>
      <c r="E881" s="1374">
        <f>+'BASE 2'!D675</f>
        <v>4673130</v>
      </c>
      <c r="F881" s="1374"/>
      <c r="G881" s="1374">
        <f>+E881*C881</f>
        <v>4673130</v>
      </c>
      <c r="H881" s="1374"/>
      <c r="I881" s="1374"/>
      <c r="J881" s="2901"/>
      <c r="K881" s="2901"/>
      <c r="L881" s="2901"/>
    </row>
    <row r="882" spans="1:12" s="1918" customFormat="1" ht="16.8">
      <c r="A882" s="1319"/>
      <c r="B882" s="1320" t="s">
        <v>4727</v>
      </c>
      <c r="C882" s="1919">
        <v>1.2E-2</v>
      </c>
      <c r="D882" s="1921" t="s">
        <v>583</v>
      </c>
      <c r="E882" s="1374">
        <f>+VIAJE</f>
        <v>1200000</v>
      </c>
      <c r="F882" s="1374"/>
      <c r="G882" s="1374"/>
      <c r="H882" s="1374"/>
      <c r="I882" s="1374">
        <f>+E882*C882</f>
        <v>14400</v>
      </c>
      <c r="J882" s="2901"/>
      <c r="K882" s="2901"/>
      <c r="L882" s="2901"/>
    </row>
    <row r="883" spans="1:12" s="1918" customFormat="1" ht="16.8">
      <c r="A883" s="1325" t="s">
        <v>190</v>
      </c>
      <c r="B883" s="1326">
        <f>ROUND(SUM(F883:I883),0)</f>
        <v>4687530</v>
      </c>
      <c r="C883" s="1323"/>
      <c r="D883" s="2181"/>
      <c r="E883" s="1336"/>
      <c r="F883" s="1374">
        <f>SUM(F881:F881)</f>
        <v>0</v>
      </c>
      <c r="G883" s="1374">
        <f>SUM(G881:G882)</f>
        <v>4673130</v>
      </c>
      <c r="H883" s="1374">
        <f>SUM(H881:H881)</f>
        <v>0</v>
      </c>
      <c r="I883" s="1374">
        <f>+I882</f>
        <v>14400</v>
      </c>
      <c r="J883" s="2901"/>
      <c r="K883" s="2901"/>
      <c r="L883" s="2901"/>
    </row>
    <row r="884" spans="1:12" ht="16.8">
      <c r="A884" s="1325" t="s">
        <v>191</v>
      </c>
      <c r="B884" s="1326">
        <f>+B883</f>
        <v>4687530</v>
      </c>
      <c r="C884" s="1328" t="s">
        <v>1002</v>
      </c>
      <c r="D884" s="1329"/>
      <c r="E884" s="1329"/>
      <c r="F884" s="1329"/>
      <c r="G884" s="1329"/>
      <c r="H884" s="1330"/>
      <c r="I884" s="1330"/>
    </row>
    <row r="886" spans="1:12" s="1918" customFormat="1" ht="16.8">
      <c r="A886" s="1318"/>
      <c r="B886" s="3849" t="s">
        <v>7005</v>
      </c>
      <c r="C886" s="3849"/>
      <c r="D886" s="3849"/>
      <c r="E886" s="3849"/>
      <c r="F886" s="3849"/>
      <c r="G886" s="3849"/>
      <c r="H886" s="3849"/>
      <c r="I886" s="3849"/>
      <c r="J886" s="2901"/>
      <c r="K886" s="2901"/>
      <c r="L886" s="2901"/>
    </row>
    <row r="887" spans="1:12" s="1918" customFormat="1" ht="16.8">
      <c r="A887" s="1319"/>
      <c r="B887" s="1320"/>
      <c r="C887" s="1319" t="s">
        <v>140</v>
      </c>
      <c r="D887" s="1319" t="s">
        <v>343</v>
      </c>
      <c r="E887" s="1319" t="s">
        <v>344</v>
      </c>
      <c r="F887" s="1319" t="s">
        <v>482</v>
      </c>
      <c r="G887" s="1319" t="s">
        <v>483</v>
      </c>
      <c r="H887" s="1319" t="s">
        <v>170</v>
      </c>
      <c r="I887" s="1319" t="s">
        <v>171</v>
      </c>
      <c r="J887" s="2901"/>
      <c r="K887" s="2901"/>
      <c r="L887" s="2901"/>
    </row>
    <row r="888" spans="1:12" s="1918" customFormat="1" ht="16.8">
      <c r="A888" s="1319" t="s">
        <v>345</v>
      </c>
      <c r="B888" s="1320" t="s">
        <v>965</v>
      </c>
      <c r="C888" s="1322">
        <v>4.5999999999999996</v>
      </c>
      <c r="D888" s="1323" t="s">
        <v>346</v>
      </c>
      <c r="E888" s="1324">
        <f>+OFICI</f>
        <v>80479.625344</v>
      </c>
      <c r="F888" s="1324"/>
      <c r="G888" s="1324"/>
      <c r="H888" s="1324">
        <f>+E888*C888</f>
        <v>370206.27658239997</v>
      </c>
      <c r="I888" s="1324"/>
      <c r="J888" s="2901"/>
      <c r="K888" s="2901"/>
      <c r="L888" s="2901"/>
    </row>
    <row r="889" spans="1:12" s="1918" customFormat="1" ht="16.8">
      <c r="A889" s="1319" t="s">
        <v>348</v>
      </c>
      <c r="B889" s="1320" t="s">
        <v>6579</v>
      </c>
      <c r="C889" s="1322">
        <v>4.5999999999999996</v>
      </c>
      <c r="D889" s="1323" t="s">
        <v>346</v>
      </c>
      <c r="E889" s="1324">
        <f>+AYUDR</f>
        <v>50299.76584</v>
      </c>
      <c r="F889" s="1324"/>
      <c r="G889" s="1324"/>
      <c r="H889" s="1324">
        <f>+E889*C889</f>
        <v>231378.92286399999</v>
      </c>
      <c r="I889" s="1324"/>
      <c r="J889" s="2901"/>
      <c r="K889" s="2901"/>
      <c r="L889" s="2901"/>
    </row>
    <row r="890" spans="1:12" s="1918" customFormat="1" ht="16.8">
      <c r="A890" s="1319" t="s">
        <v>172</v>
      </c>
      <c r="B890" s="1320" t="s">
        <v>189</v>
      </c>
      <c r="C890" s="1322">
        <v>1</v>
      </c>
      <c r="D890" s="1323" t="s">
        <v>583</v>
      </c>
      <c r="E890" s="1324">
        <f>+H891*0.05</f>
        <v>30079.259972319996</v>
      </c>
      <c r="F890" s="1324"/>
      <c r="G890" s="1324"/>
      <c r="H890" s="1324"/>
      <c r="I890" s="1324">
        <f>+E890*C890</f>
        <v>30079.259972319996</v>
      </c>
      <c r="J890" s="2901"/>
      <c r="K890" s="2901"/>
      <c r="L890" s="2901"/>
    </row>
    <row r="891" spans="1:12" s="1918" customFormat="1" ht="16.8">
      <c r="A891" s="1325" t="s">
        <v>190</v>
      </c>
      <c r="B891" s="1326">
        <f>ROUND(SUM(F891:I891),0)</f>
        <v>631664</v>
      </c>
      <c r="C891" s="1323"/>
      <c r="D891" s="1327"/>
      <c r="E891" s="1319"/>
      <c r="F891" s="1324">
        <f>SUM(F888:F889)</f>
        <v>0</v>
      </c>
      <c r="G891" s="1324">
        <f>SUM(G888:G889)</f>
        <v>0</v>
      </c>
      <c r="H891" s="1324">
        <f>SUM(H888:H889)</f>
        <v>601585.19944639993</v>
      </c>
      <c r="I891" s="1324">
        <f>SUM(I888:I890)</f>
        <v>30079.259972319996</v>
      </c>
      <c r="J891" s="2901"/>
      <c r="K891" s="2901"/>
      <c r="L891" s="2901"/>
    </row>
    <row r="892" spans="1:12" ht="16.8">
      <c r="A892" s="1325" t="s">
        <v>191</v>
      </c>
      <c r="B892" s="1326">
        <f>+B891</f>
        <v>631664</v>
      </c>
      <c r="C892" s="1328" t="s">
        <v>150</v>
      </c>
      <c r="D892" s="1329"/>
      <c r="E892" s="1329">
        <f>+B899*0.15</f>
        <v>633032.54999999993</v>
      </c>
      <c r="F892" s="1329"/>
      <c r="G892" s="1329"/>
      <c r="H892" s="1330"/>
      <c r="I892" s="1330"/>
    </row>
    <row r="893" spans="1:12" s="1918" customFormat="1" ht="15.75" customHeight="1">
      <c r="A893" s="492"/>
      <c r="B893" s="492"/>
      <c r="C893" s="492"/>
      <c r="D893" s="492"/>
      <c r="E893" s="492"/>
      <c r="F893" s="492"/>
      <c r="G893" s="492"/>
      <c r="H893" s="492"/>
      <c r="I893" s="492"/>
      <c r="J893" s="2901"/>
      <c r="K893" s="2901">
        <f>0.05*1</f>
        <v>0.05</v>
      </c>
      <c r="L893" s="2901"/>
    </row>
    <row r="894" spans="1:12" s="1918" customFormat="1" ht="16.8">
      <c r="A894" s="1318"/>
      <c r="B894" s="3849" t="s">
        <v>7004</v>
      </c>
      <c r="C894" s="3849"/>
      <c r="D894" s="3849"/>
      <c r="E894" s="3849"/>
      <c r="F894" s="3849"/>
      <c r="G894" s="3849"/>
      <c r="H894" s="3849"/>
      <c r="I894" s="3849"/>
      <c r="J894" s="2901"/>
      <c r="K894" s="2901"/>
      <c r="L894" s="2901"/>
    </row>
    <row r="895" spans="1:12" s="1918" customFormat="1" ht="16.8">
      <c r="A895" s="1319"/>
      <c r="B895" s="1320"/>
      <c r="C895" s="1319" t="s">
        <v>140</v>
      </c>
      <c r="D895" s="1319" t="s">
        <v>343</v>
      </c>
      <c r="E895" s="1319" t="s">
        <v>344</v>
      </c>
      <c r="F895" s="1319" t="s">
        <v>482</v>
      </c>
      <c r="G895" s="1319" t="s">
        <v>483</v>
      </c>
      <c r="H895" s="1319" t="s">
        <v>170</v>
      </c>
      <c r="I895" s="1319" t="s">
        <v>171</v>
      </c>
      <c r="J895" s="2901"/>
      <c r="K895" s="2901"/>
      <c r="L895" s="2901"/>
    </row>
    <row r="896" spans="1:12" s="1918" customFormat="1" ht="33.6">
      <c r="A896" s="1319"/>
      <c r="B896" s="1335" t="s">
        <v>7003</v>
      </c>
      <c r="C896" s="1922">
        <v>1</v>
      </c>
      <c r="D896" s="1920" t="s">
        <v>363</v>
      </c>
      <c r="E896" s="1374">
        <f>+'BASE 2'!D676</f>
        <v>4205817</v>
      </c>
      <c r="F896" s="1374"/>
      <c r="G896" s="1374">
        <f>+E896*C896</f>
        <v>4205817</v>
      </c>
      <c r="H896" s="1374"/>
      <c r="I896" s="1374"/>
      <c r="J896" s="2901"/>
      <c r="K896" s="2901"/>
      <c r="L896" s="2901"/>
    </row>
    <row r="897" spans="1:12" s="1918" customFormat="1" ht="16.8">
      <c r="A897" s="1319"/>
      <c r="B897" s="1320" t="s">
        <v>4727</v>
      </c>
      <c r="C897" s="1919">
        <v>1.2E-2</v>
      </c>
      <c r="D897" s="1921" t="s">
        <v>583</v>
      </c>
      <c r="E897" s="1374">
        <f>+VIAJE</f>
        <v>1200000</v>
      </c>
      <c r="F897" s="1374"/>
      <c r="G897" s="1374"/>
      <c r="H897" s="1374"/>
      <c r="I897" s="2183">
        <f>+E897*C897</f>
        <v>14400</v>
      </c>
      <c r="J897" s="2901"/>
      <c r="K897" s="2901"/>
      <c r="L897" s="2901"/>
    </row>
    <row r="898" spans="1:12" s="1918" customFormat="1" ht="16.8">
      <c r="A898" s="1325" t="s">
        <v>190</v>
      </c>
      <c r="B898" s="1326">
        <f>ROUND(SUM(F898:I898),0)</f>
        <v>4220217</v>
      </c>
      <c r="C898" s="2182"/>
      <c r="D898" s="2181"/>
      <c r="E898" s="1336"/>
      <c r="F898" s="1374">
        <f>SUM(F896:F896)</f>
        <v>0</v>
      </c>
      <c r="G898" s="1374">
        <f>SUM(G896:G897)</f>
        <v>4205817</v>
      </c>
      <c r="H898" s="1374">
        <f>SUM(H896:H896)</f>
        <v>0</v>
      </c>
      <c r="I898" s="2183">
        <f>+I897</f>
        <v>14400</v>
      </c>
      <c r="J898" s="2901"/>
      <c r="K898" s="2901"/>
      <c r="L898" s="2901"/>
    </row>
    <row r="899" spans="1:12" ht="16.8">
      <c r="A899" s="1325" t="s">
        <v>191</v>
      </c>
      <c r="B899" s="1326">
        <f>+B898</f>
        <v>4220217</v>
      </c>
      <c r="C899" s="1328" t="s">
        <v>150</v>
      </c>
      <c r="D899" s="1329"/>
      <c r="E899" s="1329"/>
      <c r="F899" s="1329"/>
      <c r="G899" s="1329"/>
      <c r="H899" s="1330"/>
      <c r="I899" s="1330"/>
    </row>
    <row r="901" spans="1:12" s="1918" customFormat="1" ht="16.8">
      <c r="A901" s="1318"/>
      <c r="B901" s="3849" t="s">
        <v>7009</v>
      </c>
      <c r="C901" s="3849"/>
      <c r="D901" s="3849"/>
      <c r="E901" s="3849"/>
      <c r="F901" s="3849"/>
      <c r="G901" s="3849"/>
      <c r="H901" s="3849"/>
      <c r="I901" s="3849"/>
      <c r="J901" s="2901"/>
      <c r="K901" s="2901"/>
      <c r="L901" s="2901"/>
    </row>
    <row r="902" spans="1:12" s="1918" customFormat="1" ht="16.8">
      <c r="A902" s="1319"/>
      <c r="B902" s="1320"/>
      <c r="C902" s="1319" t="s">
        <v>140</v>
      </c>
      <c r="D902" s="1319" t="s">
        <v>343</v>
      </c>
      <c r="E902" s="1319" t="s">
        <v>344</v>
      </c>
      <c r="F902" s="1319" t="s">
        <v>482</v>
      </c>
      <c r="G902" s="1319" t="s">
        <v>483</v>
      </c>
      <c r="H902" s="1319" t="s">
        <v>170</v>
      </c>
      <c r="I902" s="1319" t="s">
        <v>171</v>
      </c>
      <c r="J902" s="2901"/>
      <c r="K902" s="2901"/>
      <c r="L902" s="2901"/>
    </row>
    <row r="903" spans="1:12" s="1918" customFormat="1" ht="16.8">
      <c r="A903" s="1319" t="s">
        <v>345</v>
      </c>
      <c r="B903" s="1320" t="s">
        <v>6439</v>
      </c>
      <c r="C903" s="1322">
        <v>10.199999999999999</v>
      </c>
      <c r="D903" s="1323" t="s">
        <v>346</v>
      </c>
      <c r="E903" s="1324">
        <f>+OFICI</f>
        <v>80479.625344</v>
      </c>
      <c r="F903" s="1324"/>
      <c r="G903" s="1324"/>
      <c r="H903" s="1324">
        <f>+E903*C903</f>
        <v>820892.17850879999</v>
      </c>
      <c r="I903" s="1324"/>
      <c r="J903" s="2901"/>
      <c r="K903" s="2901"/>
      <c r="L903" s="2901"/>
    </row>
    <row r="904" spans="1:12" s="1918" customFormat="1" ht="16.8">
      <c r="A904" s="1319" t="s">
        <v>348</v>
      </c>
      <c r="B904" s="1320" t="s">
        <v>966</v>
      </c>
      <c r="C904" s="1322">
        <v>10.199999999999999</v>
      </c>
      <c r="D904" s="1323" t="s">
        <v>346</v>
      </c>
      <c r="E904" s="1324">
        <f>+AYUDA</f>
        <v>65389.695592000004</v>
      </c>
      <c r="F904" s="1324"/>
      <c r="G904" s="1324"/>
      <c r="H904" s="1324">
        <f>+E904*C904</f>
        <v>666974.89503839996</v>
      </c>
      <c r="I904" s="1324"/>
      <c r="J904" s="2901"/>
      <c r="K904" s="2901"/>
      <c r="L904" s="2901"/>
    </row>
    <row r="905" spans="1:12" s="1918" customFormat="1" ht="16.8">
      <c r="A905" s="1319" t="s">
        <v>348</v>
      </c>
      <c r="B905" s="1320" t="s">
        <v>966</v>
      </c>
      <c r="C905" s="1322">
        <v>10.199999999999999</v>
      </c>
      <c r="D905" s="1323" t="s">
        <v>346</v>
      </c>
      <c r="E905" s="1324">
        <f>+AYUDR</f>
        <v>50299.76584</v>
      </c>
      <c r="F905" s="1324"/>
      <c r="G905" s="1324"/>
      <c r="H905" s="1324">
        <f>+E905*C905</f>
        <v>513057.61156799999</v>
      </c>
      <c r="I905" s="1324"/>
      <c r="J905" s="2901"/>
      <c r="K905" s="2901"/>
      <c r="L905" s="2901"/>
    </row>
    <row r="906" spans="1:12" s="1918" customFormat="1" ht="16.8">
      <c r="A906" s="1319" t="s">
        <v>172</v>
      </c>
      <c r="B906" s="1320" t="s">
        <v>189</v>
      </c>
      <c r="C906" s="1322">
        <v>1</v>
      </c>
      <c r="D906" s="1323" t="s">
        <v>583</v>
      </c>
      <c r="E906" s="1324">
        <f>+H907*0.05</f>
        <v>100046.23425575999</v>
      </c>
      <c r="F906" s="1324"/>
      <c r="G906" s="1324"/>
      <c r="H906" s="1324"/>
      <c r="I906" s="1324">
        <f>+E906*C906</f>
        <v>100046.23425575999</v>
      </c>
      <c r="J906" s="2901"/>
      <c r="K906" s="2901"/>
      <c r="L906" s="2901"/>
    </row>
    <row r="907" spans="1:12" s="1918" customFormat="1" ht="16.8">
      <c r="A907" s="1325" t="s">
        <v>190</v>
      </c>
      <c r="B907" s="1326">
        <f>ROUND(SUM(F907:I907),0)</f>
        <v>2100971</v>
      </c>
      <c r="C907" s="1323"/>
      <c r="D907" s="1327"/>
      <c r="E907" s="1319"/>
      <c r="F907" s="1324">
        <f>SUM(F903:F905)</f>
        <v>0</v>
      </c>
      <c r="G907" s="1324">
        <f>SUM(G903:G905)</f>
        <v>0</v>
      </c>
      <c r="H907" s="1324">
        <f>SUM(H903:H905)</f>
        <v>2000924.6851151998</v>
      </c>
      <c r="I907" s="1324">
        <f>SUM(I903:I906)</f>
        <v>100046.23425575999</v>
      </c>
      <c r="J907" s="2901"/>
      <c r="K907" s="2901"/>
      <c r="L907" s="2901"/>
    </row>
    <row r="908" spans="1:12" ht="16.8">
      <c r="A908" s="1325" t="s">
        <v>191</v>
      </c>
      <c r="B908" s="1326">
        <f>+B907</f>
        <v>2100971</v>
      </c>
      <c r="C908" s="1328" t="s">
        <v>150</v>
      </c>
      <c r="D908" s="1329"/>
      <c r="E908" s="1329">
        <f>+B915*0.15</f>
        <v>2139876</v>
      </c>
      <c r="F908" s="1329"/>
      <c r="G908" s="1329"/>
      <c r="H908" s="1330"/>
      <c r="I908" s="1330"/>
    </row>
    <row r="909" spans="1:12" s="1918" customFormat="1" ht="15.75" customHeight="1">
      <c r="A909" s="492"/>
      <c r="B909" s="492"/>
      <c r="C909" s="492"/>
      <c r="D909" s="492"/>
      <c r="E909" s="492"/>
      <c r="F909" s="492"/>
      <c r="G909" s="492"/>
      <c r="H909" s="492"/>
      <c r="I909" s="492"/>
      <c r="J909" s="2901"/>
      <c r="K909" s="2901">
        <f>0.05*1</f>
        <v>0.05</v>
      </c>
      <c r="L909" s="2901"/>
    </row>
    <row r="910" spans="1:12" s="1918" customFormat="1" ht="16.8">
      <c r="A910" s="1318"/>
      <c r="B910" s="3849" t="s">
        <v>7008</v>
      </c>
      <c r="C910" s="3849"/>
      <c r="D910" s="3849"/>
      <c r="E910" s="3849"/>
      <c r="F910" s="3849"/>
      <c r="G910" s="3849"/>
      <c r="H910" s="3849"/>
      <c r="I910" s="3849"/>
      <c r="J910" s="2901"/>
      <c r="K910" s="2901"/>
      <c r="L910" s="2901"/>
    </row>
    <row r="911" spans="1:12" s="1918" customFormat="1" ht="16.8">
      <c r="A911" s="1319"/>
      <c r="B911" s="1320"/>
      <c r="C911" s="1319" t="s">
        <v>140</v>
      </c>
      <c r="D911" s="1319" t="s">
        <v>343</v>
      </c>
      <c r="E911" s="1319" t="s">
        <v>344</v>
      </c>
      <c r="F911" s="1319" t="s">
        <v>482</v>
      </c>
      <c r="G911" s="1319" t="s">
        <v>483</v>
      </c>
      <c r="H911" s="1319" t="s">
        <v>170</v>
      </c>
      <c r="I911" s="1319" t="s">
        <v>171</v>
      </c>
      <c r="J911" s="2901"/>
      <c r="K911" s="2901"/>
      <c r="L911" s="2901"/>
    </row>
    <row r="912" spans="1:12" s="1918" customFormat="1" ht="33.6">
      <c r="A912" s="1319"/>
      <c r="B912" s="1335" t="s">
        <v>7006</v>
      </c>
      <c r="C912" s="1922">
        <v>2.4</v>
      </c>
      <c r="D912" s="1920" t="s">
        <v>94</v>
      </c>
      <c r="E912" s="1374">
        <f>+'BASE 2'!D677</f>
        <v>5938100</v>
      </c>
      <c r="F912" s="1374"/>
      <c r="G912" s="1374">
        <f>+E912*C912</f>
        <v>14251440</v>
      </c>
      <c r="H912" s="1374"/>
      <c r="I912" s="1374"/>
      <c r="J912" s="2901"/>
      <c r="K912" s="2901"/>
      <c r="L912" s="2901"/>
    </row>
    <row r="913" spans="1:12" s="1918" customFormat="1" ht="16.8">
      <c r="A913" s="1319"/>
      <c r="B913" s="1320" t="s">
        <v>4727</v>
      </c>
      <c r="C913" s="1919">
        <v>1.2E-2</v>
      </c>
      <c r="D913" s="1921" t="s">
        <v>583</v>
      </c>
      <c r="E913" s="1324">
        <f>+VIAJE</f>
        <v>1200000</v>
      </c>
      <c r="F913" s="1324"/>
      <c r="G913" s="1324"/>
      <c r="H913" s="1324"/>
      <c r="I913" s="1324">
        <f>+E913*C913</f>
        <v>14400</v>
      </c>
      <c r="J913" s="2901"/>
      <c r="K913" s="2901"/>
      <c r="L913" s="2901"/>
    </row>
    <row r="914" spans="1:12" s="1918" customFormat="1" ht="16.8">
      <c r="A914" s="1325" t="s">
        <v>190</v>
      </c>
      <c r="B914" s="1326">
        <f>ROUND(SUM(F914:I914),0)</f>
        <v>14265840</v>
      </c>
      <c r="C914" s="1323"/>
      <c r="D914" s="1327"/>
      <c r="E914" s="1319"/>
      <c r="F914" s="1324">
        <f>SUM(F912:F912)</f>
        <v>0</v>
      </c>
      <c r="G914" s="1324">
        <f>SUM(G912:G913)</f>
        <v>14251440</v>
      </c>
      <c r="H914" s="1324">
        <f>SUM(H912:H912)</f>
        <v>0</v>
      </c>
      <c r="I914" s="1324">
        <f>+I913</f>
        <v>14400</v>
      </c>
      <c r="J914" s="2901"/>
      <c r="K914" s="2901"/>
      <c r="L914" s="2901"/>
    </row>
    <row r="915" spans="1:12" ht="16.8">
      <c r="A915" s="1325" t="s">
        <v>191</v>
      </c>
      <c r="B915" s="1326">
        <f>+B914</f>
        <v>14265840</v>
      </c>
      <c r="C915" s="1328" t="s">
        <v>150</v>
      </c>
      <c r="D915" s="1329"/>
      <c r="E915" s="1329"/>
      <c r="F915" s="1329"/>
      <c r="G915" s="1329"/>
      <c r="H915" s="1330"/>
      <c r="I915" s="1330"/>
    </row>
    <row r="917" spans="1:12" s="1918" customFormat="1" ht="16.8">
      <c r="A917" s="1318"/>
      <c r="B917" s="3849" t="s">
        <v>7031</v>
      </c>
      <c r="C917" s="3849"/>
      <c r="D917" s="3849"/>
      <c r="E917" s="3849"/>
      <c r="F917" s="3849"/>
      <c r="G917" s="3849"/>
      <c r="H917" s="3849"/>
      <c r="I917" s="3849"/>
      <c r="J917" s="2901"/>
      <c r="K917" s="2901"/>
      <c r="L917" s="2901"/>
    </row>
    <row r="918" spans="1:12" s="1918" customFormat="1" ht="16.8">
      <c r="A918" s="1319"/>
      <c r="B918" s="1320"/>
      <c r="C918" s="1319" t="s">
        <v>140</v>
      </c>
      <c r="D918" s="1319" t="s">
        <v>343</v>
      </c>
      <c r="E918" s="1319" t="s">
        <v>344</v>
      </c>
      <c r="F918" s="1319" t="s">
        <v>482</v>
      </c>
      <c r="G918" s="1319" t="s">
        <v>483</v>
      </c>
      <c r="H918" s="1319" t="s">
        <v>170</v>
      </c>
      <c r="I918" s="1319" t="s">
        <v>171</v>
      </c>
      <c r="J918" s="2901"/>
      <c r="K918" s="2901"/>
      <c r="L918" s="2901"/>
    </row>
    <row r="919" spans="1:12" s="1918" customFormat="1" ht="16.8">
      <c r="A919" s="1319"/>
      <c r="B919" s="1320" t="s">
        <v>4676</v>
      </c>
      <c r="C919" s="1322">
        <v>0.15</v>
      </c>
      <c r="D919" s="1319" t="s">
        <v>717</v>
      </c>
      <c r="E919" s="1324">
        <f>+PULID</f>
        <v>35000</v>
      </c>
      <c r="F919" s="1324">
        <f>+E919*C919</f>
        <v>5250</v>
      </c>
      <c r="G919" s="1319"/>
      <c r="H919" s="1319"/>
      <c r="I919" s="1319"/>
      <c r="J919" s="2901"/>
      <c r="K919" s="2901"/>
      <c r="L919" s="2901"/>
    </row>
    <row r="920" spans="1:12" s="1918" customFormat="1" ht="16.8">
      <c r="A920" s="1319" t="s">
        <v>345</v>
      </c>
      <c r="B920" s="1320" t="s">
        <v>6439</v>
      </c>
      <c r="C920" s="1322">
        <v>0.15</v>
      </c>
      <c r="D920" s="1323" t="s">
        <v>346</v>
      </c>
      <c r="E920" s="1324">
        <f>+OFICI</f>
        <v>80479.625344</v>
      </c>
      <c r="F920" s="1324"/>
      <c r="G920" s="1324"/>
      <c r="H920" s="1324">
        <f>+E920*C920</f>
        <v>12071.9438016</v>
      </c>
      <c r="I920" s="1324"/>
      <c r="J920" s="2901"/>
      <c r="K920" s="2901"/>
      <c r="L920" s="2901"/>
    </row>
    <row r="921" spans="1:12" s="1918" customFormat="1" ht="16.8">
      <c r="A921" s="1319" t="s">
        <v>348</v>
      </c>
      <c r="B921" s="1320" t="s">
        <v>6579</v>
      </c>
      <c r="C921" s="1322">
        <v>0.15</v>
      </c>
      <c r="D921" s="1323" t="s">
        <v>346</v>
      </c>
      <c r="E921" s="1324">
        <f>+AYUDR</f>
        <v>50299.76584</v>
      </c>
      <c r="F921" s="1324"/>
      <c r="G921" s="1324"/>
      <c r="H921" s="1324">
        <f>+E921*C921</f>
        <v>7544.964876</v>
      </c>
      <c r="I921" s="1324"/>
      <c r="J921" s="2901"/>
      <c r="K921" s="2901"/>
      <c r="L921" s="2901"/>
    </row>
    <row r="922" spans="1:12" s="1918" customFormat="1" ht="16.8">
      <c r="A922" s="1319" t="s">
        <v>172</v>
      </c>
      <c r="B922" s="1320" t="s">
        <v>189</v>
      </c>
      <c r="C922" s="1322">
        <v>1</v>
      </c>
      <c r="D922" s="1323" t="s">
        <v>583</v>
      </c>
      <c r="E922" s="1324">
        <f>+H923*0.05</f>
        <v>980.84543388000009</v>
      </c>
      <c r="F922" s="1324"/>
      <c r="G922" s="1324"/>
      <c r="H922" s="1324"/>
      <c r="I922" s="1324">
        <f>+E922*C922</f>
        <v>980.84543388000009</v>
      </c>
      <c r="J922" s="2901"/>
      <c r="K922" s="2901"/>
      <c r="L922" s="2901"/>
    </row>
    <row r="923" spans="1:12" s="1918" customFormat="1" ht="16.8">
      <c r="A923" s="1325" t="s">
        <v>190</v>
      </c>
      <c r="B923" s="1326">
        <f>ROUND(SUM(F923:I923),0)</f>
        <v>25848</v>
      </c>
      <c r="C923" s="1323"/>
      <c r="D923" s="1327"/>
      <c r="E923" s="1319"/>
      <c r="F923" s="1324">
        <f>SUM(F919:F922)</f>
        <v>5250</v>
      </c>
      <c r="G923" s="1324">
        <f>SUM(G920:G921)</f>
        <v>0</v>
      </c>
      <c r="H923" s="1324">
        <f>SUM(H920:H921)</f>
        <v>19616.9086776</v>
      </c>
      <c r="I923" s="1324">
        <f>SUM(I920:I922)</f>
        <v>980.84543388000009</v>
      </c>
      <c r="J923" s="2901"/>
      <c r="K923" s="2901"/>
      <c r="L923" s="2901"/>
    </row>
    <row r="924" spans="1:12" ht="16.8">
      <c r="A924" s="1325" t="s">
        <v>191</v>
      </c>
      <c r="B924" s="1326">
        <f>+B923</f>
        <v>25848</v>
      </c>
      <c r="C924" s="1328" t="s">
        <v>150</v>
      </c>
      <c r="D924" s="1329"/>
      <c r="E924" s="1329">
        <f>+B931*0.15</f>
        <v>26257.5</v>
      </c>
      <c r="F924" s="1329"/>
      <c r="G924" s="1329"/>
      <c r="H924" s="1330"/>
      <c r="I924" s="1330"/>
    </row>
    <row r="925" spans="1:12" s="1918" customFormat="1" ht="15.75" customHeight="1">
      <c r="A925" s="492"/>
      <c r="B925" s="492"/>
      <c r="C925" s="492"/>
      <c r="D925" s="492"/>
      <c r="E925" s="492"/>
      <c r="F925" s="492"/>
      <c r="G925" s="492"/>
      <c r="H925" s="492"/>
      <c r="I925" s="492"/>
      <c r="J925" s="2901"/>
      <c r="K925" s="2901">
        <f>0.05*1</f>
        <v>0.05</v>
      </c>
      <c r="L925" s="2901"/>
    </row>
    <row r="926" spans="1:12" s="1918" customFormat="1" ht="16.8">
      <c r="A926" s="1318"/>
      <c r="B926" s="3849" t="s">
        <v>7028</v>
      </c>
      <c r="C926" s="3849"/>
      <c r="D926" s="3849"/>
      <c r="E926" s="3849"/>
      <c r="F926" s="3849"/>
      <c r="G926" s="3849"/>
      <c r="H926" s="3849"/>
      <c r="I926" s="3849"/>
      <c r="J926" s="2901"/>
      <c r="K926" s="2901"/>
      <c r="L926" s="2901"/>
    </row>
    <row r="927" spans="1:12" s="1918" customFormat="1" ht="16.8">
      <c r="A927" s="1319"/>
      <c r="B927" s="1320"/>
      <c r="C927" s="1319" t="s">
        <v>140</v>
      </c>
      <c r="D927" s="1319" t="s">
        <v>343</v>
      </c>
      <c r="E927" s="1319" t="s">
        <v>344</v>
      </c>
      <c r="F927" s="1319" t="s">
        <v>482</v>
      </c>
      <c r="G927" s="1319" t="s">
        <v>483</v>
      </c>
      <c r="H927" s="1319" t="s">
        <v>170</v>
      </c>
      <c r="I927" s="1319" t="s">
        <v>171</v>
      </c>
      <c r="J927" s="2901"/>
      <c r="K927" s="2901"/>
      <c r="L927" s="2901"/>
    </row>
    <row r="928" spans="1:12" s="1918" customFormat="1" ht="16.8">
      <c r="A928" s="1319"/>
      <c r="B928" s="1335" t="s">
        <v>7029</v>
      </c>
      <c r="C928" s="1922">
        <v>1</v>
      </c>
      <c r="D928" s="1920" t="s">
        <v>363</v>
      </c>
      <c r="E928" s="2183">
        <f>+'BASE 2'!D678</f>
        <v>160650</v>
      </c>
      <c r="F928" s="1374"/>
      <c r="G928" s="2183">
        <f>+E928*C928</f>
        <v>160650</v>
      </c>
      <c r="H928" s="2183"/>
      <c r="I928" s="2183"/>
      <c r="J928" s="2901"/>
      <c r="K928" s="2901"/>
      <c r="L928" s="2901"/>
    </row>
    <row r="929" spans="1:12" s="1918" customFormat="1" ht="16.8">
      <c r="A929" s="1319"/>
      <c r="B929" s="1320" t="s">
        <v>4727</v>
      </c>
      <c r="C929" s="1919">
        <v>1.2E-2</v>
      </c>
      <c r="D929" s="1921" t="s">
        <v>583</v>
      </c>
      <c r="E929" s="2183">
        <f>+VIAJE</f>
        <v>1200000</v>
      </c>
      <c r="F929" s="1374"/>
      <c r="G929" s="2183"/>
      <c r="H929" s="2183"/>
      <c r="I929" s="2183">
        <f>+E929*C929</f>
        <v>14400</v>
      </c>
      <c r="J929" s="2901"/>
      <c r="K929" s="2901"/>
      <c r="L929" s="2901"/>
    </row>
    <row r="930" spans="1:12" s="1918" customFormat="1" ht="16.8">
      <c r="A930" s="1325" t="s">
        <v>190</v>
      </c>
      <c r="B930" s="1326">
        <f>ROUND(SUM(F930:I930),0)</f>
        <v>175050</v>
      </c>
      <c r="C930" s="2182"/>
      <c r="D930" s="2181"/>
      <c r="E930" s="1336"/>
      <c r="F930" s="1374">
        <f>SUM(F928:F928)</f>
        <v>0</v>
      </c>
      <c r="G930" s="2183">
        <f>SUM(G928:G929)</f>
        <v>160650</v>
      </c>
      <c r="H930" s="2183">
        <f>SUM(H928:H928)</f>
        <v>0</v>
      </c>
      <c r="I930" s="2183">
        <f>+I929</f>
        <v>14400</v>
      </c>
      <c r="J930" s="2901"/>
      <c r="K930" s="2901"/>
      <c r="L930" s="2901"/>
    </row>
    <row r="931" spans="1:12" s="1918" customFormat="1" ht="16.8">
      <c r="A931" s="1325" t="s">
        <v>191</v>
      </c>
      <c r="B931" s="1326">
        <f>+B930</f>
        <v>175050</v>
      </c>
      <c r="C931" s="1328" t="s">
        <v>150</v>
      </c>
      <c r="D931" s="1329"/>
      <c r="E931" s="1329"/>
      <c r="F931" s="1329"/>
      <c r="G931" s="1329"/>
      <c r="H931" s="1330"/>
      <c r="I931" s="1330"/>
      <c r="J931" s="2901"/>
      <c r="K931" s="2901"/>
      <c r="L931" s="2901"/>
    </row>
    <row r="933" spans="1:12" s="1918" customFormat="1" ht="16.8">
      <c r="A933" s="1318"/>
      <c r="B933" s="3849" t="s">
        <v>7033</v>
      </c>
      <c r="C933" s="3849"/>
      <c r="D933" s="3849"/>
      <c r="E933" s="3849"/>
      <c r="F933" s="3849"/>
      <c r="G933" s="3849"/>
      <c r="H933" s="3849"/>
      <c r="I933" s="3849"/>
      <c r="J933" s="2901"/>
      <c r="K933" s="2901"/>
      <c r="L933" s="2901"/>
    </row>
    <row r="934" spans="1:12" s="1918" customFormat="1" ht="16.8">
      <c r="A934" s="1319"/>
      <c r="B934" s="1320"/>
      <c r="C934" s="1319" t="s">
        <v>140</v>
      </c>
      <c r="D934" s="1319" t="s">
        <v>343</v>
      </c>
      <c r="E934" s="1319" t="s">
        <v>344</v>
      </c>
      <c r="F934" s="1319" t="s">
        <v>482</v>
      </c>
      <c r="G934" s="1319" t="s">
        <v>483</v>
      </c>
      <c r="H934" s="1319" t="s">
        <v>170</v>
      </c>
      <c r="I934" s="1319" t="s">
        <v>171</v>
      </c>
      <c r="J934" s="2901"/>
      <c r="K934" s="2901"/>
      <c r="L934" s="2901"/>
    </row>
    <row r="935" spans="1:12" s="1918" customFormat="1" ht="16.8">
      <c r="A935" s="1319" t="s">
        <v>345</v>
      </c>
      <c r="B935" s="1320" t="s">
        <v>965</v>
      </c>
      <c r="C935" s="1322">
        <v>0.02</v>
      </c>
      <c r="D935" s="1323" t="s">
        <v>346</v>
      </c>
      <c r="E935" s="1324">
        <f>+OFICI</f>
        <v>80479.625344</v>
      </c>
      <c r="F935" s="1324"/>
      <c r="G935" s="1324"/>
      <c r="H935" s="1324">
        <f>+E935*C935</f>
        <v>1609.59250688</v>
      </c>
      <c r="I935" s="1324"/>
      <c r="J935" s="2901"/>
      <c r="K935" s="2901"/>
      <c r="L935" s="2901"/>
    </row>
    <row r="936" spans="1:12" s="1918" customFormat="1" ht="16.8">
      <c r="A936" s="1319" t="s">
        <v>348</v>
      </c>
      <c r="B936" s="1320" t="s">
        <v>966</v>
      </c>
      <c r="C936" s="1322">
        <v>0.02</v>
      </c>
      <c r="D936" s="1323" t="s">
        <v>346</v>
      </c>
      <c r="E936" s="1324">
        <f>+AYUDR</f>
        <v>50299.76584</v>
      </c>
      <c r="F936" s="1324"/>
      <c r="G936" s="1324"/>
      <c r="H936" s="1324">
        <f>+E936*C936</f>
        <v>1005.9953168000001</v>
      </c>
      <c r="I936" s="1324"/>
      <c r="J936" s="2901"/>
      <c r="K936" s="2901"/>
      <c r="L936" s="2901"/>
    </row>
    <row r="937" spans="1:12" s="1918" customFormat="1" ht="16.8">
      <c r="A937" s="1319" t="s">
        <v>172</v>
      </c>
      <c r="B937" s="1320" t="s">
        <v>189</v>
      </c>
      <c r="C937" s="1322">
        <v>1</v>
      </c>
      <c r="D937" s="1323" t="s">
        <v>583</v>
      </c>
      <c r="E937" s="1324">
        <f>+H938*0.05</f>
        <v>130.77939118399999</v>
      </c>
      <c r="F937" s="1324"/>
      <c r="G937" s="1324"/>
      <c r="H937" s="1324"/>
      <c r="I937" s="1324">
        <f>+E937*C937</f>
        <v>130.77939118399999</v>
      </c>
      <c r="J937" s="2901"/>
      <c r="K937" s="2901"/>
      <c r="L937" s="2901"/>
    </row>
    <row r="938" spans="1:12" s="1918" customFormat="1" ht="16.8">
      <c r="A938" s="1325" t="s">
        <v>190</v>
      </c>
      <c r="B938" s="1326">
        <f>ROUND(SUM(F938:I938),0)</f>
        <v>2746</v>
      </c>
      <c r="C938" s="1323"/>
      <c r="D938" s="1327"/>
      <c r="E938" s="1319"/>
      <c r="F938" s="1324">
        <f>SUM(F935:F937)</f>
        <v>0</v>
      </c>
      <c r="G938" s="1324">
        <f>SUM(G935:G936)</f>
        <v>0</v>
      </c>
      <c r="H938" s="1324">
        <f>SUM(H935:H936)</f>
        <v>2615.5878236799999</v>
      </c>
      <c r="I938" s="1324">
        <f>SUM(I935:I937)</f>
        <v>130.77939118399999</v>
      </c>
      <c r="J938" s="2901"/>
      <c r="K938" s="2901"/>
      <c r="L938" s="2901"/>
    </row>
    <row r="939" spans="1:12" ht="16.8">
      <c r="A939" s="1325" t="s">
        <v>191</v>
      </c>
      <c r="B939" s="1326">
        <f>+B938</f>
        <v>2746</v>
      </c>
      <c r="C939" s="1328" t="s">
        <v>150</v>
      </c>
      <c r="D939" s="1329"/>
      <c r="E939" s="1329">
        <f>+B947*0.15</f>
        <v>2575.1999999999998</v>
      </c>
      <c r="F939" s="1329"/>
      <c r="G939" s="1329"/>
      <c r="H939" s="1330"/>
      <c r="I939" s="1330"/>
    </row>
    <row r="940" spans="1:12" s="1918" customFormat="1" ht="15.75" customHeight="1">
      <c r="A940" s="492"/>
      <c r="B940" s="492"/>
      <c r="C940" s="492"/>
      <c r="D940" s="492"/>
      <c r="E940" s="492"/>
      <c r="F940" s="492"/>
      <c r="G940" s="492"/>
      <c r="H940" s="492"/>
      <c r="I940" s="492"/>
      <c r="J940" s="2901"/>
      <c r="K940" s="2901">
        <f>0.05*1</f>
        <v>0.05</v>
      </c>
      <c r="L940" s="2901"/>
    </row>
    <row r="941" spans="1:12" s="1918" customFormat="1" ht="16.8">
      <c r="A941" s="1318"/>
      <c r="B941" s="3849" t="s">
        <v>7032</v>
      </c>
      <c r="C941" s="3849"/>
      <c r="D941" s="3849"/>
      <c r="E941" s="3849"/>
      <c r="F941" s="3849"/>
      <c r="G941" s="3849"/>
      <c r="H941" s="3849"/>
      <c r="I941" s="3849"/>
      <c r="J941" s="2901"/>
      <c r="K941" s="2901"/>
      <c r="L941" s="2901"/>
    </row>
    <row r="942" spans="1:12" s="1918" customFormat="1" ht="16.8">
      <c r="A942" s="1319"/>
      <c r="B942" s="1320"/>
      <c r="C942" s="1319" t="s">
        <v>140</v>
      </c>
      <c r="D942" s="1319" t="s">
        <v>343</v>
      </c>
      <c r="E942" s="1319" t="s">
        <v>344</v>
      </c>
      <c r="F942" s="1319" t="s">
        <v>482</v>
      </c>
      <c r="G942" s="1319" t="s">
        <v>483</v>
      </c>
      <c r="H942" s="1319" t="s">
        <v>170</v>
      </c>
      <c r="I942" s="1319" t="s">
        <v>171</v>
      </c>
      <c r="J942" s="2901"/>
      <c r="K942" s="2901"/>
      <c r="L942" s="2901"/>
    </row>
    <row r="943" spans="1:12" s="1918" customFormat="1" ht="16.8">
      <c r="A943" s="1321"/>
      <c r="B943" s="1923" t="s">
        <v>4735</v>
      </c>
      <c r="C943" s="1922">
        <v>0.25</v>
      </c>
      <c r="D943" s="1920" t="s">
        <v>150</v>
      </c>
      <c r="E943" s="2149">
        <f>+'BASE 2'!D679</f>
        <v>7073.36</v>
      </c>
      <c r="F943" s="1324"/>
      <c r="G943" s="1324">
        <f>+E943*C943</f>
        <v>1768.34</v>
      </c>
      <c r="H943" s="1324"/>
      <c r="I943" s="1324"/>
      <c r="J943" s="2901"/>
      <c r="K943" s="2901"/>
      <c r="L943" s="2901"/>
    </row>
    <row r="944" spans="1:12" s="1918" customFormat="1" ht="16.8">
      <c r="A944" s="1321"/>
      <c r="B944" s="1923" t="s">
        <v>4736</v>
      </c>
      <c r="C944" s="1922">
        <v>1</v>
      </c>
      <c r="D944" s="1921" t="s">
        <v>150</v>
      </c>
      <c r="E944" s="1324">
        <v>1000</v>
      </c>
      <c r="F944" s="1324"/>
      <c r="G944" s="1324">
        <f>+E944*C944</f>
        <v>1000</v>
      </c>
      <c r="H944" s="1324"/>
      <c r="I944" s="1324"/>
      <c r="J944" s="2901"/>
      <c r="K944" s="2901"/>
      <c r="L944" s="2901"/>
    </row>
    <row r="945" spans="1:12" s="1918" customFormat="1" ht="16.8">
      <c r="A945" s="1319"/>
      <c r="B945" s="1320" t="s">
        <v>4727</v>
      </c>
      <c r="C945" s="1919">
        <v>1.2E-2</v>
      </c>
      <c r="D945" s="1921" t="s">
        <v>583</v>
      </c>
      <c r="E945" s="1324">
        <f>+VIAJE</f>
        <v>1200000</v>
      </c>
      <c r="F945" s="1324"/>
      <c r="G945" s="1324"/>
      <c r="H945" s="1324"/>
      <c r="I945" s="1324">
        <f>+E945*C945</f>
        <v>14400</v>
      </c>
      <c r="J945" s="2901"/>
      <c r="K945" s="2901"/>
      <c r="L945" s="2901"/>
    </row>
    <row r="946" spans="1:12" s="1918" customFormat="1" ht="16.8">
      <c r="A946" s="1325" t="s">
        <v>190</v>
      </c>
      <c r="B946" s="1326">
        <f>ROUND(SUM(F946:I946),0)</f>
        <v>17168</v>
      </c>
      <c r="C946" s="1323"/>
      <c r="D946" s="1327"/>
      <c r="E946" s="1319"/>
      <c r="F946" s="1324">
        <f>SUM(F943:F943)</f>
        <v>0</v>
      </c>
      <c r="G946" s="1324">
        <f>SUM(G943:G945)</f>
        <v>2768.34</v>
      </c>
      <c r="H946" s="1324">
        <f>SUM(H943:H943)</f>
        <v>0</v>
      </c>
      <c r="I946" s="1324">
        <f>+I945</f>
        <v>14400</v>
      </c>
      <c r="J946" s="2901"/>
      <c r="K946" s="2901"/>
      <c r="L946" s="2901"/>
    </row>
    <row r="947" spans="1:12" s="1918" customFormat="1" ht="16.8">
      <c r="A947" s="1325" t="s">
        <v>191</v>
      </c>
      <c r="B947" s="1326">
        <f>+B946</f>
        <v>17168</v>
      </c>
      <c r="C947" s="1328" t="s">
        <v>150</v>
      </c>
      <c r="D947" s="1329"/>
      <c r="E947" s="1329"/>
      <c r="F947" s="1329"/>
      <c r="G947" s="1329"/>
      <c r="H947" s="1330"/>
      <c r="I947" s="1330"/>
      <c r="J947" s="2901"/>
      <c r="K947" s="2901"/>
      <c r="L947" s="2901"/>
    </row>
    <row r="949" spans="1:12" s="1918" customFormat="1" ht="16.8">
      <c r="A949" s="1318"/>
      <c r="B949" s="3849" t="s">
        <v>7035</v>
      </c>
      <c r="C949" s="3849"/>
      <c r="D949" s="3849"/>
      <c r="E949" s="3849"/>
      <c r="F949" s="3849"/>
      <c r="G949" s="3849"/>
      <c r="H949" s="3849"/>
      <c r="I949" s="3849"/>
      <c r="J949" s="2901"/>
      <c r="K949" s="2901"/>
      <c r="L949" s="2901"/>
    </row>
    <row r="950" spans="1:12" s="1918" customFormat="1" ht="16.8">
      <c r="A950" s="1319"/>
      <c r="B950" s="1320"/>
      <c r="C950" s="1319" t="s">
        <v>140</v>
      </c>
      <c r="D950" s="1319" t="s">
        <v>343</v>
      </c>
      <c r="E950" s="1319" t="s">
        <v>344</v>
      </c>
      <c r="F950" s="1319" t="s">
        <v>482</v>
      </c>
      <c r="G950" s="1319" t="s">
        <v>483</v>
      </c>
      <c r="H950" s="1319" t="s">
        <v>170</v>
      </c>
      <c r="I950" s="1319" t="s">
        <v>171</v>
      </c>
      <c r="J950" s="2901"/>
      <c r="K950" s="2901"/>
      <c r="L950" s="2901"/>
    </row>
    <row r="951" spans="1:12" s="1918" customFormat="1" ht="16.8">
      <c r="A951" s="1319" t="s">
        <v>345</v>
      </c>
      <c r="B951" s="1320" t="s">
        <v>6439</v>
      </c>
      <c r="C951" s="1322">
        <v>0.4</v>
      </c>
      <c r="D951" s="1323" t="s">
        <v>346</v>
      </c>
      <c r="E951" s="1324">
        <f>+OFICI</f>
        <v>80479.625344</v>
      </c>
      <c r="F951" s="1324"/>
      <c r="G951" s="1324"/>
      <c r="H951" s="1324">
        <f>+E951*C951</f>
        <v>32191.850137600002</v>
      </c>
      <c r="I951" s="1324"/>
      <c r="J951" s="2901"/>
      <c r="K951" s="2901"/>
      <c r="L951" s="2901"/>
    </row>
    <row r="952" spans="1:12" s="1918" customFormat="1" ht="16.8">
      <c r="A952" s="1319" t="s">
        <v>348</v>
      </c>
      <c r="B952" s="1320" t="s">
        <v>6579</v>
      </c>
      <c r="C952" s="1322">
        <v>0.4</v>
      </c>
      <c r="D952" s="1323" t="s">
        <v>346</v>
      </c>
      <c r="E952" s="1324">
        <f>+AYUDR</f>
        <v>50299.76584</v>
      </c>
      <c r="F952" s="1324"/>
      <c r="G952" s="1324"/>
      <c r="H952" s="1324">
        <f>+E952*C952</f>
        <v>20119.906336</v>
      </c>
      <c r="I952" s="1324"/>
      <c r="J952" s="2901"/>
      <c r="K952" s="2901"/>
      <c r="L952" s="2901"/>
    </row>
    <row r="953" spans="1:12" s="1918" customFormat="1" ht="16.8">
      <c r="A953" s="1319" t="s">
        <v>172</v>
      </c>
      <c r="B953" s="1320" t="s">
        <v>189</v>
      </c>
      <c r="C953" s="1322">
        <v>1</v>
      </c>
      <c r="D953" s="1323" t="s">
        <v>583</v>
      </c>
      <c r="E953" s="1324">
        <f>+H954*0.05</f>
        <v>2615.5878236800004</v>
      </c>
      <c r="F953" s="1324"/>
      <c r="G953" s="1324"/>
      <c r="H953" s="1324"/>
      <c r="I953" s="1324">
        <f>+E953*C953</f>
        <v>2615.5878236800004</v>
      </c>
      <c r="J953" s="2901"/>
      <c r="K953" s="2901"/>
      <c r="L953" s="2901"/>
    </row>
    <row r="954" spans="1:12" s="1918" customFormat="1" ht="16.8">
      <c r="A954" s="1325" t="s">
        <v>190</v>
      </c>
      <c r="B954" s="1326">
        <f>ROUND(SUM(F954:I954),0)</f>
        <v>54927</v>
      </c>
      <c r="C954" s="1323"/>
      <c r="D954" s="1327"/>
      <c r="E954" s="1319"/>
      <c r="F954" s="1324">
        <f>SUM(F951:F953)</f>
        <v>0</v>
      </c>
      <c r="G954" s="1324">
        <f>SUM(G951:G952)</f>
        <v>0</v>
      </c>
      <c r="H954" s="1324">
        <f>SUM(H951:H952)</f>
        <v>52311.756473600006</v>
      </c>
      <c r="I954" s="1324">
        <f>SUM(I951:I953)</f>
        <v>2615.5878236800004</v>
      </c>
      <c r="J954" s="2901"/>
      <c r="K954" s="2901"/>
      <c r="L954" s="2901"/>
    </row>
    <row r="955" spans="1:12" ht="16.8">
      <c r="A955" s="1325" t="s">
        <v>191</v>
      </c>
      <c r="B955" s="1326">
        <f>+B954</f>
        <v>54927</v>
      </c>
      <c r="C955" s="1328" t="s">
        <v>4696</v>
      </c>
      <c r="D955" s="1329"/>
      <c r="E955" s="1329">
        <f>+B962*0.15</f>
        <v>99990</v>
      </c>
      <c r="F955" s="1329"/>
      <c r="G955" s="1329"/>
      <c r="H955" s="1330"/>
      <c r="I955" s="1330"/>
    </row>
    <row r="956" spans="1:12" s="1918" customFormat="1" ht="15.75" customHeight="1">
      <c r="A956" s="492"/>
      <c r="B956" s="492"/>
      <c r="C956" s="492"/>
      <c r="D956" s="492"/>
      <c r="E956" s="492"/>
      <c r="F956" s="492"/>
      <c r="G956" s="492"/>
      <c r="H956" s="492"/>
      <c r="I956" s="492"/>
      <c r="J956" s="2901"/>
      <c r="K956" s="2901">
        <f>0.05*1</f>
        <v>0.05</v>
      </c>
      <c r="L956" s="2901"/>
    </row>
    <row r="957" spans="1:12" s="1918" customFormat="1" ht="16.8">
      <c r="A957" s="1318"/>
      <c r="B957" s="3849" t="s">
        <v>7034</v>
      </c>
      <c r="C957" s="3849"/>
      <c r="D957" s="3849"/>
      <c r="E957" s="3849"/>
      <c r="F957" s="3849"/>
      <c r="G957" s="3849"/>
      <c r="H957" s="3849"/>
      <c r="I957" s="3849"/>
      <c r="J957" s="2901"/>
      <c r="K957" s="2901"/>
      <c r="L957" s="2901"/>
    </row>
    <row r="958" spans="1:12" s="1918" customFormat="1" ht="18" customHeight="1">
      <c r="A958" s="1319"/>
      <c r="B958" s="1320"/>
      <c r="C958" s="1319" t="s">
        <v>140</v>
      </c>
      <c r="D958" s="1319" t="s">
        <v>343</v>
      </c>
      <c r="E958" s="1319" t="s">
        <v>344</v>
      </c>
      <c r="F958" s="1319" t="s">
        <v>482</v>
      </c>
      <c r="G958" s="1319" t="s">
        <v>483</v>
      </c>
      <c r="H958" s="1319" t="s">
        <v>170</v>
      </c>
      <c r="I958" s="1319" t="s">
        <v>171</v>
      </c>
      <c r="J958" s="2901"/>
      <c r="K958" s="2901"/>
      <c r="L958" s="2901"/>
    </row>
    <row r="959" spans="1:12" s="1918" customFormat="1" ht="33.6">
      <c r="A959" s="1319"/>
      <c r="B959" s="1335" t="s">
        <v>4739</v>
      </c>
      <c r="C959" s="1336">
        <v>1</v>
      </c>
      <c r="D959" s="1337" t="s">
        <v>4696</v>
      </c>
      <c r="E959" s="1338">
        <f>+'BASE 2'!D680</f>
        <v>642600</v>
      </c>
      <c r="F959" s="1336"/>
      <c r="G959" s="1336">
        <f>+E959*C959</f>
        <v>642600</v>
      </c>
      <c r="H959" s="1336"/>
      <c r="I959" s="1336"/>
      <c r="J959" s="2901"/>
      <c r="K959" s="2901"/>
      <c r="L959" s="2901"/>
    </row>
    <row r="960" spans="1:12" s="1918" customFormat="1" ht="16.8">
      <c r="A960" s="1319"/>
      <c r="B960" s="1320" t="s">
        <v>4727</v>
      </c>
      <c r="C960" s="1919">
        <v>0.02</v>
      </c>
      <c r="D960" s="1921" t="s">
        <v>583</v>
      </c>
      <c r="E960" s="1324">
        <f>+VIAJE</f>
        <v>1200000</v>
      </c>
      <c r="F960" s="1324"/>
      <c r="G960" s="1324"/>
      <c r="H960" s="1324"/>
      <c r="I960" s="2149">
        <f>+E960*C960</f>
        <v>24000</v>
      </c>
      <c r="J960" s="2901"/>
      <c r="K960" s="2901"/>
      <c r="L960" s="2901"/>
    </row>
    <row r="961" spans="1:12" s="1918" customFormat="1" ht="16.8">
      <c r="A961" s="1325" t="s">
        <v>190</v>
      </c>
      <c r="B961" s="1326">
        <f>ROUND(SUM(F961:I961),0)</f>
        <v>666600</v>
      </c>
      <c r="C961" s="1323"/>
      <c r="D961" s="1327"/>
      <c r="E961" s="1319"/>
      <c r="F961" s="1324">
        <f>SUM(F959:F960)</f>
        <v>0</v>
      </c>
      <c r="G961" s="1324">
        <f t="shared" ref="G961:I961" si="43">SUM(G959:G960)</f>
        <v>642600</v>
      </c>
      <c r="H961" s="1324">
        <f t="shared" si="43"/>
        <v>0</v>
      </c>
      <c r="I961" s="2149">
        <f t="shared" si="43"/>
        <v>24000</v>
      </c>
      <c r="J961" s="2901"/>
      <c r="K961" s="2901"/>
      <c r="L961" s="2901"/>
    </row>
    <row r="962" spans="1:12" s="2747" customFormat="1" ht="16.8">
      <c r="A962" s="1325" t="s">
        <v>191</v>
      </c>
      <c r="B962" s="1326">
        <f>+B961</f>
        <v>666600</v>
      </c>
      <c r="C962" s="1328" t="s">
        <v>1002</v>
      </c>
      <c r="D962" s="1329"/>
      <c r="E962" s="1329"/>
      <c r="F962" s="1329"/>
      <c r="G962" s="1329"/>
      <c r="H962" s="1330"/>
      <c r="I962" s="1330"/>
      <c r="J962" s="2901"/>
      <c r="K962" s="2901"/>
      <c r="L962" s="2901"/>
    </row>
    <row r="964" spans="1:12" s="1918" customFormat="1" ht="16.8">
      <c r="A964" s="1318"/>
      <c r="B964" s="3849" t="s">
        <v>7016</v>
      </c>
      <c r="C964" s="3849"/>
      <c r="D964" s="3849"/>
      <c r="E964" s="3849"/>
      <c r="F964" s="3849"/>
      <c r="G964" s="3849"/>
      <c r="H964" s="3849"/>
      <c r="I964" s="3849"/>
      <c r="J964" s="2901"/>
      <c r="K964" s="2901"/>
      <c r="L964" s="2901"/>
    </row>
    <row r="965" spans="1:12" s="1918" customFormat="1" ht="16.8">
      <c r="A965" s="1319"/>
      <c r="B965" s="1320"/>
      <c r="C965" s="1319" t="s">
        <v>140</v>
      </c>
      <c r="D965" s="1319" t="s">
        <v>343</v>
      </c>
      <c r="E965" s="1319" t="s">
        <v>344</v>
      </c>
      <c r="F965" s="1319" t="s">
        <v>482</v>
      </c>
      <c r="G965" s="1319" t="s">
        <v>483</v>
      </c>
      <c r="H965" s="1319" t="s">
        <v>170</v>
      </c>
      <c r="I965" s="1319" t="s">
        <v>171</v>
      </c>
      <c r="J965" s="2901"/>
      <c r="K965" s="2901"/>
      <c r="L965" s="2901"/>
    </row>
    <row r="966" spans="1:12" s="1918" customFormat="1" ht="16.8">
      <c r="A966" s="1319" t="s">
        <v>345</v>
      </c>
      <c r="B966" s="1320" t="s">
        <v>6439</v>
      </c>
      <c r="C966" s="1322">
        <f>1/8</f>
        <v>0.125</v>
      </c>
      <c r="D966" s="1323" t="s">
        <v>346</v>
      </c>
      <c r="E966" s="1324">
        <f>+OFICI</f>
        <v>80479.625344</v>
      </c>
      <c r="F966" s="1324"/>
      <c r="G966" s="1324"/>
      <c r="H966" s="1324">
        <f>+E966*C966</f>
        <v>10059.953168</v>
      </c>
      <c r="I966" s="1324"/>
      <c r="J966" s="2901"/>
      <c r="K966" s="2901"/>
      <c r="L966" s="2901"/>
    </row>
    <row r="967" spans="1:12" s="1918" customFormat="1" ht="16.8">
      <c r="A967" s="1319" t="s">
        <v>348</v>
      </c>
      <c r="B967" s="1320" t="s">
        <v>6579</v>
      </c>
      <c r="C967" s="1322">
        <f>1/8</f>
        <v>0.125</v>
      </c>
      <c r="D967" s="1323" t="s">
        <v>346</v>
      </c>
      <c r="E967" s="1324">
        <f>+AYUDR</f>
        <v>50299.76584</v>
      </c>
      <c r="F967" s="1324"/>
      <c r="G967" s="1324"/>
      <c r="H967" s="1324">
        <f>+E967*C967</f>
        <v>6287.47073</v>
      </c>
      <c r="I967" s="1324"/>
      <c r="J967" s="2901"/>
      <c r="K967" s="2901"/>
      <c r="L967" s="2901"/>
    </row>
    <row r="968" spans="1:12" s="1918" customFormat="1" ht="16.8">
      <c r="A968" s="1319" t="s">
        <v>172</v>
      </c>
      <c r="B968" s="1320" t="s">
        <v>189</v>
      </c>
      <c r="C968" s="1322">
        <v>1</v>
      </c>
      <c r="D968" s="1323" t="s">
        <v>583</v>
      </c>
      <c r="E968" s="1324">
        <f>+H969*0.05</f>
        <v>817.37119490000009</v>
      </c>
      <c r="F968" s="1324"/>
      <c r="G968" s="1324"/>
      <c r="H968" s="1324"/>
      <c r="I968" s="1324">
        <f>+E968*C968</f>
        <v>817.37119490000009</v>
      </c>
      <c r="J968" s="2901"/>
      <c r="K968" s="2901"/>
      <c r="L968" s="2901"/>
    </row>
    <row r="969" spans="1:12" s="1918" customFormat="1" ht="16.8">
      <c r="A969" s="1325" t="s">
        <v>190</v>
      </c>
      <c r="B969" s="1326">
        <f>ROUND(SUM(F969:I969),0)</f>
        <v>17165</v>
      </c>
      <c r="C969" s="1323"/>
      <c r="D969" s="1327"/>
      <c r="E969" s="1319"/>
      <c r="F969" s="1324">
        <f>SUM(F966:F968)</f>
        <v>0</v>
      </c>
      <c r="G969" s="1324">
        <f>SUM(G966:G967)</f>
        <v>0</v>
      </c>
      <c r="H969" s="1324">
        <f>SUM(H966:H967)</f>
        <v>16347.423898000001</v>
      </c>
      <c r="I969" s="1324">
        <f>SUM(I966:I968)</f>
        <v>817.37119490000009</v>
      </c>
      <c r="J969" s="2901"/>
      <c r="K969" s="2901"/>
      <c r="L969" s="2901"/>
    </row>
    <row r="970" spans="1:12" ht="16.8">
      <c r="A970" s="1325" t="s">
        <v>191</v>
      </c>
      <c r="B970" s="1326">
        <f>+B969</f>
        <v>17165</v>
      </c>
      <c r="C970" s="1328" t="s">
        <v>1292</v>
      </c>
      <c r="D970" s="1329"/>
      <c r="E970" s="1329"/>
      <c r="F970" s="1329"/>
      <c r="G970" s="1329"/>
      <c r="H970" s="1330"/>
      <c r="I970" s="1330"/>
    </row>
    <row r="972" spans="1:12" ht="16.8">
      <c r="A972" s="680"/>
      <c r="B972" s="3547" t="s">
        <v>7014</v>
      </c>
      <c r="C972" s="3548"/>
      <c r="D972" s="3548"/>
      <c r="E972" s="3548"/>
      <c r="F972" s="3548"/>
      <c r="G972" s="3548"/>
      <c r="H972" s="3548"/>
      <c r="I972" s="3549"/>
    </row>
    <row r="973" spans="1:12" ht="16.8">
      <c r="A973" s="2698"/>
      <c r="B973" s="696"/>
      <c r="C973" s="2695" t="s">
        <v>140</v>
      </c>
      <c r="D973" s="2695" t="s">
        <v>343</v>
      </c>
      <c r="E973" s="2695" t="s">
        <v>344</v>
      </c>
      <c r="F973" s="2695" t="s">
        <v>482</v>
      </c>
      <c r="G973" s="2695" t="s">
        <v>483</v>
      </c>
      <c r="H973" s="2695" t="s">
        <v>170</v>
      </c>
      <c r="I973" s="2695" t="s">
        <v>171</v>
      </c>
    </row>
    <row r="974" spans="1:12" ht="16.8">
      <c r="A974" s="2698" t="s">
        <v>176</v>
      </c>
      <c r="B974" s="696" t="s">
        <v>7013</v>
      </c>
      <c r="C974" s="346">
        <v>1</v>
      </c>
      <c r="D974" s="2695" t="s">
        <v>356</v>
      </c>
      <c r="E974" s="350">
        <f>+'BASE 2'!D681</f>
        <v>1434711.5999999999</v>
      </c>
      <c r="F974" s="350"/>
      <c r="G974" s="350">
        <f>+E974*C974</f>
        <v>1434711.5999999999</v>
      </c>
      <c r="H974" s="350"/>
      <c r="I974" s="350"/>
    </row>
    <row r="975" spans="1:12" ht="16.8">
      <c r="A975" s="2698" t="s">
        <v>1015</v>
      </c>
      <c r="B975" s="696" t="s">
        <v>1293</v>
      </c>
      <c r="C975" s="346">
        <v>1</v>
      </c>
      <c r="D975" s="2695" t="s">
        <v>356</v>
      </c>
      <c r="E975" s="350">
        <f>+TRANAG</f>
        <v>30600</v>
      </c>
      <c r="F975" s="350"/>
      <c r="G975" s="350"/>
      <c r="H975" s="350"/>
      <c r="I975" s="350">
        <f>+E975*C975</f>
        <v>30600</v>
      </c>
    </row>
    <row r="976" spans="1:12" ht="16.8">
      <c r="A976" s="587" t="s">
        <v>190</v>
      </c>
      <c r="B976" s="588">
        <f>SUM(F976:I976)</f>
        <v>1465311.5999999999</v>
      </c>
      <c r="C976" s="160"/>
      <c r="D976" s="2695"/>
      <c r="E976" s="350"/>
      <c r="F976" s="350">
        <f>+SUM(F974:F975)</f>
        <v>0</v>
      </c>
      <c r="G976" s="350">
        <f>+SUM(G974:G975)</f>
        <v>1434711.5999999999</v>
      </c>
      <c r="H976" s="350">
        <f>+SUM(H974:H975)</f>
        <v>0</v>
      </c>
      <c r="I976" s="350">
        <f>+SUM(I974:I975)</f>
        <v>30600</v>
      </c>
    </row>
    <row r="977" spans="1:12" s="61" customFormat="1" ht="16.8">
      <c r="A977" s="587" t="s">
        <v>191</v>
      </c>
      <c r="B977" s="588">
        <f>+B976</f>
        <v>1465311.5999999999</v>
      </c>
      <c r="C977" s="688" t="s">
        <v>3903</v>
      </c>
      <c r="D977" s="13"/>
      <c r="E977" s="13"/>
      <c r="F977" s="13"/>
      <c r="G977" s="13"/>
      <c r="H977" s="13"/>
      <c r="I977" s="13"/>
      <c r="J977" s="2894"/>
      <c r="K977" s="2894"/>
      <c r="L977" s="2894"/>
    </row>
    <row r="978" spans="1:12" ht="15" customHeight="1"/>
    <row r="979" spans="1:12" s="1918" customFormat="1" ht="16.8">
      <c r="A979" s="1318"/>
      <c r="B979" s="3849" t="s">
        <v>7020</v>
      </c>
      <c r="C979" s="3849"/>
      <c r="D979" s="3849"/>
      <c r="E979" s="3849"/>
      <c r="F979" s="3849"/>
      <c r="G979" s="3849"/>
      <c r="H979" s="3849"/>
      <c r="I979" s="3849"/>
      <c r="J979" s="2901"/>
      <c r="K979" s="2901"/>
      <c r="L979" s="2901"/>
    </row>
    <row r="980" spans="1:12" s="1918" customFormat="1" ht="16.8">
      <c r="A980" s="1319"/>
      <c r="B980" s="1320"/>
      <c r="C980" s="1319" t="s">
        <v>140</v>
      </c>
      <c r="D980" s="1319" t="s">
        <v>343</v>
      </c>
      <c r="E980" s="1319" t="s">
        <v>344</v>
      </c>
      <c r="F980" s="1319" t="s">
        <v>482</v>
      </c>
      <c r="G980" s="1319" t="s">
        <v>483</v>
      </c>
      <c r="H980" s="1319" t="s">
        <v>170</v>
      </c>
      <c r="I980" s="1319" t="s">
        <v>171</v>
      </c>
      <c r="J980" s="2901"/>
      <c r="K980" s="2901"/>
      <c r="L980" s="2901"/>
    </row>
    <row r="981" spans="1:12" s="1918" customFormat="1" ht="16.8">
      <c r="A981" s="1319" t="s">
        <v>345</v>
      </c>
      <c r="B981" s="1320" t="s">
        <v>6439</v>
      </c>
      <c r="C981" s="1322">
        <f>1/7.5</f>
        <v>0.13333333333333333</v>
      </c>
      <c r="D981" s="1323" t="s">
        <v>346</v>
      </c>
      <c r="E981" s="1324">
        <f>+OFICI</f>
        <v>80479.625344</v>
      </c>
      <c r="F981" s="1324"/>
      <c r="G981" s="1324"/>
      <c r="H981" s="1324">
        <f>+E981*C981</f>
        <v>10730.616712533334</v>
      </c>
      <c r="I981" s="1324"/>
      <c r="J981" s="2901"/>
      <c r="K981" s="2901"/>
      <c r="L981" s="2901"/>
    </row>
    <row r="982" spans="1:12" s="1918" customFormat="1" ht="16.8">
      <c r="A982" s="1319" t="s">
        <v>348</v>
      </c>
      <c r="B982" s="1320" t="s">
        <v>6579</v>
      </c>
      <c r="C982" s="1322">
        <f>1/7.5</f>
        <v>0.13333333333333333</v>
      </c>
      <c r="D982" s="1323" t="s">
        <v>346</v>
      </c>
      <c r="E982" s="1324">
        <f>+AYUDR</f>
        <v>50299.76584</v>
      </c>
      <c r="F982" s="1324"/>
      <c r="G982" s="1324"/>
      <c r="H982" s="1324">
        <f>+E982*C982</f>
        <v>6706.6354453333333</v>
      </c>
      <c r="I982" s="1324"/>
      <c r="J982" s="2901"/>
      <c r="K982" s="2901"/>
      <c r="L982" s="2901"/>
    </row>
    <row r="983" spans="1:12" s="1918" customFormat="1" ht="16.8">
      <c r="A983" s="1319" t="s">
        <v>172</v>
      </c>
      <c r="B983" s="1320" t="s">
        <v>189</v>
      </c>
      <c r="C983" s="1322">
        <v>1</v>
      </c>
      <c r="D983" s="1323" t="s">
        <v>583</v>
      </c>
      <c r="E983" s="1324">
        <f>+H984*0.05</f>
        <v>871.86260789333346</v>
      </c>
      <c r="F983" s="1324"/>
      <c r="G983" s="1324"/>
      <c r="H983" s="1324"/>
      <c r="I983" s="1324">
        <f>+E983*C983</f>
        <v>871.86260789333346</v>
      </c>
      <c r="J983" s="2901"/>
      <c r="K983" s="2901"/>
      <c r="L983" s="2901"/>
    </row>
    <row r="984" spans="1:12" s="1918" customFormat="1" ht="16.8">
      <c r="A984" s="1325" t="s">
        <v>190</v>
      </c>
      <c r="B984" s="1326">
        <f>ROUND(SUM(F984:I984),0)</f>
        <v>18309</v>
      </c>
      <c r="C984" s="1323"/>
      <c r="D984" s="1327"/>
      <c r="E984" s="1319"/>
      <c r="F984" s="1324">
        <f>SUM(F981:F983)</f>
        <v>0</v>
      </c>
      <c r="G984" s="1324">
        <f>SUM(G981:G982)</f>
        <v>0</v>
      </c>
      <c r="H984" s="1324">
        <f>SUM(H981:H982)</f>
        <v>17437.252157866667</v>
      </c>
      <c r="I984" s="1324">
        <f>SUM(I981:I983)</f>
        <v>871.86260789333346</v>
      </c>
      <c r="J984" s="2901"/>
      <c r="K984" s="2901"/>
      <c r="L984" s="2901"/>
    </row>
    <row r="985" spans="1:12" ht="16.8">
      <c r="A985" s="1325" t="s">
        <v>191</v>
      </c>
      <c r="B985" s="1326">
        <f>+B984</f>
        <v>18309</v>
      </c>
      <c r="C985" s="1328" t="s">
        <v>1292</v>
      </c>
      <c r="D985" s="1329"/>
      <c r="E985" s="1329"/>
      <c r="F985" s="1329"/>
      <c r="G985" s="1329"/>
      <c r="H985" s="1330"/>
      <c r="I985" s="1330"/>
    </row>
    <row r="987" spans="1:12" ht="16.8">
      <c r="A987" s="680"/>
      <c r="B987" s="3558" t="s">
        <v>7018</v>
      </c>
      <c r="C987" s="3558"/>
      <c r="D987" s="3558"/>
      <c r="E987" s="3558"/>
      <c r="F987" s="3558"/>
      <c r="G987" s="3558"/>
      <c r="H987" s="3558"/>
      <c r="I987" s="3558"/>
    </row>
    <row r="988" spans="1:12" ht="16.8">
      <c r="A988" s="2698"/>
      <c r="B988" s="180"/>
      <c r="C988" s="2695"/>
      <c r="D988" s="2695"/>
      <c r="E988" s="2695"/>
      <c r="F988" s="2695" t="s">
        <v>482</v>
      </c>
      <c r="G988" s="2695" t="s">
        <v>483</v>
      </c>
      <c r="H988" s="2695" t="s">
        <v>170</v>
      </c>
      <c r="I988" s="2695" t="s">
        <v>171</v>
      </c>
    </row>
    <row r="989" spans="1:12" ht="16.8">
      <c r="A989" s="2698" t="s">
        <v>559</v>
      </c>
      <c r="B989" s="180" t="s">
        <v>7019</v>
      </c>
      <c r="C989" s="346">
        <v>1.05</v>
      </c>
      <c r="D989" s="2695" t="s">
        <v>356</v>
      </c>
      <c r="E989" s="350">
        <f>+'BASE 2'!D682</f>
        <v>1554270.9</v>
      </c>
      <c r="F989" s="350"/>
      <c r="G989" s="350">
        <f>+E989*C989</f>
        <v>1631984.4450000001</v>
      </c>
      <c r="H989" s="350"/>
      <c r="I989" s="350"/>
    </row>
    <row r="990" spans="1:12" ht="16.8">
      <c r="A990" s="2698" t="s">
        <v>1015</v>
      </c>
      <c r="B990" s="180" t="s">
        <v>1293</v>
      </c>
      <c r="C990" s="346">
        <v>1</v>
      </c>
      <c r="D990" s="2695" t="s">
        <v>356</v>
      </c>
      <c r="E990" s="350">
        <f>+E975</f>
        <v>30600</v>
      </c>
      <c r="F990" s="350"/>
      <c r="G990" s="350"/>
      <c r="H990" s="350"/>
      <c r="I990" s="350">
        <f>+E990*C990</f>
        <v>30600</v>
      </c>
    </row>
    <row r="991" spans="1:12" ht="16.8">
      <c r="A991" s="587" t="s">
        <v>190</v>
      </c>
      <c r="B991" s="39">
        <f>SUM(F991:I991)</f>
        <v>1662584.4450000001</v>
      </c>
      <c r="C991" s="34"/>
      <c r="D991" s="2695"/>
      <c r="E991" s="350"/>
      <c r="F991" s="350">
        <f>+SUM(F989:F990)</f>
        <v>0</v>
      </c>
      <c r="G991" s="350">
        <f>+SUM(G989:G990)</f>
        <v>1631984.4450000001</v>
      </c>
      <c r="H991" s="350">
        <f>+SUM(H989:H990)</f>
        <v>0</v>
      </c>
      <c r="I991" s="350">
        <f>+SUM(I989:I990)</f>
        <v>30600</v>
      </c>
    </row>
    <row r="992" spans="1:12" ht="16.8">
      <c r="A992" s="587" t="s">
        <v>191</v>
      </c>
      <c r="B992" s="39">
        <f>+B991</f>
        <v>1662584.4450000001</v>
      </c>
      <c r="C992" s="688" t="s">
        <v>3903</v>
      </c>
      <c r="D992" s="178"/>
      <c r="E992" s="178"/>
      <c r="F992" s="178"/>
      <c r="G992" s="178"/>
      <c r="H992" s="178"/>
      <c r="I992" s="178"/>
    </row>
    <row r="993" spans="1:12" ht="15" customHeight="1"/>
    <row r="994" spans="1:12" s="1918" customFormat="1" ht="16.8">
      <c r="A994" s="1318"/>
      <c r="B994" s="3849" t="s">
        <v>7026</v>
      </c>
      <c r="C994" s="3849"/>
      <c r="D994" s="3849"/>
      <c r="E994" s="3849"/>
      <c r="F994" s="3849"/>
      <c r="G994" s="3849"/>
      <c r="H994" s="3849"/>
      <c r="I994" s="3849"/>
      <c r="J994" s="2901"/>
      <c r="K994" s="2901"/>
      <c r="L994" s="2901"/>
    </row>
    <row r="995" spans="1:12" s="1918" customFormat="1" ht="16.8">
      <c r="A995" s="1319"/>
      <c r="B995" s="1320"/>
      <c r="C995" s="1319" t="s">
        <v>140</v>
      </c>
      <c r="D995" s="1319" t="s">
        <v>343</v>
      </c>
      <c r="E995" s="1319" t="s">
        <v>344</v>
      </c>
      <c r="F995" s="1319" t="s">
        <v>482</v>
      </c>
      <c r="G995" s="1319" t="s">
        <v>483</v>
      </c>
      <c r="H995" s="1319" t="s">
        <v>170</v>
      </c>
      <c r="I995" s="1319" t="s">
        <v>171</v>
      </c>
      <c r="J995" s="2901"/>
      <c r="K995" s="2901"/>
      <c r="L995" s="2901"/>
    </row>
    <row r="996" spans="1:12" s="1918" customFormat="1" ht="16.8">
      <c r="A996" s="1319" t="s">
        <v>345</v>
      </c>
      <c r="B996" s="1320" t="s">
        <v>6439</v>
      </c>
      <c r="C996" s="1322">
        <f>1/7</f>
        <v>0.14285714285714285</v>
      </c>
      <c r="D996" s="1323" t="s">
        <v>346</v>
      </c>
      <c r="E996" s="1324">
        <f>+OFICI</f>
        <v>80479.625344</v>
      </c>
      <c r="F996" s="1324"/>
      <c r="G996" s="1324"/>
      <c r="H996" s="1324">
        <f>+E996*C996</f>
        <v>11497.089334857143</v>
      </c>
      <c r="I996" s="1324"/>
      <c r="J996" s="2901"/>
      <c r="K996" s="2901"/>
      <c r="L996" s="2901"/>
    </row>
    <row r="997" spans="1:12" s="1918" customFormat="1" ht="16.8">
      <c r="A997" s="1319" t="s">
        <v>348</v>
      </c>
      <c r="B997" s="1320" t="s">
        <v>6579</v>
      </c>
      <c r="C997" s="1322">
        <f>1/7</f>
        <v>0.14285714285714285</v>
      </c>
      <c r="D997" s="1323" t="s">
        <v>346</v>
      </c>
      <c r="E997" s="1324">
        <f>+AYUDR</f>
        <v>50299.76584</v>
      </c>
      <c r="F997" s="1324"/>
      <c r="G997" s="1324"/>
      <c r="H997" s="1324">
        <f>+E997*C997</f>
        <v>7185.6808342857139</v>
      </c>
      <c r="I997" s="1324"/>
      <c r="J997" s="2901"/>
      <c r="K997" s="2901"/>
      <c r="L997" s="2901"/>
    </row>
    <row r="998" spans="1:12" s="1918" customFormat="1" ht="16.8">
      <c r="A998" s="1319" t="s">
        <v>172</v>
      </c>
      <c r="B998" s="1320" t="s">
        <v>189</v>
      </c>
      <c r="C998" s="1322">
        <v>1</v>
      </c>
      <c r="D998" s="1323" t="s">
        <v>583</v>
      </c>
      <c r="E998" s="1324">
        <f>+H999*0.05</f>
        <v>934.13850845714285</v>
      </c>
      <c r="F998" s="1324"/>
      <c r="G998" s="1324"/>
      <c r="H998" s="1324"/>
      <c r="I998" s="1324">
        <f>+E998*C998</f>
        <v>934.13850845714285</v>
      </c>
      <c r="J998" s="2901"/>
      <c r="K998" s="2901"/>
      <c r="L998" s="2901"/>
    </row>
    <row r="999" spans="1:12" s="1918" customFormat="1" ht="16.8">
      <c r="A999" s="1325" t="s">
        <v>190</v>
      </c>
      <c r="B999" s="1326">
        <f>ROUND(SUM(F999:I999),0)</f>
        <v>19617</v>
      </c>
      <c r="C999" s="1323"/>
      <c r="D999" s="1327"/>
      <c r="E999" s="1319"/>
      <c r="F999" s="1324">
        <f>SUM(F996:F998)</f>
        <v>0</v>
      </c>
      <c r="G999" s="1324">
        <f>SUM(G996:G997)</f>
        <v>0</v>
      </c>
      <c r="H999" s="1324">
        <f>SUM(H996:H997)</f>
        <v>18682.770169142856</v>
      </c>
      <c r="I999" s="1324">
        <f>SUM(I996:I998)</f>
        <v>934.13850845714285</v>
      </c>
      <c r="J999" s="2901"/>
      <c r="K999" s="2901"/>
      <c r="L999" s="2901"/>
    </row>
    <row r="1000" spans="1:12" ht="16.8">
      <c r="A1000" s="1325" t="s">
        <v>191</v>
      </c>
      <c r="B1000" s="1326">
        <f>+B999</f>
        <v>19617</v>
      </c>
      <c r="C1000" s="1328" t="s">
        <v>1292</v>
      </c>
      <c r="D1000" s="1329"/>
      <c r="E1000" s="1329"/>
      <c r="F1000" s="1329"/>
      <c r="G1000" s="1329"/>
      <c r="H1000" s="1330"/>
      <c r="I1000" s="1330"/>
    </row>
    <row r="1002" spans="1:12" ht="16.8">
      <c r="A1002" s="680"/>
      <c r="B1002" s="3558" t="s">
        <v>7025</v>
      </c>
      <c r="C1002" s="3558"/>
      <c r="D1002" s="3558"/>
      <c r="E1002" s="3558"/>
      <c r="F1002" s="3558"/>
      <c r="G1002" s="3558"/>
      <c r="H1002" s="3558"/>
      <c r="I1002" s="3558"/>
    </row>
    <row r="1003" spans="1:12" ht="16.8">
      <c r="A1003" s="2698"/>
      <c r="B1003" s="180"/>
      <c r="C1003" s="2695"/>
      <c r="D1003" s="2695"/>
      <c r="E1003" s="2695"/>
      <c r="F1003" s="2695" t="s">
        <v>482</v>
      </c>
      <c r="G1003" s="2695" t="s">
        <v>483</v>
      </c>
      <c r="H1003" s="2695" t="s">
        <v>170</v>
      </c>
      <c r="I1003" s="2695" t="s">
        <v>171</v>
      </c>
    </row>
    <row r="1004" spans="1:12" ht="16.8">
      <c r="A1004" s="2698" t="s">
        <v>559</v>
      </c>
      <c r="B1004" s="180" t="s">
        <v>7024</v>
      </c>
      <c r="C1004" s="346">
        <v>1.1000000000000001</v>
      </c>
      <c r="D1004" s="2695" t="s">
        <v>356</v>
      </c>
      <c r="E1004" s="350">
        <f>+'BASE 2'!D683</f>
        <v>1466556</v>
      </c>
      <c r="F1004" s="350"/>
      <c r="G1004" s="350">
        <f>+E1004*C1004</f>
        <v>1613211.6</v>
      </c>
      <c r="H1004" s="350"/>
      <c r="I1004" s="350"/>
    </row>
    <row r="1005" spans="1:12" ht="16.8">
      <c r="A1005" s="2698" t="s">
        <v>1015</v>
      </c>
      <c r="B1005" s="180" t="s">
        <v>1064</v>
      </c>
      <c r="C1005" s="346">
        <v>1</v>
      </c>
      <c r="D1005" s="2695" t="s">
        <v>356</v>
      </c>
      <c r="E1005" s="350">
        <f>+E990</f>
        <v>30600</v>
      </c>
      <c r="F1005" s="350"/>
      <c r="G1005" s="350"/>
      <c r="H1005" s="350"/>
      <c r="I1005" s="350">
        <f>+E1005*C1005</f>
        <v>30600</v>
      </c>
    </row>
    <row r="1006" spans="1:12" ht="16.8">
      <c r="A1006" s="587" t="s">
        <v>190</v>
      </c>
      <c r="B1006" s="39">
        <f>SUM(F1006:I1006)</f>
        <v>1643811.6</v>
      </c>
      <c r="C1006" s="34"/>
      <c r="D1006" s="2695"/>
      <c r="E1006" s="350"/>
      <c r="F1006" s="350">
        <f>+SUM(F1004:F1005)</f>
        <v>0</v>
      </c>
      <c r="G1006" s="350">
        <f>+SUM(G1004:G1005)</f>
        <v>1613211.6</v>
      </c>
      <c r="H1006" s="350">
        <f>+SUM(H1004:H1005)</f>
        <v>0</v>
      </c>
      <c r="I1006" s="350">
        <f>+SUM(I1004:I1005)</f>
        <v>30600</v>
      </c>
    </row>
    <row r="1007" spans="1:12" ht="16.8">
      <c r="A1007" s="587" t="s">
        <v>191</v>
      </c>
      <c r="B1007" s="39">
        <f>+B1006</f>
        <v>1643811.6</v>
      </c>
      <c r="C1007" s="688" t="s">
        <v>3903</v>
      </c>
      <c r="D1007" s="178"/>
      <c r="E1007" s="178"/>
      <c r="F1007" s="178"/>
      <c r="G1007" s="178"/>
      <c r="H1007" s="178"/>
      <c r="I1007" s="178"/>
    </row>
    <row r="1008" spans="1:12" ht="15" customHeight="1"/>
    <row r="1009" spans="1:12" s="1918" customFormat="1" ht="16.8">
      <c r="A1009" s="1318"/>
      <c r="B1009" s="3849" t="s">
        <v>4810</v>
      </c>
      <c r="C1009" s="3849"/>
      <c r="D1009" s="3849"/>
      <c r="E1009" s="3849"/>
      <c r="F1009" s="3849"/>
      <c r="G1009" s="3849"/>
      <c r="H1009" s="3849"/>
      <c r="I1009" s="3849"/>
      <c r="J1009" s="2901"/>
      <c r="K1009" s="2901"/>
      <c r="L1009" s="2901"/>
    </row>
    <row r="1010" spans="1:12" s="1918" customFormat="1" ht="16.8">
      <c r="A1010" s="1319"/>
      <c r="B1010" s="1320"/>
      <c r="C1010" s="1319" t="s">
        <v>140</v>
      </c>
      <c r="D1010" s="1319" t="s">
        <v>343</v>
      </c>
      <c r="E1010" s="1319" t="s">
        <v>344</v>
      </c>
      <c r="F1010" s="1319" t="s">
        <v>482</v>
      </c>
      <c r="G1010" s="1319" t="s">
        <v>483</v>
      </c>
      <c r="H1010" s="1319" t="s">
        <v>170</v>
      </c>
      <c r="I1010" s="1319" t="s">
        <v>171</v>
      </c>
      <c r="J1010" s="2901"/>
      <c r="K1010" s="2901"/>
      <c r="L1010" s="2901"/>
    </row>
    <row r="1011" spans="1:12" s="1918" customFormat="1" ht="16.8">
      <c r="A1011" s="1319" t="s">
        <v>345</v>
      </c>
      <c r="B1011" s="1320" t="s">
        <v>6439</v>
      </c>
      <c r="C1011" s="1322">
        <f>1/25</f>
        <v>0.04</v>
      </c>
      <c r="D1011" s="1323" t="s">
        <v>346</v>
      </c>
      <c r="E1011" s="1324">
        <f>+OFICI</f>
        <v>80479.625344</v>
      </c>
      <c r="F1011" s="1324"/>
      <c r="G1011" s="1324"/>
      <c r="H1011" s="1324">
        <f>+E1011*C1011</f>
        <v>3219.1850137599999</v>
      </c>
      <c r="I1011" s="1324"/>
      <c r="J1011" s="2901"/>
      <c r="K1011" s="2901"/>
      <c r="L1011" s="2901"/>
    </row>
    <row r="1012" spans="1:12" s="1918" customFormat="1" ht="16.8">
      <c r="A1012" s="1319" t="s">
        <v>348</v>
      </c>
      <c r="B1012" s="1320" t="s">
        <v>6579</v>
      </c>
      <c r="C1012" s="1322">
        <f>1/25</f>
        <v>0.04</v>
      </c>
      <c r="D1012" s="1323" t="s">
        <v>346</v>
      </c>
      <c r="E1012" s="1324">
        <f>+AYUDR</f>
        <v>50299.76584</v>
      </c>
      <c r="F1012" s="1324"/>
      <c r="G1012" s="1324"/>
      <c r="H1012" s="1324">
        <f>+E1012*C1012</f>
        <v>2011.9906336000001</v>
      </c>
      <c r="I1012" s="1324"/>
      <c r="J1012" s="2901"/>
      <c r="K1012" s="2901"/>
      <c r="L1012" s="2901"/>
    </row>
    <row r="1013" spans="1:12" s="1918" customFormat="1" ht="16.8">
      <c r="A1013" s="1319" t="s">
        <v>172</v>
      </c>
      <c r="B1013" s="1320" t="s">
        <v>189</v>
      </c>
      <c r="C1013" s="1322">
        <v>1</v>
      </c>
      <c r="D1013" s="1323" t="s">
        <v>583</v>
      </c>
      <c r="E1013" s="1324">
        <f>+H1014*0.05</f>
        <v>261.55878236799998</v>
      </c>
      <c r="F1013" s="1324"/>
      <c r="G1013" s="1324"/>
      <c r="H1013" s="1324"/>
      <c r="I1013" s="1324">
        <f>+E1013*C1013</f>
        <v>261.55878236799998</v>
      </c>
      <c r="J1013" s="2901"/>
      <c r="K1013" s="2901"/>
      <c r="L1013" s="2901"/>
    </row>
    <row r="1014" spans="1:12" s="1918" customFormat="1" ht="16.8">
      <c r="A1014" s="1325" t="s">
        <v>190</v>
      </c>
      <c r="B1014" s="1326">
        <f>ROUND(SUM(F1014:I1014),0)</f>
        <v>5493</v>
      </c>
      <c r="C1014" s="1323"/>
      <c r="D1014" s="1327"/>
      <c r="E1014" s="1319"/>
      <c r="F1014" s="1324">
        <f>SUM(F1011:F1013)</f>
        <v>0</v>
      </c>
      <c r="G1014" s="1324">
        <f>SUM(G1011:G1012)</f>
        <v>0</v>
      </c>
      <c r="H1014" s="1324">
        <f>SUM(H1011:H1012)</f>
        <v>5231.1756473599999</v>
      </c>
      <c r="I1014" s="1324">
        <f>SUM(I1011:I1013)</f>
        <v>261.55878236799998</v>
      </c>
      <c r="J1014" s="2901"/>
      <c r="K1014" s="2901"/>
      <c r="L1014" s="2901"/>
    </row>
    <row r="1015" spans="1:12" ht="16.8">
      <c r="A1015" s="1325" t="s">
        <v>191</v>
      </c>
      <c r="B1015" s="1326">
        <f>+B1014</f>
        <v>5493</v>
      </c>
      <c r="C1015" s="1328" t="s">
        <v>45</v>
      </c>
      <c r="D1015" s="1329"/>
      <c r="E1015" s="1329">
        <f>+B1022*0.15</f>
        <v>6562.95</v>
      </c>
      <c r="F1015" s="1329"/>
      <c r="G1015" s="1329"/>
      <c r="H1015" s="1330"/>
      <c r="I1015" s="1330"/>
    </row>
    <row r="1016" spans="1:12" s="1918" customFormat="1" ht="15.75" customHeight="1">
      <c r="A1016" s="492"/>
      <c r="B1016" s="492"/>
      <c r="C1016" s="492"/>
      <c r="D1016" s="492"/>
      <c r="E1016" s="492"/>
      <c r="F1016" s="492"/>
      <c r="G1016" s="492"/>
      <c r="H1016" s="492"/>
      <c r="I1016" s="492"/>
      <c r="J1016" s="2901"/>
      <c r="K1016" s="2901">
        <f>0.05*1</f>
        <v>0.05</v>
      </c>
      <c r="L1016" s="2901"/>
    </row>
    <row r="1017" spans="1:12" s="1918" customFormat="1" ht="16.8">
      <c r="A1017" s="1318"/>
      <c r="B1017" s="3849" t="s">
        <v>4811</v>
      </c>
      <c r="C1017" s="3849"/>
      <c r="D1017" s="3849"/>
      <c r="E1017" s="3849"/>
      <c r="F1017" s="3849"/>
      <c r="G1017" s="3849"/>
      <c r="H1017" s="3849"/>
      <c r="I1017" s="3849"/>
      <c r="J1017" s="2901"/>
      <c r="K1017" s="2901"/>
      <c r="L1017" s="2901"/>
    </row>
    <row r="1018" spans="1:12" s="1918" customFormat="1" ht="34.5" customHeight="1">
      <c r="A1018" s="1319"/>
      <c r="B1018" s="1320"/>
      <c r="C1018" s="1319" t="s">
        <v>140</v>
      </c>
      <c r="D1018" s="1319" t="s">
        <v>343</v>
      </c>
      <c r="E1018" s="1319" t="s">
        <v>344</v>
      </c>
      <c r="F1018" s="1319" t="s">
        <v>482</v>
      </c>
      <c r="G1018" s="1319" t="s">
        <v>483</v>
      </c>
      <c r="H1018" s="1319" t="s">
        <v>170</v>
      </c>
      <c r="I1018" s="1319" t="s">
        <v>171</v>
      </c>
      <c r="J1018" s="2901"/>
      <c r="K1018" s="2901"/>
      <c r="L1018" s="2901"/>
    </row>
    <row r="1019" spans="1:12" s="1918" customFormat="1" ht="16.8">
      <c r="A1019" s="1319"/>
      <c r="B1019" s="2750" t="s">
        <v>4768</v>
      </c>
      <c r="C1019" s="1336">
        <v>1</v>
      </c>
      <c r="D1019" s="1337" t="s">
        <v>45</v>
      </c>
      <c r="E1019" s="2751">
        <f>+'BASE 2'!D684</f>
        <v>43633.333333333372</v>
      </c>
      <c r="F1019" s="1336"/>
      <c r="G1019" s="1338">
        <f>+E1019*C1019</f>
        <v>43633.333333333372</v>
      </c>
      <c r="H1019" s="1336"/>
      <c r="I1019" s="1336"/>
      <c r="J1019" s="2901"/>
      <c r="K1019" s="2901"/>
      <c r="L1019" s="2901"/>
    </row>
    <row r="1020" spans="1:12" s="1918" customFormat="1" ht="16.8">
      <c r="A1020" s="1319"/>
      <c r="B1020" s="1320" t="s">
        <v>4727</v>
      </c>
      <c r="C1020" s="1919">
        <v>1E-4</v>
      </c>
      <c r="D1020" s="1921" t="s">
        <v>583</v>
      </c>
      <c r="E1020" s="1324">
        <f>+VIAJE</f>
        <v>1200000</v>
      </c>
      <c r="F1020" s="1324"/>
      <c r="G1020" s="1324"/>
      <c r="H1020" s="1324"/>
      <c r="I1020" s="2175">
        <f>+E1020*C1020</f>
        <v>120</v>
      </c>
      <c r="J1020" s="2901"/>
      <c r="K1020" s="2901"/>
      <c r="L1020" s="2901"/>
    </row>
    <row r="1021" spans="1:12" s="1918" customFormat="1" ht="16.8">
      <c r="A1021" s="1325" t="s">
        <v>190</v>
      </c>
      <c r="B1021" s="1326">
        <f>ROUND(SUM(F1021:I1021),0)</f>
        <v>43753</v>
      </c>
      <c r="C1021" s="1323"/>
      <c r="D1021" s="1327"/>
      <c r="E1021" s="1319"/>
      <c r="F1021" s="1324">
        <f>SUM(F1019:F1020)</f>
        <v>0</v>
      </c>
      <c r="G1021" s="1324">
        <f t="shared" ref="G1021:I1021" si="44">SUM(G1019:G1020)</f>
        <v>43633.333333333372</v>
      </c>
      <c r="H1021" s="1324">
        <f t="shared" si="44"/>
        <v>0</v>
      </c>
      <c r="I1021" s="2175">
        <f t="shared" si="44"/>
        <v>120</v>
      </c>
      <c r="J1021" s="2901"/>
      <c r="K1021" s="2901"/>
      <c r="L1021" s="2901"/>
    </row>
    <row r="1022" spans="1:12" s="1918" customFormat="1" ht="16.8">
      <c r="A1022" s="1325" t="s">
        <v>191</v>
      </c>
      <c r="B1022" s="1326">
        <f>+B1021</f>
        <v>43753</v>
      </c>
      <c r="C1022" s="1328" t="s">
        <v>45</v>
      </c>
      <c r="D1022" s="1329"/>
      <c r="E1022" s="1329"/>
      <c r="F1022" s="1329"/>
      <c r="G1022" s="1329"/>
      <c r="H1022" s="1330"/>
      <c r="I1022" s="1330"/>
      <c r="J1022" s="2901"/>
      <c r="K1022" s="2901"/>
      <c r="L1022" s="2901"/>
    </row>
    <row r="1023" spans="1:12" ht="15" customHeight="1"/>
    <row r="1024" spans="1:12" s="1918" customFormat="1" ht="16.8">
      <c r="A1024" s="1318"/>
      <c r="B1024" s="3849" t="s">
        <v>5638</v>
      </c>
      <c r="C1024" s="3849"/>
      <c r="D1024" s="3849"/>
      <c r="E1024" s="3849"/>
      <c r="F1024" s="3849"/>
      <c r="G1024" s="3849"/>
      <c r="H1024" s="3849"/>
      <c r="I1024" s="3849"/>
      <c r="J1024" s="2901"/>
      <c r="K1024" s="2901"/>
      <c r="L1024" s="2901"/>
    </row>
    <row r="1025" spans="1:12" s="1918" customFormat="1" ht="16.8">
      <c r="A1025" s="1319"/>
      <c r="B1025" s="1320"/>
      <c r="C1025" s="1319" t="s">
        <v>140</v>
      </c>
      <c r="D1025" s="1319" t="s">
        <v>343</v>
      </c>
      <c r="E1025" s="1319" t="s">
        <v>344</v>
      </c>
      <c r="F1025" s="1319" t="s">
        <v>482</v>
      </c>
      <c r="G1025" s="1319" t="s">
        <v>483</v>
      </c>
      <c r="H1025" s="1319" t="s">
        <v>170</v>
      </c>
      <c r="I1025" s="1319" t="s">
        <v>171</v>
      </c>
      <c r="J1025" s="2901"/>
      <c r="K1025" s="2901"/>
      <c r="L1025" s="2901"/>
    </row>
    <row r="1026" spans="1:12" s="1918" customFormat="1" ht="16.8">
      <c r="A1026" s="1319" t="s">
        <v>345</v>
      </c>
      <c r="B1026" s="1320" t="s">
        <v>6439</v>
      </c>
      <c r="C1026" s="1322">
        <v>0.2</v>
      </c>
      <c r="D1026" s="1323" t="s">
        <v>346</v>
      </c>
      <c r="E1026" s="1324">
        <f>+OFICI</f>
        <v>80479.625344</v>
      </c>
      <c r="F1026" s="1324"/>
      <c r="G1026" s="1324"/>
      <c r="H1026" s="1324">
        <f>+E1026*C1026</f>
        <v>16095.925068800001</v>
      </c>
      <c r="I1026" s="1324"/>
      <c r="J1026" s="2901"/>
      <c r="K1026" s="2901"/>
      <c r="L1026" s="2901"/>
    </row>
    <row r="1027" spans="1:12" s="1918" customFormat="1" ht="16.8">
      <c r="A1027" s="1319" t="s">
        <v>348</v>
      </c>
      <c r="B1027" s="1320" t="s">
        <v>966</v>
      </c>
      <c r="C1027" s="1322">
        <v>0.2</v>
      </c>
      <c r="D1027" s="1323" t="s">
        <v>346</v>
      </c>
      <c r="E1027" s="1324">
        <f>+AYUDR</f>
        <v>50299.76584</v>
      </c>
      <c r="F1027" s="1324"/>
      <c r="G1027" s="1324"/>
      <c r="H1027" s="1324">
        <f>+E1027*C1027</f>
        <v>10059.953168</v>
      </c>
      <c r="I1027" s="1324"/>
      <c r="J1027" s="2901"/>
      <c r="K1027" s="2901"/>
      <c r="L1027" s="2901"/>
    </row>
    <row r="1028" spans="1:12" s="1918" customFormat="1" ht="16.8">
      <c r="A1028" s="1319" t="s">
        <v>172</v>
      </c>
      <c r="B1028" s="1320" t="s">
        <v>189</v>
      </c>
      <c r="C1028" s="1322">
        <v>1</v>
      </c>
      <c r="D1028" s="1323" t="s">
        <v>583</v>
      </c>
      <c r="E1028" s="1324">
        <f>+H1029*0.05</f>
        <v>1307.7939118400002</v>
      </c>
      <c r="F1028" s="1324"/>
      <c r="G1028" s="1324"/>
      <c r="H1028" s="1324"/>
      <c r="I1028" s="1324">
        <f>+E1028*C1028</f>
        <v>1307.7939118400002</v>
      </c>
      <c r="J1028" s="2901"/>
      <c r="K1028" s="2901"/>
      <c r="L1028" s="2901"/>
    </row>
    <row r="1029" spans="1:12" s="1918" customFormat="1" ht="16.8">
      <c r="A1029" s="1325" t="s">
        <v>190</v>
      </c>
      <c r="B1029" s="1326">
        <f>ROUND(SUM(F1029:I1029),0)</f>
        <v>27464</v>
      </c>
      <c r="C1029" s="1323"/>
      <c r="D1029" s="1327"/>
      <c r="E1029" s="1319"/>
      <c r="F1029" s="1324">
        <f>SUM(F1026:F1028)</f>
        <v>0</v>
      </c>
      <c r="G1029" s="1324">
        <f>SUM(G1026:G1027)</f>
        <v>0</v>
      </c>
      <c r="H1029" s="1324">
        <f>SUM(H1026:H1027)</f>
        <v>26155.878236800003</v>
      </c>
      <c r="I1029" s="1324">
        <f>SUM(I1026:I1028)</f>
        <v>1307.7939118400002</v>
      </c>
      <c r="J1029" s="2901"/>
      <c r="K1029" s="2901"/>
      <c r="L1029" s="2901"/>
    </row>
    <row r="1030" spans="1:12" ht="16.8">
      <c r="A1030" s="1325" t="s">
        <v>191</v>
      </c>
      <c r="B1030" s="1326">
        <f>+B1029</f>
        <v>27464</v>
      </c>
      <c r="C1030" s="1328" t="s">
        <v>45</v>
      </c>
      <c r="D1030" s="1329"/>
      <c r="E1030" s="1329">
        <f>+B1037*0.15</f>
        <v>28935</v>
      </c>
      <c r="F1030" s="1329"/>
      <c r="G1030" s="1329"/>
      <c r="H1030" s="1330"/>
      <c r="I1030" s="1330"/>
    </row>
    <row r="1031" spans="1:12" s="1918" customFormat="1" ht="15.75" customHeight="1">
      <c r="A1031" s="492"/>
      <c r="B1031" s="492"/>
      <c r="C1031" s="492"/>
      <c r="D1031" s="492"/>
      <c r="E1031" s="492"/>
      <c r="F1031" s="492"/>
      <c r="G1031" s="492"/>
      <c r="H1031" s="492"/>
      <c r="I1031" s="492"/>
      <c r="J1031" s="2901"/>
      <c r="K1031" s="2901">
        <f>0.05*1</f>
        <v>0.05</v>
      </c>
      <c r="L1031" s="2901"/>
    </row>
    <row r="1032" spans="1:12" s="1918" customFormat="1" ht="16.8">
      <c r="A1032" s="1318"/>
      <c r="B1032" s="3849" t="s">
        <v>4817</v>
      </c>
      <c r="C1032" s="3849"/>
      <c r="D1032" s="3849"/>
      <c r="E1032" s="3849"/>
      <c r="F1032" s="3849"/>
      <c r="G1032" s="3849"/>
      <c r="H1032" s="3849"/>
      <c r="I1032" s="3849"/>
      <c r="J1032" s="2901"/>
      <c r="K1032" s="2901"/>
      <c r="L1032" s="2901"/>
    </row>
    <row r="1033" spans="1:12" s="1918" customFormat="1" ht="16.8">
      <c r="A1033" s="1319"/>
      <c r="B1033" s="1320"/>
      <c r="C1033" s="1319" t="s">
        <v>140</v>
      </c>
      <c r="D1033" s="1319" t="s">
        <v>343</v>
      </c>
      <c r="E1033" s="1319" t="s">
        <v>344</v>
      </c>
      <c r="F1033" s="1319" t="s">
        <v>482</v>
      </c>
      <c r="G1033" s="1319" t="s">
        <v>483</v>
      </c>
      <c r="H1033" s="1319" t="s">
        <v>170</v>
      </c>
      <c r="I1033" s="1319" t="s">
        <v>171</v>
      </c>
      <c r="J1033" s="2901"/>
      <c r="K1033" s="2901"/>
      <c r="L1033" s="2901"/>
    </row>
    <row r="1034" spans="1:12" s="1918" customFormat="1" ht="16.8">
      <c r="A1034" s="1319"/>
      <c r="B1034" s="2148" t="s">
        <v>5650</v>
      </c>
      <c r="C1034" s="1336">
        <v>1</v>
      </c>
      <c r="D1034" s="1337" t="s">
        <v>45</v>
      </c>
      <c r="E1034" s="1338">
        <f>+'BASE 2'!D685</f>
        <v>178500</v>
      </c>
      <c r="F1034" s="1336"/>
      <c r="G1034" s="1338">
        <f>+E1034*C1034</f>
        <v>178500</v>
      </c>
      <c r="H1034" s="1336"/>
      <c r="I1034" s="1336"/>
      <c r="J1034" s="2901"/>
      <c r="K1034" s="2901"/>
      <c r="L1034" s="2901"/>
    </row>
    <row r="1035" spans="1:12" s="1918" customFormat="1" ht="16.8">
      <c r="A1035" s="1319"/>
      <c r="B1035" s="1320" t="s">
        <v>4727</v>
      </c>
      <c r="C1035" s="1919">
        <v>1.2E-2</v>
      </c>
      <c r="D1035" s="1921" t="s">
        <v>583</v>
      </c>
      <c r="E1035" s="1324">
        <f>+VIAJE</f>
        <v>1200000</v>
      </c>
      <c r="F1035" s="1324"/>
      <c r="G1035" s="1324"/>
      <c r="H1035" s="1324"/>
      <c r="I1035" s="2149">
        <f>+E1035*C1035</f>
        <v>14400</v>
      </c>
      <c r="J1035" s="2901"/>
      <c r="K1035" s="2901"/>
      <c r="L1035" s="2901"/>
    </row>
    <row r="1036" spans="1:12" s="1918" customFormat="1" ht="16.8">
      <c r="A1036" s="1325" t="s">
        <v>190</v>
      </c>
      <c r="B1036" s="1326">
        <f>ROUND(SUM(F1036:I1036),0)</f>
        <v>192900</v>
      </c>
      <c r="C1036" s="1323"/>
      <c r="D1036" s="1327"/>
      <c r="E1036" s="1319"/>
      <c r="F1036" s="1324">
        <f>SUM(F1034:F1035)</f>
        <v>0</v>
      </c>
      <c r="G1036" s="1324">
        <f t="shared" ref="G1036:I1036" si="45">SUM(G1034:G1035)</f>
        <v>178500</v>
      </c>
      <c r="H1036" s="1324">
        <f t="shared" si="45"/>
        <v>0</v>
      </c>
      <c r="I1036" s="2149">
        <f t="shared" si="45"/>
        <v>14400</v>
      </c>
      <c r="J1036" s="2901"/>
      <c r="K1036" s="2901"/>
      <c r="L1036" s="2901"/>
    </row>
    <row r="1037" spans="1:12" s="1918" customFormat="1" ht="16.8">
      <c r="A1037" s="1325" t="s">
        <v>191</v>
      </c>
      <c r="B1037" s="1326">
        <f>+B1036</f>
        <v>192900</v>
      </c>
      <c r="C1037" s="1328" t="s">
        <v>363</v>
      </c>
      <c r="D1037" s="1329"/>
      <c r="E1037" s="1329"/>
      <c r="F1037" s="1329"/>
      <c r="G1037" s="1329"/>
      <c r="H1037" s="1330"/>
      <c r="I1037" s="1330"/>
      <c r="J1037" s="2901"/>
      <c r="K1037" s="2901"/>
      <c r="L1037" s="2901"/>
    </row>
    <row r="1038" spans="1:12" ht="15" customHeight="1"/>
    <row r="1039" spans="1:12" s="402" customFormat="1" ht="15" customHeight="1">
      <c r="A1039" s="3632" t="s">
        <v>8058</v>
      </c>
      <c r="B1039" s="3632"/>
      <c r="C1039" s="3632"/>
      <c r="D1039" s="3632"/>
      <c r="E1039" s="3632"/>
      <c r="F1039" s="3632"/>
      <c r="G1039" s="3632"/>
      <c r="H1039" s="3632"/>
      <c r="I1039" s="3632"/>
      <c r="J1039" s="2895"/>
      <c r="K1039" s="2895"/>
      <c r="L1039" s="2896"/>
    </row>
    <row r="1040" spans="1:12" ht="15" customHeight="1"/>
    <row r="1041" spans="1:12" s="61" customFormat="1" ht="18">
      <c r="A1041" s="3616" t="s">
        <v>8057</v>
      </c>
      <c r="B1041" s="3617"/>
      <c r="C1041" s="3617"/>
      <c r="D1041" s="3617"/>
      <c r="E1041" s="3617"/>
      <c r="F1041" s="3617"/>
      <c r="G1041" s="3617"/>
      <c r="H1041" s="3617"/>
      <c r="I1041" s="3618"/>
      <c r="J1041" s="2894"/>
      <c r="K1041" s="2894"/>
      <c r="L1041" s="2894"/>
    </row>
    <row r="1042" spans="1:12" ht="15" customHeight="1"/>
    <row r="1043" spans="1:12" s="1918" customFormat="1" ht="16.8">
      <c r="A1043" s="1318"/>
      <c r="B1043" s="3850" t="s">
        <v>5651</v>
      </c>
      <c r="C1043" s="3851"/>
      <c r="D1043" s="3851"/>
      <c r="E1043" s="3851"/>
      <c r="F1043" s="3851"/>
      <c r="G1043" s="3851"/>
      <c r="H1043" s="3851"/>
      <c r="I1043" s="3851"/>
      <c r="J1043" s="2901"/>
      <c r="K1043" s="2901"/>
      <c r="L1043" s="2901"/>
    </row>
    <row r="1044" spans="1:12" s="1918" customFormat="1" ht="16.8">
      <c r="A1044" s="1319"/>
      <c r="B1044" s="1320"/>
      <c r="C1044" s="1319" t="s">
        <v>140</v>
      </c>
      <c r="D1044" s="1319" t="s">
        <v>343</v>
      </c>
      <c r="E1044" s="1319" t="s">
        <v>344</v>
      </c>
      <c r="F1044" s="1319" t="s">
        <v>482</v>
      </c>
      <c r="G1044" s="1319" t="s">
        <v>483</v>
      </c>
      <c r="H1044" s="1319" t="s">
        <v>170</v>
      </c>
      <c r="I1044" s="1321" t="s">
        <v>171</v>
      </c>
      <c r="J1044" s="2901"/>
      <c r="K1044" s="2901"/>
      <c r="L1044" s="2901"/>
    </row>
    <row r="1045" spans="1:12" s="1918" customFormat="1" ht="16.8">
      <c r="A1045" s="1319" t="s">
        <v>256</v>
      </c>
      <c r="B1045" s="1320" t="s">
        <v>257</v>
      </c>
      <c r="C1045" s="1322">
        <v>36</v>
      </c>
      <c r="D1045" s="1323" t="s">
        <v>346</v>
      </c>
      <c r="E1045" s="1324">
        <f>TACOM</f>
        <v>538</v>
      </c>
      <c r="F1045" s="1324">
        <f>+C1045*E1045</f>
        <v>19368</v>
      </c>
      <c r="G1045" s="1324"/>
      <c r="H1045" s="1324"/>
      <c r="I1045" s="1324"/>
      <c r="J1045" s="2901"/>
      <c r="K1045" s="2901"/>
      <c r="L1045" s="2901"/>
    </row>
    <row r="1046" spans="1:12" s="1918" customFormat="1" ht="16.8">
      <c r="A1046" s="1319" t="s">
        <v>258</v>
      </c>
      <c r="B1046" s="1344" t="s">
        <v>247</v>
      </c>
      <c r="C1046" s="1322">
        <v>0.125</v>
      </c>
      <c r="D1046" s="1323" t="s">
        <v>717</v>
      </c>
      <c r="E1046" s="1324">
        <f>+VIBGA</f>
        <v>47000</v>
      </c>
      <c r="F1046" s="1324">
        <f>+C1046*E1046</f>
        <v>5875</v>
      </c>
      <c r="G1046" s="1324"/>
      <c r="H1046" s="1324"/>
      <c r="I1046" s="1324"/>
      <c r="J1046" s="2901"/>
      <c r="K1046" s="2901"/>
      <c r="L1046" s="2901"/>
    </row>
    <row r="1047" spans="1:12" s="1918" customFormat="1" ht="16.8">
      <c r="A1047" s="1319" t="s">
        <v>172</v>
      </c>
      <c r="B1047" s="1320" t="s">
        <v>189</v>
      </c>
      <c r="C1047" s="1322">
        <v>1</v>
      </c>
      <c r="D1047" s="1323" t="s">
        <v>583</v>
      </c>
      <c r="E1047" s="1324">
        <f>+H1054*0.05</f>
        <v>7647.4999999999991</v>
      </c>
      <c r="F1047" s="1324"/>
      <c r="G1047" s="1324"/>
      <c r="H1047" s="1324"/>
      <c r="I1047" s="1324">
        <f>+E1047*C1047</f>
        <v>7647.4999999999991</v>
      </c>
      <c r="J1047" s="2901"/>
      <c r="K1047" s="2901"/>
      <c r="L1047" s="2901"/>
    </row>
    <row r="1048" spans="1:12" s="1918" customFormat="1" ht="16.8">
      <c r="A1048" s="1319" t="s">
        <v>248</v>
      </c>
      <c r="B1048" s="1320" t="s">
        <v>249</v>
      </c>
      <c r="C1048" s="1322">
        <v>0.8</v>
      </c>
      <c r="D1048" s="1323" t="s">
        <v>363</v>
      </c>
      <c r="E1048" s="1324">
        <f>TELEP</f>
        <v>15000</v>
      </c>
      <c r="F1048" s="1324">
        <f>+E1048*C1048</f>
        <v>12000</v>
      </c>
      <c r="G1048" s="1324"/>
      <c r="H1048" s="1324"/>
      <c r="I1048" s="1324"/>
      <c r="J1048" s="2901"/>
      <c r="K1048" s="2901"/>
      <c r="L1048" s="2901"/>
    </row>
    <row r="1049" spans="1:12" s="1918" customFormat="1" ht="16.8">
      <c r="A1049" s="1319" t="s">
        <v>261</v>
      </c>
      <c r="B1049" s="1320" t="s">
        <v>262</v>
      </c>
      <c r="C1049" s="1322">
        <v>4</v>
      </c>
      <c r="D1049" s="1323" t="s">
        <v>363</v>
      </c>
      <c r="E1049" s="1324">
        <f>TACOR</f>
        <v>3366</v>
      </c>
      <c r="F1049" s="1324"/>
      <c r="G1049" s="1324">
        <f>+E1049*C1049</f>
        <v>13464</v>
      </c>
      <c r="H1049" s="1324"/>
      <c r="I1049" s="1324"/>
      <c r="J1049" s="2901"/>
      <c r="K1049" s="2901"/>
      <c r="L1049" s="2901"/>
    </row>
    <row r="1050" spans="1:12" s="1918" customFormat="1" ht="16.8">
      <c r="A1050" s="1319" t="s">
        <v>263</v>
      </c>
      <c r="B1050" s="1320" t="s">
        <v>264</v>
      </c>
      <c r="C1050" s="1322">
        <v>4</v>
      </c>
      <c r="D1050" s="1323" t="s">
        <v>374</v>
      </c>
      <c r="E1050" s="1324">
        <f>+PUNTI</f>
        <v>1632</v>
      </c>
      <c r="F1050" s="1324"/>
      <c r="G1050" s="1324">
        <f>+E1050*C1050</f>
        <v>6528</v>
      </c>
      <c r="H1050" s="1324"/>
      <c r="I1050" s="1324"/>
      <c r="J1050" s="2901"/>
      <c r="K1050" s="2901"/>
      <c r="L1050" s="2901"/>
    </row>
    <row r="1051" spans="1:12" s="1918" customFormat="1" ht="16.8">
      <c r="A1051" s="1319" t="s">
        <v>345</v>
      </c>
      <c r="B1051" s="1320" t="s">
        <v>6439</v>
      </c>
      <c r="C1051" s="1322">
        <v>0.40010126615730579</v>
      </c>
      <c r="D1051" s="1323" t="s">
        <v>346</v>
      </c>
      <c r="E1051" s="1324">
        <f>+OFICI</f>
        <v>80479.625344</v>
      </c>
      <c r="F1051" s="1324"/>
      <c r="G1051" s="1324"/>
      <c r="H1051" s="1324">
        <f>+E1051*C1051</f>
        <v>32199.999999999996</v>
      </c>
      <c r="I1051" s="1324"/>
      <c r="J1051" s="2901"/>
      <c r="K1051" s="2901"/>
      <c r="L1051" s="2901"/>
    </row>
    <row r="1052" spans="1:12" s="1918" customFormat="1" ht="16.8">
      <c r="A1052" s="1319" t="s">
        <v>348</v>
      </c>
      <c r="B1052" s="1320" t="s">
        <v>6579</v>
      </c>
      <c r="C1052" s="1322">
        <v>0.40010126615730579</v>
      </c>
      <c r="D1052" s="1323" t="s">
        <v>346</v>
      </c>
      <c r="E1052" s="1324">
        <f>+AYUDR*6</f>
        <v>301798.59503999999</v>
      </c>
      <c r="F1052" s="1324"/>
      <c r="G1052" s="1324"/>
      <c r="H1052" s="1324">
        <f>+E1052*C1052</f>
        <v>120749.99999999999</v>
      </c>
      <c r="I1052" s="1324"/>
      <c r="J1052" s="2901"/>
      <c r="K1052" s="2901"/>
      <c r="L1052" s="2901"/>
    </row>
    <row r="1053" spans="1:12" s="1918" customFormat="1" ht="16.8">
      <c r="A1053" s="1319" t="s">
        <v>1112</v>
      </c>
      <c r="B1053" s="1320" t="s">
        <v>6564</v>
      </c>
      <c r="C1053" s="1322">
        <v>1.02</v>
      </c>
      <c r="D1053" s="1323" t="s">
        <v>1292</v>
      </c>
      <c r="E1053" s="1324">
        <f>+'BASE CTOS'!B135</f>
        <v>488795.14911417139</v>
      </c>
      <c r="F1053" s="1324"/>
      <c r="G1053" s="1324">
        <f>+E1053*C1053</f>
        <v>498571.05209645483</v>
      </c>
      <c r="H1053" s="1324"/>
      <c r="I1053" s="1324"/>
      <c r="J1053" s="2901"/>
      <c r="K1053" s="2901"/>
      <c r="L1053" s="2901"/>
    </row>
    <row r="1054" spans="1:12" s="1918" customFormat="1" ht="16.8">
      <c r="A1054" s="1325" t="s">
        <v>190</v>
      </c>
      <c r="B1054" s="1326">
        <f>ROUND(SUM(F1054:I1054),0)</f>
        <v>716404</v>
      </c>
      <c r="C1054" s="1323"/>
      <c r="D1054" s="1327"/>
      <c r="E1054" s="1319"/>
      <c r="F1054" s="1324">
        <f>SUM(F1045:F1053)</f>
        <v>37243</v>
      </c>
      <c r="G1054" s="1324">
        <f>SUM(G1045:G1053)</f>
        <v>518563.05209645483</v>
      </c>
      <c r="H1054" s="1324">
        <f>SUM(H1045:H1053)</f>
        <v>152949.99999999997</v>
      </c>
      <c r="I1054" s="1324">
        <f>SUM(I1045:I1053)</f>
        <v>7647.4999999999991</v>
      </c>
      <c r="J1054" s="2901"/>
      <c r="K1054" s="2901"/>
      <c r="L1054" s="2901"/>
    </row>
    <row r="1055" spans="1:12" s="1918" customFormat="1" ht="16.8">
      <c r="A1055" s="1325" t="s">
        <v>191</v>
      </c>
      <c r="B1055" s="1326">
        <f>+B1054</f>
        <v>716404</v>
      </c>
      <c r="C1055" s="1328" t="s">
        <v>356</v>
      </c>
      <c r="D1055" s="1329"/>
      <c r="E1055" s="1329"/>
      <c r="F1055" s="1329"/>
      <c r="G1055" s="1329"/>
      <c r="H1055" s="1330"/>
      <c r="I1055" s="1330"/>
      <c r="J1055" s="2901"/>
      <c r="K1055" s="2901"/>
      <c r="L1055" s="2901"/>
    </row>
    <row r="1056" spans="1:12" ht="15" customHeight="1"/>
    <row r="1057" spans="1:12" s="389" customFormat="1" ht="15" customHeight="1">
      <c r="A1057" s="1342"/>
      <c r="B1057" s="3859" t="s">
        <v>6658</v>
      </c>
      <c r="C1057" s="3860"/>
      <c r="D1057" s="3860"/>
      <c r="E1057" s="3860"/>
      <c r="F1057" s="3860"/>
      <c r="G1057" s="3860"/>
      <c r="H1057" s="3860"/>
      <c r="I1057" s="3861"/>
      <c r="J1057" s="2904"/>
      <c r="K1057" s="2905"/>
      <c r="L1057" s="2906"/>
    </row>
    <row r="1058" spans="1:12" s="1526" customFormat="1" ht="15" customHeight="1">
      <c r="A1058" s="809"/>
      <c r="B1058" s="1344"/>
      <c r="C1058" s="1345" t="s">
        <v>140</v>
      </c>
      <c r="D1058" s="876" t="s">
        <v>343</v>
      </c>
      <c r="E1058" s="877" t="s">
        <v>344</v>
      </c>
      <c r="F1058" s="877" t="s">
        <v>482</v>
      </c>
      <c r="G1058" s="877" t="s">
        <v>483</v>
      </c>
      <c r="H1058" s="877" t="s">
        <v>232</v>
      </c>
      <c r="I1058" s="877" t="s">
        <v>171</v>
      </c>
      <c r="J1058" s="2904"/>
      <c r="K1058" s="2905"/>
      <c r="L1058" s="2906"/>
    </row>
    <row r="1059" spans="1:12" s="757" customFormat="1" ht="16.8">
      <c r="A1059" s="809" t="s">
        <v>246</v>
      </c>
      <c r="B1059" s="1344" t="s">
        <v>247</v>
      </c>
      <c r="C1059" s="1345">
        <v>0.8</v>
      </c>
      <c r="D1059" s="876" t="s">
        <v>717</v>
      </c>
      <c r="E1059" s="877">
        <f>+VIBGA</f>
        <v>47000</v>
      </c>
      <c r="F1059" s="877">
        <f>+E1059*C1059</f>
        <v>37600</v>
      </c>
      <c r="G1059" s="877"/>
      <c r="H1059" s="877"/>
      <c r="I1059" s="877"/>
      <c r="J1059" s="2904"/>
      <c r="K1059" s="2907"/>
      <c r="L1059" s="2908"/>
    </row>
    <row r="1060" spans="1:12" s="757" customFormat="1" ht="16.8">
      <c r="A1060" s="809" t="s">
        <v>172</v>
      </c>
      <c r="B1060" s="1344" t="s">
        <v>189</v>
      </c>
      <c r="C1060" s="1345">
        <v>1</v>
      </c>
      <c r="D1060" s="876" t="s">
        <v>583</v>
      </c>
      <c r="E1060" s="877">
        <f>+H1073*0.05</f>
        <v>3269.4847796000004</v>
      </c>
      <c r="F1060" s="877"/>
      <c r="G1060" s="877"/>
      <c r="H1060" s="877"/>
      <c r="I1060" s="877">
        <f>+E1060*C1060</f>
        <v>3269.4847796000004</v>
      </c>
      <c r="J1060" s="2904"/>
      <c r="K1060" s="2907"/>
      <c r="L1060" s="2908"/>
    </row>
    <row r="1061" spans="1:12" ht="16.8">
      <c r="A1061" s="809" t="s">
        <v>164</v>
      </c>
      <c r="B1061" s="1344" t="s">
        <v>165</v>
      </c>
      <c r="C1061" s="1345">
        <v>1</v>
      </c>
      <c r="D1061" s="876" t="s">
        <v>717</v>
      </c>
      <c r="E1061" s="877">
        <f>+FORMH</f>
        <v>733.58399999999995</v>
      </c>
      <c r="F1061" s="877">
        <f>+E1061*C1061</f>
        <v>733.58399999999995</v>
      </c>
      <c r="G1061" s="877"/>
      <c r="H1061" s="877"/>
      <c r="I1061" s="877"/>
      <c r="J1061" s="2904"/>
      <c r="K1061" s="2909"/>
    </row>
    <row r="1062" spans="1:12" s="757" customFormat="1" ht="16.8">
      <c r="A1062" s="1347" t="s">
        <v>4743</v>
      </c>
      <c r="B1062" s="1344" t="s">
        <v>4744</v>
      </c>
      <c r="C1062" s="1348">
        <v>2</v>
      </c>
      <c r="D1062" s="1347" t="s">
        <v>717</v>
      </c>
      <c r="E1062" s="1349">
        <v>20000</v>
      </c>
      <c r="F1062" s="1349">
        <f>+E1062*C1062</f>
        <v>40000</v>
      </c>
      <c r="G1062" s="1349"/>
      <c r="H1062" s="1349"/>
      <c r="I1062" s="1349"/>
      <c r="J1062" s="2904"/>
      <c r="K1062" s="2907"/>
      <c r="L1062" s="2908"/>
    </row>
    <row r="1063" spans="1:12" s="757" customFormat="1" ht="16.8">
      <c r="A1063" s="809"/>
      <c r="B1063" s="1344" t="s">
        <v>4741</v>
      </c>
      <c r="C1063" s="1345">
        <v>1</v>
      </c>
      <c r="D1063" s="876" t="s">
        <v>133</v>
      </c>
      <c r="E1063" s="877">
        <v>15000</v>
      </c>
      <c r="F1063" s="877"/>
      <c r="G1063" s="877">
        <f>+E1063*C1063</f>
        <v>15000</v>
      </c>
      <c r="H1063" s="877"/>
      <c r="I1063" s="877"/>
      <c r="J1063" s="2904"/>
      <c r="K1063" s="2907"/>
      <c r="L1063" s="2908"/>
    </row>
    <row r="1064" spans="1:12" s="757" customFormat="1" ht="16.8">
      <c r="A1064" s="809" t="s">
        <v>4742</v>
      </c>
      <c r="B1064" s="1344" t="s">
        <v>4189</v>
      </c>
      <c r="C1064" s="1345">
        <v>5</v>
      </c>
      <c r="D1064" s="876" t="s">
        <v>363</v>
      </c>
      <c r="E1064" s="1346">
        <v>7000</v>
      </c>
      <c r="F1064" s="877"/>
      <c r="G1064" s="877">
        <f>E1064*C1064</f>
        <v>35000</v>
      </c>
      <c r="H1064" s="877"/>
      <c r="I1064" s="877"/>
      <c r="J1064" s="2904"/>
      <c r="K1064" s="2907"/>
      <c r="L1064" s="2908"/>
    </row>
    <row r="1065" spans="1:12" s="757" customFormat="1" ht="25.5" customHeight="1">
      <c r="A1065" s="809" t="s">
        <v>345</v>
      </c>
      <c r="B1065" s="1344" t="str">
        <f>IF(PRESTA&gt;0,"OFICIAL (INCLUYE "&amp;""&amp;PRESTA*100&amp;"% PRESTACIONES)",0)</f>
        <v>OFICIAL (INCLUYE 82,22% PRESTACIONES)</v>
      </c>
      <c r="C1065" s="1345">
        <f>1/2</f>
        <v>0.5</v>
      </c>
      <c r="D1065" s="876" t="s">
        <v>346</v>
      </c>
      <c r="E1065" s="877">
        <f>+OFICI</f>
        <v>80479.625344</v>
      </c>
      <c r="F1065" s="877"/>
      <c r="G1065" s="877"/>
      <c r="H1065" s="877">
        <f>+E1065*C1065</f>
        <v>40239.812672</v>
      </c>
      <c r="I1065" s="877"/>
      <c r="J1065" s="2904"/>
      <c r="K1065" s="2907"/>
      <c r="L1065" s="2908"/>
    </row>
    <row r="1066" spans="1:12" s="757" customFormat="1" ht="16.8">
      <c r="A1066" s="809" t="s">
        <v>347</v>
      </c>
      <c r="B1066" s="1344" t="str">
        <f>IF(PRESTA&gt;0,"AYUD. RASO (INCLUYE "&amp;""&amp;PRESTA*100&amp;"% PRESTACIONES)",0)</f>
        <v>AYUD. RASO (INCLUYE 82,22% PRESTACIONES)</v>
      </c>
      <c r="C1066" s="1345">
        <f>1/2</f>
        <v>0.5</v>
      </c>
      <c r="D1066" s="876" t="s">
        <v>346</v>
      </c>
      <c r="E1066" s="877">
        <f>+AYUDR</f>
        <v>50299.76584</v>
      </c>
      <c r="F1066" s="877"/>
      <c r="G1066" s="877"/>
      <c r="H1066" s="877">
        <f>+E1066*C1066</f>
        <v>25149.88292</v>
      </c>
      <c r="I1066" s="877"/>
      <c r="J1066" s="2904"/>
      <c r="K1066" s="2907"/>
      <c r="L1066" s="2908"/>
    </row>
    <row r="1067" spans="1:12" s="1527" customFormat="1" ht="14.25" customHeight="1">
      <c r="A1067" s="809" t="s">
        <v>4187</v>
      </c>
      <c r="B1067" s="1344" t="s">
        <v>4188</v>
      </c>
      <c r="C1067" s="1345">
        <v>3.9</v>
      </c>
      <c r="D1067" s="876" t="s">
        <v>356</v>
      </c>
      <c r="E1067" s="877">
        <f>+'BASE CTOS'!B107</f>
        <v>419022.54922489997</v>
      </c>
      <c r="F1067" s="877"/>
      <c r="G1067" s="877">
        <f>+E1067*C1067</f>
        <v>1634187.9419771098</v>
      </c>
      <c r="H1067" s="877"/>
      <c r="I1067" s="2147"/>
      <c r="J1067" s="2904"/>
      <c r="K1067" s="2910"/>
      <c r="L1067" s="2910"/>
    </row>
    <row r="1068" spans="1:12" s="1527" customFormat="1" ht="16.8">
      <c r="A1068" s="809"/>
      <c r="B1068" s="1344" t="s">
        <v>1302</v>
      </c>
      <c r="C1068" s="1345">
        <v>22.7</v>
      </c>
      <c r="D1068" s="876" t="s">
        <v>647</v>
      </c>
      <c r="E1068" s="877">
        <f>A60FI</f>
        <v>3200</v>
      </c>
      <c r="F1068" s="877"/>
      <c r="G1068" s="877">
        <f>+E1068*C1068</f>
        <v>72640</v>
      </c>
      <c r="H1068" s="877"/>
      <c r="I1068" s="877"/>
      <c r="J1068" s="2904"/>
      <c r="K1068" s="2910"/>
      <c r="L1068" s="2910"/>
    </row>
    <row r="1069" spans="1:12" s="389" customFormat="1" ht="15" customHeight="1">
      <c r="A1069" s="809" t="s">
        <v>464</v>
      </c>
      <c r="B1069" s="1344" t="s">
        <v>582</v>
      </c>
      <c r="C1069" s="1345">
        <v>0.04</v>
      </c>
      <c r="D1069" s="876" t="s">
        <v>583</v>
      </c>
      <c r="E1069" s="877">
        <f>+VIAJE</f>
        <v>1200000</v>
      </c>
      <c r="F1069" s="877"/>
      <c r="G1069" s="877"/>
      <c r="H1069" s="877"/>
      <c r="I1069" s="877">
        <f>+E1069*C1069</f>
        <v>48000</v>
      </c>
      <c r="J1069" s="2906"/>
      <c r="K1069" s="2906"/>
      <c r="L1069" s="2906"/>
    </row>
    <row r="1070" spans="1:12" s="389" customFormat="1" ht="14.25" customHeight="1">
      <c r="A1070" s="809" t="s">
        <v>246</v>
      </c>
      <c r="B1070" s="1344" t="s">
        <v>4745</v>
      </c>
      <c r="C1070" s="1345">
        <v>1</v>
      </c>
      <c r="D1070" s="876" t="s">
        <v>363</v>
      </c>
      <c r="E1070" s="1350">
        <v>324796.79999999999</v>
      </c>
      <c r="F1070" s="877"/>
      <c r="G1070" s="877">
        <f>+E1070*C1070</f>
        <v>324796.79999999999</v>
      </c>
      <c r="H1070" s="877"/>
      <c r="I1070" s="877"/>
      <c r="J1070" s="2906"/>
      <c r="K1070" s="2906"/>
      <c r="L1070" s="2906"/>
    </row>
    <row r="1071" spans="1:12" ht="16.8">
      <c r="A1071" s="809" t="s">
        <v>246</v>
      </c>
      <c r="B1071" s="1344" t="s">
        <v>6659</v>
      </c>
      <c r="C1071" s="1345">
        <v>1</v>
      </c>
      <c r="D1071" s="876" t="s">
        <v>363</v>
      </c>
      <c r="E1071" s="1350">
        <v>130000</v>
      </c>
      <c r="F1071" s="877"/>
      <c r="G1071" s="877">
        <f>+E1071*C1071</f>
        <v>130000</v>
      </c>
      <c r="H1071" s="877"/>
      <c r="I1071" s="877"/>
      <c r="J1071" s="2904"/>
      <c r="K1071" s="2909"/>
    </row>
    <row r="1072" spans="1:12" s="757" customFormat="1" ht="16.8">
      <c r="A1072" s="1347"/>
      <c r="B1072" s="1344" t="s">
        <v>5616</v>
      </c>
      <c r="C1072" s="1348">
        <v>1</v>
      </c>
      <c r="D1072" s="1347" t="s">
        <v>133</v>
      </c>
      <c r="E1072" s="1349">
        <v>32000</v>
      </c>
      <c r="F1072" s="1349"/>
      <c r="G1072" s="1349">
        <f>+E1072*C1072</f>
        <v>32000</v>
      </c>
      <c r="H1072" s="1349"/>
      <c r="I1072" s="1349"/>
      <c r="J1072" s="2904"/>
      <c r="K1072" s="2907"/>
      <c r="L1072" s="2908"/>
    </row>
    <row r="1073" spans="1:12" s="757" customFormat="1" ht="16.8">
      <c r="A1073" s="878" t="s">
        <v>190</v>
      </c>
      <c r="B1073" s="1351">
        <f>SUM(F1073:I1073)</f>
        <v>2438617.5063487096</v>
      </c>
      <c r="C1073" s="1345"/>
      <c r="D1073" s="876"/>
      <c r="E1073" s="877"/>
      <c r="F1073" s="877">
        <f>+SUM(F1059:F1071)</f>
        <v>78333.584000000003</v>
      </c>
      <c r="G1073" s="877">
        <f>+SUM(G1059:G1072)</f>
        <v>2243624.7419771096</v>
      </c>
      <c r="H1073" s="877">
        <f>+SUM(H1059:H1071)</f>
        <v>65389.695592000004</v>
      </c>
      <c r="I1073" s="877">
        <f>+SUM(I1059:I1071)</f>
        <v>51269.484779600003</v>
      </c>
      <c r="J1073" s="2904"/>
      <c r="K1073" s="2907"/>
      <c r="L1073" s="2908"/>
    </row>
    <row r="1074" spans="1:12" s="1527" customFormat="1" ht="16.8">
      <c r="A1074" s="878" t="s">
        <v>191</v>
      </c>
      <c r="B1074" s="1352">
        <f>+B1073</f>
        <v>2438617.5063487096</v>
      </c>
      <c r="C1074" s="828" t="s">
        <v>363</v>
      </c>
      <c r="D1074" s="1353"/>
      <c r="E1074" s="1354"/>
      <c r="F1074" s="1354"/>
      <c r="G1074" s="1354"/>
      <c r="H1074" s="1354"/>
      <c r="I1074" s="1354"/>
      <c r="J1074" s="2904"/>
      <c r="K1074" s="2910"/>
      <c r="L1074" s="2910"/>
    </row>
    <row r="1076" spans="1:12" s="1918" customFormat="1" ht="16.8">
      <c r="A1076" s="1318"/>
      <c r="B1076" s="3850" t="s">
        <v>4829</v>
      </c>
      <c r="C1076" s="3851"/>
      <c r="D1076" s="3851"/>
      <c r="E1076" s="3851"/>
      <c r="F1076" s="3851"/>
      <c r="G1076" s="3851"/>
      <c r="H1076" s="3851"/>
      <c r="I1076" s="3851"/>
      <c r="J1076" s="2901"/>
      <c r="K1076" s="2901"/>
      <c r="L1076" s="2901"/>
    </row>
    <row r="1077" spans="1:12" s="1918" customFormat="1" ht="16.8">
      <c r="A1077" s="1319"/>
      <c r="B1077" s="1320"/>
      <c r="C1077" s="1319" t="s">
        <v>140</v>
      </c>
      <c r="D1077" s="1319" t="s">
        <v>343</v>
      </c>
      <c r="E1077" s="1319" t="s">
        <v>344</v>
      </c>
      <c r="F1077" s="1319" t="s">
        <v>482</v>
      </c>
      <c r="G1077" s="1319" t="s">
        <v>483</v>
      </c>
      <c r="H1077" s="1319" t="s">
        <v>170</v>
      </c>
      <c r="I1077" s="1321" t="s">
        <v>171</v>
      </c>
      <c r="J1077" s="2901"/>
      <c r="K1077" s="2901"/>
      <c r="L1077" s="2901"/>
    </row>
    <row r="1078" spans="1:12" s="1918" customFormat="1" ht="16.8">
      <c r="A1078" s="1319" t="s">
        <v>256</v>
      </c>
      <c r="B1078" s="1320" t="s">
        <v>1875</v>
      </c>
      <c r="C1078" s="1322">
        <v>3</v>
      </c>
      <c r="D1078" s="1323" t="s">
        <v>4696</v>
      </c>
      <c r="E1078" s="1324">
        <f>+FORM3</f>
        <v>17748</v>
      </c>
      <c r="F1078" s="1324">
        <f>+C1078*E1078</f>
        <v>53244</v>
      </c>
      <c r="G1078" s="1324"/>
      <c r="H1078" s="1324"/>
      <c r="I1078" s="1324"/>
      <c r="J1078" s="2901"/>
      <c r="K1078" s="2901"/>
      <c r="L1078" s="2901"/>
    </row>
    <row r="1079" spans="1:12" s="1918" customFormat="1" ht="16.8">
      <c r="A1079" s="1319" t="s">
        <v>258</v>
      </c>
      <c r="B1079" s="1320" t="s">
        <v>259</v>
      </c>
      <c r="C1079" s="1322">
        <v>0.25</v>
      </c>
      <c r="D1079" s="1323" t="s">
        <v>717</v>
      </c>
      <c r="E1079" s="1324">
        <f>VIBRE</f>
        <v>25520</v>
      </c>
      <c r="F1079" s="1324">
        <f>+C1079*E1079</f>
        <v>6380</v>
      </c>
      <c r="G1079" s="1324"/>
      <c r="H1079" s="1324"/>
      <c r="I1079" s="1324"/>
      <c r="J1079" s="2901"/>
      <c r="K1079" s="2901"/>
      <c r="L1079" s="2901"/>
    </row>
    <row r="1080" spans="1:12" s="1918" customFormat="1" ht="16.8">
      <c r="A1080" s="1319" t="s">
        <v>172</v>
      </c>
      <c r="B1080" s="1320" t="s">
        <v>189</v>
      </c>
      <c r="C1080" s="1322">
        <v>1</v>
      </c>
      <c r="D1080" s="1323" t="s">
        <v>583</v>
      </c>
      <c r="E1080" s="1324">
        <f>+H1090*0.05</f>
        <v>2716.1873553600003</v>
      </c>
      <c r="F1080" s="1324"/>
      <c r="G1080" s="1324"/>
      <c r="H1080" s="1324"/>
      <c r="I1080" s="1324">
        <f>+E1080*C1080</f>
        <v>2716.1873553600003</v>
      </c>
      <c r="J1080" s="2901"/>
      <c r="K1080" s="2901"/>
      <c r="L1080" s="2901"/>
    </row>
    <row r="1081" spans="1:12" s="1918" customFormat="1" ht="16.8">
      <c r="A1081" s="1319" t="s">
        <v>345</v>
      </c>
      <c r="B1081" s="1320" t="s">
        <v>6439</v>
      </c>
      <c r="C1081" s="1322">
        <v>0.2</v>
      </c>
      <c r="D1081" s="1323" t="s">
        <v>346</v>
      </c>
      <c r="E1081" s="1324">
        <f>+OFICI</f>
        <v>80479.625344</v>
      </c>
      <c r="F1081" s="1324"/>
      <c r="G1081" s="1324"/>
      <c r="H1081" s="1324">
        <f>+E1081*C1081</f>
        <v>16095.925068800001</v>
      </c>
      <c r="I1081" s="1324"/>
      <c r="J1081" s="2901"/>
      <c r="K1081" s="2901"/>
      <c r="L1081" s="2901"/>
    </row>
    <row r="1082" spans="1:12" s="1918" customFormat="1" ht="16.8">
      <c r="A1082" s="1319" t="s">
        <v>347</v>
      </c>
      <c r="B1082" s="1320" t="s">
        <v>266</v>
      </c>
      <c r="C1082" s="1322">
        <v>0.2</v>
      </c>
      <c r="D1082" s="1323" t="s">
        <v>346</v>
      </c>
      <c r="E1082" s="1324">
        <f>+AYUDA</f>
        <v>65389.695592000004</v>
      </c>
      <c r="F1082" s="1324"/>
      <c r="G1082" s="1324"/>
      <c r="H1082" s="1324">
        <f>+E1082*C1082</f>
        <v>13077.939118400001</v>
      </c>
      <c r="I1082" s="1324"/>
      <c r="J1082" s="2901"/>
      <c r="K1082" s="2901"/>
      <c r="L1082" s="2901"/>
    </row>
    <row r="1083" spans="1:12" s="1918" customFormat="1" ht="16.8">
      <c r="A1083" s="1319" t="s">
        <v>348</v>
      </c>
      <c r="B1083" s="1320" t="s">
        <v>6579</v>
      </c>
      <c r="C1083" s="1322">
        <v>0.5</v>
      </c>
      <c r="D1083" s="1323" t="s">
        <v>346</v>
      </c>
      <c r="E1083" s="1324">
        <f>+AYUDR</f>
        <v>50299.76584</v>
      </c>
      <c r="F1083" s="1324"/>
      <c r="G1083" s="1324"/>
      <c r="H1083" s="1324">
        <f>+E1083*C1083</f>
        <v>25149.88292</v>
      </c>
      <c r="I1083" s="1324"/>
      <c r="J1083" s="2901"/>
      <c r="K1083" s="2901"/>
      <c r="L1083" s="2901"/>
    </row>
    <row r="1084" spans="1:12" s="1918" customFormat="1" ht="16.8">
      <c r="A1084" s="1319" t="s">
        <v>1112</v>
      </c>
      <c r="B1084" s="1320" t="s">
        <v>6563</v>
      </c>
      <c r="C1084" s="1322">
        <v>0.19</v>
      </c>
      <c r="D1084" s="1323" t="s">
        <v>1292</v>
      </c>
      <c r="E1084" s="1324">
        <f>+'BASE CTOS'!B121</f>
        <v>469469.49922490004</v>
      </c>
      <c r="F1084" s="1324"/>
      <c r="G1084" s="1324">
        <f>+E1084*C1084</f>
        <v>89199.204852731011</v>
      </c>
      <c r="H1084" s="1324"/>
      <c r="I1084" s="1324"/>
      <c r="J1084" s="2901"/>
      <c r="K1084" s="2901"/>
      <c r="L1084" s="2901"/>
    </row>
    <row r="1085" spans="1:12" s="1918" customFormat="1" ht="16.8">
      <c r="A1085" s="1319"/>
      <c r="B1085" s="1320" t="s">
        <v>4748</v>
      </c>
      <c r="C1085" s="1322">
        <v>3.9</v>
      </c>
      <c r="D1085" s="1327" t="s">
        <v>4693</v>
      </c>
      <c r="E1085" s="1324">
        <f>+TGALV</f>
        <v>12311.4</v>
      </c>
      <c r="F1085" s="1324"/>
      <c r="G1085" s="1324">
        <f t="shared" ref="G1085:G1089" si="46">+E1085*C1085</f>
        <v>48014.46</v>
      </c>
      <c r="H1085" s="1324"/>
      <c r="I1085" s="1324"/>
      <c r="J1085" s="2901"/>
      <c r="K1085" s="2901"/>
      <c r="L1085" s="2901"/>
    </row>
    <row r="1086" spans="1:12" s="1918" customFormat="1" ht="16.8">
      <c r="A1086" s="1365"/>
      <c r="B1086" s="1320" t="s">
        <v>4749</v>
      </c>
      <c r="C1086" s="1322">
        <v>1</v>
      </c>
      <c r="D1086" s="1327" t="s">
        <v>4750</v>
      </c>
      <c r="E1086" s="1324">
        <v>5400</v>
      </c>
      <c r="F1086" s="1324"/>
      <c r="G1086" s="1324">
        <f t="shared" si="46"/>
        <v>5400</v>
      </c>
      <c r="H1086" s="1324"/>
      <c r="I1086" s="1324"/>
      <c r="J1086" s="2901"/>
      <c r="K1086" s="2901"/>
      <c r="L1086" s="2901"/>
    </row>
    <row r="1087" spans="1:12" s="1918" customFormat="1" ht="16.8">
      <c r="A1087" s="1319"/>
      <c r="B1087" s="1320" t="s">
        <v>4671</v>
      </c>
      <c r="C1087" s="1322">
        <v>0.06</v>
      </c>
      <c r="D1087" s="1327" t="s">
        <v>4672</v>
      </c>
      <c r="E1087" s="1324">
        <f>+ANTIC</f>
        <v>50850</v>
      </c>
      <c r="F1087" s="1324"/>
      <c r="G1087" s="1324">
        <f t="shared" si="46"/>
        <v>3051</v>
      </c>
      <c r="H1087" s="1324"/>
      <c r="I1087" s="1324"/>
      <c r="J1087" s="2901"/>
      <c r="K1087" s="2901"/>
      <c r="L1087" s="2901"/>
    </row>
    <row r="1088" spans="1:12" s="1918" customFormat="1" ht="16.8">
      <c r="A1088" s="1319"/>
      <c r="B1088" s="1320" t="s">
        <v>4751</v>
      </c>
      <c r="C1088" s="1322">
        <v>5.1999999999999998E-2</v>
      </c>
      <c r="D1088" s="1327" t="s">
        <v>4672</v>
      </c>
      <c r="E1088" s="1324">
        <f>+PINBLA</f>
        <v>35700</v>
      </c>
      <c r="F1088" s="1324"/>
      <c r="G1088" s="1324">
        <f t="shared" si="46"/>
        <v>1856.3999999999999</v>
      </c>
      <c r="H1088" s="1324"/>
      <c r="I1088" s="1324"/>
      <c r="J1088" s="2901"/>
      <c r="K1088" s="2901"/>
      <c r="L1088" s="2901"/>
    </row>
    <row r="1089" spans="1:12" s="1918" customFormat="1" ht="16.8">
      <c r="A1089" s="1319"/>
      <c r="B1089" s="1320" t="s">
        <v>4752</v>
      </c>
      <c r="C1089" s="1322">
        <v>1</v>
      </c>
      <c r="D1089" s="1327" t="s">
        <v>150</v>
      </c>
      <c r="E1089" s="1324">
        <v>10000</v>
      </c>
      <c r="F1089" s="1324"/>
      <c r="G1089" s="1324">
        <f t="shared" si="46"/>
        <v>10000</v>
      </c>
      <c r="H1089" s="1324"/>
      <c r="I1089" s="1324"/>
      <c r="J1089" s="2901"/>
      <c r="K1089" s="2901"/>
      <c r="L1089" s="2901"/>
    </row>
    <row r="1090" spans="1:12" s="1918" customFormat="1" ht="16.8">
      <c r="A1090" s="1325" t="s">
        <v>190</v>
      </c>
      <c r="B1090" s="1326">
        <f>ROUND(SUM(F1090:I1090),0)</f>
        <v>274185</v>
      </c>
      <c r="C1090" s="1323"/>
      <c r="D1090" s="1327"/>
      <c r="E1090" s="1319"/>
      <c r="F1090" s="1324">
        <f>SUM(F1078:F1089)</f>
        <v>59624</v>
      </c>
      <c r="G1090" s="1324">
        <f t="shared" ref="G1090:I1090" si="47">SUM(G1078:G1089)</f>
        <v>157521.06485273101</v>
      </c>
      <c r="H1090" s="1324">
        <f t="shared" si="47"/>
        <v>54323.747107200004</v>
      </c>
      <c r="I1090" s="1324">
        <f t="shared" si="47"/>
        <v>2716.1873553600003</v>
      </c>
      <c r="J1090" s="2901"/>
      <c r="K1090" s="2901"/>
      <c r="L1090" s="2901"/>
    </row>
    <row r="1091" spans="1:12" ht="16.8">
      <c r="A1091" s="1325" t="s">
        <v>191</v>
      </c>
      <c r="B1091" s="1326">
        <f>+B1090</f>
        <v>274185</v>
      </c>
      <c r="C1091" s="1328" t="s">
        <v>94</v>
      </c>
      <c r="D1091" s="1329"/>
      <c r="E1091" s="1329"/>
      <c r="F1091" s="1329"/>
      <c r="G1091" s="1329"/>
      <c r="H1091" s="1330"/>
      <c r="I1091" s="1330"/>
    </row>
    <row r="1094" spans="1:12" s="61" customFormat="1" ht="18">
      <c r="A1094" s="3616" t="s">
        <v>8059</v>
      </c>
      <c r="B1094" s="3617"/>
      <c r="C1094" s="3617"/>
      <c r="D1094" s="3617"/>
      <c r="E1094" s="3617"/>
      <c r="F1094" s="3617"/>
      <c r="G1094" s="3617"/>
      <c r="H1094" s="3617"/>
      <c r="I1094" s="3618"/>
      <c r="J1094" s="2894"/>
      <c r="K1094" s="2894"/>
      <c r="L1094" s="2894"/>
    </row>
    <row r="1096" spans="1:12" s="1918" customFormat="1" ht="16.8">
      <c r="A1096" s="1318"/>
      <c r="B1096" s="3849" t="s">
        <v>8207</v>
      </c>
      <c r="C1096" s="3849"/>
      <c r="D1096" s="3849"/>
      <c r="E1096" s="3849"/>
      <c r="F1096" s="3849"/>
      <c r="G1096" s="3849"/>
      <c r="H1096" s="3849"/>
      <c r="I1096" s="3849"/>
      <c r="J1096" s="2901"/>
      <c r="K1096" s="2901"/>
      <c r="L1096" s="2901"/>
    </row>
    <row r="1097" spans="1:12" s="1918" customFormat="1" ht="16.8">
      <c r="A1097" s="1319"/>
      <c r="B1097" s="1320"/>
      <c r="C1097" s="1319" t="s">
        <v>140</v>
      </c>
      <c r="D1097" s="1319" t="s">
        <v>343</v>
      </c>
      <c r="E1097" s="1319" t="s">
        <v>344</v>
      </c>
      <c r="F1097" s="1319" t="s">
        <v>482</v>
      </c>
      <c r="G1097" s="1319" t="s">
        <v>483</v>
      </c>
      <c r="H1097" s="1319" t="s">
        <v>170</v>
      </c>
      <c r="I1097" s="1319" t="s">
        <v>171</v>
      </c>
      <c r="J1097" s="2901"/>
      <c r="K1097" s="2901"/>
      <c r="L1097" s="2901"/>
    </row>
    <row r="1098" spans="1:12" s="1918" customFormat="1" ht="16.8">
      <c r="A1098" s="1319" t="s">
        <v>345</v>
      </c>
      <c r="B1098" s="1320" t="s">
        <v>6439</v>
      </c>
      <c r="C1098" s="1322">
        <v>0.33</v>
      </c>
      <c r="D1098" s="1323" t="s">
        <v>346</v>
      </c>
      <c r="E1098" s="1324">
        <f>+OFICI</f>
        <v>80479.625344</v>
      </c>
      <c r="F1098" s="1324"/>
      <c r="G1098" s="1324"/>
      <c r="H1098" s="1324">
        <f>+E1098*C1098</f>
        <v>26558.276363520003</v>
      </c>
      <c r="I1098" s="1324"/>
      <c r="J1098" s="2901"/>
      <c r="K1098" s="2901"/>
      <c r="L1098" s="2901"/>
    </row>
    <row r="1099" spans="1:12" s="1918" customFormat="1" ht="16.8">
      <c r="A1099" s="1319" t="s">
        <v>348</v>
      </c>
      <c r="B1099" s="1320" t="s">
        <v>6579</v>
      </c>
      <c r="C1099" s="1322">
        <v>0.33</v>
      </c>
      <c r="D1099" s="1323" t="s">
        <v>346</v>
      </c>
      <c r="E1099" s="1324">
        <f>+AYUDR</f>
        <v>50299.76584</v>
      </c>
      <c r="F1099" s="1324"/>
      <c r="G1099" s="1324"/>
      <c r="H1099" s="1324">
        <f>+E1099*C1099</f>
        <v>16598.922727200003</v>
      </c>
      <c r="I1099" s="1324"/>
      <c r="J1099" s="2901"/>
      <c r="K1099" s="2901"/>
      <c r="L1099" s="2901"/>
    </row>
    <row r="1100" spans="1:12" s="1918" customFormat="1" ht="16.8">
      <c r="A1100" s="1319" t="s">
        <v>172</v>
      </c>
      <c r="B1100" s="1320" t="s">
        <v>189</v>
      </c>
      <c r="C1100" s="1322">
        <v>1</v>
      </c>
      <c r="D1100" s="1323" t="s">
        <v>583</v>
      </c>
      <c r="E1100" s="1324">
        <f>+H1101*0.05</f>
        <v>2157.8599545360007</v>
      </c>
      <c r="F1100" s="1324"/>
      <c r="G1100" s="1324"/>
      <c r="H1100" s="1324"/>
      <c r="I1100" s="1324">
        <f>+E1100*C1100</f>
        <v>2157.8599545360007</v>
      </c>
      <c r="J1100" s="2901"/>
      <c r="K1100" s="2901"/>
      <c r="L1100" s="2901"/>
    </row>
    <row r="1101" spans="1:12" s="1918" customFormat="1" ht="16.8">
      <c r="A1101" s="1325" t="s">
        <v>190</v>
      </c>
      <c r="B1101" s="1326">
        <f>ROUND(SUM(F1101:I1101),0)</f>
        <v>45315</v>
      </c>
      <c r="C1101" s="1323"/>
      <c r="D1101" s="1327"/>
      <c r="E1101" s="1319"/>
      <c r="F1101" s="1324">
        <f>SUM(F1098:F1100)</f>
        <v>0</v>
      </c>
      <c r="G1101" s="1324">
        <f>SUM(G1098:G1099)</f>
        <v>0</v>
      </c>
      <c r="H1101" s="1324">
        <f>SUM(H1098:H1099)</f>
        <v>43157.199090720009</v>
      </c>
      <c r="I1101" s="1324">
        <f>SUM(I1098:I1100)</f>
        <v>2157.8599545360007</v>
      </c>
      <c r="J1101" s="2901"/>
      <c r="K1101" s="2901"/>
      <c r="L1101" s="2901"/>
    </row>
    <row r="1102" spans="1:12" ht="16.8">
      <c r="A1102" s="1325" t="s">
        <v>191</v>
      </c>
      <c r="B1102" s="1326">
        <f>+B1101</f>
        <v>45315</v>
      </c>
      <c r="C1102" s="1328" t="s">
        <v>150</v>
      </c>
      <c r="D1102" s="1329"/>
      <c r="E1102" s="1329">
        <f>+B1109*0.15</f>
        <v>45108.75</v>
      </c>
      <c r="F1102" s="1329"/>
      <c r="G1102" s="1329"/>
      <c r="H1102" s="1330"/>
      <c r="I1102" s="1330"/>
    </row>
    <row r="1103" spans="1:12" s="1918" customFormat="1" ht="15.75" customHeight="1">
      <c r="A1103" s="492"/>
      <c r="B1103" s="492"/>
      <c r="C1103" s="492"/>
      <c r="D1103" s="492"/>
      <c r="E1103" s="492"/>
      <c r="F1103" s="492"/>
      <c r="G1103" s="492"/>
      <c r="H1103" s="492"/>
      <c r="I1103" s="492"/>
      <c r="J1103" s="2901"/>
      <c r="K1103" s="2901">
        <f>0.05*1</f>
        <v>0.05</v>
      </c>
      <c r="L1103" s="2901"/>
    </row>
    <row r="1104" spans="1:12" s="1918" customFormat="1" ht="16.8">
      <c r="A1104" s="1318"/>
      <c r="B1104" s="3849" t="s">
        <v>8208</v>
      </c>
      <c r="C1104" s="3849"/>
      <c r="D1104" s="3849"/>
      <c r="E1104" s="3849"/>
      <c r="F1104" s="3849"/>
      <c r="G1104" s="3849"/>
      <c r="H1104" s="3849"/>
      <c r="I1104" s="3849"/>
      <c r="J1104" s="2901"/>
      <c r="K1104" s="2901"/>
      <c r="L1104" s="2901"/>
    </row>
    <row r="1105" spans="1:12" s="1918" customFormat="1" ht="16.8">
      <c r="A1105" s="1319"/>
      <c r="B1105" s="1320"/>
      <c r="C1105" s="1319" t="s">
        <v>140</v>
      </c>
      <c r="D1105" s="1319" t="s">
        <v>343</v>
      </c>
      <c r="E1105" s="1319" t="s">
        <v>344</v>
      </c>
      <c r="F1105" s="1319" t="s">
        <v>482</v>
      </c>
      <c r="G1105" s="1319" t="s">
        <v>483</v>
      </c>
      <c r="H1105" s="1319" t="s">
        <v>170</v>
      </c>
      <c r="I1105" s="1319" t="s">
        <v>171</v>
      </c>
      <c r="J1105" s="2901"/>
      <c r="K1105" s="2901"/>
      <c r="L1105" s="2901"/>
    </row>
    <row r="1106" spans="1:12" s="1918" customFormat="1" ht="16.8">
      <c r="A1106" s="1319"/>
      <c r="B1106" s="1335" t="s">
        <v>6735</v>
      </c>
      <c r="C1106" s="1922">
        <v>1</v>
      </c>
      <c r="D1106" s="1920" t="s">
        <v>133</v>
      </c>
      <c r="E1106" s="2149">
        <f>'BASE 2'!D603</f>
        <v>286324.70999999996</v>
      </c>
      <c r="F1106" s="1324"/>
      <c r="G1106" s="1324">
        <f>+E1106*C1106</f>
        <v>286324.70999999996</v>
      </c>
      <c r="H1106" s="1324"/>
      <c r="I1106" s="1324"/>
      <c r="J1106" s="2901"/>
      <c r="K1106" s="2901"/>
      <c r="L1106" s="2901"/>
    </row>
    <row r="1107" spans="1:12" s="1918" customFormat="1" ht="16.8">
      <c r="A1107" s="1319"/>
      <c r="B1107" s="1320" t="s">
        <v>4727</v>
      </c>
      <c r="C1107" s="1919">
        <v>1.2E-2</v>
      </c>
      <c r="D1107" s="1921" t="s">
        <v>583</v>
      </c>
      <c r="E1107" s="1324">
        <f>+VIAJE</f>
        <v>1200000</v>
      </c>
      <c r="F1107" s="1324"/>
      <c r="G1107" s="1324"/>
      <c r="H1107" s="1324"/>
      <c r="I1107" s="1324">
        <f>+E1107*C1107</f>
        <v>14400</v>
      </c>
      <c r="J1107" s="2901"/>
      <c r="K1107" s="2901"/>
      <c r="L1107" s="2901"/>
    </row>
    <row r="1108" spans="1:12" s="1918" customFormat="1" ht="16.8">
      <c r="A1108" s="1325" t="s">
        <v>190</v>
      </c>
      <c r="B1108" s="1326">
        <f>ROUND(SUM(F1108:I1108),0)</f>
        <v>300725</v>
      </c>
      <c r="C1108" s="1323"/>
      <c r="D1108" s="1327"/>
      <c r="E1108" s="1319"/>
      <c r="F1108" s="1324">
        <f>SUM(F1106:F1106)</f>
        <v>0</v>
      </c>
      <c r="G1108" s="1324">
        <f>SUM(G1106:G1107)</f>
        <v>286324.70999999996</v>
      </c>
      <c r="H1108" s="1324">
        <f>SUM(H1106:H1106)</f>
        <v>0</v>
      </c>
      <c r="I1108" s="1324">
        <f>+I1107</f>
        <v>14400</v>
      </c>
      <c r="J1108" s="2901"/>
      <c r="K1108" s="2901"/>
      <c r="L1108" s="2901"/>
    </row>
    <row r="1109" spans="1:12" ht="16.8">
      <c r="A1109" s="1325" t="s">
        <v>191</v>
      </c>
      <c r="B1109" s="1326">
        <f>+B1108</f>
        <v>300725</v>
      </c>
      <c r="C1109" s="1328" t="s">
        <v>150</v>
      </c>
      <c r="D1109" s="1329"/>
      <c r="E1109" s="1329"/>
      <c r="F1109" s="1329"/>
      <c r="G1109" s="1329"/>
      <c r="H1109" s="1330"/>
      <c r="I1109" s="1330"/>
    </row>
    <row r="1112" spans="1:12" s="1918" customFormat="1" ht="16.8">
      <c r="A1112" s="1318"/>
      <c r="B1112" s="3849" t="s">
        <v>7044</v>
      </c>
      <c r="C1112" s="3849"/>
      <c r="D1112" s="3849"/>
      <c r="E1112" s="3849"/>
      <c r="F1112" s="3849"/>
      <c r="G1112" s="3849"/>
      <c r="H1112" s="3849"/>
      <c r="I1112" s="3849"/>
      <c r="J1112" s="2901"/>
      <c r="K1112" s="2901"/>
      <c r="L1112" s="2901"/>
    </row>
    <row r="1113" spans="1:12" s="1918" customFormat="1" ht="16.8">
      <c r="A1113" s="1319"/>
      <c r="B1113" s="1320"/>
      <c r="C1113" s="1319" t="s">
        <v>140</v>
      </c>
      <c r="D1113" s="1319" t="s">
        <v>343</v>
      </c>
      <c r="E1113" s="1319" t="s">
        <v>344</v>
      </c>
      <c r="F1113" s="1319" t="s">
        <v>482</v>
      </c>
      <c r="G1113" s="1319" t="s">
        <v>483</v>
      </c>
      <c r="H1113" s="1319" t="s">
        <v>170</v>
      </c>
      <c r="I1113" s="1319" t="s">
        <v>171</v>
      </c>
      <c r="J1113" s="2901"/>
      <c r="K1113" s="2901"/>
      <c r="L1113" s="2901"/>
    </row>
    <row r="1114" spans="1:12" s="1918" customFormat="1" ht="16.8">
      <c r="A1114" s="1319" t="s">
        <v>345</v>
      </c>
      <c r="B1114" s="1320" t="s">
        <v>965</v>
      </c>
      <c r="C1114" s="1322">
        <v>0.2</v>
      </c>
      <c r="D1114" s="1323" t="s">
        <v>346</v>
      </c>
      <c r="E1114" s="1324">
        <f>+OFICI</f>
        <v>80479.625344</v>
      </c>
      <c r="F1114" s="1324"/>
      <c r="G1114" s="1324"/>
      <c r="H1114" s="1324">
        <f>+E1114*C1114</f>
        <v>16095.925068800001</v>
      </c>
      <c r="I1114" s="1324"/>
      <c r="J1114" s="2901"/>
      <c r="K1114" s="2901"/>
      <c r="L1114" s="2901"/>
    </row>
    <row r="1115" spans="1:12" s="1918" customFormat="1" ht="16.8">
      <c r="A1115" s="1319" t="s">
        <v>348</v>
      </c>
      <c r="B1115" s="1320" t="s">
        <v>6579</v>
      </c>
      <c r="C1115" s="1322">
        <v>0.2</v>
      </c>
      <c r="D1115" s="1323" t="s">
        <v>346</v>
      </c>
      <c r="E1115" s="1324">
        <f>+AYUDR</f>
        <v>50299.76584</v>
      </c>
      <c r="F1115" s="1324"/>
      <c r="G1115" s="1324"/>
      <c r="H1115" s="1324">
        <f>+E1115*C1115</f>
        <v>10059.953168</v>
      </c>
      <c r="I1115" s="1324"/>
      <c r="J1115" s="2901"/>
      <c r="K1115" s="2901"/>
      <c r="L1115" s="2901"/>
    </row>
    <row r="1116" spans="1:12" s="1918" customFormat="1" ht="16.8">
      <c r="A1116" s="1319" t="s">
        <v>172</v>
      </c>
      <c r="B1116" s="1320" t="s">
        <v>189</v>
      </c>
      <c r="C1116" s="1322">
        <v>1</v>
      </c>
      <c r="D1116" s="1323" t="s">
        <v>583</v>
      </c>
      <c r="E1116" s="1324">
        <f>+H1117*0.05</f>
        <v>1307.7939118400002</v>
      </c>
      <c r="F1116" s="1324"/>
      <c r="G1116" s="1324"/>
      <c r="H1116" s="1324"/>
      <c r="I1116" s="1324">
        <f>+E1116*C1116</f>
        <v>1307.7939118400002</v>
      </c>
      <c r="J1116" s="2901"/>
      <c r="K1116" s="2901"/>
      <c r="L1116" s="2901"/>
    </row>
    <row r="1117" spans="1:12" s="1918" customFormat="1" ht="16.8">
      <c r="A1117" s="1325" t="s">
        <v>190</v>
      </c>
      <c r="B1117" s="1326">
        <f>ROUND(SUM(F1117:I1117),0)</f>
        <v>27464</v>
      </c>
      <c r="C1117" s="1323"/>
      <c r="D1117" s="1327"/>
      <c r="E1117" s="1319"/>
      <c r="F1117" s="1324">
        <f>SUM(F1114:F1116)</f>
        <v>0</v>
      </c>
      <c r="G1117" s="1324">
        <f>SUM(G1114:G1115)</f>
        <v>0</v>
      </c>
      <c r="H1117" s="1324">
        <f>SUM(H1114:H1115)</f>
        <v>26155.878236800003</v>
      </c>
      <c r="I1117" s="1324">
        <f>SUM(I1114:I1116)</f>
        <v>1307.7939118400002</v>
      </c>
      <c r="J1117" s="2901"/>
      <c r="K1117" s="2901"/>
      <c r="L1117" s="2901"/>
    </row>
    <row r="1118" spans="1:12" ht="16.8">
      <c r="A1118" s="1325" t="s">
        <v>191</v>
      </c>
      <c r="B1118" s="1326">
        <f>+B1117</f>
        <v>27464</v>
      </c>
      <c r="C1118" s="1328" t="s">
        <v>150</v>
      </c>
      <c r="D1118" s="1329"/>
      <c r="E1118" s="1329">
        <f>+B1125*0.15</f>
        <v>26257.5</v>
      </c>
      <c r="F1118" s="1329"/>
      <c r="G1118" s="1329"/>
      <c r="H1118" s="1330"/>
      <c r="I1118" s="1330"/>
    </row>
    <row r="1119" spans="1:12" s="1918" customFormat="1" ht="15.75" customHeight="1">
      <c r="A1119" s="492"/>
      <c r="B1119" s="492"/>
      <c r="C1119" s="492"/>
      <c r="D1119" s="492"/>
      <c r="E1119" s="492"/>
      <c r="F1119" s="492"/>
      <c r="G1119" s="492"/>
      <c r="H1119" s="492"/>
      <c r="I1119" s="492"/>
      <c r="J1119" s="2901"/>
      <c r="K1119" s="2901">
        <f>0.05*1</f>
        <v>0.05</v>
      </c>
      <c r="L1119" s="2901"/>
    </row>
    <row r="1120" spans="1:12" s="1918" customFormat="1" ht="16.8">
      <c r="A1120" s="1318"/>
      <c r="B1120" s="3849" t="s">
        <v>7043</v>
      </c>
      <c r="C1120" s="3849"/>
      <c r="D1120" s="3849"/>
      <c r="E1120" s="3849"/>
      <c r="F1120" s="3849"/>
      <c r="G1120" s="3849"/>
      <c r="H1120" s="3849"/>
      <c r="I1120" s="3849"/>
      <c r="J1120" s="2901"/>
      <c r="K1120" s="2901"/>
      <c r="L1120" s="2901"/>
    </row>
    <row r="1121" spans="1:12" s="1918" customFormat="1" ht="16.8">
      <c r="A1121" s="1319"/>
      <c r="B1121" s="1320"/>
      <c r="C1121" s="1319" t="s">
        <v>140</v>
      </c>
      <c r="D1121" s="1319" t="s">
        <v>343</v>
      </c>
      <c r="E1121" s="1319" t="s">
        <v>344</v>
      </c>
      <c r="F1121" s="1319" t="s">
        <v>482</v>
      </c>
      <c r="G1121" s="1319" t="s">
        <v>483</v>
      </c>
      <c r="H1121" s="1319" t="s">
        <v>170</v>
      </c>
      <c r="I1121" s="1319" t="s">
        <v>171</v>
      </c>
      <c r="J1121" s="2901"/>
      <c r="K1121" s="2901"/>
      <c r="L1121" s="2901"/>
    </row>
    <row r="1122" spans="1:12" s="1918" customFormat="1" ht="16.8">
      <c r="A1122" s="1319"/>
      <c r="B1122" s="1320" t="s">
        <v>4746</v>
      </c>
      <c r="C1122" s="1922">
        <v>1</v>
      </c>
      <c r="D1122" s="1920" t="s">
        <v>133</v>
      </c>
      <c r="E1122" s="1324">
        <f>+'BASE 2'!D686</f>
        <v>160650</v>
      </c>
      <c r="F1122" s="1324"/>
      <c r="G1122" s="1324">
        <f>+E1122*C1122</f>
        <v>160650</v>
      </c>
      <c r="H1122" s="1324"/>
      <c r="I1122" s="1324"/>
      <c r="J1122" s="2901"/>
      <c r="K1122" s="2901"/>
      <c r="L1122" s="2901"/>
    </row>
    <row r="1123" spans="1:12" s="1918" customFormat="1" ht="16.8">
      <c r="A1123" s="1319"/>
      <c r="B1123" s="1320" t="s">
        <v>4727</v>
      </c>
      <c r="C1123" s="1919">
        <v>1.2E-2</v>
      </c>
      <c r="D1123" s="1921" t="s">
        <v>583</v>
      </c>
      <c r="E1123" s="1324">
        <f>+VIAJE</f>
        <v>1200000</v>
      </c>
      <c r="F1123" s="1324"/>
      <c r="G1123" s="1324"/>
      <c r="H1123" s="1324"/>
      <c r="I1123" s="2149">
        <f>+E1123*C1123</f>
        <v>14400</v>
      </c>
      <c r="J1123" s="2901"/>
      <c r="K1123" s="2901"/>
      <c r="L1123" s="2901"/>
    </row>
    <row r="1124" spans="1:12" s="1918" customFormat="1" ht="16.8">
      <c r="A1124" s="1325" t="s">
        <v>190</v>
      </c>
      <c r="B1124" s="1326">
        <f>ROUND(SUM(F1124:I1124),0)</f>
        <v>175050</v>
      </c>
      <c r="C1124" s="1323"/>
      <c r="D1124" s="1327"/>
      <c r="E1124" s="1319"/>
      <c r="F1124" s="1324">
        <f>SUM(F1122:F1122)</f>
        <v>0</v>
      </c>
      <c r="G1124" s="1324">
        <f>SUM(G1122:G1123)</f>
        <v>160650</v>
      </c>
      <c r="H1124" s="1324">
        <f>SUM(H1122:H1122)</f>
        <v>0</v>
      </c>
      <c r="I1124" s="2149">
        <f>+I1123</f>
        <v>14400</v>
      </c>
      <c r="J1124" s="2901"/>
      <c r="K1124" s="2901"/>
      <c r="L1124" s="2901"/>
    </row>
    <row r="1125" spans="1:12" ht="16.8">
      <c r="A1125" s="1325" t="s">
        <v>191</v>
      </c>
      <c r="B1125" s="1326">
        <f>+B1124</f>
        <v>175050</v>
      </c>
      <c r="C1125" s="1328" t="s">
        <v>150</v>
      </c>
      <c r="D1125" s="1329"/>
      <c r="E1125" s="1329"/>
      <c r="F1125" s="1329"/>
      <c r="G1125" s="1329"/>
      <c r="H1125" s="1330"/>
      <c r="I1125" s="1330"/>
    </row>
    <row r="1127" spans="1:12" s="1918" customFormat="1" ht="16.8">
      <c r="A1127" s="1318"/>
      <c r="B1127" s="3849" t="s">
        <v>7048</v>
      </c>
      <c r="C1127" s="3849"/>
      <c r="D1127" s="3849"/>
      <c r="E1127" s="3849"/>
      <c r="F1127" s="3849"/>
      <c r="G1127" s="3849"/>
      <c r="H1127" s="3849"/>
      <c r="I1127" s="3849"/>
      <c r="J1127" s="2901"/>
      <c r="K1127" s="2901"/>
      <c r="L1127" s="2901"/>
    </row>
    <row r="1128" spans="1:12" s="1918" customFormat="1" ht="16.8">
      <c r="A1128" s="1319"/>
      <c r="B1128" s="1320"/>
      <c r="C1128" s="1319" t="s">
        <v>140</v>
      </c>
      <c r="D1128" s="1319" t="s">
        <v>343</v>
      </c>
      <c r="E1128" s="1319" t="s">
        <v>344</v>
      </c>
      <c r="F1128" s="1319" t="s">
        <v>482</v>
      </c>
      <c r="G1128" s="1319" t="s">
        <v>483</v>
      </c>
      <c r="H1128" s="1319" t="s">
        <v>170</v>
      </c>
      <c r="I1128" s="1319" t="s">
        <v>171</v>
      </c>
      <c r="J1128" s="2901"/>
      <c r="K1128" s="2901"/>
      <c r="L1128" s="2901"/>
    </row>
    <row r="1129" spans="1:12" s="1918" customFormat="1" ht="16.8">
      <c r="A1129" s="1319" t="s">
        <v>345</v>
      </c>
      <c r="B1129" s="1320" t="s">
        <v>965</v>
      </c>
      <c r="C1129" s="1322">
        <v>0.3</v>
      </c>
      <c r="D1129" s="1323" t="s">
        <v>346</v>
      </c>
      <c r="E1129" s="1324">
        <f>+OFICI</f>
        <v>80479.625344</v>
      </c>
      <c r="F1129" s="1324"/>
      <c r="G1129" s="1324"/>
      <c r="H1129" s="1324">
        <f>+E1129*C1129</f>
        <v>24143.887603200001</v>
      </c>
      <c r="I1129" s="1324"/>
      <c r="J1129" s="2901"/>
      <c r="K1129" s="2901"/>
      <c r="L1129" s="2901"/>
    </row>
    <row r="1130" spans="1:12" s="1918" customFormat="1" ht="16.8">
      <c r="A1130" s="1319" t="s">
        <v>348</v>
      </c>
      <c r="B1130" s="1320" t="s">
        <v>6579</v>
      </c>
      <c r="C1130" s="1322">
        <v>0.3</v>
      </c>
      <c r="D1130" s="1323" t="s">
        <v>346</v>
      </c>
      <c r="E1130" s="1324">
        <f>+AYUDR</f>
        <v>50299.76584</v>
      </c>
      <c r="F1130" s="1324"/>
      <c r="G1130" s="1324"/>
      <c r="H1130" s="1324">
        <f>+E1130*C1130</f>
        <v>15089.929752</v>
      </c>
      <c r="I1130" s="1324"/>
      <c r="J1130" s="2901"/>
      <c r="K1130" s="2901"/>
      <c r="L1130" s="2901"/>
    </row>
    <row r="1131" spans="1:12" s="1918" customFormat="1" ht="16.8">
      <c r="A1131" s="1319" t="s">
        <v>172</v>
      </c>
      <c r="B1131" s="1320" t="s">
        <v>189</v>
      </c>
      <c r="C1131" s="1322">
        <v>1</v>
      </c>
      <c r="D1131" s="1323" t="s">
        <v>583</v>
      </c>
      <c r="E1131" s="1324">
        <f>+H1132*0.05</f>
        <v>1961.6908677600002</v>
      </c>
      <c r="F1131" s="1324"/>
      <c r="G1131" s="1324"/>
      <c r="H1131" s="1324"/>
      <c r="I1131" s="1324">
        <f>+E1131*C1131</f>
        <v>1961.6908677600002</v>
      </c>
      <c r="J1131" s="2901"/>
      <c r="K1131" s="2901"/>
      <c r="L1131" s="2901"/>
    </row>
    <row r="1132" spans="1:12" s="1918" customFormat="1" ht="16.8">
      <c r="A1132" s="1325" t="s">
        <v>190</v>
      </c>
      <c r="B1132" s="1326">
        <f>ROUND(SUM(F1132:I1132),0)</f>
        <v>41196</v>
      </c>
      <c r="C1132" s="1323"/>
      <c r="D1132" s="1327"/>
      <c r="E1132" s="1319"/>
      <c r="F1132" s="1324">
        <f>SUM(F1129:F1131)</f>
        <v>0</v>
      </c>
      <c r="G1132" s="1324">
        <f>SUM(G1129:G1130)</f>
        <v>0</v>
      </c>
      <c r="H1132" s="1324">
        <f>SUM(H1129:H1130)</f>
        <v>39233.817355200001</v>
      </c>
      <c r="I1132" s="1324">
        <f>SUM(I1129:I1131)</f>
        <v>1961.6908677600002</v>
      </c>
      <c r="J1132" s="2901"/>
      <c r="K1132" s="2901"/>
      <c r="L1132" s="2901"/>
    </row>
    <row r="1133" spans="1:12" ht="16.8">
      <c r="A1133" s="1325" t="s">
        <v>191</v>
      </c>
      <c r="B1133" s="1326">
        <f>+B1132</f>
        <v>41196</v>
      </c>
      <c r="C1133" s="1328" t="s">
        <v>150</v>
      </c>
      <c r="D1133" s="1329"/>
      <c r="E1133" s="1329">
        <f>+B1140*0.15</f>
        <v>41430</v>
      </c>
      <c r="F1133" s="1329"/>
      <c r="G1133" s="1329"/>
      <c r="H1133" s="1330"/>
      <c r="I1133" s="1330"/>
    </row>
    <row r="1134" spans="1:12" s="1918" customFormat="1" ht="15.75" customHeight="1">
      <c r="A1134" s="492"/>
      <c r="B1134" s="492"/>
      <c r="C1134" s="492"/>
      <c r="D1134" s="492"/>
      <c r="E1134" s="492"/>
      <c r="F1134" s="492"/>
      <c r="G1134" s="492"/>
      <c r="H1134" s="492"/>
      <c r="I1134" s="492"/>
      <c r="J1134" s="2901"/>
      <c r="K1134" s="2901">
        <f>0.05*1</f>
        <v>0.05</v>
      </c>
      <c r="L1134" s="2901"/>
    </row>
    <row r="1135" spans="1:12" s="1918" customFormat="1" ht="16.8">
      <c r="A1135" s="1318"/>
      <c r="B1135" s="3849" t="s">
        <v>7047</v>
      </c>
      <c r="C1135" s="3849"/>
      <c r="D1135" s="3849"/>
      <c r="E1135" s="3849"/>
      <c r="F1135" s="3849"/>
      <c r="G1135" s="3849"/>
      <c r="H1135" s="3849"/>
      <c r="I1135" s="3849"/>
      <c r="J1135" s="2901"/>
      <c r="K1135" s="2901"/>
      <c r="L1135" s="2901"/>
    </row>
    <row r="1136" spans="1:12" s="1918" customFormat="1" ht="15" customHeight="1">
      <c r="A1136" s="1319"/>
      <c r="B1136" s="1320"/>
      <c r="C1136" s="1319" t="s">
        <v>140</v>
      </c>
      <c r="D1136" s="1319" t="s">
        <v>343</v>
      </c>
      <c r="E1136" s="1319" t="s">
        <v>344</v>
      </c>
      <c r="F1136" s="1319" t="s">
        <v>482</v>
      </c>
      <c r="G1136" s="1319" t="s">
        <v>483</v>
      </c>
      <c r="H1136" s="1319" t="s">
        <v>170</v>
      </c>
      <c r="I1136" s="1319" t="s">
        <v>171</v>
      </c>
      <c r="J1136" s="2901"/>
      <c r="K1136" s="2901"/>
      <c r="L1136" s="2901"/>
    </row>
    <row r="1137" spans="1:12" s="1918" customFormat="1" ht="16.8">
      <c r="A1137" s="1319"/>
      <c r="B1137" s="1335" t="s">
        <v>4954</v>
      </c>
      <c r="C1137" s="1922">
        <v>1</v>
      </c>
      <c r="D1137" s="1920" t="s">
        <v>133</v>
      </c>
      <c r="E1137" s="2149">
        <f>+'BASE 2'!D687</f>
        <v>261800</v>
      </c>
      <c r="F1137" s="1324"/>
      <c r="G1137" s="2149">
        <f>+E1137*C1137</f>
        <v>261800</v>
      </c>
      <c r="H1137" s="1324"/>
      <c r="I1137" s="1324"/>
      <c r="J1137" s="2901"/>
      <c r="K1137" s="2901"/>
      <c r="L1137" s="2901"/>
    </row>
    <row r="1138" spans="1:12" s="1918" customFormat="1" ht="16.8">
      <c r="A1138" s="1319"/>
      <c r="B1138" s="1320" t="s">
        <v>4727</v>
      </c>
      <c r="C1138" s="1919">
        <v>1.2E-2</v>
      </c>
      <c r="D1138" s="1921" t="s">
        <v>583</v>
      </c>
      <c r="E1138" s="2149">
        <f>+VIAJE</f>
        <v>1200000</v>
      </c>
      <c r="F1138" s="1324"/>
      <c r="G1138" s="2149"/>
      <c r="H1138" s="1324"/>
      <c r="I1138" s="2149">
        <f>+E1138*C1138</f>
        <v>14400</v>
      </c>
      <c r="J1138" s="2901"/>
      <c r="K1138" s="2901"/>
      <c r="L1138" s="2901"/>
    </row>
    <row r="1139" spans="1:12" s="1918" customFormat="1" ht="16.8">
      <c r="A1139" s="1325" t="s">
        <v>190</v>
      </c>
      <c r="B1139" s="1326">
        <f>ROUND(SUM(F1139:I1139),0)</f>
        <v>276200</v>
      </c>
      <c r="C1139" s="1323"/>
      <c r="D1139" s="1327"/>
      <c r="E1139" s="1319"/>
      <c r="F1139" s="1324">
        <f>SUM(F1137:F1137)</f>
        <v>0</v>
      </c>
      <c r="G1139" s="2149">
        <f>SUM(G1137:G1138)</f>
        <v>261800</v>
      </c>
      <c r="H1139" s="1324">
        <f>SUM(H1137:H1137)</f>
        <v>0</v>
      </c>
      <c r="I1139" s="2149">
        <f>+I1138</f>
        <v>14400</v>
      </c>
      <c r="J1139" s="2901"/>
      <c r="K1139" s="2901"/>
      <c r="L1139" s="2901"/>
    </row>
    <row r="1140" spans="1:12" ht="16.8">
      <c r="A1140" s="1325" t="s">
        <v>191</v>
      </c>
      <c r="B1140" s="1326">
        <f>+B1139</f>
        <v>276200</v>
      </c>
      <c r="C1140" s="1328" t="s">
        <v>150</v>
      </c>
      <c r="D1140" s="1329"/>
      <c r="E1140" s="1329"/>
      <c r="F1140" s="1329"/>
      <c r="G1140" s="1329"/>
      <c r="H1140" s="1330"/>
      <c r="I1140" s="1330"/>
    </row>
    <row r="1142" spans="1:12" s="1918" customFormat="1" ht="16.8">
      <c r="A1142" s="1318"/>
      <c r="B1142" s="3849" t="s">
        <v>4833</v>
      </c>
      <c r="C1142" s="3849"/>
      <c r="D1142" s="3849"/>
      <c r="E1142" s="3849"/>
      <c r="F1142" s="3849"/>
      <c r="G1142" s="3849"/>
      <c r="H1142" s="3849"/>
      <c r="I1142" s="3849"/>
      <c r="J1142" s="2901"/>
      <c r="K1142" s="2901"/>
      <c r="L1142" s="2901"/>
    </row>
    <row r="1143" spans="1:12" s="1918" customFormat="1" ht="16.8">
      <c r="A1143" s="1319"/>
      <c r="B1143" s="1320"/>
      <c r="C1143" s="1319" t="s">
        <v>140</v>
      </c>
      <c r="D1143" s="1319" t="s">
        <v>343</v>
      </c>
      <c r="E1143" s="1319" t="s">
        <v>344</v>
      </c>
      <c r="F1143" s="1319" t="s">
        <v>482</v>
      </c>
      <c r="G1143" s="1319" t="s">
        <v>483</v>
      </c>
      <c r="H1143" s="1319" t="s">
        <v>170</v>
      </c>
      <c r="I1143" s="1319" t="s">
        <v>171</v>
      </c>
      <c r="J1143" s="2901"/>
      <c r="K1143" s="2901"/>
      <c r="L1143" s="2901"/>
    </row>
    <row r="1144" spans="1:12" s="1918" customFormat="1" ht="16.8">
      <c r="A1144" s="1319" t="s">
        <v>345</v>
      </c>
      <c r="B1144" s="1320" t="s">
        <v>6439</v>
      </c>
      <c r="C1144" s="1322">
        <v>3.33</v>
      </c>
      <c r="D1144" s="1323" t="s">
        <v>346</v>
      </c>
      <c r="E1144" s="1324">
        <f>+OFICI</f>
        <v>80479.625344</v>
      </c>
      <c r="F1144" s="1324"/>
      <c r="G1144" s="1324"/>
      <c r="H1144" s="1324">
        <f>+E1144*C1144</f>
        <v>267997.15239552001</v>
      </c>
      <c r="I1144" s="1324"/>
      <c r="J1144" s="2901"/>
      <c r="K1144" s="2901"/>
      <c r="L1144" s="2901"/>
    </row>
    <row r="1145" spans="1:12" s="1918" customFormat="1" ht="16.8">
      <c r="A1145" s="1319" t="s">
        <v>348</v>
      </c>
      <c r="B1145" s="1320" t="s">
        <v>266</v>
      </c>
      <c r="C1145" s="1322">
        <v>3.33</v>
      </c>
      <c r="D1145" s="1323" t="s">
        <v>346</v>
      </c>
      <c r="E1145" s="1324">
        <f>+AYUDA</f>
        <v>65389.695592000004</v>
      </c>
      <c r="F1145" s="1324"/>
      <c r="G1145" s="1324"/>
      <c r="H1145" s="1324">
        <f>+E1145*C1145</f>
        <v>217747.68632136003</v>
      </c>
      <c r="I1145" s="1324"/>
      <c r="J1145" s="2901"/>
      <c r="K1145" s="2901"/>
      <c r="L1145" s="2901"/>
    </row>
    <row r="1146" spans="1:12" s="1918" customFormat="1" ht="16.8">
      <c r="A1146" s="1319" t="s">
        <v>348</v>
      </c>
      <c r="B1146" s="1320" t="s">
        <v>6579</v>
      </c>
      <c r="C1146" s="1322">
        <v>3.33</v>
      </c>
      <c r="D1146" s="1323" t="s">
        <v>346</v>
      </c>
      <c r="E1146" s="1324">
        <f>+AYUDR</f>
        <v>50299.76584</v>
      </c>
      <c r="F1146" s="1324"/>
      <c r="G1146" s="1324"/>
      <c r="H1146" s="1324">
        <f>+E1146*C1146</f>
        <v>167498.22024719999</v>
      </c>
      <c r="I1146" s="1324"/>
      <c r="J1146" s="2901"/>
      <c r="K1146" s="2901"/>
      <c r="L1146" s="2901"/>
    </row>
    <row r="1147" spans="1:12" s="1918" customFormat="1" ht="16.8">
      <c r="A1147" s="1319" t="s">
        <v>172</v>
      </c>
      <c r="B1147" s="1320" t="s">
        <v>189</v>
      </c>
      <c r="C1147" s="1322">
        <v>1</v>
      </c>
      <c r="D1147" s="1323" t="s">
        <v>583</v>
      </c>
      <c r="E1147" s="1324">
        <f>+H1148*0.05</f>
        <v>32662.152948204006</v>
      </c>
      <c r="F1147" s="1324"/>
      <c r="G1147" s="1324"/>
      <c r="H1147" s="1324"/>
      <c r="I1147" s="1324">
        <f>+E1147*C1147</f>
        <v>32662.152948204006</v>
      </c>
      <c r="J1147" s="2901"/>
      <c r="K1147" s="2901"/>
      <c r="L1147" s="2901"/>
    </row>
    <row r="1148" spans="1:12" s="1918" customFormat="1" ht="16.8">
      <c r="A1148" s="1325" t="s">
        <v>190</v>
      </c>
      <c r="B1148" s="1326">
        <f>ROUND(SUM(F1148:I1148),0)</f>
        <v>685905</v>
      </c>
      <c r="C1148" s="1323"/>
      <c r="D1148" s="1327"/>
      <c r="E1148" s="1319"/>
      <c r="F1148" s="1324">
        <f>SUM(F1144:F1147)</f>
        <v>0</v>
      </c>
      <c r="G1148" s="1324">
        <f>SUM(G1144:G1146)</f>
        <v>0</v>
      </c>
      <c r="H1148" s="1324">
        <f>SUM(H1144:H1146)</f>
        <v>653243.05896408006</v>
      </c>
      <c r="I1148" s="1324">
        <f>SUM(I1144:I1147)</f>
        <v>32662.152948204006</v>
      </c>
      <c r="J1148" s="2901"/>
      <c r="K1148" s="2901"/>
      <c r="L1148" s="2901"/>
    </row>
    <row r="1149" spans="1:12" ht="16.8">
      <c r="A1149" s="1325" t="s">
        <v>191</v>
      </c>
      <c r="B1149" s="1326">
        <f>+B1148</f>
        <v>685905</v>
      </c>
      <c r="C1149" s="1328" t="s">
        <v>150</v>
      </c>
      <c r="D1149" s="1329"/>
      <c r="E1149" s="1329">
        <f>+B1156*0.15</f>
        <v>689385</v>
      </c>
      <c r="F1149" s="1329"/>
      <c r="G1149" s="1329"/>
      <c r="H1149" s="1330"/>
      <c r="I1149" s="1330"/>
    </row>
    <row r="1150" spans="1:12" s="1918" customFormat="1" ht="15.75" customHeight="1">
      <c r="A1150" s="492"/>
      <c r="B1150" s="492"/>
      <c r="C1150" s="492"/>
      <c r="D1150" s="492"/>
      <c r="E1150" s="492"/>
      <c r="F1150" s="492"/>
      <c r="G1150" s="492"/>
      <c r="H1150" s="492"/>
      <c r="I1150" s="492"/>
      <c r="J1150" s="2901"/>
      <c r="K1150" s="2901">
        <f>0.05*1</f>
        <v>0.05</v>
      </c>
      <c r="L1150" s="2901"/>
    </row>
    <row r="1151" spans="1:12" s="1918" customFormat="1" ht="16.8">
      <c r="A1151" s="1318"/>
      <c r="B1151" s="1318" t="s">
        <v>4834</v>
      </c>
      <c r="C1151" s="1318"/>
      <c r="D1151" s="1318"/>
      <c r="E1151" s="1318"/>
      <c r="F1151" s="1318"/>
      <c r="G1151" s="1318"/>
      <c r="H1151" s="1318"/>
      <c r="I1151" s="1318"/>
      <c r="J1151" s="2901"/>
      <c r="K1151" s="2901"/>
      <c r="L1151" s="2901"/>
    </row>
    <row r="1152" spans="1:12" s="1918" customFormat="1" ht="16.8">
      <c r="A1152" s="1319"/>
      <c r="B1152" s="1320"/>
      <c r="C1152" s="1319" t="s">
        <v>140</v>
      </c>
      <c r="D1152" s="1319" t="s">
        <v>343</v>
      </c>
      <c r="E1152" s="1319" t="s">
        <v>344</v>
      </c>
      <c r="F1152" s="1319" t="s">
        <v>482</v>
      </c>
      <c r="G1152" s="1319" t="s">
        <v>483</v>
      </c>
      <c r="H1152" s="1319" t="s">
        <v>170</v>
      </c>
      <c r="I1152" s="1319" t="s">
        <v>171</v>
      </c>
      <c r="J1152" s="2901"/>
      <c r="K1152" s="2901"/>
      <c r="L1152" s="2901"/>
    </row>
    <row r="1153" spans="1:12" s="1918" customFormat="1" ht="16.8">
      <c r="A1153" s="1319"/>
      <c r="B1153" s="1320" t="s">
        <v>4747</v>
      </c>
      <c r="C1153" s="1922">
        <v>1</v>
      </c>
      <c r="D1153" s="1920" t="s">
        <v>133</v>
      </c>
      <c r="E1153" s="2149">
        <f>+'BASE 2'!D688</f>
        <v>4581500</v>
      </c>
      <c r="F1153" s="2149"/>
      <c r="G1153" s="2149">
        <f>+E1153*C1153</f>
        <v>4581500</v>
      </c>
      <c r="H1153" s="2149"/>
      <c r="I1153" s="2149"/>
      <c r="J1153" s="2901"/>
      <c r="K1153" s="2901"/>
      <c r="L1153" s="2901"/>
    </row>
    <row r="1154" spans="1:12" s="1918" customFormat="1" ht="16.8">
      <c r="A1154" s="1319"/>
      <c r="B1154" s="1320" t="s">
        <v>4727</v>
      </c>
      <c r="C1154" s="1919">
        <v>1.2E-2</v>
      </c>
      <c r="D1154" s="1921" t="s">
        <v>583</v>
      </c>
      <c r="E1154" s="2149">
        <f>+VIAJE</f>
        <v>1200000</v>
      </c>
      <c r="F1154" s="2149"/>
      <c r="G1154" s="2149"/>
      <c r="H1154" s="2149"/>
      <c r="I1154" s="2149">
        <f>+E1154*C1154</f>
        <v>14400</v>
      </c>
      <c r="J1154" s="2901"/>
      <c r="K1154" s="2901"/>
      <c r="L1154" s="2901"/>
    </row>
    <row r="1155" spans="1:12" s="1918" customFormat="1" ht="16.8">
      <c r="A1155" s="1325" t="s">
        <v>190</v>
      </c>
      <c r="B1155" s="1326">
        <f>ROUND(SUM(F1155:I1155),0)</f>
        <v>4595900</v>
      </c>
      <c r="C1155" s="1323"/>
      <c r="D1155" s="1327"/>
      <c r="E1155" s="2149"/>
      <c r="F1155" s="2149">
        <f>SUM(F1153:F1153)</f>
        <v>0</v>
      </c>
      <c r="G1155" s="2149">
        <f>SUM(G1153:G1154)</f>
        <v>4581500</v>
      </c>
      <c r="H1155" s="2149">
        <f>SUM(H1153:H1153)</f>
        <v>0</v>
      </c>
      <c r="I1155" s="2149">
        <f>+I1154</f>
        <v>14400</v>
      </c>
      <c r="J1155" s="2901"/>
      <c r="K1155" s="2901"/>
      <c r="L1155" s="2901"/>
    </row>
    <row r="1156" spans="1:12" ht="16.8">
      <c r="A1156" s="1325" t="s">
        <v>191</v>
      </c>
      <c r="B1156" s="1326">
        <f>+B1155</f>
        <v>4595900</v>
      </c>
      <c r="C1156" s="1328" t="s">
        <v>150</v>
      </c>
      <c r="D1156" s="1329"/>
      <c r="E1156" s="1329"/>
      <c r="F1156" s="1329"/>
      <c r="G1156" s="1329"/>
      <c r="H1156" s="1330"/>
      <c r="I1156" s="1330"/>
    </row>
    <row r="1158" spans="1:12" s="1918" customFormat="1" ht="16.8">
      <c r="A1158" s="1318"/>
      <c r="B1158" s="3849" t="s">
        <v>7054</v>
      </c>
      <c r="C1158" s="3849"/>
      <c r="D1158" s="3849"/>
      <c r="E1158" s="3849"/>
      <c r="F1158" s="3849"/>
      <c r="G1158" s="3849"/>
      <c r="H1158" s="3849"/>
      <c r="I1158" s="3849"/>
      <c r="J1158" s="2901"/>
      <c r="K1158" s="2901"/>
      <c r="L1158" s="2901"/>
    </row>
    <row r="1159" spans="1:12" s="1918" customFormat="1" ht="16.8">
      <c r="A1159" s="1319"/>
      <c r="B1159" s="1320"/>
      <c r="C1159" s="1319" t="s">
        <v>140</v>
      </c>
      <c r="D1159" s="1319" t="s">
        <v>343</v>
      </c>
      <c r="E1159" s="1319" t="s">
        <v>344</v>
      </c>
      <c r="F1159" s="1319" t="s">
        <v>482</v>
      </c>
      <c r="G1159" s="1319" t="s">
        <v>483</v>
      </c>
      <c r="H1159" s="1319" t="s">
        <v>170</v>
      </c>
      <c r="I1159" s="1319" t="s">
        <v>171</v>
      </c>
      <c r="J1159" s="2901"/>
      <c r="K1159" s="2901"/>
      <c r="L1159" s="2901"/>
    </row>
    <row r="1160" spans="1:12" s="1918" customFormat="1" ht="16.8">
      <c r="A1160" s="1319" t="s">
        <v>345</v>
      </c>
      <c r="B1160" s="1320" t="s">
        <v>6439</v>
      </c>
      <c r="C1160" s="1322">
        <v>0.54</v>
      </c>
      <c r="D1160" s="1323" t="s">
        <v>346</v>
      </c>
      <c r="E1160" s="1324">
        <f>+OFICI</f>
        <v>80479.625344</v>
      </c>
      <c r="F1160" s="1324"/>
      <c r="G1160" s="1324"/>
      <c r="H1160" s="1324">
        <f>+E1160*C1160</f>
        <v>43458.997685760005</v>
      </c>
      <c r="I1160" s="1324"/>
      <c r="J1160" s="2901"/>
      <c r="K1160" s="2901"/>
      <c r="L1160" s="2901"/>
    </row>
    <row r="1161" spans="1:12" s="1918" customFormat="1" ht="16.8">
      <c r="A1161" s="1319" t="s">
        <v>348</v>
      </c>
      <c r="B1161" s="1320" t="s">
        <v>6579</v>
      </c>
      <c r="C1161" s="1322">
        <v>0.54</v>
      </c>
      <c r="D1161" s="1323" t="s">
        <v>346</v>
      </c>
      <c r="E1161" s="1324">
        <f>+AYUDR</f>
        <v>50299.76584</v>
      </c>
      <c r="F1161" s="1324"/>
      <c r="G1161" s="1324"/>
      <c r="H1161" s="1324">
        <f>+E1161*C1161</f>
        <v>27161.873553600002</v>
      </c>
      <c r="I1161" s="1324"/>
      <c r="J1161" s="2901"/>
      <c r="K1161" s="2901"/>
      <c r="L1161" s="2901"/>
    </row>
    <row r="1162" spans="1:12" s="1918" customFormat="1" ht="16.8">
      <c r="A1162" s="1319" t="s">
        <v>172</v>
      </c>
      <c r="B1162" s="1320" t="s">
        <v>189</v>
      </c>
      <c r="C1162" s="1322">
        <v>1</v>
      </c>
      <c r="D1162" s="1323" t="s">
        <v>583</v>
      </c>
      <c r="E1162" s="1324">
        <f>+H1163*0.05</f>
        <v>3531.0435619680011</v>
      </c>
      <c r="F1162" s="1324"/>
      <c r="G1162" s="1324"/>
      <c r="H1162" s="1324"/>
      <c r="I1162" s="1324">
        <f>+E1162*C1162</f>
        <v>3531.0435619680011</v>
      </c>
      <c r="J1162" s="2901"/>
      <c r="K1162" s="2901"/>
      <c r="L1162" s="2901"/>
    </row>
    <row r="1163" spans="1:12" s="1918" customFormat="1" ht="16.8">
      <c r="A1163" s="1325" t="s">
        <v>190</v>
      </c>
      <c r="B1163" s="1326">
        <f>ROUND(SUM(F1163:I1163),0)</f>
        <v>74152</v>
      </c>
      <c r="C1163" s="1323"/>
      <c r="D1163" s="1327"/>
      <c r="E1163" s="1319"/>
      <c r="F1163" s="1324">
        <f>SUM(F1160:F1162)</f>
        <v>0</v>
      </c>
      <c r="G1163" s="1324">
        <f>SUM(G1160:G1161)</f>
        <v>0</v>
      </c>
      <c r="H1163" s="1324">
        <f>SUM(H1160:H1161)</f>
        <v>70620.871239360014</v>
      </c>
      <c r="I1163" s="1324">
        <f>SUM(I1160:I1162)</f>
        <v>3531.0435619680011</v>
      </c>
      <c r="J1163" s="2901"/>
      <c r="K1163" s="2901"/>
      <c r="L1163" s="2901"/>
    </row>
    <row r="1164" spans="1:12" ht="13.95" customHeight="1">
      <c r="A1164" s="1325" t="s">
        <v>191</v>
      </c>
      <c r="B1164" s="1326">
        <f>+B1163</f>
        <v>74152</v>
      </c>
      <c r="C1164" s="1328" t="s">
        <v>150</v>
      </c>
      <c r="D1164" s="1329"/>
      <c r="E1164" s="1329">
        <f>+B1171*0.15</f>
        <v>73560</v>
      </c>
      <c r="F1164" s="1329"/>
      <c r="G1164" s="1329"/>
      <c r="H1164" s="1330"/>
      <c r="I1164" s="1330"/>
    </row>
    <row r="1165" spans="1:12" s="1918" customFormat="1" ht="15.75" customHeight="1">
      <c r="A1165" s="492"/>
      <c r="B1165" s="492"/>
      <c r="C1165" s="492"/>
      <c r="D1165" s="492"/>
      <c r="E1165" s="492"/>
      <c r="F1165" s="492"/>
      <c r="G1165" s="492"/>
      <c r="H1165" s="492"/>
      <c r="I1165" s="492"/>
      <c r="J1165" s="2901"/>
      <c r="K1165" s="2901">
        <f>0.05*1</f>
        <v>0.05</v>
      </c>
      <c r="L1165" s="2901"/>
    </row>
    <row r="1166" spans="1:12" s="1918" customFormat="1" ht="16.8">
      <c r="A1166" s="1318"/>
      <c r="B1166" s="3849" t="s">
        <v>7053</v>
      </c>
      <c r="C1166" s="3849"/>
      <c r="D1166" s="3849"/>
      <c r="E1166" s="3849"/>
      <c r="F1166" s="3849"/>
      <c r="G1166" s="3849"/>
      <c r="H1166" s="3849"/>
      <c r="I1166" s="3849"/>
      <c r="J1166" s="2901"/>
      <c r="K1166" s="2901"/>
      <c r="L1166" s="2901"/>
    </row>
    <row r="1167" spans="1:12" s="1918" customFormat="1" ht="15" customHeight="1">
      <c r="A1167" s="1319"/>
      <c r="B1167" s="1320"/>
      <c r="C1167" s="1319" t="s">
        <v>140</v>
      </c>
      <c r="D1167" s="1319" t="s">
        <v>343</v>
      </c>
      <c r="E1167" s="1319" t="s">
        <v>344</v>
      </c>
      <c r="F1167" s="1319" t="s">
        <v>482</v>
      </c>
      <c r="G1167" s="1319" t="s">
        <v>483</v>
      </c>
      <c r="H1167" s="1319" t="s">
        <v>170</v>
      </c>
      <c r="I1167" s="1319" t="s">
        <v>171</v>
      </c>
      <c r="J1167" s="2901"/>
      <c r="K1167" s="2901"/>
      <c r="L1167" s="2901"/>
    </row>
    <row r="1168" spans="1:12" s="1918" customFormat="1" ht="16.8">
      <c r="A1168" s="1319"/>
      <c r="B1168" s="1335" t="s">
        <v>4956</v>
      </c>
      <c r="C1168" s="1922">
        <v>1</v>
      </c>
      <c r="D1168" s="1920" t="s">
        <v>133</v>
      </c>
      <c r="E1168" s="1324">
        <f>+'BASE 2'!D689</f>
        <v>476000</v>
      </c>
      <c r="F1168" s="1324"/>
      <c r="G1168" s="2149">
        <f>+E1168*C1168</f>
        <v>476000</v>
      </c>
      <c r="H1168" s="1324"/>
      <c r="I1168" s="1324"/>
      <c r="J1168" s="2901"/>
      <c r="K1168" s="2901"/>
      <c r="L1168" s="2901"/>
    </row>
    <row r="1169" spans="1:12" s="1918" customFormat="1" ht="16.8">
      <c r="A1169" s="1319"/>
      <c r="B1169" s="1320" t="s">
        <v>4727</v>
      </c>
      <c r="C1169" s="1919">
        <v>1.2E-2</v>
      </c>
      <c r="D1169" s="1921" t="s">
        <v>583</v>
      </c>
      <c r="E1169" s="1324">
        <f>+VIAJE</f>
        <v>1200000</v>
      </c>
      <c r="F1169" s="1324"/>
      <c r="G1169" s="2149"/>
      <c r="H1169" s="1324"/>
      <c r="I1169" s="2149">
        <f>+E1169*C1169</f>
        <v>14400</v>
      </c>
      <c r="J1169" s="2901"/>
      <c r="K1169" s="2901"/>
      <c r="L1169" s="2901"/>
    </row>
    <row r="1170" spans="1:12" s="1918" customFormat="1" ht="16.8">
      <c r="A1170" s="1325" t="s">
        <v>190</v>
      </c>
      <c r="B1170" s="1326">
        <f>ROUND(SUM(F1170:I1170),0)</f>
        <v>490400</v>
      </c>
      <c r="C1170" s="1323"/>
      <c r="D1170" s="1327"/>
      <c r="E1170" s="1319"/>
      <c r="F1170" s="1324">
        <f>SUM(F1168:F1168)</f>
        <v>0</v>
      </c>
      <c r="G1170" s="2149">
        <f>SUM(G1168:G1169)</f>
        <v>476000</v>
      </c>
      <c r="H1170" s="1324">
        <f>SUM(H1168:H1168)</f>
        <v>0</v>
      </c>
      <c r="I1170" s="2149">
        <f>+I1169</f>
        <v>14400</v>
      </c>
      <c r="J1170" s="2901"/>
      <c r="K1170" s="2901"/>
      <c r="L1170" s="2901"/>
    </row>
    <row r="1171" spans="1:12" ht="16.8">
      <c r="A1171" s="1325" t="s">
        <v>191</v>
      </c>
      <c r="B1171" s="1326">
        <f>+B1170</f>
        <v>490400</v>
      </c>
      <c r="C1171" s="1328" t="s">
        <v>150</v>
      </c>
      <c r="D1171" s="1329"/>
      <c r="E1171" s="1329"/>
      <c r="F1171" s="1329"/>
      <c r="G1171" s="1329"/>
      <c r="H1171" s="1330"/>
      <c r="I1171" s="1330"/>
    </row>
    <row r="1173" spans="1:12" s="1918" customFormat="1" ht="16.8">
      <c r="A1173" s="1318"/>
      <c r="B1173" s="3849" t="s">
        <v>6683</v>
      </c>
      <c r="C1173" s="3849"/>
      <c r="D1173" s="3849"/>
      <c r="E1173" s="3849"/>
      <c r="F1173" s="3849"/>
      <c r="G1173" s="3849"/>
      <c r="H1173" s="3849"/>
      <c r="I1173" s="3849"/>
      <c r="J1173" s="2901"/>
      <c r="K1173" s="2901"/>
      <c r="L1173" s="2901"/>
    </row>
    <row r="1174" spans="1:12" s="1918" customFormat="1" ht="16.8">
      <c r="A1174" s="1319"/>
      <c r="B1174" s="1320"/>
      <c r="C1174" s="1319" t="s">
        <v>140</v>
      </c>
      <c r="D1174" s="1319" t="s">
        <v>343</v>
      </c>
      <c r="E1174" s="1319" t="s">
        <v>344</v>
      </c>
      <c r="F1174" s="1319" t="s">
        <v>482</v>
      </c>
      <c r="G1174" s="1319" t="s">
        <v>483</v>
      </c>
      <c r="H1174" s="1319" t="s">
        <v>170</v>
      </c>
      <c r="I1174" s="1319" t="s">
        <v>171</v>
      </c>
      <c r="J1174" s="2901"/>
      <c r="K1174" s="2901"/>
      <c r="L1174" s="2901"/>
    </row>
    <row r="1175" spans="1:12" s="1918" customFormat="1" ht="16.8">
      <c r="A1175" s="1319" t="s">
        <v>345</v>
      </c>
      <c r="B1175" s="1320" t="s">
        <v>965</v>
      </c>
      <c r="C1175" s="346">
        <v>0.69</v>
      </c>
      <c r="D1175" s="1323" t="s">
        <v>346</v>
      </c>
      <c r="E1175" s="1324">
        <f>+OFICI</f>
        <v>80479.625344</v>
      </c>
      <c r="F1175" s="1324"/>
      <c r="G1175" s="1324"/>
      <c r="H1175" s="1324">
        <f>+E1175*C1175</f>
        <v>55530.941487359996</v>
      </c>
      <c r="I1175" s="1324"/>
      <c r="J1175" s="2901"/>
      <c r="K1175" s="2901"/>
      <c r="L1175" s="2901"/>
    </row>
    <row r="1176" spans="1:12" s="1918" customFormat="1" ht="16.8">
      <c r="A1176" s="1319" t="s">
        <v>348</v>
      </c>
      <c r="B1176" s="1320" t="s">
        <v>6579</v>
      </c>
      <c r="C1176" s="346">
        <v>0.69</v>
      </c>
      <c r="D1176" s="1323" t="s">
        <v>346</v>
      </c>
      <c r="E1176" s="1324">
        <f>+AYUDR</f>
        <v>50299.76584</v>
      </c>
      <c r="F1176" s="1324"/>
      <c r="G1176" s="1324"/>
      <c r="H1176" s="1324">
        <f>+E1176*C1176</f>
        <v>34706.8384296</v>
      </c>
      <c r="I1176" s="1324"/>
      <c r="J1176" s="2901"/>
      <c r="K1176" s="2901"/>
      <c r="L1176" s="2901"/>
    </row>
    <row r="1177" spans="1:12" s="1918" customFormat="1" ht="16.8">
      <c r="A1177" s="1319" t="s">
        <v>172</v>
      </c>
      <c r="B1177" s="1320" t="s">
        <v>189</v>
      </c>
      <c r="C1177" s="346">
        <v>1</v>
      </c>
      <c r="D1177" s="1323" t="s">
        <v>583</v>
      </c>
      <c r="E1177" s="1324">
        <f>+H1178*0.05</f>
        <v>4511.8889958479995</v>
      </c>
      <c r="F1177" s="1324"/>
      <c r="G1177" s="1324"/>
      <c r="H1177" s="1324"/>
      <c r="I1177" s="1324">
        <f>+E1177*C1177</f>
        <v>4511.8889958479995</v>
      </c>
      <c r="J1177" s="2901"/>
      <c r="K1177" s="2901"/>
      <c r="L1177" s="2901"/>
    </row>
    <row r="1178" spans="1:12" s="1918" customFormat="1" ht="16.8">
      <c r="A1178" s="1325" t="s">
        <v>190</v>
      </c>
      <c r="B1178" s="1326">
        <f>ROUND(SUM(F1178:I1178),0)</f>
        <v>94750</v>
      </c>
      <c r="C1178" s="1323"/>
      <c r="D1178" s="1327"/>
      <c r="E1178" s="1319"/>
      <c r="F1178" s="1324">
        <f>SUM(F1175:F1177)</f>
        <v>0</v>
      </c>
      <c r="G1178" s="1324">
        <f>SUM(G1175:G1176)</f>
        <v>0</v>
      </c>
      <c r="H1178" s="1324">
        <f>SUM(H1175:H1176)</f>
        <v>90237.779916959989</v>
      </c>
      <c r="I1178" s="1324">
        <f>SUM(I1175:I1177)</f>
        <v>4511.8889958479995</v>
      </c>
      <c r="J1178" s="2901"/>
      <c r="K1178" s="2901"/>
      <c r="L1178" s="2901"/>
    </row>
    <row r="1179" spans="1:12" ht="16.8">
      <c r="A1179" s="1325" t="s">
        <v>191</v>
      </c>
      <c r="B1179" s="1326">
        <f>+B1178</f>
        <v>94750</v>
      </c>
      <c r="C1179" s="1328" t="s">
        <v>150</v>
      </c>
      <c r="D1179" s="1329"/>
      <c r="E1179" s="1329">
        <f>+B1187*0.15</f>
        <v>95872.5</v>
      </c>
      <c r="F1179" s="1329"/>
      <c r="G1179" s="1329"/>
      <c r="H1179" s="1330"/>
      <c r="I1179" s="1330"/>
    </row>
    <row r="1180" spans="1:12" s="1918" customFormat="1" ht="15.75" customHeight="1">
      <c r="A1180" s="492"/>
      <c r="B1180" s="492"/>
      <c r="C1180" s="492"/>
      <c r="D1180" s="492"/>
      <c r="E1180" s="492"/>
      <c r="F1180" s="492"/>
      <c r="G1180" s="492"/>
      <c r="H1180" s="492"/>
      <c r="I1180" s="492"/>
      <c r="J1180" s="2901"/>
      <c r="K1180" s="2901">
        <f>0.05*1</f>
        <v>0.05</v>
      </c>
      <c r="L1180" s="2901"/>
    </row>
    <row r="1181" spans="1:12" s="1918" customFormat="1" ht="16.8">
      <c r="A1181" s="1318"/>
      <c r="B1181" s="3849" t="s">
        <v>6682</v>
      </c>
      <c r="C1181" s="3849"/>
      <c r="D1181" s="3849"/>
      <c r="E1181" s="3849"/>
      <c r="F1181" s="3849"/>
      <c r="G1181" s="3849"/>
      <c r="H1181" s="3849"/>
      <c r="I1181" s="3849"/>
      <c r="J1181" s="2901"/>
      <c r="K1181" s="2901"/>
      <c r="L1181" s="2901"/>
    </row>
    <row r="1182" spans="1:12" s="1918" customFormat="1" ht="15" customHeight="1">
      <c r="A1182" s="1319"/>
      <c r="B1182" s="1320"/>
      <c r="C1182" s="1319" t="s">
        <v>140</v>
      </c>
      <c r="D1182" s="1319" t="s">
        <v>343</v>
      </c>
      <c r="E1182" s="1319" t="s">
        <v>344</v>
      </c>
      <c r="F1182" s="1319" t="s">
        <v>482</v>
      </c>
      <c r="G1182" s="1319" t="s">
        <v>483</v>
      </c>
      <c r="H1182" s="1319" t="s">
        <v>170</v>
      </c>
      <c r="I1182" s="1319" t="s">
        <v>171</v>
      </c>
      <c r="J1182" s="2901"/>
      <c r="K1182" s="2901"/>
      <c r="L1182" s="2901"/>
    </row>
    <row r="1183" spans="1:12" s="1918" customFormat="1" ht="15" customHeight="1">
      <c r="A1183" s="1319"/>
      <c r="B1183" s="1335" t="s">
        <v>6680</v>
      </c>
      <c r="C1183" s="1922">
        <v>1</v>
      </c>
      <c r="D1183" s="1920" t="s">
        <v>133</v>
      </c>
      <c r="E1183" s="1324">
        <f>+'BASE 2'!D644</f>
        <v>624750</v>
      </c>
      <c r="F1183" s="1324"/>
      <c r="G1183" s="1324">
        <f>+E1183*C1183</f>
        <v>624750</v>
      </c>
      <c r="H1183" s="1324"/>
      <c r="I1183" s="1324"/>
      <c r="J1183" s="2901"/>
      <c r="K1183" s="2901"/>
      <c r="L1183" s="2901"/>
    </row>
    <row r="1184" spans="1:12" s="1918" customFormat="1" ht="16.8">
      <c r="A1184" s="1319"/>
      <c r="B1184" s="1335" t="s">
        <v>6455</v>
      </c>
      <c r="C1184" s="1922">
        <v>2</v>
      </c>
      <c r="D1184" s="1921" t="s">
        <v>133</v>
      </c>
      <c r="E1184" s="1324">
        <f>+'BASE 2'!D625</f>
        <v>91000</v>
      </c>
      <c r="F1184" s="1324"/>
      <c r="G1184" s="1324"/>
      <c r="H1184" s="1324"/>
      <c r="I1184" s="1324"/>
      <c r="J1184" s="2901"/>
      <c r="K1184" s="2901"/>
      <c r="L1184" s="2901"/>
    </row>
    <row r="1185" spans="1:12" s="1918" customFormat="1" ht="16.8">
      <c r="A1185" s="1319"/>
      <c r="B1185" s="1320" t="s">
        <v>4727</v>
      </c>
      <c r="C1185" s="1919">
        <v>1.2E-2</v>
      </c>
      <c r="D1185" s="1921" t="s">
        <v>583</v>
      </c>
      <c r="E1185" s="1324">
        <f>+VIAJE</f>
        <v>1200000</v>
      </c>
      <c r="F1185" s="1324"/>
      <c r="G1185" s="1324"/>
      <c r="H1185" s="1324"/>
      <c r="I1185" s="1324">
        <f>+E1185*C1185</f>
        <v>14400</v>
      </c>
      <c r="J1185" s="2901"/>
      <c r="K1185" s="2901"/>
      <c r="L1185" s="2901"/>
    </row>
    <row r="1186" spans="1:12" s="1918" customFormat="1" ht="16.8">
      <c r="A1186" s="1325" t="s">
        <v>190</v>
      </c>
      <c r="B1186" s="1326">
        <f>ROUND(SUM(F1186:I1186),0)</f>
        <v>639150</v>
      </c>
      <c r="C1186" s="1323"/>
      <c r="D1186" s="1327"/>
      <c r="E1186" s="1319"/>
      <c r="F1186" s="1324">
        <f>SUM(F1183:F1183)</f>
        <v>0</v>
      </c>
      <c r="G1186" s="1324">
        <f>SUM(G1183:G1185)</f>
        <v>624750</v>
      </c>
      <c r="H1186" s="1324">
        <f>SUM(H1183:H1183)</f>
        <v>0</v>
      </c>
      <c r="I1186" s="1324">
        <f>+I1185</f>
        <v>14400</v>
      </c>
      <c r="J1186" s="2901"/>
      <c r="K1186" s="2901"/>
      <c r="L1186" s="2901"/>
    </row>
    <row r="1187" spans="1:12" ht="16.8">
      <c r="A1187" s="1325" t="s">
        <v>191</v>
      </c>
      <c r="B1187" s="1326">
        <f>+B1186</f>
        <v>639150</v>
      </c>
      <c r="C1187" s="1328" t="s">
        <v>150</v>
      </c>
      <c r="D1187" s="1329"/>
      <c r="E1187" s="1329"/>
      <c r="F1187" s="1329"/>
      <c r="G1187" s="1329"/>
      <c r="H1187" s="1330"/>
      <c r="I1187" s="1330"/>
    </row>
    <row r="1189" spans="1:12" s="1918" customFormat="1" ht="16.8">
      <c r="A1189" s="1318"/>
      <c r="B1189" s="3849" t="s">
        <v>6689</v>
      </c>
      <c r="C1189" s="3849"/>
      <c r="D1189" s="3849"/>
      <c r="E1189" s="3849"/>
      <c r="F1189" s="3849"/>
      <c r="G1189" s="3849"/>
      <c r="H1189" s="3849"/>
      <c r="I1189" s="3849"/>
      <c r="J1189" s="2901"/>
      <c r="K1189" s="2901"/>
      <c r="L1189" s="2901"/>
    </row>
    <row r="1190" spans="1:12" s="1918" customFormat="1" ht="16.8">
      <c r="A1190" s="1319"/>
      <c r="B1190" s="1320"/>
      <c r="C1190" s="1319" t="s">
        <v>140</v>
      </c>
      <c r="D1190" s="1319" t="s">
        <v>343</v>
      </c>
      <c r="E1190" s="1319" t="s">
        <v>344</v>
      </c>
      <c r="F1190" s="1319" t="s">
        <v>482</v>
      </c>
      <c r="G1190" s="1319" t="s">
        <v>483</v>
      </c>
      <c r="H1190" s="1319" t="s">
        <v>170</v>
      </c>
      <c r="I1190" s="1319" t="s">
        <v>171</v>
      </c>
      <c r="J1190" s="2901"/>
      <c r="K1190" s="2901"/>
      <c r="L1190" s="2901"/>
    </row>
    <row r="1191" spans="1:12" s="1918" customFormat="1" ht="16.8">
      <c r="A1191" s="1319" t="s">
        <v>345</v>
      </c>
      <c r="B1191" s="1320" t="s">
        <v>6439</v>
      </c>
      <c r="C1191" s="1322">
        <v>0.57999999999999996</v>
      </c>
      <c r="D1191" s="1323" t="s">
        <v>346</v>
      </c>
      <c r="E1191" s="1324">
        <f>+OFICI</f>
        <v>80479.625344</v>
      </c>
      <c r="F1191" s="1324"/>
      <c r="G1191" s="1324"/>
      <c r="H1191" s="1324">
        <f>+E1191*C1191</f>
        <v>46678.182699519995</v>
      </c>
      <c r="I1191" s="1324"/>
      <c r="J1191" s="2901"/>
      <c r="K1191" s="2901"/>
      <c r="L1191" s="2901"/>
    </row>
    <row r="1192" spans="1:12" s="1918" customFormat="1" ht="16.8">
      <c r="A1192" s="1319" t="s">
        <v>348</v>
      </c>
      <c r="B1192" s="1320" t="s">
        <v>966</v>
      </c>
      <c r="C1192" s="1322">
        <v>0.57999999999999996</v>
      </c>
      <c r="D1192" s="1323" t="s">
        <v>346</v>
      </c>
      <c r="E1192" s="1324">
        <f>+AYUDR</f>
        <v>50299.76584</v>
      </c>
      <c r="F1192" s="1324"/>
      <c r="G1192" s="1324"/>
      <c r="H1192" s="1324">
        <f>+E1192*C1192</f>
        <v>29173.864187199997</v>
      </c>
      <c r="I1192" s="1324"/>
      <c r="J1192" s="2901"/>
      <c r="K1192" s="2901"/>
      <c r="L1192" s="2901"/>
    </row>
    <row r="1193" spans="1:12" s="1918" customFormat="1" ht="16.8">
      <c r="A1193" s="1319" t="s">
        <v>172</v>
      </c>
      <c r="B1193" s="1320" t="s">
        <v>189</v>
      </c>
      <c r="C1193" s="1322">
        <v>1</v>
      </c>
      <c r="D1193" s="1323" t="s">
        <v>583</v>
      </c>
      <c r="E1193" s="1324">
        <f>+H1194*0.05</f>
        <v>3792.602344336</v>
      </c>
      <c r="F1193" s="1324"/>
      <c r="G1193" s="1324"/>
      <c r="H1193" s="1324"/>
      <c r="I1193" s="1324">
        <f>+E1193*C1193</f>
        <v>3792.602344336</v>
      </c>
      <c r="J1193" s="2901"/>
      <c r="K1193" s="2901"/>
      <c r="L1193" s="2901"/>
    </row>
    <row r="1194" spans="1:12" s="1918" customFormat="1" ht="16.8">
      <c r="A1194" s="1325" t="s">
        <v>190</v>
      </c>
      <c r="B1194" s="1326">
        <f>ROUND(SUM(F1194:I1194),0)</f>
        <v>79645</v>
      </c>
      <c r="C1194" s="1323"/>
      <c r="D1194" s="1327"/>
      <c r="E1194" s="1319"/>
      <c r="F1194" s="1324">
        <f>SUM(F1191:F1193)</f>
        <v>0</v>
      </c>
      <c r="G1194" s="1324">
        <f>SUM(G1191:G1192)</f>
        <v>0</v>
      </c>
      <c r="H1194" s="1324">
        <f>SUM(H1191:H1192)</f>
        <v>75852.046886719996</v>
      </c>
      <c r="I1194" s="1324">
        <f>SUM(I1191:I1193)</f>
        <v>3792.602344336</v>
      </c>
      <c r="J1194" s="2901"/>
      <c r="K1194" s="2901"/>
      <c r="L1194" s="2901"/>
    </row>
    <row r="1195" spans="1:12" ht="16.8">
      <c r="A1195" s="1325" t="s">
        <v>191</v>
      </c>
      <c r="B1195" s="1326">
        <f>+B1194</f>
        <v>79645</v>
      </c>
      <c r="C1195" s="1328" t="s">
        <v>150</v>
      </c>
      <c r="D1195" s="1329"/>
      <c r="E1195" s="1329">
        <f>+B1203*0.15</f>
        <v>79888.5</v>
      </c>
      <c r="F1195" s="1329"/>
      <c r="G1195" s="1329"/>
      <c r="H1195" s="1330"/>
      <c r="I1195" s="1330"/>
    </row>
    <row r="1196" spans="1:12" s="1918" customFormat="1" ht="15.75" customHeight="1">
      <c r="A1196" s="492"/>
      <c r="B1196" s="492"/>
      <c r="C1196" s="492"/>
      <c r="D1196" s="492"/>
      <c r="E1196" s="492"/>
      <c r="F1196" s="492"/>
      <c r="G1196" s="492"/>
      <c r="H1196" s="492"/>
      <c r="I1196" s="492"/>
      <c r="J1196" s="2901"/>
      <c r="K1196" s="2901">
        <f>0.05*1</f>
        <v>0.05</v>
      </c>
      <c r="L1196" s="2901"/>
    </row>
    <row r="1197" spans="1:12" s="1918" customFormat="1" ht="16.8">
      <c r="A1197" s="1318"/>
      <c r="B1197" s="3849" t="s">
        <v>6688</v>
      </c>
      <c r="C1197" s="3849"/>
      <c r="D1197" s="3849"/>
      <c r="E1197" s="3849"/>
      <c r="F1197" s="3849"/>
      <c r="G1197" s="3849"/>
      <c r="H1197" s="3849"/>
      <c r="I1197" s="3849"/>
      <c r="J1197" s="2901"/>
      <c r="K1197" s="2901"/>
      <c r="L1197" s="2901"/>
    </row>
    <row r="1198" spans="1:12" s="1918" customFormat="1" ht="15" customHeight="1">
      <c r="A1198" s="1319"/>
      <c r="B1198" s="1320"/>
      <c r="C1198" s="1319" t="s">
        <v>140</v>
      </c>
      <c r="D1198" s="1319" t="s">
        <v>343</v>
      </c>
      <c r="E1198" s="1319" t="s">
        <v>344</v>
      </c>
      <c r="F1198" s="1319" t="s">
        <v>482</v>
      </c>
      <c r="G1198" s="1319" t="s">
        <v>483</v>
      </c>
      <c r="H1198" s="1319" t="s">
        <v>170</v>
      </c>
      <c r="I1198" s="1319" t="s">
        <v>171</v>
      </c>
      <c r="J1198" s="2901"/>
      <c r="K1198" s="2901"/>
      <c r="L1198" s="2901"/>
    </row>
    <row r="1199" spans="1:12" s="1918" customFormat="1" ht="15" customHeight="1">
      <c r="A1199" s="1319"/>
      <c r="B1199" s="1335" t="s">
        <v>6687</v>
      </c>
      <c r="C1199" s="1922">
        <v>1</v>
      </c>
      <c r="D1199" s="1920" t="s">
        <v>133</v>
      </c>
      <c r="E1199" s="1324">
        <f>+'BASE 2'!D648</f>
        <v>358190</v>
      </c>
      <c r="F1199" s="1324"/>
      <c r="G1199" s="1324">
        <f>+E1199*C1199</f>
        <v>358190</v>
      </c>
      <c r="H1199" s="1324"/>
      <c r="I1199" s="1324"/>
      <c r="J1199" s="2901"/>
      <c r="K1199" s="2901"/>
      <c r="L1199" s="2901"/>
    </row>
    <row r="1200" spans="1:12" s="1918" customFormat="1" ht="16.8">
      <c r="A1200" s="1319"/>
      <c r="B1200" s="1335" t="s">
        <v>6448</v>
      </c>
      <c r="C1200" s="1922">
        <v>2</v>
      </c>
      <c r="D1200" s="1920" t="s">
        <v>133</v>
      </c>
      <c r="E1200" s="1324">
        <f>+'BASE 2'!D626</f>
        <v>80000</v>
      </c>
      <c r="F1200" s="1324"/>
      <c r="G1200" s="1324">
        <f>+E1200*C1200</f>
        <v>160000</v>
      </c>
      <c r="H1200" s="1324"/>
      <c r="I1200" s="1324"/>
      <c r="J1200" s="2901"/>
      <c r="K1200" s="2901"/>
      <c r="L1200" s="2901"/>
    </row>
    <row r="1201" spans="1:12" s="1918" customFormat="1" ht="16.8">
      <c r="A1201" s="1319"/>
      <c r="B1201" s="1320" t="s">
        <v>4727</v>
      </c>
      <c r="C1201" s="1919">
        <v>1.2E-2</v>
      </c>
      <c r="D1201" s="1921" t="s">
        <v>583</v>
      </c>
      <c r="E1201" s="1324">
        <f>+VIAJE</f>
        <v>1200000</v>
      </c>
      <c r="F1201" s="1324"/>
      <c r="G1201" s="1324"/>
      <c r="H1201" s="1324"/>
      <c r="I1201" s="1324">
        <f>+E1201*C1201</f>
        <v>14400</v>
      </c>
      <c r="J1201" s="2901"/>
      <c r="K1201" s="2901"/>
      <c r="L1201" s="2901"/>
    </row>
    <row r="1202" spans="1:12" s="1918" customFormat="1" ht="16.8">
      <c r="A1202" s="1325" t="s">
        <v>190</v>
      </c>
      <c r="B1202" s="1326">
        <f>ROUND(SUM(F1202:I1202),0)</f>
        <v>532590</v>
      </c>
      <c r="C1202" s="1323"/>
      <c r="D1202" s="1327"/>
      <c r="E1202" s="1319"/>
      <c r="F1202" s="1324"/>
      <c r="G1202" s="1324">
        <f>SUM(G1199:G1201)</f>
        <v>518190</v>
      </c>
      <c r="H1202" s="1324">
        <f>SUM(H1199:H1199)</f>
        <v>0</v>
      </c>
      <c r="I1202" s="1324">
        <f>+I1201</f>
        <v>14400</v>
      </c>
      <c r="J1202" s="2901"/>
      <c r="K1202" s="2901"/>
      <c r="L1202" s="2901"/>
    </row>
    <row r="1203" spans="1:12" ht="16.8">
      <c r="A1203" s="1325" t="s">
        <v>191</v>
      </c>
      <c r="B1203" s="1326">
        <f>+B1202</f>
        <v>532590</v>
      </c>
      <c r="C1203" s="1328" t="s">
        <v>150</v>
      </c>
      <c r="D1203" s="1329"/>
      <c r="E1203" s="1329"/>
      <c r="F1203" s="1329"/>
      <c r="G1203" s="1329"/>
      <c r="H1203" s="1330"/>
      <c r="I1203" s="1330"/>
    </row>
    <row r="1205" spans="1:12" s="1918" customFormat="1" ht="16.8">
      <c r="A1205" s="1318"/>
      <c r="B1205" s="3849" t="s">
        <v>6691</v>
      </c>
      <c r="C1205" s="3849"/>
      <c r="D1205" s="3849"/>
      <c r="E1205" s="3849"/>
      <c r="F1205" s="3849"/>
      <c r="G1205" s="3849"/>
      <c r="H1205" s="3849"/>
      <c r="I1205" s="3849"/>
      <c r="J1205" s="2901"/>
      <c r="K1205" s="2901"/>
      <c r="L1205" s="2901"/>
    </row>
    <row r="1206" spans="1:12" s="1918" customFormat="1" ht="16.8">
      <c r="A1206" s="1319"/>
      <c r="B1206" s="1320"/>
      <c r="C1206" s="1319" t="s">
        <v>140</v>
      </c>
      <c r="D1206" s="1319" t="s">
        <v>343</v>
      </c>
      <c r="E1206" s="1319" t="s">
        <v>344</v>
      </c>
      <c r="F1206" s="1319" t="s">
        <v>482</v>
      </c>
      <c r="G1206" s="1319" t="s">
        <v>483</v>
      </c>
      <c r="H1206" s="1319" t="s">
        <v>170</v>
      </c>
      <c r="I1206" s="1319" t="s">
        <v>171</v>
      </c>
      <c r="J1206" s="2901"/>
      <c r="K1206" s="2901"/>
      <c r="L1206" s="2901"/>
    </row>
    <row r="1207" spans="1:12" s="1918" customFormat="1" ht="16.8">
      <c r="A1207" s="1319" t="s">
        <v>345</v>
      </c>
      <c r="B1207" s="1320" t="s">
        <v>6439</v>
      </c>
      <c r="C1207" s="1322">
        <v>0.45</v>
      </c>
      <c r="D1207" s="1323" t="s">
        <v>346</v>
      </c>
      <c r="E1207" s="1324">
        <f>+OFICI</f>
        <v>80479.625344</v>
      </c>
      <c r="F1207" s="1324"/>
      <c r="G1207" s="1324"/>
      <c r="H1207" s="1324">
        <f>+E1207*C1207</f>
        <v>36215.831404800003</v>
      </c>
      <c r="I1207" s="1324"/>
      <c r="J1207" s="2901"/>
      <c r="K1207" s="2901"/>
      <c r="L1207" s="2901"/>
    </row>
    <row r="1208" spans="1:12" s="1918" customFormat="1" ht="16.8">
      <c r="A1208" s="1319" t="s">
        <v>348</v>
      </c>
      <c r="B1208" s="1320" t="s">
        <v>6579</v>
      </c>
      <c r="C1208" s="1322">
        <v>0.45</v>
      </c>
      <c r="D1208" s="1323" t="s">
        <v>346</v>
      </c>
      <c r="E1208" s="1324">
        <f>+AYUDR</f>
        <v>50299.76584</v>
      </c>
      <c r="F1208" s="1324"/>
      <c r="G1208" s="1324"/>
      <c r="H1208" s="1324">
        <f>+E1208*C1208</f>
        <v>22634.894628000002</v>
      </c>
      <c r="I1208" s="1324"/>
      <c r="J1208" s="2901"/>
      <c r="K1208" s="2901"/>
      <c r="L1208" s="2901"/>
    </row>
    <row r="1209" spans="1:12" s="1918" customFormat="1" ht="16.8">
      <c r="A1209" s="1319" t="s">
        <v>172</v>
      </c>
      <c r="B1209" s="1320" t="s">
        <v>189</v>
      </c>
      <c r="C1209" s="1322">
        <v>1</v>
      </c>
      <c r="D1209" s="1323" t="s">
        <v>583</v>
      </c>
      <c r="E1209" s="1324">
        <f>+H1210*0.05</f>
        <v>2942.5363016400006</v>
      </c>
      <c r="F1209" s="1324"/>
      <c r="G1209" s="1324"/>
      <c r="H1209" s="1324"/>
      <c r="I1209" s="1324">
        <f>+E1209*C1209</f>
        <v>2942.5363016400006</v>
      </c>
      <c r="J1209" s="2901"/>
      <c r="K1209" s="2901"/>
      <c r="L1209" s="2901"/>
    </row>
    <row r="1210" spans="1:12" s="1918" customFormat="1" ht="16.8">
      <c r="A1210" s="1325" t="s">
        <v>190</v>
      </c>
      <c r="B1210" s="1326">
        <f>ROUND(SUM(F1210:I1210),0)</f>
        <v>61793</v>
      </c>
      <c r="C1210" s="1323"/>
      <c r="D1210" s="1327"/>
      <c r="E1210" s="1319"/>
      <c r="F1210" s="1324">
        <f>SUM(F1207:F1209)</f>
        <v>0</v>
      </c>
      <c r="G1210" s="1324">
        <f>SUM(G1207:G1208)</f>
        <v>0</v>
      </c>
      <c r="H1210" s="1324">
        <f>SUM(H1207:H1208)</f>
        <v>58850.726032800005</v>
      </c>
      <c r="I1210" s="1324">
        <f>SUM(I1207:I1209)</f>
        <v>2942.5363016400006</v>
      </c>
      <c r="J1210" s="2901"/>
      <c r="K1210" s="2901"/>
      <c r="L1210" s="2901"/>
    </row>
    <row r="1211" spans="1:12" ht="16.8">
      <c r="A1211" s="1325" t="s">
        <v>191</v>
      </c>
      <c r="B1211" s="1326">
        <f>+B1210</f>
        <v>61793</v>
      </c>
      <c r="C1211" s="1328" t="s">
        <v>150</v>
      </c>
      <c r="D1211" s="1329"/>
      <c r="E1211" s="1329">
        <f>+B1220*0.15</f>
        <v>62445</v>
      </c>
      <c r="F1211" s="1329"/>
      <c r="G1211" s="1329"/>
      <c r="H1211" s="1330"/>
      <c r="I1211" s="1330"/>
    </row>
    <row r="1212" spans="1:12" s="1918" customFormat="1" ht="15.75" customHeight="1">
      <c r="A1212" s="492"/>
      <c r="B1212" s="492"/>
      <c r="C1212" s="492"/>
      <c r="D1212" s="492"/>
      <c r="E1212" s="492"/>
      <c r="F1212" s="492"/>
      <c r="G1212" s="492"/>
      <c r="H1212" s="492"/>
      <c r="I1212" s="492"/>
      <c r="J1212" s="2901"/>
      <c r="K1212" s="2901">
        <f>0.05*1</f>
        <v>0.05</v>
      </c>
      <c r="L1212" s="2901"/>
    </row>
    <row r="1213" spans="1:12" s="1918" customFormat="1" ht="16.8">
      <c r="A1213" s="1318"/>
      <c r="B1213" s="3849" t="s">
        <v>6690</v>
      </c>
      <c r="C1213" s="3849"/>
      <c r="D1213" s="3849"/>
      <c r="E1213" s="3849"/>
      <c r="F1213" s="3849"/>
      <c r="G1213" s="3849"/>
      <c r="H1213" s="3849"/>
      <c r="I1213" s="3849"/>
      <c r="J1213" s="2901"/>
      <c r="K1213" s="2901"/>
      <c r="L1213" s="2901"/>
    </row>
    <row r="1214" spans="1:12" s="1918" customFormat="1" ht="16.8">
      <c r="A1214" s="1319"/>
      <c r="B1214" s="1320"/>
      <c r="C1214" s="1319" t="s">
        <v>140</v>
      </c>
      <c r="D1214" s="1319" t="s">
        <v>343</v>
      </c>
      <c r="E1214" s="1319" t="s">
        <v>344</v>
      </c>
      <c r="F1214" s="1319" t="s">
        <v>482</v>
      </c>
      <c r="G1214" s="1319" t="s">
        <v>483</v>
      </c>
      <c r="H1214" s="1319" t="s">
        <v>170</v>
      </c>
      <c r="I1214" s="1319" t="s">
        <v>171</v>
      </c>
      <c r="J1214" s="2901"/>
      <c r="K1214" s="2901"/>
      <c r="L1214" s="2901"/>
    </row>
    <row r="1215" spans="1:12" s="1918" customFormat="1" ht="16.8">
      <c r="A1215" s="1319"/>
      <c r="B1215" s="1335" t="s">
        <v>6692</v>
      </c>
      <c r="C1215" s="1922">
        <v>1</v>
      </c>
      <c r="D1215" s="1920" t="s">
        <v>133</v>
      </c>
      <c r="E1215" s="1324">
        <f>+'BASE 2'!D360</f>
        <v>249900</v>
      </c>
      <c r="F1215" s="1324"/>
      <c r="G1215" s="1324">
        <f>+E1215*C1215</f>
        <v>249900</v>
      </c>
      <c r="H1215" s="1324"/>
      <c r="I1215" s="1324"/>
      <c r="J1215" s="2901"/>
      <c r="K1215" s="2901"/>
      <c r="L1215" s="2901"/>
    </row>
    <row r="1216" spans="1:12" s="1918" customFormat="1" ht="16.8">
      <c r="A1216" s="1319"/>
      <c r="B1216" s="1335" t="s">
        <v>6451</v>
      </c>
      <c r="C1216" s="1922">
        <v>1</v>
      </c>
      <c r="D1216" s="1920" t="s">
        <v>133</v>
      </c>
      <c r="E1216" s="1324">
        <f>+'BASE 2'!D627</f>
        <v>72000</v>
      </c>
      <c r="F1216" s="1324"/>
      <c r="G1216" s="1324">
        <f t="shared" ref="G1216:G1217" si="48">+E1216*C1216</f>
        <v>72000</v>
      </c>
      <c r="H1216" s="1324"/>
      <c r="I1216" s="1324"/>
      <c r="J1216" s="2901"/>
      <c r="K1216" s="2901"/>
      <c r="L1216" s="2901"/>
    </row>
    <row r="1217" spans="1:12" s="1918" customFormat="1" ht="16.8">
      <c r="A1217" s="1319"/>
      <c r="B1217" s="1335" t="s">
        <v>6448</v>
      </c>
      <c r="C1217" s="1922">
        <v>1</v>
      </c>
      <c r="D1217" s="1920" t="s">
        <v>133</v>
      </c>
      <c r="E1217" s="1324">
        <f>+'BASE 2'!D626</f>
        <v>80000</v>
      </c>
      <c r="F1217" s="1324"/>
      <c r="G1217" s="1324">
        <f t="shared" si="48"/>
        <v>80000</v>
      </c>
      <c r="H1217" s="1324"/>
      <c r="I1217" s="1324"/>
      <c r="J1217" s="2901"/>
      <c r="K1217" s="2901"/>
      <c r="L1217" s="2901"/>
    </row>
    <row r="1218" spans="1:12" s="1918" customFormat="1" ht="16.8">
      <c r="A1218" s="1319"/>
      <c r="B1218" s="1320" t="s">
        <v>4727</v>
      </c>
      <c r="C1218" s="1919">
        <v>1.2E-2</v>
      </c>
      <c r="D1218" s="1921" t="s">
        <v>583</v>
      </c>
      <c r="E1218" s="1324">
        <f>+VIAJE</f>
        <v>1200000</v>
      </c>
      <c r="F1218" s="1324"/>
      <c r="G1218" s="1324"/>
      <c r="H1218" s="1324"/>
      <c r="I1218" s="2149">
        <f>+E1218*C1218</f>
        <v>14400</v>
      </c>
      <c r="J1218" s="2901"/>
      <c r="K1218" s="2901"/>
      <c r="L1218" s="2901"/>
    </row>
    <row r="1219" spans="1:12" s="1918" customFormat="1" ht="16.8">
      <c r="A1219" s="1325" t="s">
        <v>190</v>
      </c>
      <c r="B1219" s="1326">
        <f>ROUND(SUM(F1219:I1219),0)</f>
        <v>416300</v>
      </c>
      <c r="C1219" s="1323"/>
      <c r="D1219" s="1327"/>
      <c r="E1219" s="1319"/>
      <c r="F1219" s="1324"/>
      <c r="G1219" s="1324">
        <f>SUM(G1215:G1218)</f>
        <v>401900</v>
      </c>
      <c r="H1219" s="1324">
        <f>SUM(H1215:H1215)</f>
        <v>0</v>
      </c>
      <c r="I1219" s="1324">
        <f>+I1218</f>
        <v>14400</v>
      </c>
      <c r="J1219" s="2901"/>
      <c r="K1219" s="2901"/>
      <c r="L1219" s="2901"/>
    </row>
    <row r="1220" spans="1:12" ht="16.8">
      <c r="A1220" s="1325" t="s">
        <v>191</v>
      </c>
      <c r="B1220" s="1326">
        <f>+B1219</f>
        <v>416300</v>
      </c>
      <c r="C1220" s="1328" t="s">
        <v>150</v>
      </c>
      <c r="D1220" s="1329"/>
      <c r="E1220" s="1329"/>
      <c r="F1220" s="1329"/>
      <c r="G1220" s="1329"/>
      <c r="H1220" s="1330"/>
      <c r="I1220" s="1330"/>
    </row>
    <row r="1222" spans="1:12" s="1918" customFormat="1" ht="16.8">
      <c r="A1222" s="1318"/>
      <c r="B1222" s="3849" t="s">
        <v>7115</v>
      </c>
      <c r="C1222" s="3849"/>
      <c r="D1222" s="3849"/>
      <c r="E1222" s="3849"/>
      <c r="F1222" s="3849"/>
      <c r="G1222" s="3849"/>
      <c r="H1222" s="3849"/>
      <c r="I1222" s="3849"/>
      <c r="J1222" s="2901"/>
      <c r="K1222" s="2901"/>
      <c r="L1222" s="2901"/>
    </row>
    <row r="1223" spans="1:12" s="1918" customFormat="1" ht="16.8">
      <c r="A1223" s="1319"/>
      <c r="B1223" s="1320"/>
      <c r="C1223" s="1319" t="s">
        <v>140</v>
      </c>
      <c r="D1223" s="1319" t="s">
        <v>343</v>
      </c>
      <c r="E1223" s="1319" t="s">
        <v>344</v>
      </c>
      <c r="F1223" s="1319" t="s">
        <v>482</v>
      </c>
      <c r="G1223" s="1319" t="s">
        <v>483</v>
      </c>
      <c r="H1223" s="1319" t="s">
        <v>170</v>
      </c>
      <c r="I1223" s="1319" t="s">
        <v>171</v>
      </c>
      <c r="J1223" s="2901"/>
      <c r="K1223" s="2901"/>
      <c r="L1223" s="2901"/>
    </row>
    <row r="1224" spans="1:12" s="1918" customFormat="1" ht="16.8">
      <c r="A1224" s="1319" t="s">
        <v>345</v>
      </c>
      <c r="B1224" s="1320" t="s">
        <v>6439</v>
      </c>
      <c r="C1224" s="1322">
        <v>1.9</v>
      </c>
      <c r="D1224" s="1323" t="s">
        <v>346</v>
      </c>
      <c r="E1224" s="1324">
        <f>+OFICI</f>
        <v>80479.625344</v>
      </c>
      <c r="F1224" s="1324"/>
      <c r="G1224" s="1324"/>
      <c r="H1224" s="1324">
        <f>+E1224*C1224</f>
        <v>152911.28815360001</v>
      </c>
      <c r="I1224" s="1324"/>
      <c r="J1224" s="2901"/>
      <c r="K1224" s="2901"/>
      <c r="L1224" s="2901"/>
    </row>
    <row r="1225" spans="1:12" s="1918" customFormat="1" ht="16.8">
      <c r="A1225" s="1319" t="s">
        <v>348</v>
      </c>
      <c r="B1225" s="1320" t="s">
        <v>6579</v>
      </c>
      <c r="C1225" s="1322">
        <v>1.9</v>
      </c>
      <c r="D1225" s="1323" t="s">
        <v>346</v>
      </c>
      <c r="E1225" s="1324">
        <f>+AYUDR</f>
        <v>50299.76584</v>
      </c>
      <c r="F1225" s="1324"/>
      <c r="G1225" s="1324"/>
      <c r="H1225" s="1324">
        <f>+E1225*C1225</f>
        <v>95569.555095999996</v>
      </c>
      <c r="I1225" s="1324"/>
      <c r="J1225" s="2901"/>
      <c r="K1225" s="2901"/>
      <c r="L1225" s="2901"/>
    </row>
    <row r="1226" spans="1:12" s="1918" customFormat="1" ht="16.8">
      <c r="A1226" s="1319"/>
      <c r="B1226" s="1320" t="s">
        <v>6426</v>
      </c>
      <c r="C1226" s="1322">
        <v>1.9</v>
      </c>
      <c r="D1226" s="1323" t="s">
        <v>346</v>
      </c>
      <c r="E1226" s="1324">
        <f>+'BASE 2'!D736</f>
        <v>18500</v>
      </c>
      <c r="F1226" s="1324"/>
      <c r="G1226" s="1324"/>
      <c r="H1226" s="1324"/>
      <c r="I1226" s="1324"/>
      <c r="J1226" s="2901"/>
      <c r="K1226" s="2901"/>
      <c r="L1226" s="2901"/>
    </row>
    <row r="1227" spans="1:12" s="1918" customFormat="1" ht="16.8">
      <c r="A1227" s="1319" t="s">
        <v>172</v>
      </c>
      <c r="B1227" s="1320" t="s">
        <v>189</v>
      </c>
      <c r="C1227" s="1322">
        <v>1</v>
      </c>
      <c r="D1227" s="1323" t="s">
        <v>583</v>
      </c>
      <c r="E1227" s="1324">
        <f>+H1228*0.05</f>
        <v>12424.04216248</v>
      </c>
      <c r="F1227" s="1324"/>
      <c r="G1227" s="1324"/>
      <c r="H1227" s="1324"/>
      <c r="I1227" s="1324">
        <f>+E1227*C1227</f>
        <v>12424.04216248</v>
      </c>
      <c r="J1227" s="2901"/>
      <c r="K1227" s="2901"/>
      <c r="L1227" s="2901"/>
    </row>
    <row r="1228" spans="1:12" s="1918" customFormat="1" ht="16.8">
      <c r="A1228" s="1325" t="s">
        <v>190</v>
      </c>
      <c r="B1228" s="1326">
        <f>ROUND(SUM(F1228:I1228),0)</f>
        <v>260905</v>
      </c>
      <c r="C1228" s="1323"/>
      <c r="D1228" s="1327"/>
      <c r="E1228" s="1319"/>
      <c r="F1228" s="1324">
        <f>SUM(F1224:F1227)</f>
        <v>0</v>
      </c>
      <c r="G1228" s="1324">
        <f>SUM(G1224:G1225)</f>
        <v>0</v>
      </c>
      <c r="H1228" s="1324">
        <f>SUM(H1224:H1225)</f>
        <v>248480.8432496</v>
      </c>
      <c r="I1228" s="1324">
        <f>SUM(I1224:I1227)</f>
        <v>12424.04216248</v>
      </c>
      <c r="J1228" s="2901"/>
      <c r="K1228" s="2901"/>
      <c r="L1228" s="2901"/>
    </row>
    <row r="1229" spans="1:12" ht="16.8">
      <c r="A1229" s="1325" t="s">
        <v>191</v>
      </c>
      <c r="B1229" s="1326">
        <f>+B1228</f>
        <v>260905</v>
      </c>
      <c r="C1229" s="1328" t="s">
        <v>150</v>
      </c>
      <c r="D1229" s="1329"/>
      <c r="E1229" s="1329">
        <f>+B1237*0.15</f>
        <v>260923.19999999998</v>
      </c>
      <c r="F1229" s="1329"/>
      <c r="G1229" s="1329"/>
      <c r="H1229" s="1330"/>
      <c r="I1229" s="1330"/>
    </row>
    <row r="1230" spans="1:12" s="1918" customFormat="1" ht="15.75" customHeight="1">
      <c r="A1230" s="492"/>
      <c r="B1230" s="492"/>
      <c r="C1230" s="492"/>
      <c r="D1230" s="492"/>
      <c r="E1230" s="492"/>
      <c r="F1230" s="492"/>
      <c r="G1230" s="492"/>
      <c r="H1230" s="492"/>
      <c r="I1230" s="492"/>
      <c r="J1230" s="2901"/>
      <c r="K1230" s="2901">
        <f>0.05*1</f>
        <v>0.05</v>
      </c>
      <c r="L1230" s="2901"/>
    </row>
    <row r="1231" spans="1:12" s="1918" customFormat="1" ht="16.8">
      <c r="A1231" s="1318"/>
      <c r="B1231" s="3849" t="s">
        <v>7114</v>
      </c>
      <c r="C1231" s="3849"/>
      <c r="D1231" s="3849"/>
      <c r="E1231" s="3849"/>
      <c r="F1231" s="3849"/>
      <c r="G1231" s="3849"/>
      <c r="H1231" s="3849"/>
      <c r="I1231" s="3849"/>
      <c r="J1231" s="2901"/>
      <c r="K1231" s="2901"/>
      <c r="L1231" s="2901"/>
    </row>
    <row r="1232" spans="1:12" s="1918" customFormat="1" ht="16.8">
      <c r="A1232" s="1319"/>
      <c r="B1232" s="1320"/>
      <c r="C1232" s="1319" t="s">
        <v>140</v>
      </c>
      <c r="D1232" s="1319" t="s">
        <v>343</v>
      </c>
      <c r="E1232" s="1319" t="s">
        <v>344</v>
      </c>
      <c r="F1232" s="1319" t="s">
        <v>482</v>
      </c>
      <c r="G1232" s="1319" t="s">
        <v>483</v>
      </c>
      <c r="H1232" s="1319" t="s">
        <v>170</v>
      </c>
      <c r="I1232" s="1319" t="s">
        <v>171</v>
      </c>
      <c r="J1232" s="2901"/>
      <c r="K1232" s="2901"/>
      <c r="L1232" s="2901"/>
    </row>
    <row r="1233" spans="1:12" ht="16.8">
      <c r="A1233" s="1319"/>
      <c r="B1233" s="2752" t="s">
        <v>7094</v>
      </c>
      <c r="C1233" s="1922">
        <v>1</v>
      </c>
      <c r="D1233" s="1920" t="s">
        <v>133</v>
      </c>
      <c r="E1233" s="2149">
        <f>+'BASE 2'!D559</f>
        <v>1565088</v>
      </c>
      <c r="F1233" s="1324"/>
      <c r="G1233" s="1324">
        <f>+E1233*C1233</f>
        <v>1565088</v>
      </c>
      <c r="H1233" s="1324"/>
      <c r="I1233" s="1324"/>
    </row>
    <row r="1234" spans="1:12" s="1918" customFormat="1" ht="16.8">
      <c r="A1234" s="2"/>
      <c r="B1234" s="2752" t="s">
        <v>6448</v>
      </c>
      <c r="C1234" s="346">
        <v>2</v>
      </c>
      <c r="D1234" s="160" t="s">
        <v>363</v>
      </c>
      <c r="E1234" s="2693">
        <f>+'BASE 2'!D626</f>
        <v>80000</v>
      </c>
      <c r="F1234" s="2693"/>
      <c r="G1234" s="2693">
        <f>+E1234*C1234</f>
        <v>160000</v>
      </c>
      <c r="H1234" s="2693"/>
      <c r="I1234" s="2693"/>
      <c r="J1234" s="2901"/>
      <c r="K1234" s="2901"/>
      <c r="L1234" s="2901"/>
    </row>
    <row r="1235" spans="1:12" s="1918" customFormat="1" ht="16.8">
      <c r="A1235" s="1319"/>
      <c r="B1235" s="1320" t="s">
        <v>4727</v>
      </c>
      <c r="C1235" s="1919">
        <v>1.2E-2</v>
      </c>
      <c r="D1235" s="1921" t="s">
        <v>583</v>
      </c>
      <c r="E1235" s="1324">
        <f>+VIAJE</f>
        <v>1200000</v>
      </c>
      <c r="F1235" s="1324"/>
      <c r="G1235" s="1324"/>
      <c r="H1235" s="1324"/>
      <c r="I1235" s="1324">
        <f>+E1235*C1235</f>
        <v>14400</v>
      </c>
      <c r="J1235" s="2901"/>
      <c r="K1235" s="2901"/>
      <c r="L1235" s="2901"/>
    </row>
    <row r="1236" spans="1:12" s="1918" customFormat="1" ht="16.8">
      <c r="A1236" s="1325" t="s">
        <v>190</v>
      </c>
      <c r="B1236" s="1326">
        <f>ROUND(SUM(F1236:I1236),0)</f>
        <v>1739488</v>
      </c>
      <c r="C1236" s="1323"/>
      <c r="D1236" s="1327"/>
      <c r="E1236" s="1319"/>
      <c r="F1236" s="1324">
        <f>SUM(F1233:F1233)</f>
        <v>0</v>
      </c>
      <c r="G1236" s="1324">
        <f>SUM(G1233:G1235)</f>
        <v>1725088</v>
      </c>
      <c r="H1236" s="1324">
        <f>SUM(H1233:H1233)</f>
        <v>0</v>
      </c>
      <c r="I1236" s="1324">
        <f>+I1235</f>
        <v>14400</v>
      </c>
      <c r="J1236" s="2901"/>
      <c r="K1236" s="2901"/>
      <c r="L1236" s="2901"/>
    </row>
    <row r="1237" spans="1:12" ht="16.8">
      <c r="A1237" s="1325" t="s">
        <v>191</v>
      </c>
      <c r="B1237" s="1326">
        <f>+B1236</f>
        <v>1739488</v>
      </c>
      <c r="C1237" s="1328" t="s">
        <v>150</v>
      </c>
      <c r="D1237" s="1329"/>
      <c r="E1237" s="1329"/>
      <c r="F1237" s="1329"/>
      <c r="G1237" s="1329"/>
      <c r="H1237" s="1330"/>
      <c r="I1237" s="1330"/>
    </row>
    <row r="1239" spans="1:12" s="1918" customFormat="1" ht="16.8">
      <c r="A1239" s="1318"/>
      <c r="B1239" s="3849" t="s">
        <v>7117</v>
      </c>
      <c r="C1239" s="3849"/>
      <c r="D1239" s="3849"/>
      <c r="E1239" s="3849"/>
      <c r="F1239" s="3849"/>
      <c r="G1239" s="3849"/>
      <c r="H1239" s="3849"/>
      <c r="I1239" s="3849"/>
      <c r="J1239" s="2901"/>
      <c r="K1239" s="2901"/>
      <c r="L1239" s="2901"/>
    </row>
    <row r="1240" spans="1:12" s="1918" customFormat="1" ht="16.8">
      <c r="A1240" s="1319"/>
      <c r="B1240" s="1320"/>
      <c r="C1240" s="1319" t="s">
        <v>140</v>
      </c>
      <c r="D1240" s="1319" t="s">
        <v>343</v>
      </c>
      <c r="E1240" s="1319" t="s">
        <v>344</v>
      </c>
      <c r="F1240" s="1319" t="s">
        <v>482</v>
      </c>
      <c r="G1240" s="1319" t="s">
        <v>483</v>
      </c>
      <c r="H1240" s="1319" t="s">
        <v>170</v>
      </c>
      <c r="I1240" s="1319" t="s">
        <v>171</v>
      </c>
      <c r="J1240" s="2901"/>
      <c r="K1240" s="2901"/>
      <c r="L1240" s="2901"/>
    </row>
    <row r="1241" spans="1:12" s="1918" customFormat="1" ht="16.8">
      <c r="A1241" s="1319" t="s">
        <v>345</v>
      </c>
      <c r="B1241" s="1320" t="s">
        <v>6439</v>
      </c>
      <c r="C1241" s="1322">
        <v>1.6</v>
      </c>
      <c r="D1241" s="1323" t="s">
        <v>346</v>
      </c>
      <c r="E1241" s="1324">
        <f>+OFICI</f>
        <v>80479.625344</v>
      </c>
      <c r="F1241" s="1324"/>
      <c r="G1241" s="1324"/>
      <c r="H1241" s="1324">
        <f>+E1241*C1241</f>
        <v>128767.40055040001</v>
      </c>
      <c r="I1241" s="1324"/>
      <c r="J1241" s="2901"/>
      <c r="K1241" s="2901"/>
      <c r="L1241" s="2901"/>
    </row>
    <row r="1242" spans="1:12" s="1918" customFormat="1" ht="16.8">
      <c r="A1242" s="1319" t="s">
        <v>348</v>
      </c>
      <c r="B1242" s="1320" t="s">
        <v>6579</v>
      </c>
      <c r="C1242" s="1322">
        <v>1.6</v>
      </c>
      <c r="D1242" s="1323" t="s">
        <v>346</v>
      </c>
      <c r="E1242" s="1324">
        <f>+AYUDR</f>
        <v>50299.76584</v>
      </c>
      <c r="F1242" s="1324"/>
      <c r="G1242" s="1324"/>
      <c r="H1242" s="1324">
        <f>+E1242*C1242</f>
        <v>80479.625344</v>
      </c>
      <c r="I1242" s="1324"/>
      <c r="J1242" s="2901"/>
      <c r="K1242" s="2901"/>
      <c r="L1242" s="2901"/>
    </row>
    <row r="1243" spans="1:12" s="1918" customFormat="1" ht="16.8">
      <c r="A1243" s="1319" t="s">
        <v>172</v>
      </c>
      <c r="B1243" s="1320" t="s">
        <v>189</v>
      </c>
      <c r="C1243" s="1322">
        <v>1</v>
      </c>
      <c r="D1243" s="1323" t="s">
        <v>583</v>
      </c>
      <c r="E1243" s="1324">
        <f>+H1244*0.05</f>
        <v>10462.351294720002</v>
      </c>
      <c r="F1243" s="1324"/>
      <c r="G1243" s="1324"/>
      <c r="H1243" s="1324"/>
      <c r="I1243" s="1324">
        <f>+E1243*C1243</f>
        <v>10462.351294720002</v>
      </c>
      <c r="J1243" s="2901"/>
      <c r="K1243" s="2901"/>
      <c r="L1243" s="2901"/>
    </row>
    <row r="1244" spans="1:12" s="1918" customFormat="1" ht="16.8">
      <c r="A1244" s="1325" t="s">
        <v>190</v>
      </c>
      <c r="B1244" s="1326">
        <f>ROUND(SUM(F1244:I1244),0)</f>
        <v>219709</v>
      </c>
      <c r="C1244" s="1323"/>
      <c r="D1244" s="1327"/>
      <c r="E1244" s="1319"/>
      <c r="F1244" s="1324">
        <f>SUM(F1241:F1243)</f>
        <v>0</v>
      </c>
      <c r="G1244" s="1324">
        <f>SUM(G1241:G1242)</f>
        <v>0</v>
      </c>
      <c r="H1244" s="1324">
        <f>SUM(H1241:H1242)</f>
        <v>209247.02589440002</v>
      </c>
      <c r="I1244" s="1324">
        <f>SUM(I1241:I1243)</f>
        <v>10462.351294720002</v>
      </c>
      <c r="J1244" s="2901"/>
      <c r="K1244" s="2901"/>
      <c r="L1244" s="2901"/>
    </row>
    <row r="1245" spans="1:12" ht="16.8">
      <c r="A1245" s="1325" t="s">
        <v>191</v>
      </c>
      <c r="B1245" s="1326">
        <f>+B1244</f>
        <v>219709</v>
      </c>
      <c r="C1245" s="1328" t="s">
        <v>150</v>
      </c>
      <c r="D1245" s="1329"/>
      <c r="E1245" s="1329">
        <f>+B1253*0.15</f>
        <v>218247.44999999998</v>
      </c>
      <c r="F1245" s="1329"/>
      <c r="G1245" s="1329"/>
      <c r="H1245" s="1330"/>
      <c r="I1245" s="1330"/>
    </row>
    <row r="1246" spans="1:12" s="1918" customFormat="1" ht="15.75" customHeight="1">
      <c r="A1246" s="492"/>
      <c r="B1246" s="492"/>
      <c r="C1246" s="492"/>
      <c r="D1246" s="492"/>
      <c r="E1246" s="492"/>
      <c r="F1246" s="492"/>
      <c r="G1246" s="492"/>
      <c r="H1246" s="492"/>
      <c r="I1246" s="492"/>
      <c r="J1246" s="2901"/>
      <c r="K1246" s="2901">
        <f>0.05*1</f>
        <v>0.05</v>
      </c>
      <c r="L1246" s="2901"/>
    </row>
    <row r="1247" spans="1:12" s="1918" customFormat="1" ht="16.8">
      <c r="A1247" s="1318"/>
      <c r="B1247" s="3849" t="s">
        <v>4987</v>
      </c>
      <c r="C1247" s="3849"/>
      <c r="D1247" s="3849"/>
      <c r="E1247" s="3849"/>
      <c r="F1247" s="3849"/>
      <c r="G1247" s="3849"/>
      <c r="H1247" s="3849"/>
      <c r="I1247" s="3849"/>
      <c r="J1247" s="2901"/>
      <c r="K1247" s="2901"/>
      <c r="L1247" s="2901"/>
    </row>
    <row r="1248" spans="1:12" s="1918" customFormat="1" ht="31.5" customHeight="1">
      <c r="A1248" s="1319"/>
      <c r="B1248" s="1320"/>
      <c r="C1248" s="1319" t="s">
        <v>140</v>
      </c>
      <c r="D1248" s="1319" t="s">
        <v>343</v>
      </c>
      <c r="E1248" s="1319" t="s">
        <v>344</v>
      </c>
      <c r="F1248" s="1319" t="s">
        <v>482</v>
      </c>
      <c r="G1248" s="1319" t="s">
        <v>483</v>
      </c>
      <c r="H1248" s="1319" t="s">
        <v>170</v>
      </c>
      <c r="I1248" s="1319" t="s">
        <v>171</v>
      </c>
      <c r="J1248" s="2901"/>
      <c r="K1248" s="2901"/>
      <c r="L1248" s="2901"/>
    </row>
    <row r="1249" spans="1:12" s="1918" customFormat="1" ht="16.8">
      <c r="A1249" s="1319"/>
      <c r="B1249" s="1335" t="s">
        <v>7095</v>
      </c>
      <c r="C1249" s="1922">
        <v>1</v>
      </c>
      <c r="D1249" s="1920" t="s">
        <v>133</v>
      </c>
      <c r="E1249" s="1374">
        <f>+'BASE 2'!D553</f>
        <v>1280582.8</v>
      </c>
      <c r="F1249" s="1324"/>
      <c r="G1249" s="1324">
        <f>+E1249*C1249</f>
        <v>1280582.8</v>
      </c>
      <c r="H1249" s="1324"/>
      <c r="I1249" s="1324"/>
      <c r="J1249" s="2901"/>
      <c r="K1249" s="2901"/>
      <c r="L1249" s="2901"/>
    </row>
    <row r="1250" spans="1:12" s="1918" customFormat="1" ht="16.8">
      <c r="A1250" s="1319"/>
      <c r="B1250" s="1335" t="s">
        <v>6448</v>
      </c>
      <c r="C1250" s="1922">
        <v>2</v>
      </c>
      <c r="D1250" s="1920" t="s">
        <v>133</v>
      </c>
      <c r="E1250" s="1374">
        <f>+'BASE 2'!D626</f>
        <v>80000</v>
      </c>
      <c r="F1250" s="1324"/>
      <c r="G1250" s="1324">
        <f>+E1250*C1250</f>
        <v>160000</v>
      </c>
      <c r="H1250" s="1324"/>
      <c r="I1250" s="1324"/>
      <c r="J1250" s="2901"/>
      <c r="K1250" s="2901"/>
      <c r="L1250" s="2901"/>
    </row>
    <row r="1251" spans="1:12" s="1918" customFormat="1" ht="16.8">
      <c r="A1251" s="1319"/>
      <c r="B1251" s="1320" t="s">
        <v>4727</v>
      </c>
      <c r="C1251" s="1919">
        <v>1.2E-2</v>
      </c>
      <c r="D1251" s="1921" t="s">
        <v>583</v>
      </c>
      <c r="E1251" s="1324">
        <f>+VIAJE</f>
        <v>1200000</v>
      </c>
      <c r="F1251" s="1324"/>
      <c r="G1251" s="1324"/>
      <c r="H1251" s="1324"/>
      <c r="I1251" s="2149">
        <f>+E1251*C1251</f>
        <v>14400</v>
      </c>
      <c r="J1251" s="2901"/>
      <c r="K1251" s="2901"/>
      <c r="L1251" s="2901"/>
    </row>
    <row r="1252" spans="1:12" s="1918" customFormat="1" ht="16.8">
      <c r="A1252" s="1325" t="s">
        <v>190</v>
      </c>
      <c r="B1252" s="1326">
        <f>ROUND(SUM(F1252:I1252),0)</f>
        <v>1454983</v>
      </c>
      <c r="C1252" s="1323"/>
      <c r="D1252" s="1327"/>
      <c r="E1252" s="1319"/>
      <c r="F1252" s="1324">
        <f>SUM(F1249:F1249)</f>
        <v>0</v>
      </c>
      <c r="G1252" s="1324">
        <f>SUM(G1249:G1251)</f>
        <v>1440582.8</v>
      </c>
      <c r="H1252" s="1324">
        <f>SUM(H1249:H1249)</f>
        <v>0</v>
      </c>
      <c r="I1252" s="2149">
        <f>+I1251</f>
        <v>14400</v>
      </c>
      <c r="J1252" s="2901"/>
      <c r="K1252" s="2901"/>
      <c r="L1252" s="2901"/>
    </row>
    <row r="1253" spans="1:12" ht="16.8">
      <c r="A1253" s="1325" t="s">
        <v>191</v>
      </c>
      <c r="B1253" s="1326">
        <f>+B1252</f>
        <v>1454983</v>
      </c>
      <c r="C1253" s="1328" t="s">
        <v>150</v>
      </c>
      <c r="D1253" s="1329"/>
      <c r="E1253" s="1329"/>
      <c r="F1253" s="1329"/>
      <c r="G1253" s="1329"/>
      <c r="H1253" s="1330"/>
      <c r="I1253" s="1330"/>
    </row>
    <row r="1255" spans="1:12" s="1918" customFormat="1" ht="16.8">
      <c r="A1255" s="1318"/>
      <c r="B1255" s="3849" t="s">
        <v>7121</v>
      </c>
      <c r="C1255" s="3849"/>
      <c r="D1255" s="3849"/>
      <c r="E1255" s="3849"/>
      <c r="F1255" s="3849"/>
      <c r="G1255" s="3849"/>
      <c r="H1255" s="3849"/>
      <c r="I1255" s="3849"/>
      <c r="J1255" s="2901"/>
      <c r="K1255" s="2901"/>
      <c r="L1255" s="2901"/>
    </row>
    <row r="1256" spans="1:12" s="1918" customFormat="1" ht="16.8">
      <c r="A1256" s="1319"/>
      <c r="B1256" s="1320"/>
      <c r="C1256" s="1319" t="s">
        <v>140</v>
      </c>
      <c r="D1256" s="1319" t="s">
        <v>343</v>
      </c>
      <c r="E1256" s="1319" t="s">
        <v>344</v>
      </c>
      <c r="F1256" s="1319" t="s">
        <v>482</v>
      </c>
      <c r="G1256" s="1319" t="s">
        <v>483</v>
      </c>
      <c r="H1256" s="1319" t="s">
        <v>170</v>
      </c>
      <c r="I1256" s="1319" t="s">
        <v>171</v>
      </c>
      <c r="J1256" s="2901"/>
      <c r="K1256" s="2901"/>
      <c r="L1256" s="2901"/>
    </row>
    <row r="1257" spans="1:12" s="1918" customFormat="1" ht="16.8">
      <c r="A1257" s="1319" t="s">
        <v>345</v>
      </c>
      <c r="B1257" s="1320" t="s">
        <v>6439</v>
      </c>
      <c r="C1257" s="1322">
        <v>2.0299999999999998</v>
      </c>
      <c r="D1257" s="1323" t="s">
        <v>346</v>
      </c>
      <c r="E1257" s="1324">
        <f>+OFICI</f>
        <v>80479.625344</v>
      </c>
      <c r="F1257" s="1324"/>
      <c r="G1257" s="1324"/>
      <c r="H1257" s="1324">
        <f>+E1257*C1257</f>
        <v>163373.63944832</v>
      </c>
      <c r="I1257" s="1324"/>
      <c r="J1257" s="2901"/>
      <c r="K1257" s="2901"/>
      <c r="L1257" s="2901"/>
    </row>
    <row r="1258" spans="1:12" s="1918" customFormat="1" ht="16.8">
      <c r="A1258" s="1319" t="s">
        <v>348</v>
      </c>
      <c r="B1258" s="1320" t="s">
        <v>6579</v>
      </c>
      <c r="C1258" s="1322">
        <v>2.0299999999999998</v>
      </c>
      <c r="D1258" s="1323" t="s">
        <v>346</v>
      </c>
      <c r="E1258" s="1324">
        <f>+AYUDR</f>
        <v>50299.76584</v>
      </c>
      <c r="F1258" s="1324"/>
      <c r="G1258" s="1324"/>
      <c r="H1258" s="1324">
        <f>+E1258*C1258</f>
        <v>102108.52465519999</v>
      </c>
      <c r="I1258" s="1324"/>
      <c r="J1258" s="2901"/>
      <c r="K1258" s="2901"/>
      <c r="L1258" s="2901"/>
    </row>
    <row r="1259" spans="1:12" s="1918" customFormat="1" ht="16.8">
      <c r="A1259" s="1319" t="s">
        <v>172</v>
      </c>
      <c r="B1259" s="1320" t="s">
        <v>189</v>
      </c>
      <c r="C1259" s="1322">
        <v>1</v>
      </c>
      <c r="D1259" s="1323" t="s">
        <v>583</v>
      </c>
      <c r="E1259" s="1324">
        <f>+H1260*0.05</f>
        <v>13274.108205176</v>
      </c>
      <c r="F1259" s="1324"/>
      <c r="G1259" s="1324"/>
      <c r="H1259" s="1324"/>
      <c r="I1259" s="1324">
        <f>+E1259*C1259</f>
        <v>13274.108205176</v>
      </c>
      <c r="J1259" s="2901"/>
      <c r="K1259" s="2901"/>
      <c r="L1259" s="2901"/>
    </row>
    <row r="1260" spans="1:12" s="1918" customFormat="1" ht="16.8">
      <c r="A1260" s="1325" t="s">
        <v>190</v>
      </c>
      <c r="B1260" s="1326">
        <f>ROUND(SUM(F1260:I1260),0)</f>
        <v>278756</v>
      </c>
      <c r="C1260" s="1323"/>
      <c r="D1260" s="1327"/>
      <c r="E1260" s="1319"/>
      <c r="F1260" s="1324">
        <f>SUM(F1257:F1259)</f>
        <v>0</v>
      </c>
      <c r="G1260" s="1324">
        <f>SUM(G1257:G1258)</f>
        <v>0</v>
      </c>
      <c r="H1260" s="1324">
        <f>SUM(H1257:H1258)</f>
        <v>265482.16410351999</v>
      </c>
      <c r="I1260" s="1324">
        <f>SUM(I1257:I1259)</f>
        <v>13274.108205176</v>
      </c>
      <c r="J1260" s="2901"/>
      <c r="K1260" s="2901"/>
      <c r="L1260" s="2901"/>
    </row>
    <row r="1261" spans="1:12" ht="16.8">
      <c r="A1261" s="1325" t="s">
        <v>191</v>
      </c>
      <c r="B1261" s="1326">
        <f>+B1260</f>
        <v>278756</v>
      </c>
      <c r="C1261" s="1328" t="s">
        <v>150</v>
      </c>
      <c r="D1261" s="1329"/>
      <c r="E1261" s="1329">
        <f>+B1269*0.15</f>
        <v>278380.5</v>
      </c>
      <c r="F1261" s="1329"/>
      <c r="G1261" s="1329"/>
      <c r="H1261" s="1330"/>
      <c r="I1261" s="1330"/>
    </row>
    <row r="1262" spans="1:12" s="1918" customFormat="1" ht="15.75" customHeight="1">
      <c r="A1262" s="492"/>
      <c r="B1262" s="492"/>
      <c r="C1262" s="492"/>
      <c r="D1262" s="492"/>
      <c r="E1262" s="492"/>
      <c r="F1262" s="492"/>
      <c r="G1262" s="492"/>
      <c r="H1262" s="492"/>
      <c r="I1262" s="492"/>
      <c r="J1262" s="2901"/>
      <c r="K1262" s="2901">
        <f>0.05*1</f>
        <v>0.05</v>
      </c>
      <c r="L1262" s="2901"/>
    </row>
    <row r="1263" spans="1:12" s="1918" customFormat="1" ht="16.8">
      <c r="A1263" s="1318"/>
      <c r="B1263" s="3849" t="s">
        <v>7120</v>
      </c>
      <c r="C1263" s="3849"/>
      <c r="D1263" s="3849"/>
      <c r="E1263" s="3849"/>
      <c r="F1263" s="3849"/>
      <c r="G1263" s="3849"/>
      <c r="H1263" s="3849"/>
      <c r="I1263" s="3849"/>
      <c r="J1263" s="2901"/>
      <c r="K1263" s="2901"/>
      <c r="L1263" s="2901"/>
    </row>
    <row r="1264" spans="1:12" s="1918" customFormat="1" ht="16.8">
      <c r="A1264" s="1319"/>
      <c r="B1264" s="1320"/>
      <c r="C1264" s="1319" t="s">
        <v>140</v>
      </c>
      <c r="D1264" s="1319" t="s">
        <v>343</v>
      </c>
      <c r="E1264" s="1319" t="s">
        <v>344</v>
      </c>
      <c r="F1264" s="1319" t="s">
        <v>482</v>
      </c>
      <c r="G1264" s="1319" t="s">
        <v>483</v>
      </c>
      <c r="H1264" s="1319" t="s">
        <v>170</v>
      </c>
      <c r="I1264" s="1319" t="s">
        <v>171</v>
      </c>
      <c r="J1264" s="2901"/>
      <c r="K1264" s="2901"/>
      <c r="L1264" s="2901"/>
    </row>
    <row r="1265" spans="1:12" s="2753" customFormat="1" ht="16.8">
      <c r="A1265" s="1319"/>
      <c r="B1265" s="1335" t="s">
        <v>7119</v>
      </c>
      <c r="C1265" s="1922">
        <v>1</v>
      </c>
      <c r="D1265" s="1920" t="s">
        <v>133</v>
      </c>
      <c r="E1265" s="2149">
        <f>+'BASE 2'!D493</f>
        <v>1681470</v>
      </c>
      <c r="F1265" s="1324"/>
      <c r="G1265" s="2149">
        <f>+E1265*C1265</f>
        <v>1681470</v>
      </c>
      <c r="H1265" s="1324"/>
      <c r="I1265" s="1324"/>
      <c r="J1265" s="2911"/>
      <c r="K1265" s="2911"/>
      <c r="L1265" s="2911"/>
    </row>
    <row r="1266" spans="1:12" s="1918" customFormat="1" ht="16.8">
      <c r="A1266" s="1336"/>
      <c r="B1266" s="2148" t="s">
        <v>6448</v>
      </c>
      <c r="C1266" s="1922">
        <v>2</v>
      </c>
      <c r="D1266" s="1921" t="s">
        <v>133</v>
      </c>
      <c r="E1266" s="1374">
        <f>+'BASE 2'!D626</f>
        <v>80000</v>
      </c>
      <c r="F1266" s="1374"/>
      <c r="G1266" s="1374">
        <f>+E1266*C1266</f>
        <v>160000</v>
      </c>
      <c r="H1266" s="1374"/>
      <c r="I1266" s="1374"/>
      <c r="J1266" s="2901"/>
      <c r="K1266" s="2901"/>
      <c r="L1266" s="2901"/>
    </row>
    <row r="1267" spans="1:12" s="1918" customFormat="1" ht="16.8">
      <c r="A1267" s="1319"/>
      <c r="B1267" s="1320" t="s">
        <v>4727</v>
      </c>
      <c r="C1267" s="1919">
        <v>1.2E-2</v>
      </c>
      <c r="D1267" s="1921" t="s">
        <v>583</v>
      </c>
      <c r="E1267" s="2149">
        <f>+VIAJE</f>
        <v>1200000</v>
      </c>
      <c r="F1267" s="1324"/>
      <c r="G1267" s="2149"/>
      <c r="H1267" s="1324"/>
      <c r="I1267" s="2149">
        <f>+E1267*C1267</f>
        <v>14400</v>
      </c>
      <c r="J1267" s="2901"/>
      <c r="K1267" s="2901"/>
      <c r="L1267" s="2901"/>
    </row>
    <row r="1268" spans="1:12" s="1918" customFormat="1" ht="16.8">
      <c r="A1268" s="1325" t="s">
        <v>190</v>
      </c>
      <c r="B1268" s="1326">
        <f>ROUND(SUM(F1268:I1268),0)</f>
        <v>1855870</v>
      </c>
      <c r="C1268" s="1323"/>
      <c r="D1268" s="1327"/>
      <c r="E1268" s="1319"/>
      <c r="F1268" s="1324">
        <f>SUM(F1265:F1265)</f>
        <v>0</v>
      </c>
      <c r="G1268" s="2149">
        <f>SUM(G1265:G1267)</f>
        <v>1841470</v>
      </c>
      <c r="H1268" s="1324">
        <f>SUM(H1265:H1265)</f>
        <v>0</v>
      </c>
      <c r="I1268" s="2149">
        <f>+I1267</f>
        <v>14400</v>
      </c>
      <c r="J1268" s="2901"/>
      <c r="K1268" s="2901"/>
      <c r="L1268" s="2901"/>
    </row>
    <row r="1269" spans="1:12" ht="16.8">
      <c r="A1269" s="1325" t="s">
        <v>191</v>
      </c>
      <c r="B1269" s="1326">
        <f>+B1268</f>
        <v>1855870</v>
      </c>
      <c r="C1269" s="1328" t="s">
        <v>150</v>
      </c>
      <c r="D1269" s="1329"/>
      <c r="E1269" s="1329"/>
      <c r="F1269" s="1329"/>
      <c r="G1269" s="1329"/>
      <c r="H1269" s="1330"/>
      <c r="I1269" s="2184"/>
    </row>
    <row r="1271" spans="1:12" s="1918" customFormat="1" ht="16.8">
      <c r="A1271" s="1318"/>
      <c r="B1271" s="3849" t="s">
        <v>6698</v>
      </c>
      <c r="C1271" s="3849"/>
      <c r="D1271" s="3849"/>
      <c r="E1271" s="3849"/>
      <c r="F1271" s="3849"/>
      <c r="G1271" s="3849"/>
      <c r="H1271" s="3849"/>
      <c r="I1271" s="3849"/>
      <c r="J1271" s="2901"/>
      <c r="K1271" s="2901"/>
      <c r="L1271" s="2901"/>
    </row>
    <row r="1272" spans="1:12" s="1918" customFormat="1" ht="16.8">
      <c r="A1272" s="1319"/>
      <c r="B1272" s="1320"/>
      <c r="C1272" s="1319" t="s">
        <v>140</v>
      </c>
      <c r="D1272" s="1319" t="s">
        <v>343</v>
      </c>
      <c r="E1272" s="1319" t="s">
        <v>344</v>
      </c>
      <c r="F1272" s="1319" t="s">
        <v>482</v>
      </c>
      <c r="G1272" s="1319" t="s">
        <v>483</v>
      </c>
      <c r="H1272" s="1319" t="s">
        <v>170</v>
      </c>
      <c r="I1272" s="1319" t="s">
        <v>171</v>
      </c>
      <c r="J1272" s="2901"/>
      <c r="K1272" s="2901"/>
      <c r="L1272" s="2901"/>
    </row>
    <row r="1273" spans="1:12" s="1918" customFormat="1" ht="16.8">
      <c r="A1273" s="1319" t="s">
        <v>345</v>
      </c>
      <c r="B1273" s="1320" t="s">
        <v>6439</v>
      </c>
      <c r="C1273" s="1322">
        <v>1.1499999999999999</v>
      </c>
      <c r="D1273" s="1323" t="s">
        <v>346</v>
      </c>
      <c r="E1273" s="1324">
        <f>+OFICI</f>
        <v>80479.625344</v>
      </c>
      <c r="F1273" s="1324"/>
      <c r="G1273" s="1324"/>
      <c r="H1273" s="1324">
        <f>+E1273*C1273</f>
        <v>92551.569145599991</v>
      </c>
      <c r="I1273" s="1324"/>
      <c r="J1273" s="2901"/>
      <c r="K1273" s="2901"/>
      <c r="L1273" s="2901"/>
    </row>
    <row r="1274" spans="1:12" s="1918" customFormat="1" ht="16.8">
      <c r="A1274" s="1319" t="s">
        <v>348</v>
      </c>
      <c r="B1274" s="1320" t="s">
        <v>966</v>
      </c>
      <c r="C1274" s="1322">
        <v>1.1499999999999999</v>
      </c>
      <c r="D1274" s="1323" t="s">
        <v>346</v>
      </c>
      <c r="E1274" s="1324">
        <f>+AYUDR</f>
        <v>50299.76584</v>
      </c>
      <c r="F1274" s="1324"/>
      <c r="G1274" s="1324"/>
      <c r="H1274" s="1324">
        <f>+E1274*C1274</f>
        <v>57844.730715999998</v>
      </c>
      <c r="I1274" s="1324"/>
      <c r="J1274" s="2901"/>
      <c r="K1274" s="2901"/>
      <c r="L1274" s="2901"/>
    </row>
    <row r="1275" spans="1:12" s="1918" customFormat="1" ht="16.8">
      <c r="A1275" s="1319" t="s">
        <v>172</v>
      </c>
      <c r="B1275" s="1320" t="s">
        <v>189</v>
      </c>
      <c r="C1275" s="1322">
        <v>1</v>
      </c>
      <c r="D1275" s="1323" t="s">
        <v>583</v>
      </c>
      <c r="E1275" s="1324">
        <f>+H1276*0.05</f>
        <v>7519.8149930799991</v>
      </c>
      <c r="F1275" s="1324"/>
      <c r="G1275" s="1324"/>
      <c r="H1275" s="1324"/>
      <c r="I1275" s="1324">
        <f>+E1275*C1275</f>
        <v>7519.8149930799991</v>
      </c>
      <c r="J1275" s="2901"/>
      <c r="K1275" s="2901"/>
      <c r="L1275" s="2901"/>
    </row>
    <row r="1276" spans="1:12" s="1918" customFormat="1" ht="16.8">
      <c r="A1276" s="1325" t="s">
        <v>190</v>
      </c>
      <c r="B1276" s="1326">
        <f>ROUND(SUM(F1276:I1276),0)</f>
        <v>157916</v>
      </c>
      <c r="C1276" s="1323"/>
      <c r="D1276" s="1327"/>
      <c r="E1276" s="1319"/>
      <c r="F1276" s="1324">
        <f>SUM(F1273:F1275)</f>
        <v>0</v>
      </c>
      <c r="G1276" s="1324">
        <f>SUM(G1273:G1274)</f>
        <v>0</v>
      </c>
      <c r="H1276" s="1324">
        <f>SUM(H1273:H1274)</f>
        <v>150396.29986159998</v>
      </c>
      <c r="I1276" s="1324">
        <f>SUM(I1273:I1275)</f>
        <v>7519.8149930799991</v>
      </c>
      <c r="J1276" s="2901"/>
      <c r="K1276" s="2901"/>
      <c r="L1276" s="2901"/>
    </row>
    <row r="1277" spans="1:12" s="1918" customFormat="1" ht="16.8">
      <c r="A1277" s="1325" t="s">
        <v>191</v>
      </c>
      <c r="B1277" s="1326">
        <f>+B1276</f>
        <v>157916</v>
      </c>
      <c r="C1277" s="1328" t="s">
        <v>150</v>
      </c>
      <c r="D1277" s="1329"/>
      <c r="E1277" s="1329">
        <f>+B1285*0.15</f>
        <v>159588.75</v>
      </c>
      <c r="F1277" s="1329"/>
      <c r="G1277" s="1329"/>
      <c r="H1277" s="1330"/>
      <c r="I1277" s="1330"/>
      <c r="J1277" s="2901"/>
      <c r="K1277" s="2901"/>
      <c r="L1277" s="2901"/>
    </row>
    <row r="1278" spans="1:12" s="1918" customFormat="1" ht="15.75" customHeight="1">
      <c r="A1278" s="1332"/>
      <c r="B1278" s="1333"/>
      <c r="C1278" s="1334"/>
      <c r="D1278" s="1329"/>
      <c r="E1278" s="1329"/>
      <c r="F1278" s="1329"/>
      <c r="G1278" s="1329"/>
      <c r="H1278" s="1330"/>
      <c r="I1278" s="1330"/>
      <c r="J1278" s="2901"/>
      <c r="K1278" s="2901">
        <f>0.05*1</f>
        <v>0.05</v>
      </c>
      <c r="L1278" s="2901"/>
    </row>
    <row r="1279" spans="1:12" s="1918" customFormat="1" ht="16.8">
      <c r="A1279" s="1318"/>
      <c r="B1279" s="3849" t="s">
        <v>6697</v>
      </c>
      <c r="C1279" s="3849"/>
      <c r="D1279" s="3849"/>
      <c r="E1279" s="3849"/>
      <c r="F1279" s="3849"/>
      <c r="G1279" s="3849"/>
      <c r="H1279" s="3849"/>
      <c r="I1279" s="3849"/>
      <c r="J1279" s="2901"/>
      <c r="K1279" s="2901"/>
      <c r="L1279" s="2901"/>
    </row>
    <row r="1280" spans="1:12" s="2753" customFormat="1" ht="35.25" customHeight="1">
      <c r="A1280" s="1319"/>
      <c r="B1280" s="1320"/>
      <c r="C1280" s="1319" t="s">
        <v>140</v>
      </c>
      <c r="D1280" s="1319" t="s">
        <v>343</v>
      </c>
      <c r="E1280" s="1319" t="s">
        <v>344</v>
      </c>
      <c r="F1280" s="1319" t="s">
        <v>482</v>
      </c>
      <c r="G1280" s="1319" t="s">
        <v>483</v>
      </c>
      <c r="H1280" s="1319" t="s">
        <v>170</v>
      </c>
      <c r="I1280" s="1319" t="s">
        <v>171</v>
      </c>
      <c r="J1280" s="2911"/>
      <c r="K1280" s="2911"/>
      <c r="L1280" s="2911"/>
    </row>
    <row r="1281" spans="1:12" s="2753" customFormat="1" ht="33.6">
      <c r="A1281" s="1336"/>
      <c r="B1281" s="2148" t="s">
        <v>6695</v>
      </c>
      <c r="C1281" s="1922">
        <v>1</v>
      </c>
      <c r="D1281" s="1920" t="s">
        <v>133</v>
      </c>
      <c r="E1281" s="1374">
        <f>+'BASE 2'!D491</f>
        <v>889525</v>
      </c>
      <c r="F1281" s="1374"/>
      <c r="G1281" s="1374">
        <f>+E1281*C1281</f>
        <v>889525</v>
      </c>
      <c r="H1281" s="1374"/>
      <c r="I1281" s="1374"/>
      <c r="J1281" s="2911"/>
      <c r="K1281" s="2911"/>
      <c r="L1281" s="2911"/>
    </row>
    <row r="1282" spans="1:12" s="1918" customFormat="1" ht="16.8">
      <c r="A1282" s="1336"/>
      <c r="B1282" s="2148" t="s">
        <v>6448</v>
      </c>
      <c r="C1282" s="1922">
        <v>2</v>
      </c>
      <c r="D1282" s="1921" t="s">
        <v>133</v>
      </c>
      <c r="E1282" s="1374">
        <f>+'BASE 2'!D626</f>
        <v>80000</v>
      </c>
      <c r="F1282" s="1374"/>
      <c r="G1282" s="1374">
        <f>+E1282*C1282</f>
        <v>160000</v>
      </c>
      <c r="H1282" s="1374"/>
      <c r="I1282" s="1374"/>
      <c r="J1282" s="2901"/>
      <c r="K1282" s="2901"/>
      <c r="L1282" s="2901"/>
    </row>
    <row r="1283" spans="1:12" s="1918" customFormat="1" ht="16.8">
      <c r="A1283" s="1319"/>
      <c r="B1283" s="1320" t="s">
        <v>4727</v>
      </c>
      <c r="C1283" s="1919">
        <v>1.2E-2</v>
      </c>
      <c r="D1283" s="1921" t="s">
        <v>583</v>
      </c>
      <c r="E1283" s="1324">
        <f>+VIAJE</f>
        <v>1200000</v>
      </c>
      <c r="F1283" s="1324"/>
      <c r="G1283" s="1324"/>
      <c r="H1283" s="1324"/>
      <c r="I1283" s="1324">
        <f>+E1283*C1283</f>
        <v>14400</v>
      </c>
      <c r="J1283" s="2901"/>
      <c r="K1283" s="2901"/>
      <c r="L1283" s="2901"/>
    </row>
    <row r="1284" spans="1:12" s="1918" customFormat="1" ht="16.8">
      <c r="A1284" s="1325" t="s">
        <v>190</v>
      </c>
      <c r="B1284" s="1326">
        <f>ROUND(SUM(F1284:I1284),0)</f>
        <v>1063925</v>
      </c>
      <c r="C1284" s="1323"/>
      <c r="D1284" s="1327"/>
      <c r="E1284" s="1319"/>
      <c r="F1284" s="1324">
        <f>SUM(F1281:F1281)</f>
        <v>0</v>
      </c>
      <c r="G1284" s="1324">
        <f>SUM(G1281:G1283)</f>
        <v>1049525</v>
      </c>
      <c r="H1284" s="1324">
        <f>SUM(H1281:H1281)</f>
        <v>0</v>
      </c>
      <c r="I1284" s="1324">
        <f>+I1283</f>
        <v>14400</v>
      </c>
      <c r="J1284" s="2901"/>
      <c r="K1284" s="2901"/>
      <c r="L1284" s="2901"/>
    </row>
    <row r="1285" spans="1:12" ht="16.8">
      <c r="A1285" s="1325" t="s">
        <v>191</v>
      </c>
      <c r="B1285" s="1326">
        <f>+B1284</f>
        <v>1063925</v>
      </c>
      <c r="C1285" s="1328" t="s">
        <v>150</v>
      </c>
      <c r="D1285" s="1329"/>
      <c r="E1285" s="1329"/>
      <c r="F1285" s="1329"/>
      <c r="G1285" s="1329"/>
      <c r="H1285" s="1330"/>
      <c r="I1285" s="1330"/>
    </row>
    <row r="1287" spans="1:12" s="1918" customFormat="1" ht="16.8">
      <c r="A1287" s="1318"/>
      <c r="B1287" s="3849" t="s">
        <v>6703</v>
      </c>
      <c r="C1287" s="3849"/>
      <c r="D1287" s="3849"/>
      <c r="E1287" s="3849"/>
      <c r="F1287" s="3849"/>
      <c r="G1287" s="3849"/>
      <c r="H1287" s="3849"/>
      <c r="I1287" s="3849"/>
      <c r="J1287" s="2901"/>
      <c r="K1287" s="2901"/>
      <c r="L1287" s="2901"/>
    </row>
    <row r="1288" spans="1:12" s="1918" customFormat="1" ht="16.8">
      <c r="A1288" s="1319"/>
      <c r="B1288" s="1320"/>
      <c r="C1288" s="1319" t="s">
        <v>140</v>
      </c>
      <c r="D1288" s="1319" t="s">
        <v>343</v>
      </c>
      <c r="E1288" s="1319" t="s">
        <v>344</v>
      </c>
      <c r="F1288" s="1319" t="s">
        <v>482</v>
      </c>
      <c r="G1288" s="1319" t="s">
        <v>483</v>
      </c>
      <c r="H1288" s="1319" t="s">
        <v>170</v>
      </c>
      <c r="I1288" s="1319" t="s">
        <v>171</v>
      </c>
      <c r="J1288" s="2901"/>
      <c r="K1288" s="2901"/>
      <c r="L1288" s="2901"/>
    </row>
    <row r="1289" spans="1:12" s="1918" customFormat="1" ht="16.8">
      <c r="A1289" s="1319" t="s">
        <v>345</v>
      </c>
      <c r="B1289" s="1320" t="s">
        <v>6439</v>
      </c>
      <c r="C1289" s="1322">
        <v>0.7</v>
      </c>
      <c r="D1289" s="1323" t="s">
        <v>346</v>
      </c>
      <c r="E1289" s="1324">
        <f>+OFICI</f>
        <v>80479.625344</v>
      </c>
      <c r="F1289" s="1324"/>
      <c r="G1289" s="1324"/>
      <c r="H1289" s="1324">
        <f>+E1289*C1289</f>
        <v>56335.737740799996</v>
      </c>
      <c r="I1289" s="1324"/>
      <c r="J1289" s="2901"/>
      <c r="K1289" s="2901"/>
      <c r="L1289" s="2901"/>
    </row>
    <row r="1290" spans="1:12" s="1918" customFormat="1" ht="16.8">
      <c r="A1290" s="1319" t="s">
        <v>348</v>
      </c>
      <c r="B1290" s="1320" t="s">
        <v>6579</v>
      </c>
      <c r="C1290" s="1322">
        <v>0.7</v>
      </c>
      <c r="D1290" s="1323" t="s">
        <v>346</v>
      </c>
      <c r="E1290" s="1324">
        <f>+AYUDR</f>
        <v>50299.76584</v>
      </c>
      <c r="F1290" s="1324"/>
      <c r="G1290" s="1324"/>
      <c r="H1290" s="1324">
        <f>+E1290*C1290</f>
        <v>35209.836087999996</v>
      </c>
      <c r="I1290" s="1324"/>
      <c r="J1290" s="2901"/>
      <c r="K1290" s="2901"/>
      <c r="L1290" s="2901"/>
    </row>
    <row r="1291" spans="1:12" s="1918" customFormat="1" ht="16.8">
      <c r="A1291" s="1319" t="s">
        <v>172</v>
      </c>
      <c r="B1291" s="1320" t="s">
        <v>189</v>
      </c>
      <c r="C1291" s="1322">
        <v>1</v>
      </c>
      <c r="D1291" s="1323" t="s">
        <v>583</v>
      </c>
      <c r="E1291" s="1324">
        <f>+H1292*0.05</f>
        <v>4577.2786914400003</v>
      </c>
      <c r="F1291" s="1324"/>
      <c r="G1291" s="1324"/>
      <c r="H1291" s="1324"/>
      <c r="I1291" s="1324">
        <f>+E1291*C1291</f>
        <v>4577.2786914400003</v>
      </c>
      <c r="J1291" s="2901"/>
      <c r="K1291" s="2901"/>
      <c r="L1291" s="2901"/>
    </row>
    <row r="1292" spans="1:12" s="1918" customFormat="1" ht="16.8">
      <c r="A1292" s="1325" t="s">
        <v>190</v>
      </c>
      <c r="B1292" s="1326">
        <f>ROUND(SUM(F1292:I1292),0)</f>
        <v>96123</v>
      </c>
      <c r="C1292" s="1323"/>
      <c r="D1292" s="1327"/>
      <c r="E1292" s="1319"/>
      <c r="F1292" s="1324">
        <f>SUM(F1289:F1291)</f>
        <v>0</v>
      </c>
      <c r="G1292" s="1324">
        <f>SUM(G1289:G1290)</f>
        <v>0</v>
      </c>
      <c r="H1292" s="1324">
        <f>SUM(H1289:H1290)</f>
        <v>91545.573828799999</v>
      </c>
      <c r="I1292" s="1324">
        <f>SUM(I1289:I1291)</f>
        <v>4577.2786914400003</v>
      </c>
      <c r="J1292" s="2901"/>
      <c r="K1292" s="2901"/>
      <c r="L1292" s="2901"/>
    </row>
    <row r="1293" spans="1:12" ht="16.8">
      <c r="A1293" s="1325" t="s">
        <v>191</v>
      </c>
      <c r="B1293" s="1326">
        <f>+B1292</f>
        <v>96123</v>
      </c>
      <c r="C1293" s="1328" t="s">
        <v>150</v>
      </c>
      <c r="D1293" s="1329"/>
      <c r="E1293" s="1329">
        <f>+B1302*0.15</f>
        <v>95907.75</v>
      </c>
      <c r="F1293" s="1329"/>
      <c r="G1293" s="1329"/>
      <c r="H1293" s="1330"/>
      <c r="I1293" s="1330"/>
    </row>
    <row r="1294" spans="1:12" s="1918" customFormat="1" ht="15.75" customHeight="1">
      <c r="A1294" s="492"/>
      <c r="B1294" s="492"/>
      <c r="C1294" s="492"/>
      <c r="D1294" s="492"/>
      <c r="E1294" s="492"/>
      <c r="F1294" s="492"/>
      <c r="G1294" s="492"/>
      <c r="H1294" s="492"/>
      <c r="I1294" s="492"/>
      <c r="J1294" s="2901"/>
      <c r="K1294" s="2901">
        <f>0.05*1</f>
        <v>0.05</v>
      </c>
      <c r="L1294" s="2901"/>
    </row>
    <row r="1295" spans="1:12" s="1918" customFormat="1" ht="16.8">
      <c r="A1295" s="1318"/>
      <c r="B1295" s="3849" t="s">
        <v>6702</v>
      </c>
      <c r="C1295" s="3849"/>
      <c r="D1295" s="3849"/>
      <c r="E1295" s="3849"/>
      <c r="F1295" s="3849"/>
      <c r="G1295" s="3849"/>
      <c r="H1295" s="3849"/>
      <c r="I1295" s="3849"/>
      <c r="J1295" s="2901"/>
      <c r="K1295" s="2901"/>
      <c r="L1295" s="2901"/>
    </row>
    <row r="1296" spans="1:12" s="1918" customFormat="1" ht="16.8">
      <c r="A1296" s="1319"/>
      <c r="B1296" s="1320"/>
      <c r="C1296" s="1319" t="s">
        <v>140</v>
      </c>
      <c r="D1296" s="1319" t="s">
        <v>343</v>
      </c>
      <c r="E1296" s="1319" t="s">
        <v>344</v>
      </c>
      <c r="F1296" s="1319" t="s">
        <v>482</v>
      </c>
      <c r="G1296" s="1319" t="s">
        <v>483</v>
      </c>
      <c r="H1296" s="1319" t="s">
        <v>170</v>
      </c>
      <c r="I1296" s="1319" t="s">
        <v>171</v>
      </c>
      <c r="J1296" s="2901"/>
      <c r="K1296" s="2901"/>
      <c r="L1296" s="2901"/>
    </row>
    <row r="1297" spans="1:13" s="1918" customFormat="1" ht="16.8">
      <c r="A1297" s="1319"/>
      <c r="B1297" s="2148" t="s">
        <v>6701</v>
      </c>
      <c r="C1297" s="1922">
        <v>1</v>
      </c>
      <c r="D1297" s="1920" t="s">
        <v>133</v>
      </c>
      <c r="E1297" s="1324">
        <f>+'BASE 2'!D481</f>
        <v>453985</v>
      </c>
      <c r="F1297" s="1324"/>
      <c r="G1297" s="1324">
        <f>+E1297*C1297</f>
        <v>453985</v>
      </c>
      <c r="H1297" s="1324"/>
      <c r="I1297" s="1324"/>
      <c r="J1297" s="2901"/>
      <c r="K1297" s="2901"/>
      <c r="L1297" s="2901"/>
      <c r="M1297" s="3" t="s">
        <v>6455</v>
      </c>
    </row>
    <row r="1298" spans="1:13" s="1918" customFormat="1" ht="16.8">
      <c r="A1298" s="1319"/>
      <c r="B1298" s="2148" t="s">
        <v>6455</v>
      </c>
      <c r="C1298" s="1922">
        <v>1</v>
      </c>
      <c r="D1298" s="1921" t="s">
        <v>133</v>
      </c>
      <c r="E1298" s="1324">
        <f>+'BASE 2'!D625</f>
        <v>91000</v>
      </c>
      <c r="F1298" s="1324"/>
      <c r="G1298" s="1324">
        <f t="shared" ref="G1298:G1299" si="49">+E1298*C1298</f>
        <v>91000</v>
      </c>
      <c r="H1298" s="1324"/>
      <c r="I1298" s="1324"/>
      <c r="J1298" s="2901"/>
      <c r="K1298" s="2901"/>
      <c r="L1298" s="2901"/>
      <c r="M1298" s="3"/>
    </row>
    <row r="1299" spans="1:13" s="1918" customFormat="1" ht="16.8">
      <c r="A1299" s="1319"/>
      <c r="B1299" s="2148" t="s">
        <v>6448</v>
      </c>
      <c r="C1299" s="1922">
        <v>1</v>
      </c>
      <c r="D1299" s="1921" t="s">
        <v>133</v>
      </c>
      <c r="E1299" s="1324">
        <f>+'BASE 2'!D626</f>
        <v>80000</v>
      </c>
      <c r="F1299" s="1324"/>
      <c r="G1299" s="1324">
        <f t="shared" si="49"/>
        <v>80000</v>
      </c>
      <c r="H1299" s="1324"/>
      <c r="I1299" s="1324"/>
      <c r="J1299" s="2901"/>
      <c r="K1299" s="2901"/>
      <c r="L1299" s="2901"/>
      <c r="M1299" s="3" t="s">
        <v>6448</v>
      </c>
    </row>
    <row r="1300" spans="1:13" s="1918" customFormat="1" ht="16.8">
      <c r="A1300" s="1319"/>
      <c r="B1300" s="1320" t="s">
        <v>4727</v>
      </c>
      <c r="C1300" s="1919">
        <v>1.2E-2</v>
      </c>
      <c r="D1300" s="1921" t="s">
        <v>583</v>
      </c>
      <c r="E1300" s="1324">
        <f>+VIAJE</f>
        <v>1200000</v>
      </c>
      <c r="F1300" s="1324"/>
      <c r="G1300" s="1324"/>
      <c r="H1300" s="1324"/>
      <c r="I1300" s="1324">
        <f>+E1300*C1300</f>
        <v>14400</v>
      </c>
      <c r="J1300" s="2901"/>
      <c r="K1300" s="2901"/>
      <c r="L1300" s="2901"/>
    </row>
    <row r="1301" spans="1:13" s="1918" customFormat="1" ht="16.8">
      <c r="A1301" s="1325" t="s">
        <v>190</v>
      </c>
      <c r="B1301" s="1326">
        <f>ROUND(SUM(F1301:I1301),0)</f>
        <v>639385</v>
      </c>
      <c r="C1301" s="1323"/>
      <c r="D1301" s="1327"/>
      <c r="E1301" s="1319"/>
      <c r="F1301" s="1324">
        <f>SUM(F1297:F1297)</f>
        <v>0</v>
      </c>
      <c r="G1301" s="1324">
        <f>SUM(G1297:G1300)</f>
        <v>624985</v>
      </c>
      <c r="H1301" s="1324">
        <f>SUM(H1297:H1297)</f>
        <v>0</v>
      </c>
      <c r="I1301" s="1324">
        <f>+I1300</f>
        <v>14400</v>
      </c>
      <c r="J1301" s="2901"/>
      <c r="K1301" s="2901"/>
      <c r="L1301" s="2901"/>
    </row>
    <row r="1302" spans="1:13" ht="16.8">
      <c r="A1302" s="1325" t="s">
        <v>191</v>
      </c>
      <c r="B1302" s="1326">
        <f>+B1301</f>
        <v>639385</v>
      </c>
      <c r="C1302" s="1328" t="s">
        <v>150</v>
      </c>
      <c r="D1302" s="1329"/>
      <c r="E1302" s="1329"/>
      <c r="F1302" s="1329"/>
      <c r="G1302" s="1329"/>
      <c r="H1302" s="1330"/>
      <c r="I1302" s="1330"/>
    </row>
    <row r="1304" spans="1:13" s="1918" customFormat="1" ht="16.8">
      <c r="A1304" s="1318"/>
      <c r="B1304" s="3849" t="s">
        <v>7126</v>
      </c>
      <c r="C1304" s="3849"/>
      <c r="D1304" s="3849"/>
      <c r="E1304" s="3849"/>
      <c r="F1304" s="3849"/>
      <c r="G1304" s="3849"/>
      <c r="H1304" s="3849"/>
      <c r="I1304" s="3849"/>
      <c r="J1304" s="2901"/>
      <c r="K1304" s="2901"/>
      <c r="L1304" s="2901"/>
    </row>
    <row r="1305" spans="1:13" s="1918" customFormat="1" ht="16.8">
      <c r="A1305" s="1319"/>
      <c r="B1305" s="1320"/>
      <c r="C1305" s="1319" t="s">
        <v>140</v>
      </c>
      <c r="D1305" s="1319" t="s">
        <v>343</v>
      </c>
      <c r="E1305" s="1319" t="s">
        <v>344</v>
      </c>
      <c r="F1305" s="1319" t="s">
        <v>482</v>
      </c>
      <c r="G1305" s="1319" t="s">
        <v>483</v>
      </c>
      <c r="H1305" s="1319" t="s">
        <v>170</v>
      </c>
      <c r="I1305" s="1319" t="s">
        <v>171</v>
      </c>
      <c r="J1305" s="2901"/>
      <c r="K1305" s="2901"/>
      <c r="L1305" s="2901"/>
    </row>
    <row r="1306" spans="1:13" s="1918" customFormat="1" ht="16.8">
      <c r="A1306" s="1319" t="s">
        <v>345</v>
      </c>
      <c r="B1306" s="1320" t="s">
        <v>965</v>
      </c>
      <c r="C1306" s="1322">
        <v>1.55</v>
      </c>
      <c r="D1306" s="1323" t="s">
        <v>346</v>
      </c>
      <c r="E1306" s="1324">
        <f>+OFICI</f>
        <v>80479.625344</v>
      </c>
      <c r="F1306" s="1324"/>
      <c r="G1306" s="1324"/>
      <c r="H1306" s="1324">
        <f>+E1306*C1306</f>
        <v>124743.4192832</v>
      </c>
      <c r="I1306" s="1324"/>
      <c r="J1306" s="2901"/>
      <c r="K1306" s="2901"/>
      <c r="L1306" s="2901"/>
    </row>
    <row r="1307" spans="1:13" s="1918" customFormat="1" ht="16.8">
      <c r="A1307" s="1319" t="s">
        <v>348</v>
      </c>
      <c r="B1307" s="1320" t="s">
        <v>6579</v>
      </c>
      <c r="C1307" s="1322">
        <v>1.55</v>
      </c>
      <c r="D1307" s="1323" t="s">
        <v>346</v>
      </c>
      <c r="E1307" s="1324">
        <f>+AYUDR</f>
        <v>50299.76584</v>
      </c>
      <c r="F1307" s="1324"/>
      <c r="G1307" s="1324"/>
      <c r="H1307" s="1324">
        <f>+E1307*C1307</f>
        <v>77964.637052000005</v>
      </c>
      <c r="I1307" s="1324"/>
      <c r="J1307" s="2901"/>
      <c r="K1307" s="2901"/>
      <c r="L1307" s="2901"/>
    </row>
    <row r="1308" spans="1:13" s="1918" customFormat="1" ht="16.8">
      <c r="A1308" s="1319" t="s">
        <v>172</v>
      </c>
      <c r="B1308" s="1320" t="s">
        <v>189</v>
      </c>
      <c r="C1308" s="1322">
        <v>1</v>
      </c>
      <c r="D1308" s="1323" t="s">
        <v>583</v>
      </c>
      <c r="E1308" s="1324">
        <f>+H1309*0.05</f>
        <v>10135.402816760001</v>
      </c>
      <c r="F1308" s="1324"/>
      <c r="G1308" s="1324"/>
      <c r="H1308" s="1324"/>
      <c r="I1308" s="1324">
        <f>+E1308*C1308</f>
        <v>10135.402816760001</v>
      </c>
      <c r="J1308" s="2901"/>
      <c r="K1308" s="2901"/>
      <c r="L1308" s="2901"/>
    </row>
    <row r="1309" spans="1:13" s="1918" customFormat="1" ht="16.8">
      <c r="A1309" s="1325" t="s">
        <v>190</v>
      </c>
      <c r="B1309" s="1326">
        <f>ROUND(SUM(F1309:I1309),0)</f>
        <v>212843</v>
      </c>
      <c r="C1309" s="1323"/>
      <c r="D1309" s="1327"/>
      <c r="E1309" s="1319"/>
      <c r="F1309" s="1324">
        <f>SUM(F1306:F1308)</f>
        <v>0</v>
      </c>
      <c r="G1309" s="1324">
        <f>SUM(G1306:G1307)</f>
        <v>0</v>
      </c>
      <c r="H1309" s="1324">
        <f>SUM(H1306:H1307)</f>
        <v>202708.0563352</v>
      </c>
      <c r="I1309" s="1324">
        <f>SUM(I1306:I1308)</f>
        <v>10135.402816760001</v>
      </c>
      <c r="J1309" s="2901"/>
      <c r="K1309" s="2901"/>
      <c r="L1309" s="2901"/>
    </row>
    <row r="1310" spans="1:13" ht="16.8">
      <c r="A1310" s="1325" t="s">
        <v>191</v>
      </c>
      <c r="B1310" s="1326">
        <f>+B1309</f>
        <v>212843</v>
      </c>
      <c r="C1310" s="1328" t="s">
        <v>150</v>
      </c>
      <c r="D1310" s="1329"/>
      <c r="E1310" s="1329">
        <f>+B1318*0.15</f>
        <v>213136.5</v>
      </c>
      <c r="F1310" s="1329"/>
      <c r="G1310" s="1329"/>
      <c r="H1310" s="1330"/>
      <c r="I1310" s="1330"/>
    </row>
    <row r="1311" spans="1:13" s="1918" customFormat="1" ht="15.75" customHeight="1">
      <c r="A1311" s="492"/>
      <c r="B1311" s="492"/>
      <c r="C1311" s="492"/>
      <c r="D1311" s="492"/>
      <c r="E1311" s="492"/>
      <c r="F1311" s="492"/>
      <c r="G1311" s="492"/>
      <c r="H1311" s="492"/>
      <c r="I1311" s="492"/>
      <c r="J1311" s="2901"/>
      <c r="K1311" s="2901">
        <f>0.05*1</f>
        <v>0.05</v>
      </c>
      <c r="L1311" s="2901"/>
    </row>
    <row r="1312" spans="1:13" s="1918" customFormat="1" ht="16.8">
      <c r="A1312" s="1318"/>
      <c r="B1312" s="3849" t="s">
        <v>7125</v>
      </c>
      <c r="C1312" s="3849"/>
      <c r="D1312" s="3849"/>
      <c r="E1312" s="3849"/>
      <c r="F1312" s="3849"/>
      <c r="G1312" s="3849"/>
      <c r="H1312" s="3849"/>
      <c r="I1312" s="3849"/>
      <c r="J1312" s="2901"/>
      <c r="K1312" s="2901"/>
      <c r="L1312" s="2901"/>
    </row>
    <row r="1313" spans="1:12" s="1918" customFormat="1" ht="16.8">
      <c r="A1313" s="1319"/>
      <c r="B1313" s="1320"/>
      <c r="C1313" s="1319" t="s">
        <v>140</v>
      </c>
      <c r="D1313" s="1319" t="s">
        <v>343</v>
      </c>
      <c r="E1313" s="1319" t="s">
        <v>344</v>
      </c>
      <c r="F1313" s="1319" t="s">
        <v>482</v>
      </c>
      <c r="G1313" s="1319" t="s">
        <v>483</v>
      </c>
      <c r="H1313" s="1319" t="s">
        <v>170</v>
      </c>
      <c r="I1313" s="1319" t="s">
        <v>171</v>
      </c>
      <c r="J1313" s="2901"/>
      <c r="K1313" s="2901"/>
      <c r="L1313" s="2901"/>
    </row>
    <row r="1314" spans="1:12" s="1918" customFormat="1" ht="16.8">
      <c r="A1314" s="1319"/>
      <c r="B1314" s="1320" t="s">
        <v>7123</v>
      </c>
      <c r="C1314" s="1922">
        <v>1</v>
      </c>
      <c r="D1314" s="1920" t="s">
        <v>133</v>
      </c>
      <c r="E1314" s="2149">
        <f>+'BASE 2'!D564</f>
        <v>1224510</v>
      </c>
      <c r="F1314" s="1324"/>
      <c r="G1314" s="2149">
        <f>+E1314*C1314</f>
        <v>1224510</v>
      </c>
      <c r="H1314" s="2149"/>
      <c r="I1314" s="2149"/>
      <c r="J1314" s="2901"/>
      <c r="K1314" s="2901"/>
      <c r="L1314" s="2901"/>
    </row>
    <row r="1315" spans="1:12" s="1918" customFormat="1" ht="16.8">
      <c r="A1315" s="1319"/>
      <c r="B1315" s="1335" t="s">
        <v>6455</v>
      </c>
      <c r="C1315" s="1922">
        <v>2</v>
      </c>
      <c r="D1315" s="1920" t="s">
        <v>133</v>
      </c>
      <c r="E1315" s="2183">
        <f>+'BASE 2'!D625</f>
        <v>91000</v>
      </c>
      <c r="F1315" s="1324"/>
      <c r="G1315" s="2149">
        <f>+E1315*C1315</f>
        <v>182000</v>
      </c>
      <c r="H1315" s="2149"/>
      <c r="I1315" s="2149"/>
      <c r="J1315" s="2901"/>
      <c r="K1315" s="2901"/>
      <c r="L1315" s="2901"/>
    </row>
    <row r="1316" spans="1:12" s="1918" customFormat="1" ht="16.8">
      <c r="A1316" s="1319"/>
      <c r="B1316" s="1320" t="s">
        <v>4727</v>
      </c>
      <c r="C1316" s="1919">
        <v>1.2E-2</v>
      </c>
      <c r="D1316" s="1921" t="s">
        <v>583</v>
      </c>
      <c r="E1316" s="2149">
        <f>+VIAJE</f>
        <v>1200000</v>
      </c>
      <c r="F1316" s="1324"/>
      <c r="G1316" s="2149"/>
      <c r="H1316" s="2149"/>
      <c r="I1316" s="2149">
        <f>+E1316*C1316</f>
        <v>14400</v>
      </c>
      <c r="J1316" s="2901"/>
      <c r="K1316" s="2901"/>
      <c r="L1316" s="2901"/>
    </row>
    <row r="1317" spans="1:12" s="1918" customFormat="1" ht="16.8">
      <c r="A1317" s="1325" t="s">
        <v>190</v>
      </c>
      <c r="B1317" s="1326">
        <f>ROUND(SUM(F1317:I1317),0)</f>
        <v>1420910</v>
      </c>
      <c r="C1317" s="1323"/>
      <c r="D1317" s="1327"/>
      <c r="E1317" s="1319"/>
      <c r="F1317" s="1324">
        <f>SUM(F1314:F1314)</f>
        <v>0</v>
      </c>
      <c r="G1317" s="2149">
        <f>SUM(G1314:G1316)</f>
        <v>1406510</v>
      </c>
      <c r="H1317" s="2149">
        <f>SUM(H1314:H1314)</f>
        <v>0</v>
      </c>
      <c r="I1317" s="2149">
        <f>+I1316</f>
        <v>14400</v>
      </c>
      <c r="J1317" s="2901"/>
      <c r="K1317" s="2901"/>
      <c r="L1317" s="2901"/>
    </row>
    <row r="1318" spans="1:12" ht="16.8">
      <c r="A1318" s="1325" t="s">
        <v>191</v>
      </c>
      <c r="B1318" s="1326">
        <f>+B1317</f>
        <v>1420910</v>
      </c>
      <c r="C1318" s="1328" t="s">
        <v>150</v>
      </c>
      <c r="D1318" s="1329"/>
      <c r="E1318" s="1329"/>
      <c r="F1318" s="1329"/>
      <c r="G1318" s="1329"/>
      <c r="H1318" s="1330"/>
      <c r="I1318" s="1330"/>
    </row>
    <row r="1320" spans="1:12" s="1918" customFormat="1" ht="16.8">
      <c r="A1320" s="1318"/>
      <c r="B1320" s="3849" t="s">
        <v>7131</v>
      </c>
      <c r="C1320" s="3849"/>
      <c r="D1320" s="3849"/>
      <c r="E1320" s="3849"/>
      <c r="F1320" s="3849"/>
      <c r="G1320" s="3849"/>
      <c r="H1320" s="3849"/>
      <c r="I1320" s="3849"/>
      <c r="J1320" s="2901"/>
      <c r="K1320" s="2901"/>
      <c r="L1320" s="2901"/>
    </row>
    <row r="1321" spans="1:12" s="1918" customFormat="1" ht="16.8">
      <c r="A1321" s="1319"/>
      <c r="B1321" s="1320"/>
      <c r="C1321" s="1319" t="s">
        <v>140</v>
      </c>
      <c r="D1321" s="1319" t="s">
        <v>343</v>
      </c>
      <c r="E1321" s="1319" t="s">
        <v>344</v>
      </c>
      <c r="F1321" s="1319" t="s">
        <v>482</v>
      </c>
      <c r="G1321" s="1319" t="s">
        <v>483</v>
      </c>
      <c r="H1321" s="1319" t="s">
        <v>170</v>
      </c>
      <c r="I1321" s="1319" t="s">
        <v>171</v>
      </c>
      <c r="J1321" s="2901"/>
      <c r="K1321" s="2901"/>
      <c r="L1321" s="2901"/>
    </row>
    <row r="1322" spans="1:12" s="1918" customFormat="1" ht="16.8">
      <c r="A1322" s="1319" t="s">
        <v>345</v>
      </c>
      <c r="B1322" s="1320" t="s">
        <v>6439</v>
      </c>
      <c r="C1322" s="1322">
        <v>1.1000000000000001</v>
      </c>
      <c r="D1322" s="1323" t="s">
        <v>346</v>
      </c>
      <c r="E1322" s="1324">
        <f>+OFICI</f>
        <v>80479.625344</v>
      </c>
      <c r="F1322" s="1324"/>
      <c r="G1322" s="1324"/>
      <c r="H1322" s="1324">
        <f>+E1322*C1322</f>
        <v>88527.587878400009</v>
      </c>
      <c r="I1322" s="1324"/>
      <c r="J1322" s="2901"/>
      <c r="K1322" s="2901"/>
      <c r="L1322" s="2901"/>
    </row>
    <row r="1323" spans="1:12" s="1918" customFormat="1" ht="16.8">
      <c r="A1323" s="1319" t="s">
        <v>348</v>
      </c>
      <c r="B1323" s="1320" t="s">
        <v>6579</v>
      </c>
      <c r="C1323" s="1322">
        <v>1.1000000000000001</v>
      </c>
      <c r="D1323" s="1323" t="s">
        <v>346</v>
      </c>
      <c r="E1323" s="1324">
        <f>+AYUDR</f>
        <v>50299.76584</v>
      </c>
      <c r="F1323" s="1324"/>
      <c r="G1323" s="1324"/>
      <c r="H1323" s="1324">
        <f>+E1323*C1323</f>
        <v>55329.742424000004</v>
      </c>
      <c r="I1323" s="1324"/>
      <c r="J1323" s="2901"/>
      <c r="K1323" s="2901"/>
      <c r="L1323" s="2901"/>
    </row>
    <row r="1324" spans="1:12" s="1918" customFormat="1" ht="16.8">
      <c r="A1324" s="1319" t="s">
        <v>172</v>
      </c>
      <c r="B1324" s="1320" t="s">
        <v>189</v>
      </c>
      <c r="C1324" s="1322">
        <v>1</v>
      </c>
      <c r="D1324" s="1323" t="s">
        <v>583</v>
      </c>
      <c r="E1324" s="1324">
        <f>+H1325*0.05</f>
        <v>7192.8665151200012</v>
      </c>
      <c r="F1324" s="1324"/>
      <c r="G1324" s="1324"/>
      <c r="H1324" s="1324"/>
      <c r="I1324" s="1324">
        <f>+E1324*C1324</f>
        <v>7192.8665151200012</v>
      </c>
      <c r="J1324" s="2901"/>
      <c r="K1324" s="2901"/>
      <c r="L1324" s="2901"/>
    </row>
    <row r="1325" spans="1:12" s="1918" customFormat="1" ht="16.8">
      <c r="A1325" s="1325" t="s">
        <v>190</v>
      </c>
      <c r="B1325" s="1326">
        <f>ROUND(SUM(F1325:I1325),0)</f>
        <v>151050</v>
      </c>
      <c r="C1325" s="1323"/>
      <c r="D1325" s="1327"/>
      <c r="E1325" s="1319"/>
      <c r="F1325" s="1324">
        <f>SUM(F1322:F1324)</f>
        <v>0</v>
      </c>
      <c r="G1325" s="1324">
        <f>SUM(G1322:G1323)</f>
        <v>0</v>
      </c>
      <c r="H1325" s="1324">
        <f>SUM(H1322:H1323)</f>
        <v>143857.33030240002</v>
      </c>
      <c r="I1325" s="1324">
        <f>SUM(I1322:I1324)</f>
        <v>7192.8665151200012</v>
      </c>
      <c r="J1325" s="2901"/>
      <c r="K1325" s="2901"/>
      <c r="L1325" s="2901"/>
    </row>
    <row r="1326" spans="1:12" ht="16.8">
      <c r="A1326" s="1325" t="s">
        <v>191</v>
      </c>
      <c r="B1326" s="1326">
        <f>+B1325</f>
        <v>151050</v>
      </c>
      <c r="C1326" s="1328" t="s">
        <v>150</v>
      </c>
      <c r="D1326" s="1329"/>
      <c r="E1326" s="1329">
        <f>+B1334*0.15</f>
        <v>153951.29999999999</v>
      </c>
      <c r="F1326" s="1329"/>
      <c r="G1326" s="1329"/>
      <c r="H1326" s="1330"/>
      <c r="I1326" s="1330"/>
    </row>
    <row r="1327" spans="1:12" s="1918" customFormat="1" ht="15.75" customHeight="1">
      <c r="A1327" s="492"/>
      <c r="B1327" s="492"/>
      <c r="C1327" s="492"/>
      <c r="D1327" s="492"/>
      <c r="E1327" s="492"/>
      <c r="F1327" s="492"/>
      <c r="G1327" s="492"/>
      <c r="H1327" s="492"/>
      <c r="I1327" s="492"/>
      <c r="J1327" s="2901"/>
      <c r="K1327" s="2901">
        <f>0.05*1</f>
        <v>0.05</v>
      </c>
      <c r="L1327" s="2901"/>
    </row>
    <row r="1328" spans="1:12" s="1918" customFormat="1" ht="16.8">
      <c r="A1328" s="1318"/>
      <c r="B1328" s="3849" t="s">
        <v>7130</v>
      </c>
      <c r="C1328" s="3849"/>
      <c r="D1328" s="3849"/>
      <c r="E1328" s="3849"/>
      <c r="F1328" s="3849"/>
      <c r="G1328" s="3849"/>
      <c r="H1328" s="3849"/>
      <c r="I1328" s="3849"/>
      <c r="J1328" s="2901"/>
      <c r="K1328" s="2901"/>
      <c r="L1328" s="2901"/>
    </row>
    <row r="1329" spans="1:12" s="1918" customFormat="1" ht="16.8">
      <c r="A1329" s="1319"/>
      <c r="B1329" s="1320"/>
      <c r="C1329" s="1319" t="s">
        <v>140</v>
      </c>
      <c r="D1329" s="1319" t="s">
        <v>343</v>
      </c>
      <c r="E1329" s="1319" t="s">
        <v>344</v>
      </c>
      <c r="F1329" s="1319" t="s">
        <v>482</v>
      </c>
      <c r="G1329" s="1319" t="s">
        <v>483</v>
      </c>
      <c r="H1329" s="1319" t="s">
        <v>170</v>
      </c>
      <c r="I1329" s="1319" t="s">
        <v>171</v>
      </c>
      <c r="J1329" s="2901"/>
      <c r="K1329" s="2901"/>
      <c r="L1329" s="2901"/>
    </row>
    <row r="1330" spans="1:12" s="1918" customFormat="1" ht="16.8">
      <c r="A1330" s="1319"/>
      <c r="B1330" s="1320" t="s">
        <v>7129</v>
      </c>
      <c r="C1330" s="1922">
        <v>1</v>
      </c>
      <c r="D1330" s="1920" t="s">
        <v>133</v>
      </c>
      <c r="E1330" s="2149">
        <f>+'BASE 2'!D561</f>
        <v>829941.7</v>
      </c>
      <c r="F1330" s="1324"/>
      <c r="G1330" s="2149">
        <f>+E1330*C1330</f>
        <v>829941.7</v>
      </c>
      <c r="H1330" s="2149"/>
      <c r="I1330" s="2149"/>
      <c r="J1330" s="2901"/>
      <c r="K1330" s="2901"/>
      <c r="L1330" s="2901"/>
    </row>
    <row r="1331" spans="1:12" s="1918" customFormat="1" ht="16.8">
      <c r="A1331" s="1319"/>
      <c r="B1331" s="1335" t="s">
        <v>6455</v>
      </c>
      <c r="C1331" s="1922">
        <v>2</v>
      </c>
      <c r="D1331" s="1920" t="s">
        <v>133</v>
      </c>
      <c r="E1331" s="2183">
        <f>+'BASE 2'!D625</f>
        <v>91000</v>
      </c>
      <c r="F1331" s="1324"/>
      <c r="G1331" s="2149">
        <f>+E1331*C1331</f>
        <v>182000</v>
      </c>
      <c r="H1331" s="2149"/>
      <c r="I1331" s="2149"/>
      <c r="J1331" s="2901"/>
      <c r="K1331" s="2901"/>
      <c r="L1331" s="2901"/>
    </row>
    <row r="1332" spans="1:12" s="1918" customFormat="1" ht="16.8">
      <c r="A1332" s="1319"/>
      <c r="B1332" s="1320" t="s">
        <v>4727</v>
      </c>
      <c r="C1332" s="1919">
        <v>1.2E-2</v>
      </c>
      <c r="D1332" s="1921" t="s">
        <v>583</v>
      </c>
      <c r="E1332" s="1324">
        <f>+VIAJE</f>
        <v>1200000</v>
      </c>
      <c r="F1332" s="1324"/>
      <c r="G1332" s="2149"/>
      <c r="H1332" s="2149"/>
      <c r="I1332" s="2149">
        <f>+E1332*C1332</f>
        <v>14400</v>
      </c>
      <c r="J1332" s="2901"/>
      <c r="K1332" s="2901"/>
      <c r="L1332" s="2901"/>
    </row>
    <row r="1333" spans="1:12" s="1918" customFormat="1" ht="16.8">
      <c r="A1333" s="1325" t="s">
        <v>190</v>
      </c>
      <c r="B1333" s="1326">
        <f>ROUND(SUM(F1333:I1333),0)</f>
        <v>1026342</v>
      </c>
      <c r="C1333" s="1323"/>
      <c r="D1333" s="1327"/>
      <c r="E1333" s="1319"/>
      <c r="F1333" s="1324">
        <f>SUM(F1330:F1330)</f>
        <v>0</v>
      </c>
      <c r="G1333" s="2149">
        <f>SUM(G1330:G1332)</f>
        <v>1011941.7</v>
      </c>
      <c r="H1333" s="2149">
        <f>SUM(H1330:H1330)</f>
        <v>0</v>
      </c>
      <c r="I1333" s="2149">
        <f>+I1332</f>
        <v>14400</v>
      </c>
      <c r="J1333" s="2901"/>
      <c r="K1333" s="2901"/>
      <c r="L1333" s="2901"/>
    </row>
    <row r="1334" spans="1:12" ht="16.8">
      <c r="A1334" s="1325" t="s">
        <v>191</v>
      </c>
      <c r="B1334" s="1326">
        <f>+B1333</f>
        <v>1026342</v>
      </c>
      <c r="C1334" s="1328" t="s">
        <v>150</v>
      </c>
      <c r="D1334" s="1329"/>
      <c r="E1334" s="1329"/>
      <c r="F1334" s="1329"/>
      <c r="G1334" s="1329"/>
      <c r="H1334" s="1330"/>
      <c r="I1334" s="1330"/>
    </row>
    <row r="1336" spans="1:12" s="1918" customFormat="1" ht="16.8">
      <c r="A1336" s="1318"/>
      <c r="B1336" s="3849" t="s">
        <v>7137</v>
      </c>
      <c r="C1336" s="3849"/>
      <c r="D1336" s="3849"/>
      <c r="E1336" s="3849"/>
      <c r="F1336" s="3849"/>
      <c r="G1336" s="3849"/>
      <c r="H1336" s="3849"/>
      <c r="I1336" s="3849"/>
      <c r="J1336" s="2901"/>
      <c r="K1336" s="2901"/>
      <c r="L1336" s="2901"/>
    </row>
    <row r="1337" spans="1:12" s="1918" customFormat="1" ht="16.8">
      <c r="A1337" s="1319"/>
      <c r="B1337" s="1320"/>
      <c r="C1337" s="1319" t="s">
        <v>140</v>
      </c>
      <c r="D1337" s="1319" t="s">
        <v>343</v>
      </c>
      <c r="E1337" s="1319" t="s">
        <v>344</v>
      </c>
      <c r="F1337" s="1319" t="s">
        <v>482</v>
      </c>
      <c r="G1337" s="1319" t="s">
        <v>483</v>
      </c>
      <c r="H1337" s="1319" t="s">
        <v>170</v>
      </c>
      <c r="I1337" s="1319" t="s">
        <v>171</v>
      </c>
      <c r="J1337" s="2901"/>
      <c r="K1337" s="2901"/>
      <c r="L1337" s="2901"/>
    </row>
    <row r="1338" spans="1:12" s="1918" customFormat="1" ht="16.8">
      <c r="A1338" s="1319" t="s">
        <v>345</v>
      </c>
      <c r="B1338" s="1320" t="s">
        <v>6439</v>
      </c>
      <c r="C1338" s="1322">
        <v>1.3</v>
      </c>
      <c r="D1338" s="1323" t="s">
        <v>346</v>
      </c>
      <c r="E1338" s="1324">
        <f>+OFICI</f>
        <v>80479.625344</v>
      </c>
      <c r="F1338" s="1324"/>
      <c r="G1338" s="1324"/>
      <c r="H1338" s="1324">
        <f>+E1338*C1338</f>
        <v>104623.5129472</v>
      </c>
      <c r="I1338" s="1324"/>
      <c r="J1338" s="2901"/>
      <c r="K1338" s="2901"/>
      <c r="L1338" s="2901"/>
    </row>
    <row r="1339" spans="1:12" s="1918" customFormat="1" ht="16.8">
      <c r="A1339" s="1319" t="s">
        <v>348</v>
      </c>
      <c r="B1339" s="1320" t="s">
        <v>6579</v>
      </c>
      <c r="C1339" s="1322">
        <v>1.3</v>
      </c>
      <c r="D1339" s="1323" t="s">
        <v>346</v>
      </c>
      <c r="E1339" s="1324">
        <f>+AYUDR</f>
        <v>50299.76584</v>
      </c>
      <c r="F1339" s="1324"/>
      <c r="G1339" s="1324"/>
      <c r="H1339" s="1324">
        <f>+E1339*C1339</f>
        <v>65389.695592000004</v>
      </c>
      <c r="I1339" s="1324"/>
      <c r="J1339" s="2901"/>
      <c r="K1339" s="2901"/>
      <c r="L1339" s="2901"/>
    </row>
    <row r="1340" spans="1:12" s="1918" customFormat="1" ht="16.8">
      <c r="A1340" s="1319" t="s">
        <v>172</v>
      </c>
      <c r="B1340" s="1320" t="s">
        <v>189</v>
      </c>
      <c r="C1340" s="1322">
        <v>1</v>
      </c>
      <c r="D1340" s="1323" t="s">
        <v>583</v>
      </c>
      <c r="E1340" s="1324">
        <f>+H1341*0.05</f>
        <v>8500.6604269600011</v>
      </c>
      <c r="F1340" s="1324"/>
      <c r="G1340" s="1324"/>
      <c r="H1340" s="1324"/>
      <c r="I1340" s="1324">
        <f>+E1340*C1340</f>
        <v>8500.6604269600011</v>
      </c>
      <c r="J1340" s="2901"/>
      <c r="K1340" s="2901"/>
      <c r="L1340" s="2901"/>
    </row>
    <row r="1341" spans="1:12" s="1918" customFormat="1" ht="16.8">
      <c r="A1341" s="1325" t="s">
        <v>190</v>
      </c>
      <c r="B1341" s="1326">
        <f>ROUND(SUM(F1341:I1341),0)</f>
        <v>178514</v>
      </c>
      <c r="C1341" s="1323"/>
      <c r="D1341" s="1327"/>
      <c r="E1341" s="1319"/>
      <c r="F1341" s="1324">
        <f>SUM(F1338:F1340)</f>
        <v>0</v>
      </c>
      <c r="G1341" s="1324">
        <f>SUM(G1338:G1339)</f>
        <v>0</v>
      </c>
      <c r="H1341" s="1324">
        <f>SUM(H1338:H1339)</f>
        <v>170013.20853920002</v>
      </c>
      <c r="I1341" s="1324">
        <f>SUM(I1338:I1340)</f>
        <v>8500.6604269600011</v>
      </c>
      <c r="J1341" s="2901"/>
      <c r="K1341" s="2901"/>
      <c r="L1341" s="2901"/>
    </row>
    <row r="1342" spans="1:12" ht="16.8">
      <c r="A1342" s="1325" t="s">
        <v>191</v>
      </c>
      <c r="B1342" s="1326">
        <f>+B1341</f>
        <v>178514</v>
      </c>
      <c r="C1342" s="1328" t="s">
        <v>150</v>
      </c>
      <c r="D1342" s="1329"/>
      <c r="E1342" s="1329">
        <f>+B1349*0.15</f>
        <v>178696.5</v>
      </c>
      <c r="F1342" s="1329"/>
      <c r="G1342" s="1329"/>
      <c r="H1342" s="1330"/>
      <c r="I1342" s="1330"/>
    </row>
    <row r="1343" spans="1:12" s="1918" customFormat="1" ht="15.75" customHeight="1">
      <c r="A1343" s="492"/>
      <c r="B1343" s="492"/>
      <c r="C1343" s="492"/>
      <c r="D1343" s="492"/>
      <c r="E1343" s="492"/>
      <c r="F1343" s="492"/>
      <c r="G1343" s="492"/>
      <c r="H1343" s="492"/>
      <c r="I1343" s="492"/>
      <c r="J1343" s="2901"/>
      <c r="K1343" s="2901">
        <f>0.05*1</f>
        <v>0.05</v>
      </c>
      <c r="L1343" s="2901"/>
    </row>
    <row r="1344" spans="1:12" s="1918" customFormat="1" ht="16.8">
      <c r="A1344" s="1318"/>
      <c r="B1344" s="3849" t="s">
        <v>7136</v>
      </c>
      <c r="C1344" s="3849"/>
      <c r="D1344" s="3849"/>
      <c r="E1344" s="3849"/>
      <c r="F1344" s="3849"/>
      <c r="G1344" s="3849"/>
      <c r="H1344" s="3849"/>
      <c r="I1344" s="3849"/>
      <c r="J1344" s="2901"/>
      <c r="K1344" s="2901"/>
      <c r="L1344" s="2901"/>
    </row>
    <row r="1345" spans="1:12" s="1918" customFormat="1" ht="16.8">
      <c r="A1345" s="1319"/>
      <c r="B1345" s="1320"/>
      <c r="C1345" s="1319" t="s">
        <v>140</v>
      </c>
      <c r="D1345" s="1319" t="s">
        <v>343</v>
      </c>
      <c r="E1345" s="1319" t="s">
        <v>344</v>
      </c>
      <c r="F1345" s="1319" t="s">
        <v>482</v>
      </c>
      <c r="G1345" s="1319" t="s">
        <v>483</v>
      </c>
      <c r="H1345" s="1319" t="s">
        <v>170</v>
      </c>
      <c r="I1345" s="1319" t="s">
        <v>171</v>
      </c>
      <c r="J1345" s="2901"/>
      <c r="K1345" s="2901"/>
      <c r="L1345" s="2901"/>
    </row>
    <row r="1346" spans="1:12" s="1918" customFormat="1" ht="16.8">
      <c r="A1346" s="1319"/>
      <c r="B1346" s="1335" t="s">
        <v>7134</v>
      </c>
      <c r="C1346" s="1922">
        <v>1</v>
      </c>
      <c r="D1346" s="1920" t="s">
        <v>133</v>
      </c>
      <c r="E1346" s="2149">
        <f>+'BASE 2'!D136</f>
        <v>1176910</v>
      </c>
      <c r="F1346" s="2149"/>
      <c r="G1346" s="2149">
        <f>+E1346*C1346</f>
        <v>1176910</v>
      </c>
      <c r="H1346" s="2149"/>
      <c r="I1346" s="2149"/>
      <c r="J1346" s="2901"/>
      <c r="K1346" s="2901"/>
      <c r="L1346" s="2901"/>
    </row>
    <row r="1347" spans="1:12" s="1918" customFormat="1" ht="16.8">
      <c r="A1347" s="1319"/>
      <c r="B1347" s="1320" t="s">
        <v>4727</v>
      </c>
      <c r="C1347" s="1919">
        <v>1.2E-2</v>
      </c>
      <c r="D1347" s="1921" t="s">
        <v>583</v>
      </c>
      <c r="E1347" s="2149">
        <f>+VIAJE</f>
        <v>1200000</v>
      </c>
      <c r="F1347" s="2149"/>
      <c r="G1347" s="2149"/>
      <c r="H1347" s="2149"/>
      <c r="I1347" s="2149">
        <f>+E1347*C1347</f>
        <v>14400</v>
      </c>
      <c r="J1347" s="2901"/>
      <c r="K1347" s="2901"/>
      <c r="L1347" s="2901"/>
    </row>
    <row r="1348" spans="1:12" s="1918" customFormat="1" ht="16.8">
      <c r="A1348" s="1325" t="s">
        <v>190</v>
      </c>
      <c r="B1348" s="1326">
        <f>ROUND(SUM(F1348:I1348),0)</f>
        <v>1191310</v>
      </c>
      <c r="C1348" s="1323"/>
      <c r="D1348" s="1327"/>
      <c r="E1348" s="2149"/>
      <c r="F1348" s="2149">
        <f>SUM(F1346:F1346)</f>
        <v>0</v>
      </c>
      <c r="G1348" s="2149">
        <f>SUM(G1346:G1347)</f>
        <v>1176910</v>
      </c>
      <c r="H1348" s="2149">
        <f>SUM(H1346:H1346)</f>
        <v>0</v>
      </c>
      <c r="I1348" s="2149">
        <f>+I1347</f>
        <v>14400</v>
      </c>
      <c r="J1348" s="2901"/>
      <c r="K1348" s="2901"/>
      <c r="L1348" s="2901"/>
    </row>
    <row r="1349" spans="1:12" ht="16.8">
      <c r="A1349" s="1325" t="s">
        <v>191</v>
      </c>
      <c r="B1349" s="1326">
        <f>+B1348</f>
        <v>1191310</v>
      </c>
      <c r="C1349" s="1328" t="s">
        <v>150</v>
      </c>
      <c r="D1349" s="1329"/>
      <c r="E1349" s="1329"/>
      <c r="F1349" s="1329"/>
      <c r="G1349" s="1329"/>
      <c r="H1349" s="1330"/>
      <c r="I1349" s="1330"/>
    </row>
    <row r="1351" spans="1:12" s="1918" customFormat="1" ht="16.8">
      <c r="A1351" s="1318"/>
      <c r="B1351" s="3849" t="s">
        <v>7141</v>
      </c>
      <c r="C1351" s="3849"/>
      <c r="D1351" s="3849"/>
      <c r="E1351" s="3849"/>
      <c r="F1351" s="3849"/>
      <c r="G1351" s="3849"/>
      <c r="H1351" s="3849"/>
      <c r="I1351" s="3849"/>
      <c r="J1351" s="2901"/>
      <c r="K1351" s="2901"/>
      <c r="L1351" s="2901"/>
    </row>
    <row r="1352" spans="1:12" s="1918" customFormat="1" ht="16.8">
      <c r="A1352" s="1319"/>
      <c r="B1352" s="1320"/>
      <c r="C1352" s="1319" t="s">
        <v>140</v>
      </c>
      <c r="D1352" s="1319" t="s">
        <v>343</v>
      </c>
      <c r="E1352" s="1319" t="s">
        <v>344</v>
      </c>
      <c r="F1352" s="1319" t="s">
        <v>482</v>
      </c>
      <c r="G1352" s="1319" t="s">
        <v>483</v>
      </c>
      <c r="H1352" s="1319" t="s">
        <v>170</v>
      </c>
      <c r="I1352" s="1319" t="s">
        <v>171</v>
      </c>
      <c r="J1352" s="2901"/>
      <c r="K1352" s="2901"/>
      <c r="L1352" s="2901"/>
    </row>
    <row r="1353" spans="1:12" s="1918" customFormat="1" ht="16.8">
      <c r="A1353" s="1319" t="s">
        <v>345</v>
      </c>
      <c r="B1353" s="1320" t="s">
        <v>6439</v>
      </c>
      <c r="C1353" s="1322">
        <v>1.05</v>
      </c>
      <c r="D1353" s="1323" t="s">
        <v>346</v>
      </c>
      <c r="E1353" s="2149">
        <f>+OFICI</f>
        <v>80479.625344</v>
      </c>
      <c r="F1353" s="2149"/>
      <c r="G1353" s="2149"/>
      <c r="H1353" s="2149">
        <f>+E1353*C1353</f>
        <v>84503.606611199997</v>
      </c>
      <c r="I1353" s="2149"/>
      <c r="J1353" s="2901"/>
      <c r="K1353" s="2901"/>
      <c r="L1353" s="2901"/>
    </row>
    <row r="1354" spans="1:12" s="1918" customFormat="1" ht="16.8">
      <c r="A1354" s="1319" t="s">
        <v>348</v>
      </c>
      <c r="B1354" s="1320" t="s">
        <v>6579</v>
      </c>
      <c r="C1354" s="1322">
        <v>1.05</v>
      </c>
      <c r="D1354" s="1323" t="s">
        <v>346</v>
      </c>
      <c r="E1354" s="2149">
        <f>+AYUDR</f>
        <v>50299.76584</v>
      </c>
      <c r="F1354" s="2149"/>
      <c r="G1354" s="2149"/>
      <c r="H1354" s="2149">
        <f>+E1354*C1354</f>
        <v>52814.754132000002</v>
      </c>
      <c r="I1354" s="2149"/>
      <c r="J1354" s="2901"/>
      <c r="K1354" s="2901"/>
      <c r="L1354" s="2901"/>
    </row>
    <row r="1355" spans="1:12" s="1918" customFormat="1" ht="16.8">
      <c r="A1355" s="1319"/>
      <c r="B1355" s="1320" t="s">
        <v>6426</v>
      </c>
      <c r="C1355" s="1322">
        <v>1.05</v>
      </c>
      <c r="D1355" s="1323" t="s">
        <v>346</v>
      </c>
      <c r="E1355" s="2149">
        <f>+'BASE 2'!D736</f>
        <v>18500</v>
      </c>
      <c r="F1355" s="2149"/>
      <c r="G1355" s="2149"/>
      <c r="H1355" s="2149"/>
      <c r="I1355" s="2149"/>
      <c r="J1355" s="2901"/>
      <c r="K1355" s="2901"/>
      <c r="L1355" s="2901"/>
    </row>
    <row r="1356" spans="1:12" s="1918" customFormat="1" ht="16.8">
      <c r="A1356" s="1319" t="s">
        <v>172</v>
      </c>
      <c r="B1356" s="1320" t="s">
        <v>189</v>
      </c>
      <c r="C1356" s="1322">
        <v>1</v>
      </c>
      <c r="D1356" s="1323" t="s">
        <v>583</v>
      </c>
      <c r="E1356" s="2149">
        <f>+H1357*0.05</f>
        <v>6865.9180371600005</v>
      </c>
      <c r="F1356" s="2149"/>
      <c r="G1356" s="2149"/>
      <c r="H1356" s="2149"/>
      <c r="I1356" s="2149">
        <f>+E1356*C1356</f>
        <v>6865.9180371600005</v>
      </c>
      <c r="J1356" s="2901"/>
      <c r="K1356" s="2901"/>
      <c r="L1356" s="2901"/>
    </row>
    <row r="1357" spans="1:12" s="1918" customFormat="1" ht="16.8">
      <c r="A1357" s="1325" t="s">
        <v>190</v>
      </c>
      <c r="B1357" s="1326">
        <f>ROUND(SUM(F1357:I1357),0)</f>
        <v>144184</v>
      </c>
      <c r="C1357" s="1323"/>
      <c r="D1357" s="1327"/>
      <c r="E1357" s="2149"/>
      <c r="F1357" s="2149">
        <f>SUM(F1353:F1356)</f>
        <v>0</v>
      </c>
      <c r="G1357" s="2149">
        <f>SUM(G1353:G1354)</f>
        <v>0</v>
      </c>
      <c r="H1357" s="2149">
        <f>SUM(H1353:H1354)</f>
        <v>137318.3607432</v>
      </c>
      <c r="I1357" s="2149">
        <f>SUM(I1353:I1356)</f>
        <v>6865.9180371600005</v>
      </c>
      <c r="J1357" s="2901"/>
      <c r="K1357" s="2901"/>
      <c r="L1357" s="2901"/>
    </row>
    <row r="1358" spans="1:12" ht="16.8">
      <c r="A1358" s="1325" t="s">
        <v>191</v>
      </c>
      <c r="B1358" s="1326">
        <f>+B1357</f>
        <v>144184</v>
      </c>
      <c r="C1358" s="1328" t="s">
        <v>150</v>
      </c>
      <c r="D1358" s="1329"/>
      <c r="E1358" s="1329">
        <f>+B1366*0.15</f>
        <v>145222.5</v>
      </c>
      <c r="F1358" s="1329"/>
      <c r="G1358" s="1329"/>
      <c r="H1358" s="1330"/>
      <c r="I1358" s="1330"/>
    </row>
    <row r="1359" spans="1:12" s="1918" customFormat="1" ht="15.75" customHeight="1">
      <c r="A1359" s="492"/>
      <c r="B1359" s="492"/>
      <c r="C1359" s="492"/>
      <c r="D1359" s="492"/>
      <c r="E1359" s="492"/>
      <c r="F1359" s="492"/>
      <c r="G1359" s="492"/>
      <c r="H1359" s="492"/>
      <c r="I1359" s="492"/>
      <c r="J1359" s="2901"/>
      <c r="K1359" s="2901">
        <f>0.05*1</f>
        <v>0.05</v>
      </c>
      <c r="L1359" s="2901"/>
    </row>
    <row r="1360" spans="1:12" s="1918" customFormat="1" ht="16.8">
      <c r="A1360" s="1318"/>
      <c r="B1360" s="3849" t="s">
        <v>7140</v>
      </c>
      <c r="C1360" s="3849"/>
      <c r="D1360" s="3849"/>
      <c r="E1360" s="3849"/>
      <c r="F1360" s="3849"/>
      <c r="G1360" s="3849"/>
      <c r="H1360" s="3849"/>
      <c r="I1360" s="3849"/>
      <c r="J1360" s="2901"/>
      <c r="K1360" s="2901"/>
      <c r="L1360" s="2901"/>
    </row>
    <row r="1361" spans="1:12" s="1918" customFormat="1" ht="16.8">
      <c r="A1361" s="1319"/>
      <c r="B1361" s="1320"/>
      <c r="C1361" s="1319" t="s">
        <v>140</v>
      </c>
      <c r="D1361" s="1319" t="s">
        <v>343</v>
      </c>
      <c r="E1361" s="1319" t="s">
        <v>344</v>
      </c>
      <c r="F1361" s="1319" t="s">
        <v>482</v>
      </c>
      <c r="G1361" s="1319" t="s">
        <v>483</v>
      </c>
      <c r="H1361" s="1319" t="s">
        <v>170</v>
      </c>
      <c r="I1361" s="1319" t="s">
        <v>171</v>
      </c>
      <c r="J1361" s="2901"/>
      <c r="K1361" s="2901"/>
      <c r="L1361" s="2901"/>
    </row>
    <row r="1362" spans="1:12" s="1918" customFormat="1" ht="16.8">
      <c r="A1362" s="1319"/>
      <c r="B1362" s="1335" t="s">
        <v>7138</v>
      </c>
      <c r="C1362" s="1922">
        <v>1</v>
      </c>
      <c r="D1362" s="1920" t="s">
        <v>133</v>
      </c>
      <c r="E1362" s="2149">
        <f>+'BASE 2'!D565</f>
        <v>862750</v>
      </c>
      <c r="F1362" s="2149"/>
      <c r="G1362" s="2149">
        <f>+E1362*C1362</f>
        <v>862750</v>
      </c>
      <c r="H1362" s="2149"/>
      <c r="I1362" s="2149"/>
      <c r="J1362" s="2901"/>
      <c r="K1362" s="2901"/>
      <c r="L1362" s="2901"/>
    </row>
    <row r="1363" spans="1:12" s="1918" customFormat="1" ht="16.8">
      <c r="A1363" s="1319"/>
      <c r="B1363" s="1335" t="s">
        <v>6455</v>
      </c>
      <c r="C1363" s="1922">
        <v>1</v>
      </c>
      <c r="D1363" s="1920" t="s">
        <v>133</v>
      </c>
      <c r="E1363" s="2183">
        <f>+'BASE 2'!D625</f>
        <v>91000</v>
      </c>
      <c r="F1363" s="1324"/>
      <c r="G1363" s="2149">
        <f>+E1363*C1363</f>
        <v>91000</v>
      </c>
      <c r="H1363" s="2149"/>
      <c r="I1363" s="2149"/>
      <c r="J1363" s="2901"/>
      <c r="K1363" s="2901"/>
      <c r="L1363" s="2901"/>
    </row>
    <row r="1364" spans="1:12" s="1918" customFormat="1" ht="16.8">
      <c r="A1364" s="1319"/>
      <c r="B1364" s="1320" t="s">
        <v>4727</v>
      </c>
      <c r="C1364" s="1919">
        <v>1.2E-2</v>
      </c>
      <c r="D1364" s="1921" t="s">
        <v>583</v>
      </c>
      <c r="E1364" s="2149">
        <f>+VIAJE</f>
        <v>1200000</v>
      </c>
      <c r="F1364" s="2149"/>
      <c r="G1364" s="2149"/>
      <c r="H1364" s="2149"/>
      <c r="I1364" s="2149">
        <f>+E1364*C1364</f>
        <v>14400</v>
      </c>
      <c r="J1364" s="2901"/>
      <c r="K1364" s="2901"/>
      <c r="L1364" s="2901"/>
    </row>
    <row r="1365" spans="1:12" s="1918" customFormat="1" ht="16.8">
      <c r="A1365" s="1325" t="s">
        <v>190</v>
      </c>
      <c r="B1365" s="1326">
        <f>ROUND(SUM(F1365:I1365),0)</f>
        <v>968150</v>
      </c>
      <c r="C1365" s="1323"/>
      <c r="D1365" s="1327"/>
      <c r="E1365" s="2149"/>
      <c r="F1365" s="2149">
        <f>SUM(F1362:F1362)</f>
        <v>0</v>
      </c>
      <c r="G1365" s="2149">
        <f>SUM(G1362:G1364)</f>
        <v>953750</v>
      </c>
      <c r="H1365" s="2149">
        <f>SUM(H1362:H1362)</f>
        <v>0</v>
      </c>
      <c r="I1365" s="2149">
        <f>+I1364</f>
        <v>14400</v>
      </c>
      <c r="J1365" s="2901"/>
      <c r="K1365" s="2901"/>
      <c r="L1365" s="2901"/>
    </row>
    <row r="1366" spans="1:12" ht="16.8">
      <c r="A1366" s="1325" t="s">
        <v>191</v>
      </c>
      <c r="B1366" s="1326">
        <f>+B1365</f>
        <v>968150</v>
      </c>
      <c r="C1366" s="1328" t="s">
        <v>150</v>
      </c>
      <c r="D1366" s="1329"/>
      <c r="E1366" s="1329"/>
      <c r="F1366" s="1329"/>
      <c r="G1366" s="1329"/>
      <c r="H1366" s="1330"/>
      <c r="I1366" s="1330"/>
    </row>
    <row r="1368" spans="1:12" s="1918" customFormat="1" ht="16.8">
      <c r="A1368" s="1318"/>
      <c r="B1368" s="3849" t="s">
        <v>7955</v>
      </c>
      <c r="C1368" s="3849"/>
      <c r="D1368" s="3849"/>
      <c r="E1368" s="3849"/>
      <c r="F1368" s="3849"/>
      <c r="G1368" s="3849"/>
      <c r="H1368" s="3849"/>
      <c r="I1368" s="3849"/>
      <c r="J1368" s="2901"/>
      <c r="K1368" s="2901"/>
      <c r="L1368" s="2901"/>
    </row>
    <row r="1369" spans="1:12" s="1918" customFormat="1" ht="16.8">
      <c r="A1369" s="1319"/>
      <c r="B1369" s="1320"/>
      <c r="C1369" s="1319" t="s">
        <v>140</v>
      </c>
      <c r="D1369" s="1319" t="s">
        <v>343</v>
      </c>
      <c r="E1369" s="1319" t="s">
        <v>344</v>
      </c>
      <c r="F1369" s="1319" t="s">
        <v>482</v>
      </c>
      <c r="G1369" s="1319" t="s">
        <v>483</v>
      </c>
      <c r="H1369" s="1319" t="s">
        <v>170</v>
      </c>
      <c r="I1369" s="1319" t="s">
        <v>171</v>
      </c>
      <c r="J1369" s="2901"/>
      <c r="K1369" s="2901"/>
      <c r="L1369" s="2901"/>
    </row>
    <row r="1370" spans="1:12" s="1918" customFormat="1" ht="16.8">
      <c r="A1370" s="1319" t="s">
        <v>345</v>
      </c>
      <c r="B1370" s="1320" t="s">
        <v>6439</v>
      </c>
      <c r="C1370" s="1322">
        <v>1.35</v>
      </c>
      <c r="D1370" s="1323" t="s">
        <v>346</v>
      </c>
      <c r="E1370" s="1324">
        <f>+OFICI</f>
        <v>80479.625344</v>
      </c>
      <c r="F1370" s="1324"/>
      <c r="G1370" s="1324"/>
      <c r="H1370" s="1324">
        <f>+E1370*C1370</f>
        <v>108647.49421440001</v>
      </c>
      <c r="I1370" s="1324"/>
      <c r="J1370" s="2901"/>
      <c r="K1370" s="2901"/>
      <c r="L1370" s="2901"/>
    </row>
    <row r="1371" spans="1:12" s="1918" customFormat="1" ht="16.8">
      <c r="A1371" s="1319" t="s">
        <v>348</v>
      </c>
      <c r="B1371" s="1320" t="s">
        <v>6579</v>
      </c>
      <c r="C1371" s="1322">
        <v>1.35</v>
      </c>
      <c r="D1371" s="1323" t="s">
        <v>346</v>
      </c>
      <c r="E1371" s="1324">
        <f>+AYUDR</f>
        <v>50299.76584</v>
      </c>
      <c r="F1371" s="1324"/>
      <c r="G1371" s="1324"/>
      <c r="H1371" s="1324">
        <f>+E1371*C1371</f>
        <v>67904.683883999998</v>
      </c>
      <c r="I1371" s="1324"/>
      <c r="J1371" s="2901"/>
      <c r="K1371" s="2901"/>
      <c r="L1371" s="2901"/>
    </row>
    <row r="1372" spans="1:12" s="1918" customFormat="1" ht="16.8">
      <c r="A1372" s="1319" t="s">
        <v>172</v>
      </c>
      <c r="B1372" s="1320" t="s">
        <v>189</v>
      </c>
      <c r="C1372" s="1322">
        <v>1</v>
      </c>
      <c r="D1372" s="1323" t="s">
        <v>583</v>
      </c>
      <c r="E1372" s="1324">
        <f>+H1373*0.05</f>
        <v>8827.60890492</v>
      </c>
      <c r="F1372" s="1324"/>
      <c r="G1372" s="1324"/>
      <c r="H1372" s="1324"/>
      <c r="I1372" s="1324">
        <f>+E1372*C1372</f>
        <v>8827.60890492</v>
      </c>
      <c r="J1372" s="2901"/>
      <c r="K1372" s="2901"/>
      <c r="L1372" s="2901"/>
    </row>
    <row r="1373" spans="1:12" s="1918" customFormat="1" ht="16.8">
      <c r="A1373" s="1325" t="s">
        <v>190</v>
      </c>
      <c r="B1373" s="1326">
        <f>ROUND(SUM(F1373:I1373),0)</f>
        <v>185380</v>
      </c>
      <c r="C1373" s="1323"/>
      <c r="D1373" s="1327"/>
      <c r="E1373" s="1319"/>
      <c r="F1373" s="1324">
        <f>SUM(F1370:F1372)</f>
        <v>0</v>
      </c>
      <c r="G1373" s="1324">
        <f>SUM(G1370:G1371)</f>
        <v>0</v>
      </c>
      <c r="H1373" s="1324">
        <f>SUM(H1370:H1371)</f>
        <v>176552.17809840001</v>
      </c>
      <c r="I1373" s="1324">
        <f>SUM(I1370:I1372)</f>
        <v>8827.60890492</v>
      </c>
      <c r="J1373" s="2901"/>
      <c r="K1373" s="2901"/>
      <c r="L1373" s="2901"/>
    </row>
    <row r="1374" spans="1:12" ht="16.8">
      <c r="A1374" s="1325" t="s">
        <v>191</v>
      </c>
      <c r="B1374" s="1326">
        <f>+B1373</f>
        <v>185380</v>
      </c>
      <c r="C1374" s="1328" t="s">
        <v>150</v>
      </c>
      <c r="D1374" s="1329"/>
      <c r="E1374" s="1329">
        <f>+B1381*0.15</f>
        <v>186761.55</v>
      </c>
      <c r="F1374" s="1329"/>
      <c r="G1374" s="1329"/>
      <c r="H1374" s="1330"/>
      <c r="I1374" s="1330"/>
    </row>
    <row r="1375" spans="1:12" s="1918" customFormat="1" ht="15.75" customHeight="1">
      <c r="A1375" s="492"/>
      <c r="B1375" s="492"/>
      <c r="C1375" s="492"/>
      <c r="D1375" s="492"/>
      <c r="E1375" s="492"/>
      <c r="F1375" s="492"/>
      <c r="G1375" s="492"/>
      <c r="H1375" s="492"/>
      <c r="I1375" s="492"/>
      <c r="J1375" s="2901"/>
      <c r="K1375" s="2901"/>
      <c r="L1375" s="2901"/>
    </row>
    <row r="1376" spans="1:12" s="1918" customFormat="1" ht="16.8">
      <c r="A1376" s="1318"/>
      <c r="B1376" s="3849" t="s">
        <v>7957</v>
      </c>
      <c r="C1376" s="3849"/>
      <c r="D1376" s="3849"/>
      <c r="E1376" s="3849"/>
      <c r="F1376" s="3849"/>
      <c r="G1376" s="3849"/>
      <c r="H1376" s="3849"/>
      <c r="I1376" s="3849"/>
      <c r="J1376" s="2901"/>
      <c r="K1376" s="2901"/>
      <c r="L1376" s="2901"/>
    </row>
    <row r="1377" spans="1:12" s="1918" customFormat="1" ht="16.8">
      <c r="A1377" s="1319"/>
      <c r="B1377" s="1320"/>
      <c r="C1377" s="1319" t="s">
        <v>140</v>
      </c>
      <c r="D1377" s="1319" t="s">
        <v>343</v>
      </c>
      <c r="E1377" s="1319" t="s">
        <v>344</v>
      </c>
      <c r="F1377" s="1319" t="s">
        <v>482</v>
      </c>
      <c r="G1377" s="1319" t="s">
        <v>483</v>
      </c>
      <c r="H1377" s="1319" t="s">
        <v>170</v>
      </c>
      <c r="I1377" s="1319" t="s">
        <v>171</v>
      </c>
      <c r="J1377" s="2901"/>
      <c r="K1377" s="2901"/>
      <c r="L1377" s="2901"/>
    </row>
    <row r="1378" spans="1:12" s="1918" customFormat="1" ht="16.8">
      <c r="A1378" s="1319"/>
      <c r="B1378" s="1320" t="s">
        <v>7954</v>
      </c>
      <c r="C1378" s="1922">
        <v>1</v>
      </c>
      <c r="D1378" s="1920" t="s">
        <v>133</v>
      </c>
      <c r="E1378" s="1324">
        <f>+'BASE 2'!D572</f>
        <v>1230677.175</v>
      </c>
      <c r="F1378" s="1324"/>
      <c r="G1378" s="1324">
        <f>+E1378*C1378</f>
        <v>1230677.175</v>
      </c>
      <c r="H1378" s="1324"/>
      <c r="I1378" s="1324"/>
      <c r="J1378" s="2901"/>
      <c r="K1378" s="2901"/>
      <c r="L1378" s="2901"/>
    </row>
    <row r="1379" spans="1:12" s="1918" customFormat="1" ht="16.8">
      <c r="A1379" s="1319"/>
      <c r="B1379" s="1320" t="s">
        <v>4727</v>
      </c>
      <c r="C1379" s="1919">
        <v>1.2E-2</v>
      </c>
      <c r="D1379" s="1921" t="s">
        <v>583</v>
      </c>
      <c r="E1379" s="1324">
        <f>+VIAJE</f>
        <v>1200000</v>
      </c>
      <c r="F1379" s="1324"/>
      <c r="G1379" s="1324"/>
      <c r="H1379" s="1324"/>
      <c r="I1379" s="2149">
        <f>+E1379*C1379</f>
        <v>14400</v>
      </c>
      <c r="J1379" s="2901"/>
      <c r="K1379" s="2901"/>
      <c r="L1379" s="2901"/>
    </row>
    <row r="1380" spans="1:12" s="1918" customFormat="1" ht="16.8">
      <c r="A1380" s="1325" t="s">
        <v>190</v>
      </c>
      <c r="B1380" s="1326">
        <f>ROUND(SUM(F1380:I1380),0)</f>
        <v>1245077</v>
      </c>
      <c r="C1380" s="1323"/>
      <c r="D1380" s="1327"/>
      <c r="E1380" s="1319"/>
      <c r="F1380" s="1324">
        <f>SUM(F1378:F1378)</f>
        <v>0</v>
      </c>
      <c r="G1380" s="1324">
        <f>SUM(G1378:G1379)</f>
        <v>1230677.175</v>
      </c>
      <c r="H1380" s="1324">
        <f>SUM(H1378:H1378)</f>
        <v>0</v>
      </c>
      <c r="I1380" s="2149">
        <f>+I1379</f>
        <v>14400</v>
      </c>
      <c r="J1380" s="2901"/>
      <c r="K1380" s="2901"/>
      <c r="L1380" s="2901"/>
    </row>
    <row r="1381" spans="1:12" ht="16.8">
      <c r="A1381" s="1325" t="s">
        <v>191</v>
      </c>
      <c r="B1381" s="1326">
        <f>+B1380</f>
        <v>1245077</v>
      </c>
      <c r="C1381" s="1328" t="s">
        <v>150</v>
      </c>
      <c r="D1381" s="1329"/>
      <c r="E1381" s="1329"/>
      <c r="F1381" s="1329"/>
      <c r="G1381" s="1329"/>
      <c r="H1381" s="1330"/>
      <c r="I1381" s="1330"/>
    </row>
    <row r="1383" spans="1:12" s="1918" customFormat="1" ht="16.8">
      <c r="A1383" s="1318"/>
      <c r="B1383" s="3849" t="s">
        <v>6708</v>
      </c>
      <c r="C1383" s="3849"/>
      <c r="D1383" s="3849"/>
      <c r="E1383" s="3849"/>
      <c r="F1383" s="3849"/>
      <c r="G1383" s="3849"/>
      <c r="H1383" s="3849"/>
      <c r="I1383" s="3849"/>
      <c r="J1383" s="2901"/>
      <c r="K1383" s="2901"/>
      <c r="L1383" s="2901"/>
    </row>
    <row r="1384" spans="1:12" s="1918" customFormat="1" ht="16.8">
      <c r="A1384" s="1319"/>
      <c r="B1384" s="1320"/>
      <c r="C1384" s="1319" t="s">
        <v>140</v>
      </c>
      <c r="D1384" s="1319" t="s">
        <v>343</v>
      </c>
      <c r="E1384" s="1319" t="s">
        <v>344</v>
      </c>
      <c r="F1384" s="1319" t="s">
        <v>482</v>
      </c>
      <c r="G1384" s="1319" t="s">
        <v>483</v>
      </c>
      <c r="H1384" s="1319" t="s">
        <v>170</v>
      </c>
      <c r="I1384" s="1319" t="s">
        <v>171</v>
      </c>
      <c r="J1384" s="2901"/>
      <c r="K1384" s="2901"/>
      <c r="L1384" s="2901"/>
    </row>
    <row r="1385" spans="1:12" s="1918" customFormat="1" ht="16.8">
      <c r="A1385" s="1319" t="s">
        <v>345</v>
      </c>
      <c r="B1385" s="1320" t="s">
        <v>6439</v>
      </c>
      <c r="C1385" s="346">
        <v>0.5</v>
      </c>
      <c r="D1385" s="1323" t="s">
        <v>346</v>
      </c>
      <c r="E1385" s="1324">
        <f>+OFICI</f>
        <v>80479.625344</v>
      </c>
      <c r="F1385" s="1324"/>
      <c r="G1385" s="1324"/>
      <c r="H1385" s="1324">
        <f>+E1385*C1385</f>
        <v>40239.812672</v>
      </c>
      <c r="I1385" s="1324"/>
      <c r="J1385" s="2901"/>
      <c r="K1385" s="2901"/>
      <c r="L1385" s="2901"/>
    </row>
    <row r="1386" spans="1:12" s="1918" customFormat="1" ht="16.8">
      <c r="A1386" s="1319" t="s">
        <v>348</v>
      </c>
      <c r="B1386" s="1320" t="s">
        <v>6579</v>
      </c>
      <c r="C1386" s="346">
        <v>0.5</v>
      </c>
      <c r="D1386" s="1323" t="s">
        <v>346</v>
      </c>
      <c r="E1386" s="1324">
        <f>+AYUDR</f>
        <v>50299.76584</v>
      </c>
      <c r="F1386" s="1324"/>
      <c r="G1386" s="1324"/>
      <c r="H1386" s="1324">
        <f>+E1386*C1386</f>
        <v>25149.88292</v>
      </c>
      <c r="I1386" s="1324"/>
      <c r="J1386" s="2901"/>
      <c r="K1386" s="2901"/>
      <c r="L1386" s="2901"/>
    </row>
    <row r="1387" spans="1:12" s="1918" customFormat="1" ht="16.8">
      <c r="A1387" s="1319" t="s">
        <v>172</v>
      </c>
      <c r="B1387" s="1320" t="s">
        <v>189</v>
      </c>
      <c r="C1387" s="346">
        <v>1</v>
      </c>
      <c r="D1387" s="1323" t="s">
        <v>583</v>
      </c>
      <c r="E1387" s="1324">
        <f>+H1388*0.05</f>
        <v>3269.4847796000004</v>
      </c>
      <c r="F1387" s="1324"/>
      <c r="G1387" s="1324"/>
      <c r="H1387" s="1324"/>
      <c r="I1387" s="1324">
        <f>+E1387*C1387</f>
        <v>3269.4847796000004</v>
      </c>
      <c r="J1387" s="2901"/>
      <c r="K1387" s="2901"/>
      <c r="L1387" s="2901"/>
    </row>
    <row r="1388" spans="1:12" s="1918" customFormat="1" ht="16.8">
      <c r="A1388" s="1325" t="s">
        <v>190</v>
      </c>
      <c r="B1388" s="1326">
        <f>ROUND(SUM(F1388:I1388),0)</f>
        <v>68659</v>
      </c>
      <c r="C1388" s="1323"/>
      <c r="D1388" s="1327"/>
      <c r="E1388" s="1319"/>
      <c r="F1388" s="1324">
        <f>SUM(F1385:F1387)</f>
        <v>0</v>
      </c>
      <c r="G1388" s="1324">
        <f>SUM(G1385:G1386)</f>
        <v>0</v>
      </c>
      <c r="H1388" s="1324">
        <f>SUM(H1385:H1386)</f>
        <v>65389.695592000004</v>
      </c>
      <c r="I1388" s="1324">
        <f>SUM(I1385:I1387)</f>
        <v>3269.4847796000004</v>
      </c>
      <c r="J1388" s="2901"/>
      <c r="K1388" s="2901"/>
      <c r="L1388" s="2901"/>
    </row>
    <row r="1389" spans="1:12" ht="16.8">
      <c r="A1389" s="1325" t="s">
        <v>191</v>
      </c>
      <c r="B1389" s="1326">
        <f>+B1388</f>
        <v>68659</v>
      </c>
      <c r="C1389" s="1328" t="s">
        <v>150</v>
      </c>
      <c r="D1389" s="1329"/>
      <c r="E1389" s="1329">
        <f>+B1396*0.15</f>
        <v>67134</v>
      </c>
      <c r="F1389" s="1329"/>
      <c r="G1389" s="1329"/>
      <c r="H1389" s="1330"/>
      <c r="I1389" s="1330"/>
    </row>
    <row r="1390" spans="1:12" s="1918" customFormat="1" ht="15.75" customHeight="1">
      <c r="A1390" s="492"/>
      <c r="B1390" s="492"/>
      <c r="C1390" s="492"/>
      <c r="D1390" s="492"/>
      <c r="E1390" s="492"/>
      <c r="F1390" s="492"/>
      <c r="G1390" s="492"/>
      <c r="H1390" s="492"/>
      <c r="I1390" s="492"/>
      <c r="J1390" s="2901"/>
      <c r="K1390" s="2901">
        <f>0.05*1</f>
        <v>0.05</v>
      </c>
      <c r="L1390" s="2901"/>
    </row>
    <row r="1391" spans="1:12" s="1918" customFormat="1" ht="16.8">
      <c r="A1391" s="1318"/>
      <c r="B1391" s="3849" t="s">
        <v>6707</v>
      </c>
      <c r="C1391" s="3849"/>
      <c r="D1391" s="3849"/>
      <c r="E1391" s="3849"/>
      <c r="F1391" s="3849"/>
      <c r="G1391" s="3849"/>
      <c r="H1391" s="3849"/>
      <c r="I1391" s="3849"/>
      <c r="J1391" s="2901"/>
      <c r="K1391" s="2901"/>
      <c r="L1391" s="2901"/>
    </row>
    <row r="1392" spans="1:12" s="1918" customFormat="1" ht="15" customHeight="1">
      <c r="A1392" s="1319"/>
      <c r="B1392" s="1320"/>
      <c r="C1392" s="1319" t="s">
        <v>140</v>
      </c>
      <c r="D1392" s="1319" t="s">
        <v>343</v>
      </c>
      <c r="E1392" s="1319" t="s">
        <v>344</v>
      </c>
      <c r="F1392" s="1319" t="s">
        <v>482</v>
      </c>
      <c r="G1392" s="1319" t="s">
        <v>483</v>
      </c>
      <c r="H1392" s="1319" t="s">
        <v>170</v>
      </c>
      <c r="I1392" s="1319" t="s">
        <v>171</v>
      </c>
      <c r="J1392" s="2901"/>
      <c r="K1392" s="2901"/>
      <c r="L1392" s="2901"/>
    </row>
    <row r="1393" spans="1:12" s="1918" customFormat="1" ht="16.8">
      <c r="A1393" s="1319"/>
      <c r="B1393" s="1335" t="s">
        <v>6705</v>
      </c>
      <c r="C1393" s="1922">
        <v>1</v>
      </c>
      <c r="D1393" s="1920" t="s">
        <v>133</v>
      </c>
      <c r="E1393" s="1324">
        <f>+'BASE 2'!D632</f>
        <v>433160</v>
      </c>
      <c r="F1393" s="1324"/>
      <c r="G1393" s="1324">
        <f>+E1393*C1393</f>
        <v>433160</v>
      </c>
      <c r="H1393" s="1324"/>
      <c r="I1393" s="1324"/>
      <c r="J1393" s="2901"/>
      <c r="K1393" s="2901"/>
      <c r="L1393" s="2901"/>
    </row>
    <row r="1394" spans="1:12" s="1918" customFormat="1" ht="16.8">
      <c r="A1394" s="1319"/>
      <c r="B1394" s="1320" t="s">
        <v>4727</v>
      </c>
      <c r="C1394" s="1919">
        <v>1.2E-2</v>
      </c>
      <c r="D1394" s="1921" t="s">
        <v>583</v>
      </c>
      <c r="E1394" s="1324">
        <f>+VIAJE</f>
        <v>1200000</v>
      </c>
      <c r="F1394" s="1324"/>
      <c r="G1394" s="1324"/>
      <c r="H1394" s="1324"/>
      <c r="I1394" s="1324">
        <f>+E1394*C1394</f>
        <v>14400</v>
      </c>
      <c r="J1394" s="2901"/>
      <c r="K1394" s="2901"/>
      <c r="L1394" s="2901"/>
    </row>
    <row r="1395" spans="1:12" s="1918" customFormat="1" ht="16.8">
      <c r="A1395" s="1325" t="s">
        <v>190</v>
      </c>
      <c r="B1395" s="1326">
        <f>ROUND(SUM(F1395:I1395),0)</f>
        <v>447560</v>
      </c>
      <c r="C1395" s="1323"/>
      <c r="D1395" s="1327"/>
      <c r="E1395" s="1319"/>
      <c r="F1395" s="1324">
        <f>SUM(F1393:F1393)</f>
        <v>0</v>
      </c>
      <c r="G1395" s="1324">
        <f>SUM(G1393:G1394)</f>
        <v>433160</v>
      </c>
      <c r="H1395" s="1324">
        <f>SUM(H1393:H1393)</f>
        <v>0</v>
      </c>
      <c r="I1395" s="1324">
        <f>+I1394</f>
        <v>14400</v>
      </c>
      <c r="J1395" s="2901"/>
      <c r="K1395" s="2901"/>
      <c r="L1395" s="2901"/>
    </row>
    <row r="1396" spans="1:12" ht="16.8">
      <c r="A1396" s="1325" t="s">
        <v>191</v>
      </c>
      <c r="B1396" s="1326">
        <f>+B1395</f>
        <v>447560</v>
      </c>
      <c r="C1396" s="1328" t="s">
        <v>150</v>
      </c>
      <c r="D1396" s="1329"/>
      <c r="E1396" s="1329"/>
      <c r="F1396" s="1329"/>
      <c r="G1396" s="1329"/>
      <c r="H1396" s="1330"/>
      <c r="I1396" s="1330"/>
    </row>
    <row r="1398" spans="1:12" s="1918" customFormat="1" ht="16.8">
      <c r="A1398" s="1318"/>
      <c r="B1398" s="3849" t="s">
        <v>7964</v>
      </c>
      <c r="C1398" s="3849"/>
      <c r="D1398" s="3849"/>
      <c r="E1398" s="3849"/>
      <c r="F1398" s="3849"/>
      <c r="G1398" s="3849"/>
      <c r="H1398" s="3849"/>
      <c r="I1398" s="3849"/>
      <c r="J1398" s="2901"/>
      <c r="K1398" s="2901"/>
      <c r="L1398" s="2901"/>
    </row>
    <row r="1399" spans="1:12" s="1918" customFormat="1" ht="16.8">
      <c r="A1399" s="1319"/>
      <c r="B1399" s="1320"/>
      <c r="C1399" s="1319" t="s">
        <v>140</v>
      </c>
      <c r="D1399" s="1319" t="s">
        <v>343</v>
      </c>
      <c r="E1399" s="1319" t="s">
        <v>344</v>
      </c>
      <c r="F1399" s="1319" t="s">
        <v>482</v>
      </c>
      <c r="G1399" s="1319" t="s">
        <v>483</v>
      </c>
      <c r="H1399" s="1319" t="s">
        <v>170</v>
      </c>
      <c r="I1399" s="1319" t="s">
        <v>171</v>
      </c>
      <c r="J1399" s="2901"/>
      <c r="K1399" s="2901"/>
      <c r="L1399" s="2901"/>
    </row>
    <row r="1400" spans="1:12" s="1918" customFormat="1" ht="16.8">
      <c r="A1400" s="1319" t="s">
        <v>345</v>
      </c>
      <c r="B1400" s="1320" t="s">
        <v>6439</v>
      </c>
      <c r="C1400" s="1322">
        <v>1.25</v>
      </c>
      <c r="D1400" s="1323" t="s">
        <v>346</v>
      </c>
      <c r="E1400" s="1324">
        <f>+OFICI</f>
        <v>80479.625344</v>
      </c>
      <c r="F1400" s="1324"/>
      <c r="G1400" s="1324"/>
      <c r="H1400" s="1324">
        <f>+E1400*C1400</f>
        <v>100599.53168</v>
      </c>
      <c r="I1400" s="1324"/>
      <c r="J1400" s="2901"/>
      <c r="K1400" s="2901"/>
      <c r="L1400" s="2901"/>
    </row>
    <row r="1401" spans="1:12" s="1918" customFormat="1" ht="16.8">
      <c r="A1401" s="1319" t="s">
        <v>348</v>
      </c>
      <c r="B1401" s="1320" t="s">
        <v>6579</v>
      </c>
      <c r="C1401" s="1322">
        <v>1.25</v>
      </c>
      <c r="D1401" s="1323" t="s">
        <v>346</v>
      </c>
      <c r="E1401" s="1324">
        <f>+AYUDR</f>
        <v>50299.76584</v>
      </c>
      <c r="F1401" s="1324"/>
      <c r="G1401" s="1324"/>
      <c r="H1401" s="1324">
        <f>+E1401*C1401</f>
        <v>62874.707300000002</v>
      </c>
      <c r="I1401" s="1324"/>
      <c r="J1401" s="2901"/>
      <c r="K1401" s="2901"/>
      <c r="L1401" s="2901"/>
    </row>
    <row r="1402" spans="1:12" s="1918" customFormat="1" ht="16.8">
      <c r="A1402" s="1319" t="s">
        <v>172</v>
      </c>
      <c r="B1402" s="1320" t="s">
        <v>189</v>
      </c>
      <c r="C1402" s="1322">
        <v>1</v>
      </c>
      <c r="D1402" s="1323" t="s">
        <v>583</v>
      </c>
      <c r="E1402" s="1324">
        <f>+H1403*0.05</f>
        <v>8173.7119490000005</v>
      </c>
      <c r="F1402" s="1324"/>
      <c r="G1402" s="1324"/>
      <c r="H1402" s="1324"/>
      <c r="I1402" s="1324">
        <f>+E1402*C1402</f>
        <v>8173.7119490000005</v>
      </c>
      <c r="J1402" s="2901"/>
      <c r="K1402" s="2901"/>
      <c r="L1402" s="2901"/>
    </row>
    <row r="1403" spans="1:12" s="1918" customFormat="1" ht="16.8">
      <c r="A1403" s="1325" t="s">
        <v>190</v>
      </c>
      <c r="B1403" s="1326">
        <f>ROUND(SUM(F1403:I1403),0)</f>
        <v>171648</v>
      </c>
      <c r="C1403" s="1323"/>
      <c r="D1403" s="1327"/>
      <c r="E1403" s="1319"/>
      <c r="F1403" s="1324">
        <f>SUM(F1400:F1402)</f>
        <v>0</v>
      </c>
      <c r="G1403" s="1324">
        <f>SUM(G1400:G1401)</f>
        <v>0</v>
      </c>
      <c r="H1403" s="1324">
        <f>SUM(H1400:H1401)</f>
        <v>163474.23897999999</v>
      </c>
      <c r="I1403" s="1324">
        <f>SUM(I1400:I1402)</f>
        <v>8173.7119490000005</v>
      </c>
      <c r="J1403" s="2901"/>
      <c r="K1403" s="2901"/>
      <c r="L1403" s="2901"/>
    </row>
    <row r="1404" spans="1:12" ht="16.8">
      <c r="A1404" s="1325" t="s">
        <v>191</v>
      </c>
      <c r="B1404" s="1326">
        <f>+B1403</f>
        <v>171648</v>
      </c>
      <c r="C1404" s="1328" t="s">
        <v>150</v>
      </c>
      <c r="D1404" s="1329"/>
      <c r="E1404" s="1329">
        <f>+B1411*0.15</f>
        <v>170363.25</v>
      </c>
      <c r="F1404" s="1329"/>
      <c r="G1404" s="1329"/>
      <c r="H1404" s="1330"/>
      <c r="I1404" s="1330"/>
    </row>
    <row r="1405" spans="1:12" s="1918" customFormat="1" ht="15.75" customHeight="1">
      <c r="A1405" s="492"/>
      <c r="B1405" s="492"/>
      <c r="C1405" s="492"/>
      <c r="D1405" s="492"/>
      <c r="E1405" s="492"/>
      <c r="F1405" s="492"/>
      <c r="G1405" s="492"/>
      <c r="H1405" s="492"/>
      <c r="I1405" s="492"/>
      <c r="J1405" s="2901"/>
      <c r="K1405" s="2901"/>
      <c r="L1405" s="2901"/>
    </row>
    <row r="1406" spans="1:12" s="1918" customFormat="1" ht="16.8">
      <c r="A1406" s="1318"/>
      <c r="B1406" s="3849" t="s">
        <v>7963</v>
      </c>
      <c r="C1406" s="3849"/>
      <c r="D1406" s="3849"/>
      <c r="E1406" s="3849"/>
      <c r="F1406" s="3849"/>
      <c r="G1406" s="3849"/>
      <c r="H1406" s="3849"/>
      <c r="I1406" s="3849"/>
      <c r="J1406" s="2901"/>
      <c r="K1406" s="2901"/>
      <c r="L1406" s="2901"/>
    </row>
    <row r="1407" spans="1:12" s="1918" customFormat="1" ht="16.8">
      <c r="A1407" s="1319"/>
      <c r="B1407" s="1320"/>
      <c r="C1407" s="1319" t="s">
        <v>140</v>
      </c>
      <c r="D1407" s="1319" t="s">
        <v>343</v>
      </c>
      <c r="E1407" s="1319" t="s">
        <v>344</v>
      </c>
      <c r="F1407" s="1319" t="s">
        <v>482</v>
      </c>
      <c r="G1407" s="1319" t="s">
        <v>483</v>
      </c>
      <c r="H1407" s="1319" t="s">
        <v>170</v>
      </c>
      <c r="I1407" s="1319" t="s">
        <v>171</v>
      </c>
      <c r="J1407" s="2901"/>
      <c r="K1407" s="2901"/>
      <c r="L1407" s="2901"/>
    </row>
    <row r="1408" spans="1:12" s="1918" customFormat="1" ht="16.8">
      <c r="A1408" s="1319"/>
      <c r="B1408" s="1320" t="s">
        <v>7958</v>
      </c>
      <c r="C1408" s="1922">
        <v>1</v>
      </c>
      <c r="D1408" s="1920" t="s">
        <v>133</v>
      </c>
      <c r="E1408" s="1324">
        <f>+'BASE 2'!D567</f>
        <v>1121354.8499999999</v>
      </c>
      <c r="F1408" s="1324"/>
      <c r="G1408" s="1324">
        <f>+E1408*C1408</f>
        <v>1121354.8499999999</v>
      </c>
      <c r="H1408" s="1324"/>
      <c r="I1408" s="1324"/>
      <c r="J1408" s="2901"/>
      <c r="K1408" s="2901"/>
      <c r="L1408" s="2901"/>
    </row>
    <row r="1409" spans="1:12" s="1918" customFormat="1" ht="16.8">
      <c r="A1409" s="1319"/>
      <c r="B1409" s="1320" t="s">
        <v>4727</v>
      </c>
      <c r="C1409" s="1919">
        <v>1.2E-2</v>
      </c>
      <c r="D1409" s="1921" t="s">
        <v>583</v>
      </c>
      <c r="E1409" s="1324">
        <f>+VIAJE</f>
        <v>1200000</v>
      </c>
      <c r="F1409" s="1324"/>
      <c r="G1409" s="1324"/>
      <c r="H1409" s="1324"/>
      <c r="I1409" s="1324">
        <f>+E1409*C1409</f>
        <v>14400</v>
      </c>
      <c r="J1409" s="2901"/>
      <c r="K1409" s="2901"/>
      <c r="L1409" s="2901"/>
    </row>
    <row r="1410" spans="1:12" s="1918" customFormat="1" ht="16.8">
      <c r="A1410" s="1325" t="s">
        <v>190</v>
      </c>
      <c r="B1410" s="1326">
        <f>ROUND(SUM(F1410:I1410),0)</f>
        <v>1135755</v>
      </c>
      <c r="C1410" s="1323"/>
      <c r="D1410" s="1327"/>
      <c r="E1410" s="1319"/>
      <c r="F1410" s="1324">
        <f>SUM(F1408:F1408)</f>
        <v>0</v>
      </c>
      <c r="G1410" s="1324">
        <f>SUM(G1408:G1409)</f>
        <v>1121354.8499999999</v>
      </c>
      <c r="H1410" s="1324">
        <f>SUM(H1408:H1408)</f>
        <v>0</v>
      </c>
      <c r="I1410" s="1324">
        <f>+I1409</f>
        <v>14400</v>
      </c>
      <c r="J1410" s="2901"/>
      <c r="K1410" s="2901"/>
      <c r="L1410" s="2901"/>
    </row>
    <row r="1411" spans="1:12" ht="16.8">
      <c r="A1411" s="1325" t="s">
        <v>191</v>
      </c>
      <c r="B1411" s="1326">
        <f>+B1410</f>
        <v>1135755</v>
      </c>
      <c r="C1411" s="1328" t="s">
        <v>150</v>
      </c>
      <c r="D1411" s="1329"/>
      <c r="E1411" s="1329"/>
      <c r="F1411" s="1329"/>
      <c r="G1411" s="1329"/>
      <c r="H1411" s="1330"/>
      <c r="I1411" s="1330"/>
    </row>
    <row r="1413" spans="1:12" s="1918" customFormat="1" ht="16.8">
      <c r="A1413" s="1318"/>
      <c r="B1413" s="3849" t="s">
        <v>7968</v>
      </c>
      <c r="C1413" s="3849"/>
      <c r="D1413" s="3849"/>
      <c r="E1413" s="3849"/>
      <c r="F1413" s="3849"/>
      <c r="G1413" s="3849"/>
      <c r="H1413" s="3849"/>
      <c r="I1413" s="3849"/>
      <c r="J1413" s="2901"/>
      <c r="K1413" s="2901"/>
      <c r="L1413" s="2901"/>
    </row>
    <row r="1414" spans="1:12" s="1918" customFormat="1" ht="16.8">
      <c r="A1414" s="1319"/>
      <c r="B1414" s="1320"/>
      <c r="C1414" s="1319" t="s">
        <v>140</v>
      </c>
      <c r="D1414" s="1319" t="s">
        <v>343</v>
      </c>
      <c r="E1414" s="1319" t="s">
        <v>344</v>
      </c>
      <c r="F1414" s="1319" t="s">
        <v>482</v>
      </c>
      <c r="G1414" s="1319" t="s">
        <v>483</v>
      </c>
      <c r="H1414" s="1319" t="s">
        <v>170</v>
      </c>
      <c r="I1414" s="1319" t="s">
        <v>171</v>
      </c>
      <c r="J1414" s="2901"/>
      <c r="K1414" s="2901"/>
      <c r="L1414" s="2901"/>
    </row>
    <row r="1415" spans="1:12" s="1918" customFormat="1" ht="16.8">
      <c r="A1415" s="1319" t="s">
        <v>345</v>
      </c>
      <c r="B1415" s="1320" t="s">
        <v>6439</v>
      </c>
      <c r="C1415" s="1322">
        <v>0.6</v>
      </c>
      <c r="D1415" s="1323" t="s">
        <v>346</v>
      </c>
      <c r="E1415" s="1324">
        <f>+OFICI</f>
        <v>80479.625344</v>
      </c>
      <c r="F1415" s="1324"/>
      <c r="G1415" s="1324"/>
      <c r="H1415" s="1324">
        <f>+E1415*C1415</f>
        <v>48287.775206400001</v>
      </c>
      <c r="I1415" s="1324"/>
      <c r="J1415" s="2901"/>
      <c r="K1415" s="2901"/>
      <c r="L1415" s="2901"/>
    </row>
    <row r="1416" spans="1:12" s="1918" customFormat="1" ht="16.8">
      <c r="A1416" s="1319" t="s">
        <v>348</v>
      </c>
      <c r="B1416" s="1320" t="s">
        <v>6579</v>
      </c>
      <c r="C1416" s="1322">
        <v>0.6</v>
      </c>
      <c r="D1416" s="1323" t="s">
        <v>346</v>
      </c>
      <c r="E1416" s="1324">
        <f>+AYUDR</f>
        <v>50299.76584</v>
      </c>
      <c r="F1416" s="1324"/>
      <c r="G1416" s="1324"/>
      <c r="H1416" s="1324">
        <f>+E1416*C1416</f>
        <v>30179.859504</v>
      </c>
      <c r="I1416" s="1324"/>
      <c r="J1416" s="2901"/>
      <c r="K1416" s="2901"/>
      <c r="L1416" s="2901"/>
    </row>
    <row r="1417" spans="1:12" s="1918" customFormat="1" ht="16.8">
      <c r="A1417" s="1319" t="s">
        <v>172</v>
      </c>
      <c r="B1417" s="1320" t="s">
        <v>189</v>
      </c>
      <c r="C1417" s="1322">
        <v>1</v>
      </c>
      <c r="D1417" s="1323" t="s">
        <v>583</v>
      </c>
      <c r="E1417" s="1324">
        <f>+H1418*0.05</f>
        <v>3923.3817355200003</v>
      </c>
      <c r="F1417" s="1324"/>
      <c r="G1417" s="1324"/>
      <c r="H1417" s="1324"/>
      <c r="I1417" s="1324">
        <f>+E1417*C1417</f>
        <v>3923.3817355200003</v>
      </c>
      <c r="J1417" s="2901"/>
      <c r="K1417" s="2901"/>
      <c r="L1417" s="2901"/>
    </row>
    <row r="1418" spans="1:12" s="1918" customFormat="1" ht="16.8">
      <c r="A1418" s="1325" t="s">
        <v>190</v>
      </c>
      <c r="B1418" s="1326">
        <f>ROUND(SUM(F1418:I1418),0)</f>
        <v>82391</v>
      </c>
      <c r="C1418" s="1323"/>
      <c r="D1418" s="1327"/>
      <c r="E1418" s="1319"/>
      <c r="F1418" s="1324">
        <f>SUM(F1415:F1417)</f>
        <v>0</v>
      </c>
      <c r="G1418" s="1324">
        <f>SUM(G1415:G1416)</f>
        <v>0</v>
      </c>
      <c r="H1418" s="1324">
        <f>SUM(H1415:H1416)</f>
        <v>78467.634710400001</v>
      </c>
      <c r="I1418" s="1324">
        <f>SUM(I1415:I1417)</f>
        <v>3923.3817355200003</v>
      </c>
      <c r="J1418" s="2901"/>
      <c r="K1418" s="2901"/>
      <c r="L1418" s="2901"/>
    </row>
    <row r="1419" spans="1:12" ht="16.8">
      <c r="A1419" s="1325" t="s">
        <v>191</v>
      </c>
      <c r="B1419" s="1326">
        <f>+B1418</f>
        <v>82391</v>
      </c>
      <c r="C1419" s="1328" t="s">
        <v>150</v>
      </c>
      <c r="D1419" s="1329"/>
      <c r="E1419" s="1329">
        <f>+B1426*0.15</f>
        <v>83611.649999999994</v>
      </c>
      <c r="F1419" s="1329"/>
      <c r="G1419" s="1329"/>
      <c r="H1419" s="1330"/>
      <c r="I1419" s="1330"/>
    </row>
    <row r="1420" spans="1:12" s="1918" customFormat="1" ht="15.75" customHeight="1">
      <c r="A1420" s="492"/>
      <c r="B1420" s="492"/>
      <c r="C1420" s="492"/>
      <c r="D1420" s="492"/>
      <c r="E1420" s="492"/>
      <c r="F1420" s="492"/>
      <c r="G1420" s="492"/>
      <c r="H1420" s="492"/>
      <c r="I1420" s="492"/>
      <c r="J1420" s="2901"/>
      <c r="K1420" s="2901">
        <f>0.05*1</f>
        <v>0.05</v>
      </c>
      <c r="L1420" s="2901"/>
    </row>
    <row r="1421" spans="1:12" s="1918" customFormat="1" ht="16.8">
      <c r="A1421" s="1318"/>
      <c r="B1421" s="3849" t="s">
        <v>7967</v>
      </c>
      <c r="C1421" s="3849"/>
      <c r="D1421" s="3849"/>
      <c r="E1421" s="3849"/>
      <c r="F1421" s="3849"/>
      <c r="G1421" s="3849"/>
      <c r="H1421" s="3849"/>
      <c r="I1421" s="3849"/>
      <c r="J1421" s="2901"/>
      <c r="K1421" s="2901"/>
      <c r="L1421" s="2901"/>
    </row>
    <row r="1422" spans="1:12" s="1918" customFormat="1" ht="16.8">
      <c r="A1422" s="1319"/>
      <c r="B1422" s="1320"/>
      <c r="C1422" s="1319" t="s">
        <v>140</v>
      </c>
      <c r="D1422" s="1319" t="s">
        <v>343</v>
      </c>
      <c r="E1422" s="1319" t="s">
        <v>344</v>
      </c>
      <c r="F1422" s="1319" t="s">
        <v>482</v>
      </c>
      <c r="G1422" s="1319" t="s">
        <v>483</v>
      </c>
      <c r="H1422" s="1319" t="s">
        <v>170</v>
      </c>
      <c r="I1422" s="1319" t="s">
        <v>171</v>
      </c>
      <c r="J1422" s="2901"/>
      <c r="K1422" s="2901"/>
      <c r="L1422" s="2901"/>
    </row>
    <row r="1423" spans="1:12" s="1918" customFormat="1" ht="16.8">
      <c r="A1423" s="1319"/>
      <c r="B1423" s="1320" t="s">
        <v>7959</v>
      </c>
      <c r="C1423" s="1922">
        <v>1</v>
      </c>
      <c r="D1423" s="1920" t="s">
        <v>133</v>
      </c>
      <c r="E1423" s="1324">
        <f>+'BASE 2'!D560</f>
        <v>543011.28</v>
      </c>
      <c r="F1423" s="1324"/>
      <c r="G1423" s="1324">
        <f>+E1423*C1423</f>
        <v>543011.28</v>
      </c>
      <c r="H1423" s="1324"/>
      <c r="I1423" s="1324"/>
      <c r="J1423" s="2901"/>
      <c r="K1423" s="2901"/>
      <c r="L1423" s="2901"/>
    </row>
    <row r="1424" spans="1:12" s="1918" customFormat="1" ht="16.8">
      <c r="A1424" s="1319"/>
      <c r="B1424" s="1320" t="s">
        <v>4727</v>
      </c>
      <c r="C1424" s="1919">
        <v>1.2E-2</v>
      </c>
      <c r="D1424" s="1921" t="s">
        <v>583</v>
      </c>
      <c r="E1424" s="1324">
        <f>+VIAJE</f>
        <v>1200000</v>
      </c>
      <c r="F1424" s="1324"/>
      <c r="G1424" s="1324"/>
      <c r="H1424" s="1324"/>
      <c r="I1424" s="1324">
        <f>+E1424*C1424</f>
        <v>14400</v>
      </c>
      <c r="J1424" s="2901"/>
      <c r="K1424" s="2901"/>
      <c r="L1424" s="2901"/>
    </row>
    <row r="1425" spans="1:12" s="1918" customFormat="1" ht="16.8">
      <c r="A1425" s="1325" t="s">
        <v>190</v>
      </c>
      <c r="B1425" s="1326">
        <f>ROUND(SUM(F1425:I1425),0)</f>
        <v>557411</v>
      </c>
      <c r="C1425" s="1323"/>
      <c r="D1425" s="1327"/>
      <c r="E1425" s="1319"/>
      <c r="F1425" s="1324">
        <f>SUM(F1423:F1423)</f>
        <v>0</v>
      </c>
      <c r="G1425" s="1324">
        <f>SUM(G1423:G1424)</f>
        <v>543011.28</v>
      </c>
      <c r="H1425" s="1324">
        <f>SUM(H1423:H1423)</f>
        <v>0</v>
      </c>
      <c r="I1425" s="1324">
        <f>+I1424</f>
        <v>14400</v>
      </c>
      <c r="J1425" s="2901"/>
      <c r="K1425" s="2901"/>
      <c r="L1425" s="2901"/>
    </row>
    <row r="1426" spans="1:12" ht="16.8">
      <c r="A1426" s="1325" t="s">
        <v>191</v>
      </c>
      <c r="B1426" s="1326">
        <f>+B1425</f>
        <v>557411</v>
      </c>
      <c r="C1426" s="1328" t="s">
        <v>150</v>
      </c>
      <c r="D1426" s="1329"/>
      <c r="E1426" s="1329"/>
      <c r="F1426" s="1329"/>
      <c r="G1426" s="1329"/>
      <c r="H1426" s="1330"/>
      <c r="I1426" s="1330"/>
    </row>
    <row r="1428" spans="1:12" s="1918" customFormat="1" ht="16.8">
      <c r="A1428" s="1318"/>
      <c r="B1428" s="3849" t="s">
        <v>6713</v>
      </c>
      <c r="C1428" s="3849"/>
      <c r="D1428" s="3849"/>
      <c r="E1428" s="3849"/>
      <c r="F1428" s="3849"/>
      <c r="G1428" s="3849"/>
      <c r="H1428" s="3849"/>
      <c r="I1428" s="3849"/>
      <c r="J1428" s="2901"/>
      <c r="K1428" s="2901"/>
      <c r="L1428" s="2901"/>
    </row>
    <row r="1429" spans="1:12" s="1918" customFormat="1" ht="16.8">
      <c r="A1429" s="1319"/>
      <c r="B1429" s="1320"/>
      <c r="C1429" s="1319" t="s">
        <v>140</v>
      </c>
      <c r="D1429" s="1319" t="s">
        <v>343</v>
      </c>
      <c r="E1429" s="1319" t="s">
        <v>344</v>
      </c>
      <c r="F1429" s="1319" t="s">
        <v>482</v>
      </c>
      <c r="G1429" s="1319" t="s">
        <v>483</v>
      </c>
      <c r="H1429" s="1319" t="s">
        <v>170</v>
      </c>
      <c r="I1429" s="1319" t="s">
        <v>171</v>
      </c>
      <c r="J1429" s="2901"/>
      <c r="K1429" s="2901"/>
      <c r="L1429" s="2901"/>
    </row>
    <row r="1430" spans="1:12" s="1918" customFormat="1" ht="16.8">
      <c r="A1430" s="1319" t="s">
        <v>345</v>
      </c>
      <c r="B1430" s="1320" t="s">
        <v>6439</v>
      </c>
      <c r="C1430" s="1322">
        <v>0.5</v>
      </c>
      <c r="D1430" s="1323" t="s">
        <v>346</v>
      </c>
      <c r="E1430" s="1324">
        <f>+OFICI</f>
        <v>80479.625344</v>
      </c>
      <c r="F1430" s="1324"/>
      <c r="G1430" s="1324"/>
      <c r="H1430" s="1324">
        <f>+E1430*C1430</f>
        <v>40239.812672</v>
      </c>
      <c r="I1430" s="1324"/>
      <c r="J1430" s="2901"/>
      <c r="K1430" s="2901"/>
      <c r="L1430" s="2901"/>
    </row>
    <row r="1431" spans="1:12" s="1918" customFormat="1" ht="16.8">
      <c r="A1431" s="1319" t="s">
        <v>348</v>
      </c>
      <c r="B1431" s="1320" t="s">
        <v>6579</v>
      </c>
      <c r="C1431" s="1322">
        <v>0.5</v>
      </c>
      <c r="D1431" s="1323" t="s">
        <v>346</v>
      </c>
      <c r="E1431" s="1324">
        <f>+AYUDR</f>
        <v>50299.76584</v>
      </c>
      <c r="F1431" s="1324"/>
      <c r="G1431" s="1324"/>
      <c r="H1431" s="1324">
        <f>+E1431*C1431</f>
        <v>25149.88292</v>
      </c>
      <c r="I1431" s="1324"/>
      <c r="J1431" s="2901"/>
      <c r="K1431" s="2901"/>
      <c r="L1431" s="2901"/>
    </row>
    <row r="1432" spans="1:12" s="1918" customFormat="1" ht="16.8">
      <c r="A1432" s="1319" t="s">
        <v>172</v>
      </c>
      <c r="B1432" s="1320" t="s">
        <v>189</v>
      </c>
      <c r="C1432" s="1322">
        <v>1</v>
      </c>
      <c r="D1432" s="1323" t="s">
        <v>583</v>
      </c>
      <c r="E1432" s="1324">
        <f>+H1433*0.05</f>
        <v>3269.4847796000004</v>
      </c>
      <c r="F1432" s="1324"/>
      <c r="G1432" s="1324"/>
      <c r="H1432" s="1324"/>
      <c r="I1432" s="1324">
        <f>+E1432*C1432</f>
        <v>3269.4847796000004</v>
      </c>
      <c r="J1432" s="2901"/>
      <c r="K1432" s="2901"/>
      <c r="L1432" s="2901"/>
    </row>
    <row r="1433" spans="1:12" s="1918" customFormat="1" ht="16.8">
      <c r="A1433" s="1325" t="s">
        <v>190</v>
      </c>
      <c r="B1433" s="1326">
        <f>ROUND(SUM(F1433:I1433),0)</f>
        <v>68659</v>
      </c>
      <c r="C1433" s="1323"/>
      <c r="D1433" s="1327"/>
      <c r="E1433" s="1319"/>
      <c r="F1433" s="1324">
        <f>SUM(F1430:F1432)</f>
        <v>0</v>
      </c>
      <c r="G1433" s="1324">
        <f>SUM(G1430:G1431)</f>
        <v>0</v>
      </c>
      <c r="H1433" s="1324">
        <f>SUM(H1430:H1431)</f>
        <v>65389.695592000004</v>
      </c>
      <c r="I1433" s="1324">
        <f>SUM(I1430:I1432)</f>
        <v>3269.4847796000004</v>
      </c>
      <c r="J1433" s="2901"/>
      <c r="K1433" s="2901"/>
      <c r="L1433" s="2901"/>
    </row>
    <row r="1434" spans="1:12" ht="16.8">
      <c r="A1434" s="1325" t="s">
        <v>191</v>
      </c>
      <c r="B1434" s="1326">
        <f>+B1433</f>
        <v>68659</v>
      </c>
      <c r="C1434" s="1328" t="s">
        <v>150</v>
      </c>
      <c r="D1434" s="1329"/>
      <c r="E1434" s="1329">
        <f>+B1441*0.15</f>
        <v>69633</v>
      </c>
      <c r="F1434" s="1329"/>
      <c r="G1434" s="1329"/>
      <c r="H1434" s="1330"/>
      <c r="I1434" s="1330"/>
    </row>
    <row r="1435" spans="1:12" s="1918" customFormat="1" ht="15.75" customHeight="1">
      <c r="A1435" s="492"/>
      <c r="B1435" s="492"/>
      <c r="C1435" s="492"/>
      <c r="D1435" s="492"/>
      <c r="E1435" s="492"/>
      <c r="F1435" s="492"/>
      <c r="G1435" s="492"/>
      <c r="H1435" s="492"/>
      <c r="I1435" s="492"/>
      <c r="J1435" s="2901"/>
      <c r="K1435" s="2901">
        <f>0.05*1</f>
        <v>0.05</v>
      </c>
      <c r="L1435" s="2901"/>
    </row>
    <row r="1436" spans="1:12" s="1918" customFormat="1" ht="16.8">
      <c r="A1436" s="1318"/>
      <c r="B1436" s="3849" t="s">
        <v>6712</v>
      </c>
      <c r="C1436" s="3849"/>
      <c r="D1436" s="3849"/>
      <c r="E1436" s="3849"/>
      <c r="F1436" s="3849"/>
      <c r="G1436" s="3849"/>
      <c r="H1436" s="3849"/>
      <c r="I1436" s="3849"/>
      <c r="J1436" s="2901"/>
      <c r="K1436" s="2901"/>
      <c r="L1436" s="2901"/>
    </row>
    <row r="1437" spans="1:12" s="1918" customFormat="1" ht="15" customHeight="1">
      <c r="A1437" s="1319"/>
      <c r="B1437" s="1320"/>
      <c r="C1437" s="1319" t="s">
        <v>140</v>
      </c>
      <c r="D1437" s="1319" t="s">
        <v>343</v>
      </c>
      <c r="E1437" s="1319" t="s">
        <v>344</v>
      </c>
      <c r="F1437" s="1319" t="s">
        <v>482</v>
      </c>
      <c r="G1437" s="1319" t="s">
        <v>483</v>
      </c>
      <c r="H1437" s="1319" t="s">
        <v>170</v>
      </c>
      <c r="I1437" s="1319" t="s">
        <v>171</v>
      </c>
      <c r="J1437" s="2901"/>
      <c r="K1437" s="2901"/>
      <c r="L1437" s="2901"/>
    </row>
    <row r="1438" spans="1:12" s="1918" customFormat="1" ht="16.8">
      <c r="A1438" s="1319"/>
      <c r="B1438" s="1335" t="s">
        <v>6710</v>
      </c>
      <c r="C1438" s="1922">
        <v>1</v>
      </c>
      <c r="D1438" s="1920" t="s">
        <v>133</v>
      </c>
      <c r="E1438" s="1324">
        <f>+'BASE 2'!D633</f>
        <v>449820</v>
      </c>
      <c r="F1438" s="1324"/>
      <c r="G1438" s="1324">
        <f>+E1438*C1438</f>
        <v>449820</v>
      </c>
      <c r="H1438" s="1324"/>
      <c r="I1438" s="1324"/>
      <c r="J1438" s="2901"/>
      <c r="K1438" s="2901"/>
      <c r="L1438" s="2901"/>
    </row>
    <row r="1439" spans="1:12" s="1918" customFormat="1" ht="16.8">
      <c r="A1439" s="1319"/>
      <c r="B1439" s="1320" t="s">
        <v>4727</v>
      </c>
      <c r="C1439" s="1919">
        <v>1.2E-2</v>
      </c>
      <c r="D1439" s="1921" t="s">
        <v>583</v>
      </c>
      <c r="E1439" s="1324">
        <f>+VIAJE</f>
        <v>1200000</v>
      </c>
      <c r="F1439" s="1324"/>
      <c r="G1439" s="1324"/>
      <c r="H1439" s="1324"/>
      <c r="I1439" s="1324">
        <f>+E1439*C1439</f>
        <v>14400</v>
      </c>
      <c r="J1439" s="2901"/>
      <c r="K1439" s="2901"/>
      <c r="L1439" s="2901"/>
    </row>
    <row r="1440" spans="1:12" s="1918" customFormat="1" ht="16.8">
      <c r="A1440" s="1325" t="s">
        <v>190</v>
      </c>
      <c r="B1440" s="1326">
        <f>ROUND(SUM(F1440:I1440),0)</f>
        <v>464220</v>
      </c>
      <c r="C1440" s="1323"/>
      <c r="D1440" s="1327"/>
      <c r="E1440" s="1319"/>
      <c r="F1440" s="1324">
        <f>SUM(F1438:F1438)</f>
        <v>0</v>
      </c>
      <c r="G1440" s="1324">
        <f>SUM(G1438:G1439)</f>
        <v>449820</v>
      </c>
      <c r="H1440" s="1324">
        <f>SUM(H1438:H1438)</f>
        <v>0</v>
      </c>
      <c r="I1440" s="1324">
        <f>+I1439</f>
        <v>14400</v>
      </c>
      <c r="J1440" s="2901"/>
      <c r="K1440" s="2901"/>
      <c r="L1440" s="2901"/>
    </row>
    <row r="1441" spans="1:12" ht="16.8">
      <c r="A1441" s="1325" t="s">
        <v>191</v>
      </c>
      <c r="B1441" s="1326">
        <f>+B1440</f>
        <v>464220</v>
      </c>
      <c r="C1441" s="1328" t="s">
        <v>150</v>
      </c>
      <c r="D1441" s="1329"/>
      <c r="E1441" s="1329"/>
      <c r="F1441" s="1329"/>
      <c r="G1441" s="1329"/>
      <c r="H1441" s="1330"/>
      <c r="I1441" s="1330"/>
    </row>
    <row r="1443" spans="1:12" s="1918" customFormat="1" ht="16.8">
      <c r="A1443" s="1318"/>
      <c r="B1443" s="3849" t="s">
        <v>7972</v>
      </c>
      <c r="C1443" s="3849"/>
      <c r="D1443" s="3849"/>
      <c r="E1443" s="3849"/>
      <c r="F1443" s="3849"/>
      <c r="G1443" s="3849"/>
      <c r="H1443" s="3849"/>
      <c r="I1443" s="3849"/>
      <c r="J1443" s="2901"/>
      <c r="K1443" s="2901"/>
      <c r="L1443" s="2901"/>
    </row>
    <row r="1444" spans="1:12" s="1918" customFormat="1" ht="16.8">
      <c r="A1444" s="1319"/>
      <c r="B1444" s="1320"/>
      <c r="C1444" s="1319" t="s">
        <v>140</v>
      </c>
      <c r="D1444" s="1319" t="s">
        <v>343</v>
      </c>
      <c r="E1444" s="1319" t="s">
        <v>344</v>
      </c>
      <c r="F1444" s="1319" t="s">
        <v>482</v>
      </c>
      <c r="G1444" s="1319" t="s">
        <v>483</v>
      </c>
      <c r="H1444" s="1319" t="s">
        <v>170</v>
      </c>
      <c r="I1444" s="1319" t="s">
        <v>171</v>
      </c>
      <c r="J1444" s="2901"/>
      <c r="K1444" s="2901"/>
      <c r="L1444" s="2901"/>
    </row>
    <row r="1445" spans="1:12" s="1918" customFormat="1" ht="16.8">
      <c r="A1445" s="1319" t="s">
        <v>345</v>
      </c>
      <c r="B1445" s="1320" t="s">
        <v>6439</v>
      </c>
      <c r="C1445" s="1322">
        <v>2.25</v>
      </c>
      <c r="D1445" s="1323" t="s">
        <v>346</v>
      </c>
      <c r="E1445" s="1324">
        <f>+OFICI</f>
        <v>80479.625344</v>
      </c>
      <c r="F1445" s="1324"/>
      <c r="G1445" s="1324"/>
      <c r="H1445" s="1324">
        <f>+E1445*C1445</f>
        <v>181079.15702400001</v>
      </c>
      <c r="I1445" s="1324"/>
      <c r="J1445" s="2901"/>
      <c r="K1445" s="2901"/>
      <c r="L1445" s="2901"/>
    </row>
    <row r="1446" spans="1:12" s="402" customFormat="1" ht="15" customHeight="1">
      <c r="A1446" s="1319" t="s">
        <v>348</v>
      </c>
      <c r="B1446" s="1320" t="s">
        <v>966</v>
      </c>
      <c r="C1446" s="1322">
        <v>2.25</v>
      </c>
      <c r="D1446" s="1323" t="s">
        <v>346</v>
      </c>
      <c r="E1446" s="1324">
        <f>+AYUDR</f>
        <v>50299.76584</v>
      </c>
      <c r="F1446" s="1324"/>
      <c r="G1446" s="1324"/>
      <c r="H1446" s="1324">
        <f>+E1446*C1446</f>
        <v>113174.47314</v>
      </c>
      <c r="I1446" s="1324"/>
      <c r="J1446" s="2895"/>
      <c r="K1446" s="2895"/>
      <c r="L1446" s="2895"/>
    </row>
    <row r="1447" spans="1:12" s="1918" customFormat="1" ht="18">
      <c r="A1447" s="954"/>
      <c r="B1447" s="41" t="s">
        <v>6426</v>
      </c>
      <c r="C1447" s="1322">
        <v>2.25</v>
      </c>
      <c r="D1447" s="401" t="s">
        <v>346</v>
      </c>
      <c r="E1447" s="2697">
        <f>+'BASE 2'!D736</f>
        <v>18500</v>
      </c>
      <c r="F1447" s="2697">
        <f>+E1447*C1447</f>
        <v>41625</v>
      </c>
      <c r="G1447" s="2697"/>
      <c r="H1447" s="2697"/>
      <c r="I1447" s="2697"/>
      <c r="J1447" s="2901"/>
      <c r="K1447" s="2901"/>
      <c r="L1447" s="2901"/>
    </row>
    <row r="1448" spans="1:12" s="1918" customFormat="1" ht="16.8">
      <c r="A1448" s="1319" t="s">
        <v>172</v>
      </c>
      <c r="B1448" s="1320" t="s">
        <v>189</v>
      </c>
      <c r="C1448" s="1322">
        <v>1</v>
      </c>
      <c r="D1448" s="1323" t="s">
        <v>583</v>
      </c>
      <c r="E1448" s="1324">
        <f>+H1449*0.05</f>
        <v>14712.681508200003</v>
      </c>
      <c r="F1448" s="1324"/>
      <c r="G1448" s="1324"/>
      <c r="H1448" s="1324"/>
      <c r="I1448" s="1324">
        <f>+E1448*C1448</f>
        <v>14712.681508200003</v>
      </c>
      <c r="J1448" s="2901"/>
      <c r="K1448" s="2901"/>
      <c r="L1448" s="2901"/>
    </row>
    <row r="1449" spans="1:12" s="1918" customFormat="1" ht="16.8">
      <c r="A1449" s="1325" t="s">
        <v>190</v>
      </c>
      <c r="B1449" s="1326">
        <f>ROUND(SUM(F1449:I1449),0)</f>
        <v>350591</v>
      </c>
      <c r="C1449" s="1323"/>
      <c r="D1449" s="1327"/>
      <c r="E1449" s="1319"/>
      <c r="F1449" s="1324">
        <f>SUM(F1445:F1448)</f>
        <v>41625</v>
      </c>
      <c r="G1449" s="1324">
        <f>SUM(G1445:G1446)</f>
        <v>0</v>
      </c>
      <c r="H1449" s="1324">
        <f>SUM(H1445:H1446)</f>
        <v>294253.63016400003</v>
      </c>
      <c r="I1449" s="1324">
        <f>SUM(I1445:I1448)</f>
        <v>14712.681508200003</v>
      </c>
      <c r="J1449" s="2901"/>
      <c r="K1449" s="2901"/>
      <c r="L1449" s="2901"/>
    </row>
    <row r="1450" spans="1:12" ht="16.8">
      <c r="A1450" s="1325" t="s">
        <v>191</v>
      </c>
      <c r="B1450" s="1326">
        <f>+B1449</f>
        <v>350591</v>
      </c>
      <c r="C1450" s="1328" t="s">
        <v>150</v>
      </c>
      <c r="D1450" s="1329"/>
      <c r="E1450" s="1329">
        <f>+B1457*0.15</f>
        <v>351963.6</v>
      </c>
      <c r="F1450" s="1329"/>
      <c r="G1450" s="1329"/>
      <c r="H1450" s="1330"/>
      <c r="I1450" s="1330"/>
    </row>
    <row r="1451" spans="1:12" s="1918" customFormat="1" ht="15.75" customHeight="1">
      <c r="A1451" s="492"/>
      <c r="B1451" s="492"/>
      <c r="C1451" s="492"/>
      <c r="D1451" s="492"/>
      <c r="E1451" s="492"/>
      <c r="F1451" s="492"/>
      <c r="G1451" s="492"/>
      <c r="H1451" s="492"/>
      <c r="I1451" s="492"/>
      <c r="J1451" s="2901"/>
      <c r="K1451" s="2901"/>
      <c r="L1451" s="2901"/>
    </row>
    <row r="1452" spans="1:12" s="1918" customFormat="1" ht="16.8">
      <c r="A1452" s="1318"/>
      <c r="B1452" s="3849" t="s">
        <v>7971</v>
      </c>
      <c r="C1452" s="3849"/>
      <c r="D1452" s="3849"/>
      <c r="E1452" s="3849"/>
      <c r="F1452" s="3849"/>
      <c r="G1452" s="3849"/>
      <c r="H1452" s="3849"/>
      <c r="I1452" s="3849"/>
      <c r="J1452" s="2901"/>
      <c r="K1452" s="2901"/>
      <c r="L1452" s="2901"/>
    </row>
    <row r="1453" spans="1:12" s="1918" customFormat="1" ht="16.8">
      <c r="A1453" s="1319"/>
      <c r="B1453" s="1320"/>
      <c r="C1453" s="1319" t="s">
        <v>140</v>
      </c>
      <c r="D1453" s="1319" t="s">
        <v>343</v>
      </c>
      <c r="E1453" s="1319" t="s">
        <v>344</v>
      </c>
      <c r="F1453" s="1319" t="s">
        <v>482</v>
      </c>
      <c r="G1453" s="1319" t="s">
        <v>483</v>
      </c>
      <c r="H1453" s="1319" t="s">
        <v>170</v>
      </c>
      <c r="I1453" s="1319" t="s">
        <v>171</v>
      </c>
      <c r="J1453" s="2901"/>
      <c r="K1453" s="2901"/>
      <c r="L1453" s="2901"/>
    </row>
    <row r="1454" spans="1:12" s="1918" customFormat="1" ht="16.8">
      <c r="A1454" s="1319"/>
      <c r="B1454" s="1320" t="s">
        <v>7960</v>
      </c>
      <c r="C1454" s="1922">
        <v>1</v>
      </c>
      <c r="D1454" s="1920" t="s">
        <v>133</v>
      </c>
      <c r="E1454" s="2149">
        <f>+'BASE 2'!D575</f>
        <v>2332023.96</v>
      </c>
      <c r="F1454" s="1324"/>
      <c r="G1454" s="1324">
        <f>+E1454*C1454</f>
        <v>2332023.96</v>
      </c>
      <c r="H1454" s="1324"/>
      <c r="I1454" s="1324"/>
      <c r="J1454" s="2901"/>
      <c r="K1454" s="2901"/>
      <c r="L1454" s="2901"/>
    </row>
    <row r="1455" spans="1:12" s="1918" customFormat="1" ht="16.8">
      <c r="A1455" s="1319"/>
      <c r="B1455" s="1320" t="s">
        <v>4727</v>
      </c>
      <c r="C1455" s="1919">
        <v>1.2E-2</v>
      </c>
      <c r="D1455" s="1921" t="s">
        <v>583</v>
      </c>
      <c r="E1455" s="1324">
        <f>+VIAJE</f>
        <v>1200000</v>
      </c>
      <c r="F1455" s="1324"/>
      <c r="G1455" s="1324"/>
      <c r="H1455" s="1324"/>
      <c r="I1455" s="1324">
        <f>+E1455*C1455</f>
        <v>14400</v>
      </c>
      <c r="J1455" s="2901"/>
      <c r="K1455" s="2901"/>
      <c r="L1455" s="2901"/>
    </row>
    <row r="1456" spans="1:12" s="1918" customFormat="1" ht="16.8">
      <c r="A1456" s="1325" t="s">
        <v>190</v>
      </c>
      <c r="B1456" s="1326">
        <f>ROUND(SUM(F1456:I1456),0)</f>
        <v>2346424</v>
      </c>
      <c r="C1456" s="1323"/>
      <c r="D1456" s="1327"/>
      <c r="E1456" s="1319"/>
      <c r="F1456" s="1324">
        <f>SUM(F1454:F1454)</f>
        <v>0</v>
      </c>
      <c r="G1456" s="1324">
        <f>SUM(G1454:G1455)</f>
        <v>2332023.96</v>
      </c>
      <c r="H1456" s="1324">
        <f>SUM(H1454:H1454)</f>
        <v>0</v>
      </c>
      <c r="I1456" s="1324">
        <f>+I1455</f>
        <v>14400</v>
      </c>
      <c r="J1456" s="2901"/>
      <c r="K1456" s="2901"/>
      <c r="L1456" s="2901"/>
    </row>
    <row r="1457" spans="1:12" ht="16.8">
      <c r="A1457" s="1325" t="s">
        <v>191</v>
      </c>
      <c r="B1457" s="1326">
        <f>+B1456</f>
        <v>2346424</v>
      </c>
      <c r="C1457" s="1328" t="s">
        <v>150</v>
      </c>
      <c r="D1457" s="1329"/>
      <c r="E1457" s="1329"/>
      <c r="F1457" s="1329"/>
      <c r="G1457" s="1329"/>
      <c r="H1457" s="1330"/>
      <c r="I1457" s="1330"/>
    </row>
    <row r="1459" spans="1:12" s="1918" customFormat="1" ht="16.8">
      <c r="A1459" s="1318"/>
      <c r="B1459" s="3849" t="s">
        <v>7976</v>
      </c>
      <c r="C1459" s="3849"/>
      <c r="D1459" s="3849"/>
      <c r="E1459" s="3849"/>
      <c r="F1459" s="3849"/>
      <c r="G1459" s="3849"/>
      <c r="H1459" s="3849"/>
      <c r="I1459" s="3849"/>
      <c r="J1459" s="2901"/>
      <c r="K1459" s="2901"/>
      <c r="L1459" s="2901"/>
    </row>
    <row r="1460" spans="1:12" s="1918" customFormat="1" ht="16.8">
      <c r="A1460" s="1319"/>
      <c r="B1460" s="1320"/>
      <c r="C1460" s="1319" t="s">
        <v>140</v>
      </c>
      <c r="D1460" s="1319" t="s">
        <v>343</v>
      </c>
      <c r="E1460" s="1319" t="s">
        <v>344</v>
      </c>
      <c r="F1460" s="1319" t="s">
        <v>482</v>
      </c>
      <c r="G1460" s="1319" t="s">
        <v>483</v>
      </c>
      <c r="H1460" s="1319" t="s">
        <v>170</v>
      </c>
      <c r="I1460" s="1319" t="s">
        <v>171</v>
      </c>
      <c r="J1460" s="2901"/>
      <c r="K1460" s="2901"/>
      <c r="L1460" s="2901"/>
    </row>
    <row r="1461" spans="1:12" s="1918" customFormat="1" ht="16.8">
      <c r="A1461" s="1319" t="s">
        <v>345</v>
      </c>
      <c r="B1461" s="1320" t="s">
        <v>965</v>
      </c>
      <c r="C1461" s="1322">
        <v>0.98</v>
      </c>
      <c r="D1461" s="1323" t="s">
        <v>346</v>
      </c>
      <c r="E1461" s="1324">
        <f>+OFICI</f>
        <v>80479.625344</v>
      </c>
      <c r="F1461" s="1324"/>
      <c r="G1461" s="1324"/>
      <c r="H1461" s="1324">
        <f>+E1461*C1461</f>
        <v>78870.032837120001</v>
      </c>
      <c r="I1461" s="1324"/>
      <c r="J1461" s="2901"/>
      <c r="K1461" s="2901"/>
      <c r="L1461" s="2901"/>
    </row>
    <row r="1462" spans="1:12" s="1918" customFormat="1" ht="16.8">
      <c r="A1462" s="1319" t="s">
        <v>348</v>
      </c>
      <c r="B1462" s="1320" t="s">
        <v>6579</v>
      </c>
      <c r="C1462" s="1322">
        <v>0.98</v>
      </c>
      <c r="D1462" s="1323" t="s">
        <v>346</v>
      </c>
      <c r="E1462" s="1324">
        <f>+AYUDR</f>
        <v>50299.76584</v>
      </c>
      <c r="F1462" s="1324"/>
      <c r="G1462" s="1324"/>
      <c r="H1462" s="1324">
        <f>+E1462*C1462</f>
        <v>49293.770523200001</v>
      </c>
      <c r="I1462" s="1324"/>
      <c r="J1462" s="2901"/>
      <c r="K1462" s="2901"/>
      <c r="L1462" s="2901"/>
    </row>
    <row r="1463" spans="1:12" s="1918" customFormat="1" ht="16.8">
      <c r="A1463" s="1319" t="s">
        <v>172</v>
      </c>
      <c r="B1463" s="1320" t="s">
        <v>189</v>
      </c>
      <c r="C1463" s="1322">
        <v>1</v>
      </c>
      <c r="D1463" s="1323" t="s">
        <v>583</v>
      </c>
      <c r="E1463" s="1324">
        <f>+H1464*0.05</f>
        <v>6408.1901680160008</v>
      </c>
      <c r="F1463" s="1324"/>
      <c r="G1463" s="1324"/>
      <c r="H1463" s="1324"/>
      <c r="I1463" s="1324">
        <f>+E1463*C1463</f>
        <v>6408.1901680160008</v>
      </c>
      <c r="J1463" s="2901"/>
      <c r="K1463" s="2901"/>
      <c r="L1463" s="2901"/>
    </row>
    <row r="1464" spans="1:12" s="1918" customFormat="1" ht="16.8">
      <c r="A1464" s="1325" t="s">
        <v>190</v>
      </c>
      <c r="B1464" s="1326">
        <f>ROUND(SUM(F1464:I1464),0)</f>
        <v>134572</v>
      </c>
      <c r="C1464" s="1323"/>
      <c r="D1464" s="1327"/>
      <c r="E1464" s="1319"/>
      <c r="F1464" s="1324">
        <f>SUM(F1461:F1463)</f>
        <v>0</v>
      </c>
      <c r="G1464" s="1324">
        <f>SUM(G1461:G1462)</f>
        <v>0</v>
      </c>
      <c r="H1464" s="1324">
        <f>SUM(H1461:H1462)</f>
        <v>128163.80336032</v>
      </c>
      <c r="I1464" s="1324">
        <f>SUM(I1461:I1463)</f>
        <v>6408.1901680160008</v>
      </c>
      <c r="J1464" s="2901"/>
      <c r="K1464" s="2901"/>
      <c r="L1464" s="2901"/>
    </row>
    <row r="1465" spans="1:12" ht="16.8">
      <c r="A1465" s="1325" t="s">
        <v>191</v>
      </c>
      <c r="B1465" s="1326">
        <f>+B1464</f>
        <v>134572</v>
      </c>
      <c r="C1465" s="1328" t="s">
        <v>150</v>
      </c>
      <c r="D1465" s="1329"/>
      <c r="E1465" s="1329">
        <f>+B1472*0.15</f>
        <v>133422.15</v>
      </c>
      <c r="F1465" s="1329"/>
      <c r="G1465" s="1329"/>
      <c r="H1465" s="1330"/>
      <c r="I1465" s="1330"/>
    </row>
    <row r="1466" spans="1:12" s="1918" customFormat="1" ht="15.75" customHeight="1">
      <c r="A1466" s="492"/>
      <c r="B1466" s="492"/>
      <c r="C1466" s="492"/>
      <c r="D1466" s="492"/>
      <c r="E1466" s="492"/>
      <c r="F1466" s="492"/>
      <c r="G1466" s="492"/>
      <c r="H1466" s="492"/>
      <c r="I1466" s="492"/>
      <c r="J1466" s="2901"/>
      <c r="K1466" s="2901"/>
      <c r="L1466" s="2901"/>
    </row>
    <row r="1467" spans="1:12" s="1918" customFormat="1" ht="16.8">
      <c r="A1467" s="1318"/>
      <c r="B1467" s="3849" t="s">
        <v>7975</v>
      </c>
      <c r="C1467" s="3849"/>
      <c r="D1467" s="3849"/>
      <c r="E1467" s="3849"/>
      <c r="F1467" s="3849"/>
      <c r="G1467" s="3849"/>
      <c r="H1467" s="3849"/>
      <c r="I1467" s="3849"/>
      <c r="J1467" s="2901"/>
      <c r="K1467" s="2901"/>
      <c r="L1467" s="2901"/>
    </row>
    <row r="1468" spans="1:12" s="1918" customFormat="1" ht="16.8">
      <c r="A1468" s="1319"/>
      <c r="B1468" s="1320"/>
      <c r="C1468" s="1319" t="s">
        <v>140</v>
      </c>
      <c r="D1468" s="1319" t="s">
        <v>343</v>
      </c>
      <c r="E1468" s="1319" t="s">
        <v>344</v>
      </c>
      <c r="F1468" s="1319" t="s">
        <v>482</v>
      </c>
      <c r="G1468" s="1319" t="s">
        <v>483</v>
      </c>
      <c r="H1468" s="1319" t="s">
        <v>170</v>
      </c>
      <c r="I1468" s="1319" t="s">
        <v>171</v>
      </c>
      <c r="J1468" s="2901"/>
      <c r="K1468" s="2901"/>
      <c r="L1468" s="2901"/>
    </row>
    <row r="1469" spans="1:12" s="1918" customFormat="1" ht="16.8">
      <c r="A1469" s="1319"/>
      <c r="B1469" s="1320" t="s">
        <v>7961</v>
      </c>
      <c r="C1469" s="1922">
        <v>1</v>
      </c>
      <c r="D1469" s="1920" t="s">
        <v>133</v>
      </c>
      <c r="E1469" s="2149">
        <f>+'BASE 2'!D563</f>
        <v>875080.77999999991</v>
      </c>
      <c r="F1469" s="1324"/>
      <c r="G1469" s="1324">
        <f>+E1469*C1469</f>
        <v>875080.77999999991</v>
      </c>
      <c r="H1469" s="1324"/>
      <c r="I1469" s="1324"/>
      <c r="J1469" s="2901"/>
      <c r="K1469" s="2901"/>
      <c r="L1469" s="2901"/>
    </row>
    <row r="1470" spans="1:12" s="1918" customFormat="1" ht="16.8">
      <c r="A1470" s="1319"/>
      <c r="B1470" s="1320" t="s">
        <v>4727</v>
      </c>
      <c r="C1470" s="1919">
        <v>1.2E-2</v>
      </c>
      <c r="D1470" s="1921" t="s">
        <v>583</v>
      </c>
      <c r="E1470" s="1324">
        <f>+VIAJE</f>
        <v>1200000</v>
      </c>
      <c r="F1470" s="1324"/>
      <c r="G1470" s="1324"/>
      <c r="H1470" s="1324"/>
      <c r="I1470" s="1324">
        <f>+E1470*C1470</f>
        <v>14400</v>
      </c>
      <c r="J1470" s="2901"/>
      <c r="K1470" s="2901"/>
      <c r="L1470" s="2901"/>
    </row>
    <row r="1471" spans="1:12" s="1918" customFormat="1" ht="16.8">
      <c r="A1471" s="1325" t="s">
        <v>190</v>
      </c>
      <c r="B1471" s="1326">
        <f>ROUND(SUM(F1471:I1471),0)</f>
        <v>889481</v>
      </c>
      <c r="C1471" s="1323"/>
      <c r="D1471" s="1327"/>
      <c r="E1471" s="1319"/>
      <c r="F1471" s="1324">
        <f>SUM(F1469:F1469)</f>
        <v>0</v>
      </c>
      <c r="G1471" s="1324">
        <f>SUM(G1469:G1470)</f>
        <v>875080.77999999991</v>
      </c>
      <c r="H1471" s="1324">
        <f>SUM(H1469:H1469)</f>
        <v>0</v>
      </c>
      <c r="I1471" s="1324">
        <f>+I1470</f>
        <v>14400</v>
      </c>
      <c r="J1471" s="2901"/>
      <c r="K1471" s="2901"/>
      <c r="L1471" s="2901"/>
    </row>
    <row r="1472" spans="1:12" ht="16.8">
      <c r="A1472" s="1325" t="s">
        <v>191</v>
      </c>
      <c r="B1472" s="1326">
        <f>+B1471</f>
        <v>889481</v>
      </c>
      <c r="C1472" s="1328" t="s">
        <v>150</v>
      </c>
      <c r="D1472" s="1329"/>
      <c r="E1472" s="1329"/>
      <c r="F1472" s="1329"/>
      <c r="G1472" s="1329"/>
      <c r="H1472" s="1330"/>
      <c r="I1472" s="1330"/>
    </row>
    <row r="1474" spans="1:12" s="1918" customFormat="1" ht="16.8">
      <c r="A1474" s="1318"/>
      <c r="B1474" s="3849" t="s">
        <v>7145</v>
      </c>
      <c r="C1474" s="3849"/>
      <c r="D1474" s="3849"/>
      <c r="E1474" s="3849"/>
      <c r="F1474" s="3849"/>
      <c r="G1474" s="3849"/>
      <c r="H1474" s="3849"/>
      <c r="I1474" s="3849"/>
      <c r="J1474" s="2901"/>
      <c r="K1474" s="2901"/>
      <c r="L1474" s="2901"/>
    </row>
    <row r="1475" spans="1:12" s="1918" customFormat="1" ht="16.8">
      <c r="A1475" s="1319"/>
      <c r="B1475" s="1320"/>
      <c r="C1475" s="1319" t="s">
        <v>140</v>
      </c>
      <c r="D1475" s="1319" t="s">
        <v>343</v>
      </c>
      <c r="E1475" s="1319" t="s">
        <v>344</v>
      </c>
      <c r="F1475" s="1319" t="s">
        <v>482</v>
      </c>
      <c r="G1475" s="1319" t="s">
        <v>483</v>
      </c>
      <c r="H1475" s="1319" t="s">
        <v>170</v>
      </c>
      <c r="I1475" s="1319" t="s">
        <v>171</v>
      </c>
      <c r="J1475" s="2901"/>
      <c r="K1475" s="2901"/>
      <c r="L1475" s="2901"/>
    </row>
    <row r="1476" spans="1:12" s="1918" customFormat="1" ht="16.8">
      <c r="A1476" s="1319" t="s">
        <v>345</v>
      </c>
      <c r="B1476" s="1320" t="s">
        <v>6439</v>
      </c>
      <c r="C1476" s="1322">
        <v>0.32</v>
      </c>
      <c r="D1476" s="1323" t="s">
        <v>346</v>
      </c>
      <c r="E1476" s="1324">
        <f>+OFICI</f>
        <v>80479.625344</v>
      </c>
      <c r="F1476" s="1324"/>
      <c r="G1476" s="1324"/>
      <c r="H1476" s="1324">
        <f>+E1476*C1476</f>
        <v>25753.48011008</v>
      </c>
      <c r="I1476" s="1324"/>
      <c r="J1476" s="2901"/>
      <c r="K1476" s="2901"/>
      <c r="L1476" s="2901"/>
    </row>
    <row r="1477" spans="1:12" s="1918" customFormat="1" ht="16.8">
      <c r="A1477" s="1319" t="s">
        <v>348</v>
      </c>
      <c r="B1477" s="1320" t="s">
        <v>6579</v>
      </c>
      <c r="C1477" s="1322">
        <v>0.32</v>
      </c>
      <c r="D1477" s="1323" t="s">
        <v>346</v>
      </c>
      <c r="E1477" s="1324">
        <f>+AYUDR</f>
        <v>50299.76584</v>
      </c>
      <c r="F1477" s="1324"/>
      <c r="G1477" s="1324"/>
      <c r="H1477" s="1324">
        <f>+E1477*C1477</f>
        <v>16095.925068800001</v>
      </c>
      <c r="I1477" s="1324"/>
      <c r="J1477" s="2901"/>
      <c r="K1477" s="2901"/>
      <c r="L1477" s="2901"/>
    </row>
    <row r="1478" spans="1:12" s="1918" customFormat="1" ht="16.8">
      <c r="A1478" s="1319" t="s">
        <v>172</v>
      </c>
      <c r="B1478" s="1320" t="s">
        <v>189</v>
      </c>
      <c r="C1478" s="1322">
        <v>1</v>
      </c>
      <c r="D1478" s="1323" t="s">
        <v>583</v>
      </c>
      <c r="E1478" s="1324">
        <f>+H1479*0.05</f>
        <v>2092.4702589439999</v>
      </c>
      <c r="F1478" s="1324"/>
      <c r="G1478" s="1324"/>
      <c r="H1478" s="1324"/>
      <c r="I1478" s="1324">
        <f>+E1478*C1478</f>
        <v>2092.4702589439999</v>
      </c>
      <c r="J1478" s="2901"/>
      <c r="K1478" s="2901"/>
      <c r="L1478" s="2901"/>
    </row>
    <row r="1479" spans="1:12" s="1918" customFormat="1" ht="16.8">
      <c r="A1479" s="1325" t="s">
        <v>190</v>
      </c>
      <c r="B1479" s="1326">
        <f>ROUND(SUM(F1479:I1479),0)</f>
        <v>43942</v>
      </c>
      <c r="C1479" s="1323"/>
      <c r="D1479" s="1327"/>
      <c r="E1479" s="1319"/>
      <c r="F1479" s="1324">
        <f>SUM(F1476:F1478)</f>
        <v>0</v>
      </c>
      <c r="G1479" s="1324">
        <f>SUM(G1476:G1477)</f>
        <v>0</v>
      </c>
      <c r="H1479" s="1324">
        <f>SUM(H1476:H1477)</f>
        <v>41849.405178879999</v>
      </c>
      <c r="I1479" s="1324">
        <f>SUM(I1476:I1478)</f>
        <v>2092.4702589439999</v>
      </c>
      <c r="J1479" s="2901"/>
      <c r="K1479" s="2901"/>
      <c r="L1479" s="2901"/>
    </row>
    <row r="1480" spans="1:12" ht="16.8">
      <c r="A1480" s="1325" t="s">
        <v>191</v>
      </c>
      <c r="B1480" s="1326">
        <f>+B1479</f>
        <v>43942</v>
      </c>
      <c r="C1480" s="1328" t="s">
        <v>150</v>
      </c>
      <c r="D1480" s="1329"/>
      <c r="E1480" s="1329">
        <f>+B1487*0.15</f>
        <v>43215</v>
      </c>
      <c r="F1480" s="1329"/>
      <c r="G1480" s="1329"/>
      <c r="H1480" s="1330"/>
      <c r="I1480" s="1330"/>
    </row>
    <row r="1481" spans="1:12" s="1918" customFormat="1" ht="15.75" customHeight="1">
      <c r="A1481" s="492"/>
      <c r="B1481" s="492"/>
      <c r="C1481" s="492"/>
      <c r="D1481" s="492"/>
      <c r="E1481" s="492"/>
      <c r="F1481" s="492"/>
      <c r="G1481" s="492"/>
      <c r="H1481" s="492"/>
      <c r="I1481" s="492"/>
      <c r="J1481" s="2901"/>
      <c r="K1481" s="2901">
        <f>0.05*1</f>
        <v>0.05</v>
      </c>
      <c r="L1481" s="2901"/>
    </row>
    <row r="1482" spans="1:12" s="1918" customFormat="1" ht="16.8">
      <c r="A1482" s="1318"/>
      <c r="B1482" s="3849" t="s">
        <v>7144</v>
      </c>
      <c r="C1482" s="3849"/>
      <c r="D1482" s="3849"/>
      <c r="E1482" s="3849"/>
      <c r="F1482" s="3849"/>
      <c r="G1482" s="3849"/>
      <c r="H1482" s="3849"/>
      <c r="I1482" s="3849"/>
      <c r="J1482" s="2901"/>
      <c r="K1482" s="2901"/>
      <c r="L1482" s="2901"/>
    </row>
    <row r="1483" spans="1:12" s="1918" customFormat="1" ht="16.8">
      <c r="A1483" s="1319"/>
      <c r="B1483" s="1320"/>
      <c r="C1483" s="1319" t="s">
        <v>140</v>
      </c>
      <c r="D1483" s="1319" t="s">
        <v>343</v>
      </c>
      <c r="E1483" s="1319" t="s">
        <v>344</v>
      </c>
      <c r="F1483" s="1319" t="s">
        <v>482</v>
      </c>
      <c r="G1483" s="1319" t="s">
        <v>483</v>
      </c>
      <c r="H1483" s="1319" t="s">
        <v>170</v>
      </c>
      <c r="I1483" s="1319" t="s">
        <v>171</v>
      </c>
      <c r="J1483" s="2901"/>
      <c r="K1483" s="2901"/>
      <c r="L1483" s="2901"/>
    </row>
    <row r="1484" spans="1:12" s="1918" customFormat="1" ht="16.8">
      <c r="A1484" s="1319"/>
      <c r="B1484" s="1335" t="s">
        <v>7143</v>
      </c>
      <c r="C1484" s="1922">
        <v>1</v>
      </c>
      <c r="D1484" s="1920" t="s">
        <v>133</v>
      </c>
      <c r="E1484" s="2149">
        <f>+'BASE 2'!D135</f>
        <v>273700</v>
      </c>
      <c r="F1484" s="2149"/>
      <c r="G1484" s="2149">
        <f>+E1484*C1484</f>
        <v>273700</v>
      </c>
      <c r="H1484" s="2149"/>
      <c r="I1484" s="2149"/>
      <c r="J1484" s="2901"/>
      <c r="K1484" s="2901"/>
      <c r="L1484" s="2901"/>
    </row>
    <row r="1485" spans="1:12" s="1918" customFormat="1" ht="16.8">
      <c r="A1485" s="1319"/>
      <c r="B1485" s="1320" t="s">
        <v>4727</v>
      </c>
      <c r="C1485" s="1919">
        <v>1.2E-2</v>
      </c>
      <c r="D1485" s="1921" t="s">
        <v>583</v>
      </c>
      <c r="E1485" s="2149">
        <f>+VIAJE</f>
        <v>1200000</v>
      </c>
      <c r="F1485" s="2149"/>
      <c r="G1485" s="2149"/>
      <c r="H1485" s="2149"/>
      <c r="I1485" s="2149">
        <f>+E1485*C1485</f>
        <v>14400</v>
      </c>
      <c r="J1485" s="2901"/>
      <c r="K1485" s="2901"/>
      <c r="L1485" s="2901"/>
    </row>
    <row r="1486" spans="1:12" s="1918" customFormat="1" ht="16.8">
      <c r="A1486" s="1325" t="s">
        <v>190</v>
      </c>
      <c r="B1486" s="1326">
        <f>ROUND(SUM(F1486:I1486),0)</f>
        <v>288100</v>
      </c>
      <c r="C1486" s="1323"/>
      <c r="D1486" s="1327"/>
      <c r="E1486" s="2149"/>
      <c r="F1486" s="2149">
        <f>SUM(F1484:F1484)</f>
        <v>0</v>
      </c>
      <c r="G1486" s="2149">
        <f>SUM(G1484:G1485)</f>
        <v>273700</v>
      </c>
      <c r="H1486" s="2149">
        <f>SUM(H1484:H1484)</f>
        <v>0</v>
      </c>
      <c r="I1486" s="2149">
        <f>+I1485</f>
        <v>14400</v>
      </c>
      <c r="J1486" s="2901"/>
      <c r="K1486" s="2901"/>
      <c r="L1486" s="2901"/>
    </row>
    <row r="1487" spans="1:12" ht="16.8">
      <c r="A1487" s="1325" t="s">
        <v>191</v>
      </c>
      <c r="B1487" s="1326">
        <f>+B1486</f>
        <v>288100</v>
      </c>
      <c r="C1487" s="1328" t="s">
        <v>150</v>
      </c>
      <c r="D1487" s="1329"/>
      <c r="E1487" s="1329"/>
      <c r="F1487" s="1329"/>
      <c r="G1487" s="1329"/>
      <c r="H1487" s="1330"/>
      <c r="I1487" s="1330"/>
    </row>
    <row r="1489" spans="1:12" s="1918" customFormat="1" ht="16.8">
      <c r="A1489" s="1318"/>
      <c r="B1489" s="3849" t="s">
        <v>7149</v>
      </c>
      <c r="C1489" s="3849"/>
      <c r="D1489" s="3849"/>
      <c r="E1489" s="3849"/>
      <c r="F1489" s="3849"/>
      <c r="G1489" s="3849"/>
      <c r="H1489" s="3849"/>
      <c r="I1489" s="3849"/>
      <c r="J1489" s="2901"/>
      <c r="K1489" s="2901"/>
      <c r="L1489" s="2901"/>
    </row>
    <row r="1490" spans="1:12" s="402" customFormat="1" ht="15" customHeight="1">
      <c r="A1490" s="1319"/>
      <c r="B1490" s="1320"/>
      <c r="C1490" s="1319" t="s">
        <v>140</v>
      </c>
      <c r="D1490" s="1319" t="s">
        <v>343</v>
      </c>
      <c r="E1490" s="1319" t="s">
        <v>344</v>
      </c>
      <c r="F1490" s="1319" t="s">
        <v>482</v>
      </c>
      <c r="G1490" s="1319" t="s">
        <v>483</v>
      </c>
      <c r="H1490" s="1319" t="s">
        <v>170</v>
      </c>
      <c r="I1490" s="1319" t="s">
        <v>171</v>
      </c>
      <c r="J1490" s="2895"/>
      <c r="K1490" s="2895">
        <f>1/18</f>
        <v>5.5555555555555552E-2</v>
      </c>
      <c r="L1490" s="2895"/>
    </row>
    <row r="1491" spans="1:12" s="402" customFormat="1" ht="15" customHeight="1">
      <c r="A1491" s="1261" t="s">
        <v>736</v>
      </c>
      <c r="B1491" s="1259" t="s">
        <v>6410</v>
      </c>
      <c r="C1491" s="182">
        <v>1.5</v>
      </c>
      <c r="D1491" s="509" t="s">
        <v>735</v>
      </c>
      <c r="E1491" s="497">
        <f>+RETRO</f>
        <v>150000</v>
      </c>
      <c r="F1491" s="1585">
        <f>+E1491*C1491</f>
        <v>225000</v>
      </c>
      <c r="G1491" s="1585"/>
      <c r="H1491" s="1585"/>
      <c r="I1491" s="184"/>
      <c r="J1491" s="2895"/>
      <c r="K1491" s="2895"/>
      <c r="L1491" s="2895"/>
    </row>
    <row r="1492" spans="1:12" s="1918" customFormat="1" ht="18">
      <c r="A1492" s="954"/>
      <c r="B1492" s="185" t="s">
        <v>6426</v>
      </c>
      <c r="C1492" s="183">
        <v>4.3</v>
      </c>
      <c r="D1492" s="401" t="s">
        <v>346</v>
      </c>
      <c r="E1492" s="2697">
        <f>+'BASE 2'!D736</f>
        <v>18500</v>
      </c>
      <c r="F1492" s="2697">
        <f>+E1492*C1492</f>
        <v>79550</v>
      </c>
      <c r="G1492" s="2697"/>
      <c r="H1492" s="2697"/>
      <c r="I1492" s="2697"/>
      <c r="J1492" s="2901"/>
      <c r="K1492" s="2901"/>
      <c r="L1492" s="2901"/>
    </row>
    <row r="1493" spans="1:12" s="1918" customFormat="1" ht="18">
      <c r="A1493" s="1319" t="s">
        <v>345</v>
      </c>
      <c r="B1493" s="1320" t="s">
        <v>965</v>
      </c>
      <c r="C1493" s="183">
        <v>4.3</v>
      </c>
      <c r="D1493" s="1323" t="s">
        <v>346</v>
      </c>
      <c r="E1493" s="2149">
        <f>+OFICI</f>
        <v>80479.625344</v>
      </c>
      <c r="F1493" s="2149"/>
      <c r="G1493" s="2149"/>
      <c r="H1493" s="2149">
        <f>+E1493*C1493</f>
        <v>346062.38897919998</v>
      </c>
      <c r="I1493" s="2149"/>
      <c r="J1493" s="2901"/>
      <c r="K1493" s="2901"/>
      <c r="L1493" s="2901"/>
    </row>
    <row r="1494" spans="1:12" s="1918" customFormat="1" ht="18">
      <c r="A1494" s="1319" t="s">
        <v>348</v>
      </c>
      <c r="B1494" s="1320" t="s">
        <v>6579</v>
      </c>
      <c r="C1494" s="183">
        <v>4.3</v>
      </c>
      <c r="D1494" s="1323" t="s">
        <v>346</v>
      </c>
      <c r="E1494" s="2149">
        <f>+AYUDR</f>
        <v>50299.76584</v>
      </c>
      <c r="F1494" s="2149"/>
      <c r="G1494" s="2149"/>
      <c r="H1494" s="2149">
        <f>+E1494*C1494</f>
        <v>216288.993112</v>
      </c>
      <c r="I1494" s="2149"/>
      <c r="J1494" s="2901"/>
      <c r="K1494" s="2901"/>
      <c r="L1494" s="2901"/>
    </row>
    <row r="1495" spans="1:12" s="1918" customFormat="1" ht="16.8">
      <c r="A1495" s="1319" t="s">
        <v>172</v>
      </c>
      <c r="B1495" s="1320" t="s">
        <v>189</v>
      </c>
      <c r="C1495" s="1322">
        <v>1</v>
      </c>
      <c r="D1495" s="1323" t="s">
        <v>583</v>
      </c>
      <c r="E1495" s="2149">
        <f>+H1496*0.05</f>
        <v>28117.56910456</v>
      </c>
      <c r="F1495" s="2149"/>
      <c r="G1495" s="2149"/>
      <c r="H1495" s="2149"/>
      <c r="I1495" s="2149">
        <f>+E1495*C1495</f>
        <v>28117.56910456</v>
      </c>
      <c r="J1495" s="2901"/>
      <c r="K1495" s="2901"/>
      <c r="L1495" s="2901"/>
    </row>
    <row r="1496" spans="1:12" s="1918" customFormat="1" ht="16.8">
      <c r="A1496" s="1325" t="s">
        <v>190</v>
      </c>
      <c r="B1496" s="1326">
        <f>ROUND(SUM(F1496:I1496),0)</f>
        <v>590469</v>
      </c>
      <c r="C1496" s="1323"/>
      <c r="D1496" s="1327"/>
      <c r="E1496" s="2149"/>
      <c r="F1496" s="2149">
        <f>SUM(F1493:F1495)</f>
        <v>0</v>
      </c>
      <c r="G1496" s="2149">
        <f>SUM(G1493:G1494)</f>
        <v>0</v>
      </c>
      <c r="H1496" s="2149">
        <f>SUM(H1493:H1494)</f>
        <v>562351.38209119998</v>
      </c>
      <c r="I1496" s="2149">
        <f>SUM(I1493:I1495)</f>
        <v>28117.56910456</v>
      </c>
      <c r="J1496" s="2901"/>
      <c r="K1496" s="2901"/>
      <c r="L1496" s="2901"/>
    </row>
    <row r="1497" spans="1:12" ht="16.8">
      <c r="A1497" s="1325" t="s">
        <v>191</v>
      </c>
      <c r="B1497" s="1326">
        <f>+B1496</f>
        <v>590469</v>
      </c>
      <c r="C1497" s="1328" t="s">
        <v>150</v>
      </c>
      <c r="D1497" s="1329"/>
      <c r="E1497" s="1329">
        <f>+B1505*0.15</f>
        <v>591878.69999999995</v>
      </c>
      <c r="F1497" s="1329"/>
      <c r="G1497" s="1329"/>
      <c r="H1497" s="1330"/>
      <c r="I1497" s="1330"/>
    </row>
    <row r="1498" spans="1:12" s="1918" customFormat="1" ht="15.75" customHeight="1">
      <c r="A1498" s="492"/>
      <c r="B1498" s="492"/>
      <c r="C1498" s="492"/>
      <c r="D1498" s="492"/>
      <c r="E1498" s="492"/>
      <c r="F1498" s="492"/>
      <c r="G1498" s="492"/>
      <c r="H1498" s="492"/>
      <c r="I1498" s="492"/>
      <c r="J1498" s="2901"/>
      <c r="K1498" s="2901">
        <f>0.05*1</f>
        <v>0.05</v>
      </c>
      <c r="L1498" s="2901"/>
    </row>
    <row r="1499" spans="1:12" s="1918" customFormat="1" ht="16.8">
      <c r="A1499" s="1318"/>
      <c r="B1499" s="3849" t="s">
        <v>7148</v>
      </c>
      <c r="C1499" s="3849"/>
      <c r="D1499" s="3849"/>
      <c r="E1499" s="3849"/>
      <c r="F1499" s="3849"/>
      <c r="G1499" s="3849"/>
      <c r="H1499" s="3849"/>
      <c r="I1499" s="3849"/>
      <c r="J1499" s="2901"/>
      <c r="K1499" s="2901"/>
      <c r="L1499" s="2901"/>
    </row>
    <row r="1500" spans="1:12" s="1918" customFormat="1" ht="16.8">
      <c r="A1500" s="1319"/>
      <c r="B1500" s="1320"/>
      <c r="C1500" s="1319" t="s">
        <v>140</v>
      </c>
      <c r="D1500" s="1319" t="s">
        <v>343</v>
      </c>
      <c r="E1500" s="1319" t="s">
        <v>344</v>
      </c>
      <c r="F1500" s="1319" t="s">
        <v>482</v>
      </c>
      <c r="G1500" s="1319" t="s">
        <v>483</v>
      </c>
      <c r="H1500" s="1319" t="s">
        <v>170</v>
      </c>
      <c r="I1500" s="1319" t="s">
        <v>171</v>
      </c>
      <c r="J1500" s="2901"/>
      <c r="K1500" s="2901"/>
      <c r="L1500" s="2901"/>
    </row>
    <row r="1501" spans="1:12" s="1918" customFormat="1" ht="16.8">
      <c r="A1501" s="1319"/>
      <c r="B1501" s="1320" t="s">
        <v>7146</v>
      </c>
      <c r="C1501" s="1922">
        <v>1</v>
      </c>
      <c r="D1501" s="1920" t="s">
        <v>133</v>
      </c>
      <c r="E1501" s="2149">
        <f>+'BASE 2'!D577</f>
        <v>3686858</v>
      </c>
      <c r="F1501" s="2149"/>
      <c r="G1501" s="2149">
        <f>+E1501*C1501</f>
        <v>3686858</v>
      </c>
      <c r="H1501" s="2149"/>
      <c r="I1501" s="2149"/>
      <c r="J1501" s="2901"/>
      <c r="K1501" s="2901"/>
      <c r="L1501" s="2901"/>
    </row>
    <row r="1502" spans="1:12" s="1918" customFormat="1" ht="16.8">
      <c r="A1502" s="1319"/>
      <c r="B1502" s="1320" t="s">
        <v>6455</v>
      </c>
      <c r="C1502" s="1922">
        <v>1</v>
      </c>
      <c r="D1502" s="1921" t="s">
        <v>133</v>
      </c>
      <c r="E1502" s="2149">
        <f>+'BASE 2'!D625</f>
        <v>91000</v>
      </c>
      <c r="F1502" s="2149"/>
      <c r="G1502" s="2149">
        <f>+E1502*C1502</f>
        <v>91000</v>
      </c>
      <c r="H1502" s="2149"/>
      <c r="I1502" s="2149"/>
      <c r="J1502" s="2901"/>
      <c r="K1502" s="2901"/>
      <c r="L1502" s="2901"/>
    </row>
    <row r="1503" spans="1:12" s="1918" customFormat="1" ht="16.8">
      <c r="A1503" s="1319"/>
      <c r="B1503" s="1320" t="s">
        <v>4727</v>
      </c>
      <c r="C1503" s="1919">
        <v>0.14000000000000001</v>
      </c>
      <c r="D1503" s="1921" t="s">
        <v>583</v>
      </c>
      <c r="E1503" s="2149">
        <f>+VIAJE</f>
        <v>1200000</v>
      </c>
      <c r="F1503" s="2149"/>
      <c r="G1503" s="2149"/>
      <c r="H1503" s="2149"/>
      <c r="I1503" s="2149">
        <f>+E1503*C1503</f>
        <v>168000.00000000003</v>
      </c>
      <c r="J1503" s="2901"/>
      <c r="K1503" s="2901"/>
      <c r="L1503" s="2901"/>
    </row>
    <row r="1504" spans="1:12" s="1918" customFormat="1" ht="16.8">
      <c r="A1504" s="1325" t="s">
        <v>190</v>
      </c>
      <c r="B1504" s="1326">
        <f>ROUND(SUM(F1504:I1504),0)</f>
        <v>3945858</v>
      </c>
      <c r="C1504" s="1323"/>
      <c r="D1504" s="1327"/>
      <c r="E1504" s="2149"/>
      <c r="F1504" s="2149">
        <f>SUM(F1501:F1501)</f>
        <v>0</v>
      </c>
      <c r="G1504" s="2149">
        <f>SUM(G1501:G1503)</f>
        <v>3777858</v>
      </c>
      <c r="H1504" s="2149">
        <f>SUM(H1501:H1501)</f>
        <v>0</v>
      </c>
      <c r="I1504" s="2149">
        <f>+I1503</f>
        <v>168000.00000000003</v>
      </c>
      <c r="J1504" s="2901"/>
      <c r="K1504" s="2901"/>
      <c r="L1504" s="2901"/>
    </row>
    <row r="1505" spans="1:12" ht="16.8">
      <c r="A1505" s="1325" t="s">
        <v>191</v>
      </c>
      <c r="B1505" s="1326">
        <f>+B1504</f>
        <v>3945858</v>
      </c>
      <c r="C1505" s="1328" t="s">
        <v>150</v>
      </c>
      <c r="D1505" s="1329"/>
      <c r="E1505" s="2185"/>
      <c r="F1505" s="2185"/>
      <c r="G1505" s="2185"/>
      <c r="H1505" s="2184"/>
      <c r="I1505" s="2184"/>
    </row>
    <row r="1507" spans="1:12" s="1918" customFormat="1" ht="16.8">
      <c r="A1507" s="1318"/>
      <c r="B1507" s="3849" t="s">
        <v>7154</v>
      </c>
      <c r="C1507" s="3849"/>
      <c r="D1507" s="3849"/>
      <c r="E1507" s="3849"/>
      <c r="F1507" s="3849"/>
      <c r="G1507" s="3849"/>
      <c r="H1507" s="3849"/>
      <c r="I1507" s="3849"/>
      <c r="J1507" s="2901"/>
      <c r="K1507" s="2901"/>
      <c r="L1507" s="2901"/>
    </row>
    <row r="1508" spans="1:12" s="402" customFormat="1" ht="15" customHeight="1">
      <c r="A1508" s="1319"/>
      <c r="B1508" s="1320"/>
      <c r="C1508" s="1319" t="s">
        <v>140</v>
      </c>
      <c r="D1508" s="1319" t="s">
        <v>343</v>
      </c>
      <c r="E1508" s="1319" t="s">
        <v>344</v>
      </c>
      <c r="F1508" s="1319" t="s">
        <v>482</v>
      </c>
      <c r="G1508" s="1319" t="s">
        <v>483</v>
      </c>
      <c r="H1508" s="1319" t="s">
        <v>170</v>
      </c>
      <c r="I1508" s="1319" t="s">
        <v>171</v>
      </c>
      <c r="J1508" s="2895"/>
      <c r="K1508" s="2895">
        <f>1/18</f>
        <v>5.5555555555555552E-2</v>
      </c>
      <c r="L1508" s="2895"/>
    </row>
    <row r="1509" spans="1:12" s="402" customFormat="1" ht="15" customHeight="1">
      <c r="A1509" s="1261" t="s">
        <v>736</v>
      </c>
      <c r="B1509" s="1259" t="s">
        <v>6410</v>
      </c>
      <c r="C1509" s="182">
        <v>1</v>
      </c>
      <c r="D1509" s="509" t="s">
        <v>735</v>
      </c>
      <c r="E1509" s="497">
        <f>+RETRO</f>
        <v>150000</v>
      </c>
      <c r="F1509" s="1585">
        <f>+E1509*C1509</f>
        <v>150000</v>
      </c>
      <c r="G1509" s="1585"/>
      <c r="H1509" s="1585"/>
      <c r="I1509" s="184"/>
      <c r="J1509" s="2895"/>
      <c r="K1509" s="2895"/>
      <c r="L1509" s="2895"/>
    </row>
    <row r="1510" spans="1:12" s="1918" customFormat="1" ht="18">
      <c r="A1510" s="954"/>
      <c r="B1510" s="185" t="s">
        <v>6426</v>
      </c>
      <c r="C1510" s="183">
        <v>2.8</v>
      </c>
      <c r="D1510" s="401" t="s">
        <v>346</v>
      </c>
      <c r="E1510" s="2697">
        <f>+'BASE 2'!D736</f>
        <v>18500</v>
      </c>
      <c r="F1510" s="2697">
        <f>+E1510*C1510</f>
        <v>51800</v>
      </c>
      <c r="G1510" s="2697"/>
      <c r="H1510" s="2697"/>
      <c r="I1510" s="2697"/>
      <c r="J1510" s="2901"/>
      <c r="K1510" s="2901"/>
      <c r="L1510" s="2901"/>
    </row>
    <row r="1511" spans="1:12" s="1918" customFormat="1" ht="18">
      <c r="A1511" s="1319" t="s">
        <v>345</v>
      </c>
      <c r="B1511" s="1320" t="s">
        <v>6439</v>
      </c>
      <c r="C1511" s="183">
        <v>2.8</v>
      </c>
      <c r="D1511" s="1323" t="s">
        <v>346</v>
      </c>
      <c r="E1511" s="2149">
        <f>+OFICI</f>
        <v>80479.625344</v>
      </c>
      <c r="F1511" s="2149"/>
      <c r="G1511" s="2149"/>
      <c r="H1511" s="2149">
        <f>+E1511*C1511</f>
        <v>225342.95096319998</v>
      </c>
      <c r="I1511" s="2149"/>
      <c r="J1511" s="2901"/>
      <c r="K1511" s="2901"/>
      <c r="L1511" s="2901"/>
    </row>
    <row r="1512" spans="1:12" s="1918" customFormat="1" ht="18">
      <c r="A1512" s="1319" t="s">
        <v>348</v>
      </c>
      <c r="B1512" s="1320" t="s">
        <v>6579</v>
      </c>
      <c r="C1512" s="183">
        <v>2.8</v>
      </c>
      <c r="D1512" s="1323" t="s">
        <v>346</v>
      </c>
      <c r="E1512" s="2149">
        <f>+AYUDR</f>
        <v>50299.76584</v>
      </c>
      <c r="F1512" s="2149"/>
      <c r="G1512" s="2149"/>
      <c r="H1512" s="2149">
        <f>+E1512*C1512</f>
        <v>140839.34435199999</v>
      </c>
      <c r="I1512" s="2149"/>
      <c r="J1512" s="2901"/>
      <c r="K1512" s="2901"/>
      <c r="L1512" s="2901"/>
    </row>
    <row r="1513" spans="1:12" s="1918" customFormat="1" ht="16.8">
      <c r="A1513" s="1319" t="s">
        <v>172</v>
      </c>
      <c r="B1513" s="1320" t="s">
        <v>189</v>
      </c>
      <c r="C1513" s="1322">
        <v>1</v>
      </c>
      <c r="D1513" s="1323" t="s">
        <v>583</v>
      </c>
      <c r="E1513" s="2149">
        <f>+H1514*0.05</f>
        <v>18309.114765760001</v>
      </c>
      <c r="F1513" s="2149"/>
      <c r="G1513" s="2149"/>
      <c r="H1513" s="2149"/>
      <c r="I1513" s="2149">
        <f>+E1513*C1513</f>
        <v>18309.114765760001</v>
      </c>
      <c r="J1513" s="2901"/>
      <c r="K1513" s="2901"/>
      <c r="L1513" s="2901"/>
    </row>
    <row r="1514" spans="1:12" s="1918" customFormat="1" ht="16.8">
      <c r="A1514" s="1325" t="s">
        <v>190</v>
      </c>
      <c r="B1514" s="1326">
        <f>ROUND(SUM(F1514:I1514),0)</f>
        <v>384491</v>
      </c>
      <c r="C1514" s="1323"/>
      <c r="D1514" s="1327"/>
      <c r="E1514" s="2149"/>
      <c r="F1514" s="2149">
        <f>SUM(F1511:F1513)</f>
        <v>0</v>
      </c>
      <c r="G1514" s="2149">
        <f>SUM(G1511:G1512)</f>
        <v>0</v>
      </c>
      <c r="H1514" s="2149">
        <f>SUM(H1511:H1512)</f>
        <v>366182.2953152</v>
      </c>
      <c r="I1514" s="2149">
        <f>SUM(I1511:I1513)</f>
        <v>18309.114765760001</v>
      </c>
      <c r="J1514" s="2901"/>
      <c r="K1514" s="2901"/>
      <c r="L1514" s="2901"/>
    </row>
    <row r="1515" spans="1:12" ht="16.8">
      <c r="A1515" s="1325" t="s">
        <v>191</v>
      </c>
      <c r="B1515" s="1326">
        <f>+B1514</f>
        <v>384491</v>
      </c>
      <c r="C1515" s="1328" t="s">
        <v>150</v>
      </c>
      <c r="D1515" s="1329"/>
      <c r="E1515" s="1329">
        <f>+B1523*0.15</f>
        <v>381047.85</v>
      </c>
      <c r="F1515" s="1329"/>
      <c r="G1515" s="1329"/>
      <c r="H1515" s="1330"/>
      <c r="I1515" s="1330"/>
    </row>
    <row r="1516" spans="1:12" s="1918" customFormat="1" ht="15.75" customHeight="1">
      <c r="A1516" s="492"/>
      <c r="B1516" s="492"/>
      <c r="C1516" s="492"/>
      <c r="D1516" s="492"/>
      <c r="E1516" s="492"/>
      <c r="F1516" s="492"/>
      <c r="G1516" s="492"/>
      <c r="H1516" s="492"/>
      <c r="I1516" s="492"/>
      <c r="J1516" s="2901"/>
      <c r="K1516" s="2901">
        <f>0.05*1</f>
        <v>0.05</v>
      </c>
      <c r="L1516" s="2901"/>
    </row>
    <row r="1517" spans="1:12" s="1918" customFormat="1" ht="16.8">
      <c r="A1517" s="1318"/>
      <c r="B1517" s="3849" t="s">
        <v>7153</v>
      </c>
      <c r="C1517" s="3849"/>
      <c r="D1517" s="3849"/>
      <c r="E1517" s="3849"/>
      <c r="F1517" s="3849"/>
      <c r="G1517" s="3849"/>
      <c r="H1517" s="3849"/>
      <c r="I1517" s="3849"/>
      <c r="J1517" s="2901"/>
      <c r="K1517" s="2901"/>
      <c r="L1517" s="2901"/>
    </row>
    <row r="1518" spans="1:12" s="1918" customFormat="1" ht="16.8">
      <c r="A1518" s="1319"/>
      <c r="B1518" s="1320"/>
      <c r="C1518" s="1319" t="s">
        <v>140</v>
      </c>
      <c r="D1518" s="1319" t="s">
        <v>343</v>
      </c>
      <c r="E1518" s="1319" t="s">
        <v>344</v>
      </c>
      <c r="F1518" s="1319" t="s">
        <v>482</v>
      </c>
      <c r="G1518" s="1319" t="s">
        <v>483</v>
      </c>
      <c r="H1518" s="1319" t="s">
        <v>170</v>
      </c>
      <c r="I1518" s="1319" t="s">
        <v>171</v>
      </c>
      <c r="J1518" s="2901"/>
      <c r="K1518" s="2901"/>
      <c r="L1518" s="2901"/>
    </row>
    <row r="1519" spans="1:12" s="1918" customFormat="1" ht="16.8">
      <c r="A1519" s="1319"/>
      <c r="B1519" s="1320" t="s">
        <v>7152</v>
      </c>
      <c r="C1519" s="1922">
        <v>1</v>
      </c>
      <c r="D1519" s="1920" t="s">
        <v>133</v>
      </c>
      <c r="E1519" s="2149">
        <f>+'BASE 2'!D576</f>
        <v>2434918.5</v>
      </c>
      <c r="F1519" s="2149"/>
      <c r="G1519" s="2149">
        <f>+E1519*C1519</f>
        <v>2434918.5</v>
      </c>
      <c r="H1519" s="2149"/>
      <c r="I1519" s="2149"/>
      <c r="J1519" s="2901"/>
      <c r="K1519" s="2901"/>
      <c r="L1519" s="2901"/>
    </row>
    <row r="1520" spans="1:12" s="1918" customFormat="1" ht="16.8">
      <c r="A1520" s="1319"/>
      <c r="B1520" s="1320" t="s">
        <v>6455</v>
      </c>
      <c r="C1520" s="1922">
        <v>1</v>
      </c>
      <c r="D1520" s="1921" t="s">
        <v>133</v>
      </c>
      <c r="E1520" s="2149">
        <f>+'BASE 2'!D625</f>
        <v>91000</v>
      </c>
      <c r="F1520" s="2149"/>
      <c r="G1520" s="2149">
        <f>+E1520*C1520</f>
        <v>91000</v>
      </c>
      <c r="H1520" s="2149"/>
      <c r="I1520" s="2149"/>
      <c r="J1520" s="2901"/>
      <c r="K1520" s="2901"/>
      <c r="L1520" s="2901"/>
    </row>
    <row r="1521" spans="1:12" s="1918" customFormat="1" ht="16.8">
      <c r="A1521" s="1319"/>
      <c r="B1521" s="1320" t="s">
        <v>4727</v>
      </c>
      <c r="C1521" s="1919">
        <v>1.2E-2</v>
      </c>
      <c r="D1521" s="1921" t="s">
        <v>583</v>
      </c>
      <c r="E1521" s="2149">
        <f>+VIAJE</f>
        <v>1200000</v>
      </c>
      <c r="F1521" s="2149"/>
      <c r="G1521" s="2149"/>
      <c r="H1521" s="2149"/>
      <c r="I1521" s="2149">
        <f>+E1521*C1521</f>
        <v>14400</v>
      </c>
      <c r="J1521" s="2901"/>
      <c r="K1521" s="2901"/>
      <c r="L1521" s="2901"/>
    </row>
    <row r="1522" spans="1:12" s="1918" customFormat="1" ht="16.8">
      <c r="A1522" s="1325" t="s">
        <v>190</v>
      </c>
      <c r="B1522" s="1326">
        <f>ROUND(SUM(F1522:I1522),0)</f>
        <v>2540319</v>
      </c>
      <c r="C1522" s="1323"/>
      <c r="D1522" s="1327"/>
      <c r="E1522" s="2149"/>
      <c r="F1522" s="2149">
        <f>SUM(F1519:F1519)</f>
        <v>0</v>
      </c>
      <c r="G1522" s="2149">
        <f>SUM(G1519:G1521)</f>
        <v>2525918.5</v>
      </c>
      <c r="H1522" s="2149">
        <f>SUM(H1519:H1519)</f>
        <v>0</v>
      </c>
      <c r="I1522" s="2149">
        <f>+I1521</f>
        <v>14400</v>
      </c>
      <c r="J1522" s="2901"/>
      <c r="K1522" s="2901"/>
      <c r="L1522" s="2901"/>
    </row>
    <row r="1523" spans="1:12" ht="16.8">
      <c r="A1523" s="1325" t="s">
        <v>191</v>
      </c>
      <c r="B1523" s="1326">
        <f>+B1522</f>
        <v>2540319</v>
      </c>
      <c r="C1523" s="1328" t="s">
        <v>150</v>
      </c>
      <c r="D1523" s="1329"/>
      <c r="E1523" s="1329"/>
      <c r="F1523" s="1329"/>
      <c r="G1523" s="1329"/>
      <c r="H1523" s="1330"/>
      <c r="I1523" s="1330"/>
    </row>
    <row r="1525" spans="1:12" s="1918" customFormat="1" ht="16.8">
      <c r="A1525" s="1318"/>
      <c r="B1525" s="3849" t="s">
        <v>7949</v>
      </c>
      <c r="C1525" s="3849"/>
      <c r="D1525" s="3849"/>
      <c r="E1525" s="3849"/>
      <c r="F1525" s="3849"/>
      <c r="G1525" s="3849"/>
      <c r="H1525" s="3849"/>
      <c r="I1525" s="3849"/>
      <c r="J1525" s="2901"/>
      <c r="K1525" s="2901"/>
      <c r="L1525" s="2901"/>
    </row>
    <row r="1526" spans="1:12" s="1918" customFormat="1" ht="16.8">
      <c r="A1526" s="1319"/>
      <c r="B1526" s="1320"/>
      <c r="C1526" s="1319" t="s">
        <v>140</v>
      </c>
      <c r="D1526" s="1319" t="s">
        <v>343</v>
      </c>
      <c r="E1526" s="1319" t="s">
        <v>344</v>
      </c>
      <c r="F1526" s="1319" t="s">
        <v>482</v>
      </c>
      <c r="G1526" s="1319" t="s">
        <v>483</v>
      </c>
      <c r="H1526" s="1319" t="s">
        <v>170</v>
      </c>
      <c r="I1526" s="1319" t="s">
        <v>171</v>
      </c>
      <c r="J1526" s="2901"/>
      <c r="K1526" s="2901"/>
      <c r="L1526" s="2901"/>
    </row>
    <row r="1527" spans="1:12" s="1918" customFormat="1" ht="16.8">
      <c r="A1527" s="1319" t="s">
        <v>345</v>
      </c>
      <c r="B1527" s="1320" t="s">
        <v>6439</v>
      </c>
      <c r="C1527" s="1322">
        <v>7.1</v>
      </c>
      <c r="D1527" s="1323" t="s">
        <v>346</v>
      </c>
      <c r="E1527" s="1324">
        <f>+OFICI</f>
        <v>80479.625344</v>
      </c>
      <c r="F1527" s="1324"/>
      <c r="G1527" s="1324"/>
      <c r="H1527" s="1324">
        <f>+E1527*C1527</f>
        <v>571405.33994239999</v>
      </c>
      <c r="I1527" s="1324"/>
      <c r="J1527" s="2901"/>
      <c r="K1527" s="2901"/>
      <c r="L1527" s="2901"/>
    </row>
    <row r="1528" spans="1:12" s="1918" customFormat="1" ht="16.8">
      <c r="A1528" s="1319" t="s">
        <v>348</v>
      </c>
      <c r="B1528" s="1320" t="s">
        <v>6579</v>
      </c>
      <c r="C1528" s="1322">
        <v>7.1</v>
      </c>
      <c r="D1528" s="1323" t="s">
        <v>346</v>
      </c>
      <c r="E1528" s="1324">
        <f>+AYUDR*3</f>
        <v>150899.29751999999</v>
      </c>
      <c r="F1528" s="1324"/>
      <c r="G1528" s="1324"/>
      <c r="H1528" s="1324">
        <f>+E1528*C1528</f>
        <v>1071385.0123919998</v>
      </c>
      <c r="I1528" s="1324"/>
      <c r="J1528" s="2901"/>
      <c r="K1528" s="2901"/>
      <c r="L1528" s="2901"/>
    </row>
    <row r="1529" spans="1:12" s="1918" customFormat="1" ht="16.8">
      <c r="A1529" s="1319" t="s">
        <v>172</v>
      </c>
      <c r="B1529" s="1320" t="s">
        <v>189</v>
      </c>
      <c r="C1529" s="1322">
        <v>1</v>
      </c>
      <c r="D1529" s="1323" t="s">
        <v>583</v>
      </c>
      <c r="E1529" s="1324">
        <f>+H1530*0.05</f>
        <v>82139.517616719997</v>
      </c>
      <c r="F1529" s="1324"/>
      <c r="G1529" s="1324"/>
      <c r="H1529" s="1324"/>
      <c r="I1529" s="1324">
        <f>+E1529*C1529</f>
        <v>82139.517616719997</v>
      </c>
      <c r="J1529" s="2901"/>
      <c r="K1529" s="2901"/>
      <c r="L1529" s="2901"/>
    </row>
    <row r="1530" spans="1:12" s="1918" customFormat="1" ht="16.8">
      <c r="A1530" s="1325" t="s">
        <v>190</v>
      </c>
      <c r="B1530" s="1326">
        <f>ROUND(SUM(F1530:I1530),0)</f>
        <v>1724930</v>
      </c>
      <c r="C1530" s="1323"/>
      <c r="D1530" s="1327"/>
      <c r="E1530" s="1319"/>
      <c r="F1530" s="1324">
        <f>SUM(F1527:F1529)</f>
        <v>0</v>
      </c>
      <c r="G1530" s="1324">
        <f>SUM(G1527:G1528)</f>
        <v>0</v>
      </c>
      <c r="H1530" s="1324">
        <f>SUM(H1527:H1528)</f>
        <v>1642790.3523343997</v>
      </c>
      <c r="I1530" s="1324">
        <f>SUM(I1527:I1529)</f>
        <v>82139.517616719997</v>
      </c>
      <c r="J1530" s="2901"/>
      <c r="K1530" s="2901"/>
      <c r="L1530" s="2901"/>
    </row>
    <row r="1531" spans="1:12" ht="16.8">
      <c r="A1531" s="1325" t="s">
        <v>191</v>
      </c>
      <c r="B1531" s="1326">
        <f>+B1530</f>
        <v>1724930</v>
      </c>
      <c r="C1531" s="1328" t="s">
        <v>150</v>
      </c>
      <c r="D1531" s="1329"/>
      <c r="E1531" s="1329">
        <f>+B1538*0.15</f>
        <v>1893000</v>
      </c>
      <c r="F1531" s="1329"/>
      <c r="G1531" s="1329"/>
      <c r="H1531" s="1330"/>
      <c r="I1531" s="1330"/>
    </row>
    <row r="1532" spans="1:12" s="1918" customFormat="1" ht="13.5" customHeight="1">
      <c r="A1532" s="492"/>
      <c r="B1532" s="492"/>
      <c r="C1532" s="492"/>
      <c r="D1532" s="492"/>
      <c r="E1532" s="492"/>
      <c r="F1532" s="492"/>
      <c r="G1532" s="492"/>
      <c r="H1532" s="492"/>
      <c r="I1532" s="492"/>
      <c r="J1532" s="2901"/>
      <c r="K1532" s="2901">
        <f>0.05*1</f>
        <v>0.05</v>
      </c>
      <c r="L1532" s="2901"/>
    </row>
    <row r="1533" spans="1:12" s="1918" customFormat="1" ht="16.8">
      <c r="A1533" s="1318"/>
      <c r="B1533" s="3849" t="s">
        <v>8203</v>
      </c>
      <c r="C1533" s="3849"/>
      <c r="D1533" s="3849"/>
      <c r="E1533" s="3849"/>
      <c r="F1533" s="3849"/>
      <c r="G1533" s="3849"/>
      <c r="H1533" s="3849"/>
      <c r="I1533" s="3849"/>
      <c r="J1533" s="2901"/>
      <c r="K1533" s="2901"/>
      <c r="L1533" s="2901"/>
    </row>
    <row r="1534" spans="1:12" s="1918" customFormat="1" ht="16.5" customHeight="1">
      <c r="A1534" s="1319"/>
      <c r="B1534" s="1320"/>
      <c r="C1534" s="1319" t="s">
        <v>140</v>
      </c>
      <c r="D1534" s="1319" t="s">
        <v>343</v>
      </c>
      <c r="E1534" s="1319" t="s">
        <v>344</v>
      </c>
      <c r="F1534" s="1319" t="s">
        <v>482</v>
      </c>
      <c r="G1534" s="1319" t="s">
        <v>483</v>
      </c>
      <c r="H1534" s="1319" t="s">
        <v>170</v>
      </c>
      <c r="I1534" s="1319" t="s">
        <v>171</v>
      </c>
      <c r="J1534" s="2901"/>
      <c r="K1534" s="2901"/>
      <c r="L1534" s="2901"/>
    </row>
    <row r="1535" spans="1:12" s="1918" customFormat="1" ht="100.8">
      <c r="A1535" s="1319"/>
      <c r="B1535" s="1335" t="s">
        <v>4835</v>
      </c>
      <c r="C1535" s="1922">
        <v>1</v>
      </c>
      <c r="D1535" s="1920" t="s">
        <v>133</v>
      </c>
      <c r="E1535" s="1374">
        <v>12500000</v>
      </c>
      <c r="F1535" s="1324"/>
      <c r="G1535" s="1374">
        <f>+E1535*C1535</f>
        <v>12500000</v>
      </c>
      <c r="H1535" s="1324"/>
      <c r="I1535" s="1324"/>
      <c r="J1535" s="2901"/>
      <c r="K1535" s="2901"/>
      <c r="L1535" s="2901"/>
    </row>
    <row r="1536" spans="1:12" s="1918" customFormat="1" ht="16.8">
      <c r="A1536" s="1319"/>
      <c r="B1536" s="1320" t="s">
        <v>4727</v>
      </c>
      <c r="C1536" s="1919">
        <v>0.1</v>
      </c>
      <c r="D1536" s="1921" t="s">
        <v>583</v>
      </c>
      <c r="E1536" s="1324">
        <f>+VIAJE</f>
        <v>1200000</v>
      </c>
      <c r="F1536" s="1324"/>
      <c r="G1536" s="1324"/>
      <c r="H1536" s="1324"/>
      <c r="I1536" s="1324">
        <f>+E1536*C1536</f>
        <v>120000</v>
      </c>
      <c r="J1536" s="2901"/>
      <c r="K1536" s="2901"/>
      <c r="L1536" s="2901"/>
    </row>
    <row r="1537" spans="1:12" s="1918" customFormat="1" ht="16.8">
      <c r="A1537" s="1325" t="s">
        <v>190</v>
      </c>
      <c r="B1537" s="1326">
        <f>ROUND(SUM(F1537:I1537),0)</f>
        <v>12620000</v>
      </c>
      <c r="C1537" s="1323"/>
      <c r="D1537" s="1327"/>
      <c r="E1537" s="1319"/>
      <c r="F1537" s="1324">
        <f>SUM(F1535:F1535)</f>
        <v>0</v>
      </c>
      <c r="G1537" s="1324">
        <f>SUM(G1535:G1536)</f>
        <v>12500000</v>
      </c>
      <c r="H1537" s="1324">
        <f>SUM(H1535:H1535)</f>
        <v>0</v>
      </c>
      <c r="I1537" s="1324">
        <f>+I1536</f>
        <v>120000</v>
      </c>
      <c r="J1537" s="2901"/>
      <c r="K1537" s="2901"/>
      <c r="L1537" s="2901"/>
    </row>
    <row r="1538" spans="1:12" ht="16.8">
      <c r="A1538" s="1325" t="s">
        <v>191</v>
      </c>
      <c r="B1538" s="1326">
        <f>+B1537</f>
        <v>12620000</v>
      </c>
      <c r="C1538" s="1328" t="s">
        <v>150</v>
      </c>
      <c r="D1538" s="1329"/>
      <c r="E1538" s="1329"/>
      <c r="F1538" s="1329"/>
      <c r="G1538" s="1329"/>
      <c r="H1538" s="1330"/>
      <c r="I1538" s="1330"/>
    </row>
    <row r="1540" spans="1:12" s="1918" customFormat="1" ht="16.8">
      <c r="A1540" s="1318"/>
      <c r="B1540" s="3849" t="s">
        <v>7950</v>
      </c>
      <c r="C1540" s="3849"/>
      <c r="D1540" s="3849"/>
      <c r="E1540" s="3849"/>
      <c r="F1540" s="3849"/>
      <c r="G1540" s="3849"/>
      <c r="H1540" s="3849"/>
      <c r="I1540" s="3849"/>
      <c r="J1540" s="2901"/>
      <c r="K1540" s="2901"/>
      <c r="L1540" s="2901"/>
    </row>
    <row r="1541" spans="1:12" s="1918" customFormat="1" ht="16.8">
      <c r="A1541" s="1319"/>
      <c r="B1541" s="1320"/>
      <c r="C1541" s="1319" t="s">
        <v>140</v>
      </c>
      <c r="D1541" s="1319" t="s">
        <v>343</v>
      </c>
      <c r="E1541" s="1319" t="s">
        <v>344</v>
      </c>
      <c r="F1541" s="1319" t="s">
        <v>482</v>
      </c>
      <c r="G1541" s="1319" t="s">
        <v>483</v>
      </c>
      <c r="H1541" s="1319" t="s">
        <v>170</v>
      </c>
      <c r="I1541" s="1319" t="s">
        <v>171</v>
      </c>
      <c r="J1541" s="2901"/>
      <c r="K1541" s="2901"/>
      <c r="L1541" s="2901"/>
    </row>
    <row r="1542" spans="1:12" s="1918" customFormat="1" ht="16.8">
      <c r="A1542" s="1319" t="s">
        <v>345</v>
      </c>
      <c r="B1542" s="1320" t="s">
        <v>6439</v>
      </c>
      <c r="C1542" s="1322">
        <v>9.8000000000000007</v>
      </c>
      <c r="D1542" s="1323" t="s">
        <v>346</v>
      </c>
      <c r="E1542" s="1324">
        <f>+OFICI</f>
        <v>80479.625344</v>
      </c>
      <c r="F1542" s="1324"/>
      <c r="G1542" s="1324"/>
      <c r="H1542" s="1324">
        <f>+E1542*C1542</f>
        <v>788700.32837120001</v>
      </c>
      <c r="I1542" s="1324"/>
      <c r="J1542" s="2901"/>
      <c r="K1542" s="2901"/>
      <c r="L1542" s="2901"/>
    </row>
    <row r="1543" spans="1:12" s="1918" customFormat="1" ht="16.8">
      <c r="A1543" s="1319" t="s">
        <v>348</v>
      </c>
      <c r="B1543" s="1320" t="s">
        <v>6579</v>
      </c>
      <c r="C1543" s="1322">
        <v>9.8000000000000007</v>
      </c>
      <c r="D1543" s="1323" t="s">
        <v>346</v>
      </c>
      <c r="E1543" s="1324">
        <f>+AYUDR*3</f>
        <v>150899.29751999999</v>
      </c>
      <c r="F1543" s="1324"/>
      <c r="G1543" s="1324"/>
      <c r="H1543" s="1324">
        <f>+E1543*C1543</f>
        <v>1478813.1156959999</v>
      </c>
      <c r="I1543" s="1324"/>
      <c r="J1543" s="2901"/>
      <c r="K1543" s="2901"/>
      <c r="L1543" s="2901"/>
    </row>
    <row r="1544" spans="1:12" s="1918" customFormat="1" ht="16.8">
      <c r="A1544" s="1319" t="s">
        <v>172</v>
      </c>
      <c r="B1544" s="1320" t="s">
        <v>189</v>
      </c>
      <c r="C1544" s="1322">
        <v>1</v>
      </c>
      <c r="D1544" s="1323" t="s">
        <v>583</v>
      </c>
      <c r="E1544" s="1324">
        <f>+H1545*0.05</f>
        <v>113375.67220335999</v>
      </c>
      <c r="F1544" s="1324"/>
      <c r="G1544" s="1324"/>
      <c r="H1544" s="1324"/>
      <c r="I1544" s="1324">
        <f>+E1544*C1544</f>
        <v>113375.67220335999</v>
      </c>
      <c r="J1544" s="2901"/>
      <c r="K1544" s="2901"/>
      <c r="L1544" s="2901"/>
    </row>
    <row r="1545" spans="1:12" s="1918" customFormat="1" ht="16.8">
      <c r="A1545" s="1325" t="s">
        <v>190</v>
      </c>
      <c r="B1545" s="1326">
        <f>ROUND(SUM(F1545:I1545),0)</f>
        <v>2380889</v>
      </c>
      <c r="C1545" s="1323"/>
      <c r="D1545" s="1327"/>
      <c r="E1545" s="1319"/>
      <c r="F1545" s="1324">
        <f>SUM(F1542:F1544)</f>
        <v>0</v>
      </c>
      <c r="G1545" s="1324">
        <f>SUM(G1542:G1543)</f>
        <v>0</v>
      </c>
      <c r="H1545" s="1324">
        <f>SUM(H1542:H1543)</f>
        <v>2267513.4440671997</v>
      </c>
      <c r="I1545" s="1324">
        <f>SUM(I1542:I1544)</f>
        <v>113375.67220335999</v>
      </c>
      <c r="J1545" s="2901"/>
      <c r="K1545" s="2901"/>
      <c r="L1545" s="2901"/>
    </row>
    <row r="1546" spans="1:12" ht="16.8">
      <c r="A1546" s="1325" t="s">
        <v>191</v>
      </c>
      <c r="B1546" s="1326">
        <f>+B1545</f>
        <v>2380889</v>
      </c>
      <c r="C1546" s="1328" t="s">
        <v>150</v>
      </c>
      <c r="D1546" s="1329"/>
      <c r="E1546" s="1329">
        <f>+B1552*0.15</f>
        <v>2643000</v>
      </c>
      <c r="F1546" s="1329"/>
      <c r="G1546" s="1329"/>
      <c r="H1546" s="1330"/>
      <c r="I1546" s="1330"/>
    </row>
    <row r="1547" spans="1:12" s="1918" customFormat="1" ht="14.25" customHeight="1">
      <c r="A1547" s="492"/>
      <c r="B1547" s="492"/>
      <c r="C1547" s="492"/>
      <c r="D1547" s="492"/>
      <c r="E1547" s="492"/>
      <c r="F1547" s="492"/>
      <c r="G1547" s="492"/>
      <c r="H1547" s="492"/>
      <c r="I1547" s="492"/>
      <c r="J1547" s="2901"/>
      <c r="K1547" s="2901">
        <f>0.05*1</f>
        <v>0.05</v>
      </c>
      <c r="L1547" s="2901"/>
    </row>
    <row r="1548" spans="1:12" s="1918" customFormat="1" ht="16.8">
      <c r="A1548" s="1318"/>
      <c r="B1548" s="3849" t="s">
        <v>7951</v>
      </c>
      <c r="C1548" s="3849"/>
      <c r="D1548" s="3849"/>
      <c r="E1548" s="3849"/>
      <c r="F1548" s="3849"/>
      <c r="G1548" s="3849"/>
      <c r="H1548" s="3849"/>
      <c r="I1548" s="3849"/>
      <c r="J1548" s="2901"/>
      <c r="K1548" s="2901"/>
      <c r="L1548" s="2901"/>
    </row>
    <row r="1549" spans="1:12" s="1918" customFormat="1" ht="18" customHeight="1">
      <c r="A1549" s="1319"/>
      <c r="B1549" s="1320"/>
      <c r="C1549" s="1319" t="s">
        <v>140</v>
      </c>
      <c r="D1549" s="1319" t="s">
        <v>343</v>
      </c>
      <c r="E1549" s="1319" t="s">
        <v>344</v>
      </c>
      <c r="F1549" s="1319" t="s">
        <v>482</v>
      </c>
      <c r="G1549" s="1319" t="s">
        <v>483</v>
      </c>
      <c r="H1549" s="1319" t="s">
        <v>170</v>
      </c>
      <c r="I1549" s="1319" t="s">
        <v>171</v>
      </c>
      <c r="J1549" s="2901"/>
      <c r="K1549" s="2901"/>
      <c r="L1549" s="2901"/>
    </row>
    <row r="1550" spans="1:12" s="1918" customFormat="1" ht="100.8">
      <c r="A1550" s="1319"/>
      <c r="B1550" s="1335" t="s">
        <v>5653</v>
      </c>
      <c r="C1550" s="1922">
        <v>1</v>
      </c>
      <c r="D1550" s="1920" t="s">
        <v>133</v>
      </c>
      <c r="E1550" s="1374">
        <v>17500000</v>
      </c>
      <c r="F1550" s="1324"/>
      <c r="G1550" s="1374">
        <f>+E1550*C1550</f>
        <v>17500000</v>
      </c>
      <c r="H1550" s="1324"/>
      <c r="I1550" s="1324"/>
      <c r="J1550" s="2901"/>
      <c r="K1550" s="2901"/>
      <c r="L1550" s="2901"/>
    </row>
    <row r="1551" spans="1:12" s="1918" customFormat="1" ht="16.8">
      <c r="A1551" s="1319"/>
      <c r="B1551" s="1320" t="s">
        <v>4727</v>
      </c>
      <c r="C1551" s="1919">
        <v>0.1</v>
      </c>
      <c r="D1551" s="1921" t="s">
        <v>583</v>
      </c>
      <c r="E1551" s="1324">
        <f>+VIAJE</f>
        <v>1200000</v>
      </c>
      <c r="F1551" s="1324"/>
      <c r="G1551" s="1324"/>
      <c r="H1551" s="1324"/>
      <c r="I1551" s="1324">
        <f>+E1551*C1551</f>
        <v>120000</v>
      </c>
      <c r="J1551" s="2901"/>
      <c r="K1551" s="2901"/>
      <c r="L1551" s="2901"/>
    </row>
    <row r="1552" spans="1:12" s="1918" customFormat="1" ht="16.8">
      <c r="A1552" s="1325" t="s">
        <v>190</v>
      </c>
      <c r="B1552" s="1326">
        <f>ROUND(SUM(F1552:I1552),0)</f>
        <v>17620000</v>
      </c>
      <c r="C1552" s="1323"/>
      <c r="D1552" s="1327"/>
      <c r="E1552" s="1319"/>
      <c r="F1552" s="1324">
        <f>SUM(F1550:F1550)</f>
        <v>0</v>
      </c>
      <c r="G1552" s="1324">
        <f>SUM(G1550:G1551)</f>
        <v>17500000</v>
      </c>
      <c r="H1552" s="1324">
        <f>SUM(H1550:H1550)</f>
        <v>0</v>
      </c>
      <c r="I1552" s="1324">
        <f>+I1551</f>
        <v>120000</v>
      </c>
      <c r="J1552" s="2901"/>
      <c r="K1552" s="2901"/>
      <c r="L1552" s="2901"/>
    </row>
    <row r="1553" spans="1:12" s="2747" customFormat="1" ht="16.8">
      <c r="A1553" s="1325" t="s">
        <v>191</v>
      </c>
      <c r="B1553" s="1326">
        <f>+B1552</f>
        <v>17620000</v>
      </c>
      <c r="C1553" s="1328" t="s">
        <v>150</v>
      </c>
      <c r="D1553" s="1329"/>
      <c r="E1553" s="1329"/>
      <c r="F1553" s="1329"/>
      <c r="G1553" s="1329"/>
      <c r="H1553" s="1330"/>
      <c r="I1553" s="1330"/>
      <c r="J1553" s="2901"/>
      <c r="K1553" s="2901"/>
      <c r="L1553" s="2901"/>
    </row>
    <row r="1555" spans="1:12" s="1918" customFormat="1" ht="16.8">
      <c r="A1555" s="1318"/>
      <c r="B1555" s="3849" t="s">
        <v>7159</v>
      </c>
      <c r="C1555" s="3849"/>
      <c r="D1555" s="3849"/>
      <c r="E1555" s="3849"/>
      <c r="F1555" s="3849"/>
      <c r="G1555" s="3849"/>
      <c r="H1555" s="3849"/>
      <c r="I1555" s="3849"/>
      <c r="J1555" s="2901"/>
      <c r="K1555" s="2901"/>
      <c r="L1555" s="2901"/>
    </row>
    <row r="1556" spans="1:12" s="1918" customFormat="1" ht="16.8">
      <c r="A1556" s="1319"/>
      <c r="B1556" s="1320"/>
      <c r="C1556" s="1319" t="s">
        <v>140</v>
      </c>
      <c r="D1556" s="1319" t="s">
        <v>343</v>
      </c>
      <c r="E1556" s="1319" t="s">
        <v>344</v>
      </c>
      <c r="F1556" s="1319" t="s">
        <v>482</v>
      </c>
      <c r="G1556" s="1319" t="s">
        <v>483</v>
      </c>
      <c r="H1556" s="1319" t="s">
        <v>170</v>
      </c>
      <c r="I1556" s="1319" t="s">
        <v>171</v>
      </c>
      <c r="J1556" s="2901"/>
      <c r="K1556" s="2901"/>
      <c r="L1556" s="2901"/>
    </row>
    <row r="1557" spans="1:12" s="1918" customFormat="1" ht="16.8">
      <c r="A1557" s="1319" t="s">
        <v>345</v>
      </c>
      <c r="B1557" s="1320" t="s">
        <v>6439</v>
      </c>
      <c r="C1557" s="1322">
        <v>1.05</v>
      </c>
      <c r="D1557" s="1323" t="s">
        <v>346</v>
      </c>
      <c r="E1557" s="1324">
        <f>+OFICI</f>
        <v>80479.625344</v>
      </c>
      <c r="F1557" s="1324"/>
      <c r="G1557" s="1324"/>
      <c r="H1557" s="1324">
        <f>+E1557*C1557</f>
        <v>84503.606611199997</v>
      </c>
      <c r="I1557" s="1324"/>
      <c r="J1557" s="2901"/>
      <c r="K1557" s="2901"/>
      <c r="L1557" s="2901"/>
    </row>
    <row r="1558" spans="1:12" s="1918" customFormat="1" ht="16.8">
      <c r="A1558" s="1319" t="s">
        <v>348</v>
      </c>
      <c r="B1558" s="1320" t="s">
        <v>966</v>
      </c>
      <c r="C1558" s="1322">
        <v>1.05</v>
      </c>
      <c r="D1558" s="1323" t="s">
        <v>346</v>
      </c>
      <c r="E1558" s="1324">
        <f>+AYUDR</f>
        <v>50299.76584</v>
      </c>
      <c r="F1558" s="1324"/>
      <c r="G1558" s="1324"/>
      <c r="H1558" s="1324">
        <f>+E1558*C1558</f>
        <v>52814.754132000002</v>
      </c>
      <c r="I1558" s="1324"/>
      <c r="J1558" s="2901"/>
      <c r="K1558" s="2901"/>
      <c r="L1558" s="2901"/>
    </row>
    <row r="1559" spans="1:12" s="1918" customFormat="1" ht="16.8">
      <c r="A1559" s="1319" t="s">
        <v>172</v>
      </c>
      <c r="B1559" s="1320" t="s">
        <v>189</v>
      </c>
      <c r="C1559" s="1322">
        <v>1</v>
      </c>
      <c r="D1559" s="1323" t="s">
        <v>583</v>
      </c>
      <c r="E1559" s="1324">
        <f>+H1560*0.05</f>
        <v>6865.9180371600005</v>
      </c>
      <c r="F1559" s="1324"/>
      <c r="G1559" s="1324"/>
      <c r="H1559" s="1324"/>
      <c r="I1559" s="1324">
        <f>+E1559*C1559</f>
        <v>6865.9180371600005</v>
      </c>
      <c r="J1559" s="2901"/>
      <c r="K1559" s="2901"/>
      <c r="L1559" s="2901"/>
    </row>
    <row r="1560" spans="1:12" s="1918" customFormat="1" ht="16.8">
      <c r="A1560" s="1325" t="s">
        <v>190</v>
      </c>
      <c r="B1560" s="1326">
        <f>ROUND(SUM(F1560:I1560),0)</f>
        <v>144184</v>
      </c>
      <c r="C1560" s="1323"/>
      <c r="D1560" s="1327"/>
      <c r="E1560" s="1319"/>
      <c r="F1560" s="1324">
        <f>SUM(F1557:F1559)</f>
        <v>0</v>
      </c>
      <c r="G1560" s="1324">
        <f>SUM(G1557:G1558)</f>
        <v>0</v>
      </c>
      <c r="H1560" s="1324">
        <f>SUM(H1557:H1558)</f>
        <v>137318.3607432</v>
      </c>
      <c r="I1560" s="1324">
        <f>SUM(I1557:I1559)</f>
        <v>6865.9180371600005</v>
      </c>
      <c r="J1560" s="2901"/>
      <c r="K1560" s="2901"/>
      <c r="L1560" s="2901"/>
    </row>
    <row r="1561" spans="1:12" ht="16.8">
      <c r="A1561" s="1325" t="s">
        <v>191</v>
      </c>
      <c r="B1561" s="1326">
        <f>+B1560</f>
        <v>144184</v>
      </c>
      <c r="C1561" s="1328" t="s">
        <v>150</v>
      </c>
      <c r="D1561" s="1329"/>
      <c r="E1561" s="1329">
        <f>+B1569*0.15</f>
        <v>145312.04999999999</v>
      </c>
      <c r="F1561" s="1329"/>
      <c r="G1561" s="1329"/>
      <c r="H1561" s="1330"/>
      <c r="I1561" s="1330"/>
    </row>
    <row r="1562" spans="1:12" s="1918" customFormat="1" ht="15.75" customHeight="1">
      <c r="A1562" s="492"/>
      <c r="B1562" s="492"/>
      <c r="C1562" s="492"/>
      <c r="D1562" s="492"/>
      <c r="E1562" s="492"/>
      <c r="F1562" s="492"/>
      <c r="G1562" s="492"/>
      <c r="H1562" s="492"/>
      <c r="I1562" s="492"/>
      <c r="J1562" s="2901"/>
      <c r="K1562" s="2901">
        <f>0.05*1</f>
        <v>0.05</v>
      </c>
      <c r="L1562" s="2901"/>
    </row>
    <row r="1563" spans="1:12" s="1918" customFormat="1" ht="16.8">
      <c r="A1563" s="1318"/>
      <c r="B1563" s="3849" t="s">
        <v>7158</v>
      </c>
      <c r="C1563" s="3849"/>
      <c r="D1563" s="3849"/>
      <c r="E1563" s="3849"/>
      <c r="F1563" s="3849"/>
      <c r="G1563" s="3849"/>
      <c r="H1563" s="3849"/>
      <c r="I1563" s="3849"/>
      <c r="J1563" s="2901"/>
      <c r="K1563" s="2901"/>
      <c r="L1563" s="2901"/>
    </row>
    <row r="1564" spans="1:12" s="1918" customFormat="1" ht="16.8">
      <c r="A1564" s="1319"/>
      <c r="B1564" s="1320"/>
      <c r="C1564" s="1319" t="s">
        <v>140</v>
      </c>
      <c r="D1564" s="1319" t="s">
        <v>343</v>
      </c>
      <c r="E1564" s="1319" t="s">
        <v>344</v>
      </c>
      <c r="F1564" s="1319" t="s">
        <v>482</v>
      </c>
      <c r="G1564" s="1319" t="s">
        <v>483</v>
      </c>
      <c r="H1564" s="1319" t="s">
        <v>170</v>
      </c>
      <c r="I1564" s="1319" t="s">
        <v>171</v>
      </c>
      <c r="J1564" s="2901"/>
      <c r="K1564" s="2901"/>
      <c r="L1564" s="2901"/>
    </row>
    <row r="1565" spans="1:12" s="1918" customFormat="1" ht="16.8">
      <c r="A1565" s="1319"/>
      <c r="B1565" s="1320" t="s">
        <v>7160</v>
      </c>
      <c r="C1565" s="1922">
        <v>1</v>
      </c>
      <c r="D1565" s="1920" t="s">
        <v>133</v>
      </c>
      <c r="E1565" s="1324">
        <f>+'BASE 2'!D548</f>
        <v>889346.5</v>
      </c>
      <c r="F1565" s="1324"/>
      <c r="G1565" s="2149">
        <f>+E1565*C1565</f>
        <v>889346.5</v>
      </c>
      <c r="H1565" s="2149"/>
      <c r="I1565" s="2149"/>
      <c r="J1565" s="2901"/>
      <c r="K1565" s="2901"/>
      <c r="L1565" s="2901"/>
    </row>
    <row r="1566" spans="1:12" s="1918" customFormat="1" ht="16.8">
      <c r="A1566" s="1319"/>
      <c r="B1566" s="1320" t="s">
        <v>6454</v>
      </c>
      <c r="C1566" s="1922">
        <v>1</v>
      </c>
      <c r="D1566" s="1921" t="s">
        <v>133</v>
      </c>
      <c r="E1566" s="2149">
        <f>+'BASE 2'!D628</f>
        <v>65000</v>
      </c>
      <c r="F1566" s="2149"/>
      <c r="G1566" s="2149">
        <f>+E1566*C1566</f>
        <v>65000</v>
      </c>
      <c r="H1566" s="2149"/>
      <c r="I1566" s="2149"/>
      <c r="J1566" s="2901"/>
      <c r="K1566" s="2901"/>
      <c r="L1566" s="2901"/>
    </row>
    <row r="1567" spans="1:12" s="1918" customFormat="1" ht="16.8">
      <c r="A1567" s="1319"/>
      <c r="B1567" s="1320" t="s">
        <v>4727</v>
      </c>
      <c r="C1567" s="1919">
        <v>1.2E-2</v>
      </c>
      <c r="D1567" s="1921" t="s">
        <v>583</v>
      </c>
      <c r="E1567" s="2149">
        <f>+VIAJE</f>
        <v>1200000</v>
      </c>
      <c r="F1567" s="1324"/>
      <c r="G1567" s="2149"/>
      <c r="H1567" s="2149"/>
      <c r="I1567" s="2149">
        <f>+E1567*C1567</f>
        <v>14400</v>
      </c>
      <c r="J1567" s="2901"/>
      <c r="K1567" s="2901"/>
      <c r="L1567" s="2901"/>
    </row>
    <row r="1568" spans="1:12" s="1918" customFormat="1" ht="16.8">
      <c r="A1568" s="1325" t="s">
        <v>190</v>
      </c>
      <c r="B1568" s="1326">
        <f>ROUND(SUM(F1568:I1568),0)</f>
        <v>968747</v>
      </c>
      <c r="C1568" s="1323"/>
      <c r="D1568" s="1327"/>
      <c r="E1568" s="1319"/>
      <c r="F1568" s="1324">
        <f>SUM(F1565:F1565)</f>
        <v>0</v>
      </c>
      <c r="G1568" s="2149">
        <f>SUM(G1565:G1567)</f>
        <v>954346.5</v>
      </c>
      <c r="H1568" s="2149">
        <f>SUM(H1565:H1565)</f>
        <v>0</v>
      </c>
      <c r="I1568" s="2149">
        <f>+I1567</f>
        <v>14400</v>
      </c>
      <c r="J1568" s="2901"/>
      <c r="K1568" s="2901"/>
      <c r="L1568" s="2901"/>
    </row>
    <row r="1569" spans="1:12" ht="16.8">
      <c r="A1569" s="1325" t="s">
        <v>191</v>
      </c>
      <c r="B1569" s="1326">
        <f>+B1568</f>
        <v>968747</v>
      </c>
      <c r="C1569" s="1328" t="s">
        <v>150</v>
      </c>
      <c r="D1569" s="1329"/>
      <c r="E1569" s="1329"/>
      <c r="F1569" s="1329"/>
      <c r="G1569" s="1329"/>
      <c r="H1569" s="1330"/>
      <c r="I1569" s="1330"/>
    </row>
    <row r="1571" spans="1:12" s="1918" customFormat="1" ht="16.8">
      <c r="A1571" s="1318"/>
      <c r="B1571" s="3849" t="s">
        <v>6718</v>
      </c>
      <c r="C1571" s="3849"/>
      <c r="D1571" s="3849"/>
      <c r="E1571" s="3849"/>
      <c r="F1571" s="3849"/>
      <c r="G1571" s="3849"/>
      <c r="H1571" s="3849"/>
      <c r="I1571" s="3849"/>
      <c r="J1571" s="2901"/>
      <c r="K1571" s="2901"/>
      <c r="L1571" s="2901"/>
    </row>
    <row r="1572" spans="1:12" s="1918" customFormat="1" ht="16.8">
      <c r="A1572" s="1319"/>
      <c r="B1572" s="1320"/>
      <c r="C1572" s="1319" t="s">
        <v>140</v>
      </c>
      <c r="D1572" s="1319" t="s">
        <v>343</v>
      </c>
      <c r="E1572" s="1319" t="s">
        <v>344</v>
      </c>
      <c r="F1572" s="1319" t="s">
        <v>482</v>
      </c>
      <c r="G1572" s="1319" t="s">
        <v>483</v>
      </c>
      <c r="H1572" s="1319" t="s">
        <v>170</v>
      </c>
      <c r="I1572" s="1319" t="s">
        <v>171</v>
      </c>
      <c r="J1572" s="2901"/>
      <c r="K1572" s="2901"/>
      <c r="L1572" s="2901"/>
    </row>
    <row r="1573" spans="1:12" s="1918" customFormat="1" ht="16.8">
      <c r="A1573" s="1319" t="s">
        <v>345</v>
      </c>
      <c r="B1573" s="1320" t="s">
        <v>6439</v>
      </c>
      <c r="C1573" s="1322">
        <v>0.35</v>
      </c>
      <c r="D1573" s="1323" t="s">
        <v>346</v>
      </c>
      <c r="E1573" s="1324">
        <f>+OFICI</f>
        <v>80479.625344</v>
      </c>
      <c r="F1573" s="1324"/>
      <c r="G1573" s="1324"/>
      <c r="H1573" s="1324">
        <f>+E1573*C1573</f>
        <v>28167.868870399998</v>
      </c>
      <c r="I1573" s="1324"/>
      <c r="J1573" s="2901"/>
      <c r="K1573" s="2901"/>
      <c r="L1573" s="2901"/>
    </row>
    <row r="1574" spans="1:12" s="1918" customFormat="1" ht="16.8">
      <c r="A1574" s="1319" t="s">
        <v>348</v>
      </c>
      <c r="B1574" s="1320" t="s">
        <v>6579</v>
      </c>
      <c r="C1574" s="1322">
        <v>0.35</v>
      </c>
      <c r="D1574" s="1323" t="s">
        <v>346</v>
      </c>
      <c r="E1574" s="1324">
        <f>+AYUDR</f>
        <v>50299.76584</v>
      </c>
      <c r="F1574" s="1324"/>
      <c r="G1574" s="1324"/>
      <c r="H1574" s="1324">
        <f>+E1574*C1574</f>
        <v>17604.918043999998</v>
      </c>
      <c r="I1574" s="1324"/>
      <c r="J1574" s="2901"/>
      <c r="K1574" s="2901"/>
      <c r="L1574" s="2901"/>
    </row>
    <row r="1575" spans="1:12" s="1918" customFormat="1" ht="16.8">
      <c r="A1575" s="1319" t="s">
        <v>172</v>
      </c>
      <c r="B1575" s="1320" t="s">
        <v>189</v>
      </c>
      <c r="C1575" s="1322">
        <v>1</v>
      </c>
      <c r="D1575" s="1323" t="s">
        <v>583</v>
      </c>
      <c r="E1575" s="1324">
        <f>+H1576*0.05</f>
        <v>2288.6393457200002</v>
      </c>
      <c r="F1575" s="1324"/>
      <c r="G1575" s="1324"/>
      <c r="H1575" s="1324"/>
      <c r="I1575" s="1324">
        <f>+E1575*C1575</f>
        <v>2288.6393457200002</v>
      </c>
      <c r="J1575" s="2901"/>
      <c r="K1575" s="2901"/>
      <c r="L1575" s="2901"/>
    </row>
    <row r="1576" spans="1:12" s="1918" customFormat="1" ht="16.8">
      <c r="A1576" s="1325" t="s">
        <v>190</v>
      </c>
      <c r="B1576" s="1326">
        <f>ROUND(SUM(F1576:I1576),0)</f>
        <v>48061</v>
      </c>
      <c r="C1576" s="1323"/>
      <c r="D1576" s="1327"/>
      <c r="E1576" s="1319"/>
      <c r="F1576" s="1324">
        <f>SUM(F1573:F1575)</f>
        <v>0</v>
      </c>
      <c r="G1576" s="1324">
        <f>SUM(G1573:G1574)</f>
        <v>0</v>
      </c>
      <c r="H1576" s="1324">
        <f>SUM(H1573:H1574)</f>
        <v>45772.7869144</v>
      </c>
      <c r="I1576" s="1324">
        <f>SUM(I1573:I1575)</f>
        <v>2288.6393457200002</v>
      </c>
      <c r="J1576" s="2901"/>
      <c r="K1576" s="2901"/>
      <c r="L1576" s="2901"/>
    </row>
    <row r="1577" spans="1:12" ht="16.8">
      <c r="A1577" s="1325" t="s">
        <v>191</v>
      </c>
      <c r="B1577" s="1326">
        <f>+B1576</f>
        <v>48061</v>
      </c>
      <c r="C1577" s="1328" t="s">
        <v>150</v>
      </c>
      <c r="D1577" s="1329"/>
      <c r="E1577" s="1329">
        <f>+B1586*0.15</f>
        <v>48900</v>
      </c>
      <c r="F1577" s="1329"/>
      <c r="G1577" s="1329"/>
      <c r="H1577" s="1330"/>
      <c r="I1577" s="1330"/>
    </row>
    <row r="1578" spans="1:12" s="1918" customFormat="1" ht="15.75" customHeight="1">
      <c r="A1578" s="492"/>
      <c r="B1578" s="492"/>
      <c r="C1578" s="492"/>
      <c r="D1578" s="492"/>
      <c r="E1578" s="492"/>
      <c r="F1578" s="492"/>
      <c r="G1578" s="492"/>
      <c r="H1578" s="492"/>
      <c r="I1578" s="492"/>
      <c r="J1578" s="2901"/>
      <c r="K1578" s="2901">
        <f>0.05*1</f>
        <v>0.05</v>
      </c>
      <c r="L1578" s="2901"/>
    </row>
    <row r="1579" spans="1:12" s="1918" customFormat="1" ht="16.8">
      <c r="A1579" s="1318"/>
      <c r="B1579" s="3849" t="s">
        <v>6717</v>
      </c>
      <c r="C1579" s="3849"/>
      <c r="D1579" s="3849"/>
      <c r="E1579" s="3849"/>
      <c r="F1579" s="3849"/>
      <c r="G1579" s="3849"/>
      <c r="H1579" s="3849"/>
      <c r="I1579" s="3849"/>
      <c r="J1579" s="2901"/>
      <c r="K1579" s="2901"/>
      <c r="L1579" s="2901"/>
    </row>
    <row r="1580" spans="1:12" s="1918" customFormat="1" ht="15" customHeight="1">
      <c r="A1580" s="1319"/>
      <c r="B1580" s="1320"/>
      <c r="C1580" s="1319" t="s">
        <v>140</v>
      </c>
      <c r="D1580" s="1319" t="s">
        <v>343</v>
      </c>
      <c r="E1580" s="1319" t="s">
        <v>344</v>
      </c>
      <c r="F1580" s="1319" t="s">
        <v>482</v>
      </c>
      <c r="G1580" s="1319" t="s">
        <v>483</v>
      </c>
      <c r="H1580" s="1319" t="s">
        <v>170</v>
      </c>
      <c r="I1580" s="1319" t="s">
        <v>171</v>
      </c>
      <c r="J1580" s="2901"/>
      <c r="K1580" s="2901"/>
      <c r="L1580" s="2901"/>
    </row>
    <row r="1581" spans="1:12" s="1918" customFormat="1" ht="15" customHeight="1">
      <c r="A1581" s="1319"/>
      <c r="B1581" s="1335" t="s">
        <v>6715</v>
      </c>
      <c r="C1581" s="1922">
        <v>1</v>
      </c>
      <c r="D1581" s="1920" t="s">
        <v>133</v>
      </c>
      <c r="E1581" s="1324">
        <f>+'BASE 2'!D649</f>
        <v>166600</v>
      </c>
      <c r="F1581" s="1324"/>
      <c r="G1581" s="1324">
        <f>+E1581*C1581</f>
        <v>166600</v>
      </c>
      <c r="H1581" s="1324"/>
      <c r="I1581" s="1324"/>
      <c r="J1581" s="2901"/>
      <c r="K1581" s="2901"/>
      <c r="L1581" s="2901"/>
    </row>
    <row r="1582" spans="1:12" s="1918" customFormat="1" ht="15" customHeight="1">
      <c r="A1582" s="1319"/>
      <c r="B1582" s="3" t="s">
        <v>6448</v>
      </c>
      <c r="C1582" s="1922">
        <v>1</v>
      </c>
      <c r="D1582" s="1920" t="s">
        <v>133</v>
      </c>
      <c r="E1582" s="1324">
        <f>+'BASE 2'!D626</f>
        <v>80000</v>
      </c>
      <c r="F1582" s="1324"/>
      <c r="G1582" s="1324">
        <f t="shared" ref="G1582:G1583" si="50">+E1582*C1582</f>
        <v>80000</v>
      </c>
      <c r="H1582" s="1324"/>
      <c r="I1582" s="1324"/>
      <c r="J1582" s="2901"/>
      <c r="K1582" s="2901"/>
      <c r="L1582" s="2901"/>
    </row>
    <row r="1583" spans="1:12" s="1918" customFormat="1" ht="16.8">
      <c r="A1583" s="1319"/>
      <c r="B1583" s="3" t="s">
        <v>6454</v>
      </c>
      <c r="C1583" s="1922">
        <v>1</v>
      </c>
      <c r="D1583" s="1920" t="s">
        <v>133</v>
      </c>
      <c r="E1583" s="1324">
        <f>+'BASE 2'!D628</f>
        <v>65000</v>
      </c>
      <c r="F1583" s="1324"/>
      <c r="G1583" s="1324">
        <f t="shared" si="50"/>
        <v>65000</v>
      </c>
      <c r="H1583" s="1324"/>
      <c r="I1583" s="1324"/>
      <c r="J1583" s="2901"/>
      <c r="K1583" s="2901"/>
      <c r="L1583" s="2901"/>
    </row>
    <row r="1584" spans="1:12" s="1918" customFormat="1" ht="16.8">
      <c r="A1584" s="1319"/>
      <c r="B1584" s="1320" t="s">
        <v>4727</v>
      </c>
      <c r="C1584" s="1919">
        <v>1.2E-2</v>
      </c>
      <c r="D1584" s="1921" t="s">
        <v>583</v>
      </c>
      <c r="E1584" s="1324">
        <f>+VIAJE</f>
        <v>1200000</v>
      </c>
      <c r="F1584" s="1324"/>
      <c r="G1584" s="1324"/>
      <c r="H1584" s="1324"/>
      <c r="I1584" s="1324">
        <f>+E1584*C1584</f>
        <v>14400</v>
      </c>
      <c r="J1584" s="2901"/>
      <c r="K1584" s="2901"/>
      <c r="L1584" s="2901"/>
    </row>
    <row r="1585" spans="1:12" s="1918" customFormat="1" ht="16.8">
      <c r="A1585" s="1325" t="s">
        <v>190</v>
      </c>
      <c r="B1585" s="1326">
        <f>ROUND(SUM(F1585:I1585),0)</f>
        <v>326000</v>
      </c>
      <c r="C1585" s="1323"/>
      <c r="D1585" s="1327"/>
      <c r="E1585" s="1319"/>
      <c r="F1585" s="1324">
        <f>SUM(F1581:F1581)</f>
        <v>0</v>
      </c>
      <c r="G1585" s="1324">
        <f>SUM(G1581:G1584)</f>
        <v>311600</v>
      </c>
      <c r="H1585" s="1324">
        <f>SUM(H1581:H1581)</f>
        <v>0</v>
      </c>
      <c r="I1585" s="1324">
        <f>+I1584</f>
        <v>14400</v>
      </c>
      <c r="J1585" s="2901"/>
      <c r="K1585" s="2901"/>
      <c r="L1585" s="2901"/>
    </row>
    <row r="1586" spans="1:12" ht="16.8">
      <c r="A1586" s="1325" t="s">
        <v>191</v>
      </c>
      <c r="B1586" s="1326">
        <f>+B1585</f>
        <v>326000</v>
      </c>
      <c r="C1586" s="1328" t="s">
        <v>150</v>
      </c>
      <c r="D1586" s="1329"/>
      <c r="E1586" s="1329"/>
      <c r="F1586" s="1329"/>
      <c r="G1586" s="1329"/>
      <c r="H1586" s="1330"/>
      <c r="I1586" s="1330"/>
    </row>
    <row r="1588" spans="1:12" s="1918" customFormat="1" ht="16.8">
      <c r="A1588" s="1318"/>
      <c r="B1588" s="3849" t="s">
        <v>7165</v>
      </c>
      <c r="C1588" s="3849"/>
      <c r="D1588" s="3849"/>
      <c r="E1588" s="3849"/>
      <c r="F1588" s="3849"/>
      <c r="G1588" s="3849"/>
      <c r="H1588" s="3849"/>
      <c r="I1588" s="3849"/>
      <c r="J1588" s="2901"/>
      <c r="K1588" s="2901"/>
      <c r="L1588" s="2901"/>
    </row>
    <row r="1589" spans="1:12" s="1918" customFormat="1" ht="16.8">
      <c r="A1589" s="1319"/>
      <c r="B1589" s="1320"/>
      <c r="C1589" s="1319" t="s">
        <v>140</v>
      </c>
      <c r="D1589" s="1319" t="s">
        <v>343</v>
      </c>
      <c r="E1589" s="1319" t="s">
        <v>344</v>
      </c>
      <c r="F1589" s="1319" t="s">
        <v>482</v>
      </c>
      <c r="G1589" s="1319" t="s">
        <v>483</v>
      </c>
      <c r="H1589" s="1319" t="s">
        <v>170</v>
      </c>
      <c r="I1589" s="1319" t="s">
        <v>171</v>
      </c>
      <c r="J1589" s="2901"/>
      <c r="K1589" s="2901"/>
      <c r="L1589" s="2901"/>
    </row>
    <row r="1590" spans="1:12" s="1918" customFormat="1" ht="16.8">
      <c r="A1590" s="1319" t="s">
        <v>345</v>
      </c>
      <c r="B1590" s="1320" t="s">
        <v>6439</v>
      </c>
      <c r="C1590" s="1322">
        <v>0.92</v>
      </c>
      <c r="D1590" s="1323" t="s">
        <v>346</v>
      </c>
      <c r="E1590" s="1324">
        <f>+OFICI</f>
        <v>80479.625344</v>
      </c>
      <c r="F1590" s="1324"/>
      <c r="G1590" s="1324"/>
      <c r="H1590" s="1324">
        <f>+E1590*C1590</f>
        <v>74041.255316480005</v>
      </c>
      <c r="I1590" s="1324"/>
      <c r="J1590" s="2901"/>
      <c r="K1590" s="2901"/>
      <c r="L1590" s="2901"/>
    </row>
    <row r="1591" spans="1:12" s="1918" customFormat="1" ht="16.8">
      <c r="A1591" s="1319" t="s">
        <v>348</v>
      </c>
      <c r="B1591" s="1320" t="s">
        <v>6579</v>
      </c>
      <c r="C1591" s="1322">
        <v>0.92</v>
      </c>
      <c r="D1591" s="1323" t="s">
        <v>346</v>
      </c>
      <c r="E1591" s="1324">
        <f>+AYUDR</f>
        <v>50299.76584</v>
      </c>
      <c r="F1591" s="1324"/>
      <c r="G1591" s="1324"/>
      <c r="H1591" s="1324">
        <f>+E1591*C1591</f>
        <v>46275.784572800003</v>
      </c>
      <c r="I1591" s="1324"/>
      <c r="J1591" s="2901"/>
      <c r="K1591" s="2901"/>
      <c r="L1591" s="2901"/>
    </row>
    <row r="1592" spans="1:12" s="1918" customFormat="1" ht="16.8">
      <c r="A1592" s="1319" t="s">
        <v>172</v>
      </c>
      <c r="B1592" s="1320" t="s">
        <v>189</v>
      </c>
      <c r="C1592" s="1322">
        <v>1</v>
      </c>
      <c r="D1592" s="1323" t="s">
        <v>583</v>
      </c>
      <c r="E1592" s="1324">
        <f>+H1593*0.05</f>
        <v>6015.8519944640011</v>
      </c>
      <c r="F1592" s="1324"/>
      <c r="G1592" s="1324"/>
      <c r="H1592" s="1324"/>
      <c r="I1592" s="1324">
        <f>+E1592*C1592</f>
        <v>6015.8519944640011</v>
      </c>
      <c r="J1592" s="2901"/>
      <c r="K1592" s="2901"/>
      <c r="L1592" s="2901"/>
    </row>
    <row r="1593" spans="1:12" s="1918" customFormat="1" ht="16.8">
      <c r="A1593" s="1325" t="s">
        <v>190</v>
      </c>
      <c r="B1593" s="1326">
        <f>ROUND(SUM(F1593:I1593),0)</f>
        <v>126333</v>
      </c>
      <c r="C1593" s="1323"/>
      <c r="D1593" s="1327"/>
      <c r="E1593" s="1319"/>
      <c r="F1593" s="1324">
        <f>SUM(F1590:F1592)</f>
        <v>0</v>
      </c>
      <c r="G1593" s="1324">
        <f>SUM(G1590:G1591)</f>
        <v>0</v>
      </c>
      <c r="H1593" s="1324">
        <f>SUM(H1590:H1591)</f>
        <v>120317.03988928001</v>
      </c>
      <c r="I1593" s="1324">
        <f>SUM(I1590:I1592)</f>
        <v>6015.8519944640011</v>
      </c>
      <c r="J1593" s="2901"/>
      <c r="K1593" s="2901"/>
      <c r="L1593" s="2901"/>
    </row>
    <row r="1594" spans="1:12" ht="16.8">
      <c r="A1594" s="1325" t="s">
        <v>191</v>
      </c>
      <c r="B1594" s="1326">
        <f>+B1593</f>
        <v>126333</v>
      </c>
      <c r="C1594" s="1328" t="s">
        <v>150</v>
      </c>
      <c r="D1594" s="1329"/>
      <c r="E1594" s="1329">
        <f>+B1602*0.15</f>
        <v>126510.9</v>
      </c>
      <c r="F1594" s="1329"/>
      <c r="G1594" s="1329"/>
      <c r="H1594" s="1330"/>
      <c r="I1594" s="1330"/>
    </row>
    <row r="1595" spans="1:12" s="1918" customFormat="1" ht="15.75" customHeight="1">
      <c r="A1595" s="492"/>
      <c r="B1595" s="492"/>
      <c r="C1595" s="492"/>
      <c r="D1595" s="492"/>
      <c r="E1595" s="492"/>
      <c r="F1595" s="492"/>
      <c r="G1595" s="492"/>
      <c r="H1595" s="492"/>
      <c r="I1595" s="492"/>
      <c r="J1595" s="2901"/>
      <c r="K1595" s="2901">
        <f>0.05*1</f>
        <v>0.05</v>
      </c>
      <c r="L1595" s="2901"/>
    </row>
    <row r="1596" spans="1:12" s="1918" customFormat="1" ht="16.8">
      <c r="A1596" s="1318"/>
      <c r="B1596" s="3849" t="s">
        <v>7164</v>
      </c>
      <c r="C1596" s="3849"/>
      <c r="D1596" s="3849"/>
      <c r="E1596" s="3849"/>
      <c r="F1596" s="3849"/>
      <c r="G1596" s="3849"/>
      <c r="H1596" s="3849"/>
      <c r="I1596" s="3849"/>
      <c r="J1596" s="2901"/>
      <c r="K1596" s="2901"/>
      <c r="L1596" s="2901"/>
    </row>
    <row r="1597" spans="1:12" s="1918" customFormat="1" ht="31.5" customHeight="1">
      <c r="A1597" s="1319"/>
      <c r="B1597" s="1320"/>
      <c r="C1597" s="1319" t="s">
        <v>140</v>
      </c>
      <c r="D1597" s="1319" t="s">
        <v>343</v>
      </c>
      <c r="E1597" s="1319" t="s">
        <v>344</v>
      </c>
      <c r="F1597" s="1319" t="s">
        <v>482</v>
      </c>
      <c r="G1597" s="1319" t="s">
        <v>483</v>
      </c>
      <c r="H1597" s="1319" t="s">
        <v>170</v>
      </c>
      <c r="I1597" s="1319" t="s">
        <v>171</v>
      </c>
      <c r="J1597" s="2901"/>
      <c r="K1597" s="2901"/>
      <c r="L1597" s="2901"/>
    </row>
    <row r="1598" spans="1:12" s="1918" customFormat="1" ht="16.8">
      <c r="A1598" s="1319"/>
      <c r="B1598" s="1335" t="s">
        <v>7163</v>
      </c>
      <c r="C1598" s="1922">
        <v>1</v>
      </c>
      <c r="D1598" s="1920" t="s">
        <v>133</v>
      </c>
      <c r="E1598" s="2183">
        <f>+'BASE 2'!D547</f>
        <v>699006</v>
      </c>
      <c r="F1598" s="1324"/>
      <c r="G1598" s="2183">
        <f>+E1598*C1598</f>
        <v>699006</v>
      </c>
      <c r="H1598" s="2183"/>
      <c r="I1598" s="2183"/>
      <c r="J1598" s="2901"/>
      <c r="K1598" s="2901"/>
      <c r="L1598" s="2901"/>
    </row>
    <row r="1599" spans="1:12" s="1918" customFormat="1" ht="16.8">
      <c r="A1599" s="1319"/>
      <c r="B1599" s="1320" t="s">
        <v>6454</v>
      </c>
      <c r="C1599" s="1922">
        <v>2</v>
      </c>
      <c r="D1599" s="1921" t="s">
        <v>133</v>
      </c>
      <c r="E1599" s="2149">
        <f>+'BASE 2'!D628</f>
        <v>65000</v>
      </c>
      <c r="F1599" s="2149"/>
      <c r="G1599" s="2183">
        <f>+E1599*C1599</f>
        <v>130000</v>
      </c>
      <c r="H1599" s="2183"/>
      <c r="I1599" s="2183"/>
      <c r="J1599" s="2901"/>
      <c r="K1599" s="2901"/>
      <c r="L1599" s="2901"/>
    </row>
    <row r="1600" spans="1:12" s="1918" customFormat="1" ht="16.8">
      <c r="A1600" s="1319"/>
      <c r="B1600" s="1320" t="s">
        <v>4727</v>
      </c>
      <c r="C1600" s="1919">
        <v>1.2E-2</v>
      </c>
      <c r="D1600" s="1921" t="s">
        <v>583</v>
      </c>
      <c r="E1600" s="1324">
        <f>+VIAJE</f>
        <v>1200000</v>
      </c>
      <c r="F1600" s="1324"/>
      <c r="G1600" s="2183"/>
      <c r="H1600" s="2183"/>
      <c r="I1600" s="2183">
        <f>+E1600*C1600</f>
        <v>14400</v>
      </c>
      <c r="J1600" s="2901"/>
      <c r="K1600" s="2901"/>
      <c r="L1600" s="2901"/>
    </row>
    <row r="1601" spans="1:12" s="1918" customFormat="1" ht="16.8">
      <c r="A1601" s="1325" t="s">
        <v>190</v>
      </c>
      <c r="B1601" s="1326">
        <f>ROUND(SUM(F1601:I1601),0)</f>
        <v>843406</v>
      </c>
      <c r="C1601" s="1323"/>
      <c r="D1601" s="1327"/>
      <c r="E1601" s="1319"/>
      <c r="F1601" s="1324">
        <f>SUM(F1598:F1598)</f>
        <v>0</v>
      </c>
      <c r="G1601" s="2183">
        <f>SUM(G1598:G1600)</f>
        <v>829006</v>
      </c>
      <c r="H1601" s="2183">
        <f>SUM(H1598:H1598)</f>
        <v>0</v>
      </c>
      <c r="I1601" s="2183">
        <f>+I1600</f>
        <v>14400</v>
      </c>
      <c r="J1601" s="2901"/>
      <c r="K1601" s="2901"/>
      <c r="L1601" s="2901"/>
    </row>
    <row r="1602" spans="1:12" ht="16.8">
      <c r="A1602" s="1325" t="s">
        <v>191</v>
      </c>
      <c r="B1602" s="1326">
        <f>+B1601</f>
        <v>843406</v>
      </c>
      <c r="C1602" s="1328" t="s">
        <v>150</v>
      </c>
      <c r="D1602" s="1329"/>
      <c r="E1602" s="1329"/>
      <c r="F1602" s="1329"/>
      <c r="G1602" s="1329"/>
      <c r="H1602" s="1330"/>
      <c r="I1602" s="1330"/>
    </row>
    <row r="1604" spans="1:12" s="1918" customFormat="1" ht="16.8">
      <c r="A1604" s="1318"/>
      <c r="B1604" s="3849" t="s">
        <v>7171</v>
      </c>
      <c r="C1604" s="3849"/>
      <c r="D1604" s="3849"/>
      <c r="E1604" s="3849"/>
      <c r="F1604" s="3849"/>
      <c r="G1604" s="3849"/>
      <c r="H1604" s="3849"/>
      <c r="I1604" s="3849"/>
      <c r="J1604" s="2901"/>
      <c r="K1604" s="2901"/>
      <c r="L1604" s="2901"/>
    </row>
    <row r="1605" spans="1:12" s="1918" customFormat="1" ht="16.8">
      <c r="A1605" s="1319"/>
      <c r="B1605" s="1320"/>
      <c r="C1605" s="1319" t="s">
        <v>140</v>
      </c>
      <c r="D1605" s="1319" t="s">
        <v>343</v>
      </c>
      <c r="E1605" s="1319" t="s">
        <v>344</v>
      </c>
      <c r="F1605" s="1319" t="s">
        <v>482</v>
      </c>
      <c r="G1605" s="1319" t="s">
        <v>483</v>
      </c>
      <c r="H1605" s="1319" t="s">
        <v>170</v>
      </c>
      <c r="I1605" s="1319" t="s">
        <v>171</v>
      </c>
      <c r="J1605" s="2901"/>
      <c r="K1605" s="2901"/>
      <c r="L1605" s="2901"/>
    </row>
    <row r="1606" spans="1:12" s="1918" customFormat="1" ht="16.8">
      <c r="A1606" s="1319" t="s">
        <v>345</v>
      </c>
      <c r="B1606" s="1320" t="s">
        <v>6439</v>
      </c>
      <c r="C1606" s="1322">
        <v>0.95</v>
      </c>
      <c r="D1606" s="1323" t="s">
        <v>346</v>
      </c>
      <c r="E1606" s="1324">
        <f>+OFICI</f>
        <v>80479.625344</v>
      </c>
      <c r="F1606" s="1324"/>
      <c r="G1606" s="1324"/>
      <c r="H1606" s="1324">
        <f>+E1606*C1606</f>
        <v>76455.644076800003</v>
      </c>
      <c r="I1606" s="1324"/>
      <c r="J1606" s="2901"/>
      <c r="K1606" s="2901"/>
      <c r="L1606" s="2901"/>
    </row>
    <row r="1607" spans="1:12" s="1918" customFormat="1" ht="16.8">
      <c r="A1607" s="1319" t="s">
        <v>348</v>
      </c>
      <c r="B1607" s="1320" t="s">
        <v>6579</v>
      </c>
      <c r="C1607" s="1322">
        <v>0.95</v>
      </c>
      <c r="D1607" s="1323" t="s">
        <v>346</v>
      </c>
      <c r="E1607" s="1324">
        <f>+AYUDR</f>
        <v>50299.76584</v>
      </c>
      <c r="F1607" s="1324"/>
      <c r="G1607" s="1324"/>
      <c r="H1607" s="1324">
        <f>+E1607*C1607</f>
        <v>47784.777547999998</v>
      </c>
      <c r="I1607" s="1324"/>
      <c r="J1607" s="2901"/>
      <c r="K1607" s="2901"/>
      <c r="L1607" s="2901"/>
    </row>
    <row r="1608" spans="1:12" s="1918" customFormat="1" ht="16.8">
      <c r="A1608" s="1319" t="s">
        <v>172</v>
      </c>
      <c r="B1608" s="1320" t="s">
        <v>189</v>
      </c>
      <c r="C1608" s="1322">
        <v>1</v>
      </c>
      <c r="D1608" s="1323" t="s">
        <v>583</v>
      </c>
      <c r="E1608" s="1324">
        <f>+H1609*0.05</f>
        <v>6212.0210812400001</v>
      </c>
      <c r="F1608" s="1324"/>
      <c r="G1608" s="1324"/>
      <c r="H1608" s="1324"/>
      <c r="I1608" s="1324">
        <f>+E1608*C1608</f>
        <v>6212.0210812400001</v>
      </c>
      <c r="J1608" s="2901"/>
      <c r="K1608" s="2901"/>
      <c r="L1608" s="2901"/>
    </row>
    <row r="1609" spans="1:12" s="1918" customFormat="1" ht="16.8">
      <c r="A1609" s="1325" t="s">
        <v>190</v>
      </c>
      <c r="B1609" s="1326">
        <f>ROUND(SUM(F1609:I1609),0)</f>
        <v>130452</v>
      </c>
      <c r="C1609" s="1323"/>
      <c r="D1609" s="1327"/>
      <c r="E1609" s="1319"/>
      <c r="F1609" s="1324">
        <f>SUM(F1606:F1608)</f>
        <v>0</v>
      </c>
      <c r="G1609" s="1324">
        <f>SUM(G1606:G1607)</f>
        <v>0</v>
      </c>
      <c r="H1609" s="1324">
        <f>SUM(H1606:H1607)</f>
        <v>124240.4216248</v>
      </c>
      <c r="I1609" s="1324">
        <f>SUM(I1606:I1608)</f>
        <v>6212.0210812400001</v>
      </c>
      <c r="J1609" s="2901"/>
      <c r="K1609" s="2901"/>
      <c r="L1609" s="2901"/>
    </row>
    <row r="1610" spans="1:12" ht="16.8">
      <c r="A1610" s="1325" t="s">
        <v>191</v>
      </c>
      <c r="B1610" s="1326">
        <f>+B1609</f>
        <v>130452</v>
      </c>
      <c r="C1610" s="1328" t="s">
        <v>150</v>
      </c>
      <c r="D1610" s="1329"/>
      <c r="E1610" s="1329">
        <f>+B1618*0.15</f>
        <v>131473.19999999998</v>
      </c>
      <c r="F1610" s="1329"/>
      <c r="G1610" s="1329"/>
      <c r="H1610" s="1330"/>
      <c r="I1610" s="1330"/>
    </row>
    <row r="1611" spans="1:12" s="1918" customFormat="1" ht="15.75" customHeight="1">
      <c r="A1611" s="492"/>
      <c r="B1611" s="492"/>
      <c r="C1611" s="492"/>
      <c r="D1611" s="492"/>
      <c r="E1611" s="492"/>
      <c r="F1611" s="492"/>
      <c r="G1611" s="492"/>
      <c r="H1611" s="492"/>
      <c r="I1611" s="492"/>
      <c r="J1611" s="2901"/>
      <c r="K1611" s="2901">
        <f>0.05*1</f>
        <v>0.05</v>
      </c>
      <c r="L1611" s="2901"/>
    </row>
    <row r="1612" spans="1:12" s="1918" customFormat="1" ht="16.8">
      <c r="A1612" s="1318"/>
      <c r="B1612" s="3849" t="s">
        <v>7170</v>
      </c>
      <c r="C1612" s="3849"/>
      <c r="D1612" s="3849"/>
      <c r="E1612" s="3849"/>
      <c r="F1612" s="3849"/>
      <c r="G1612" s="3849"/>
      <c r="H1612" s="3849"/>
      <c r="I1612" s="3849"/>
      <c r="J1612" s="2901"/>
      <c r="K1612" s="2901"/>
      <c r="L1612" s="2901"/>
    </row>
    <row r="1613" spans="1:12" s="1918" customFormat="1" ht="15" customHeight="1">
      <c r="A1613" s="1319"/>
      <c r="B1613" s="1320"/>
      <c r="C1613" s="1319" t="s">
        <v>140</v>
      </c>
      <c r="D1613" s="1319" t="s">
        <v>343</v>
      </c>
      <c r="E1613" s="1319" t="s">
        <v>344</v>
      </c>
      <c r="F1613" s="1319" t="s">
        <v>482</v>
      </c>
      <c r="G1613" s="1319" t="s">
        <v>483</v>
      </c>
      <c r="H1613" s="1319" t="s">
        <v>170</v>
      </c>
      <c r="I1613" s="1319" t="s">
        <v>171</v>
      </c>
      <c r="J1613" s="2901"/>
      <c r="K1613" s="2901"/>
      <c r="L1613" s="2901"/>
    </row>
    <row r="1614" spans="1:12" s="1918" customFormat="1" ht="15" customHeight="1">
      <c r="A1614" s="1319"/>
      <c r="B1614" s="1335" t="s">
        <v>7168</v>
      </c>
      <c r="C1614" s="1922">
        <v>1</v>
      </c>
      <c r="D1614" s="1920" t="s">
        <v>133</v>
      </c>
      <c r="E1614" s="2149">
        <f>+'BASE 2'!D489</f>
        <v>732088</v>
      </c>
      <c r="F1614" s="1324"/>
      <c r="G1614" s="2149">
        <f>+E1614*C1614</f>
        <v>732088</v>
      </c>
      <c r="H1614" s="1324"/>
      <c r="I1614" s="1324"/>
      <c r="J1614" s="2901"/>
      <c r="K1614" s="2901"/>
      <c r="L1614" s="2901"/>
    </row>
    <row r="1615" spans="1:12" s="1918" customFormat="1" ht="16.8">
      <c r="A1615" s="1319"/>
      <c r="B1615" s="3" t="s">
        <v>6454</v>
      </c>
      <c r="C1615" s="1922">
        <v>2</v>
      </c>
      <c r="D1615" s="1920" t="s">
        <v>133</v>
      </c>
      <c r="E1615" s="2149">
        <f>+'BASE 2'!D628</f>
        <v>65000</v>
      </c>
      <c r="F1615" s="1324"/>
      <c r="G1615" s="2149">
        <f t="shared" ref="G1615" si="51">+E1615*C1615</f>
        <v>130000</v>
      </c>
      <c r="H1615" s="1324"/>
      <c r="I1615" s="1324"/>
      <c r="J1615" s="2901"/>
      <c r="K1615" s="2901"/>
      <c r="L1615" s="2901"/>
    </row>
    <row r="1616" spans="1:12" s="1918" customFormat="1" ht="16.8">
      <c r="A1616" s="1319"/>
      <c r="B1616" s="1320" t="s">
        <v>4727</v>
      </c>
      <c r="C1616" s="1919">
        <v>1.2E-2</v>
      </c>
      <c r="D1616" s="1921" t="s">
        <v>583</v>
      </c>
      <c r="E1616" s="2149">
        <f>+VIAJE</f>
        <v>1200000</v>
      </c>
      <c r="F1616" s="2149"/>
      <c r="G1616" s="2149"/>
      <c r="H1616" s="2149"/>
      <c r="I1616" s="2149">
        <f>+E1616*C1616</f>
        <v>14400</v>
      </c>
      <c r="J1616" s="2901"/>
      <c r="K1616" s="2901"/>
      <c r="L1616" s="2901"/>
    </row>
    <row r="1617" spans="1:12" s="1918" customFormat="1" ht="16.8">
      <c r="A1617" s="1325" t="s">
        <v>190</v>
      </c>
      <c r="B1617" s="1326">
        <f>ROUND(SUM(F1617:I1617),0)</f>
        <v>876488</v>
      </c>
      <c r="C1617" s="1323"/>
      <c r="D1617" s="1327"/>
      <c r="E1617" s="2149"/>
      <c r="F1617" s="2149">
        <f>SUM(F1614:F1614)</f>
        <v>0</v>
      </c>
      <c r="G1617" s="2149">
        <f>SUM(G1614:G1616)</f>
        <v>862088</v>
      </c>
      <c r="H1617" s="2149">
        <f>SUM(H1614:H1614)</f>
        <v>0</v>
      </c>
      <c r="I1617" s="2149">
        <f>+I1616</f>
        <v>14400</v>
      </c>
      <c r="J1617" s="2901"/>
      <c r="K1617" s="2901"/>
      <c r="L1617" s="2901"/>
    </row>
    <row r="1618" spans="1:12" ht="16.8">
      <c r="A1618" s="1325" t="s">
        <v>191</v>
      </c>
      <c r="B1618" s="1326">
        <f>+B1617</f>
        <v>876488</v>
      </c>
      <c r="C1618" s="1328" t="s">
        <v>150</v>
      </c>
      <c r="D1618" s="1329"/>
      <c r="E1618" s="1329"/>
      <c r="F1618" s="1329"/>
      <c r="G1618" s="1329"/>
      <c r="H1618" s="1330"/>
      <c r="I1618" s="1330"/>
    </row>
    <row r="1620" spans="1:12" s="1918" customFormat="1" ht="16.8">
      <c r="A1620" s="1318"/>
      <c r="B1620" s="3849" t="s">
        <v>6723</v>
      </c>
      <c r="C1620" s="3849"/>
      <c r="D1620" s="3849"/>
      <c r="E1620" s="3849"/>
      <c r="F1620" s="3849"/>
      <c r="G1620" s="3849"/>
      <c r="H1620" s="3849"/>
      <c r="I1620" s="3849"/>
      <c r="J1620" s="2901"/>
      <c r="K1620" s="2901"/>
      <c r="L1620" s="2901"/>
    </row>
    <row r="1621" spans="1:12" s="1918" customFormat="1" ht="16.8">
      <c r="A1621" s="1319"/>
      <c r="B1621" s="1320"/>
      <c r="C1621" s="1319" t="s">
        <v>140</v>
      </c>
      <c r="D1621" s="1319" t="s">
        <v>343</v>
      </c>
      <c r="E1621" s="1319" t="s">
        <v>344</v>
      </c>
      <c r="F1621" s="1319" t="s">
        <v>482</v>
      </c>
      <c r="G1621" s="1319" t="s">
        <v>483</v>
      </c>
      <c r="H1621" s="1319" t="s">
        <v>170</v>
      </c>
      <c r="I1621" s="1319" t="s">
        <v>171</v>
      </c>
      <c r="J1621" s="2901"/>
      <c r="K1621" s="2901"/>
      <c r="L1621" s="2901"/>
    </row>
    <row r="1622" spans="1:12" s="1918" customFormat="1" ht="16.8">
      <c r="A1622" s="1319" t="s">
        <v>345</v>
      </c>
      <c r="B1622" s="1320" t="s">
        <v>6439</v>
      </c>
      <c r="C1622" s="1322">
        <v>0.6</v>
      </c>
      <c r="D1622" s="1323" t="s">
        <v>346</v>
      </c>
      <c r="E1622" s="1324">
        <f>+OFICI</f>
        <v>80479.625344</v>
      </c>
      <c r="F1622" s="1324"/>
      <c r="G1622" s="1324"/>
      <c r="H1622" s="1324">
        <f>+E1622*C1622</f>
        <v>48287.775206400001</v>
      </c>
      <c r="I1622" s="1324"/>
      <c r="J1622" s="2901"/>
      <c r="K1622" s="2901"/>
      <c r="L1622" s="2901"/>
    </row>
    <row r="1623" spans="1:12" s="1918" customFormat="1" ht="16.8">
      <c r="A1623" s="1319" t="s">
        <v>348</v>
      </c>
      <c r="B1623" s="1320" t="s">
        <v>6579</v>
      </c>
      <c r="C1623" s="1322">
        <v>0.6</v>
      </c>
      <c r="D1623" s="1323" t="s">
        <v>346</v>
      </c>
      <c r="E1623" s="1324">
        <f>+AYUDR</f>
        <v>50299.76584</v>
      </c>
      <c r="F1623" s="1324"/>
      <c r="G1623" s="1324"/>
      <c r="H1623" s="1324">
        <f>+E1623*C1623</f>
        <v>30179.859504</v>
      </c>
      <c r="I1623" s="1324"/>
      <c r="J1623" s="2901"/>
      <c r="K1623" s="2901"/>
      <c r="L1623" s="2901"/>
    </row>
    <row r="1624" spans="1:12" s="1918" customFormat="1" ht="16.8">
      <c r="A1624" s="1319" t="s">
        <v>172</v>
      </c>
      <c r="B1624" s="1320" t="s">
        <v>189</v>
      </c>
      <c r="C1624" s="1322">
        <v>1</v>
      </c>
      <c r="D1624" s="1323" t="s">
        <v>583</v>
      </c>
      <c r="E1624" s="1324">
        <f>+H1625*0.05</f>
        <v>3923.3817355200003</v>
      </c>
      <c r="F1624" s="1324"/>
      <c r="G1624" s="1324"/>
      <c r="H1624" s="1324"/>
      <c r="I1624" s="1324">
        <f>+E1624*C1624</f>
        <v>3923.3817355200003</v>
      </c>
      <c r="J1624" s="2901"/>
      <c r="K1624" s="2901"/>
      <c r="L1624" s="2901"/>
    </row>
    <row r="1625" spans="1:12" s="1918" customFormat="1" ht="16.8">
      <c r="A1625" s="1325" t="s">
        <v>190</v>
      </c>
      <c r="B1625" s="1326">
        <f>ROUND(SUM(F1625:I1625),0)</f>
        <v>82391</v>
      </c>
      <c r="C1625" s="1323"/>
      <c r="D1625" s="1327"/>
      <c r="E1625" s="1319"/>
      <c r="F1625" s="1324">
        <f>SUM(F1622:F1624)</f>
        <v>0</v>
      </c>
      <c r="G1625" s="1324">
        <f>SUM(G1622:G1623)</f>
        <v>0</v>
      </c>
      <c r="H1625" s="1324">
        <f>SUM(H1622:H1623)</f>
        <v>78467.634710400001</v>
      </c>
      <c r="I1625" s="1324">
        <f>SUM(I1622:I1624)</f>
        <v>3923.3817355200003</v>
      </c>
      <c r="J1625" s="2901"/>
      <c r="K1625" s="2901"/>
      <c r="L1625" s="2901"/>
    </row>
    <row r="1626" spans="1:12" s="1918" customFormat="1" ht="16.8">
      <c r="A1626" s="1325" t="s">
        <v>191</v>
      </c>
      <c r="B1626" s="1326">
        <f>+B1625</f>
        <v>82391</v>
      </c>
      <c r="C1626" s="1328" t="s">
        <v>150</v>
      </c>
      <c r="D1626" s="1329"/>
      <c r="E1626" s="1329">
        <f>+B1634*0.15</f>
        <v>81993</v>
      </c>
      <c r="F1626" s="1329"/>
      <c r="G1626" s="1329"/>
      <c r="H1626" s="1330"/>
      <c r="I1626" s="1330"/>
      <c r="J1626" s="2901"/>
      <c r="K1626" s="2901"/>
      <c r="L1626" s="2901"/>
    </row>
    <row r="1627" spans="1:12" s="1918" customFormat="1" ht="15.75" customHeight="1">
      <c r="A1627" s="1332"/>
      <c r="B1627" s="1333"/>
      <c r="C1627" s="1334"/>
      <c r="D1627" s="1329"/>
      <c r="E1627" s="1329"/>
      <c r="F1627" s="1329"/>
      <c r="G1627" s="1329"/>
      <c r="H1627" s="1330"/>
      <c r="I1627" s="1330"/>
      <c r="J1627" s="2901"/>
      <c r="K1627" s="2901">
        <f>0.05*1</f>
        <v>0.05</v>
      </c>
      <c r="L1627" s="2901"/>
    </row>
    <row r="1628" spans="1:12" s="1918" customFormat="1" ht="16.8">
      <c r="A1628" s="1318"/>
      <c r="B1628" s="3849" t="s">
        <v>6722</v>
      </c>
      <c r="C1628" s="3849"/>
      <c r="D1628" s="3849"/>
      <c r="E1628" s="3849"/>
      <c r="F1628" s="3849"/>
      <c r="G1628" s="3849"/>
      <c r="H1628" s="3849"/>
      <c r="I1628" s="3849"/>
      <c r="J1628" s="2901"/>
      <c r="K1628" s="2901"/>
      <c r="L1628" s="2901"/>
    </row>
    <row r="1629" spans="1:12" s="2753" customFormat="1" ht="35.4" customHeight="1">
      <c r="A1629" s="1319"/>
      <c r="B1629" s="1320"/>
      <c r="C1629" s="1319" t="s">
        <v>140</v>
      </c>
      <c r="D1629" s="1319" t="s">
        <v>343</v>
      </c>
      <c r="E1629" s="1319" t="s">
        <v>344</v>
      </c>
      <c r="F1629" s="1319" t="s">
        <v>482</v>
      </c>
      <c r="G1629" s="1319" t="s">
        <v>483</v>
      </c>
      <c r="H1629" s="1319" t="s">
        <v>170</v>
      </c>
      <c r="I1629" s="1319" t="s">
        <v>171</v>
      </c>
      <c r="J1629" s="2911"/>
      <c r="K1629" s="2911"/>
      <c r="L1629" s="2911"/>
    </row>
    <row r="1630" spans="1:12" s="2753" customFormat="1" ht="33.6">
      <c r="A1630" s="1336"/>
      <c r="B1630" s="2148" t="s">
        <v>6720</v>
      </c>
      <c r="C1630" s="1922">
        <v>1</v>
      </c>
      <c r="D1630" s="1920" t="s">
        <v>133</v>
      </c>
      <c r="E1630" s="1374">
        <f>+'BASE 2'!D490</f>
        <v>402220</v>
      </c>
      <c r="F1630" s="1374"/>
      <c r="G1630" s="1374">
        <f>+E1630*C1630</f>
        <v>402220</v>
      </c>
      <c r="H1630" s="1374"/>
      <c r="I1630" s="1374"/>
      <c r="J1630" s="2911"/>
      <c r="K1630" s="2911"/>
      <c r="L1630" s="2911"/>
    </row>
    <row r="1631" spans="1:12" s="1918" customFormat="1" ht="16.8">
      <c r="A1631" s="1336"/>
      <c r="B1631" s="2148" t="s">
        <v>6454</v>
      </c>
      <c r="C1631" s="1922">
        <v>2</v>
      </c>
      <c r="D1631" s="1920" t="s">
        <v>133</v>
      </c>
      <c r="E1631" s="1374">
        <f>+'BASE 2'!D628</f>
        <v>65000</v>
      </c>
      <c r="F1631" s="1374"/>
      <c r="G1631" s="1374">
        <f>+E1631*C1631</f>
        <v>130000</v>
      </c>
      <c r="H1631" s="1374"/>
      <c r="I1631" s="1374"/>
      <c r="J1631" s="2901"/>
      <c r="K1631" s="2901"/>
      <c r="L1631" s="2901"/>
    </row>
    <row r="1632" spans="1:12" s="1918" customFormat="1" ht="16.8">
      <c r="A1632" s="1319"/>
      <c r="B1632" s="1320" t="s">
        <v>4727</v>
      </c>
      <c r="C1632" s="1919">
        <v>1.2E-2</v>
      </c>
      <c r="D1632" s="1921" t="s">
        <v>583</v>
      </c>
      <c r="E1632" s="1324">
        <f>+VIAJE</f>
        <v>1200000</v>
      </c>
      <c r="F1632" s="1324"/>
      <c r="G1632" s="1324"/>
      <c r="H1632" s="1324"/>
      <c r="I1632" s="2149">
        <f>+E1632*C1632</f>
        <v>14400</v>
      </c>
      <c r="J1632" s="2901"/>
      <c r="K1632" s="2901"/>
      <c r="L1632" s="2901"/>
    </row>
    <row r="1633" spans="1:12" s="1918" customFormat="1" ht="16.8">
      <c r="A1633" s="1325" t="s">
        <v>190</v>
      </c>
      <c r="B1633" s="1326">
        <f>ROUND(SUM(F1633:I1633),0)</f>
        <v>546620</v>
      </c>
      <c r="C1633" s="1323"/>
      <c r="D1633" s="1327"/>
      <c r="E1633" s="1319"/>
      <c r="F1633" s="1324">
        <f>SUM(F1630:F1630)</f>
        <v>0</v>
      </c>
      <c r="G1633" s="1324">
        <f>SUM(G1630:G1632)</f>
        <v>532220</v>
      </c>
      <c r="H1633" s="1324">
        <f>SUM(H1630:H1630)</f>
        <v>0</v>
      </c>
      <c r="I1633" s="2149">
        <f>+I1632</f>
        <v>14400</v>
      </c>
      <c r="J1633" s="2901"/>
      <c r="K1633" s="2901"/>
      <c r="L1633" s="2901"/>
    </row>
    <row r="1634" spans="1:12" ht="16.8">
      <c r="A1634" s="1325" t="s">
        <v>191</v>
      </c>
      <c r="B1634" s="1326">
        <f>+B1633</f>
        <v>546620</v>
      </c>
      <c r="C1634" s="1328" t="s">
        <v>150</v>
      </c>
      <c r="D1634" s="1329"/>
      <c r="E1634" s="1329"/>
      <c r="F1634" s="1329"/>
      <c r="G1634" s="1329"/>
      <c r="H1634" s="1330"/>
      <c r="I1634" s="1330"/>
    </row>
    <row r="1636" spans="1:12" s="1918" customFormat="1" ht="16.8">
      <c r="A1636" s="1318"/>
      <c r="B1636" s="3849" t="s">
        <v>6728</v>
      </c>
      <c r="C1636" s="3849"/>
      <c r="D1636" s="3849"/>
      <c r="E1636" s="3849"/>
      <c r="F1636" s="3849"/>
      <c r="G1636" s="3849"/>
      <c r="H1636" s="3849"/>
      <c r="I1636" s="3849"/>
      <c r="J1636" s="2901"/>
      <c r="K1636" s="2901"/>
      <c r="L1636" s="2901"/>
    </row>
    <row r="1637" spans="1:12" s="1918" customFormat="1" ht="16.8">
      <c r="A1637" s="1319"/>
      <c r="B1637" s="1320"/>
      <c r="C1637" s="1319" t="s">
        <v>140</v>
      </c>
      <c r="D1637" s="1319" t="s">
        <v>343</v>
      </c>
      <c r="E1637" s="1319" t="s">
        <v>344</v>
      </c>
      <c r="F1637" s="1319" t="s">
        <v>482</v>
      </c>
      <c r="G1637" s="1319" t="s">
        <v>483</v>
      </c>
      <c r="H1637" s="1319" t="s">
        <v>170</v>
      </c>
      <c r="I1637" s="1319" t="s">
        <v>171</v>
      </c>
      <c r="J1637" s="2901"/>
      <c r="K1637" s="2901"/>
      <c r="L1637" s="2901"/>
    </row>
    <row r="1638" spans="1:12" s="1918" customFormat="1" ht="16.8">
      <c r="A1638" s="1319" t="s">
        <v>345</v>
      </c>
      <c r="B1638" s="1320" t="s">
        <v>3886</v>
      </c>
      <c r="C1638" s="1322">
        <v>0.43</v>
      </c>
      <c r="D1638" s="1323" t="s">
        <v>346</v>
      </c>
      <c r="E1638" s="1324">
        <f>+OFICI</f>
        <v>80479.625344</v>
      </c>
      <c r="F1638" s="1324"/>
      <c r="G1638" s="1324"/>
      <c r="H1638" s="1324">
        <f>+E1638*C1638</f>
        <v>34606.238897919997</v>
      </c>
      <c r="I1638" s="1324"/>
      <c r="J1638" s="2901"/>
      <c r="K1638" s="2901"/>
      <c r="L1638" s="2901"/>
    </row>
    <row r="1639" spans="1:12" s="1918" customFormat="1" ht="16.8">
      <c r="A1639" s="1319" t="s">
        <v>348</v>
      </c>
      <c r="B1639" s="1320" t="s">
        <v>1109</v>
      </c>
      <c r="C1639" s="1322">
        <v>0.43</v>
      </c>
      <c r="D1639" s="1323" t="s">
        <v>346</v>
      </c>
      <c r="E1639" s="1324">
        <f>+AYUDR</f>
        <v>50299.76584</v>
      </c>
      <c r="F1639" s="1324"/>
      <c r="G1639" s="1324"/>
      <c r="H1639" s="1324">
        <f>+E1639*C1639</f>
        <v>21628.899311199999</v>
      </c>
      <c r="I1639" s="1324"/>
      <c r="J1639" s="2901"/>
      <c r="K1639" s="2901"/>
      <c r="L1639" s="2901"/>
    </row>
    <row r="1640" spans="1:12" s="1918" customFormat="1" ht="16.8">
      <c r="A1640" s="1319" t="s">
        <v>172</v>
      </c>
      <c r="B1640" s="1320" t="s">
        <v>189</v>
      </c>
      <c r="C1640" s="1322">
        <v>1</v>
      </c>
      <c r="D1640" s="1323" t="s">
        <v>583</v>
      </c>
      <c r="E1640" s="1324">
        <f>+H1641*0.05</f>
        <v>2811.7569104559998</v>
      </c>
      <c r="F1640" s="1324"/>
      <c r="G1640" s="1324"/>
      <c r="H1640" s="1324"/>
      <c r="I1640" s="1324">
        <f>+E1640*C1640</f>
        <v>2811.7569104559998</v>
      </c>
      <c r="J1640" s="2901"/>
      <c r="K1640" s="2901"/>
      <c r="L1640" s="2901"/>
    </row>
    <row r="1641" spans="1:12" s="1918" customFormat="1" ht="16.8">
      <c r="A1641" s="1325" t="s">
        <v>190</v>
      </c>
      <c r="B1641" s="1326">
        <f>ROUND(SUM(F1641:I1641),0)</f>
        <v>59047</v>
      </c>
      <c r="C1641" s="1323"/>
      <c r="D1641" s="1327"/>
      <c r="E1641" s="1319"/>
      <c r="F1641" s="1324">
        <f>SUM(F1638:F1640)</f>
        <v>0</v>
      </c>
      <c r="G1641" s="1324">
        <f>SUM(G1638:G1639)</f>
        <v>0</v>
      </c>
      <c r="H1641" s="1324">
        <f>SUM(H1638:H1639)</f>
        <v>56235.138209119992</v>
      </c>
      <c r="I1641" s="1324">
        <f>SUM(I1638:I1640)</f>
        <v>2811.7569104559998</v>
      </c>
      <c r="J1641" s="2901"/>
      <c r="K1641" s="2901"/>
      <c r="L1641" s="2901"/>
    </row>
    <row r="1642" spans="1:12" ht="16.8">
      <c r="A1642" s="1325" t="s">
        <v>191</v>
      </c>
      <c r="B1642" s="1326">
        <f>+B1641</f>
        <v>59047</v>
      </c>
      <c r="C1642" s="1328" t="s">
        <v>150</v>
      </c>
      <c r="D1642" s="1329"/>
      <c r="E1642" s="1329">
        <f>+B1651*0.15</f>
        <v>58271.25</v>
      </c>
      <c r="F1642" s="1329"/>
      <c r="G1642" s="1329"/>
      <c r="H1642" s="1330"/>
      <c r="I1642" s="1330"/>
    </row>
    <row r="1643" spans="1:12" s="1918" customFormat="1" ht="15.75" customHeight="1">
      <c r="A1643" s="492"/>
      <c r="B1643" s="492"/>
      <c r="C1643" s="492"/>
      <c r="D1643" s="492"/>
      <c r="E1643" s="492"/>
      <c r="F1643" s="492"/>
      <c r="G1643" s="492"/>
      <c r="H1643" s="492"/>
      <c r="I1643" s="492"/>
      <c r="J1643" s="2901"/>
      <c r="K1643" s="2901">
        <f>0.05*1</f>
        <v>0.05</v>
      </c>
      <c r="L1643" s="2901"/>
    </row>
    <row r="1644" spans="1:12" s="1918" customFormat="1" ht="16.8">
      <c r="A1644" s="1318"/>
      <c r="B1644" s="3849" t="s">
        <v>6727</v>
      </c>
      <c r="C1644" s="3849"/>
      <c r="D1644" s="3849"/>
      <c r="E1644" s="3849"/>
      <c r="F1644" s="3849"/>
      <c r="G1644" s="3849"/>
      <c r="H1644" s="3849"/>
      <c r="I1644" s="3849"/>
      <c r="J1644" s="2901"/>
      <c r="K1644" s="2901"/>
      <c r="L1644" s="2901"/>
    </row>
    <row r="1645" spans="1:12" s="1918" customFormat="1" ht="16.8">
      <c r="A1645" s="1319"/>
      <c r="B1645" s="1320"/>
      <c r="C1645" s="1319" t="s">
        <v>140</v>
      </c>
      <c r="D1645" s="1319" t="s">
        <v>343</v>
      </c>
      <c r="E1645" s="1319" t="s">
        <v>344</v>
      </c>
      <c r="F1645" s="1319" t="s">
        <v>482</v>
      </c>
      <c r="G1645" s="1319" t="s">
        <v>483</v>
      </c>
      <c r="H1645" s="1319" t="s">
        <v>170</v>
      </c>
      <c r="I1645" s="1319" t="s">
        <v>171</v>
      </c>
      <c r="J1645" s="2901"/>
      <c r="K1645" s="2901"/>
      <c r="L1645" s="2901"/>
    </row>
    <row r="1646" spans="1:12" s="1918" customFormat="1" ht="16.8">
      <c r="A1646" s="1319"/>
      <c r="B1646" s="1335" t="s">
        <v>6725</v>
      </c>
      <c r="C1646" s="1922">
        <v>1</v>
      </c>
      <c r="D1646" s="1920" t="s">
        <v>133</v>
      </c>
      <c r="E1646" s="2149">
        <f>+'BASE 2'!D359</f>
        <v>229075</v>
      </c>
      <c r="F1646" s="1324"/>
      <c r="G1646" s="1324">
        <f>+E1646*C1646</f>
        <v>229075</v>
      </c>
      <c r="H1646" s="1324"/>
      <c r="I1646" s="1324"/>
      <c r="J1646" s="2901"/>
      <c r="K1646" s="2901"/>
      <c r="L1646" s="2901"/>
    </row>
    <row r="1647" spans="1:12" s="1918" customFormat="1" ht="16.8">
      <c r="A1647" s="1319"/>
      <c r="B1647" s="1335" t="s">
        <v>6448</v>
      </c>
      <c r="C1647" s="1922">
        <v>1</v>
      </c>
      <c r="D1647" s="1920" t="s">
        <v>133</v>
      </c>
      <c r="E1647" s="2149">
        <f>+'BASE 2'!D626</f>
        <v>80000</v>
      </c>
      <c r="F1647" s="1324"/>
      <c r="G1647" s="1324">
        <f t="shared" ref="G1647:G1648" si="52">+E1647*C1647</f>
        <v>80000</v>
      </c>
      <c r="H1647" s="1324"/>
      <c r="I1647" s="1324"/>
      <c r="J1647" s="2901"/>
      <c r="K1647" s="2901"/>
      <c r="L1647" s="2901"/>
    </row>
    <row r="1648" spans="1:12" s="1918" customFormat="1" ht="16.8">
      <c r="A1648" s="1319"/>
      <c r="B1648" s="1335" t="s">
        <v>6454</v>
      </c>
      <c r="C1648" s="1922">
        <v>1</v>
      </c>
      <c r="D1648" s="1920" t="s">
        <v>133</v>
      </c>
      <c r="E1648" s="2149">
        <f>+'BASE 2'!D628</f>
        <v>65000</v>
      </c>
      <c r="F1648" s="1324"/>
      <c r="G1648" s="1324">
        <f t="shared" si="52"/>
        <v>65000</v>
      </c>
      <c r="H1648" s="1324"/>
      <c r="I1648" s="1324"/>
      <c r="J1648" s="2901"/>
      <c r="K1648" s="2901"/>
      <c r="L1648" s="2901"/>
    </row>
    <row r="1649" spans="1:12" s="1918" customFormat="1" ht="16.8">
      <c r="A1649" s="1319"/>
      <c r="B1649" s="1320" t="s">
        <v>4727</v>
      </c>
      <c r="C1649" s="1919">
        <v>1.2E-2</v>
      </c>
      <c r="D1649" s="1921" t="s">
        <v>583</v>
      </c>
      <c r="E1649" s="1324">
        <f>+VIAJE</f>
        <v>1200000</v>
      </c>
      <c r="F1649" s="1324"/>
      <c r="G1649" s="1324"/>
      <c r="H1649" s="1324"/>
      <c r="I1649" s="1324">
        <f>+E1649*C1649</f>
        <v>14400</v>
      </c>
      <c r="J1649" s="2901"/>
      <c r="K1649" s="2901"/>
      <c r="L1649" s="2901"/>
    </row>
    <row r="1650" spans="1:12" s="1918" customFormat="1" ht="16.8">
      <c r="A1650" s="1325" t="s">
        <v>190</v>
      </c>
      <c r="B1650" s="1326">
        <f>ROUND(SUM(F1650:I1650),0)</f>
        <v>388475</v>
      </c>
      <c r="C1650" s="1323"/>
      <c r="D1650" s="1327"/>
      <c r="E1650" s="1319"/>
      <c r="F1650" s="1324">
        <f>SUM(F1646:F1646)</f>
        <v>0</v>
      </c>
      <c r="G1650" s="1324">
        <f>SUM(G1646:G1649)</f>
        <v>374075</v>
      </c>
      <c r="H1650" s="1324">
        <f>SUM(H1646:H1646)</f>
        <v>0</v>
      </c>
      <c r="I1650" s="1324">
        <f>+I1649</f>
        <v>14400</v>
      </c>
      <c r="J1650" s="2901"/>
      <c r="K1650" s="2901"/>
      <c r="L1650" s="2901"/>
    </row>
    <row r="1651" spans="1:12" ht="16.8">
      <c r="A1651" s="1325" t="s">
        <v>191</v>
      </c>
      <c r="B1651" s="1326">
        <f>+B1650</f>
        <v>388475</v>
      </c>
      <c r="C1651" s="1328" t="s">
        <v>150</v>
      </c>
      <c r="D1651" s="1329"/>
      <c r="E1651" s="1329"/>
      <c r="F1651" s="1329"/>
      <c r="G1651" s="1329"/>
      <c r="H1651" s="1330"/>
      <c r="I1651" s="1330"/>
    </row>
    <row r="1653" spans="1:12" s="1918" customFormat="1" ht="16.8">
      <c r="A1653" s="1318"/>
      <c r="B1653" s="3849" t="s">
        <v>7175</v>
      </c>
      <c r="C1653" s="3849"/>
      <c r="D1653" s="3849"/>
      <c r="E1653" s="3849"/>
      <c r="F1653" s="3849"/>
      <c r="G1653" s="3849"/>
      <c r="H1653" s="3849"/>
      <c r="I1653" s="3849"/>
      <c r="J1653" s="2901"/>
      <c r="K1653" s="2901"/>
      <c r="L1653" s="2901"/>
    </row>
    <row r="1654" spans="1:12" s="1918" customFormat="1" ht="16.8">
      <c r="A1654" s="1319"/>
      <c r="B1654" s="1320"/>
      <c r="C1654" s="1319" t="s">
        <v>140</v>
      </c>
      <c r="D1654" s="1319" t="s">
        <v>343</v>
      </c>
      <c r="E1654" s="1319" t="s">
        <v>344</v>
      </c>
      <c r="F1654" s="1319" t="s">
        <v>482</v>
      </c>
      <c r="G1654" s="1319" t="s">
        <v>483</v>
      </c>
      <c r="H1654" s="1319" t="s">
        <v>170</v>
      </c>
      <c r="I1654" s="1319" t="s">
        <v>171</v>
      </c>
      <c r="J1654" s="2901"/>
      <c r="K1654" s="2901"/>
      <c r="L1654" s="2901"/>
    </row>
    <row r="1655" spans="1:12" s="1918" customFormat="1" ht="16.8">
      <c r="A1655" s="1319" t="s">
        <v>345</v>
      </c>
      <c r="B1655" s="1320" t="s">
        <v>6439</v>
      </c>
      <c r="C1655" s="1322">
        <v>1.2</v>
      </c>
      <c r="D1655" s="1323" t="s">
        <v>346</v>
      </c>
      <c r="E1655" s="1324">
        <f>+OFICI</f>
        <v>80479.625344</v>
      </c>
      <c r="F1655" s="1324"/>
      <c r="G1655" s="1324"/>
      <c r="H1655" s="1324">
        <f>+E1655*C1655</f>
        <v>96575.550412800003</v>
      </c>
      <c r="I1655" s="1324"/>
      <c r="J1655" s="2901"/>
      <c r="K1655" s="2901"/>
      <c r="L1655" s="2901"/>
    </row>
    <row r="1656" spans="1:12" s="1918" customFormat="1" ht="16.8">
      <c r="A1656" s="1319" t="s">
        <v>348</v>
      </c>
      <c r="B1656" s="1320" t="s">
        <v>6579</v>
      </c>
      <c r="C1656" s="1322">
        <v>1.2</v>
      </c>
      <c r="D1656" s="1323" t="s">
        <v>346</v>
      </c>
      <c r="E1656" s="1324">
        <f>+AYUDR</f>
        <v>50299.76584</v>
      </c>
      <c r="F1656" s="1324"/>
      <c r="G1656" s="1324"/>
      <c r="H1656" s="1324">
        <f>+E1656*C1656</f>
        <v>60359.719008</v>
      </c>
      <c r="I1656" s="1324"/>
      <c r="J1656" s="2901"/>
      <c r="K1656" s="2901"/>
      <c r="L1656" s="2901"/>
    </row>
    <row r="1657" spans="1:12" s="1918" customFormat="1" ht="16.8">
      <c r="A1657" s="1319" t="s">
        <v>172</v>
      </c>
      <c r="B1657" s="1320" t="s">
        <v>189</v>
      </c>
      <c r="C1657" s="1322">
        <v>1</v>
      </c>
      <c r="D1657" s="1323" t="s">
        <v>583</v>
      </c>
      <c r="E1657" s="1324">
        <f>+H1658*0.05</f>
        <v>7846.7634710400007</v>
      </c>
      <c r="F1657" s="1324"/>
      <c r="G1657" s="1324"/>
      <c r="H1657" s="1324"/>
      <c r="I1657" s="1324">
        <f>+E1657*C1657</f>
        <v>7846.7634710400007</v>
      </c>
      <c r="J1657" s="2901"/>
      <c r="K1657" s="2901"/>
      <c r="L1657" s="2901"/>
    </row>
    <row r="1658" spans="1:12" s="1918" customFormat="1" ht="16.8">
      <c r="A1658" s="1325" t="s">
        <v>190</v>
      </c>
      <c r="B1658" s="1326">
        <f>ROUND(SUM(F1658:I1658),0)</f>
        <v>164782</v>
      </c>
      <c r="C1658" s="1323"/>
      <c r="D1658" s="1327"/>
      <c r="E1658" s="1319"/>
      <c r="F1658" s="1324">
        <f>SUM(F1655:F1657)</f>
        <v>0</v>
      </c>
      <c r="G1658" s="1324">
        <f>SUM(G1655:G1656)</f>
        <v>0</v>
      </c>
      <c r="H1658" s="1324">
        <f>SUM(H1655:H1656)</f>
        <v>156935.2694208</v>
      </c>
      <c r="I1658" s="1324">
        <f>SUM(I1655:I1657)</f>
        <v>7846.7634710400007</v>
      </c>
      <c r="J1658" s="2901"/>
      <c r="K1658" s="2901"/>
      <c r="L1658" s="2901"/>
    </row>
    <row r="1659" spans="1:12" ht="16.8">
      <c r="A1659" s="1325" t="s">
        <v>191</v>
      </c>
      <c r="B1659" s="1326">
        <f>+B1658</f>
        <v>164782</v>
      </c>
      <c r="C1659" s="1328" t="s">
        <v>150</v>
      </c>
      <c r="D1659" s="1329"/>
      <c r="E1659" s="1329">
        <f>+B1667*0.15</f>
        <v>166835.85</v>
      </c>
      <c r="F1659" s="1329"/>
      <c r="G1659" s="1329"/>
      <c r="H1659" s="1330"/>
      <c r="I1659" s="1330"/>
    </row>
    <row r="1660" spans="1:12" s="1918" customFormat="1" ht="15.75" customHeight="1">
      <c r="A1660" s="492"/>
      <c r="B1660" s="492"/>
      <c r="C1660" s="492"/>
      <c r="D1660" s="492"/>
      <c r="E1660" s="492"/>
      <c r="F1660" s="492"/>
      <c r="G1660" s="492"/>
      <c r="H1660" s="492"/>
      <c r="I1660" s="492"/>
      <c r="J1660" s="2901"/>
      <c r="K1660" s="2901">
        <f>0.05*1</f>
        <v>0.05</v>
      </c>
      <c r="L1660" s="2901"/>
    </row>
    <row r="1661" spans="1:12" s="1918" customFormat="1" ht="16.8">
      <c r="A1661" s="1318"/>
      <c r="B1661" s="3849" t="s">
        <v>7174</v>
      </c>
      <c r="C1661" s="3849"/>
      <c r="D1661" s="3849"/>
      <c r="E1661" s="3849"/>
      <c r="F1661" s="3849"/>
      <c r="G1661" s="3849"/>
      <c r="H1661" s="3849"/>
      <c r="I1661" s="3849"/>
      <c r="J1661" s="2901"/>
      <c r="K1661" s="2901"/>
      <c r="L1661" s="2901"/>
    </row>
    <row r="1662" spans="1:12" s="1918" customFormat="1" ht="16.8">
      <c r="A1662" s="1319"/>
      <c r="B1662" s="1320"/>
      <c r="C1662" s="1319" t="s">
        <v>140</v>
      </c>
      <c r="D1662" s="1319" t="s">
        <v>343</v>
      </c>
      <c r="E1662" s="1319" t="s">
        <v>344</v>
      </c>
      <c r="F1662" s="1319" t="s">
        <v>482</v>
      </c>
      <c r="G1662" s="1319" t="s">
        <v>483</v>
      </c>
      <c r="H1662" s="1319" t="s">
        <v>170</v>
      </c>
      <c r="I1662" s="1319" t="s">
        <v>171</v>
      </c>
      <c r="J1662" s="2901"/>
      <c r="K1662" s="2901"/>
      <c r="L1662" s="2901"/>
    </row>
    <row r="1663" spans="1:12" s="1918" customFormat="1" ht="16.8">
      <c r="A1663" s="1319"/>
      <c r="B1663" s="1335" t="s">
        <v>7173</v>
      </c>
      <c r="C1663" s="1922">
        <v>1</v>
      </c>
      <c r="D1663" s="1920" t="s">
        <v>133</v>
      </c>
      <c r="E1663" s="1374">
        <f>+'BASE 2'!D552</f>
        <v>937839</v>
      </c>
      <c r="F1663" s="1324"/>
      <c r="G1663" s="2149">
        <f>+E1663*C1663</f>
        <v>937839</v>
      </c>
      <c r="H1663" s="1324"/>
      <c r="I1663" s="1324"/>
      <c r="J1663" s="2901"/>
      <c r="K1663" s="2901"/>
      <c r="L1663" s="2901"/>
    </row>
    <row r="1664" spans="1:12" s="1918" customFormat="1" ht="16.8">
      <c r="A1664" s="1319"/>
      <c r="B1664" s="1335" t="s">
        <v>6448</v>
      </c>
      <c r="C1664" s="1922">
        <v>2</v>
      </c>
      <c r="D1664" s="1920" t="s">
        <v>133</v>
      </c>
      <c r="E1664" s="1374">
        <f>+'BASE 2'!D626</f>
        <v>80000</v>
      </c>
      <c r="F1664" s="1324"/>
      <c r="G1664" s="2149">
        <f>+E1664*C1664</f>
        <v>160000</v>
      </c>
      <c r="H1664" s="1324"/>
      <c r="I1664" s="1324"/>
      <c r="J1664" s="2901"/>
      <c r="K1664" s="2901"/>
      <c r="L1664" s="2901"/>
    </row>
    <row r="1665" spans="1:12" s="1918" customFormat="1" ht="16.8">
      <c r="A1665" s="1319"/>
      <c r="B1665" s="1320" t="s">
        <v>4727</v>
      </c>
      <c r="C1665" s="1919">
        <v>1.2E-2</v>
      </c>
      <c r="D1665" s="1921" t="s">
        <v>583</v>
      </c>
      <c r="E1665" s="1324">
        <f>+VIAJE</f>
        <v>1200000</v>
      </c>
      <c r="F1665" s="1324"/>
      <c r="G1665" s="2149"/>
      <c r="H1665" s="1324"/>
      <c r="I1665" s="2149">
        <f>+E1665*C1665</f>
        <v>14400</v>
      </c>
      <c r="J1665" s="2901"/>
      <c r="K1665" s="2901"/>
      <c r="L1665" s="2901"/>
    </row>
    <row r="1666" spans="1:12" s="1918" customFormat="1" ht="16.8">
      <c r="A1666" s="1325" t="s">
        <v>190</v>
      </c>
      <c r="B1666" s="1326">
        <f>ROUND(SUM(F1666:I1666),0)</f>
        <v>1112239</v>
      </c>
      <c r="C1666" s="1323"/>
      <c r="D1666" s="1327"/>
      <c r="E1666" s="1319"/>
      <c r="F1666" s="1324">
        <f>SUM(F1663:F1663)</f>
        <v>0</v>
      </c>
      <c r="G1666" s="2149">
        <f>SUM(G1663:G1665)</f>
        <v>1097839</v>
      </c>
      <c r="H1666" s="1324">
        <f>SUM(H1663:H1663)</f>
        <v>0</v>
      </c>
      <c r="I1666" s="2149">
        <f>+I1665</f>
        <v>14400</v>
      </c>
      <c r="J1666" s="2901"/>
      <c r="K1666" s="2901"/>
      <c r="L1666" s="2901"/>
    </row>
    <row r="1667" spans="1:12" ht="16.8">
      <c r="A1667" s="1325" t="s">
        <v>191</v>
      </c>
      <c r="B1667" s="1326">
        <f>+B1666</f>
        <v>1112239</v>
      </c>
      <c r="C1667" s="1328" t="s">
        <v>150</v>
      </c>
      <c r="D1667" s="1329"/>
      <c r="E1667" s="1329"/>
      <c r="F1667" s="1329"/>
      <c r="G1667" s="1329"/>
      <c r="H1667" s="1330"/>
      <c r="I1667" s="1330"/>
    </row>
    <row r="1669" spans="1:12" s="1918" customFormat="1" ht="16.8">
      <c r="A1669" s="1318"/>
      <c r="B1669" s="3849" t="s">
        <v>6733</v>
      </c>
      <c r="C1669" s="3849"/>
      <c r="D1669" s="3849"/>
      <c r="E1669" s="3849"/>
      <c r="F1669" s="3849"/>
      <c r="G1669" s="3849"/>
      <c r="H1669" s="3849"/>
      <c r="I1669" s="3849"/>
      <c r="J1669" s="2901"/>
      <c r="K1669" s="2901"/>
      <c r="L1669" s="2901"/>
    </row>
    <row r="1670" spans="1:12" s="1918" customFormat="1" ht="16.8">
      <c r="A1670" s="1319"/>
      <c r="B1670" s="1320"/>
      <c r="C1670" s="1319" t="s">
        <v>140</v>
      </c>
      <c r="D1670" s="1319" t="s">
        <v>343</v>
      </c>
      <c r="E1670" s="1319" t="s">
        <v>344</v>
      </c>
      <c r="F1670" s="1319" t="s">
        <v>482</v>
      </c>
      <c r="G1670" s="1319" t="s">
        <v>483</v>
      </c>
      <c r="H1670" s="1319" t="s">
        <v>170</v>
      </c>
      <c r="I1670" s="1319" t="s">
        <v>171</v>
      </c>
      <c r="J1670" s="2901"/>
      <c r="K1670" s="2901"/>
      <c r="L1670" s="2901"/>
    </row>
    <row r="1671" spans="1:12" s="1918" customFormat="1" ht="16.8">
      <c r="A1671" s="1319" t="s">
        <v>345</v>
      </c>
      <c r="B1671" s="1320" t="s">
        <v>6439</v>
      </c>
      <c r="C1671" s="1322">
        <v>0.6</v>
      </c>
      <c r="D1671" s="1323" t="s">
        <v>346</v>
      </c>
      <c r="E1671" s="1324">
        <f>+OFICI</f>
        <v>80479.625344</v>
      </c>
      <c r="F1671" s="1324"/>
      <c r="G1671" s="1324"/>
      <c r="H1671" s="1324">
        <f>+E1671*C1671</f>
        <v>48287.775206400001</v>
      </c>
      <c r="I1671" s="1324"/>
      <c r="J1671" s="2901"/>
      <c r="K1671" s="2901"/>
      <c r="L1671" s="2901"/>
    </row>
    <row r="1672" spans="1:12" s="1918" customFormat="1" ht="16.8">
      <c r="A1672" s="1319" t="s">
        <v>348</v>
      </c>
      <c r="B1672" s="1320" t="s">
        <v>6579</v>
      </c>
      <c r="C1672" s="1322">
        <v>0.6</v>
      </c>
      <c r="D1672" s="1323" t="s">
        <v>346</v>
      </c>
      <c r="E1672" s="1324">
        <f>+AYUDR</f>
        <v>50299.76584</v>
      </c>
      <c r="F1672" s="1324"/>
      <c r="G1672" s="1324"/>
      <c r="H1672" s="1324">
        <f>+E1672*C1672</f>
        <v>30179.859504</v>
      </c>
      <c r="I1672" s="1324"/>
      <c r="J1672" s="2901"/>
      <c r="K1672" s="2901"/>
      <c r="L1672" s="2901"/>
    </row>
    <row r="1673" spans="1:12" s="1918" customFormat="1" ht="16.8">
      <c r="A1673" s="1319" t="s">
        <v>172</v>
      </c>
      <c r="B1673" s="1320" t="s">
        <v>189</v>
      </c>
      <c r="C1673" s="1322">
        <v>1</v>
      </c>
      <c r="D1673" s="1323" t="s">
        <v>583</v>
      </c>
      <c r="E1673" s="1324">
        <f>+H1674*0.05</f>
        <v>3923.3817355200003</v>
      </c>
      <c r="F1673" s="1324"/>
      <c r="G1673" s="1324"/>
      <c r="H1673" s="1324"/>
      <c r="I1673" s="1324">
        <f>+E1673*C1673</f>
        <v>3923.3817355200003</v>
      </c>
      <c r="J1673" s="2901"/>
      <c r="K1673" s="2901"/>
      <c r="L1673" s="2901"/>
    </row>
    <row r="1674" spans="1:12" s="1918" customFormat="1" ht="16.8">
      <c r="A1674" s="1325" t="s">
        <v>190</v>
      </c>
      <c r="B1674" s="1326">
        <f>ROUND(SUM(F1674:I1674),0)</f>
        <v>82391</v>
      </c>
      <c r="C1674" s="1323"/>
      <c r="D1674" s="1327"/>
      <c r="E1674" s="1319"/>
      <c r="F1674" s="1324">
        <f>SUM(F1671:F1673)</f>
        <v>0</v>
      </c>
      <c r="G1674" s="1324">
        <f>SUM(G1671:G1672)</f>
        <v>0</v>
      </c>
      <c r="H1674" s="1324">
        <f>SUM(H1671:H1672)</f>
        <v>78467.634710400001</v>
      </c>
      <c r="I1674" s="1324">
        <f>SUM(I1671:I1673)</f>
        <v>3923.3817355200003</v>
      </c>
      <c r="J1674" s="2901"/>
      <c r="K1674" s="2901"/>
      <c r="L1674" s="2901"/>
    </row>
    <row r="1675" spans="1:12" ht="16.8">
      <c r="A1675" s="1325" t="s">
        <v>191</v>
      </c>
      <c r="B1675" s="1326">
        <f>+B1674</f>
        <v>82391</v>
      </c>
      <c r="C1675" s="1328" t="s">
        <v>150</v>
      </c>
      <c r="D1675" s="1329"/>
      <c r="E1675" s="1329">
        <f>+B1683*0.15</f>
        <v>82128</v>
      </c>
      <c r="F1675" s="1329"/>
      <c r="G1675" s="1329"/>
      <c r="H1675" s="1330"/>
      <c r="I1675" s="1330"/>
    </row>
    <row r="1676" spans="1:12" s="1918" customFormat="1" ht="15.75" customHeight="1">
      <c r="A1676" s="492"/>
      <c r="B1676" s="492"/>
      <c r="C1676" s="492"/>
      <c r="D1676" s="492"/>
      <c r="E1676" s="492"/>
      <c r="F1676" s="492"/>
      <c r="G1676" s="492"/>
      <c r="H1676" s="492"/>
      <c r="I1676" s="492"/>
      <c r="J1676" s="2901"/>
      <c r="K1676" s="2901">
        <f>0.05*1</f>
        <v>0.05</v>
      </c>
      <c r="L1676" s="2901"/>
    </row>
    <row r="1677" spans="1:12" s="1918" customFormat="1" ht="16.8">
      <c r="A1677" s="1318"/>
      <c r="B1677" s="3849" t="s">
        <v>6732</v>
      </c>
      <c r="C1677" s="3849"/>
      <c r="D1677" s="3849"/>
      <c r="E1677" s="3849"/>
      <c r="F1677" s="3849"/>
      <c r="G1677" s="3849"/>
      <c r="H1677" s="3849"/>
      <c r="I1677" s="3849"/>
      <c r="J1677" s="2901"/>
      <c r="K1677" s="2901"/>
      <c r="L1677" s="2901"/>
    </row>
    <row r="1678" spans="1:12" s="1918" customFormat="1" ht="15" customHeight="1">
      <c r="A1678" s="1319"/>
      <c r="B1678" s="1320"/>
      <c r="C1678" s="1319" t="s">
        <v>140</v>
      </c>
      <c r="D1678" s="1319" t="s">
        <v>343</v>
      </c>
      <c r="E1678" s="1319" t="s">
        <v>344</v>
      </c>
      <c r="F1678" s="1319" t="s">
        <v>482</v>
      </c>
      <c r="G1678" s="1319" t="s">
        <v>483</v>
      </c>
      <c r="H1678" s="1319" t="s">
        <v>170</v>
      </c>
      <c r="I1678" s="1319" t="s">
        <v>171</v>
      </c>
      <c r="J1678" s="2901"/>
      <c r="K1678" s="2901"/>
      <c r="L1678" s="2901"/>
    </row>
    <row r="1679" spans="1:12" s="1918" customFormat="1" ht="15" customHeight="1">
      <c r="A1679" s="1319"/>
      <c r="B1679" s="1335" t="s">
        <v>6730</v>
      </c>
      <c r="C1679" s="1922">
        <v>1</v>
      </c>
      <c r="D1679" s="1920" t="s">
        <v>133</v>
      </c>
      <c r="E1679" s="1324">
        <f>+'BASE 2'!D317</f>
        <v>533120</v>
      </c>
      <c r="F1679" s="1324"/>
      <c r="G1679" s="1324">
        <f>+E1679*C1679</f>
        <v>533120</v>
      </c>
      <c r="H1679" s="1324"/>
      <c r="I1679" s="1324"/>
      <c r="J1679" s="2901"/>
      <c r="K1679" s="2901"/>
      <c r="L1679" s="2901"/>
    </row>
    <row r="1680" spans="1:12" s="1918" customFormat="1" ht="16.8">
      <c r="A1680" s="1319"/>
      <c r="B1680" s="1335" t="s">
        <v>6448</v>
      </c>
      <c r="C1680" s="1922">
        <v>2</v>
      </c>
      <c r="D1680" s="1920" t="s">
        <v>133</v>
      </c>
      <c r="E1680" s="1324">
        <f>+'BASE 2'!D626</f>
        <v>80000</v>
      </c>
      <c r="F1680" s="1324"/>
      <c r="G1680" s="1324"/>
      <c r="H1680" s="1324"/>
      <c r="I1680" s="1324"/>
      <c r="J1680" s="2901"/>
      <c r="K1680" s="2901"/>
      <c r="L1680" s="2901"/>
    </row>
    <row r="1681" spans="1:12" s="1918" customFormat="1" ht="16.8">
      <c r="A1681" s="1319"/>
      <c r="B1681" s="1320" t="s">
        <v>4727</v>
      </c>
      <c r="C1681" s="1919">
        <v>1.2E-2</v>
      </c>
      <c r="D1681" s="1921" t="s">
        <v>583</v>
      </c>
      <c r="E1681" s="1324">
        <f>+VIAJE</f>
        <v>1200000</v>
      </c>
      <c r="F1681" s="1324"/>
      <c r="G1681" s="1324"/>
      <c r="H1681" s="1324"/>
      <c r="I1681" s="1324">
        <f>+E1681*C1681</f>
        <v>14400</v>
      </c>
      <c r="J1681" s="2901"/>
      <c r="K1681" s="2901"/>
      <c r="L1681" s="2901"/>
    </row>
    <row r="1682" spans="1:12" s="1918" customFormat="1" ht="16.8">
      <c r="A1682" s="1325" t="s">
        <v>190</v>
      </c>
      <c r="B1682" s="1326">
        <f>ROUND(SUM(F1682:I1682),0)</f>
        <v>547520</v>
      </c>
      <c r="C1682" s="1323"/>
      <c r="D1682" s="1327"/>
      <c r="E1682" s="1319"/>
      <c r="F1682" s="1324">
        <f>SUM(F1679:F1679)</f>
        <v>0</v>
      </c>
      <c r="G1682" s="1324">
        <f>SUM(G1679:G1681)</f>
        <v>533120</v>
      </c>
      <c r="H1682" s="1324">
        <f>SUM(H1679:H1679)</f>
        <v>0</v>
      </c>
      <c r="I1682" s="1324">
        <f>+I1681</f>
        <v>14400</v>
      </c>
      <c r="J1682" s="2901"/>
      <c r="K1682" s="2901"/>
      <c r="L1682" s="2901"/>
    </row>
    <row r="1683" spans="1:12" ht="16.8">
      <c r="A1683" s="1325" t="s">
        <v>191</v>
      </c>
      <c r="B1683" s="1326">
        <f>+B1682</f>
        <v>547520</v>
      </c>
      <c r="C1683" s="1328" t="s">
        <v>150</v>
      </c>
      <c r="D1683" s="1329"/>
      <c r="E1683" s="1329"/>
      <c r="F1683" s="1329"/>
      <c r="G1683" s="1329"/>
      <c r="H1683" s="1330"/>
      <c r="I1683" s="1330"/>
    </row>
    <row r="1685" spans="1:12" s="1918" customFormat="1" ht="16.8">
      <c r="A1685" s="1318"/>
      <c r="B1685" s="3849" t="s">
        <v>7179</v>
      </c>
      <c r="C1685" s="3849"/>
      <c r="D1685" s="3849"/>
      <c r="E1685" s="3849"/>
      <c r="F1685" s="3849"/>
      <c r="G1685" s="3849"/>
      <c r="H1685" s="3849"/>
      <c r="I1685" s="3849"/>
      <c r="J1685" s="2901"/>
      <c r="K1685" s="2901"/>
      <c r="L1685" s="2901"/>
    </row>
    <row r="1686" spans="1:12" s="1918" customFormat="1" ht="16.8">
      <c r="A1686" s="1319"/>
      <c r="B1686" s="1320"/>
      <c r="C1686" s="1319" t="s">
        <v>140</v>
      </c>
      <c r="D1686" s="1319" t="s">
        <v>343</v>
      </c>
      <c r="E1686" s="1319" t="s">
        <v>344</v>
      </c>
      <c r="F1686" s="1319" t="s">
        <v>482</v>
      </c>
      <c r="G1686" s="1319" t="s">
        <v>483</v>
      </c>
      <c r="H1686" s="1319" t="s">
        <v>170</v>
      </c>
      <c r="I1686" s="1319" t="s">
        <v>171</v>
      </c>
      <c r="J1686" s="2901"/>
      <c r="K1686" s="2901"/>
      <c r="L1686" s="2901"/>
    </row>
    <row r="1687" spans="1:12" s="1918" customFormat="1" ht="16.8">
      <c r="A1687" s="1319" t="s">
        <v>345</v>
      </c>
      <c r="B1687" s="1320" t="s">
        <v>6439</v>
      </c>
      <c r="C1687" s="1322">
        <v>0.8</v>
      </c>
      <c r="D1687" s="1323" t="s">
        <v>346</v>
      </c>
      <c r="E1687" s="1324">
        <f>+OFICI</f>
        <v>80479.625344</v>
      </c>
      <c r="F1687" s="1324"/>
      <c r="G1687" s="1324"/>
      <c r="H1687" s="1324">
        <f>+E1687*C1687</f>
        <v>64383.700275200004</v>
      </c>
      <c r="I1687" s="1324"/>
      <c r="J1687" s="2901"/>
      <c r="K1687" s="2901"/>
      <c r="L1687" s="2901"/>
    </row>
    <row r="1688" spans="1:12" s="1918" customFormat="1" ht="16.8">
      <c r="A1688" s="1319" t="s">
        <v>348</v>
      </c>
      <c r="B1688" s="1320" t="s">
        <v>6579</v>
      </c>
      <c r="C1688" s="1322">
        <v>0.8</v>
      </c>
      <c r="D1688" s="1323" t="s">
        <v>346</v>
      </c>
      <c r="E1688" s="1324">
        <f>+AYUDR</f>
        <v>50299.76584</v>
      </c>
      <c r="F1688" s="1324"/>
      <c r="G1688" s="1324"/>
      <c r="H1688" s="1324">
        <f>+E1688*C1688</f>
        <v>40239.812672</v>
      </c>
      <c r="I1688" s="1324"/>
      <c r="J1688" s="2901"/>
      <c r="K1688" s="2901"/>
      <c r="L1688" s="2901"/>
    </row>
    <row r="1689" spans="1:12" s="1918" customFormat="1" ht="16.8">
      <c r="A1689" s="1319" t="s">
        <v>172</v>
      </c>
      <c r="B1689" s="1320" t="s">
        <v>189</v>
      </c>
      <c r="C1689" s="1322">
        <v>1</v>
      </c>
      <c r="D1689" s="1323" t="s">
        <v>583</v>
      </c>
      <c r="E1689" s="1324">
        <f>+H1690*0.05</f>
        <v>5231.1756473600008</v>
      </c>
      <c r="F1689" s="1324"/>
      <c r="G1689" s="1324"/>
      <c r="H1689" s="1324"/>
      <c r="I1689" s="1324">
        <f>+E1689*C1689</f>
        <v>5231.1756473600008</v>
      </c>
      <c r="J1689" s="2901"/>
      <c r="K1689" s="2901"/>
      <c r="L1689" s="2901"/>
    </row>
    <row r="1690" spans="1:12" s="1918" customFormat="1" ht="16.8">
      <c r="A1690" s="1325" t="s">
        <v>190</v>
      </c>
      <c r="B1690" s="1326">
        <f>ROUND(SUM(F1690:I1690),0)</f>
        <v>109855</v>
      </c>
      <c r="C1690" s="1323"/>
      <c r="D1690" s="1327"/>
      <c r="E1690" s="1319"/>
      <c r="F1690" s="1324">
        <f>SUM(F1687:F1689)</f>
        <v>0</v>
      </c>
      <c r="G1690" s="1324">
        <f>SUM(G1687:G1688)</f>
        <v>0</v>
      </c>
      <c r="H1690" s="1324">
        <f>SUM(H1687:H1688)</f>
        <v>104623.51294720001</v>
      </c>
      <c r="I1690" s="1324">
        <f>SUM(I1687:I1689)</f>
        <v>5231.1756473600008</v>
      </c>
      <c r="J1690" s="2901"/>
      <c r="K1690" s="2901"/>
      <c r="L1690" s="2901"/>
    </row>
    <row r="1691" spans="1:12" ht="16.8">
      <c r="A1691" s="1325" t="s">
        <v>191</v>
      </c>
      <c r="B1691" s="1326">
        <f>+B1690</f>
        <v>109855</v>
      </c>
      <c r="C1691" s="1328" t="s">
        <v>150</v>
      </c>
      <c r="D1691" s="1329"/>
      <c r="E1691" s="1329">
        <f>+B1699*0.15</f>
        <v>109733.7</v>
      </c>
      <c r="F1691" s="1329"/>
      <c r="G1691" s="1329"/>
      <c r="H1691" s="1330"/>
      <c r="I1691" s="1330"/>
    </row>
    <row r="1692" spans="1:12" s="1918" customFormat="1" ht="15.75" customHeight="1">
      <c r="A1692" s="492"/>
      <c r="B1692" s="492"/>
      <c r="C1692" s="492"/>
      <c r="D1692" s="492"/>
      <c r="E1692" s="492"/>
      <c r="F1692" s="492"/>
      <c r="G1692" s="492"/>
      <c r="H1692" s="492"/>
      <c r="I1692" s="492"/>
      <c r="J1692" s="2901"/>
      <c r="K1692" s="2901">
        <f>0.05*1</f>
        <v>0.05</v>
      </c>
      <c r="L1692" s="2901"/>
    </row>
    <row r="1693" spans="1:12" s="1918" customFormat="1" ht="16.8">
      <c r="A1693" s="1318"/>
      <c r="B1693" s="3849" t="s">
        <v>7178</v>
      </c>
      <c r="C1693" s="3849"/>
      <c r="D1693" s="3849"/>
      <c r="E1693" s="3849"/>
      <c r="F1693" s="3849"/>
      <c r="G1693" s="3849"/>
      <c r="H1693" s="3849"/>
      <c r="I1693" s="3849"/>
      <c r="J1693" s="2901"/>
      <c r="K1693" s="2901"/>
      <c r="L1693" s="2901"/>
    </row>
    <row r="1694" spans="1:12" s="1918" customFormat="1" ht="15" customHeight="1">
      <c r="A1694" s="1319"/>
      <c r="B1694" s="1320"/>
      <c r="C1694" s="1319" t="s">
        <v>140</v>
      </c>
      <c r="D1694" s="1319" t="s">
        <v>343</v>
      </c>
      <c r="E1694" s="1319" t="s">
        <v>344</v>
      </c>
      <c r="F1694" s="1319" t="s">
        <v>482</v>
      </c>
      <c r="G1694" s="1319" t="s">
        <v>483</v>
      </c>
      <c r="H1694" s="1319" t="s">
        <v>170</v>
      </c>
      <c r="I1694" s="1319" t="s">
        <v>171</v>
      </c>
      <c r="J1694" s="2901"/>
      <c r="K1694" s="2901"/>
      <c r="L1694" s="2901"/>
    </row>
    <row r="1695" spans="1:12" s="1918" customFormat="1" ht="15" customHeight="1">
      <c r="A1695" s="1319"/>
      <c r="B1695" s="1335" t="s">
        <v>7177</v>
      </c>
      <c r="C1695" s="1922">
        <v>1</v>
      </c>
      <c r="D1695" s="1920" t="s">
        <v>133</v>
      </c>
      <c r="E1695" s="2149">
        <f>+'BASE 2'!D554</f>
        <v>557158</v>
      </c>
      <c r="F1695" s="1324"/>
      <c r="G1695" s="2149">
        <f>+E1695*C1695</f>
        <v>557158</v>
      </c>
      <c r="H1695" s="2149"/>
      <c r="I1695" s="2149"/>
      <c r="J1695" s="2901"/>
      <c r="K1695" s="2901"/>
      <c r="L1695" s="2901"/>
    </row>
    <row r="1696" spans="1:12" s="1918" customFormat="1" ht="16.8">
      <c r="A1696" s="1319"/>
      <c r="B1696" s="1335" t="s">
        <v>6448</v>
      </c>
      <c r="C1696" s="1922">
        <v>2</v>
      </c>
      <c r="D1696" s="1920" t="s">
        <v>133</v>
      </c>
      <c r="E1696" s="2149">
        <f>+'BASE 2'!D626</f>
        <v>80000</v>
      </c>
      <c r="F1696" s="1324"/>
      <c r="G1696" s="2149">
        <f>+E1696*C1696</f>
        <v>160000</v>
      </c>
      <c r="H1696" s="2149"/>
      <c r="I1696" s="2149"/>
      <c r="J1696" s="2901"/>
      <c r="K1696" s="2901"/>
      <c r="L1696" s="2901"/>
    </row>
    <row r="1697" spans="1:12" s="1918" customFormat="1" ht="16.8">
      <c r="A1697" s="1319"/>
      <c r="B1697" s="1320" t="s">
        <v>4727</v>
      </c>
      <c r="C1697" s="1919">
        <v>1.2E-2</v>
      </c>
      <c r="D1697" s="1921" t="s">
        <v>583</v>
      </c>
      <c r="E1697" s="2149">
        <f>+VIAJE</f>
        <v>1200000</v>
      </c>
      <c r="F1697" s="1324"/>
      <c r="G1697" s="2149"/>
      <c r="H1697" s="2149"/>
      <c r="I1697" s="2149">
        <f>+E1697*C1697</f>
        <v>14400</v>
      </c>
      <c r="J1697" s="2901"/>
      <c r="K1697" s="2901"/>
      <c r="L1697" s="2901"/>
    </row>
    <row r="1698" spans="1:12" s="1918" customFormat="1" ht="16.8">
      <c r="A1698" s="1325" t="s">
        <v>190</v>
      </c>
      <c r="B1698" s="1326">
        <f>ROUND(SUM(F1698:I1698),0)</f>
        <v>731558</v>
      </c>
      <c r="C1698" s="1323"/>
      <c r="D1698" s="1327"/>
      <c r="E1698" s="1319"/>
      <c r="F1698" s="1324">
        <f>SUM(F1695:F1695)</f>
        <v>0</v>
      </c>
      <c r="G1698" s="2149">
        <f>SUM(G1695:G1697)</f>
        <v>717158</v>
      </c>
      <c r="H1698" s="2149">
        <f>SUM(H1695:H1695)</f>
        <v>0</v>
      </c>
      <c r="I1698" s="2149">
        <f>+I1697</f>
        <v>14400</v>
      </c>
      <c r="J1698" s="2901"/>
      <c r="K1698" s="2901"/>
      <c r="L1698" s="2901"/>
    </row>
    <row r="1699" spans="1:12" s="2747" customFormat="1" ht="16.8">
      <c r="A1699" s="1325" t="s">
        <v>191</v>
      </c>
      <c r="B1699" s="1326">
        <f>+B1698</f>
        <v>731558</v>
      </c>
      <c r="C1699" s="1328" t="s">
        <v>150</v>
      </c>
      <c r="D1699" s="1329"/>
      <c r="E1699" s="1329"/>
      <c r="F1699" s="1329"/>
      <c r="G1699" s="1329"/>
      <c r="H1699" s="1330"/>
      <c r="I1699" s="1330"/>
      <c r="J1699" s="2901"/>
      <c r="K1699" s="2901"/>
      <c r="L1699" s="2901"/>
    </row>
    <row r="1701" spans="1:12" s="1918" customFormat="1" ht="16.8">
      <c r="A1701" s="1318"/>
      <c r="B1701" s="3849" t="s">
        <v>7184</v>
      </c>
      <c r="C1701" s="3849"/>
      <c r="D1701" s="3849"/>
      <c r="E1701" s="3849"/>
      <c r="F1701" s="3849"/>
      <c r="G1701" s="3849"/>
      <c r="H1701" s="3849"/>
      <c r="I1701" s="3849"/>
      <c r="J1701" s="2901"/>
      <c r="K1701" s="2901"/>
      <c r="L1701" s="2901"/>
    </row>
    <row r="1702" spans="1:12" s="1918" customFormat="1" ht="16.8">
      <c r="A1702" s="1319"/>
      <c r="B1702" s="1320"/>
      <c r="C1702" s="1319" t="s">
        <v>140</v>
      </c>
      <c r="D1702" s="1319" t="s">
        <v>343</v>
      </c>
      <c r="E1702" s="1319" t="s">
        <v>344</v>
      </c>
      <c r="F1702" s="1319" t="s">
        <v>482</v>
      </c>
      <c r="G1702" s="1319" t="s">
        <v>483</v>
      </c>
      <c r="H1702" s="1319" t="s">
        <v>170</v>
      </c>
      <c r="I1702" s="1319" t="s">
        <v>171</v>
      </c>
      <c r="J1702" s="2901"/>
      <c r="K1702" s="2901"/>
      <c r="L1702" s="2901"/>
    </row>
    <row r="1703" spans="1:12" s="1918" customFormat="1" ht="16.8">
      <c r="A1703" s="1319" t="s">
        <v>345</v>
      </c>
      <c r="B1703" s="1320" t="s">
        <v>6439</v>
      </c>
      <c r="C1703" s="1322">
        <v>0.75</v>
      </c>
      <c r="D1703" s="1323" t="s">
        <v>346</v>
      </c>
      <c r="E1703" s="1324">
        <f>+OFICI</f>
        <v>80479.625344</v>
      </c>
      <c r="F1703" s="1324"/>
      <c r="G1703" s="1324"/>
      <c r="H1703" s="1324">
        <f>+E1703*C1703</f>
        <v>60359.719008</v>
      </c>
      <c r="I1703" s="1324"/>
      <c r="J1703" s="2901"/>
      <c r="K1703" s="2901"/>
      <c r="L1703" s="2901"/>
    </row>
    <row r="1704" spans="1:12" s="1918" customFormat="1" ht="16.8">
      <c r="A1704" s="1319" t="s">
        <v>348</v>
      </c>
      <c r="B1704" s="1320" t="s">
        <v>6579</v>
      </c>
      <c r="C1704" s="1322">
        <v>0.75</v>
      </c>
      <c r="D1704" s="1323" t="s">
        <v>346</v>
      </c>
      <c r="E1704" s="1324">
        <f>+AYUDR</f>
        <v>50299.76584</v>
      </c>
      <c r="F1704" s="1324"/>
      <c r="G1704" s="1324"/>
      <c r="H1704" s="1324">
        <f>+E1704*C1704</f>
        <v>37724.824379999998</v>
      </c>
      <c r="I1704" s="1324"/>
      <c r="J1704" s="2901"/>
      <c r="K1704" s="2901"/>
      <c r="L1704" s="2901"/>
    </row>
    <row r="1705" spans="1:12" s="1918" customFormat="1" ht="16.8">
      <c r="A1705" s="1319" t="s">
        <v>172</v>
      </c>
      <c r="B1705" s="1320" t="s">
        <v>189</v>
      </c>
      <c r="C1705" s="1322">
        <v>1</v>
      </c>
      <c r="D1705" s="1323" t="s">
        <v>583</v>
      </c>
      <c r="E1705" s="1324">
        <f>+H1706*0.05</f>
        <v>4904.2271694000001</v>
      </c>
      <c r="F1705" s="1324"/>
      <c r="G1705" s="1324"/>
      <c r="H1705" s="1324"/>
      <c r="I1705" s="1324">
        <f>+E1705*C1705</f>
        <v>4904.2271694000001</v>
      </c>
      <c r="J1705" s="2901"/>
      <c r="K1705" s="2901"/>
      <c r="L1705" s="2901"/>
    </row>
    <row r="1706" spans="1:12" s="1918" customFormat="1" ht="16.8">
      <c r="A1706" s="1325" t="s">
        <v>190</v>
      </c>
      <c r="B1706" s="1326">
        <f>ROUND(SUM(F1706:I1706),0)</f>
        <v>102989</v>
      </c>
      <c r="C1706" s="1323"/>
      <c r="D1706" s="1327"/>
      <c r="E1706" s="1319"/>
      <c r="F1706" s="1324">
        <f>SUM(F1703:F1705)</f>
        <v>0</v>
      </c>
      <c r="G1706" s="1324">
        <f>SUM(G1703:G1704)</f>
        <v>0</v>
      </c>
      <c r="H1706" s="1324">
        <f>SUM(H1703:H1704)</f>
        <v>98084.543387999991</v>
      </c>
      <c r="I1706" s="1324">
        <f>SUM(I1703:I1705)</f>
        <v>4904.2271694000001</v>
      </c>
      <c r="J1706" s="2901"/>
      <c r="K1706" s="2901"/>
      <c r="L1706" s="2901"/>
    </row>
    <row r="1707" spans="1:12" ht="16.8">
      <c r="A1707" s="1325" t="s">
        <v>191</v>
      </c>
      <c r="B1707" s="1326">
        <f>+B1706</f>
        <v>102989</v>
      </c>
      <c r="C1707" s="1328" t="s">
        <v>150</v>
      </c>
      <c r="D1707" s="1329"/>
      <c r="E1707" s="1329">
        <f>+B1714*0.15</f>
        <v>101227.5</v>
      </c>
      <c r="F1707" s="1329"/>
      <c r="G1707" s="1329"/>
      <c r="H1707" s="1330"/>
      <c r="I1707" s="1330"/>
    </row>
    <row r="1708" spans="1:12" s="1918" customFormat="1" ht="15.75" customHeight="1">
      <c r="A1708" s="492"/>
      <c r="B1708" s="492"/>
      <c r="C1708" s="492"/>
      <c r="D1708" s="492"/>
      <c r="E1708" s="492"/>
      <c r="F1708" s="492"/>
      <c r="G1708" s="492"/>
      <c r="H1708" s="492"/>
      <c r="I1708" s="492"/>
      <c r="J1708" s="2901"/>
      <c r="K1708" s="2901">
        <f>0.05*1</f>
        <v>0.05</v>
      </c>
      <c r="L1708" s="2901"/>
    </row>
    <row r="1709" spans="1:12" s="1918" customFormat="1" ht="16.8">
      <c r="A1709" s="1318"/>
      <c r="B1709" s="3849" t="s">
        <v>7183</v>
      </c>
      <c r="C1709" s="3849"/>
      <c r="D1709" s="3849"/>
      <c r="E1709" s="3849"/>
      <c r="F1709" s="3849"/>
      <c r="G1709" s="3849"/>
      <c r="H1709" s="3849"/>
      <c r="I1709" s="3849"/>
      <c r="J1709" s="2901"/>
      <c r="K1709" s="2901"/>
      <c r="L1709" s="2901"/>
    </row>
    <row r="1710" spans="1:12" s="1918" customFormat="1" ht="16.8">
      <c r="A1710" s="1319"/>
      <c r="B1710" s="1320"/>
      <c r="C1710" s="1319" t="s">
        <v>140</v>
      </c>
      <c r="D1710" s="1319" t="s">
        <v>343</v>
      </c>
      <c r="E1710" s="1319" t="s">
        <v>344</v>
      </c>
      <c r="F1710" s="1319" t="s">
        <v>482</v>
      </c>
      <c r="G1710" s="1319" t="s">
        <v>483</v>
      </c>
      <c r="H1710" s="1319" t="s">
        <v>170</v>
      </c>
      <c r="I1710" s="1319" t="s">
        <v>171</v>
      </c>
      <c r="J1710" s="2901"/>
      <c r="K1710" s="2901"/>
      <c r="L1710" s="2901"/>
    </row>
    <row r="1711" spans="1:12" s="1918" customFormat="1" ht="16.8">
      <c r="A1711" s="1319"/>
      <c r="B1711" s="1335" t="s">
        <v>7182</v>
      </c>
      <c r="C1711" s="1922">
        <v>1</v>
      </c>
      <c r="D1711" s="1920" t="s">
        <v>133</v>
      </c>
      <c r="E1711" s="2149">
        <f>+'BASE 2'!D134</f>
        <v>660450</v>
      </c>
      <c r="F1711" s="2149"/>
      <c r="G1711" s="2149">
        <f>+E1711*C1711</f>
        <v>660450</v>
      </c>
      <c r="H1711" s="2149"/>
      <c r="I1711" s="2149"/>
      <c r="J1711" s="2901"/>
      <c r="K1711" s="2901"/>
      <c r="L1711" s="2901"/>
    </row>
    <row r="1712" spans="1:12" s="1918" customFormat="1" ht="16.8">
      <c r="A1712" s="1319"/>
      <c r="B1712" s="1320" t="s">
        <v>4727</v>
      </c>
      <c r="C1712" s="1919">
        <v>1.2E-2</v>
      </c>
      <c r="D1712" s="1921" t="s">
        <v>583</v>
      </c>
      <c r="E1712" s="2149">
        <f>+VIAJE</f>
        <v>1200000</v>
      </c>
      <c r="F1712" s="2149"/>
      <c r="G1712" s="2149"/>
      <c r="H1712" s="2149"/>
      <c r="I1712" s="2149">
        <f>+E1712*C1712</f>
        <v>14400</v>
      </c>
      <c r="J1712" s="2901"/>
      <c r="K1712" s="2901"/>
      <c r="L1712" s="2901"/>
    </row>
    <row r="1713" spans="1:12" s="1918" customFormat="1" ht="16.8">
      <c r="A1713" s="1325" t="s">
        <v>190</v>
      </c>
      <c r="B1713" s="1326">
        <f>ROUND(SUM(F1713:I1713),0)</f>
        <v>674850</v>
      </c>
      <c r="C1713" s="1323"/>
      <c r="D1713" s="1327"/>
      <c r="E1713" s="2149"/>
      <c r="F1713" s="2149">
        <f>SUM(F1711:F1711)</f>
        <v>0</v>
      </c>
      <c r="G1713" s="2149">
        <f>SUM(G1711:G1712)</f>
        <v>660450</v>
      </c>
      <c r="H1713" s="2149">
        <f>SUM(H1711:H1711)</f>
        <v>0</v>
      </c>
      <c r="I1713" s="2149">
        <f>+I1712</f>
        <v>14400</v>
      </c>
      <c r="J1713" s="2901"/>
      <c r="K1713" s="2901"/>
      <c r="L1713" s="2901"/>
    </row>
    <row r="1714" spans="1:12" ht="16.8">
      <c r="A1714" s="1325" t="s">
        <v>191</v>
      </c>
      <c r="B1714" s="1326">
        <f>+B1713</f>
        <v>674850</v>
      </c>
      <c r="C1714" s="1328" t="s">
        <v>150</v>
      </c>
      <c r="D1714" s="1329"/>
      <c r="E1714" s="1329"/>
      <c r="F1714" s="1329"/>
      <c r="G1714" s="1329"/>
      <c r="H1714" s="1330"/>
      <c r="I1714" s="1330"/>
    </row>
    <row r="1716" spans="1:12" s="1918" customFormat="1" ht="16.8">
      <c r="A1716" s="1318"/>
      <c r="B1716" s="3849" t="s">
        <v>7189</v>
      </c>
      <c r="C1716" s="3849"/>
      <c r="D1716" s="3849"/>
      <c r="E1716" s="3849"/>
      <c r="F1716" s="3849"/>
      <c r="G1716" s="3849"/>
      <c r="H1716" s="3849"/>
      <c r="I1716" s="3849"/>
      <c r="J1716" s="2901"/>
      <c r="K1716" s="2901"/>
      <c r="L1716" s="2901"/>
    </row>
    <row r="1717" spans="1:12" s="1918" customFormat="1" ht="16.8">
      <c r="A1717" s="1319"/>
      <c r="B1717" s="1320"/>
      <c r="C1717" s="1319" t="s">
        <v>140</v>
      </c>
      <c r="D1717" s="1319" t="s">
        <v>343</v>
      </c>
      <c r="E1717" s="1319" t="s">
        <v>344</v>
      </c>
      <c r="F1717" s="1319" t="s">
        <v>482</v>
      </c>
      <c r="G1717" s="1319" t="s">
        <v>483</v>
      </c>
      <c r="H1717" s="1319" t="s">
        <v>170</v>
      </c>
      <c r="I1717" s="1319" t="s">
        <v>171</v>
      </c>
      <c r="J1717" s="2901"/>
      <c r="K1717" s="2901"/>
      <c r="L1717" s="2901"/>
    </row>
    <row r="1718" spans="1:12" s="1918" customFormat="1" ht="16.8">
      <c r="A1718" s="1319" t="s">
        <v>345</v>
      </c>
      <c r="B1718" s="1320" t="s">
        <v>6439</v>
      </c>
      <c r="C1718" s="1322">
        <v>0.89</v>
      </c>
      <c r="D1718" s="1323" t="s">
        <v>346</v>
      </c>
      <c r="E1718" s="1324">
        <f>+OFICI</f>
        <v>80479.625344</v>
      </c>
      <c r="F1718" s="1324"/>
      <c r="G1718" s="1324"/>
      <c r="H1718" s="1324">
        <f>+E1718*C1718</f>
        <v>71626.866556160006</v>
      </c>
      <c r="I1718" s="1324"/>
      <c r="J1718" s="2901"/>
      <c r="K1718" s="2901"/>
      <c r="L1718" s="2901"/>
    </row>
    <row r="1719" spans="1:12" s="1918" customFormat="1" ht="16.8">
      <c r="A1719" s="1319" t="s">
        <v>348</v>
      </c>
      <c r="B1719" s="1320" t="s">
        <v>6579</v>
      </c>
      <c r="C1719" s="1322">
        <v>0.89</v>
      </c>
      <c r="D1719" s="1323" t="s">
        <v>346</v>
      </c>
      <c r="E1719" s="1324">
        <f>+AYUDR</f>
        <v>50299.76584</v>
      </c>
      <c r="F1719" s="1324"/>
      <c r="G1719" s="1324"/>
      <c r="H1719" s="1324">
        <f>+E1719*C1719</f>
        <v>44766.7915976</v>
      </c>
      <c r="I1719" s="1324"/>
      <c r="J1719" s="2901"/>
      <c r="K1719" s="2901"/>
      <c r="L1719" s="2901"/>
    </row>
    <row r="1720" spans="1:12" s="1918" customFormat="1" ht="16.8">
      <c r="A1720" s="1319" t="s">
        <v>172</v>
      </c>
      <c r="B1720" s="1320" t="s">
        <v>189</v>
      </c>
      <c r="C1720" s="1322">
        <v>1</v>
      </c>
      <c r="D1720" s="1323" t="s">
        <v>583</v>
      </c>
      <c r="E1720" s="1324">
        <f>+H1721*0.05</f>
        <v>5819.6829076880013</v>
      </c>
      <c r="F1720" s="1324"/>
      <c r="G1720" s="1324"/>
      <c r="H1720" s="1324"/>
      <c r="I1720" s="1324">
        <f>+E1720*C1720</f>
        <v>5819.6829076880013</v>
      </c>
      <c r="J1720" s="2901"/>
      <c r="K1720" s="2901"/>
      <c r="L1720" s="2901"/>
    </row>
    <row r="1721" spans="1:12" s="1918" customFormat="1" ht="16.8">
      <c r="A1721" s="1325" t="s">
        <v>190</v>
      </c>
      <c r="B1721" s="1326">
        <f>ROUND(SUM(F1721:I1721),0)</f>
        <v>122213</v>
      </c>
      <c r="C1721" s="1323"/>
      <c r="D1721" s="1327"/>
      <c r="E1721" s="1319"/>
      <c r="F1721" s="1324">
        <f>SUM(F1718:F1720)</f>
        <v>0</v>
      </c>
      <c r="G1721" s="1324">
        <f>SUM(G1718:G1719)</f>
        <v>0</v>
      </c>
      <c r="H1721" s="1324">
        <f>SUM(H1718:H1719)</f>
        <v>116393.65815376001</v>
      </c>
      <c r="I1721" s="1324">
        <f>SUM(I1718:I1720)</f>
        <v>5819.6829076880013</v>
      </c>
      <c r="J1721" s="2901"/>
      <c r="K1721" s="2901"/>
      <c r="L1721" s="2901"/>
    </row>
    <row r="1722" spans="1:12" ht="16.8">
      <c r="A1722" s="1325" t="s">
        <v>191</v>
      </c>
      <c r="B1722" s="1326">
        <f>+B1721</f>
        <v>122213</v>
      </c>
      <c r="C1722" s="1328" t="s">
        <v>150</v>
      </c>
      <c r="D1722" s="1329"/>
      <c r="E1722" s="1329">
        <f>+B1730*0.15</f>
        <v>120403.2</v>
      </c>
      <c r="F1722" s="1329"/>
      <c r="G1722" s="1329"/>
      <c r="H1722" s="1330"/>
      <c r="I1722" s="1330"/>
    </row>
    <row r="1723" spans="1:12" s="1918" customFormat="1" ht="15.75" customHeight="1">
      <c r="A1723" s="492"/>
      <c r="B1723" s="492"/>
      <c r="C1723" s="492"/>
      <c r="D1723" s="492"/>
      <c r="E1723" s="492"/>
      <c r="F1723" s="492"/>
      <c r="G1723" s="492"/>
      <c r="H1723" s="492"/>
      <c r="I1723" s="492"/>
      <c r="J1723" s="2901"/>
      <c r="K1723" s="2901">
        <f>0.05*1</f>
        <v>0.05</v>
      </c>
      <c r="L1723" s="2901"/>
    </row>
    <row r="1724" spans="1:12" s="1918" customFormat="1" ht="16.8">
      <c r="A1724" s="1318"/>
      <c r="B1724" s="3849" t="s">
        <v>7188</v>
      </c>
      <c r="C1724" s="3849"/>
      <c r="D1724" s="3849"/>
      <c r="E1724" s="3849"/>
      <c r="F1724" s="3849"/>
      <c r="G1724" s="3849"/>
      <c r="H1724" s="3849"/>
      <c r="I1724" s="3849"/>
      <c r="J1724" s="2901"/>
      <c r="K1724" s="2901"/>
      <c r="L1724" s="2901"/>
    </row>
    <row r="1725" spans="1:12" s="1918" customFormat="1" ht="16.8">
      <c r="A1725" s="1319"/>
      <c r="B1725" s="1320"/>
      <c r="C1725" s="1319" t="s">
        <v>140</v>
      </c>
      <c r="D1725" s="1319" t="s">
        <v>343</v>
      </c>
      <c r="E1725" s="1319" t="s">
        <v>344</v>
      </c>
      <c r="F1725" s="1319" t="s">
        <v>482</v>
      </c>
      <c r="G1725" s="1319" t="s">
        <v>483</v>
      </c>
      <c r="H1725" s="1319" t="s">
        <v>170</v>
      </c>
      <c r="I1725" s="1319" t="s">
        <v>171</v>
      </c>
      <c r="J1725" s="2901"/>
      <c r="K1725" s="2901"/>
      <c r="L1725" s="2901"/>
    </row>
    <row r="1726" spans="1:12" s="1918" customFormat="1" ht="16.8">
      <c r="A1726" s="1319"/>
      <c r="B1726" s="1335" t="s">
        <v>7187</v>
      </c>
      <c r="C1726" s="1922">
        <v>1</v>
      </c>
      <c r="D1726" s="1920" t="s">
        <v>133</v>
      </c>
      <c r="E1726" s="2149">
        <f>+'BASE 2'!D555</f>
        <v>708288</v>
      </c>
      <c r="F1726" s="2149"/>
      <c r="G1726" s="2149">
        <f>+E1726*C1726</f>
        <v>708288</v>
      </c>
      <c r="H1726" s="2149"/>
      <c r="I1726" s="2149"/>
      <c r="J1726" s="2901"/>
      <c r="K1726" s="2901"/>
      <c r="L1726" s="2901"/>
    </row>
    <row r="1727" spans="1:12" s="1918" customFormat="1" ht="16.8">
      <c r="A1727" s="1319"/>
      <c r="B1727" s="1335" t="s">
        <v>6448</v>
      </c>
      <c r="C1727" s="1922">
        <v>1</v>
      </c>
      <c r="D1727" s="1921" t="s">
        <v>133</v>
      </c>
      <c r="E1727" s="2149">
        <f>+'BASE 2'!D626</f>
        <v>80000</v>
      </c>
      <c r="F1727" s="2149"/>
      <c r="G1727" s="2149">
        <f>+E1727*C1727</f>
        <v>80000</v>
      </c>
      <c r="H1727" s="2149"/>
      <c r="I1727" s="2149"/>
      <c r="J1727" s="2901"/>
      <c r="K1727" s="2901"/>
      <c r="L1727" s="2901"/>
    </row>
    <row r="1728" spans="1:12" s="1918" customFormat="1" ht="16.8">
      <c r="A1728" s="1319"/>
      <c r="B1728" s="1320" t="s">
        <v>4727</v>
      </c>
      <c r="C1728" s="1919">
        <v>1.2E-2</v>
      </c>
      <c r="D1728" s="1921" t="s">
        <v>583</v>
      </c>
      <c r="E1728" s="2149">
        <f>+VIAJE</f>
        <v>1200000</v>
      </c>
      <c r="F1728" s="2149"/>
      <c r="G1728" s="2149"/>
      <c r="H1728" s="2149"/>
      <c r="I1728" s="2149">
        <f>+E1728*C1728</f>
        <v>14400</v>
      </c>
      <c r="J1728" s="2901"/>
      <c r="K1728" s="2901"/>
      <c r="L1728" s="2901"/>
    </row>
    <row r="1729" spans="1:12" s="1918" customFormat="1" ht="16.8">
      <c r="A1729" s="1325" t="s">
        <v>190</v>
      </c>
      <c r="B1729" s="1326">
        <f>ROUND(SUM(F1729:I1729),0)</f>
        <v>802688</v>
      </c>
      <c r="C1729" s="1323"/>
      <c r="D1729" s="1327"/>
      <c r="E1729" s="2149"/>
      <c r="F1729" s="2149">
        <f>SUM(F1726:F1726)</f>
        <v>0</v>
      </c>
      <c r="G1729" s="2149">
        <f>SUM(G1726:G1728)</f>
        <v>788288</v>
      </c>
      <c r="H1729" s="2149">
        <f>SUM(H1726:H1726)</f>
        <v>0</v>
      </c>
      <c r="I1729" s="2149">
        <f>+I1728</f>
        <v>14400</v>
      </c>
      <c r="J1729" s="2901"/>
      <c r="K1729" s="2901"/>
      <c r="L1729" s="2901"/>
    </row>
    <row r="1730" spans="1:12" ht="16.8">
      <c r="A1730" s="1325" t="s">
        <v>191</v>
      </c>
      <c r="B1730" s="1326">
        <f>+B1729</f>
        <v>802688</v>
      </c>
      <c r="C1730" s="1328" t="s">
        <v>150</v>
      </c>
      <c r="D1730" s="1329"/>
      <c r="E1730" s="1329"/>
      <c r="F1730" s="1329"/>
      <c r="G1730" s="1329"/>
      <c r="H1730" s="1330"/>
      <c r="I1730" s="1330"/>
    </row>
    <row r="1732" spans="1:12" s="1918" customFormat="1" ht="16.8">
      <c r="A1732" s="1318"/>
      <c r="B1732" s="3849" t="s">
        <v>7194</v>
      </c>
      <c r="C1732" s="3849"/>
      <c r="D1732" s="3849"/>
      <c r="E1732" s="3849"/>
      <c r="F1732" s="3849"/>
      <c r="G1732" s="3849"/>
      <c r="H1732" s="3849"/>
      <c r="I1732" s="3849"/>
      <c r="J1732" s="2901"/>
      <c r="K1732" s="2901"/>
      <c r="L1732" s="2901"/>
    </row>
    <row r="1733" spans="1:12" s="1918" customFormat="1" ht="16.8">
      <c r="A1733" s="1319"/>
      <c r="B1733" s="1320"/>
      <c r="C1733" s="1319" t="s">
        <v>140</v>
      </c>
      <c r="D1733" s="1319" t="s">
        <v>343</v>
      </c>
      <c r="E1733" s="1319" t="s">
        <v>344</v>
      </c>
      <c r="F1733" s="1319" t="s">
        <v>482</v>
      </c>
      <c r="G1733" s="1319" t="s">
        <v>483</v>
      </c>
      <c r="H1733" s="1319" t="s">
        <v>170</v>
      </c>
      <c r="I1733" s="1319" t="s">
        <v>171</v>
      </c>
      <c r="J1733" s="2901"/>
      <c r="K1733" s="2901"/>
      <c r="L1733" s="2901"/>
    </row>
    <row r="1734" spans="1:12" s="1918" customFormat="1" ht="16.8">
      <c r="A1734" s="1319" t="s">
        <v>345</v>
      </c>
      <c r="B1734" s="1320" t="s">
        <v>6439</v>
      </c>
      <c r="C1734" s="2186">
        <v>4.32</v>
      </c>
      <c r="D1734" s="1323" t="s">
        <v>346</v>
      </c>
      <c r="E1734" s="2149">
        <f>+OFICI</f>
        <v>80479.625344</v>
      </c>
      <c r="F1734" s="1324"/>
      <c r="G1734" s="1324"/>
      <c r="H1734" s="1324">
        <f>+E1734*C1734</f>
        <v>347671.98148608004</v>
      </c>
      <c r="I1734" s="1324"/>
      <c r="J1734" s="2901"/>
      <c r="K1734" s="2901"/>
      <c r="L1734" s="2901"/>
    </row>
    <row r="1735" spans="1:12" s="1918" customFormat="1" ht="16.8">
      <c r="A1735" s="1319" t="s">
        <v>348</v>
      </c>
      <c r="B1735" s="1320" t="s">
        <v>6579</v>
      </c>
      <c r="C1735" s="2186">
        <v>4.32</v>
      </c>
      <c r="D1735" s="1323" t="s">
        <v>346</v>
      </c>
      <c r="E1735" s="2149">
        <f>+AYUDR</f>
        <v>50299.76584</v>
      </c>
      <c r="F1735" s="1324"/>
      <c r="G1735" s="1324"/>
      <c r="H1735" s="1324">
        <f>+E1735*C1735</f>
        <v>217294.98842880002</v>
      </c>
      <c r="I1735" s="1324"/>
      <c r="J1735" s="2901"/>
      <c r="K1735" s="2901"/>
      <c r="L1735" s="2901"/>
    </row>
    <row r="1736" spans="1:12" s="1918" customFormat="1" ht="16.8">
      <c r="A1736" s="1319"/>
      <c r="B1736" s="1320" t="s">
        <v>6426</v>
      </c>
      <c r="C1736" s="2186">
        <v>4.32</v>
      </c>
      <c r="D1736" s="1323" t="s">
        <v>346</v>
      </c>
      <c r="E1736" s="2149">
        <f>+'BASE 2'!D736</f>
        <v>18500</v>
      </c>
      <c r="F1736" s="1324"/>
      <c r="G1736" s="1324"/>
      <c r="H1736" s="1324"/>
      <c r="I1736" s="1324"/>
      <c r="J1736" s="2901"/>
      <c r="K1736" s="2901"/>
      <c r="L1736" s="2901"/>
    </row>
    <row r="1737" spans="1:12" s="1918" customFormat="1" ht="16.8">
      <c r="A1737" s="1319" t="s">
        <v>172</v>
      </c>
      <c r="B1737" s="1320" t="s">
        <v>189</v>
      </c>
      <c r="C1737" s="2186">
        <v>1</v>
      </c>
      <c r="D1737" s="1323" t="s">
        <v>583</v>
      </c>
      <c r="E1737" s="2149">
        <f>+H1738*0.05</f>
        <v>28248.348495744009</v>
      </c>
      <c r="F1737" s="1324"/>
      <c r="G1737" s="1324"/>
      <c r="H1737" s="1324"/>
      <c r="I1737" s="1324">
        <f>+E1737*C1737</f>
        <v>28248.348495744009</v>
      </c>
      <c r="J1737" s="2901"/>
      <c r="K1737" s="2901"/>
      <c r="L1737" s="2901"/>
    </row>
    <row r="1738" spans="1:12" s="1918" customFormat="1" ht="16.8">
      <c r="A1738" s="1325" t="s">
        <v>190</v>
      </c>
      <c r="B1738" s="1326">
        <f>ROUND(SUM(F1738:I1738),0)</f>
        <v>593215</v>
      </c>
      <c r="C1738" s="1323"/>
      <c r="D1738" s="1327"/>
      <c r="E1738" s="1319"/>
      <c r="F1738" s="1324">
        <f>SUM(F1734:F1737)</f>
        <v>0</v>
      </c>
      <c r="G1738" s="1324">
        <f>SUM(G1734:G1735)</f>
        <v>0</v>
      </c>
      <c r="H1738" s="1324">
        <f>SUM(H1734:H1735)</f>
        <v>564966.96991488012</v>
      </c>
      <c r="I1738" s="1324">
        <f>SUM(I1734:I1737)</f>
        <v>28248.348495744009</v>
      </c>
      <c r="J1738" s="2901"/>
      <c r="K1738" s="2901"/>
      <c r="L1738" s="2901"/>
    </row>
    <row r="1739" spans="1:12" ht="16.8">
      <c r="A1739" s="1325" t="s">
        <v>191</v>
      </c>
      <c r="B1739" s="1326">
        <f>+B1738</f>
        <v>593215</v>
      </c>
      <c r="C1739" s="1328" t="s">
        <v>150</v>
      </c>
      <c r="D1739" s="1329"/>
      <c r="E1739" s="1329">
        <f>+B1746*0.15</f>
        <v>595815.29999999993</v>
      </c>
      <c r="F1739" s="1329"/>
      <c r="G1739" s="1329"/>
      <c r="H1739" s="1330"/>
      <c r="I1739" s="1330"/>
    </row>
    <row r="1740" spans="1:12" s="1918" customFormat="1" ht="15.75" customHeight="1">
      <c r="A1740" s="492"/>
      <c r="B1740" s="492"/>
      <c r="C1740" s="492"/>
      <c r="D1740" s="492"/>
      <c r="E1740" s="492"/>
      <c r="F1740" s="492"/>
      <c r="G1740" s="492"/>
      <c r="H1740" s="492"/>
      <c r="I1740" s="492"/>
      <c r="J1740" s="2901"/>
      <c r="K1740" s="2901">
        <f>0.05*1</f>
        <v>0.05</v>
      </c>
      <c r="L1740" s="2901"/>
    </row>
    <row r="1741" spans="1:12" s="1918" customFormat="1" ht="16.8">
      <c r="A1741" s="1318"/>
      <c r="B1741" s="3849" t="s">
        <v>7193</v>
      </c>
      <c r="C1741" s="3849"/>
      <c r="D1741" s="3849"/>
      <c r="E1741" s="3849"/>
      <c r="F1741" s="3849"/>
      <c r="G1741" s="3849"/>
      <c r="H1741" s="3849"/>
      <c r="I1741" s="3849"/>
      <c r="J1741" s="2901"/>
      <c r="K1741" s="2901"/>
      <c r="L1741" s="2901"/>
    </row>
    <row r="1742" spans="1:12" s="1918" customFormat="1" ht="16.8">
      <c r="A1742" s="1319"/>
      <c r="B1742" s="1320"/>
      <c r="C1742" s="1319" t="s">
        <v>140</v>
      </c>
      <c r="D1742" s="1319" t="s">
        <v>343</v>
      </c>
      <c r="E1742" s="1319" t="s">
        <v>344</v>
      </c>
      <c r="F1742" s="1319" t="s">
        <v>482</v>
      </c>
      <c r="G1742" s="1319" t="s">
        <v>483</v>
      </c>
      <c r="H1742" s="1319" t="s">
        <v>170</v>
      </c>
      <c r="I1742" s="1319" t="s">
        <v>171</v>
      </c>
      <c r="J1742" s="2901"/>
      <c r="K1742" s="2901"/>
      <c r="L1742" s="2901"/>
    </row>
    <row r="1743" spans="1:12" s="1918" customFormat="1" ht="33.6">
      <c r="A1743" s="1319"/>
      <c r="B1743" s="1335" t="s">
        <v>7192</v>
      </c>
      <c r="C1743" s="1922">
        <v>1</v>
      </c>
      <c r="D1743" s="1920" t="s">
        <v>133</v>
      </c>
      <c r="E1743" s="2183">
        <f>+'BASE 2'!D595</f>
        <v>3957702</v>
      </c>
      <c r="F1743" s="2183"/>
      <c r="G1743" s="2183">
        <f>+E1743*C1743</f>
        <v>3957702</v>
      </c>
      <c r="H1743" s="2183"/>
      <c r="I1743" s="2183"/>
      <c r="J1743" s="2901"/>
      <c r="K1743" s="2901"/>
      <c r="L1743" s="2901"/>
    </row>
    <row r="1744" spans="1:12" s="1918" customFormat="1" ht="16.8">
      <c r="A1744" s="1319"/>
      <c r="B1744" s="1320" t="s">
        <v>4727</v>
      </c>
      <c r="C1744" s="1919">
        <v>1.2E-2</v>
      </c>
      <c r="D1744" s="1921" t="s">
        <v>583</v>
      </c>
      <c r="E1744" s="2183">
        <f>+VIAJE</f>
        <v>1200000</v>
      </c>
      <c r="F1744" s="2183"/>
      <c r="G1744" s="2183"/>
      <c r="H1744" s="2183"/>
      <c r="I1744" s="2183">
        <f>+E1744*C1744</f>
        <v>14400</v>
      </c>
      <c r="J1744" s="2901"/>
      <c r="K1744" s="2901"/>
      <c r="L1744" s="2901"/>
    </row>
    <row r="1745" spans="1:12" s="1918" customFormat="1" ht="16.8">
      <c r="A1745" s="1325" t="s">
        <v>190</v>
      </c>
      <c r="B1745" s="1326">
        <f>ROUND(SUM(F1745:I1745),0)</f>
        <v>3972102</v>
      </c>
      <c r="C1745" s="1323"/>
      <c r="D1745" s="1327"/>
      <c r="E1745" s="2183"/>
      <c r="F1745" s="2183">
        <f>SUM(F1743:F1743)</f>
        <v>0</v>
      </c>
      <c r="G1745" s="2183">
        <f>SUM(G1743:G1744)</f>
        <v>3957702</v>
      </c>
      <c r="H1745" s="2183">
        <f>SUM(H1743:H1743)</f>
        <v>0</v>
      </c>
      <c r="I1745" s="2183">
        <f>+I1744</f>
        <v>14400</v>
      </c>
      <c r="J1745" s="2901"/>
      <c r="K1745" s="2901"/>
      <c r="L1745" s="2901"/>
    </row>
    <row r="1746" spans="1:12" ht="16.8">
      <c r="A1746" s="1325" t="s">
        <v>191</v>
      </c>
      <c r="B1746" s="1326">
        <f>+B1745</f>
        <v>3972102</v>
      </c>
      <c r="C1746" s="1328" t="s">
        <v>150</v>
      </c>
      <c r="D1746" s="1329"/>
      <c r="E1746" s="1329"/>
      <c r="F1746" s="1329"/>
      <c r="G1746" s="1329"/>
      <c r="H1746" s="1330"/>
      <c r="I1746" s="1330"/>
    </row>
    <row r="1748" spans="1:12" s="1918" customFormat="1" ht="16.8">
      <c r="A1748" s="1318"/>
      <c r="B1748" s="3849" t="s">
        <v>6738</v>
      </c>
      <c r="C1748" s="3849"/>
      <c r="D1748" s="3849"/>
      <c r="E1748" s="3849"/>
      <c r="F1748" s="3849"/>
      <c r="G1748" s="3849"/>
      <c r="H1748" s="3849"/>
      <c r="I1748" s="3849"/>
      <c r="J1748" s="2901"/>
      <c r="K1748" s="2901"/>
      <c r="L1748" s="2901"/>
    </row>
    <row r="1749" spans="1:12" s="1918" customFormat="1" ht="16.8">
      <c r="A1749" s="1319"/>
      <c r="B1749" s="1320"/>
      <c r="C1749" s="1319" t="s">
        <v>140</v>
      </c>
      <c r="D1749" s="1319" t="s">
        <v>343</v>
      </c>
      <c r="E1749" s="1319" t="s">
        <v>344</v>
      </c>
      <c r="F1749" s="1319" t="s">
        <v>482</v>
      </c>
      <c r="G1749" s="1319" t="s">
        <v>483</v>
      </c>
      <c r="H1749" s="1319" t="s">
        <v>170</v>
      </c>
      <c r="I1749" s="1319" t="s">
        <v>171</v>
      </c>
      <c r="J1749" s="2901"/>
      <c r="K1749" s="2901"/>
      <c r="L1749" s="2901"/>
    </row>
    <row r="1750" spans="1:12" s="1918" customFormat="1" ht="16.8">
      <c r="A1750" s="1319" t="s">
        <v>345</v>
      </c>
      <c r="B1750" s="1320" t="s">
        <v>6439</v>
      </c>
      <c r="C1750" s="1322">
        <v>0.4</v>
      </c>
      <c r="D1750" s="1323" t="s">
        <v>346</v>
      </c>
      <c r="E1750" s="1324">
        <f>+OFICI</f>
        <v>80479.625344</v>
      </c>
      <c r="F1750" s="1324"/>
      <c r="G1750" s="1324"/>
      <c r="H1750" s="1324">
        <f>+E1750*C1750</f>
        <v>32191.850137600002</v>
      </c>
      <c r="I1750" s="1324"/>
      <c r="J1750" s="2901"/>
      <c r="K1750" s="2901"/>
      <c r="L1750" s="2901"/>
    </row>
    <row r="1751" spans="1:12" s="1918" customFormat="1" ht="16.8">
      <c r="A1751" s="1319" t="s">
        <v>348</v>
      </c>
      <c r="B1751" s="1320" t="s">
        <v>6579</v>
      </c>
      <c r="C1751" s="1322">
        <v>0.4</v>
      </c>
      <c r="D1751" s="1323" t="s">
        <v>346</v>
      </c>
      <c r="E1751" s="1324">
        <f>+AYUDR</f>
        <v>50299.76584</v>
      </c>
      <c r="F1751" s="1324"/>
      <c r="G1751" s="1324"/>
      <c r="H1751" s="1324">
        <f>+E1751*C1751</f>
        <v>20119.906336</v>
      </c>
      <c r="I1751" s="1324"/>
      <c r="J1751" s="2901"/>
      <c r="K1751" s="2901"/>
      <c r="L1751" s="2901"/>
    </row>
    <row r="1752" spans="1:12" s="1918" customFormat="1" ht="16.8">
      <c r="A1752" s="1319" t="s">
        <v>172</v>
      </c>
      <c r="B1752" s="1320" t="s">
        <v>189</v>
      </c>
      <c r="C1752" s="1322">
        <v>1</v>
      </c>
      <c r="D1752" s="1323" t="s">
        <v>583</v>
      </c>
      <c r="E1752" s="1324">
        <f>+H1753*0.05</f>
        <v>2615.5878236800004</v>
      </c>
      <c r="F1752" s="1324"/>
      <c r="G1752" s="1324"/>
      <c r="H1752" s="1324"/>
      <c r="I1752" s="1324">
        <f>+E1752*C1752</f>
        <v>2615.5878236800004</v>
      </c>
      <c r="J1752" s="2901"/>
      <c r="K1752" s="2901"/>
      <c r="L1752" s="2901"/>
    </row>
    <row r="1753" spans="1:12" s="1918" customFormat="1" ht="16.8">
      <c r="A1753" s="1325" t="s">
        <v>190</v>
      </c>
      <c r="B1753" s="1326">
        <f>ROUND(SUM(F1753:I1753),0)</f>
        <v>54927</v>
      </c>
      <c r="C1753" s="1323"/>
      <c r="D1753" s="1327"/>
      <c r="E1753" s="1319"/>
      <c r="F1753" s="1324">
        <f>SUM(F1750:F1752)</f>
        <v>0</v>
      </c>
      <c r="G1753" s="1324">
        <f>SUM(G1750:G1751)</f>
        <v>0</v>
      </c>
      <c r="H1753" s="1324">
        <f>SUM(H1750:H1751)</f>
        <v>52311.756473600006</v>
      </c>
      <c r="I1753" s="1324">
        <f>SUM(I1750:I1752)</f>
        <v>2615.5878236800004</v>
      </c>
      <c r="J1753" s="2901"/>
      <c r="K1753" s="2901"/>
      <c r="L1753" s="2901"/>
    </row>
    <row r="1754" spans="1:12" ht="16.8">
      <c r="A1754" s="1325" t="s">
        <v>191</v>
      </c>
      <c r="B1754" s="1326">
        <f>+B1753</f>
        <v>54927</v>
      </c>
      <c r="C1754" s="1328" t="s">
        <v>150</v>
      </c>
      <c r="D1754" s="1329"/>
      <c r="E1754" s="1329">
        <f>+B1761*0.15</f>
        <v>54747.75</v>
      </c>
      <c r="F1754" s="1329"/>
      <c r="G1754" s="1329"/>
      <c r="H1754" s="1330"/>
      <c r="I1754" s="1330"/>
    </row>
    <row r="1755" spans="1:12" s="1918" customFormat="1" ht="15.75" customHeight="1">
      <c r="A1755" s="492"/>
      <c r="B1755" s="492"/>
      <c r="C1755" s="492"/>
      <c r="D1755" s="492"/>
      <c r="E1755" s="492"/>
      <c r="F1755" s="492"/>
      <c r="G1755" s="492"/>
      <c r="H1755" s="492"/>
      <c r="I1755" s="492"/>
      <c r="J1755" s="2901"/>
      <c r="K1755" s="2901">
        <f>0.05*1</f>
        <v>0.05</v>
      </c>
      <c r="L1755" s="2901"/>
    </row>
    <row r="1756" spans="1:12" s="1918" customFormat="1" ht="16.8">
      <c r="A1756" s="1318"/>
      <c r="B1756" s="3849" t="s">
        <v>6737</v>
      </c>
      <c r="C1756" s="3849"/>
      <c r="D1756" s="3849"/>
      <c r="E1756" s="3849"/>
      <c r="F1756" s="3849"/>
      <c r="G1756" s="3849"/>
      <c r="H1756" s="3849"/>
      <c r="I1756" s="3849"/>
      <c r="J1756" s="2901"/>
      <c r="K1756" s="2901"/>
      <c r="L1756" s="2901"/>
    </row>
    <row r="1757" spans="1:12" s="1918" customFormat="1" ht="16.8">
      <c r="A1757" s="1319"/>
      <c r="B1757" s="1320"/>
      <c r="C1757" s="1319" t="s">
        <v>140</v>
      </c>
      <c r="D1757" s="1319" t="s">
        <v>343</v>
      </c>
      <c r="E1757" s="1319" t="s">
        <v>344</v>
      </c>
      <c r="F1757" s="1319" t="s">
        <v>482</v>
      </c>
      <c r="G1757" s="1319" t="s">
        <v>483</v>
      </c>
      <c r="H1757" s="1319" t="s">
        <v>170</v>
      </c>
      <c r="I1757" s="1319" t="s">
        <v>171</v>
      </c>
      <c r="J1757" s="2901"/>
      <c r="K1757" s="2901"/>
      <c r="L1757" s="2901"/>
    </row>
    <row r="1758" spans="1:12" s="1918" customFormat="1" ht="16.8">
      <c r="A1758" s="1319"/>
      <c r="B1758" s="1335" t="s">
        <v>6735</v>
      </c>
      <c r="C1758" s="1922">
        <v>1</v>
      </c>
      <c r="D1758" s="1920" t="s">
        <v>133</v>
      </c>
      <c r="E1758" s="2149">
        <f>+'BASE 2'!D602</f>
        <v>350584.70999999996</v>
      </c>
      <c r="F1758" s="1324"/>
      <c r="G1758" s="1324">
        <f>+E1758*C1758</f>
        <v>350584.70999999996</v>
      </c>
      <c r="H1758" s="1324"/>
      <c r="I1758" s="1324"/>
      <c r="J1758" s="2901"/>
      <c r="K1758" s="2901"/>
      <c r="L1758" s="2901"/>
    </row>
    <row r="1759" spans="1:12" s="1918" customFormat="1" ht="16.8">
      <c r="A1759" s="1319"/>
      <c r="B1759" s="1320" t="s">
        <v>4727</v>
      </c>
      <c r="C1759" s="1919">
        <v>1.2E-2</v>
      </c>
      <c r="D1759" s="1921" t="s">
        <v>583</v>
      </c>
      <c r="E1759" s="1324">
        <f>+VIAJE</f>
        <v>1200000</v>
      </c>
      <c r="F1759" s="1324"/>
      <c r="G1759" s="1324"/>
      <c r="H1759" s="1324"/>
      <c r="I1759" s="1324">
        <f>+E1759*C1759</f>
        <v>14400</v>
      </c>
      <c r="J1759" s="2901"/>
      <c r="K1759" s="2901"/>
      <c r="L1759" s="2901"/>
    </row>
    <row r="1760" spans="1:12" s="1918" customFormat="1" ht="16.8">
      <c r="A1760" s="1325" t="s">
        <v>190</v>
      </c>
      <c r="B1760" s="1326">
        <f>ROUND(SUM(F1760:I1760),0)</f>
        <v>364985</v>
      </c>
      <c r="C1760" s="1323"/>
      <c r="D1760" s="1327"/>
      <c r="E1760" s="1319"/>
      <c r="F1760" s="1324">
        <f>SUM(F1758:F1758)</f>
        <v>0</v>
      </c>
      <c r="G1760" s="1324">
        <f>SUM(G1758:G1759)</f>
        <v>350584.70999999996</v>
      </c>
      <c r="H1760" s="1324">
        <f>SUM(H1758:H1758)</f>
        <v>0</v>
      </c>
      <c r="I1760" s="1324">
        <f>+I1759</f>
        <v>14400</v>
      </c>
      <c r="J1760" s="2901"/>
      <c r="K1760" s="2901"/>
      <c r="L1760" s="2901"/>
    </row>
    <row r="1761" spans="1:12" ht="16.8">
      <c r="A1761" s="1325" t="s">
        <v>191</v>
      </c>
      <c r="B1761" s="1326">
        <f>+B1760</f>
        <v>364985</v>
      </c>
      <c r="C1761" s="1328" t="s">
        <v>150</v>
      </c>
      <c r="D1761" s="1329"/>
      <c r="E1761" s="1329"/>
      <c r="F1761" s="1329"/>
      <c r="G1761" s="1329"/>
      <c r="H1761" s="1330"/>
      <c r="I1761" s="1330"/>
    </row>
    <row r="1763" spans="1:12" s="1918" customFormat="1" ht="16.8">
      <c r="A1763" s="1318"/>
      <c r="B1763" s="3849" t="s">
        <v>6743</v>
      </c>
      <c r="C1763" s="3849"/>
      <c r="D1763" s="3849"/>
      <c r="E1763" s="3849"/>
      <c r="F1763" s="3849"/>
      <c r="G1763" s="3849"/>
      <c r="H1763" s="3849"/>
      <c r="I1763" s="3849"/>
      <c r="J1763" s="2901"/>
      <c r="K1763" s="2901"/>
      <c r="L1763" s="2901"/>
    </row>
    <row r="1764" spans="1:12" s="1918" customFormat="1" ht="16.8">
      <c r="A1764" s="1319"/>
      <c r="B1764" s="1320"/>
      <c r="C1764" s="1319" t="s">
        <v>140</v>
      </c>
      <c r="D1764" s="1319" t="s">
        <v>343</v>
      </c>
      <c r="E1764" s="1319" t="s">
        <v>344</v>
      </c>
      <c r="F1764" s="1319" t="s">
        <v>482</v>
      </c>
      <c r="G1764" s="1319" t="s">
        <v>483</v>
      </c>
      <c r="H1764" s="1319" t="s">
        <v>170</v>
      </c>
      <c r="I1764" s="1319" t="s">
        <v>171</v>
      </c>
      <c r="J1764" s="2901"/>
      <c r="K1764" s="2901"/>
      <c r="L1764" s="2901"/>
    </row>
    <row r="1765" spans="1:12" s="1918" customFormat="1" ht="16.8">
      <c r="A1765" s="1319" t="s">
        <v>345</v>
      </c>
      <c r="B1765" s="1320" t="s">
        <v>6439</v>
      </c>
      <c r="C1765" s="1322">
        <v>0.71</v>
      </c>
      <c r="D1765" s="1323" t="s">
        <v>346</v>
      </c>
      <c r="E1765" s="1324">
        <f>+OFICI</f>
        <v>80479.625344</v>
      </c>
      <c r="F1765" s="1324"/>
      <c r="G1765" s="1324"/>
      <c r="H1765" s="1324">
        <f>+E1765*C1765</f>
        <v>57140.533994239995</v>
      </c>
      <c r="I1765" s="1324"/>
      <c r="J1765" s="2901"/>
      <c r="K1765" s="2901"/>
      <c r="L1765" s="2901"/>
    </row>
    <row r="1766" spans="1:12" s="1918" customFormat="1" ht="16.8">
      <c r="A1766" s="1319" t="s">
        <v>348</v>
      </c>
      <c r="B1766" s="1320" t="s">
        <v>966</v>
      </c>
      <c r="C1766" s="1322">
        <v>0.71</v>
      </c>
      <c r="D1766" s="1323" t="s">
        <v>346</v>
      </c>
      <c r="E1766" s="1324">
        <f>+AYUDR</f>
        <v>50299.76584</v>
      </c>
      <c r="F1766" s="1324"/>
      <c r="G1766" s="1324"/>
      <c r="H1766" s="1324">
        <f>+E1766*C1766</f>
        <v>35712.8337464</v>
      </c>
      <c r="I1766" s="1324"/>
      <c r="J1766" s="2901"/>
      <c r="K1766" s="2901"/>
      <c r="L1766" s="2901"/>
    </row>
    <row r="1767" spans="1:12" s="1918" customFormat="1" ht="16.8">
      <c r="A1767" s="1319" t="s">
        <v>172</v>
      </c>
      <c r="B1767" s="1320" t="s">
        <v>189</v>
      </c>
      <c r="C1767" s="1322">
        <v>1</v>
      </c>
      <c r="D1767" s="1323" t="s">
        <v>583</v>
      </c>
      <c r="E1767" s="1324">
        <f>+H1768*0.05</f>
        <v>4642.6683870320003</v>
      </c>
      <c r="F1767" s="1324"/>
      <c r="G1767" s="1324"/>
      <c r="H1767" s="1324"/>
      <c r="I1767" s="1324">
        <f>+E1767*C1767</f>
        <v>4642.6683870320003</v>
      </c>
      <c r="J1767" s="2901"/>
      <c r="K1767" s="2901"/>
      <c r="L1767" s="2901"/>
    </row>
    <row r="1768" spans="1:12" s="1918" customFormat="1" ht="16.8">
      <c r="A1768" s="1325" t="s">
        <v>190</v>
      </c>
      <c r="B1768" s="1326">
        <f>ROUND(SUM(F1768:I1768),0)</f>
        <v>97496</v>
      </c>
      <c r="C1768" s="1323"/>
      <c r="D1768" s="1327"/>
      <c r="E1768" s="1319"/>
      <c r="F1768" s="1324">
        <f>SUM(F1765:F1767)</f>
        <v>0</v>
      </c>
      <c r="G1768" s="1324">
        <f>SUM(G1765:G1766)</f>
        <v>0</v>
      </c>
      <c r="H1768" s="1324">
        <f>SUM(H1765:H1766)</f>
        <v>92853.367740639995</v>
      </c>
      <c r="I1768" s="1324">
        <f>SUM(I1765:I1767)</f>
        <v>4642.6683870320003</v>
      </c>
      <c r="J1768" s="2901"/>
      <c r="K1768" s="2901"/>
      <c r="L1768" s="2901"/>
    </row>
    <row r="1769" spans="1:12" ht="16.8">
      <c r="A1769" s="1325" t="s">
        <v>191</v>
      </c>
      <c r="B1769" s="1326">
        <f>+B1768</f>
        <v>97496</v>
      </c>
      <c r="C1769" s="1328" t="s">
        <v>150</v>
      </c>
      <c r="D1769" s="1329"/>
      <c r="E1769" s="1329">
        <f>+B1776*0.15</f>
        <v>97222.5</v>
      </c>
      <c r="F1769" s="1329"/>
      <c r="G1769" s="1329"/>
      <c r="H1769" s="1330"/>
      <c r="I1769" s="1330"/>
    </row>
    <row r="1770" spans="1:12" s="1918" customFormat="1" ht="15.75" customHeight="1">
      <c r="A1770" s="492"/>
      <c r="B1770" s="492"/>
      <c r="C1770" s="492"/>
      <c r="D1770" s="492"/>
      <c r="E1770" s="492"/>
      <c r="F1770" s="492"/>
      <c r="G1770" s="492"/>
      <c r="H1770" s="492"/>
      <c r="I1770" s="492"/>
      <c r="J1770" s="2901"/>
      <c r="K1770" s="2901">
        <f>0.05*1</f>
        <v>0.05</v>
      </c>
      <c r="L1770" s="2901"/>
    </row>
    <row r="1771" spans="1:12" s="1918" customFormat="1" ht="16.8">
      <c r="A1771" s="1318"/>
      <c r="B1771" s="3849" t="s">
        <v>6742</v>
      </c>
      <c r="C1771" s="3849"/>
      <c r="D1771" s="3849"/>
      <c r="E1771" s="3849"/>
      <c r="F1771" s="3849"/>
      <c r="G1771" s="3849"/>
      <c r="H1771" s="3849"/>
      <c r="I1771" s="3849"/>
      <c r="J1771" s="2901"/>
      <c r="K1771" s="2901"/>
      <c r="L1771" s="2901"/>
    </row>
    <row r="1772" spans="1:12" s="1918" customFormat="1" ht="16.8">
      <c r="A1772" s="1319"/>
      <c r="B1772" s="1320"/>
      <c r="C1772" s="1319" t="s">
        <v>140</v>
      </c>
      <c r="D1772" s="1319" t="s">
        <v>343</v>
      </c>
      <c r="E1772" s="1319" t="s">
        <v>344</v>
      </c>
      <c r="F1772" s="1319" t="s">
        <v>482</v>
      </c>
      <c r="G1772" s="1319" t="s">
        <v>483</v>
      </c>
      <c r="H1772" s="1319" t="s">
        <v>170</v>
      </c>
      <c r="I1772" s="1319" t="s">
        <v>171</v>
      </c>
      <c r="J1772" s="2901"/>
      <c r="K1772" s="2901"/>
      <c r="L1772" s="2901"/>
    </row>
    <row r="1773" spans="1:12" s="1918" customFormat="1" ht="16.8">
      <c r="A1773" s="1319"/>
      <c r="B1773" s="1320" t="s">
        <v>6741</v>
      </c>
      <c r="C1773" s="1922">
        <v>1</v>
      </c>
      <c r="D1773" s="1920" t="s">
        <v>133</v>
      </c>
      <c r="E1773" s="2149">
        <f>+'BASE 2'!D604</f>
        <v>633749.5416</v>
      </c>
      <c r="F1773" s="1324"/>
      <c r="G1773" s="1324">
        <f>+E1773*C1773</f>
        <v>633749.5416</v>
      </c>
      <c r="H1773" s="1324"/>
      <c r="I1773" s="1324"/>
      <c r="J1773" s="2901"/>
      <c r="K1773" s="2901"/>
      <c r="L1773" s="2901"/>
    </row>
    <row r="1774" spans="1:12" s="1918" customFormat="1" ht="16.8">
      <c r="A1774" s="1319"/>
      <c r="B1774" s="1320" t="s">
        <v>4727</v>
      </c>
      <c r="C1774" s="1919">
        <v>1.2E-2</v>
      </c>
      <c r="D1774" s="1921" t="s">
        <v>583</v>
      </c>
      <c r="E1774" s="1324">
        <f>+VIAJE</f>
        <v>1200000</v>
      </c>
      <c r="F1774" s="1324"/>
      <c r="G1774" s="1324"/>
      <c r="H1774" s="1324"/>
      <c r="I1774" s="2149">
        <f>+E1774*C1774</f>
        <v>14400</v>
      </c>
      <c r="J1774" s="2901"/>
      <c r="K1774" s="2901"/>
      <c r="L1774" s="2901"/>
    </row>
    <row r="1775" spans="1:12" s="1918" customFormat="1" ht="16.8">
      <c r="A1775" s="1325" t="s">
        <v>190</v>
      </c>
      <c r="B1775" s="1326">
        <f>ROUND(SUM(F1775:I1775),0)</f>
        <v>648150</v>
      </c>
      <c r="C1775" s="1323"/>
      <c r="D1775" s="1327"/>
      <c r="E1775" s="1319"/>
      <c r="F1775" s="1324">
        <f>SUM(F1773:F1773)</f>
        <v>0</v>
      </c>
      <c r="G1775" s="1324">
        <f>SUM(G1773:G1774)</f>
        <v>633749.5416</v>
      </c>
      <c r="H1775" s="1324">
        <f>SUM(H1773:H1773)</f>
        <v>0</v>
      </c>
      <c r="I1775" s="2149">
        <f>+I1774</f>
        <v>14400</v>
      </c>
      <c r="J1775" s="2901"/>
      <c r="K1775" s="2901"/>
      <c r="L1775" s="2901"/>
    </row>
    <row r="1776" spans="1:12" ht="16.8">
      <c r="A1776" s="1325" t="s">
        <v>191</v>
      </c>
      <c r="B1776" s="1326">
        <f>+B1775</f>
        <v>648150</v>
      </c>
      <c r="C1776" s="1328" t="s">
        <v>150</v>
      </c>
      <c r="D1776" s="1329"/>
      <c r="E1776" s="1329"/>
      <c r="F1776" s="1329"/>
      <c r="G1776" s="1329"/>
      <c r="H1776" s="1330"/>
      <c r="I1776" s="1330"/>
    </row>
    <row r="1778" spans="1:12" s="1918" customFormat="1" ht="16.8">
      <c r="A1778" s="1318"/>
      <c r="B1778" s="3849" t="s">
        <v>6747</v>
      </c>
      <c r="C1778" s="3849"/>
      <c r="D1778" s="3849"/>
      <c r="E1778" s="3849"/>
      <c r="F1778" s="3849"/>
      <c r="G1778" s="3849"/>
      <c r="H1778" s="3849"/>
      <c r="I1778" s="3849"/>
      <c r="J1778" s="2901"/>
      <c r="K1778" s="2901"/>
      <c r="L1778" s="2901"/>
    </row>
    <row r="1779" spans="1:12" s="1918" customFormat="1" ht="16.8">
      <c r="A1779" s="1319"/>
      <c r="B1779" s="1320"/>
      <c r="C1779" s="1319" t="s">
        <v>140</v>
      </c>
      <c r="D1779" s="1319" t="s">
        <v>343</v>
      </c>
      <c r="E1779" s="1319" t="s">
        <v>344</v>
      </c>
      <c r="F1779" s="1319" t="s">
        <v>482</v>
      </c>
      <c r="G1779" s="1319" t="s">
        <v>483</v>
      </c>
      <c r="H1779" s="1319" t="s">
        <v>170</v>
      </c>
      <c r="I1779" s="1319" t="s">
        <v>171</v>
      </c>
      <c r="J1779" s="2901"/>
      <c r="K1779" s="2901"/>
      <c r="L1779" s="2901"/>
    </row>
    <row r="1780" spans="1:12" s="1918" customFormat="1" ht="16.8">
      <c r="A1780" s="1319" t="s">
        <v>345</v>
      </c>
      <c r="B1780" s="1320" t="s">
        <v>6439</v>
      </c>
      <c r="C1780" s="1322">
        <v>0.78</v>
      </c>
      <c r="D1780" s="1323" t="s">
        <v>346</v>
      </c>
      <c r="E1780" s="1324">
        <f>+OFICI</f>
        <v>80479.625344</v>
      </c>
      <c r="F1780" s="1324"/>
      <c r="G1780" s="1324"/>
      <c r="H1780" s="1324">
        <f>+E1780*C1780</f>
        <v>62774.107768320006</v>
      </c>
      <c r="I1780" s="1324"/>
      <c r="J1780" s="2901"/>
      <c r="K1780" s="2901"/>
      <c r="L1780" s="2901"/>
    </row>
    <row r="1781" spans="1:12" s="1918" customFormat="1" ht="16.8">
      <c r="A1781" s="1319" t="s">
        <v>348</v>
      </c>
      <c r="B1781" s="1320" t="s">
        <v>6579</v>
      </c>
      <c r="C1781" s="1322">
        <v>0.78</v>
      </c>
      <c r="D1781" s="1323" t="s">
        <v>346</v>
      </c>
      <c r="E1781" s="1324">
        <f>+AYUDR</f>
        <v>50299.76584</v>
      </c>
      <c r="F1781" s="1324"/>
      <c r="G1781" s="1324"/>
      <c r="H1781" s="1324">
        <f>+E1781*C1781</f>
        <v>39233.817355200001</v>
      </c>
      <c r="I1781" s="1324"/>
      <c r="J1781" s="2901"/>
      <c r="K1781" s="2901"/>
      <c r="L1781" s="2901"/>
    </row>
    <row r="1782" spans="1:12" s="1918" customFormat="1" ht="16.8">
      <c r="A1782" s="1319" t="s">
        <v>172</v>
      </c>
      <c r="B1782" s="1320" t="s">
        <v>189</v>
      </c>
      <c r="C1782" s="1322">
        <v>1</v>
      </c>
      <c r="D1782" s="1323" t="s">
        <v>583</v>
      </c>
      <c r="E1782" s="1324">
        <f>+H1783*0.05</f>
        <v>5100.3962561760009</v>
      </c>
      <c r="F1782" s="1324"/>
      <c r="G1782" s="1324"/>
      <c r="H1782" s="1324"/>
      <c r="I1782" s="1324">
        <f>+E1782*C1782</f>
        <v>5100.3962561760009</v>
      </c>
      <c r="J1782" s="2901"/>
      <c r="K1782" s="2901"/>
      <c r="L1782" s="2901"/>
    </row>
    <row r="1783" spans="1:12" s="1918" customFormat="1" ht="16.8">
      <c r="A1783" s="1325" t="s">
        <v>190</v>
      </c>
      <c r="B1783" s="1326">
        <f>ROUND(SUM(F1783:I1783),0)</f>
        <v>107108</v>
      </c>
      <c r="C1783" s="1323"/>
      <c r="D1783" s="1327"/>
      <c r="E1783" s="1319"/>
      <c r="F1783" s="1324">
        <f>SUM(F1780:F1782)</f>
        <v>0</v>
      </c>
      <c r="G1783" s="1324">
        <f>SUM(G1780:G1781)</f>
        <v>0</v>
      </c>
      <c r="H1783" s="1324">
        <f>SUM(H1780:H1781)</f>
        <v>102007.92512352001</v>
      </c>
      <c r="I1783" s="1324">
        <f>SUM(I1780:I1782)</f>
        <v>5100.3962561760009</v>
      </c>
      <c r="J1783" s="2901"/>
      <c r="K1783" s="2901"/>
      <c r="L1783" s="2901"/>
    </row>
    <row r="1784" spans="1:12" ht="16.8">
      <c r="A1784" s="1325" t="s">
        <v>191</v>
      </c>
      <c r="B1784" s="1326">
        <f>+B1783</f>
        <v>107108</v>
      </c>
      <c r="C1784" s="1328" t="s">
        <v>150</v>
      </c>
      <c r="D1784" s="1329"/>
      <c r="E1784" s="1329">
        <f>+B1791*0.15</f>
        <v>107335.5</v>
      </c>
      <c r="F1784" s="1329"/>
      <c r="G1784" s="1329"/>
      <c r="H1784" s="1330"/>
      <c r="I1784" s="1330"/>
    </row>
    <row r="1785" spans="1:12" s="1918" customFormat="1" ht="15.75" customHeight="1">
      <c r="A1785" s="492"/>
      <c r="B1785" s="492"/>
      <c r="C1785" s="492"/>
      <c r="D1785" s="492"/>
      <c r="E1785" s="492"/>
      <c r="F1785" s="492"/>
      <c r="G1785" s="492"/>
      <c r="H1785" s="492"/>
      <c r="I1785" s="492"/>
      <c r="J1785" s="2901"/>
      <c r="K1785" s="2901">
        <f>0.05*1</f>
        <v>0.05</v>
      </c>
      <c r="L1785" s="2901"/>
    </row>
    <row r="1786" spans="1:12" s="1918" customFormat="1" ht="16.8">
      <c r="A1786" s="1318"/>
      <c r="B1786" s="3849" t="s">
        <v>6746</v>
      </c>
      <c r="C1786" s="3849"/>
      <c r="D1786" s="3849"/>
      <c r="E1786" s="3849"/>
      <c r="F1786" s="3849"/>
      <c r="G1786" s="3849"/>
      <c r="H1786" s="3849"/>
      <c r="I1786" s="3849"/>
      <c r="J1786" s="2901"/>
      <c r="K1786" s="2901"/>
      <c r="L1786" s="2901"/>
    </row>
    <row r="1787" spans="1:12" s="1918" customFormat="1" ht="16.8">
      <c r="A1787" s="1319"/>
      <c r="B1787" s="1320"/>
      <c r="C1787" s="1319" t="s">
        <v>140</v>
      </c>
      <c r="D1787" s="1319" t="s">
        <v>343</v>
      </c>
      <c r="E1787" s="1319" t="s">
        <v>344</v>
      </c>
      <c r="F1787" s="1319" t="s">
        <v>482</v>
      </c>
      <c r="G1787" s="1319" t="s">
        <v>483</v>
      </c>
      <c r="H1787" s="1319" t="s">
        <v>170</v>
      </c>
      <c r="I1787" s="1319" t="s">
        <v>171</v>
      </c>
      <c r="J1787" s="2901"/>
      <c r="K1787" s="2901"/>
      <c r="L1787" s="2901"/>
    </row>
    <row r="1788" spans="1:12" s="1918" customFormat="1" ht="16.8">
      <c r="A1788" s="1319"/>
      <c r="B1788" s="1320" t="s">
        <v>6745</v>
      </c>
      <c r="C1788" s="1922">
        <v>1</v>
      </c>
      <c r="D1788" s="1920" t="s">
        <v>133</v>
      </c>
      <c r="E1788" s="1324">
        <f>+'BASE 2'!D605</f>
        <v>701169.70559999999</v>
      </c>
      <c r="F1788" s="1324"/>
      <c r="G1788" s="1324">
        <f>+E1788*C1788</f>
        <v>701169.70559999999</v>
      </c>
      <c r="H1788" s="1324"/>
      <c r="I1788" s="1324"/>
      <c r="J1788" s="2901"/>
      <c r="K1788" s="2901"/>
      <c r="L1788" s="2901"/>
    </row>
    <row r="1789" spans="1:12" s="1918" customFormat="1" ht="16.8">
      <c r="A1789" s="1319"/>
      <c r="B1789" s="1320" t="s">
        <v>4727</v>
      </c>
      <c r="C1789" s="1919">
        <v>1.2E-2</v>
      </c>
      <c r="D1789" s="1921" t="s">
        <v>583</v>
      </c>
      <c r="E1789" s="1324">
        <f>+VIAJE</f>
        <v>1200000</v>
      </c>
      <c r="F1789" s="1324"/>
      <c r="G1789" s="1324"/>
      <c r="H1789" s="1324"/>
      <c r="I1789" s="2149">
        <f>+E1789*C1789</f>
        <v>14400</v>
      </c>
      <c r="J1789" s="2901"/>
      <c r="K1789" s="2901"/>
      <c r="L1789" s="2901"/>
    </row>
    <row r="1790" spans="1:12" s="1918" customFormat="1" ht="16.8">
      <c r="A1790" s="1325" t="s">
        <v>190</v>
      </c>
      <c r="B1790" s="1326">
        <f>ROUND(SUM(F1790:I1790),0)</f>
        <v>715570</v>
      </c>
      <c r="C1790" s="1323"/>
      <c r="D1790" s="1327"/>
      <c r="E1790" s="1319"/>
      <c r="F1790" s="1324">
        <f>SUM(F1788:F1788)</f>
        <v>0</v>
      </c>
      <c r="G1790" s="1324">
        <f>SUM(G1788:G1789)</f>
        <v>701169.70559999999</v>
      </c>
      <c r="H1790" s="1324">
        <f>SUM(H1788:H1788)</f>
        <v>0</v>
      </c>
      <c r="I1790" s="2149">
        <f>+I1789</f>
        <v>14400</v>
      </c>
      <c r="J1790" s="2901"/>
      <c r="K1790" s="2901"/>
      <c r="L1790" s="2901"/>
    </row>
    <row r="1791" spans="1:12" ht="16.8">
      <c r="A1791" s="1325" t="s">
        <v>191</v>
      </c>
      <c r="B1791" s="1326">
        <f>+B1790</f>
        <v>715570</v>
      </c>
      <c r="C1791" s="1328" t="s">
        <v>150</v>
      </c>
      <c r="D1791" s="1329"/>
      <c r="E1791" s="1329"/>
      <c r="F1791" s="1329"/>
      <c r="G1791" s="1329"/>
      <c r="H1791" s="1330"/>
      <c r="I1791" s="1330"/>
    </row>
    <row r="1793" spans="1:12" s="1918" customFormat="1" ht="16.8">
      <c r="A1793" s="1318"/>
      <c r="B1793" s="3849" t="s">
        <v>6754</v>
      </c>
      <c r="C1793" s="3849"/>
      <c r="D1793" s="3849"/>
      <c r="E1793" s="3849"/>
      <c r="F1793" s="3849"/>
      <c r="G1793" s="3849"/>
      <c r="H1793" s="3849"/>
      <c r="I1793" s="3849"/>
      <c r="J1793" s="2901"/>
      <c r="K1793" s="2901"/>
      <c r="L1793" s="2901"/>
    </row>
    <row r="1794" spans="1:12" s="1918" customFormat="1" ht="16.8">
      <c r="A1794" s="1319"/>
      <c r="B1794" s="1320"/>
      <c r="C1794" s="1319" t="s">
        <v>140</v>
      </c>
      <c r="D1794" s="1319" t="s">
        <v>343</v>
      </c>
      <c r="E1794" s="1319" t="s">
        <v>344</v>
      </c>
      <c r="F1794" s="1319" t="s">
        <v>482</v>
      </c>
      <c r="G1794" s="1319" t="s">
        <v>483</v>
      </c>
      <c r="H1794" s="1319" t="s">
        <v>170</v>
      </c>
      <c r="I1794" s="1319" t="s">
        <v>171</v>
      </c>
      <c r="J1794" s="2901"/>
      <c r="K1794" s="2901"/>
      <c r="L1794" s="2901"/>
    </row>
    <row r="1795" spans="1:12" s="1918" customFormat="1" ht="16.8">
      <c r="A1795" s="1319" t="s">
        <v>345</v>
      </c>
      <c r="B1795" s="1320" t="s">
        <v>965</v>
      </c>
      <c r="C1795" s="1322">
        <v>0.91500000000000004</v>
      </c>
      <c r="D1795" s="1323" t="s">
        <v>346</v>
      </c>
      <c r="E1795" s="1324">
        <f>+OFICI</f>
        <v>80479.625344</v>
      </c>
      <c r="F1795" s="1324"/>
      <c r="G1795" s="1324"/>
      <c r="H1795" s="1324">
        <f>+E1795*C1795</f>
        <v>73638.857189760005</v>
      </c>
      <c r="I1795" s="1324"/>
      <c r="J1795" s="2901"/>
      <c r="K1795" s="2901"/>
      <c r="L1795" s="2901"/>
    </row>
    <row r="1796" spans="1:12" s="1918" customFormat="1" ht="16.8">
      <c r="A1796" s="1319" t="s">
        <v>348</v>
      </c>
      <c r="B1796" s="1320" t="s">
        <v>6579</v>
      </c>
      <c r="C1796" s="1322">
        <v>0.91500000000000004</v>
      </c>
      <c r="D1796" s="1323" t="s">
        <v>346</v>
      </c>
      <c r="E1796" s="1324">
        <f>+AYUDR</f>
        <v>50299.76584</v>
      </c>
      <c r="F1796" s="1324"/>
      <c r="G1796" s="1324"/>
      <c r="H1796" s="1324">
        <f>+E1796*C1796</f>
        <v>46024.285743600005</v>
      </c>
      <c r="I1796" s="1324"/>
      <c r="J1796" s="2901"/>
      <c r="K1796" s="2901"/>
      <c r="L1796" s="2901"/>
    </row>
    <row r="1797" spans="1:12" s="1918" customFormat="1" ht="16.8">
      <c r="A1797" s="1319" t="s">
        <v>172</v>
      </c>
      <c r="B1797" s="1320" t="s">
        <v>189</v>
      </c>
      <c r="C1797" s="1322">
        <v>1</v>
      </c>
      <c r="D1797" s="1323" t="s">
        <v>583</v>
      </c>
      <c r="E1797" s="1324">
        <f>+H1798*0.05</f>
        <v>5983.1571466680007</v>
      </c>
      <c r="F1797" s="1324"/>
      <c r="G1797" s="1324"/>
      <c r="H1797" s="1324"/>
      <c r="I1797" s="1324">
        <f>+E1797*C1797</f>
        <v>5983.1571466680007</v>
      </c>
      <c r="J1797" s="2901"/>
      <c r="K1797" s="2901"/>
      <c r="L1797" s="2901"/>
    </row>
    <row r="1798" spans="1:12" s="1918" customFormat="1" ht="16.8">
      <c r="A1798" s="1325" t="s">
        <v>190</v>
      </c>
      <c r="B1798" s="1326">
        <f>ROUND(SUM(F1798:I1798),0)</f>
        <v>125646</v>
      </c>
      <c r="C1798" s="1323"/>
      <c r="D1798" s="1327"/>
      <c r="E1798" s="1319"/>
      <c r="F1798" s="1324">
        <f>SUM(F1795:F1797)</f>
        <v>0</v>
      </c>
      <c r="G1798" s="1324">
        <f>SUM(G1795:G1796)</f>
        <v>0</v>
      </c>
      <c r="H1798" s="1324">
        <f>SUM(H1795:H1796)</f>
        <v>119663.14293336001</v>
      </c>
      <c r="I1798" s="1324">
        <f>SUM(I1795:I1797)</f>
        <v>5983.1571466680007</v>
      </c>
      <c r="J1798" s="2901"/>
      <c r="K1798" s="2901"/>
      <c r="L1798" s="2901"/>
    </row>
    <row r="1799" spans="1:12" ht="16.8">
      <c r="A1799" s="1325" t="s">
        <v>191</v>
      </c>
      <c r="B1799" s="1326">
        <f>+B1798</f>
        <v>125646</v>
      </c>
      <c r="C1799" s="1328" t="s">
        <v>150</v>
      </c>
      <c r="D1799" s="1329"/>
      <c r="E1799" s="1329">
        <f>+B1806*0.15</f>
        <v>125538.9</v>
      </c>
      <c r="F1799" s="1329"/>
      <c r="G1799" s="1329"/>
      <c r="H1799" s="1330"/>
      <c r="I1799" s="1330"/>
    </row>
    <row r="1800" spans="1:12" s="1918" customFormat="1" ht="15.75" customHeight="1">
      <c r="A1800" s="492"/>
      <c r="B1800" s="492"/>
      <c r="C1800" s="492"/>
      <c r="D1800" s="492"/>
      <c r="E1800" s="492"/>
      <c r="F1800" s="492"/>
      <c r="G1800" s="492"/>
      <c r="H1800" s="492"/>
      <c r="I1800" s="492"/>
      <c r="J1800" s="2901"/>
      <c r="K1800" s="2901">
        <f>0.05*1</f>
        <v>0.05</v>
      </c>
      <c r="L1800" s="2901"/>
    </row>
    <row r="1801" spans="1:12" s="1918" customFormat="1" ht="16.8">
      <c r="A1801" s="1318"/>
      <c r="B1801" s="3849" t="s">
        <v>6753</v>
      </c>
      <c r="C1801" s="3849"/>
      <c r="D1801" s="3849"/>
      <c r="E1801" s="3849"/>
      <c r="F1801" s="3849"/>
      <c r="G1801" s="3849"/>
      <c r="H1801" s="3849"/>
      <c r="I1801" s="3849"/>
      <c r="J1801" s="2901"/>
      <c r="K1801" s="2901"/>
      <c r="L1801" s="2901"/>
    </row>
    <row r="1802" spans="1:12" s="1918" customFormat="1" ht="16.8">
      <c r="A1802" s="1319"/>
      <c r="B1802" s="1320"/>
      <c r="C1802" s="1319" t="s">
        <v>140</v>
      </c>
      <c r="D1802" s="1319" t="s">
        <v>343</v>
      </c>
      <c r="E1802" s="1319" t="s">
        <v>344</v>
      </c>
      <c r="F1802" s="1319" t="s">
        <v>482</v>
      </c>
      <c r="G1802" s="1319" t="s">
        <v>483</v>
      </c>
      <c r="H1802" s="1319" t="s">
        <v>170</v>
      </c>
      <c r="I1802" s="1319" t="s">
        <v>171</v>
      </c>
      <c r="J1802" s="2901"/>
      <c r="K1802" s="2901"/>
      <c r="L1802" s="2901"/>
    </row>
    <row r="1803" spans="1:12" s="1918" customFormat="1" ht="16.8">
      <c r="A1803" s="1319"/>
      <c r="B1803" s="1320" t="s">
        <v>6752</v>
      </c>
      <c r="C1803" s="1922">
        <v>1</v>
      </c>
      <c r="D1803" s="1920" t="s">
        <v>133</v>
      </c>
      <c r="E1803" s="1324">
        <f>+'BASE 2'!D606</f>
        <v>822526.00079999992</v>
      </c>
      <c r="F1803" s="1324"/>
      <c r="G1803" s="1324">
        <f>+E1803*C1803</f>
        <v>822526.00079999992</v>
      </c>
      <c r="H1803" s="1324"/>
      <c r="I1803" s="1324"/>
      <c r="J1803" s="2901"/>
      <c r="K1803" s="2901"/>
      <c r="L1803" s="2901"/>
    </row>
    <row r="1804" spans="1:12" s="1918" customFormat="1" ht="16.8">
      <c r="A1804" s="1319"/>
      <c r="B1804" s="1320" t="s">
        <v>4727</v>
      </c>
      <c r="C1804" s="1919">
        <v>1.2E-2</v>
      </c>
      <c r="D1804" s="1921" t="s">
        <v>583</v>
      </c>
      <c r="E1804" s="1324">
        <f>+VIAJE</f>
        <v>1200000</v>
      </c>
      <c r="F1804" s="1324"/>
      <c r="G1804" s="1324"/>
      <c r="H1804" s="1324"/>
      <c r="I1804" s="2149">
        <f>+E1804*C1804</f>
        <v>14400</v>
      </c>
      <c r="J1804" s="2901"/>
      <c r="K1804" s="2901"/>
      <c r="L1804" s="2901"/>
    </row>
    <row r="1805" spans="1:12" s="1918" customFormat="1" ht="16.8">
      <c r="A1805" s="1325" t="s">
        <v>190</v>
      </c>
      <c r="B1805" s="1326">
        <f>ROUND(SUM(F1805:I1805),0)</f>
        <v>836926</v>
      </c>
      <c r="C1805" s="1323"/>
      <c r="D1805" s="1327"/>
      <c r="E1805" s="1319"/>
      <c r="F1805" s="1324">
        <f>SUM(F1803:F1803)</f>
        <v>0</v>
      </c>
      <c r="G1805" s="1324">
        <f>SUM(G1803:G1804)</f>
        <v>822526.00079999992</v>
      </c>
      <c r="H1805" s="1324">
        <f>SUM(H1803:H1803)</f>
        <v>0</v>
      </c>
      <c r="I1805" s="2149">
        <f>+I1804</f>
        <v>14400</v>
      </c>
      <c r="J1805" s="2901"/>
      <c r="K1805" s="2901"/>
      <c r="L1805" s="2901"/>
    </row>
    <row r="1806" spans="1:12" ht="16.8">
      <c r="A1806" s="1325" t="s">
        <v>191</v>
      </c>
      <c r="B1806" s="1326">
        <f>+B1805</f>
        <v>836926</v>
      </c>
      <c r="C1806" s="1328" t="s">
        <v>150</v>
      </c>
      <c r="D1806" s="1329"/>
      <c r="E1806" s="1329"/>
      <c r="F1806" s="1329"/>
      <c r="G1806" s="1329"/>
      <c r="H1806" s="1330"/>
      <c r="I1806" s="1330"/>
    </row>
    <row r="1808" spans="1:12" s="1918" customFormat="1" ht="16.8">
      <c r="A1808" s="1318"/>
      <c r="B1808" s="3849" t="s">
        <v>6758</v>
      </c>
      <c r="C1808" s="3849"/>
      <c r="D1808" s="3849"/>
      <c r="E1808" s="3849"/>
      <c r="F1808" s="3849"/>
      <c r="G1808" s="3849"/>
      <c r="H1808" s="3849"/>
      <c r="I1808" s="3849"/>
      <c r="J1808" s="2901"/>
      <c r="K1808" s="2901"/>
      <c r="L1808" s="2901"/>
    </row>
    <row r="1809" spans="1:12" s="402" customFormat="1" ht="15" customHeight="1">
      <c r="A1809" s="1319"/>
      <c r="B1809" s="1320"/>
      <c r="C1809" s="1319" t="s">
        <v>140</v>
      </c>
      <c r="D1809" s="1319" t="s">
        <v>343</v>
      </c>
      <c r="E1809" s="1319" t="s">
        <v>344</v>
      </c>
      <c r="F1809" s="1319" t="s">
        <v>482</v>
      </c>
      <c r="G1809" s="1319" t="s">
        <v>483</v>
      </c>
      <c r="H1809" s="1319" t="s">
        <v>170</v>
      </c>
      <c r="I1809" s="1319" t="s">
        <v>171</v>
      </c>
      <c r="J1809" s="2895"/>
      <c r="K1809" s="2895"/>
      <c r="L1809" s="2895"/>
    </row>
    <row r="1810" spans="1:12" s="1918" customFormat="1" ht="18">
      <c r="A1810" s="435" t="s">
        <v>736</v>
      </c>
      <c r="B1810" s="167" t="s">
        <v>6410</v>
      </c>
      <c r="C1810" s="182">
        <v>2.5</v>
      </c>
      <c r="D1810" s="2698" t="s">
        <v>735</v>
      </c>
      <c r="E1810" s="497">
        <f>+RETRO</f>
        <v>150000</v>
      </c>
      <c r="F1810" s="1585">
        <f>+E1810*C1810</f>
        <v>375000</v>
      </c>
      <c r="G1810" s="1585"/>
      <c r="H1810" s="1585"/>
      <c r="I1810" s="184"/>
      <c r="J1810" s="2901"/>
      <c r="K1810" s="2901"/>
      <c r="L1810" s="2901"/>
    </row>
    <row r="1811" spans="1:12" s="1918" customFormat="1" ht="16.8">
      <c r="A1811" s="1319" t="s">
        <v>345</v>
      </c>
      <c r="B1811" s="1320" t="s">
        <v>6439</v>
      </c>
      <c r="C1811" s="1322">
        <v>2.5</v>
      </c>
      <c r="D1811" s="1323" t="s">
        <v>346</v>
      </c>
      <c r="E1811" s="1324">
        <f>+OFICI</f>
        <v>80479.625344</v>
      </c>
      <c r="F1811" s="1324"/>
      <c r="G1811" s="1324"/>
      <c r="H1811" s="1324">
        <f>+E1811*C1811</f>
        <v>201199.06336</v>
      </c>
      <c r="I1811" s="1324"/>
      <c r="J1811" s="2901"/>
      <c r="K1811" s="2901"/>
      <c r="L1811" s="2901"/>
    </row>
    <row r="1812" spans="1:12" s="1918" customFormat="1" ht="16.8">
      <c r="A1812" s="1319" t="s">
        <v>348</v>
      </c>
      <c r="B1812" s="1320" t="s">
        <v>6579</v>
      </c>
      <c r="C1812" s="1322">
        <v>2.5</v>
      </c>
      <c r="D1812" s="1323" t="s">
        <v>346</v>
      </c>
      <c r="E1812" s="1324">
        <f>+AYUDR</f>
        <v>50299.76584</v>
      </c>
      <c r="F1812" s="1324"/>
      <c r="G1812" s="1324"/>
      <c r="H1812" s="1324">
        <f>+E1812*C1812</f>
        <v>125749.4146</v>
      </c>
      <c r="I1812" s="1324"/>
      <c r="J1812" s="2901"/>
      <c r="K1812" s="2901"/>
      <c r="L1812" s="2901"/>
    </row>
    <row r="1813" spans="1:12" s="1918" customFormat="1" ht="16.8">
      <c r="A1813" s="1319" t="s">
        <v>172</v>
      </c>
      <c r="B1813" s="1320" t="s">
        <v>189</v>
      </c>
      <c r="C1813" s="1322">
        <v>1</v>
      </c>
      <c r="D1813" s="1323" t="s">
        <v>583</v>
      </c>
      <c r="E1813" s="1324">
        <f>+H1814*0.05</f>
        <v>16347.423898000001</v>
      </c>
      <c r="F1813" s="1324"/>
      <c r="G1813" s="1324"/>
      <c r="H1813" s="1324"/>
      <c r="I1813" s="1324">
        <f>+E1813*C1813</f>
        <v>16347.423898000001</v>
      </c>
      <c r="J1813" s="2901"/>
      <c r="K1813" s="2901"/>
      <c r="L1813" s="2901"/>
    </row>
    <row r="1814" spans="1:12" s="1918" customFormat="1" ht="16.8">
      <c r="A1814" s="1325" t="s">
        <v>190</v>
      </c>
      <c r="B1814" s="1326">
        <f>ROUND(SUM(F1814:I1814),0)</f>
        <v>718296</v>
      </c>
      <c r="C1814" s="1323"/>
      <c r="D1814" s="1327"/>
      <c r="E1814" s="1319"/>
      <c r="F1814" s="1324">
        <f>SUM(F1810:F1813)</f>
        <v>375000</v>
      </c>
      <c r="G1814" s="1324">
        <f t="shared" ref="G1814:I1814" si="53">SUM(G1810:G1813)</f>
        <v>0</v>
      </c>
      <c r="H1814" s="1324">
        <f>SUM(H1810:H1813)</f>
        <v>326948.47795999999</v>
      </c>
      <c r="I1814" s="1324">
        <f t="shared" si="53"/>
        <v>16347.423898000001</v>
      </c>
      <c r="J1814" s="2901"/>
      <c r="K1814" s="2901"/>
      <c r="L1814" s="2901"/>
    </row>
    <row r="1815" spans="1:12" ht="16.8">
      <c r="A1815" s="1325" t="s">
        <v>191</v>
      </c>
      <c r="B1815" s="1326">
        <f>+B1814</f>
        <v>718296</v>
      </c>
      <c r="C1815" s="1328" t="s">
        <v>363</v>
      </c>
      <c r="D1815" s="1329"/>
      <c r="E1815" s="1329">
        <f>+B1822*0.15</f>
        <v>1412951.0999999999</v>
      </c>
      <c r="F1815" s="1329"/>
      <c r="G1815" s="1329"/>
      <c r="H1815" s="1330"/>
      <c r="I1815" s="1330"/>
    </row>
    <row r="1816" spans="1:12" s="1918" customFormat="1" ht="15.75" customHeight="1">
      <c r="A1816" s="492"/>
      <c r="B1816" s="492"/>
      <c r="C1816" s="492"/>
      <c r="D1816" s="492"/>
      <c r="E1816" s="492"/>
      <c r="F1816" s="492"/>
      <c r="G1816" s="492"/>
      <c r="H1816" s="492"/>
      <c r="I1816" s="492"/>
      <c r="J1816" s="2901"/>
      <c r="K1816" s="2901">
        <f>0.05*1</f>
        <v>0.05</v>
      </c>
      <c r="L1816" s="2901"/>
    </row>
    <row r="1817" spans="1:12" s="1918" customFormat="1" ht="16.8">
      <c r="A1817" s="1318"/>
      <c r="B1817" s="3849" t="s">
        <v>6757</v>
      </c>
      <c r="C1817" s="3849"/>
      <c r="D1817" s="3849"/>
      <c r="E1817" s="3849"/>
      <c r="F1817" s="3849"/>
      <c r="G1817" s="3849"/>
      <c r="H1817" s="3849"/>
      <c r="I1817" s="3849"/>
      <c r="J1817" s="2901"/>
      <c r="K1817" s="2901"/>
      <c r="L1817" s="2901"/>
    </row>
    <row r="1818" spans="1:12" s="1918" customFormat="1" ht="16.8">
      <c r="A1818" s="1319"/>
      <c r="B1818" s="1320"/>
      <c r="C1818" s="1319" t="s">
        <v>140</v>
      </c>
      <c r="D1818" s="1319" t="s">
        <v>343</v>
      </c>
      <c r="E1818" s="1319" t="s">
        <v>344</v>
      </c>
      <c r="F1818" s="1319" t="s">
        <v>482</v>
      </c>
      <c r="G1818" s="1319" t="s">
        <v>483</v>
      </c>
      <c r="H1818" s="1319" t="s">
        <v>170</v>
      </c>
      <c r="I1818" s="1319" t="s">
        <v>171</v>
      </c>
      <c r="J1818" s="2901"/>
      <c r="K1818" s="2901"/>
      <c r="L1818" s="2901"/>
    </row>
    <row r="1819" spans="1:12" s="1918" customFormat="1" ht="16.8">
      <c r="A1819" s="1319"/>
      <c r="B1819" s="1320" t="s">
        <v>6756</v>
      </c>
      <c r="C1819" s="1922">
        <v>1</v>
      </c>
      <c r="D1819" s="1920" t="s">
        <v>94</v>
      </c>
      <c r="E1819" s="1324">
        <f>+'BASE 2'!D608</f>
        <v>9395674.05504</v>
      </c>
      <c r="F1819" s="1324"/>
      <c r="G1819" s="1324">
        <f>+E1819*C1819</f>
        <v>9395674.05504</v>
      </c>
      <c r="H1819" s="1324"/>
      <c r="I1819" s="1324"/>
      <c r="J1819" s="2901"/>
      <c r="K1819" s="2901"/>
      <c r="L1819" s="2901"/>
    </row>
    <row r="1820" spans="1:12" s="1918" customFormat="1" ht="16.8">
      <c r="A1820" s="1319"/>
      <c r="B1820" s="1320" t="s">
        <v>4727</v>
      </c>
      <c r="C1820" s="1919">
        <v>0.02</v>
      </c>
      <c r="D1820" s="1921" t="s">
        <v>583</v>
      </c>
      <c r="E1820" s="1324">
        <f>+VIAJE</f>
        <v>1200000</v>
      </c>
      <c r="F1820" s="1324"/>
      <c r="G1820" s="1324"/>
      <c r="H1820" s="1324"/>
      <c r="I1820" s="1324">
        <f>+E1820*C1820</f>
        <v>24000</v>
      </c>
      <c r="J1820" s="2901"/>
      <c r="K1820" s="2901"/>
      <c r="L1820" s="2901"/>
    </row>
    <row r="1821" spans="1:12" s="1918" customFormat="1" ht="16.8">
      <c r="A1821" s="1325" t="s">
        <v>190</v>
      </c>
      <c r="B1821" s="1326">
        <f>ROUND(SUM(F1821:I1821),0)</f>
        <v>9419674</v>
      </c>
      <c r="C1821" s="1323"/>
      <c r="D1821" s="1327"/>
      <c r="E1821" s="1319"/>
      <c r="F1821" s="1324">
        <f>SUM(F1819:F1819)</f>
        <v>0</v>
      </c>
      <c r="G1821" s="1324">
        <f>SUM(G1819:G1820)</f>
        <v>9395674.05504</v>
      </c>
      <c r="H1821" s="1324">
        <f>SUM(H1819:H1819)</f>
        <v>0</v>
      </c>
      <c r="I1821" s="1324">
        <f>+I1820</f>
        <v>24000</v>
      </c>
      <c r="J1821" s="2901"/>
      <c r="K1821" s="2901"/>
      <c r="L1821" s="2901"/>
    </row>
    <row r="1822" spans="1:12" ht="16.8">
      <c r="A1822" s="1325" t="s">
        <v>191</v>
      </c>
      <c r="B1822" s="1326">
        <f>+B1821</f>
        <v>9419674</v>
      </c>
      <c r="C1822" s="1328" t="s">
        <v>363</v>
      </c>
      <c r="D1822" s="1329"/>
      <c r="E1822" s="1329"/>
      <c r="F1822" s="1329"/>
      <c r="G1822" s="1329"/>
      <c r="H1822" s="1330"/>
      <c r="I1822" s="1330"/>
    </row>
    <row r="1824" spans="1:12" s="1918" customFormat="1" ht="16.8">
      <c r="A1824" s="1318"/>
      <c r="B1824" s="3849" t="s">
        <v>6764</v>
      </c>
      <c r="C1824" s="3849"/>
      <c r="D1824" s="3849"/>
      <c r="E1824" s="3849"/>
      <c r="F1824" s="3849"/>
      <c r="G1824" s="3849"/>
      <c r="H1824" s="3849"/>
      <c r="I1824" s="3849"/>
      <c r="J1824" s="2901"/>
      <c r="K1824" s="2901"/>
      <c r="L1824" s="2901"/>
    </row>
    <row r="1825" spans="1:12" s="402" customFormat="1" ht="15" customHeight="1">
      <c r="A1825" s="1319"/>
      <c r="B1825" s="1320"/>
      <c r="C1825" s="1319" t="s">
        <v>140</v>
      </c>
      <c r="D1825" s="1319" t="s">
        <v>343</v>
      </c>
      <c r="E1825" s="1319" t="s">
        <v>344</v>
      </c>
      <c r="F1825" s="1319" t="s">
        <v>482</v>
      </c>
      <c r="G1825" s="1319" t="s">
        <v>483</v>
      </c>
      <c r="H1825" s="1319" t="s">
        <v>170</v>
      </c>
      <c r="I1825" s="1319" t="s">
        <v>171</v>
      </c>
      <c r="J1825" s="2895"/>
      <c r="K1825" s="2895"/>
      <c r="L1825" s="2895"/>
    </row>
    <row r="1826" spans="1:12" s="1918" customFormat="1" ht="18">
      <c r="A1826" s="435" t="s">
        <v>736</v>
      </c>
      <c r="B1826" s="167" t="s">
        <v>6410</v>
      </c>
      <c r="C1826" s="182">
        <v>1</v>
      </c>
      <c r="D1826" s="2698" t="s">
        <v>735</v>
      </c>
      <c r="E1826" s="497">
        <f>+RETRO</f>
        <v>150000</v>
      </c>
      <c r="F1826" s="1585">
        <f>+E1826*C1826</f>
        <v>150000</v>
      </c>
      <c r="G1826" s="1585"/>
      <c r="H1826" s="1585"/>
      <c r="I1826" s="184"/>
      <c r="J1826" s="2901"/>
      <c r="K1826" s="2901"/>
      <c r="L1826" s="2901"/>
    </row>
    <row r="1827" spans="1:12" s="1918" customFormat="1" ht="16.8">
      <c r="A1827" s="1319" t="s">
        <v>345</v>
      </c>
      <c r="B1827" s="1320" t="s">
        <v>6439</v>
      </c>
      <c r="C1827" s="1322">
        <v>1.4</v>
      </c>
      <c r="D1827" s="1323" t="s">
        <v>346</v>
      </c>
      <c r="E1827" s="1324">
        <f>+OFICI</f>
        <v>80479.625344</v>
      </c>
      <c r="F1827" s="1324"/>
      <c r="G1827" s="1324"/>
      <c r="H1827" s="1324">
        <f>+E1827*C1827</f>
        <v>112671.47548159999</v>
      </c>
      <c r="I1827" s="1324"/>
      <c r="J1827" s="2901"/>
      <c r="K1827" s="2901"/>
      <c r="L1827" s="2901"/>
    </row>
    <row r="1828" spans="1:12" s="1918" customFormat="1" ht="16.8">
      <c r="A1828" s="1319" t="s">
        <v>348</v>
      </c>
      <c r="B1828" s="1320" t="s">
        <v>6579</v>
      </c>
      <c r="C1828" s="1322">
        <v>1.4</v>
      </c>
      <c r="D1828" s="1323" t="s">
        <v>346</v>
      </c>
      <c r="E1828" s="1324">
        <f>+AYUDR</f>
        <v>50299.76584</v>
      </c>
      <c r="F1828" s="1324"/>
      <c r="G1828" s="1324"/>
      <c r="H1828" s="1324">
        <f>+E1828*C1828</f>
        <v>70419.672175999993</v>
      </c>
      <c r="I1828" s="1324"/>
      <c r="J1828" s="2901"/>
      <c r="K1828" s="2901"/>
      <c r="L1828" s="2901"/>
    </row>
    <row r="1829" spans="1:12" s="1918" customFormat="1" ht="16.8">
      <c r="A1829" s="1319" t="s">
        <v>172</v>
      </c>
      <c r="B1829" s="1320" t="s">
        <v>189</v>
      </c>
      <c r="C1829" s="1322">
        <v>1</v>
      </c>
      <c r="D1829" s="1323" t="s">
        <v>583</v>
      </c>
      <c r="E1829" s="1324">
        <f>+H1830*0.05</f>
        <v>9154.5573828800007</v>
      </c>
      <c r="F1829" s="1324"/>
      <c r="G1829" s="1324"/>
      <c r="H1829" s="1324"/>
      <c r="I1829" s="1324">
        <f>+E1829*C1829</f>
        <v>9154.5573828800007</v>
      </c>
      <c r="J1829" s="2901"/>
      <c r="K1829" s="2901"/>
      <c r="L1829" s="2901"/>
    </row>
    <row r="1830" spans="1:12" s="1918" customFormat="1" ht="16.8">
      <c r="A1830" s="1325" t="s">
        <v>190</v>
      </c>
      <c r="B1830" s="1326">
        <f>ROUND(SUM(F1830:I1830),0)</f>
        <v>342246</v>
      </c>
      <c r="C1830" s="1323"/>
      <c r="D1830" s="1327"/>
      <c r="E1830" s="1319"/>
      <c r="F1830" s="1324">
        <f>SUM(F1826:F1829)</f>
        <v>150000</v>
      </c>
      <c r="G1830" s="1324">
        <f t="shared" ref="G1830:I1830" si="54">SUM(G1826:G1829)</f>
        <v>0</v>
      </c>
      <c r="H1830" s="1324">
        <f t="shared" si="54"/>
        <v>183091.1476576</v>
      </c>
      <c r="I1830" s="1324">
        <f t="shared" si="54"/>
        <v>9154.5573828800007</v>
      </c>
      <c r="J1830" s="2901"/>
      <c r="K1830" s="2901"/>
      <c r="L1830" s="2901"/>
    </row>
    <row r="1831" spans="1:12" ht="16.8">
      <c r="A1831" s="1325" t="s">
        <v>191</v>
      </c>
      <c r="B1831" s="1326">
        <f>+B1830</f>
        <v>342246</v>
      </c>
      <c r="C1831" s="1328" t="s">
        <v>150</v>
      </c>
      <c r="D1831" s="1329"/>
      <c r="E1831" s="1329">
        <f>+B1838*0.15</f>
        <v>341957.7</v>
      </c>
      <c r="F1831" s="1329"/>
      <c r="G1831" s="1329"/>
      <c r="H1831" s="1330"/>
      <c r="I1831" s="1330"/>
    </row>
    <row r="1832" spans="1:12" s="1918" customFormat="1" ht="15.75" customHeight="1">
      <c r="A1832" s="492"/>
      <c r="B1832" s="492"/>
      <c r="C1832" s="492"/>
      <c r="D1832" s="492"/>
      <c r="E1832" s="492"/>
      <c r="F1832" s="492"/>
      <c r="G1832" s="492"/>
      <c r="H1832" s="492"/>
      <c r="I1832" s="492"/>
      <c r="J1832" s="2901"/>
      <c r="K1832" s="2901">
        <f>0.05*1</f>
        <v>0.05</v>
      </c>
      <c r="L1832" s="2901"/>
    </row>
    <row r="1833" spans="1:12" s="1918" customFormat="1" ht="16.8">
      <c r="A1833" s="1318"/>
      <c r="B1833" s="3849" t="s">
        <v>6763</v>
      </c>
      <c r="C1833" s="3849"/>
      <c r="D1833" s="3849"/>
      <c r="E1833" s="3849"/>
      <c r="F1833" s="3849"/>
      <c r="G1833" s="3849"/>
      <c r="H1833" s="3849"/>
      <c r="I1833" s="3849"/>
      <c r="J1833" s="2901"/>
      <c r="K1833" s="2901"/>
      <c r="L1833" s="2901"/>
    </row>
    <row r="1834" spans="1:12" s="1918" customFormat="1" ht="16.8">
      <c r="A1834" s="1319"/>
      <c r="B1834" s="1320"/>
      <c r="C1834" s="1319" t="s">
        <v>140</v>
      </c>
      <c r="D1834" s="1319" t="s">
        <v>343</v>
      </c>
      <c r="E1834" s="1319" t="s">
        <v>344</v>
      </c>
      <c r="F1834" s="1319" t="s">
        <v>482</v>
      </c>
      <c r="G1834" s="1319" t="s">
        <v>483</v>
      </c>
      <c r="H1834" s="1319" t="s">
        <v>170</v>
      </c>
      <c r="I1834" s="1319" t="s">
        <v>171</v>
      </c>
      <c r="J1834" s="2901"/>
      <c r="K1834" s="2901"/>
      <c r="L1834" s="2901"/>
    </row>
    <row r="1835" spans="1:12" s="1918" customFormat="1" ht="16.8">
      <c r="A1835" s="1319"/>
      <c r="B1835" s="1320" t="s">
        <v>6762</v>
      </c>
      <c r="C1835" s="1922">
        <v>1</v>
      </c>
      <c r="D1835" s="1920" t="s">
        <v>133</v>
      </c>
      <c r="E1835" s="1324">
        <f>+'BASE 2'!D607</f>
        <v>2265317.5104</v>
      </c>
      <c r="F1835" s="1324"/>
      <c r="G1835" s="1324">
        <f>+E1835*C1835</f>
        <v>2265317.5104</v>
      </c>
      <c r="H1835" s="1324"/>
      <c r="I1835" s="1324"/>
      <c r="J1835" s="2901"/>
      <c r="K1835" s="2901"/>
      <c r="L1835" s="2901"/>
    </row>
    <row r="1836" spans="1:12" s="1918" customFormat="1" ht="16.8">
      <c r="A1836" s="1319"/>
      <c r="B1836" s="1320" t="s">
        <v>4727</v>
      </c>
      <c r="C1836" s="1919">
        <v>1.2E-2</v>
      </c>
      <c r="D1836" s="1921" t="s">
        <v>583</v>
      </c>
      <c r="E1836" s="1324">
        <f>+VIAJE</f>
        <v>1200000</v>
      </c>
      <c r="F1836" s="1324"/>
      <c r="G1836" s="1324"/>
      <c r="H1836" s="1324"/>
      <c r="I1836" s="1324">
        <f>+E1836*C1836</f>
        <v>14400</v>
      </c>
      <c r="J1836" s="2901"/>
      <c r="K1836" s="2901"/>
      <c r="L1836" s="2901"/>
    </row>
    <row r="1837" spans="1:12" s="1918" customFormat="1" ht="16.8">
      <c r="A1837" s="1325" t="s">
        <v>190</v>
      </c>
      <c r="B1837" s="1326">
        <f>ROUND(SUM(F1837:I1837),0)</f>
        <v>2279718</v>
      </c>
      <c r="C1837" s="1323"/>
      <c r="D1837" s="1327"/>
      <c r="E1837" s="1319"/>
      <c r="F1837" s="1324">
        <f>SUM(F1835:F1835)</f>
        <v>0</v>
      </c>
      <c r="G1837" s="1324">
        <f>SUM(G1835:G1836)</f>
        <v>2265317.5104</v>
      </c>
      <c r="H1837" s="1324">
        <f>SUM(H1835:H1835)</f>
        <v>0</v>
      </c>
      <c r="I1837" s="1324">
        <f>+I1836</f>
        <v>14400</v>
      </c>
      <c r="J1837" s="2901"/>
      <c r="K1837" s="2901"/>
      <c r="L1837" s="2901"/>
    </row>
    <row r="1838" spans="1:12" ht="16.8">
      <c r="A1838" s="1325" t="s">
        <v>191</v>
      </c>
      <c r="B1838" s="1326">
        <f>+B1837</f>
        <v>2279718</v>
      </c>
      <c r="C1838" s="1328" t="s">
        <v>150</v>
      </c>
      <c r="D1838" s="1329"/>
      <c r="E1838" s="1329"/>
      <c r="F1838" s="1329"/>
      <c r="G1838" s="1329"/>
      <c r="H1838" s="1330"/>
      <c r="I1838" s="1330"/>
    </row>
    <row r="1840" spans="1:12" s="1918" customFormat="1" ht="16.8">
      <c r="A1840" s="1318"/>
      <c r="B1840" s="3849" t="s">
        <v>6767</v>
      </c>
      <c r="C1840" s="3849"/>
      <c r="D1840" s="3849"/>
      <c r="E1840" s="3849"/>
      <c r="F1840" s="3849"/>
      <c r="G1840" s="3849"/>
      <c r="H1840" s="3849"/>
      <c r="I1840" s="3849"/>
      <c r="J1840" s="2901"/>
      <c r="K1840" s="2901"/>
      <c r="L1840" s="2901"/>
    </row>
    <row r="1841" spans="1:12" s="1918" customFormat="1" ht="16.8">
      <c r="A1841" s="1319"/>
      <c r="B1841" s="1320"/>
      <c r="C1841" s="1319" t="s">
        <v>140</v>
      </c>
      <c r="D1841" s="1319" t="s">
        <v>343</v>
      </c>
      <c r="E1841" s="1319" t="s">
        <v>344</v>
      </c>
      <c r="F1841" s="1319" t="s">
        <v>482</v>
      </c>
      <c r="G1841" s="1319" t="s">
        <v>483</v>
      </c>
      <c r="H1841" s="1319" t="s">
        <v>170</v>
      </c>
      <c r="I1841" s="1319" t="s">
        <v>171</v>
      </c>
      <c r="J1841" s="2901"/>
      <c r="K1841" s="2901"/>
      <c r="L1841" s="2901"/>
    </row>
    <row r="1842" spans="1:12" s="1918" customFormat="1" ht="16.8">
      <c r="A1842" s="1319" t="s">
        <v>345</v>
      </c>
      <c r="B1842" s="1320" t="s">
        <v>965</v>
      </c>
      <c r="C1842" s="1322">
        <v>1.01</v>
      </c>
      <c r="D1842" s="1323" t="s">
        <v>346</v>
      </c>
      <c r="E1842" s="1324">
        <f>+OFICI</f>
        <v>80479.625344</v>
      </c>
      <c r="F1842" s="1324"/>
      <c r="G1842" s="1324"/>
      <c r="H1842" s="1324">
        <f>+E1842*C1842</f>
        <v>81284.421597439999</v>
      </c>
      <c r="I1842" s="1324"/>
      <c r="J1842" s="2901"/>
      <c r="K1842" s="2901"/>
      <c r="L1842" s="2901"/>
    </row>
    <row r="1843" spans="1:12" s="1918" customFormat="1" ht="16.8">
      <c r="A1843" s="1319" t="s">
        <v>348</v>
      </c>
      <c r="B1843" s="1320" t="s">
        <v>6579</v>
      </c>
      <c r="C1843" s="1322">
        <v>1.01</v>
      </c>
      <c r="D1843" s="1323" t="s">
        <v>346</v>
      </c>
      <c r="E1843" s="1324">
        <f>+AYUDR</f>
        <v>50299.76584</v>
      </c>
      <c r="F1843" s="1324"/>
      <c r="G1843" s="1324"/>
      <c r="H1843" s="1324">
        <f>+E1843*C1843</f>
        <v>50802.763498400003</v>
      </c>
      <c r="I1843" s="1324"/>
      <c r="J1843" s="2901"/>
      <c r="K1843" s="2901"/>
      <c r="L1843" s="2901"/>
    </row>
    <row r="1844" spans="1:12" s="1918" customFormat="1" ht="16.8">
      <c r="A1844" s="1319" t="s">
        <v>172</v>
      </c>
      <c r="B1844" s="1320" t="s">
        <v>189</v>
      </c>
      <c r="C1844" s="1322">
        <v>1</v>
      </c>
      <c r="D1844" s="1323" t="s">
        <v>583</v>
      </c>
      <c r="E1844" s="1324">
        <f>+H1845*0.05</f>
        <v>6604.3592547920016</v>
      </c>
      <c r="F1844" s="1324"/>
      <c r="G1844" s="1324"/>
      <c r="H1844" s="1324"/>
      <c r="I1844" s="1324">
        <f>+E1844*C1844</f>
        <v>6604.3592547920016</v>
      </c>
      <c r="J1844" s="2901"/>
      <c r="K1844" s="2901"/>
      <c r="L1844" s="2901"/>
    </row>
    <row r="1845" spans="1:12" s="1918" customFormat="1" ht="16.8">
      <c r="A1845" s="1325" t="s">
        <v>190</v>
      </c>
      <c r="B1845" s="1326">
        <f>ROUND(SUM(F1845:I1845),0)</f>
        <v>138692</v>
      </c>
      <c r="C1845" s="1323"/>
      <c r="D1845" s="1327"/>
      <c r="E1845" s="1319"/>
      <c r="F1845" s="1324">
        <f>SUM(F1842:F1844)</f>
        <v>0</v>
      </c>
      <c r="G1845" s="1324">
        <f>SUM(G1842:G1843)</f>
        <v>0</v>
      </c>
      <c r="H1845" s="1324">
        <f>SUM(H1842:H1843)</f>
        <v>132087.18509584002</v>
      </c>
      <c r="I1845" s="1324">
        <f>SUM(I1842:I1844)</f>
        <v>6604.3592547920016</v>
      </c>
      <c r="J1845" s="2901"/>
      <c r="K1845" s="2901"/>
      <c r="L1845" s="2901"/>
    </row>
    <row r="1846" spans="1:12" ht="16.8">
      <c r="A1846" s="1325" t="s">
        <v>191</v>
      </c>
      <c r="B1846" s="1326">
        <f>+B1845</f>
        <v>138692</v>
      </c>
      <c r="C1846" s="1328" t="s">
        <v>150</v>
      </c>
      <c r="D1846" s="1329"/>
      <c r="E1846" s="1329">
        <f>+B1853*0.15</f>
        <v>138079.04999999999</v>
      </c>
      <c r="F1846" s="1329"/>
      <c r="G1846" s="1329"/>
      <c r="H1846" s="1330"/>
      <c r="I1846" s="1330"/>
    </row>
    <row r="1847" spans="1:12" s="1918" customFormat="1" ht="15.75" customHeight="1">
      <c r="A1847" s="492"/>
      <c r="B1847" s="492"/>
      <c r="C1847" s="492"/>
      <c r="D1847" s="492"/>
      <c r="E1847" s="492"/>
      <c r="F1847" s="492"/>
      <c r="G1847" s="492"/>
      <c r="H1847" s="492"/>
      <c r="I1847" s="492"/>
      <c r="J1847" s="2901"/>
      <c r="K1847" s="2901">
        <f>0.05*1</f>
        <v>0.05</v>
      </c>
      <c r="L1847" s="2901"/>
    </row>
    <row r="1848" spans="1:12" s="1918" customFormat="1" ht="16.8">
      <c r="A1848" s="1318"/>
      <c r="B1848" s="3849" t="s">
        <v>4855</v>
      </c>
      <c r="C1848" s="3849"/>
      <c r="D1848" s="3849"/>
      <c r="E1848" s="3849"/>
      <c r="F1848" s="3849"/>
      <c r="G1848" s="3849"/>
      <c r="H1848" s="3849"/>
      <c r="I1848" s="3849"/>
      <c r="J1848" s="2901"/>
      <c r="K1848" s="2901"/>
      <c r="L1848" s="2901"/>
    </row>
    <row r="1849" spans="1:12" s="1918" customFormat="1" ht="16.8">
      <c r="A1849" s="1319"/>
      <c r="B1849" s="1320"/>
      <c r="C1849" s="1319" t="s">
        <v>140</v>
      </c>
      <c r="D1849" s="1319" t="s">
        <v>343</v>
      </c>
      <c r="E1849" s="1319" t="s">
        <v>344</v>
      </c>
      <c r="F1849" s="1319" t="s">
        <v>482</v>
      </c>
      <c r="G1849" s="1319" t="s">
        <v>483</v>
      </c>
      <c r="H1849" s="1319" t="s">
        <v>170</v>
      </c>
      <c r="I1849" s="1319" t="s">
        <v>171</v>
      </c>
      <c r="J1849" s="2901"/>
      <c r="K1849" s="2901"/>
      <c r="L1849" s="2901"/>
    </row>
    <row r="1850" spans="1:12" s="1918" customFormat="1" ht="16.8">
      <c r="A1850" s="1319"/>
      <c r="B1850" s="1320" t="s">
        <v>6766</v>
      </c>
      <c r="C1850" s="1922">
        <v>1</v>
      </c>
      <c r="D1850" s="1920" t="s">
        <v>133</v>
      </c>
      <c r="E1850" s="1324">
        <f>+'BASE 2'!D609</f>
        <v>906127.00415999989</v>
      </c>
      <c r="F1850" s="1324"/>
      <c r="G1850" s="1324">
        <f>+E1850*C1850</f>
        <v>906127.00415999989</v>
      </c>
      <c r="H1850" s="1324"/>
      <c r="I1850" s="1324"/>
      <c r="J1850" s="2901"/>
      <c r="K1850" s="2901"/>
      <c r="L1850" s="2901"/>
    </row>
    <row r="1851" spans="1:12" s="1918" customFormat="1" ht="16.8">
      <c r="A1851" s="1319"/>
      <c r="B1851" s="1320" t="s">
        <v>4727</v>
      </c>
      <c r="C1851" s="1919">
        <v>1.2E-2</v>
      </c>
      <c r="D1851" s="1921" t="s">
        <v>583</v>
      </c>
      <c r="E1851" s="1324">
        <f>+VIAJE</f>
        <v>1200000</v>
      </c>
      <c r="F1851" s="1324"/>
      <c r="G1851" s="1324"/>
      <c r="H1851" s="1324"/>
      <c r="I1851" s="2149">
        <f>+E1851*C1851</f>
        <v>14400</v>
      </c>
      <c r="J1851" s="2901"/>
      <c r="K1851" s="2901"/>
      <c r="L1851" s="2901"/>
    </row>
    <row r="1852" spans="1:12" s="1918" customFormat="1" ht="16.8">
      <c r="A1852" s="1325" t="s">
        <v>190</v>
      </c>
      <c r="B1852" s="1326">
        <f>ROUND(SUM(F1852:I1852),0)</f>
        <v>920527</v>
      </c>
      <c r="C1852" s="1323"/>
      <c r="D1852" s="1327"/>
      <c r="E1852" s="1319"/>
      <c r="F1852" s="1324">
        <f>SUM(F1850:F1850)</f>
        <v>0</v>
      </c>
      <c r="G1852" s="1324">
        <f>SUM(G1850:G1851)</f>
        <v>906127.00415999989</v>
      </c>
      <c r="H1852" s="1324">
        <f>SUM(H1850:H1850)</f>
        <v>0</v>
      </c>
      <c r="I1852" s="2149">
        <f>+I1851</f>
        <v>14400</v>
      </c>
      <c r="J1852" s="2901"/>
      <c r="K1852" s="2901"/>
      <c r="L1852" s="2901"/>
    </row>
    <row r="1853" spans="1:12" ht="16.8">
      <c r="A1853" s="1325" t="s">
        <v>191</v>
      </c>
      <c r="B1853" s="1326">
        <f>+B1852</f>
        <v>920527</v>
      </c>
      <c r="C1853" s="1328" t="s">
        <v>150</v>
      </c>
      <c r="D1853" s="1329"/>
      <c r="E1853" s="1329"/>
      <c r="F1853" s="1329"/>
      <c r="G1853" s="1329"/>
      <c r="H1853" s="1330"/>
      <c r="I1853" s="1330"/>
    </row>
    <row r="1855" spans="1:12" s="1918" customFormat="1" ht="16.8">
      <c r="A1855" s="1318"/>
      <c r="B1855" s="3849" t="s">
        <v>4853</v>
      </c>
      <c r="C1855" s="3849"/>
      <c r="D1855" s="3849"/>
      <c r="E1855" s="3849"/>
      <c r="F1855" s="3849"/>
      <c r="G1855" s="3849"/>
      <c r="H1855" s="3849"/>
      <c r="I1855" s="3849"/>
      <c r="J1855" s="2901"/>
      <c r="K1855" s="2901"/>
      <c r="L1855" s="2901"/>
    </row>
    <row r="1856" spans="1:12" s="1918" customFormat="1" ht="16.8">
      <c r="A1856" s="1319"/>
      <c r="B1856" s="1320"/>
      <c r="C1856" s="1319" t="s">
        <v>140</v>
      </c>
      <c r="D1856" s="1319" t="s">
        <v>343</v>
      </c>
      <c r="E1856" s="1319" t="s">
        <v>344</v>
      </c>
      <c r="F1856" s="1319" t="s">
        <v>482</v>
      </c>
      <c r="G1856" s="1319" t="s">
        <v>483</v>
      </c>
      <c r="H1856" s="1319" t="s">
        <v>170</v>
      </c>
      <c r="I1856" s="1319" t="s">
        <v>171</v>
      </c>
      <c r="J1856" s="2901"/>
      <c r="K1856" s="2901"/>
      <c r="L1856" s="2901"/>
    </row>
    <row r="1857" spans="1:12" s="1918" customFormat="1" ht="16.8">
      <c r="A1857" s="1319" t="s">
        <v>345</v>
      </c>
      <c r="B1857" s="1320" t="s">
        <v>6439</v>
      </c>
      <c r="C1857" s="1322">
        <v>0.33</v>
      </c>
      <c r="D1857" s="1323" t="s">
        <v>346</v>
      </c>
      <c r="E1857" s="1324">
        <f>+OFICI</f>
        <v>80479.625344</v>
      </c>
      <c r="F1857" s="1324"/>
      <c r="G1857" s="1324"/>
      <c r="H1857" s="1324">
        <f>+E1857*C1857</f>
        <v>26558.276363520003</v>
      </c>
      <c r="I1857" s="1324"/>
      <c r="J1857" s="2901"/>
      <c r="K1857" s="2901"/>
      <c r="L1857" s="2901"/>
    </row>
    <row r="1858" spans="1:12" s="1918" customFormat="1" ht="16.8">
      <c r="A1858" s="1319" t="s">
        <v>348</v>
      </c>
      <c r="B1858" s="1320" t="s">
        <v>6579</v>
      </c>
      <c r="C1858" s="1322">
        <v>0.33</v>
      </c>
      <c r="D1858" s="1323" t="s">
        <v>346</v>
      </c>
      <c r="E1858" s="1324">
        <f>+AYUDR</f>
        <v>50299.76584</v>
      </c>
      <c r="F1858" s="1324"/>
      <c r="G1858" s="1324"/>
      <c r="H1858" s="1324">
        <f>+E1858*C1858</f>
        <v>16598.922727200003</v>
      </c>
      <c r="I1858" s="1324"/>
      <c r="J1858" s="2901"/>
      <c r="K1858" s="2901"/>
      <c r="L1858" s="2901"/>
    </row>
    <row r="1859" spans="1:12" s="1918" customFormat="1" ht="16.8">
      <c r="A1859" s="1319" t="s">
        <v>172</v>
      </c>
      <c r="B1859" s="1320" t="s">
        <v>189</v>
      </c>
      <c r="C1859" s="1322">
        <v>1</v>
      </c>
      <c r="D1859" s="1323" t="s">
        <v>583</v>
      </c>
      <c r="E1859" s="1324">
        <f>+H1860*0.05</f>
        <v>2157.8599545360007</v>
      </c>
      <c r="F1859" s="1324"/>
      <c r="G1859" s="1324"/>
      <c r="H1859" s="1324"/>
      <c r="I1859" s="1324">
        <f>+E1859*C1859</f>
        <v>2157.8599545360007</v>
      </c>
      <c r="J1859" s="2901"/>
      <c r="K1859" s="2901"/>
      <c r="L1859" s="2901"/>
    </row>
    <row r="1860" spans="1:12" s="1918" customFormat="1" ht="16.8">
      <c r="A1860" s="1325" t="s">
        <v>190</v>
      </c>
      <c r="B1860" s="1326">
        <f>ROUND(SUM(F1860:I1860),0)</f>
        <v>45315</v>
      </c>
      <c r="C1860" s="1323"/>
      <c r="D1860" s="1327"/>
      <c r="E1860" s="1319"/>
      <c r="F1860" s="1324">
        <f>SUM(F1857:F1859)</f>
        <v>0</v>
      </c>
      <c r="G1860" s="1324">
        <f>SUM(G1857:G1858)</f>
        <v>0</v>
      </c>
      <c r="H1860" s="1324">
        <f>SUM(H1857:H1858)</f>
        <v>43157.199090720009</v>
      </c>
      <c r="I1860" s="1324">
        <f>SUM(I1857:I1859)</f>
        <v>2157.8599545360007</v>
      </c>
      <c r="J1860" s="2901"/>
      <c r="K1860" s="2901"/>
      <c r="L1860" s="2901"/>
    </row>
    <row r="1861" spans="1:12" ht="16.8">
      <c r="A1861" s="1325" t="s">
        <v>191</v>
      </c>
      <c r="B1861" s="1326">
        <f>+B1860</f>
        <v>45315</v>
      </c>
      <c r="C1861" s="1328" t="s">
        <v>150</v>
      </c>
      <c r="D1861" s="1329"/>
      <c r="E1861" s="1329">
        <f>+B1868*0.15</f>
        <v>45000</v>
      </c>
      <c r="F1861" s="1329"/>
      <c r="G1861" s="1329"/>
      <c r="H1861" s="1330"/>
      <c r="I1861" s="1330"/>
    </row>
    <row r="1862" spans="1:12" s="1918" customFormat="1" ht="15.75" customHeight="1">
      <c r="A1862" s="492"/>
      <c r="B1862" s="492"/>
      <c r="C1862" s="492"/>
      <c r="D1862" s="492"/>
      <c r="E1862" s="492"/>
      <c r="F1862" s="492"/>
      <c r="G1862" s="492"/>
      <c r="H1862" s="492"/>
      <c r="I1862" s="492"/>
      <c r="J1862" s="2901"/>
      <c r="K1862" s="2901">
        <f>0.05*1</f>
        <v>0.05</v>
      </c>
      <c r="L1862" s="2901"/>
    </row>
    <row r="1863" spans="1:12" s="1918" customFormat="1" ht="16.8">
      <c r="A1863" s="1318"/>
      <c r="B1863" s="3849" t="s">
        <v>4852</v>
      </c>
      <c r="C1863" s="3849"/>
      <c r="D1863" s="3849"/>
      <c r="E1863" s="3849"/>
      <c r="F1863" s="3849"/>
      <c r="G1863" s="3849"/>
      <c r="H1863" s="3849"/>
      <c r="I1863" s="3849"/>
      <c r="J1863" s="2901"/>
      <c r="K1863" s="2901"/>
      <c r="L1863" s="2901"/>
    </row>
    <row r="1864" spans="1:12" s="1918" customFormat="1" ht="15" customHeight="1">
      <c r="A1864" s="1319"/>
      <c r="B1864" s="1320"/>
      <c r="C1864" s="1319" t="s">
        <v>140</v>
      </c>
      <c r="D1864" s="1319" t="s">
        <v>343</v>
      </c>
      <c r="E1864" s="1319" t="s">
        <v>344</v>
      </c>
      <c r="F1864" s="1319" t="s">
        <v>482</v>
      </c>
      <c r="G1864" s="1319" t="s">
        <v>483</v>
      </c>
      <c r="H1864" s="1319" t="s">
        <v>170</v>
      </c>
      <c r="I1864" s="1319" t="s">
        <v>171</v>
      </c>
      <c r="J1864" s="2901"/>
      <c r="K1864" s="2901"/>
      <c r="L1864" s="2901"/>
    </row>
    <row r="1865" spans="1:12" s="1918" customFormat="1" ht="16.8">
      <c r="A1865" s="1319"/>
      <c r="B1865" s="1335" t="s">
        <v>4854</v>
      </c>
      <c r="C1865" s="1922">
        <v>1</v>
      </c>
      <c r="D1865" s="1920" t="s">
        <v>133</v>
      </c>
      <c r="E1865" s="1324">
        <f>+'BASE 2'!D347</f>
        <v>285600</v>
      </c>
      <c r="F1865" s="1324"/>
      <c r="G1865" s="1324">
        <f>+E1865*C1865</f>
        <v>285600</v>
      </c>
      <c r="H1865" s="1324"/>
      <c r="I1865" s="1324"/>
      <c r="J1865" s="2901"/>
      <c r="K1865" s="2901"/>
      <c r="L1865" s="2901"/>
    </row>
    <row r="1866" spans="1:12" s="1918" customFormat="1" ht="16.8">
      <c r="A1866" s="1319"/>
      <c r="B1866" s="1320" t="s">
        <v>4727</v>
      </c>
      <c r="C1866" s="1919">
        <v>1.2E-2</v>
      </c>
      <c r="D1866" s="1921" t="s">
        <v>583</v>
      </c>
      <c r="E1866" s="1324">
        <f>+VIAJE</f>
        <v>1200000</v>
      </c>
      <c r="F1866" s="1324"/>
      <c r="G1866" s="1324"/>
      <c r="H1866" s="1324"/>
      <c r="I1866" s="1324">
        <f>+E1866*C1866</f>
        <v>14400</v>
      </c>
      <c r="J1866" s="2901"/>
      <c r="K1866" s="2901"/>
      <c r="L1866" s="2901"/>
    </row>
    <row r="1867" spans="1:12" s="1918" customFormat="1" ht="16.8">
      <c r="A1867" s="1325" t="s">
        <v>190</v>
      </c>
      <c r="B1867" s="1326">
        <f>ROUND(SUM(F1867:I1867),0)</f>
        <v>300000</v>
      </c>
      <c r="C1867" s="1323"/>
      <c r="D1867" s="1327"/>
      <c r="E1867" s="1319"/>
      <c r="F1867" s="1324">
        <f>SUM(F1865:F1865)</f>
        <v>0</v>
      </c>
      <c r="G1867" s="1324">
        <f>SUM(G1865:G1866)</f>
        <v>285600</v>
      </c>
      <c r="H1867" s="1324">
        <f>SUM(H1865:H1865)</f>
        <v>0</v>
      </c>
      <c r="I1867" s="1324">
        <f>+I1866</f>
        <v>14400</v>
      </c>
      <c r="J1867" s="2901"/>
      <c r="K1867" s="2901"/>
      <c r="L1867" s="2901"/>
    </row>
    <row r="1868" spans="1:12" ht="16.8">
      <c r="A1868" s="1325" t="s">
        <v>191</v>
      </c>
      <c r="B1868" s="1326">
        <f>+B1867</f>
        <v>300000</v>
      </c>
      <c r="C1868" s="1328" t="s">
        <v>150</v>
      </c>
      <c r="D1868" s="1329"/>
      <c r="E1868" s="1329"/>
      <c r="F1868" s="1329"/>
      <c r="G1868" s="1329"/>
      <c r="H1868" s="1330"/>
      <c r="I1868" s="1330"/>
    </row>
    <row r="1870" spans="1:12" s="1918" customFormat="1" ht="16.8">
      <c r="A1870" s="1318"/>
      <c r="B1870" s="3849" t="s">
        <v>4851</v>
      </c>
      <c r="C1870" s="3849"/>
      <c r="D1870" s="3849"/>
      <c r="E1870" s="3849"/>
      <c r="F1870" s="3849"/>
      <c r="G1870" s="3849"/>
      <c r="H1870" s="3849"/>
      <c r="I1870" s="3849"/>
      <c r="J1870" s="2901"/>
      <c r="K1870" s="2901"/>
      <c r="L1870" s="2901"/>
    </row>
    <row r="1871" spans="1:12" s="402" customFormat="1" ht="15" customHeight="1">
      <c r="A1871" s="1319"/>
      <c r="B1871" s="1320"/>
      <c r="C1871" s="1319" t="s">
        <v>140</v>
      </c>
      <c r="D1871" s="1319" t="s">
        <v>343</v>
      </c>
      <c r="E1871" s="1319" t="s">
        <v>344</v>
      </c>
      <c r="F1871" s="1319" t="s">
        <v>482</v>
      </c>
      <c r="G1871" s="1319" t="s">
        <v>483</v>
      </c>
      <c r="H1871" s="1319" t="s">
        <v>170</v>
      </c>
      <c r="I1871" s="1319" t="s">
        <v>171</v>
      </c>
      <c r="J1871" s="2895"/>
      <c r="K1871" s="2895"/>
      <c r="L1871" s="2895"/>
    </row>
    <row r="1872" spans="1:12" s="1918" customFormat="1" ht="18">
      <c r="A1872" s="435" t="s">
        <v>736</v>
      </c>
      <c r="B1872" s="167" t="s">
        <v>6410</v>
      </c>
      <c r="C1872" s="182">
        <v>1</v>
      </c>
      <c r="D1872" s="2698" t="s">
        <v>735</v>
      </c>
      <c r="E1872" s="497">
        <f>+RETRO</f>
        <v>150000</v>
      </c>
      <c r="F1872" s="1585">
        <f>+E1872*C1872</f>
        <v>150000</v>
      </c>
      <c r="G1872" s="1585"/>
      <c r="H1872" s="1585"/>
      <c r="I1872" s="184"/>
      <c r="J1872" s="2901"/>
      <c r="K1872" s="2901"/>
      <c r="L1872" s="2901"/>
    </row>
    <row r="1873" spans="1:12" s="1918" customFormat="1" ht="16.8">
      <c r="A1873" s="1319" t="s">
        <v>345</v>
      </c>
      <c r="B1873" s="1320" t="s">
        <v>6439</v>
      </c>
      <c r="C1873" s="1322">
        <v>1.2</v>
      </c>
      <c r="D1873" s="1323" t="s">
        <v>346</v>
      </c>
      <c r="E1873" s="1324">
        <f>+OFICI</f>
        <v>80479.625344</v>
      </c>
      <c r="F1873" s="1324"/>
      <c r="G1873" s="1324"/>
      <c r="H1873" s="1324">
        <f>+E1873*C1873</f>
        <v>96575.550412800003</v>
      </c>
      <c r="I1873" s="1324"/>
      <c r="J1873" s="2901"/>
      <c r="K1873" s="2901"/>
      <c r="L1873" s="2901"/>
    </row>
    <row r="1874" spans="1:12" s="1918" customFormat="1" ht="16.8">
      <c r="A1874" s="1319" t="s">
        <v>348</v>
      </c>
      <c r="B1874" s="1320" t="s">
        <v>6579</v>
      </c>
      <c r="C1874" s="1322">
        <v>1.2</v>
      </c>
      <c r="D1874" s="1323" t="s">
        <v>346</v>
      </c>
      <c r="E1874" s="1324">
        <f>+AYUDR</f>
        <v>50299.76584</v>
      </c>
      <c r="F1874" s="1324"/>
      <c r="G1874" s="1324"/>
      <c r="H1874" s="1324">
        <f>+E1874*C1874</f>
        <v>60359.719008</v>
      </c>
      <c r="I1874" s="1324"/>
      <c r="J1874" s="2901"/>
      <c r="K1874" s="2901"/>
      <c r="L1874" s="2901"/>
    </row>
    <row r="1875" spans="1:12" s="1918" customFormat="1" ht="16.8">
      <c r="A1875" s="1319" t="s">
        <v>172</v>
      </c>
      <c r="B1875" s="1320" t="s">
        <v>189</v>
      </c>
      <c r="C1875" s="1322">
        <v>1</v>
      </c>
      <c r="D1875" s="1323" t="s">
        <v>583</v>
      </c>
      <c r="E1875" s="1324">
        <f>+H1876*0.05</f>
        <v>7846.7634710400007</v>
      </c>
      <c r="F1875" s="1324"/>
      <c r="G1875" s="1324"/>
      <c r="H1875" s="1324"/>
      <c r="I1875" s="1324">
        <f>+E1875*C1875</f>
        <v>7846.7634710400007</v>
      </c>
      <c r="J1875" s="2901"/>
      <c r="K1875" s="2901"/>
      <c r="L1875" s="2901"/>
    </row>
    <row r="1876" spans="1:12" s="1918" customFormat="1" ht="16.8">
      <c r="A1876" s="1325" t="s">
        <v>190</v>
      </c>
      <c r="B1876" s="1326">
        <f>ROUND(SUM(F1876:I1876),0)</f>
        <v>314782</v>
      </c>
      <c r="C1876" s="1323"/>
      <c r="D1876" s="1327"/>
      <c r="E1876" s="1319"/>
      <c r="F1876" s="1324">
        <f>SUM(F1872:F1875)</f>
        <v>150000</v>
      </c>
      <c r="G1876" s="1324">
        <f t="shared" ref="G1876:I1876" si="55">SUM(G1872:G1875)</f>
        <v>0</v>
      </c>
      <c r="H1876" s="1324">
        <f t="shared" si="55"/>
        <v>156935.2694208</v>
      </c>
      <c r="I1876" s="1324">
        <f t="shared" si="55"/>
        <v>7846.7634710400007</v>
      </c>
      <c r="J1876" s="2901"/>
      <c r="K1876" s="2901"/>
      <c r="L1876" s="2901"/>
    </row>
    <row r="1877" spans="1:12" ht="16.8">
      <c r="A1877" s="1325" t="s">
        <v>191</v>
      </c>
      <c r="B1877" s="1326">
        <f>+B1876</f>
        <v>314782</v>
      </c>
      <c r="C1877" s="1328" t="s">
        <v>150</v>
      </c>
      <c r="D1877" s="1329"/>
      <c r="E1877" s="1329">
        <f>+B1884*0.15</f>
        <v>333888.3</v>
      </c>
      <c r="F1877" s="1329"/>
      <c r="G1877" s="1329"/>
      <c r="H1877" s="1330"/>
      <c r="I1877" s="1330"/>
    </row>
    <row r="1878" spans="1:12" s="1918" customFormat="1" ht="15.75" customHeight="1">
      <c r="A1878" s="492"/>
      <c r="B1878" s="492"/>
      <c r="C1878" s="492"/>
      <c r="D1878" s="492"/>
      <c r="E1878" s="492"/>
      <c r="F1878" s="492"/>
      <c r="G1878" s="492"/>
      <c r="H1878" s="492"/>
      <c r="I1878" s="492"/>
      <c r="J1878" s="2901"/>
      <c r="K1878" s="2901">
        <f>0.05*1</f>
        <v>0.05</v>
      </c>
      <c r="L1878" s="2901"/>
    </row>
    <row r="1879" spans="1:12" s="1918" customFormat="1" ht="16.8">
      <c r="A1879" s="1318"/>
      <c r="B1879" s="3849" t="s">
        <v>4850</v>
      </c>
      <c r="C1879" s="3849"/>
      <c r="D1879" s="3849"/>
      <c r="E1879" s="3849"/>
      <c r="F1879" s="3849"/>
      <c r="G1879" s="3849"/>
      <c r="H1879" s="3849"/>
      <c r="I1879" s="3849"/>
      <c r="J1879" s="2901"/>
      <c r="K1879" s="2901"/>
      <c r="L1879" s="2901"/>
    </row>
    <row r="1880" spans="1:12" s="1918" customFormat="1" ht="16.8">
      <c r="A1880" s="1319"/>
      <c r="B1880" s="1320"/>
      <c r="C1880" s="1319" t="s">
        <v>140</v>
      </c>
      <c r="D1880" s="1319" t="s">
        <v>343</v>
      </c>
      <c r="E1880" s="1319" t="s">
        <v>344</v>
      </c>
      <c r="F1880" s="1319" t="s">
        <v>482</v>
      </c>
      <c r="G1880" s="1319" t="s">
        <v>483</v>
      </c>
      <c r="H1880" s="1319" t="s">
        <v>170</v>
      </c>
      <c r="I1880" s="1319" t="s">
        <v>171</v>
      </c>
      <c r="J1880" s="2901"/>
      <c r="K1880" s="2901"/>
      <c r="L1880" s="2901"/>
    </row>
    <row r="1881" spans="1:12" s="1918" customFormat="1" ht="16.8">
      <c r="A1881" s="1319"/>
      <c r="B1881" s="1320" t="s">
        <v>6770</v>
      </c>
      <c r="C1881" s="1922">
        <v>1</v>
      </c>
      <c r="D1881" s="1920" t="s">
        <v>133</v>
      </c>
      <c r="E1881" s="1324">
        <f>+'BASE 2'!D613</f>
        <v>2211521.5373999998</v>
      </c>
      <c r="F1881" s="1324"/>
      <c r="G1881" s="1324">
        <f>+E1881*C1881</f>
        <v>2211521.5373999998</v>
      </c>
      <c r="H1881" s="1324"/>
      <c r="I1881" s="1324"/>
      <c r="J1881" s="2901"/>
      <c r="K1881" s="2901"/>
      <c r="L1881" s="2901"/>
    </row>
    <row r="1882" spans="1:12" s="1918" customFormat="1" ht="16.8">
      <c r="A1882" s="1319"/>
      <c r="B1882" s="1320" t="s">
        <v>4727</v>
      </c>
      <c r="C1882" s="1919">
        <v>1.2E-2</v>
      </c>
      <c r="D1882" s="1921" t="s">
        <v>583</v>
      </c>
      <c r="E1882" s="1324">
        <f>+VIAJE</f>
        <v>1200000</v>
      </c>
      <c r="F1882" s="1324"/>
      <c r="G1882" s="1324"/>
      <c r="H1882" s="1324"/>
      <c r="I1882" s="1324">
        <f>+E1882*C1882</f>
        <v>14400</v>
      </c>
      <c r="J1882" s="2901"/>
      <c r="K1882" s="2901"/>
      <c r="L1882" s="2901"/>
    </row>
    <row r="1883" spans="1:12" s="1918" customFormat="1" ht="16.8">
      <c r="A1883" s="1325" t="s">
        <v>190</v>
      </c>
      <c r="B1883" s="1326">
        <f>ROUND(SUM(F1883:I1883),0)</f>
        <v>2225922</v>
      </c>
      <c r="C1883" s="1323"/>
      <c r="D1883" s="1327"/>
      <c r="E1883" s="1319"/>
      <c r="F1883" s="1324">
        <f>SUM(F1881:F1881)</f>
        <v>0</v>
      </c>
      <c r="G1883" s="1324">
        <f>SUM(G1881:G1882)</f>
        <v>2211521.5373999998</v>
      </c>
      <c r="H1883" s="1324">
        <f>SUM(H1881:H1881)</f>
        <v>0</v>
      </c>
      <c r="I1883" s="1324">
        <f>+I1882</f>
        <v>14400</v>
      </c>
      <c r="J1883" s="2901"/>
      <c r="K1883" s="2901"/>
      <c r="L1883" s="2901"/>
    </row>
    <row r="1884" spans="1:12" ht="16.8">
      <c r="A1884" s="1325" t="s">
        <v>191</v>
      </c>
      <c r="B1884" s="1326">
        <f>+B1883</f>
        <v>2225922</v>
      </c>
      <c r="C1884" s="1328" t="s">
        <v>150</v>
      </c>
      <c r="D1884" s="1329"/>
      <c r="E1884" s="1329"/>
      <c r="F1884" s="1329"/>
      <c r="G1884" s="1329"/>
      <c r="H1884" s="1330"/>
      <c r="I1884" s="1330"/>
    </row>
    <row r="1886" spans="1:12" s="1918" customFormat="1" ht="16.8">
      <c r="A1886" s="1318"/>
      <c r="B1886" s="3849" t="s">
        <v>6775</v>
      </c>
      <c r="C1886" s="3849"/>
      <c r="D1886" s="3849"/>
      <c r="E1886" s="3849"/>
      <c r="F1886" s="3849"/>
      <c r="G1886" s="3849"/>
      <c r="H1886" s="3849"/>
      <c r="I1886" s="3849"/>
      <c r="J1886" s="2901"/>
      <c r="K1886" s="2901"/>
      <c r="L1886" s="2901"/>
    </row>
    <row r="1887" spans="1:12" s="1918" customFormat="1" ht="16.8">
      <c r="A1887" s="1319"/>
      <c r="B1887" s="1320"/>
      <c r="C1887" s="1319" t="s">
        <v>140</v>
      </c>
      <c r="D1887" s="1319" t="s">
        <v>343</v>
      </c>
      <c r="E1887" s="1319" t="s">
        <v>344</v>
      </c>
      <c r="F1887" s="1319" t="s">
        <v>482</v>
      </c>
      <c r="G1887" s="1319" t="s">
        <v>483</v>
      </c>
      <c r="H1887" s="1319" t="s">
        <v>170</v>
      </c>
      <c r="I1887" s="1319" t="s">
        <v>171</v>
      </c>
      <c r="J1887" s="2901"/>
      <c r="K1887" s="2901"/>
      <c r="L1887" s="2901"/>
    </row>
    <row r="1888" spans="1:12" s="1918" customFormat="1" ht="16.8">
      <c r="A1888" s="1319" t="s">
        <v>345</v>
      </c>
      <c r="B1888" s="1320" t="s">
        <v>6439</v>
      </c>
      <c r="C1888" s="1322">
        <v>0.21</v>
      </c>
      <c r="D1888" s="1323" t="s">
        <v>346</v>
      </c>
      <c r="E1888" s="1324">
        <f>+OFICI</f>
        <v>80479.625344</v>
      </c>
      <c r="F1888" s="1324"/>
      <c r="G1888" s="1324"/>
      <c r="H1888" s="1324">
        <f>+E1888*C1888</f>
        <v>16900.721322239999</v>
      </c>
      <c r="I1888" s="1324"/>
      <c r="J1888" s="2901"/>
      <c r="K1888" s="2901"/>
      <c r="L1888" s="2901"/>
    </row>
    <row r="1889" spans="1:12" s="1918" customFormat="1" ht="16.8">
      <c r="A1889" s="1319" t="s">
        <v>348</v>
      </c>
      <c r="B1889" s="1320" t="s">
        <v>6579</v>
      </c>
      <c r="C1889" s="1322">
        <v>0.21</v>
      </c>
      <c r="D1889" s="1323" t="s">
        <v>346</v>
      </c>
      <c r="E1889" s="1324">
        <f>+AYUDR</f>
        <v>50299.76584</v>
      </c>
      <c r="F1889" s="1324"/>
      <c r="G1889" s="1324"/>
      <c r="H1889" s="1324">
        <f>+E1889*C1889</f>
        <v>10562.9508264</v>
      </c>
      <c r="I1889" s="1324"/>
      <c r="J1889" s="2901"/>
      <c r="K1889" s="2901"/>
      <c r="L1889" s="2901"/>
    </row>
    <row r="1890" spans="1:12" s="1918" customFormat="1" ht="16.8">
      <c r="A1890" s="1319" t="s">
        <v>172</v>
      </c>
      <c r="B1890" s="1320" t="s">
        <v>189</v>
      </c>
      <c r="C1890" s="1322">
        <v>1</v>
      </c>
      <c r="D1890" s="1323" t="s">
        <v>583</v>
      </c>
      <c r="E1890" s="1324">
        <f>+H1891*0.05</f>
        <v>1373.1836074319999</v>
      </c>
      <c r="F1890" s="1324"/>
      <c r="G1890" s="1324"/>
      <c r="H1890" s="1324"/>
      <c r="I1890" s="1324">
        <f>+E1890*C1890</f>
        <v>1373.1836074319999</v>
      </c>
      <c r="J1890" s="2901"/>
      <c r="K1890" s="2901"/>
      <c r="L1890" s="2901"/>
    </row>
    <row r="1891" spans="1:12" s="1918" customFormat="1" ht="16.8">
      <c r="A1891" s="1325" t="s">
        <v>190</v>
      </c>
      <c r="B1891" s="1326">
        <f>ROUND(SUM(F1891:I1891),0)</f>
        <v>28837</v>
      </c>
      <c r="C1891" s="1323"/>
      <c r="D1891" s="1327"/>
      <c r="E1891" s="1319"/>
      <c r="F1891" s="1324">
        <f>SUM(F1888:F1890)</f>
        <v>0</v>
      </c>
      <c r="G1891" s="1324">
        <f>SUM(G1888:G1889)</f>
        <v>0</v>
      </c>
      <c r="H1891" s="1324">
        <f>SUM(H1888:H1889)</f>
        <v>27463.672148639998</v>
      </c>
      <c r="I1891" s="1324">
        <f>SUM(I1888:I1890)</f>
        <v>1373.1836074319999</v>
      </c>
      <c r="J1891" s="2901"/>
      <c r="K1891" s="2901"/>
      <c r="L1891" s="2901"/>
    </row>
    <row r="1892" spans="1:12" ht="16.8">
      <c r="A1892" s="1325" t="s">
        <v>191</v>
      </c>
      <c r="B1892" s="1326">
        <f>+B1891</f>
        <v>28837</v>
      </c>
      <c r="C1892" s="1328" t="s">
        <v>150</v>
      </c>
      <c r="D1892" s="1329"/>
      <c r="E1892" s="1329">
        <f>+B1899*0.15</f>
        <v>29688.75</v>
      </c>
      <c r="F1892" s="1329"/>
      <c r="G1892" s="1329"/>
      <c r="H1892" s="1330"/>
      <c r="I1892" s="1330"/>
    </row>
    <row r="1893" spans="1:12" s="1918" customFormat="1" ht="15.75" customHeight="1">
      <c r="A1893" s="492"/>
      <c r="B1893" s="492"/>
      <c r="C1893" s="492"/>
      <c r="D1893" s="492"/>
      <c r="E1893" s="492"/>
      <c r="F1893" s="492"/>
      <c r="G1893" s="492"/>
      <c r="H1893" s="492"/>
      <c r="I1893" s="492"/>
      <c r="J1893" s="2901"/>
      <c r="K1893" s="2901">
        <f>0.05*1</f>
        <v>0.05</v>
      </c>
      <c r="L1893" s="2901"/>
    </row>
    <row r="1894" spans="1:12" s="1918" customFormat="1" ht="16.8">
      <c r="A1894" s="1318"/>
      <c r="B1894" s="3849" t="s">
        <v>6774</v>
      </c>
      <c r="C1894" s="3849"/>
      <c r="D1894" s="3849"/>
      <c r="E1894" s="3849"/>
      <c r="F1894" s="3849"/>
      <c r="G1894" s="3849"/>
      <c r="H1894" s="3849"/>
      <c r="I1894" s="3849"/>
      <c r="J1894" s="2901"/>
      <c r="K1894" s="2901"/>
      <c r="L1894" s="2901"/>
    </row>
    <row r="1895" spans="1:12" s="1918" customFormat="1" ht="15" customHeight="1">
      <c r="A1895" s="1319"/>
      <c r="B1895" s="1320"/>
      <c r="C1895" s="1319" t="s">
        <v>140</v>
      </c>
      <c r="D1895" s="1319" t="s">
        <v>343</v>
      </c>
      <c r="E1895" s="1319" t="s">
        <v>344</v>
      </c>
      <c r="F1895" s="1319" t="s">
        <v>482</v>
      </c>
      <c r="G1895" s="1319" t="s">
        <v>483</v>
      </c>
      <c r="H1895" s="1319" t="s">
        <v>170</v>
      </c>
      <c r="I1895" s="1319" t="s">
        <v>171</v>
      </c>
      <c r="J1895" s="2901"/>
      <c r="K1895" s="2901"/>
      <c r="L1895" s="2901"/>
    </row>
    <row r="1896" spans="1:12" s="1918" customFormat="1" ht="16.8">
      <c r="A1896" s="1319"/>
      <c r="B1896" s="1335" t="s">
        <v>6772</v>
      </c>
      <c r="C1896" s="1922">
        <v>1</v>
      </c>
      <c r="D1896" s="1920" t="s">
        <v>133</v>
      </c>
      <c r="E1896" s="2149">
        <f>+'BASE 2'!D652</f>
        <v>183525.13199999998</v>
      </c>
      <c r="F1896" s="1324"/>
      <c r="G1896" s="1324">
        <f>+E1896*C1896</f>
        <v>183525.13199999998</v>
      </c>
      <c r="H1896" s="1324"/>
      <c r="I1896" s="1324"/>
      <c r="J1896" s="2901"/>
      <c r="K1896" s="2901"/>
      <c r="L1896" s="2901"/>
    </row>
    <row r="1897" spans="1:12" s="1918" customFormat="1" ht="16.8">
      <c r="A1897" s="1319"/>
      <c r="B1897" s="1320" t="s">
        <v>4727</v>
      </c>
      <c r="C1897" s="1919">
        <v>1.2E-2</v>
      </c>
      <c r="D1897" s="1921" t="s">
        <v>583</v>
      </c>
      <c r="E1897" s="1324">
        <f>+VIAJE</f>
        <v>1200000</v>
      </c>
      <c r="F1897" s="1324"/>
      <c r="G1897" s="1324"/>
      <c r="H1897" s="1324"/>
      <c r="I1897" s="2149">
        <f>+E1897*C1897</f>
        <v>14400</v>
      </c>
      <c r="J1897" s="2901"/>
      <c r="K1897" s="2901"/>
      <c r="L1897" s="2901"/>
    </row>
    <row r="1898" spans="1:12" s="1918" customFormat="1" ht="16.8">
      <c r="A1898" s="1325" t="s">
        <v>190</v>
      </c>
      <c r="B1898" s="1326">
        <f>ROUND(SUM(F1898:I1898),0)</f>
        <v>197925</v>
      </c>
      <c r="C1898" s="1323"/>
      <c r="D1898" s="1327"/>
      <c r="E1898" s="1319"/>
      <c r="F1898" s="1324">
        <f>SUM(F1896:F1896)</f>
        <v>0</v>
      </c>
      <c r="G1898" s="1324">
        <f>SUM(G1896:G1897)</f>
        <v>183525.13199999998</v>
      </c>
      <c r="H1898" s="1324">
        <f>SUM(H1896:H1896)</f>
        <v>0</v>
      </c>
      <c r="I1898" s="2149">
        <f>+I1897</f>
        <v>14400</v>
      </c>
      <c r="J1898" s="2901"/>
      <c r="K1898" s="2901"/>
      <c r="L1898" s="2901"/>
    </row>
    <row r="1899" spans="1:12" ht="16.8">
      <c r="A1899" s="1325" t="s">
        <v>191</v>
      </c>
      <c r="B1899" s="1326">
        <f>+B1898</f>
        <v>197925</v>
      </c>
      <c r="C1899" s="1328" t="s">
        <v>150</v>
      </c>
      <c r="D1899" s="1329"/>
      <c r="E1899" s="1329"/>
      <c r="F1899" s="1329"/>
      <c r="G1899" s="1329"/>
      <c r="H1899" s="1330"/>
      <c r="I1899" s="1330"/>
    </row>
    <row r="1901" spans="1:12" s="1918" customFormat="1" ht="16.8">
      <c r="A1901" s="1318"/>
      <c r="B1901" s="3849" t="s">
        <v>4849</v>
      </c>
      <c r="C1901" s="3849"/>
      <c r="D1901" s="3849"/>
      <c r="E1901" s="3849"/>
      <c r="F1901" s="3849"/>
      <c r="G1901" s="3849"/>
      <c r="H1901" s="3849"/>
      <c r="I1901" s="3849"/>
      <c r="J1901" s="2901"/>
      <c r="K1901" s="2901"/>
      <c r="L1901" s="2901"/>
    </row>
    <row r="1902" spans="1:12" s="1918" customFormat="1" ht="16.8">
      <c r="A1902" s="1319"/>
      <c r="B1902" s="1320"/>
      <c r="C1902" s="1319" t="s">
        <v>140</v>
      </c>
      <c r="D1902" s="1319" t="s">
        <v>343</v>
      </c>
      <c r="E1902" s="1319" t="s">
        <v>344</v>
      </c>
      <c r="F1902" s="1319" t="s">
        <v>482</v>
      </c>
      <c r="G1902" s="1319" t="s">
        <v>483</v>
      </c>
      <c r="H1902" s="1319" t="s">
        <v>170</v>
      </c>
      <c r="I1902" s="1319" t="s">
        <v>171</v>
      </c>
      <c r="J1902" s="2901"/>
      <c r="K1902" s="2901"/>
      <c r="L1902" s="2901"/>
    </row>
    <row r="1903" spans="1:12" s="1918" customFormat="1" ht="16.8">
      <c r="A1903" s="1319" t="s">
        <v>345</v>
      </c>
      <c r="B1903" s="1320" t="s">
        <v>6439</v>
      </c>
      <c r="C1903" s="1322">
        <v>3.1</v>
      </c>
      <c r="D1903" s="1323" t="s">
        <v>346</v>
      </c>
      <c r="E1903" s="1324">
        <f>+OFICI</f>
        <v>80479.625344</v>
      </c>
      <c r="F1903" s="1324"/>
      <c r="G1903" s="1324"/>
      <c r="H1903" s="1324">
        <f>+E1903*C1903</f>
        <v>249486.83856639999</v>
      </c>
      <c r="I1903" s="1324"/>
      <c r="J1903" s="2901"/>
      <c r="K1903" s="2901"/>
      <c r="L1903" s="2901"/>
    </row>
    <row r="1904" spans="1:12" s="1918" customFormat="1" ht="16.8">
      <c r="A1904" s="1319" t="s">
        <v>348</v>
      </c>
      <c r="B1904" s="1320" t="s">
        <v>6579</v>
      </c>
      <c r="C1904" s="1322">
        <v>3.1</v>
      </c>
      <c r="D1904" s="1323" t="s">
        <v>346</v>
      </c>
      <c r="E1904" s="1324">
        <f>+AYUDR</f>
        <v>50299.76584</v>
      </c>
      <c r="F1904" s="1324"/>
      <c r="G1904" s="1324"/>
      <c r="H1904" s="1324">
        <f>+E1904*C1904</f>
        <v>155929.27410400001</v>
      </c>
      <c r="I1904" s="1324"/>
      <c r="J1904" s="2901"/>
      <c r="K1904" s="2901"/>
      <c r="L1904" s="2901"/>
    </row>
    <row r="1905" spans="1:12" s="1918" customFormat="1" ht="16.8">
      <c r="A1905" s="1319" t="s">
        <v>172</v>
      </c>
      <c r="B1905" s="1320" t="s">
        <v>189</v>
      </c>
      <c r="C1905" s="1322">
        <v>1</v>
      </c>
      <c r="D1905" s="1323" t="s">
        <v>583</v>
      </c>
      <c r="E1905" s="1324">
        <f>+H1906*0.05</f>
        <v>20270.805633520002</v>
      </c>
      <c r="F1905" s="1324"/>
      <c r="G1905" s="1324"/>
      <c r="H1905" s="1324"/>
      <c r="I1905" s="1324">
        <f>+E1905*C1905</f>
        <v>20270.805633520002</v>
      </c>
      <c r="J1905" s="2901"/>
      <c r="K1905" s="2901"/>
      <c r="L1905" s="2901"/>
    </row>
    <row r="1906" spans="1:12" s="1918" customFormat="1" ht="16.8">
      <c r="A1906" s="1325" t="s">
        <v>190</v>
      </c>
      <c r="B1906" s="1326">
        <f>ROUND(SUM(F1906:I1906),0)</f>
        <v>425687</v>
      </c>
      <c r="C1906" s="1323"/>
      <c r="D1906" s="1327"/>
      <c r="E1906" s="1319"/>
      <c r="F1906" s="1324">
        <f>SUM(F1903:F1905)</f>
        <v>0</v>
      </c>
      <c r="G1906" s="1324">
        <f>SUM(G1903:G1904)</f>
        <v>0</v>
      </c>
      <c r="H1906" s="1324">
        <f>SUM(H1903:H1904)</f>
        <v>405416.11267040001</v>
      </c>
      <c r="I1906" s="1324">
        <f>SUM(I1903:I1905)</f>
        <v>20270.805633520002</v>
      </c>
      <c r="J1906" s="2901"/>
      <c r="K1906" s="2901"/>
      <c r="L1906" s="2901"/>
    </row>
    <row r="1907" spans="1:12" ht="16.8">
      <c r="A1907" s="1325" t="s">
        <v>191</v>
      </c>
      <c r="B1907" s="1326">
        <f>+B1906</f>
        <v>425687</v>
      </c>
      <c r="C1907" s="1328" t="s">
        <v>150</v>
      </c>
      <c r="D1907" s="1329"/>
      <c r="E1907" s="1329">
        <f>+B1914*0.15</f>
        <v>477770.39999999997</v>
      </c>
      <c r="F1907" s="1329"/>
      <c r="G1907" s="1329"/>
      <c r="H1907" s="1330"/>
      <c r="I1907" s="1330"/>
    </row>
    <row r="1908" spans="1:12" s="1918" customFormat="1" ht="15.75" customHeight="1">
      <c r="A1908" s="492"/>
      <c r="B1908" s="492"/>
      <c r="C1908" s="492"/>
      <c r="D1908" s="492"/>
      <c r="E1908" s="492"/>
      <c r="F1908" s="492"/>
      <c r="G1908" s="492"/>
      <c r="H1908" s="492"/>
      <c r="I1908" s="492"/>
      <c r="J1908" s="2901"/>
      <c r="K1908" s="2901">
        <f>0.05*1</f>
        <v>0.05</v>
      </c>
      <c r="L1908" s="2901"/>
    </row>
    <row r="1909" spans="1:12" s="1918" customFormat="1" ht="16.8">
      <c r="A1909" s="1318"/>
      <c r="B1909" s="3849" t="s">
        <v>6779</v>
      </c>
      <c r="C1909" s="3849"/>
      <c r="D1909" s="3849"/>
      <c r="E1909" s="3849"/>
      <c r="F1909" s="3849"/>
      <c r="G1909" s="3849"/>
      <c r="H1909" s="3849"/>
      <c r="I1909" s="3849"/>
      <c r="J1909" s="2901"/>
      <c r="K1909" s="2901"/>
      <c r="L1909" s="2901"/>
    </row>
    <row r="1910" spans="1:12" s="1918" customFormat="1" ht="16.8">
      <c r="A1910" s="1319"/>
      <c r="B1910" s="1320"/>
      <c r="C1910" s="1319" t="s">
        <v>140</v>
      </c>
      <c r="D1910" s="1319" t="s">
        <v>343</v>
      </c>
      <c r="E1910" s="1319" t="s">
        <v>344</v>
      </c>
      <c r="F1910" s="1319" t="s">
        <v>482</v>
      </c>
      <c r="G1910" s="1319" t="s">
        <v>483</v>
      </c>
      <c r="H1910" s="1319" t="s">
        <v>170</v>
      </c>
      <c r="I1910" s="1319" t="s">
        <v>171</v>
      </c>
      <c r="J1910" s="2901"/>
      <c r="K1910" s="2901"/>
      <c r="L1910" s="2901"/>
    </row>
    <row r="1911" spans="1:12" s="1918" customFormat="1" ht="16.8">
      <c r="A1911" s="1319"/>
      <c r="B1911" s="1320" t="s">
        <v>6777</v>
      </c>
      <c r="C1911" s="1922">
        <v>1</v>
      </c>
      <c r="D1911" s="1920" t="s">
        <v>133</v>
      </c>
      <c r="E1911" s="1324">
        <f>+'BASE 2'!D614</f>
        <v>3170735.6981999995</v>
      </c>
      <c r="F1911" s="1324"/>
      <c r="G1911" s="1324">
        <f>+E1911*C1911</f>
        <v>3170735.6981999995</v>
      </c>
      <c r="H1911" s="1324"/>
      <c r="I1911" s="1324"/>
      <c r="J1911" s="2901"/>
      <c r="K1911" s="2901"/>
      <c r="L1911" s="2901"/>
    </row>
    <row r="1912" spans="1:12" s="1918" customFormat="1" ht="16.8">
      <c r="A1912" s="1319"/>
      <c r="B1912" s="1320" t="s">
        <v>4727</v>
      </c>
      <c r="C1912" s="1919">
        <v>1.2E-2</v>
      </c>
      <c r="D1912" s="1921" t="s">
        <v>583</v>
      </c>
      <c r="E1912" s="1324">
        <f>+VIAJE</f>
        <v>1200000</v>
      </c>
      <c r="F1912" s="1324"/>
      <c r="G1912" s="1324"/>
      <c r="H1912" s="1324"/>
      <c r="I1912" s="1324">
        <f>+E1912*C1912</f>
        <v>14400</v>
      </c>
      <c r="J1912" s="2901"/>
      <c r="K1912" s="2901"/>
      <c r="L1912" s="2901"/>
    </row>
    <row r="1913" spans="1:12" s="1918" customFormat="1" ht="16.8">
      <c r="A1913" s="1325" t="s">
        <v>190</v>
      </c>
      <c r="B1913" s="1326">
        <f>ROUND(SUM(F1913:I1913),0)</f>
        <v>3185136</v>
      </c>
      <c r="C1913" s="1323"/>
      <c r="D1913" s="1327"/>
      <c r="E1913" s="1319"/>
      <c r="F1913" s="1324">
        <f>SUM(F1911:F1911)</f>
        <v>0</v>
      </c>
      <c r="G1913" s="1324">
        <f>SUM(G1911:G1912)</f>
        <v>3170735.6981999995</v>
      </c>
      <c r="H1913" s="1324">
        <f>SUM(H1911:H1911)</f>
        <v>0</v>
      </c>
      <c r="I1913" s="1324">
        <f>+I1912</f>
        <v>14400</v>
      </c>
      <c r="J1913" s="2901"/>
      <c r="K1913" s="2901"/>
      <c r="L1913" s="2901"/>
    </row>
    <row r="1914" spans="1:12" ht="16.8">
      <c r="A1914" s="1325" t="s">
        <v>191</v>
      </c>
      <c r="B1914" s="1326">
        <f>+B1913</f>
        <v>3185136</v>
      </c>
      <c r="C1914" s="1328" t="s">
        <v>150</v>
      </c>
      <c r="D1914" s="1329"/>
      <c r="E1914" s="1329"/>
      <c r="F1914" s="1329"/>
      <c r="G1914" s="1329"/>
      <c r="H1914" s="1330"/>
      <c r="I1914" s="1330"/>
    </row>
    <row r="1916" spans="1:12" s="1918" customFormat="1" ht="16.8">
      <c r="A1916" s="1318"/>
      <c r="B1916" s="3849" t="s">
        <v>6783</v>
      </c>
      <c r="C1916" s="3849"/>
      <c r="D1916" s="3849"/>
      <c r="E1916" s="3849"/>
      <c r="F1916" s="3849"/>
      <c r="G1916" s="3849"/>
      <c r="H1916" s="3849"/>
      <c r="I1916" s="3849"/>
      <c r="J1916" s="2901"/>
      <c r="K1916" s="2901"/>
      <c r="L1916" s="2901"/>
    </row>
    <row r="1917" spans="1:12" s="1918" customFormat="1" ht="16.8">
      <c r="A1917" s="1319"/>
      <c r="B1917" s="1320"/>
      <c r="C1917" s="1319" t="s">
        <v>140</v>
      </c>
      <c r="D1917" s="1319" t="s">
        <v>343</v>
      </c>
      <c r="E1917" s="1319" t="s">
        <v>344</v>
      </c>
      <c r="F1917" s="1319" t="s">
        <v>482</v>
      </c>
      <c r="G1917" s="1319" t="s">
        <v>483</v>
      </c>
      <c r="H1917" s="1319" t="s">
        <v>170</v>
      </c>
      <c r="I1917" s="1319" t="s">
        <v>171</v>
      </c>
      <c r="J1917" s="2901"/>
      <c r="K1917" s="2901"/>
      <c r="L1917" s="2901"/>
    </row>
    <row r="1918" spans="1:12" s="1918" customFormat="1" ht="16.8">
      <c r="A1918" s="1319" t="s">
        <v>345</v>
      </c>
      <c r="B1918" s="1320" t="s">
        <v>6439</v>
      </c>
      <c r="C1918" s="1322">
        <v>0.56000000000000005</v>
      </c>
      <c r="D1918" s="1323" t="s">
        <v>346</v>
      </c>
      <c r="E1918" s="1324">
        <f>+OFICI</f>
        <v>80479.625344</v>
      </c>
      <c r="F1918" s="1324"/>
      <c r="G1918" s="1324"/>
      <c r="H1918" s="1324">
        <f>+E1918*C1918</f>
        <v>45068.590192640004</v>
      </c>
      <c r="I1918" s="1324"/>
      <c r="J1918" s="2901"/>
      <c r="K1918" s="2901"/>
      <c r="L1918" s="2901"/>
    </row>
    <row r="1919" spans="1:12" s="1918" customFormat="1" ht="16.8">
      <c r="A1919" s="1319" t="s">
        <v>348</v>
      </c>
      <c r="B1919" s="1320" t="s">
        <v>6579</v>
      </c>
      <c r="C1919" s="1322">
        <v>0.56000000000000005</v>
      </c>
      <c r="D1919" s="1323" t="s">
        <v>346</v>
      </c>
      <c r="E1919" s="1324">
        <f>+AYUDR</f>
        <v>50299.76584</v>
      </c>
      <c r="F1919" s="1324"/>
      <c r="G1919" s="1324"/>
      <c r="H1919" s="1324">
        <f>+E1919*C1919</f>
        <v>28167.868870400001</v>
      </c>
      <c r="I1919" s="1324"/>
      <c r="J1919" s="2901"/>
      <c r="K1919" s="2901"/>
      <c r="L1919" s="2901"/>
    </row>
    <row r="1920" spans="1:12" s="1918" customFormat="1" ht="16.8">
      <c r="A1920" s="1319" t="s">
        <v>172</v>
      </c>
      <c r="B1920" s="1320" t="s">
        <v>189</v>
      </c>
      <c r="C1920" s="1322">
        <v>1</v>
      </c>
      <c r="D1920" s="1323" t="s">
        <v>583</v>
      </c>
      <c r="E1920" s="1324">
        <f>+H1921*0.05</f>
        <v>3661.8229531520005</v>
      </c>
      <c r="F1920" s="1324"/>
      <c r="G1920" s="1324"/>
      <c r="H1920" s="1324"/>
      <c r="I1920" s="1324">
        <f>+E1920*C1920</f>
        <v>3661.8229531520005</v>
      </c>
      <c r="J1920" s="2901"/>
      <c r="K1920" s="2901"/>
      <c r="L1920" s="2901"/>
    </row>
    <row r="1921" spans="1:12" s="1918" customFormat="1" ht="16.8">
      <c r="A1921" s="1325" t="s">
        <v>190</v>
      </c>
      <c r="B1921" s="1326">
        <f>ROUND(SUM(F1921:I1921),0)</f>
        <v>76898</v>
      </c>
      <c r="C1921" s="1323"/>
      <c r="D1921" s="1327"/>
      <c r="E1921" s="1319"/>
      <c r="F1921" s="1324">
        <f>SUM(F1918:F1920)</f>
        <v>0</v>
      </c>
      <c r="G1921" s="1324">
        <f>SUM(G1918:G1919)</f>
        <v>0</v>
      </c>
      <c r="H1921" s="1324">
        <f>SUM(H1918:H1919)</f>
        <v>73236.459063040005</v>
      </c>
      <c r="I1921" s="1324">
        <f>SUM(I1918:I1920)</f>
        <v>3661.8229531520005</v>
      </c>
      <c r="J1921" s="2901"/>
      <c r="K1921" s="2901"/>
      <c r="L1921" s="2901"/>
    </row>
    <row r="1922" spans="1:12" ht="16.8">
      <c r="A1922" s="1325" t="s">
        <v>191</v>
      </c>
      <c r="B1922" s="1326">
        <f>+B1921</f>
        <v>76898</v>
      </c>
      <c r="C1922" s="1328" t="s">
        <v>150</v>
      </c>
      <c r="D1922" s="1329"/>
      <c r="E1922" s="1329">
        <f>+B1929*0.15</f>
        <v>76525.95</v>
      </c>
      <c r="F1922" s="1329"/>
      <c r="G1922" s="1329"/>
      <c r="H1922" s="1330"/>
      <c r="I1922" s="1330"/>
    </row>
    <row r="1923" spans="1:12" s="1918" customFormat="1" ht="15.75" customHeight="1">
      <c r="A1923" s="492"/>
      <c r="B1923" s="492"/>
      <c r="C1923" s="492"/>
      <c r="D1923" s="492"/>
      <c r="E1923" s="492"/>
      <c r="F1923" s="492"/>
      <c r="G1923" s="492"/>
      <c r="H1923" s="492"/>
      <c r="I1923" s="492"/>
      <c r="J1923" s="2901"/>
      <c r="K1923" s="2901">
        <f>0.05*1</f>
        <v>0.05</v>
      </c>
      <c r="L1923" s="2901"/>
    </row>
    <row r="1924" spans="1:12" s="1918" customFormat="1" ht="16.8">
      <c r="A1924" s="1318"/>
      <c r="B1924" s="3849" t="s">
        <v>4848</v>
      </c>
      <c r="C1924" s="3849"/>
      <c r="D1924" s="3849"/>
      <c r="E1924" s="3849"/>
      <c r="F1924" s="3849"/>
      <c r="G1924" s="3849"/>
      <c r="H1924" s="3849"/>
      <c r="I1924" s="3849"/>
      <c r="J1924" s="2901"/>
      <c r="K1924" s="2901"/>
      <c r="L1924" s="2901"/>
    </row>
    <row r="1925" spans="1:12" s="1918" customFormat="1" ht="16.8">
      <c r="A1925" s="1319"/>
      <c r="B1925" s="1320"/>
      <c r="C1925" s="1319" t="s">
        <v>140</v>
      </c>
      <c r="D1925" s="1319" t="s">
        <v>343</v>
      </c>
      <c r="E1925" s="1319" t="s">
        <v>344</v>
      </c>
      <c r="F1925" s="1319" t="s">
        <v>482</v>
      </c>
      <c r="G1925" s="1319" t="s">
        <v>483</v>
      </c>
      <c r="H1925" s="1319" t="s">
        <v>170</v>
      </c>
      <c r="I1925" s="1319" t="s">
        <v>171</v>
      </c>
      <c r="J1925" s="2901"/>
      <c r="K1925" s="2901"/>
      <c r="L1925" s="2901"/>
    </row>
    <row r="1926" spans="1:12" s="1918" customFormat="1" ht="16.8">
      <c r="A1926" s="1319"/>
      <c r="B1926" s="1320" t="s">
        <v>6782</v>
      </c>
      <c r="C1926" s="1922">
        <v>1</v>
      </c>
      <c r="D1926" s="1920" t="s">
        <v>133</v>
      </c>
      <c r="E1926" s="1324">
        <f>+'BASE 2'!D611</f>
        <v>495773.46839999995</v>
      </c>
      <c r="F1926" s="1324"/>
      <c r="G1926" s="1324">
        <f>+E1926*C1926</f>
        <v>495773.46839999995</v>
      </c>
      <c r="H1926" s="1324"/>
      <c r="I1926" s="1324"/>
      <c r="J1926" s="2901"/>
      <c r="K1926" s="2901"/>
      <c r="L1926" s="2901"/>
    </row>
    <row r="1927" spans="1:12" s="1918" customFormat="1" ht="16.8">
      <c r="A1927" s="1319"/>
      <c r="B1927" s="1320" t="s">
        <v>4727</v>
      </c>
      <c r="C1927" s="1919">
        <v>1.2E-2</v>
      </c>
      <c r="D1927" s="1921" t="s">
        <v>583</v>
      </c>
      <c r="E1927" s="1324">
        <f>+VIAJE</f>
        <v>1200000</v>
      </c>
      <c r="F1927" s="1324"/>
      <c r="G1927" s="1324"/>
      <c r="H1927" s="1324"/>
      <c r="I1927" s="2149">
        <f>+E1927*C1927</f>
        <v>14400</v>
      </c>
      <c r="J1927" s="2901"/>
      <c r="K1927" s="2901"/>
      <c r="L1927" s="2901"/>
    </row>
    <row r="1928" spans="1:12" s="1918" customFormat="1" ht="16.8">
      <c r="A1928" s="1325" t="s">
        <v>190</v>
      </c>
      <c r="B1928" s="1326">
        <f>ROUND(SUM(F1928:I1928),0)</f>
        <v>510173</v>
      </c>
      <c r="C1928" s="1323"/>
      <c r="D1928" s="1327"/>
      <c r="E1928" s="1319"/>
      <c r="F1928" s="1324">
        <f>SUM(F1926:F1926)</f>
        <v>0</v>
      </c>
      <c r="G1928" s="1324">
        <f>SUM(G1926:G1927)</f>
        <v>495773.46839999995</v>
      </c>
      <c r="H1928" s="1324">
        <f>SUM(H1926:H1926)</f>
        <v>0</v>
      </c>
      <c r="I1928" s="2149">
        <f>+I1927</f>
        <v>14400</v>
      </c>
      <c r="J1928" s="2901"/>
      <c r="K1928" s="2901"/>
      <c r="L1928" s="2901"/>
    </row>
    <row r="1929" spans="1:12" ht="16.8">
      <c r="A1929" s="1325" t="s">
        <v>191</v>
      </c>
      <c r="B1929" s="1326">
        <f>+B1928</f>
        <v>510173</v>
      </c>
      <c r="C1929" s="1328" t="s">
        <v>150</v>
      </c>
      <c r="D1929" s="1329"/>
      <c r="E1929" s="1329"/>
      <c r="F1929" s="1329"/>
      <c r="G1929" s="1329"/>
      <c r="H1929" s="1330"/>
      <c r="I1929" s="1330"/>
    </row>
    <row r="1931" spans="1:12" s="1918" customFormat="1" ht="16.8">
      <c r="A1931" s="1318"/>
      <c r="B1931" s="3849" t="s">
        <v>6786</v>
      </c>
      <c r="C1931" s="3849"/>
      <c r="D1931" s="3849"/>
      <c r="E1931" s="3849"/>
      <c r="F1931" s="3849"/>
      <c r="G1931" s="3849"/>
      <c r="H1931" s="3849"/>
      <c r="I1931" s="3849"/>
      <c r="J1931" s="2901"/>
      <c r="K1931" s="2901"/>
      <c r="L1931" s="2901"/>
    </row>
    <row r="1932" spans="1:12" s="1918" customFormat="1" ht="16.8">
      <c r="A1932" s="1319"/>
      <c r="B1932" s="1320"/>
      <c r="C1932" s="1319" t="s">
        <v>140</v>
      </c>
      <c r="D1932" s="1319" t="s">
        <v>343</v>
      </c>
      <c r="E1932" s="1319" t="s">
        <v>344</v>
      </c>
      <c r="F1932" s="1319" t="s">
        <v>482</v>
      </c>
      <c r="G1932" s="1319" t="s">
        <v>483</v>
      </c>
      <c r="H1932" s="1319" t="s">
        <v>170</v>
      </c>
      <c r="I1932" s="1319" t="s">
        <v>171</v>
      </c>
      <c r="J1932" s="2901"/>
      <c r="K1932" s="2901"/>
      <c r="L1932" s="2901"/>
    </row>
    <row r="1933" spans="1:12" s="1918" customFormat="1" ht="16.8">
      <c r="A1933" s="1319" t="s">
        <v>345</v>
      </c>
      <c r="B1933" s="1320" t="s">
        <v>6439</v>
      </c>
      <c r="C1933" s="1322">
        <v>0.63</v>
      </c>
      <c r="D1933" s="1323" t="s">
        <v>346</v>
      </c>
      <c r="E1933" s="1324">
        <f>+OFICI</f>
        <v>80479.625344</v>
      </c>
      <c r="F1933" s="1324"/>
      <c r="G1933" s="1324"/>
      <c r="H1933" s="1324">
        <f>+E1933*C1933</f>
        <v>50702.16396672</v>
      </c>
      <c r="I1933" s="1324"/>
      <c r="J1933" s="2901"/>
      <c r="K1933" s="2901"/>
      <c r="L1933" s="2901"/>
    </row>
    <row r="1934" spans="1:12" s="1918" customFormat="1" ht="16.8">
      <c r="A1934" s="1319" t="s">
        <v>348</v>
      </c>
      <c r="B1934" s="1320" t="s">
        <v>6579</v>
      </c>
      <c r="C1934" s="1322">
        <v>0.63</v>
      </c>
      <c r="D1934" s="1323" t="s">
        <v>346</v>
      </c>
      <c r="E1934" s="1324">
        <f>+AYUDR</f>
        <v>50299.76584</v>
      </c>
      <c r="F1934" s="1324"/>
      <c r="G1934" s="1324"/>
      <c r="H1934" s="1324">
        <f>+E1934*C1934</f>
        <v>31688.852479199999</v>
      </c>
      <c r="I1934" s="1324"/>
      <c r="J1934" s="2901"/>
      <c r="K1934" s="2901"/>
      <c r="L1934" s="2901"/>
    </row>
    <row r="1935" spans="1:12" s="1918" customFormat="1" ht="16.8">
      <c r="A1935" s="1319" t="s">
        <v>172</v>
      </c>
      <c r="B1935" s="1320" t="s">
        <v>189</v>
      </c>
      <c r="C1935" s="1322">
        <v>1</v>
      </c>
      <c r="D1935" s="1323" t="s">
        <v>583</v>
      </c>
      <c r="E1935" s="1324">
        <f>+H1936*0.05</f>
        <v>4119.5508222960007</v>
      </c>
      <c r="F1935" s="1324"/>
      <c r="G1935" s="1324"/>
      <c r="H1935" s="1324"/>
      <c r="I1935" s="1324">
        <f>+E1935*C1935</f>
        <v>4119.5508222960007</v>
      </c>
      <c r="J1935" s="2901"/>
      <c r="K1935" s="2901"/>
      <c r="L1935" s="2901"/>
    </row>
    <row r="1936" spans="1:12" s="1918" customFormat="1" ht="16.8">
      <c r="A1936" s="1325" t="s">
        <v>190</v>
      </c>
      <c r="B1936" s="1326">
        <f>ROUND(SUM(F1936:I1936),0)</f>
        <v>86511</v>
      </c>
      <c r="C1936" s="1323"/>
      <c r="D1936" s="1327"/>
      <c r="E1936" s="1319"/>
      <c r="F1936" s="1324">
        <f>SUM(F1933:F1935)</f>
        <v>0</v>
      </c>
      <c r="G1936" s="1324">
        <f>SUM(G1933:G1934)</f>
        <v>0</v>
      </c>
      <c r="H1936" s="1324">
        <f>SUM(H1933:H1934)</f>
        <v>82391.016445920002</v>
      </c>
      <c r="I1936" s="1324">
        <f>SUM(I1933:I1935)</f>
        <v>4119.5508222960007</v>
      </c>
      <c r="J1936" s="2901"/>
      <c r="K1936" s="2901"/>
      <c r="L1936" s="2901"/>
    </row>
    <row r="1937" spans="1:12" ht="16.8">
      <c r="A1937" s="1325" t="s">
        <v>191</v>
      </c>
      <c r="B1937" s="1326">
        <f>+B1936</f>
        <v>86511</v>
      </c>
      <c r="C1937" s="1328" t="s">
        <v>150</v>
      </c>
      <c r="D1937" s="1329"/>
      <c r="E1937" s="1329">
        <f>+B1944*0.15</f>
        <v>87761.099999999991</v>
      </c>
      <c r="F1937" s="1329"/>
      <c r="G1937" s="1329"/>
      <c r="H1937" s="1330"/>
      <c r="I1937" s="1330"/>
    </row>
    <row r="1938" spans="1:12" s="1918" customFormat="1" ht="15.75" customHeight="1">
      <c r="A1938" s="492"/>
      <c r="B1938" s="492"/>
      <c r="C1938" s="492"/>
      <c r="D1938" s="492"/>
      <c r="E1938" s="492"/>
      <c r="F1938" s="492"/>
      <c r="G1938" s="492"/>
      <c r="H1938" s="492"/>
      <c r="I1938" s="492"/>
      <c r="J1938" s="2901"/>
      <c r="K1938" s="2901">
        <f>0.05*1</f>
        <v>0.05</v>
      </c>
      <c r="L1938" s="2901"/>
    </row>
    <row r="1939" spans="1:12" s="1918" customFormat="1" ht="16.8">
      <c r="A1939" s="1318"/>
      <c r="B1939" s="3849" t="s">
        <v>6787</v>
      </c>
      <c r="C1939" s="3849"/>
      <c r="D1939" s="3849"/>
      <c r="E1939" s="3849"/>
      <c r="F1939" s="3849"/>
      <c r="G1939" s="3849"/>
      <c r="H1939" s="3849"/>
      <c r="I1939" s="3849"/>
      <c r="J1939" s="2901"/>
      <c r="K1939" s="2901"/>
      <c r="L1939" s="2901"/>
    </row>
    <row r="1940" spans="1:12" s="1918" customFormat="1" ht="16.8">
      <c r="A1940" s="1319"/>
      <c r="B1940" s="1320"/>
      <c r="C1940" s="1319" t="s">
        <v>140</v>
      </c>
      <c r="D1940" s="1319" t="s">
        <v>343</v>
      </c>
      <c r="E1940" s="1319" t="s">
        <v>344</v>
      </c>
      <c r="F1940" s="1319" t="s">
        <v>482</v>
      </c>
      <c r="G1940" s="1319" t="s">
        <v>483</v>
      </c>
      <c r="H1940" s="1319" t="s">
        <v>170</v>
      </c>
      <c r="I1940" s="1319" t="s">
        <v>171</v>
      </c>
      <c r="J1940" s="2901"/>
      <c r="K1940" s="2901"/>
      <c r="L1940" s="2901"/>
    </row>
    <row r="1941" spans="1:12" s="1918" customFormat="1" ht="16.8">
      <c r="A1941" s="1319"/>
      <c r="B1941" s="1320" t="s">
        <v>6785</v>
      </c>
      <c r="C1941" s="1922">
        <v>1</v>
      </c>
      <c r="D1941" s="1920" t="s">
        <v>133</v>
      </c>
      <c r="E1941" s="1324">
        <f>+'BASE 2'!D612</f>
        <v>570674.49600000004</v>
      </c>
      <c r="F1941" s="1324"/>
      <c r="G1941" s="1324">
        <f>+E1941*C1941</f>
        <v>570674.49600000004</v>
      </c>
      <c r="H1941" s="1324"/>
      <c r="I1941" s="1324"/>
      <c r="J1941" s="2901"/>
      <c r="K1941" s="2901"/>
      <c r="L1941" s="2901"/>
    </row>
    <row r="1942" spans="1:12" s="1918" customFormat="1" ht="16.8">
      <c r="A1942" s="1319"/>
      <c r="B1942" s="1320" t="s">
        <v>4727</v>
      </c>
      <c r="C1942" s="1919">
        <v>1.2E-2</v>
      </c>
      <c r="D1942" s="1921" t="s">
        <v>583</v>
      </c>
      <c r="E1942" s="1324">
        <f>+VIAJE</f>
        <v>1200000</v>
      </c>
      <c r="F1942" s="1324"/>
      <c r="G1942" s="1324"/>
      <c r="H1942" s="1324"/>
      <c r="I1942" s="2149">
        <f>+E1942*C1942</f>
        <v>14400</v>
      </c>
      <c r="J1942" s="2901"/>
      <c r="K1942" s="2901"/>
      <c r="L1942" s="2901"/>
    </row>
    <row r="1943" spans="1:12" s="1918" customFormat="1" ht="16.8">
      <c r="A1943" s="1325" t="s">
        <v>190</v>
      </c>
      <c r="B1943" s="1326">
        <f>ROUND(SUM(F1943:I1943),0)</f>
        <v>585074</v>
      </c>
      <c r="C1943" s="1323"/>
      <c r="D1943" s="1327"/>
      <c r="E1943" s="1319"/>
      <c r="F1943" s="1324">
        <f>SUM(F1941:F1941)</f>
        <v>0</v>
      </c>
      <c r="G1943" s="1324">
        <f>SUM(G1941:G1942)</f>
        <v>570674.49600000004</v>
      </c>
      <c r="H1943" s="1324">
        <f>SUM(H1941:H1941)</f>
        <v>0</v>
      </c>
      <c r="I1943" s="2149">
        <f>+I1942</f>
        <v>14400</v>
      </c>
      <c r="J1943" s="2901"/>
      <c r="K1943" s="2901"/>
      <c r="L1943" s="2901"/>
    </row>
    <row r="1944" spans="1:12" ht="16.8">
      <c r="A1944" s="1325" t="s">
        <v>191</v>
      </c>
      <c r="B1944" s="1326">
        <f>+B1943</f>
        <v>585074</v>
      </c>
      <c r="C1944" s="1328" t="s">
        <v>150</v>
      </c>
      <c r="D1944" s="1329"/>
      <c r="E1944" s="1329"/>
      <c r="F1944" s="1329"/>
      <c r="G1944" s="1329"/>
      <c r="H1944" s="1330"/>
      <c r="I1944" s="1330"/>
    </row>
    <row r="1946" spans="1:12" s="1918" customFormat="1" ht="16.8">
      <c r="A1946" s="1318"/>
      <c r="B1946" s="3849" t="s">
        <v>4847</v>
      </c>
      <c r="C1946" s="3849"/>
      <c r="D1946" s="3849"/>
      <c r="E1946" s="3849"/>
      <c r="F1946" s="3849"/>
      <c r="G1946" s="3849"/>
      <c r="H1946" s="3849"/>
      <c r="I1946" s="3849"/>
      <c r="J1946" s="2901"/>
      <c r="K1946" s="2901"/>
      <c r="L1946" s="2901"/>
    </row>
    <row r="1947" spans="1:12" s="1918" customFormat="1" ht="16.8">
      <c r="A1947" s="1319"/>
      <c r="B1947" s="1320"/>
      <c r="C1947" s="1319" t="s">
        <v>140</v>
      </c>
      <c r="D1947" s="1319" t="s">
        <v>343</v>
      </c>
      <c r="E1947" s="1319" t="s">
        <v>344</v>
      </c>
      <c r="F1947" s="1319" t="s">
        <v>482</v>
      </c>
      <c r="G1947" s="1319" t="s">
        <v>483</v>
      </c>
      <c r="H1947" s="1319" t="s">
        <v>170</v>
      </c>
      <c r="I1947" s="1319" t="s">
        <v>171</v>
      </c>
      <c r="J1947" s="2901"/>
      <c r="K1947" s="2901"/>
      <c r="L1947" s="2901"/>
    </row>
    <row r="1948" spans="1:12" s="1918" customFormat="1" ht="16.8">
      <c r="A1948" s="1319" t="s">
        <v>345</v>
      </c>
      <c r="B1948" s="1320" t="s">
        <v>6439</v>
      </c>
      <c r="C1948" s="1322">
        <v>0.48</v>
      </c>
      <c r="D1948" s="1323" t="s">
        <v>346</v>
      </c>
      <c r="E1948" s="1324">
        <f>+OFICI</f>
        <v>80479.625344</v>
      </c>
      <c r="F1948" s="1324"/>
      <c r="G1948" s="1324"/>
      <c r="H1948" s="1324">
        <f>+E1948*C1948</f>
        <v>38630.220165120001</v>
      </c>
      <c r="I1948" s="1324"/>
      <c r="J1948" s="2901"/>
      <c r="K1948" s="2901"/>
      <c r="L1948" s="2901"/>
    </row>
    <row r="1949" spans="1:12" s="1918" customFormat="1" ht="16.8">
      <c r="A1949" s="1319" t="s">
        <v>348</v>
      </c>
      <c r="B1949" s="1320" t="s">
        <v>966</v>
      </c>
      <c r="C1949" s="1322">
        <v>0.48</v>
      </c>
      <c r="D1949" s="1323" t="s">
        <v>346</v>
      </c>
      <c r="E1949" s="1324">
        <f>+AYUDR</f>
        <v>50299.76584</v>
      </c>
      <c r="F1949" s="1324"/>
      <c r="G1949" s="1324"/>
      <c r="H1949" s="1324">
        <f>+E1949*C1949</f>
        <v>24143.887603200001</v>
      </c>
      <c r="I1949" s="1324"/>
      <c r="J1949" s="2901"/>
      <c r="K1949" s="2901"/>
      <c r="L1949" s="2901"/>
    </row>
    <row r="1950" spans="1:12" s="1918" customFormat="1" ht="16.8">
      <c r="A1950" s="1319" t="s">
        <v>172</v>
      </c>
      <c r="B1950" s="1320" t="s">
        <v>189</v>
      </c>
      <c r="C1950" s="1322">
        <v>1</v>
      </c>
      <c r="D1950" s="1323" t="s">
        <v>583</v>
      </c>
      <c r="E1950" s="1324">
        <f>+H1951*0.05</f>
        <v>3138.705388416</v>
      </c>
      <c r="F1950" s="1324"/>
      <c r="G1950" s="1324"/>
      <c r="H1950" s="1324"/>
      <c r="I1950" s="1324">
        <f>+E1950*C1950</f>
        <v>3138.705388416</v>
      </c>
      <c r="J1950" s="2901"/>
      <c r="K1950" s="2901"/>
      <c r="L1950" s="2901"/>
    </row>
    <row r="1951" spans="1:12" s="1918" customFormat="1" ht="16.8">
      <c r="A1951" s="1325" t="s">
        <v>190</v>
      </c>
      <c r="B1951" s="1326">
        <f>ROUND(SUM(F1951:I1951),0)</f>
        <v>65913</v>
      </c>
      <c r="C1951" s="1323"/>
      <c r="D1951" s="1327"/>
      <c r="E1951" s="1319"/>
      <c r="F1951" s="1324">
        <f>SUM(F1948:F1950)</f>
        <v>0</v>
      </c>
      <c r="G1951" s="1324">
        <f>SUM(G1948:G1949)</f>
        <v>0</v>
      </c>
      <c r="H1951" s="1324">
        <f>SUM(H1948:H1949)</f>
        <v>62774.107768319998</v>
      </c>
      <c r="I1951" s="1324">
        <f>SUM(I1948:I1950)</f>
        <v>3138.705388416</v>
      </c>
      <c r="J1951" s="2901"/>
      <c r="K1951" s="2901"/>
      <c r="L1951" s="2901"/>
    </row>
    <row r="1952" spans="1:12" ht="16.8">
      <c r="A1952" s="1325" t="s">
        <v>191</v>
      </c>
      <c r="B1952" s="1326">
        <f>+B1951</f>
        <v>65913</v>
      </c>
      <c r="C1952" s="1328" t="s">
        <v>150</v>
      </c>
      <c r="D1952" s="1329"/>
      <c r="E1952" s="1329">
        <f>+B1959*0.15</f>
        <v>65558.399999999994</v>
      </c>
      <c r="F1952" s="1329"/>
      <c r="G1952" s="1329"/>
      <c r="H1952" s="1330"/>
      <c r="I1952" s="1330"/>
    </row>
    <row r="1953" spans="1:12" s="1918" customFormat="1" ht="15.75" customHeight="1">
      <c r="A1953" s="492"/>
      <c r="B1953" s="492"/>
      <c r="C1953" s="492"/>
      <c r="D1953" s="492"/>
      <c r="E1953" s="492"/>
      <c r="F1953" s="492"/>
      <c r="G1953" s="492"/>
      <c r="H1953" s="492"/>
      <c r="I1953" s="492"/>
      <c r="J1953" s="2901"/>
      <c r="K1953" s="2901">
        <f>0.05*1</f>
        <v>0.05</v>
      </c>
      <c r="L1953" s="2901"/>
    </row>
    <row r="1954" spans="1:12" s="1918" customFormat="1" ht="16.8">
      <c r="A1954" s="1318"/>
      <c r="B1954" s="3849" t="s">
        <v>4845</v>
      </c>
      <c r="C1954" s="3849"/>
      <c r="D1954" s="3849"/>
      <c r="E1954" s="3849"/>
      <c r="F1954" s="3849"/>
      <c r="G1954" s="3849"/>
      <c r="H1954" s="3849"/>
      <c r="I1954" s="3849"/>
      <c r="J1954" s="2901"/>
      <c r="K1954" s="2901"/>
      <c r="L1954" s="2901"/>
    </row>
    <row r="1955" spans="1:12" s="1918" customFormat="1" ht="16.8">
      <c r="A1955" s="1319"/>
      <c r="B1955" s="1320"/>
      <c r="C1955" s="1319" t="s">
        <v>140</v>
      </c>
      <c r="D1955" s="1319" t="s">
        <v>343</v>
      </c>
      <c r="E1955" s="1319" t="s">
        <v>344</v>
      </c>
      <c r="F1955" s="1319" t="s">
        <v>482</v>
      </c>
      <c r="G1955" s="1319" t="s">
        <v>483</v>
      </c>
      <c r="H1955" s="1319" t="s">
        <v>170</v>
      </c>
      <c r="I1955" s="1319" t="s">
        <v>171</v>
      </c>
      <c r="J1955" s="2901"/>
      <c r="K1955" s="2901"/>
      <c r="L1955" s="2901"/>
    </row>
    <row r="1956" spans="1:12" s="1918" customFormat="1" ht="16.8">
      <c r="A1956" s="1319"/>
      <c r="B1956" s="1320" t="s">
        <v>6789</v>
      </c>
      <c r="C1956" s="1922">
        <v>1</v>
      </c>
      <c r="D1956" s="1920" t="s">
        <v>133</v>
      </c>
      <c r="E1956" s="1324">
        <f>+'BASE 2'!D610</f>
        <v>422655.79859999998</v>
      </c>
      <c r="F1956" s="1324"/>
      <c r="G1956" s="1324">
        <f>+E1956*C1956</f>
        <v>422655.79859999998</v>
      </c>
      <c r="H1956" s="1324"/>
      <c r="I1956" s="1324"/>
      <c r="J1956" s="2901"/>
      <c r="K1956" s="2901"/>
      <c r="L1956" s="2901"/>
    </row>
    <row r="1957" spans="1:12" s="1918" customFormat="1" ht="16.8">
      <c r="A1957" s="1319"/>
      <c r="B1957" s="1320" t="s">
        <v>4727</v>
      </c>
      <c r="C1957" s="1919">
        <v>1.2E-2</v>
      </c>
      <c r="D1957" s="1921" t="s">
        <v>583</v>
      </c>
      <c r="E1957" s="1324">
        <f>+VIAJE</f>
        <v>1200000</v>
      </c>
      <c r="F1957" s="1324"/>
      <c r="G1957" s="1324"/>
      <c r="H1957" s="1324"/>
      <c r="I1957" s="2149">
        <f>+E1957*C1957</f>
        <v>14400</v>
      </c>
      <c r="J1957" s="2901"/>
      <c r="K1957" s="2901"/>
      <c r="L1957" s="2901"/>
    </row>
    <row r="1958" spans="1:12" s="1918" customFormat="1" ht="16.8">
      <c r="A1958" s="1325" t="s">
        <v>190</v>
      </c>
      <c r="B1958" s="1326">
        <f>ROUND(SUM(F1958:I1958),0)</f>
        <v>437056</v>
      </c>
      <c r="C1958" s="1323"/>
      <c r="D1958" s="1327"/>
      <c r="E1958" s="1319"/>
      <c r="F1958" s="1324">
        <f>SUM(F1956:F1956)</f>
        <v>0</v>
      </c>
      <c r="G1958" s="1324">
        <f>SUM(G1956:G1957)</f>
        <v>422655.79859999998</v>
      </c>
      <c r="H1958" s="1324">
        <f>SUM(H1956:H1956)</f>
        <v>0</v>
      </c>
      <c r="I1958" s="2149">
        <f>+I1957</f>
        <v>14400</v>
      </c>
      <c r="J1958" s="2901"/>
      <c r="K1958" s="2901"/>
      <c r="L1958" s="2901"/>
    </row>
    <row r="1959" spans="1:12" ht="16.8">
      <c r="A1959" s="1325" t="s">
        <v>191</v>
      </c>
      <c r="B1959" s="1326">
        <f>+B1958</f>
        <v>437056</v>
      </c>
      <c r="C1959" s="1328" t="s">
        <v>150</v>
      </c>
      <c r="D1959" s="1329"/>
      <c r="E1959" s="1329"/>
      <c r="F1959" s="1329"/>
      <c r="G1959" s="1329"/>
      <c r="H1959" s="1330"/>
      <c r="I1959" s="1330"/>
    </row>
    <row r="1961" spans="1:12" s="1918" customFormat="1" ht="16.8">
      <c r="A1961" s="1318"/>
      <c r="B1961" s="3849" t="s">
        <v>4837</v>
      </c>
      <c r="C1961" s="3849"/>
      <c r="D1961" s="3849"/>
      <c r="E1961" s="3849"/>
      <c r="F1961" s="3849"/>
      <c r="G1961" s="3849"/>
      <c r="H1961" s="3849"/>
      <c r="I1961" s="3849"/>
      <c r="J1961" s="2901"/>
      <c r="K1961" s="2901"/>
      <c r="L1961" s="2901"/>
    </row>
    <row r="1962" spans="1:12" s="1918" customFormat="1" ht="16.8">
      <c r="A1962" s="1319"/>
      <c r="B1962" s="1320"/>
      <c r="C1962" s="1319" t="s">
        <v>140</v>
      </c>
      <c r="D1962" s="1319" t="s">
        <v>343</v>
      </c>
      <c r="E1962" s="1319" t="s">
        <v>344</v>
      </c>
      <c r="F1962" s="1319" t="s">
        <v>482</v>
      </c>
      <c r="G1962" s="1319" t="s">
        <v>483</v>
      </c>
      <c r="H1962" s="1319" t="s">
        <v>170</v>
      </c>
      <c r="I1962" s="1319" t="s">
        <v>171</v>
      </c>
      <c r="J1962" s="2901"/>
      <c r="K1962" s="2901"/>
      <c r="L1962" s="2901"/>
    </row>
    <row r="1963" spans="1:12" s="1918" customFormat="1" ht="16.8">
      <c r="A1963" s="1319" t="s">
        <v>345</v>
      </c>
      <c r="B1963" s="1320" t="s">
        <v>965</v>
      </c>
      <c r="C1963" s="1322">
        <v>0.24</v>
      </c>
      <c r="D1963" s="1323" t="s">
        <v>346</v>
      </c>
      <c r="E1963" s="1324">
        <f>+OFICI</f>
        <v>80479.625344</v>
      </c>
      <c r="F1963" s="1324"/>
      <c r="G1963" s="1324"/>
      <c r="H1963" s="1324">
        <f>+E1963*C1963</f>
        <v>19315.110082560001</v>
      </c>
      <c r="I1963" s="1324"/>
      <c r="J1963" s="2901"/>
      <c r="K1963" s="2901"/>
      <c r="L1963" s="2901"/>
    </row>
    <row r="1964" spans="1:12" s="1918" customFormat="1" ht="16.8">
      <c r="A1964" s="1319" t="s">
        <v>348</v>
      </c>
      <c r="B1964" s="1320" t="s">
        <v>6579</v>
      </c>
      <c r="C1964" s="1322">
        <v>0.24</v>
      </c>
      <c r="D1964" s="1323" t="s">
        <v>346</v>
      </c>
      <c r="E1964" s="1324">
        <f>+AYUDR</f>
        <v>50299.76584</v>
      </c>
      <c r="F1964" s="1324"/>
      <c r="G1964" s="1324"/>
      <c r="H1964" s="1324">
        <f>+E1964*C1964</f>
        <v>12071.9438016</v>
      </c>
      <c r="I1964" s="1324"/>
      <c r="J1964" s="2901"/>
      <c r="K1964" s="2901"/>
      <c r="L1964" s="2901"/>
    </row>
    <row r="1965" spans="1:12" s="1918" customFormat="1" ht="16.8">
      <c r="A1965" s="1319" t="s">
        <v>172</v>
      </c>
      <c r="B1965" s="1320" t="s">
        <v>189</v>
      </c>
      <c r="C1965" s="1322">
        <v>1</v>
      </c>
      <c r="D1965" s="1323" t="s">
        <v>583</v>
      </c>
      <c r="E1965" s="1324">
        <f>+H1966*0.05</f>
        <v>1569.352694208</v>
      </c>
      <c r="F1965" s="1324"/>
      <c r="G1965" s="1324"/>
      <c r="H1965" s="1324"/>
      <c r="I1965" s="1324">
        <f>+E1965*C1965</f>
        <v>1569.352694208</v>
      </c>
      <c r="J1965" s="2901"/>
      <c r="K1965" s="2901"/>
      <c r="L1965" s="2901"/>
    </row>
    <row r="1966" spans="1:12" s="1918" customFormat="1" ht="16.8">
      <c r="A1966" s="1325" t="s">
        <v>190</v>
      </c>
      <c r="B1966" s="1326">
        <f>ROUND(SUM(F1966:I1966),0)</f>
        <v>32956</v>
      </c>
      <c r="C1966" s="1323"/>
      <c r="D1966" s="1327"/>
      <c r="E1966" s="1319"/>
      <c r="F1966" s="1324">
        <f>SUM(F1963:F1965)</f>
        <v>0</v>
      </c>
      <c r="G1966" s="1324">
        <f>SUM(G1963:G1964)</f>
        <v>0</v>
      </c>
      <c r="H1966" s="1324">
        <f>SUM(H1963:H1964)</f>
        <v>31387.053884159999</v>
      </c>
      <c r="I1966" s="1324">
        <f>SUM(I1963:I1965)</f>
        <v>1569.352694208</v>
      </c>
      <c r="J1966" s="2901"/>
      <c r="K1966" s="2901"/>
      <c r="L1966" s="2901"/>
    </row>
    <row r="1967" spans="1:12" ht="16.8">
      <c r="A1967" s="1325" t="s">
        <v>191</v>
      </c>
      <c r="B1967" s="1326">
        <f>+B1966</f>
        <v>32956</v>
      </c>
      <c r="C1967" s="1328" t="s">
        <v>150</v>
      </c>
      <c r="D1967" s="1329"/>
      <c r="E1967" s="1329">
        <f>+B1974*0.15</f>
        <v>33111.9</v>
      </c>
      <c r="F1967" s="1329"/>
      <c r="G1967" s="1329"/>
      <c r="H1967" s="1330"/>
      <c r="I1967" s="1330"/>
    </row>
    <row r="1968" spans="1:12" s="1918" customFormat="1" ht="15.75" customHeight="1">
      <c r="A1968" s="492"/>
      <c r="B1968" s="492"/>
      <c r="C1968" s="492"/>
      <c r="D1968" s="492"/>
      <c r="E1968" s="492"/>
      <c r="F1968" s="492"/>
      <c r="G1968" s="492"/>
      <c r="H1968" s="492"/>
      <c r="I1968" s="492"/>
      <c r="J1968" s="2901"/>
      <c r="K1968" s="2901">
        <f>0.05*1</f>
        <v>0.05</v>
      </c>
      <c r="L1968" s="2901"/>
    </row>
    <row r="1969" spans="1:12" s="1918" customFormat="1" ht="16.8">
      <c r="A1969" s="1318"/>
      <c r="B1969" s="3849" t="s">
        <v>4838</v>
      </c>
      <c r="C1969" s="3849"/>
      <c r="D1969" s="3849"/>
      <c r="E1969" s="3849"/>
      <c r="F1969" s="3849"/>
      <c r="G1969" s="3849"/>
      <c r="H1969" s="3849"/>
      <c r="I1969" s="3849"/>
      <c r="J1969" s="2901"/>
      <c r="K1969" s="2901"/>
      <c r="L1969" s="2901"/>
    </row>
    <row r="1970" spans="1:12" s="1918" customFormat="1" ht="15" customHeight="1">
      <c r="A1970" s="1319"/>
      <c r="B1970" s="1320"/>
      <c r="C1970" s="1319" t="s">
        <v>140</v>
      </c>
      <c r="D1970" s="1319" t="s">
        <v>343</v>
      </c>
      <c r="E1970" s="1319" t="s">
        <v>344</v>
      </c>
      <c r="F1970" s="1319" t="s">
        <v>482</v>
      </c>
      <c r="G1970" s="1319" t="s">
        <v>483</v>
      </c>
      <c r="H1970" s="1319" t="s">
        <v>170</v>
      </c>
      <c r="I1970" s="1319" t="s">
        <v>171</v>
      </c>
      <c r="J1970" s="2901"/>
      <c r="K1970" s="2901"/>
      <c r="L1970" s="2901"/>
    </row>
    <row r="1971" spans="1:12" s="1918" customFormat="1" ht="16.8">
      <c r="A1971" s="1319"/>
      <c r="B1971" s="1335" t="s">
        <v>4839</v>
      </c>
      <c r="C1971" s="1922">
        <v>1</v>
      </c>
      <c r="D1971" s="1920" t="s">
        <v>133</v>
      </c>
      <c r="E1971" s="2149">
        <f>+'BASE 2'!D348</f>
        <v>206346</v>
      </c>
      <c r="F1971" s="1324"/>
      <c r="G1971" s="1324">
        <f>+E1971*C1971</f>
        <v>206346</v>
      </c>
      <c r="H1971" s="1324"/>
      <c r="I1971" s="1324"/>
      <c r="J1971" s="2901"/>
      <c r="K1971" s="2901"/>
      <c r="L1971" s="2901"/>
    </row>
    <row r="1972" spans="1:12" s="1918" customFormat="1" ht="16.8">
      <c r="A1972" s="1319"/>
      <c r="B1972" s="1320" t="s">
        <v>4727</v>
      </c>
      <c r="C1972" s="1919">
        <v>1.2E-2</v>
      </c>
      <c r="D1972" s="1921" t="s">
        <v>583</v>
      </c>
      <c r="E1972" s="1324">
        <f>+VIAJE</f>
        <v>1200000</v>
      </c>
      <c r="F1972" s="1324"/>
      <c r="G1972" s="1324"/>
      <c r="H1972" s="1324"/>
      <c r="I1972" s="1324">
        <f>+E1972*C1972</f>
        <v>14400</v>
      </c>
      <c r="J1972" s="2901"/>
      <c r="K1972" s="2901"/>
      <c r="L1972" s="2901"/>
    </row>
    <row r="1973" spans="1:12" s="1918" customFormat="1" ht="16.8">
      <c r="A1973" s="1325" t="s">
        <v>190</v>
      </c>
      <c r="B1973" s="1326">
        <f>ROUND(SUM(F1973:I1973),0)</f>
        <v>220746</v>
      </c>
      <c r="C1973" s="1323"/>
      <c r="D1973" s="1327"/>
      <c r="E1973" s="1319"/>
      <c r="F1973" s="1324">
        <f>SUM(F1971:F1971)</f>
        <v>0</v>
      </c>
      <c r="G1973" s="1324">
        <f>SUM(G1971:G1972)</f>
        <v>206346</v>
      </c>
      <c r="H1973" s="1324">
        <f>SUM(H1971:H1971)</f>
        <v>0</v>
      </c>
      <c r="I1973" s="1324">
        <f>+I1972</f>
        <v>14400</v>
      </c>
      <c r="J1973" s="2901"/>
      <c r="K1973" s="2901"/>
      <c r="L1973" s="2901"/>
    </row>
    <row r="1974" spans="1:12" ht="16.8">
      <c r="A1974" s="1325" t="s">
        <v>191</v>
      </c>
      <c r="B1974" s="1326">
        <f>+B1973</f>
        <v>220746</v>
      </c>
      <c r="C1974" s="1328" t="s">
        <v>150</v>
      </c>
      <c r="D1974" s="1329"/>
      <c r="E1974" s="1329"/>
      <c r="F1974" s="1329"/>
      <c r="G1974" s="1329"/>
      <c r="H1974" s="1330"/>
      <c r="I1974" s="1330"/>
    </row>
    <row r="1976" spans="1:12" s="1918" customFormat="1" ht="16.8">
      <c r="A1976" s="1318"/>
      <c r="B1976" s="3849" t="s">
        <v>6794</v>
      </c>
      <c r="C1976" s="3849"/>
      <c r="D1976" s="3849"/>
      <c r="E1976" s="3849"/>
      <c r="F1976" s="3849"/>
      <c r="G1976" s="3849"/>
      <c r="H1976" s="3849"/>
      <c r="I1976" s="3849"/>
      <c r="J1976" s="2901"/>
      <c r="K1976" s="2901"/>
      <c r="L1976" s="2901"/>
    </row>
    <row r="1977" spans="1:12" s="1918" customFormat="1" ht="16.8">
      <c r="A1977" s="1319"/>
      <c r="B1977" s="1320"/>
      <c r="C1977" s="1319" t="s">
        <v>140</v>
      </c>
      <c r="D1977" s="1319" t="s">
        <v>343</v>
      </c>
      <c r="E1977" s="1319" t="s">
        <v>344</v>
      </c>
      <c r="F1977" s="1319" t="s">
        <v>482</v>
      </c>
      <c r="G1977" s="1319" t="s">
        <v>483</v>
      </c>
      <c r="H1977" s="1319" t="s">
        <v>170</v>
      </c>
      <c r="I1977" s="1319" t="s">
        <v>171</v>
      </c>
      <c r="J1977" s="2901"/>
      <c r="K1977" s="2901"/>
      <c r="L1977" s="2901"/>
    </row>
    <row r="1978" spans="1:12" s="1918" customFormat="1" ht="16.8">
      <c r="A1978" s="1319" t="s">
        <v>345</v>
      </c>
      <c r="B1978" s="1320" t="s">
        <v>6439</v>
      </c>
      <c r="C1978" s="1322">
        <v>0.04</v>
      </c>
      <c r="D1978" s="1323" t="s">
        <v>346</v>
      </c>
      <c r="E1978" s="1324">
        <f>+OFICI</f>
        <v>80479.625344</v>
      </c>
      <c r="F1978" s="1324"/>
      <c r="G1978" s="1324"/>
      <c r="H1978" s="1324">
        <f>+E1978*C1978</f>
        <v>3219.1850137599999</v>
      </c>
      <c r="I1978" s="1324"/>
      <c r="J1978" s="2901"/>
      <c r="K1978" s="2901"/>
      <c r="L1978" s="2901"/>
    </row>
    <row r="1979" spans="1:12" s="1918" customFormat="1" ht="16.8">
      <c r="A1979" s="1319" t="s">
        <v>348</v>
      </c>
      <c r="B1979" s="1320" t="s">
        <v>966</v>
      </c>
      <c r="C1979" s="1322">
        <v>0.04</v>
      </c>
      <c r="D1979" s="1323" t="s">
        <v>346</v>
      </c>
      <c r="E1979" s="1324">
        <f>+AYUDR</f>
        <v>50299.76584</v>
      </c>
      <c r="F1979" s="1324"/>
      <c r="G1979" s="1324"/>
      <c r="H1979" s="1324">
        <f>+E1979*C1979</f>
        <v>2011.9906336000001</v>
      </c>
      <c r="I1979" s="1324"/>
      <c r="J1979" s="2901"/>
      <c r="K1979" s="2901"/>
      <c r="L1979" s="2901"/>
    </row>
    <row r="1980" spans="1:12" s="1918" customFormat="1" ht="16.8">
      <c r="A1980" s="1319" t="s">
        <v>172</v>
      </c>
      <c r="B1980" s="1320" t="s">
        <v>189</v>
      </c>
      <c r="C1980" s="1322">
        <v>1</v>
      </c>
      <c r="D1980" s="1323" t="s">
        <v>583</v>
      </c>
      <c r="E1980" s="1324">
        <f>+H1981*0.05</f>
        <v>261.55878236799998</v>
      </c>
      <c r="F1980" s="1324"/>
      <c r="G1980" s="1324"/>
      <c r="H1980" s="1324"/>
      <c r="I1980" s="1324">
        <f>+E1980*C1980</f>
        <v>261.55878236799998</v>
      </c>
      <c r="J1980" s="2901"/>
      <c r="K1980" s="2901"/>
      <c r="L1980" s="2901"/>
    </row>
    <row r="1981" spans="1:12" s="1918" customFormat="1" ht="16.8">
      <c r="A1981" s="1325" t="s">
        <v>190</v>
      </c>
      <c r="B1981" s="1326">
        <f>ROUND(SUM(F1981:I1981),0)</f>
        <v>5493</v>
      </c>
      <c r="C1981" s="1323"/>
      <c r="D1981" s="1327"/>
      <c r="E1981" s="1319"/>
      <c r="F1981" s="1324">
        <f>SUM(F1978:F1980)</f>
        <v>0</v>
      </c>
      <c r="G1981" s="1324">
        <f>SUM(G1978:G1979)</f>
        <v>0</v>
      </c>
      <c r="H1981" s="1324">
        <f>SUM(H1978:H1979)</f>
        <v>5231.1756473599999</v>
      </c>
      <c r="I1981" s="1324">
        <f>SUM(I1978:I1980)</f>
        <v>261.55878236799998</v>
      </c>
      <c r="J1981" s="2901"/>
      <c r="K1981" s="2901"/>
      <c r="L1981" s="2901"/>
    </row>
    <row r="1982" spans="1:12" ht="16.8">
      <c r="A1982" s="1325" t="s">
        <v>191</v>
      </c>
      <c r="B1982" s="1326">
        <f>+B1981</f>
        <v>5493</v>
      </c>
      <c r="C1982" s="1328" t="s">
        <v>150</v>
      </c>
      <c r="D1982" s="1329"/>
      <c r="E1982" s="1329">
        <f>+B1989*0.15</f>
        <v>5693.4</v>
      </c>
      <c r="F1982" s="1329"/>
      <c r="G1982" s="1329"/>
      <c r="H1982" s="1330"/>
      <c r="I1982" s="1330"/>
    </row>
    <row r="1983" spans="1:12" s="1918" customFormat="1" ht="15.75" customHeight="1">
      <c r="A1983" s="492"/>
      <c r="B1983" s="492"/>
      <c r="C1983" s="492"/>
      <c r="D1983" s="492"/>
      <c r="E1983" s="492"/>
      <c r="F1983" s="492"/>
      <c r="G1983" s="492"/>
      <c r="H1983" s="492"/>
      <c r="I1983" s="492"/>
      <c r="J1983" s="2901"/>
      <c r="K1983" s="2901">
        <f>0.05*1</f>
        <v>0.05</v>
      </c>
      <c r="L1983" s="2901"/>
    </row>
    <row r="1984" spans="1:12" s="1918" customFormat="1" ht="16.8">
      <c r="A1984" s="1318"/>
      <c r="B1984" s="3849" t="s">
        <v>6793</v>
      </c>
      <c r="C1984" s="3849"/>
      <c r="D1984" s="3849"/>
      <c r="E1984" s="3849"/>
      <c r="F1984" s="3849"/>
      <c r="G1984" s="3849"/>
      <c r="H1984" s="3849"/>
      <c r="I1984" s="3849"/>
      <c r="J1984" s="2901"/>
      <c r="K1984" s="2901"/>
      <c r="L1984" s="2901"/>
    </row>
    <row r="1985" spans="1:12" s="1918" customFormat="1" ht="16.8">
      <c r="A1985" s="1319"/>
      <c r="B1985" s="1320"/>
      <c r="C1985" s="1319" t="s">
        <v>140</v>
      </c>
      <c r="D1985" s="1319" t="s">
        <v>343</v>
      </c>
      <c r="E1985" s="1319" t="s">
        <v>344</v>
      </c>
      <c r="F1985" s="1319" t="s">
        <v>482</v>
      </c>
      <c r="G1985" s="1319" t="s">
        <v>483</v>
      </c>
      <c r="H1985" s="1319" t="s">
        <v>170</v>
      </c>
      <c r="I1985" s="1319" t="s">
        <v>171</v>
      </c>
      <c r="J1985" s="2901"/>
      <c r="K1985" s="2901"/>
      <c r="L1985" s="2901"/>
    </row>
    <row r="1986" spans="1:12" s="1918" customFormat="1" ht="16.8">
      <c r="A1986" s="1319"/>
      <c r="B1986" s="1320" t="s">
        <v>6792</v>
      </c>
      <c r="C1986" s="1922">
        <v>1</v>
      </c>
      <c r="D1986" s="1920" t="s">
        <v>133</v>
      </c>
      <c r="E1986" s="1324">
        <f>+'BASE 2'!D615</f>
        <v>11777.958359999999</v>
      </c>
      <c r="G1986" s="1324">
        <f>C1986*E1986</f>
        <v>11777.958359999999</v>
      </c>
      <c r="H1986" s="1324"/>
      <c r="I1986" s="1324"/>
      <c r="J1986" s="2901"/>
      <c r="K1986" s="2901"/>
      <c r="L1986" s="2901"/>
    </row>
    <row r="1987" spans="1:12" s="1918" customFormat="1" ht="16.8">
      <c r="A1987" s="1319"/>
      <c r="B1987" s="1320" t="s">
        <v>4727</v>
      </c>
      <c r="C1987" s="1919">
        <v>1.2E-2</v>
      </c>
      <c r="D1987" s="1921" t="s">
        <v>583</v>
      </c>
      <c r="E1987" s="1324">
        <f>+VIAJE</f>
        <v>1200000</v>
      </c>
      <c r="F1987" s="1324"/>
      <c r="G1987" s="1324"/>
      <c r="H1987" s="1324"/>
      <c r="I1987" s="2149">
        <f>+E1987*C1987</f>
        <v>14400</v>
      </c>
      <c r="J1987" s="2901"/>
      <c r="K1987" s="2901"/>
      <c r="L1987" s="2901"/>
    </row>
    <row r="1988" spans="1:12" s="1918" customFormat="1" ht="16.8">
      <c r="A1988" s="1325" t="s">
        <v>190</v>
      </c>
      <c r="B1988" s="1326">
        <f>ROUND(SUM(F1988:I1988),0)</f>
        <v>37956</v>
      </c>
      <c r="C1988" s="1323"/>
      <c r="D1988" s="1327"/>
      <c r="E1988" s="1319"/>
      <c r="F1988" s="1324">
        <f>SUM(E1986:E1986)</f>
        <v>11777.958359999999</v>
      </c>
      <c r="G1988" s="1324">
        <f>SUM(G1986:G1987)</f>
        <v>11777.958359999999</v>
      </c>
      <c r="H1988" s="1324">
        <f>SUM(H1986:H1986)</f>
        <v>0</v>
      </c>
      <c r="I1988" s="2149">
        <f>+I1987</f>
        <v>14400</v>
      </c>
      <c r="J1988" s="2901"/>
      <c r="K1988" s="2901"/>
      <c r="L1988" s="2901"/>
    </row>
    <row r="1989" spans="1:12" ht="16.8">
      <c r="A1989" s="1325" t="s">
        <v>191</v>
      </c>
      <c r="B1989" s="1326">
        <f>+B1988</f>
        <v>37956</v>
      </c>
      <c r="C1989" s="1328" t="s">
        <v>150</v>
      </c>
      <c r="D1989" s="1329"/>
      <c r="E1989" s="1329"/>
      <c r="F1989" s="1329"/>
      <c r="G1989" s="1329"/>
      <c r="H1989" s="1330"/>
      <c r="I1989" s="1330"/>
    </row>
    <row r="1991" spans="1:12" s="1918" customFormat="1" ht="16.8">
      <c r="A1991" s="1318"/>
      <c r="B1991" s="3849" t="s">
        <v>4840</v>
      </c>
      <c r="C1991" s="3849"/>
      <c r="D1991" s="3849"/>
      <c r="E1991" s="3849"/>
      <c r="F1991" s="3849"/>
      <c r="G1991" s="3849"/>
      <c r="H1991" s="3849"/>
      <c r="I1991" s="3849"/>
      <c r="J1991" s="2901"/>
      <c r="K1991" s="2901"/>
      <c r="L1991" s="2901"/>
    </row>
    <row r="1992" spans="1:12" s="1918" customFormat="1" ht="16.8">
      <c r="A1992" s="1319"/>
      <c r="B1992" s="1320"/>
      <c r="C1992" s="1319" t="s">
        <v>140</v>
      </c>
      <c r="D1992" s="1319" t="s">
        <v>343</v>
      </c>
      <c r="E1992" s="1319" t="s">
        <v>344</v>
      </c>
      <c r="F1992" s="1319" t="s">
        <v>482</v>
      </c>
      <c r="G1992" s="1319" t="s">
        <v>483</v>
      </c>
      <c r="H1992" s="1319" t="s">
        <v>170</v>
      </c>
      <c r="I1992" s="1319" t="s">
        <v>171</v>
      </c>
      <c r="J1992" s="2901"/>
      <c r="K1992" s="2901"/>
      <c r="L1992" s="2901"/>
    </row>
    <row r="1993" spans="1:12" s="1918" customFormat="1" ht="16.8">
      <c r="A1993" s="1319" t="s">
        <v>345</v>
      </c>
      <c r="B1993" s="1320" t="s">
        <v>965</v>
      </c>
      <c r="C1993" s="1322">
        <v>0.03</v>
      </c>
      <c r="D1993" s="1323" t="s">
        <v>346</v>
      </c>
      <c r="E1993" s="1324">
        <f>+OFICI</f>
        <v>80479.625344</v>
      </c>
      <c r="F1993" s="1324"/>
      <c r="G1993" s="1324"/>
      <c r="H1993" s="1324">
        <f>+E1993*C1993</f>
        <v>2414.3887603200001</v>
      </c>
      <c r="I1993" s="1324"/>
      <c r="J1993" s="2901"/>
      <c r="K1993" s="2901"/>
      <c r="L1993" s="2901"/>
    </row>
    <row r="1994" spans="1:12" s="1918" customFormat="1" ht="16.8">
      <c r="A1994" s="1319" t="s">
        <v>348</v>
      </c>
      <c r="B1994" s="1320" t="s">
        <v>966</v>
      </c>
      <c r="C1994" s="1322">
        <v>0.03</v>
      </c>
      <c r="D1994" s="1323" t="s">
        <v>346</v>
      </c>
      <c r="E1994" s="1324">
        <f>+AYUDR</f>
        <v>50299.76584</v>
      </c>
      <c r="F1994" s="1324"/>
      <c r="G1994" s="1324"/>
      <c r="H1994" s="1324">
        <f>+E1994*C1994</f>
        <v>1508.9929752</v>
      </c>
      <c r="I1994" s="1324"/>
      <c r="J1994" s="2901"/>
      <c r="K1994" s="2901"/>
      <c r="L1994" s="2901"/>
    </row>
    <row r="1995" spans="1:12" s="1918" customFormat="1" ht="16.8">
      <c r="A1995" s="1319" t="s">
        <v>172</v>
      </c>
      <c r="B1995" s="1320" t="s">
        <v>189</v>
      </c>
      <c r="C1995" s="1322">
        <v>1</v>
      </c>
      <c r="D1995" s="1323" t="s">
        <v>583</v>
      </c>
      <c r="E1995" s="1324">
        <f>+H1996*0.05</f>
        <v>196.169086776</v>
      </c>
      <c r="F1995" s="1324"/>
      <c r="G1995" s="1324"/>
      <c r="H1995" s="1324"/>
      <c r="I1995" s="1324">
        <f>+E1995*C1995</f>
        <v>196.169086776</v>
      </c>
      <c r="J1995" s="2901"/>
      <c r="K1995" s="2901"/>
      <c r="L1995" s="2901"/>
    </row>
    <row r="1996" spans="1:12" s="1918" customFormat="1" ht="16.8">
      <c r="A1996" s="1325" t="s">
        <v>190</v>
      </c>
      <c r="B1996" s="1326">
        <f>ROUND(SUM(F1996:I1996),0)</f>
        <v>4120</v>
      </c>
      <c r="C1996" s="1323"/>
      <c r="D1996" s="1327"/>
      <c r="E1996" s="1319"/>
      <c r="F1996" s="1324">
        <f>SUM(F1993:F1995)</f>
        <v>0</v>
      </c>
      <c r="G1996" s="1324">
        <f>SUM(G1993:G1994)</f>
        <v>0</v>
      </c>
      <c r="H1996" s="1324">
        <f>SUM(H1993:H1994)</f>
        <v>3923.3817355199999</v>
      </c>
      <c r="I1996" s="1324">
        <f>SUM(I1993:I1995)</f>
        <v>196.169086776</v>
      </c>
      <c r="J1996" s="2901"/>
      <c r="K1996" s="2901"/>
      <c r="L1996" s="2901"/>
    </row>
    <row r="1997" spans="1:12" ht="16.8">
      <c r="A1997" s="1325" t="s">
        <v>191</v>
      </c>
      <c r="B1997" s="1326">
        <f>+B1996</f>
        <v>4120</v>
      </c>
      <c r="C1997" s="1328" t="s">
        <v>150</v>
      </c>
      <c r="D1997" s="1329"/>
      <c r="E1997" s="1329">
        <f>+B2004*0.15</f>
        <v>4464.8999999999996</v>
      </c>
      <c r="F1997" s="1329"/>
      <c r="G1997" s="1329"/>
      <c r="H1997" s="1330"/>
      <c r="I1997" s="1330"/>
    </row>
    <row r="1998" spans="1:12" s="1918" customFormat="1" ht="15.75" customHeight="1">
      <c r="A1998" s="492"/>
      <c r="B1998" s="492"/>
      <c r="C1998" s="492"/>
      <c r="D1998" s="492"/>
      <c r="E1998" s="492"/>
      <c r="F1998" s="492"/>
      <c r="G1998" s="492"/>
      <c r="H1998" s="492"/>
      <c r="I1998" s="492"/>
      <c r="J1998" s="2901"/>
      <c r="K1998" s="2901">
        <f>0.05*1</f>
        <v>0.05</v>
      </c>
      <c r="L1998" s="2901"/>
    </row>
    <row r="1999" spans="1:12" s="1918" customFormat="1" ht="16.8">
      <c r="A1999" s="1318"/>
      <c r="B1999" s="3849" t="s">
        <v>4841</v>
      </c>
      <c r="C1999" s="3849"/>
      <c r="D1999" s="3849"/>
      <c r="E1999" s="3849"/>
      <c r="F1999" s="3849"/>
      <c r="G1999" s="3849"/>
      <c r="H1999" s="3849"/>
      <c r="I1999" s="3849"/>
      <c r="J1999" s="2901"/>
      <c r="K1999" s="2901"/>
      <c r="L1999" s="2901"/>
    </row>
    <row r="2000" spans="1:12" s="1918" customFormat="1" ht="15" customHeight="1">
      <c r="A2000" s="1319"/>
      <c r="B2000" s="1320"/>
      <c r="C2000" s="1319" t="s">
        <v>140</v>
      </c>
      <c r="D2000" s="1319" t="s">
        <v>343</v>
      </c>
      <c r="E2000" s="1319" t="s">
        <v>344</v>
      </c>
      <c r="F2000" s="1319" t="s">
        <v>482</v>
      </c>
      <c r="G2000" s="1319" t="s">
        <v>483</v>
      </c>
      <c r="H2000" s="1319" t="s">
        <v>170</v>
      </c>
      <c r="I2000" s="1319" t="s">
        <v>171</v>
      </c>
      <c r="J2000" s="2901"/>
      <c r="K2000" s="2901"/>
      <c r="L2000" s="2901"/>
    </row>
    <row r="2001" spans="1:12" s="1918" customFormat="1" ht="16.8">
      <c r="A2001" s="1319"/>
      <c r="B2001" s="1335" t="s">
        <v>6796</v>
      </c>
      <c r="C2001" s="1922">
        <v>1</v>
      </c>
      <c r="D2001" s="1920" t="s">
        <v>133</v>
      </c>
      <c r="E2001" s="1324">
        <f>+'BASE 2'!D653</f>
        <v>15365.994000000001</v>
      </c>
      <c r="F2001" s="1324"/>
      <c r="G2001" s="1324">
        <f>+E2001*C2001</f>
        <v>15365.994000000001</v>
      </c>
      <c r="H2001" s="1324"/>
      <c r="I2001" s="1324"/>
      <c r="J2001" s="2901"/>
      <c r="K2001" s="2901"/>
      <c r="L2001" s="2901"/>
    </row>
    <row r="2002" spans="1:12" s="1918" customFormat="1" ht="16.8">
      <c r="A2002" s="1319"/>
      <c r="B2002" s="1320" t="s">
        <v>4727</v>
      </c>
      <c r="C2002" s="1919">
        <v>1.2E-2</v>
      </c>
      <c r="D2002" s="1921" t="s">
        <v>583</v>
      </c>
      <c r="E2002" s="1324">
        <f>+VIAJE</f>
        <v>1200000</v>
      </c>
      <c r="F2002" s="1324"/>
      <c r="G2002" s="1324"/>
      <c r="H2002" s="1324"/>
      <c r="I2002" s="1324">
        <f>+E2002*C2002</f>
        <v>14400</v>
      </c>
      <c r="J2002" s="2901"/>
      <c r="K2002" s="2901"/>
      <c r="L2002" s="2901"/>
    </row>
    <row r="2003" spans="1:12" s="1918" customFormat="1" ht="16.8">
      <c r="A2003" s="1325" t="s">
        <v>190</v>
      </c>
      <c r="B2003" s="1326">
        <f>ROUND(SUM(F2003:I2003),0)</f>
        <v>29766</v>
      </c>
      <c r="C2003" s="1323"/>
      <c r="D2003" s="1327"/>
      <c r="E2003" s="1319"/>
      <c r="F2003" s="1324">
        <f>SUM(F2001:F2001)</f>
        <v>0</v>
      </c>
      <c r="G2003" s="1324">
        <f>SUM(G2001:G2002)</f>
        <v>15365.994000000001</v>
      </c>
      <c r="H2003" s="1324">
        <f>SUM(H2001:H2001)</f>
        <v>0</v>
      </c>
      <c r="I2003" s="1324">
        <f>+I2002</f>
        <v>14400</v>
      </c>
      <c r="J2003" s="2901"/>
      <c r="K2003" s="2901"/>
      <c r="L2003" s="2901"/>
    </row>
    <row r="2004" spans="1:12" ht="16.8">
      <c r="A2004" s="1325" t="s">
        <v>191</v>
      </c>
      <c r="B2004" s="1326">
        <f>+B2003</f>
        <v>29766</v>
      </c>
      <c r="C2004" s="1328" t="s">
        <v>150</v>
      </c>
      <c r="D2004" s="1329"/>
      <c r="E2004" s="1329"/>
      <c r="F2004" s="1329"/>
      <c r="G2004" s="1329"/>
      <c r="H2004" s="1330"/>
      <c r="I2004" s="1330"/>
    </row>
    <row r="2006" spans="1:12" s="1918" customFormat="1" ht="16.8">
      <c r="A2006" s="1318"/>
      <c r="B2006" s="3849" t="s">
        <v>4844</v>
      </c>
      <c r="C2006" s="3849"/>
      <c r="D2006" s="3849"/>
      <c r="E2006" s="3849"/>
      <c r="F2006" s="3849"/>
      <c r="G2006" s="3849"/>
      <c r="H2006" s="3849"/>
      <c r="I2006" s="3849"/>
      <c r="J2006" s="2901"/>
      <c r="K2006" s="2901"/>
      <c r="L2006" s="2901"/>
    </row>
    <row r="2007" spans="1:12" s="1918" customFormat="1" ht="16.8">
      <c r="A2007" s="1319"/>
      <c r="B2007" s="1320"/>
      <c r="C2007" s="1319" t="s">
        <v>140</v>
      </c>
      <c r="D2007" s="1319" t="s">
        <v>343</v>
      </c>
      <c r="E2007" s="1319" t="s">
        <v>344</v>
      </c>
      <c r="F2007" s="1319" t="s">
        <v>482</v>
      </c>
      <c r="G2007" s="1319" t="s">
        <v>483</v>
      </c>
      <c r="H2007" s="1319" t="s">
        <v>170</v>
      </c>
      <c r="I2007" s="1319" t="s">
        <v>171</v>
      </c>
      <c r="J2007" s="2901"/>
      <c r="K2007" s="2901"/>
      <c r="L2007" s="2901"/>
    </row>
    <row r="2008" spans="1:12" s="1918" customFormat="1" ht="16.8">
      <c r="A2008" s="1319" t="s">
        <v>345</v>
      </c>
      <c r="B2008" s="1320" t="s">
        <v>6439</v>
      </c>
      <c r="C2008" s="1322">
        <v>2.5000000000000001E-2</v>
      </c>
      <c r="D2008" s="1323" t="s">
        <v>346</v>
      </c>
      <c r="E2008" s="1324">
        <f>+OFICI</f>
        <v>80479.625344</v>
      </c>
      <c r="F2008" s="1324"/>
      <c r="G2008" s="1324"/>
      <c r="H2008" s="1324">
        <f>+E2008*C2008</f>
        <v>2011.9906336000001</v>
      </c>
      <c r="I2008" s="1324"/>
      <c r="J2008" s="2901"/>
      <c r="K2008" s="2901"/>
      <c r="L2008" s="2901"/>
    </row>
    <row r="2009" spans="1:12" s="1918" customFormat="1" ht="16.8">
      <c r="A2009" s="1319" t="s">
        <v>348</v>
      </c>
      <c r="B2009" s="1320" t="s">
        <v>6579</v>
      </c>
      <c r="C2009" s="1322">
        <v>2.5000000000000001E-2</v>
      </c>
      <c r="D2009" s="1323" t="s">
        <v>346</v>
      </c>
      <c r="E2009" s="1324">
        <f>+AYUDR</f>
        <v>50299.76584</v>
      </c>
      <c r="F2009" s="1324"/>
      <c r="G2009" s="1324"/>
      <c r="H2009" s="1324">
        <f>+E2009*C2009</f>
        <v>1257.494146</v>
      </c>
      <c r="I2009" s="1324"/>
      <c r="J2009" s="2901"/>
      <c r="K2009" s="2901"/>
      <c r="L2009" s="2901"/>
    </row>
    <row r="2010" spans="1:12" s="1918" customFormat="1" ht="16.8">
      <c r="A2010" s="1319" t="s">
        <v>172</v>
      </c>
      <c r="B2010" s="1320" t="s">
        <v>189</v>
      </c>
      <c r="C2010" s="1322">
        <v>1</v>
      </c>
      <c r="D2010" s="1323" t="s">
        <v>583</v>
      </c>
      <c r="E2010" s="1324">
        <f>+H2011*0.05</f>
        <v>163.47423898000002</v>
      </c>
      <c r="F2010" s="1324"/>
      <c r="G2010" s="1324"/>
      <c r="H2010" s="1324"/>
      <c r="I2010" s="1324">
        <f>+E2010*C2010</f>
        <v>163.47423898000002</v>
      </c>
      <c r="J2010" s="2901"/>
      <c r="K2010" s="2901"/>
      <c r="L2010" s="2901"/>
    </row>
    <row r="2011" spans="1:12" s="1918" customFormat="1" ht="16.8">
      <c r="A2011" s="1325" t="s">
        <v>190</v>
      </c>
      <c r="B2011" s="1326">
        <f>ROUND(SUM(F2011:I2011),0)</f>
        <v>3433</v>
      </c>
      <c r="C2011" s="1323"/>
      <c r="D2011" s="1327"/>
      <c r="E2011" s="1319"/>
      <c r="F2011" s="1324">
        <f>SUM(F2008:F2010)</f>
        <v>0</v>
      </c>
      <c r="G2011" s="1324">
        <f>SUM(G2008:G2009)</f>
        <v>0</v>
      </c>
      <c r="H2011" s="1324">
        <f>SUM(H2008:H2009)</f>
        <v>3269.4847796000004</v>
      </c>
      <c r="I2011" s="1324">
        <f>SUM(I2008:I2010)</f>
        <v>163.47423898000002</v>
      </c>
      <c r="J2011" s="2901"/>
      <c r="K2011" s="2901"/>
      <c r="L2011" s="2901"/>
    </row>
    <row r="2012" spans="1:12" ht="16.8">
      <c r="A2012" s="1325" t="s">
        <v>191</v>
      </c>
      <c r="B2012" s="1326">
        <f>+B2011</f>
        <v>3433</v>
      </c>
      <c r="C2012" s="1328" t="s">
        <v>150</v>
      </c>
      <c r="D2012" s="1329"/>
      <c r="E2012" s="1329">
        <f>+B2019*0.15</f>
        <v>3486.9</v>
      </c>
      <c r="F2012" s="1329"/>
      <c r="G2012" s="1329"/>
      <c r="H2012" s="1330"/>
      <c r="I2012" s="1330"/>
    </row>
    <row r="2013" spans="1:12" s="1918" customFormat="1" ht="15.75" customHeight="1">
      <c r="A2013" s="492"/>
      <c r="B2013" s="492"/>
      <c r="C2013" s="492"/>
      <c r="D2013" s="492"/>
      <c r="E2013" s="492"/>
      <c r="F2013" s="492"/>
      <c r="G2013" s="492"/>
      <c r="H2013" s="492"/>
      <c r="I2013" s="492"/>
      <c r="J2013" s="2901"/>
      <c r="K2013" s="2901">
        <f>0.05*1</f>
        <v>0.05</v>
      </c>
      <c r="L2013" s="2901"/>
    </row>
    <row r="2014" spans="1:12" s="1918" customFormat="1" ht="16.8">
      <c r="A2014" s="1318"/>
      <c r="B2014" s="3849" t="s">
        <v>4843</v>
      </c>
      <c r="C2014" s="3849"/>
      <c r="D2014" s="3849"/>
      <c r="E2014" s="3849"/>
      <c r="F2014" s="3849"/>
      <c r="G2014" s="3849"/>
      <c r="H2014" s="3849"/>
      <c r="I2014" s="3849"/>
      <c r="J2014" s="2901"/>
      <c r="K2014" s="2901"/>
      <c r="L2014" s="2901"/>
    </row>
    <row r="2015" spans="1:12" s="1918" customFormat="1" ht="16.8">
      <c r="A2015" s="1319"/>
      <c r="B2015" s="1320"/>
      <c r="C2015" s="1319" t="s">
        <v>140</v>
      </c>
      <c r="D2015" s="1319" t="s">
        <v>343</v>
      </c>
      <c r="E2015" s="1319" t="s">
        <v>344</v>
      </c>
      <c r="F2015" s="1319" t="s">
        <v>482</v>
      </c>
      <c r="G2015" s="1319" t="s">
        <v>483</v>
      </c>
      <c r="H2015" s="1319" t="s">
        <v>170</v>
      </c>
      <c r="I2015" s="1319" t="s">
        <v>171</v>
      </c>
      <c r="J2015" s="2901"/>
      <c r="K2015" s="2901"/>
      <c r="L2015" s="2901"/>
    </row>
    <row r="2016" spans="1:12" s="1918" customFormat="1" ht="16.8">
      <c r="A2016" s="1319"/>
      <c r="B2016" s="1320" t="s">
        <v>6800</v>
      </c>
      <c r="C2016" s="1922">
        <v>1</v>
      </c>
      <c r="D2016" s="1920" t="s">
        <v>133</v>
      </c>
      <c r="E2016" s="1324">
        <f>+'BASE 2'!D616</f>
        <v>20845.943999999996</v>
      </c>
      <c r="F2016" s="1324"/>
      <c r="G2016" s="1324">
        <f>+E2016*C2016</f>
        <v>20845.943999999996</v>
      </c>
      <c r="H2016" s="1324"/>
      <c r="I2016" s="1324"/>
      <c r="J2016" s="2901"/>
      <c r="K2016" s="2901"/>
      <c r="L2016" s="2901"/>
    </row>
    <row r="2017" spans="1:12" s="1918" customFormat="1" ht="16.8">
      <c r="A2017" s="1319"/>
      <c r="B2017" s="1320" t="s">
        <v>4727</v>
      </c>
      <c r="C2017" s="1919">
        <v>2E-3</v>
      </c>
      <c r="D2017" s="1921" t="s">
        <v>583</v>
      </c>
      <c r="E2017" s="1324">
        <f>+VIAJE</f>
        <v>1200000</v>
      </c>
      <c r="F2017" s="1324"/>
      <c r="G2017" s="1324"/>
      <c r="H2017" s="1324"/>
      <c r="I2017" s="2149">
        <f>+E2017*C2017</f>
        <v>2400</v>
      </c>
      <c r="J2017" s="2901"/>
      <c r="K2017" s="2901"/>
      <c r="L2017" s="2901"/>
    </row>
    <row r="2018" spans="1:12" s="1918" customFormat="1" ht="16.8">
      <c r="A2018" s="1325" t="s">
        <v>190</v>
      </c>
      <c r="B2018" s="1326">
        <f>ROUND(SUM(F2018:I2018),0)</f>
        <v>23246</v>
      </c>
      <c r="C2018" s="1323"/>
      <c r="D2018" s="1327"/>
      <c r="E2018" s="1319"/>
      <c r="F2018" s="1324">
        <f>SUM(F2016:F2016)</f>
        <v>0</v>
      </c>
      <c r="G2018" s="1324">
        <f>SUM(G2016:G2017)</f>
        <v>20845.943999999996</v>
      </c>
      <c r="H2018" s="1324">
        <f>SUM(H2016:H2016)</f>
        <v>0</v>
      </c>
      <c r="I2018" s="2149">
        <f>+I2017</f>
        <v>2400</v>
      </c>
      <c r="J2018" s="2901"/>
      <c r="K2018" s="2901"/>
      <c r="L2018" s="2901"/>
    </row>
    <row r="2019" spans="1:12" ht="16.8">
      <c r="A2019" s="1325" t="s">
        <v>191</v>
      </c>
      <c r="B2019" s="1326">
        <f>+B2018</f>
        <v>23246</v>
      </c>
      <c r="C2019" s="1328" t="s">
        <v>150</v>
      </c>
      <c r="D2019" s="1329"/>
      <c r="E2019" s="1329"/>
      <c r="F2019" s="1329"/>
      <c r="G2019" s="1329"/>
      <c r="H2019" s="1330"/>
      <c r="I2019" s="1330"/>
    </row>
    <row r="2021" spans="1:12" s="1918" customFormat="1" ht="16.8">
      <c r="A2021" s="1318"/>
      <c r="B2021" s="3849" t="s">
        <v>6805</v>
      </c>
      <c r="C2021" s="3849"/>
      <c r="D2021" s="3849"/>
      <c r="E2021" s="3849"/>
      <c r="F2021" s="3849"/>
      <c r="G2021" s="3849"/>
      <c r="H2021" s="3849"/>
      <c r="I2021" s="3849"/>
      <c r="J2021" s="2901"/>
      <c r="K2021" s="2901"/>
      <c r="L2021" s="2901"/>
    </row>
    <row r="2022" spans="1:12" s="1918" customFormat="1" ht="16.8">
      <c r="A2022" s="1319"/>
      <c r="B2022" s="1320"/>
      <c r="C2022" s="1319" t="s">
        <v>140</v>
      </c>
      <c r="D2022" s="1319" t="s">
        <v>343</v>
      </c>
      <c r="E2022" s="1319" t="s">
        <v>344</v>
      </c>
      <c r="F2022" s="1319" t="s">
        <v>482</v>
      </c>
      <c r="G2022" s="1319" t="s">
        <v>483</v>
      </c>
      <c r="H2022" s="1319" t="s">
        <v>170</v>
      </c>
      <c r="I2022" s="1319" t="s">
        <v>171</v>
      </c>
      <c r="J2022" s="2901"/>
      <c r="K2022" s="2901"/>
      <c r="L2022" s="2901"/>
    </row>
    <row r="2023" spans="1:12" s="1918" customFormat="1" ht="16.8">
      <c r="A2023" s="1319" t="s">
        <v>345</v>
      </c>
      <c r="B2023" s="1320" t="s">
        <v>6439</v>
      </c>
      <c r="C2023" s="1322">
        <v>0.17199999999999999</v>
      </c>
      <c r="D2023" s="1323" t="s">
        <v>346</v>
      </c>
      <c r="E2023" s="1324">
        <f>+OFICI</f>
        <v>80479.625344</v>
      </c>
      <c r="F2023" s="1324"/>
      <c r="G2023" s="1324"/>
      <c r="H2023" s="1324">
        <f>+E2023*C2023</f>
        <v>13842.495559167999</v>
      </c>
      <c r="I2023" s="1324"/>
      <c r="J2023" s="2901"/>
      <c r="K2023" s="2901"/>
      <c r="L2023" s="2901"/>
    </row>
    <row r="2024" spans="1:12" s="1918" customFormat="1" ht="16.8">
      <c r="A2024" s="1319" t="s">
        <v>348</v>
      </c>
      <c r="B2024" s="1320" t="s">
        <v>6579</v>
      </c>
      <c r="C2024" s="1322">
        <v>0.17199999999999999</v>
      </c>
      <c r="D2024" s="1323" t="s">
        <v>346</v>
      </c>
      <c r="E2024" s="1324">
        <f>+AYUDR</f>
        <v>50299.76584</v>
      </c>
      <c r="F2024" s="1324"/>
      <c r="G2024" s="1324"/>
      <c r="H2024" s="1324">
        <f>+E2024*C2024</f>
        <v>8651.5597244799992</v>
      </c>
      <c r="I2024" s="1324"/>
      <c r="J2024" s="2901"/>
      <c r="K2024" s="2901"/>
      <c r="L2024" s="2901"/>
    </row>
    <row r="2025" spans="1:12" s="1918" customFormat="1" ht="16.8">
      <c r="A2025" s="1319" t="s">
        <v>172</v>
      </c>
      <c r="B2025" s="1320" t="s">
        <v>189</v>
      </c>
      <c r="C2025" s="1322">
        <v>1</v>
      </c>
      <c r="D2025" s="1323" t="s">
        <v>583</v>
      </c>
      <c r="E2025" s="1324">
        <f>+H2026*0.05</f>
        <v>1124.7027641824</v>
      </c>
      <c r="F2025" s="1324"/>
      <c r="G2025" s="1324"/>
      <c r="H2025" s="1324"/>
      <c r="I2025" s="1324">
        <f>+E2025*C2025</f>
        <v>1124.7027641824</v>
      </c>
      <c r="J2025" s="2901"/>
      <c r="K2025" s="2901"/>
      <c r="L2025" s="2901"/>
    </row>
    <row r="2026" spans="1:12" s="1918" customFormat="1" ht="16.8">
      <c r="A2026" s="1325" t="s">
        <v>190</v>
      </c>
      <c r="B2026" s="1326">
        <f>ROUND(SUM(F2026:I2026),0)</f>
        <v>23619</v>
      </c>
      <c r="C2026" s="1323"/>
      <c r="D2026" s="1327"/>
      <c r="E2026" s="1319"/>
      <c r="F2026" s="1324">
        <f>SUM(F2023:F2025)</f>
        <v>0</v>
      </c>
      <c r="G2026" s="1324">
        <f>SUM(G2023:G2024)</f>
        <v>0</v>
      </c>
      <c r="H2026" s="1324">
        <f>SUM(H2023:H2024)</f>
        <v>22494.055283647998</v>
      </c>
      <c r="I2026" s="1324">
        <f>SUM(I2023:I2025)</f>
        <v>1124.7027641824</v>
      </c>
      <c r="J2026" s="2901"/>
      <c r="K2026" s="2901"/>
      <c r="L2026" s="2901"/>
    </row>
    <row r="2027" spans="1:12" ht="16.8">
      <c r="A2027" s="1325" t="s">
        <v>191</v>
      </c>
      <c r="B2027" s="1326">
        <f>+B2026</f>
        <v>23619</v>
      </c>
      <c r="C2027" s="1328" t="s">
        <v>363</v>
      </c>
      <c r="D2027" s="1329"/>
      <c r="E2027" s="1329">
        <f>+B2034*0.15</f>
        <v>23011.95</v>
      </c>
      <c r="F2027" s="1329"/>
      <c r="G2027" s="1329"/>
      <c r="H2027" s="1330"/>
      <c r="I2027" s="1330"/>
    </row>
    <row r="2028" spans="1:12" s="1918" customFormat="1" ht="15.75" customHeight="1">
      <c r="A2028" s="492"/>
      <c r="B2028" s="492"/>
      <c r="C2028" s="492"/>
      <c r="D2028" s="492"/>
      <c r="E2028" s="492"/>
      <c r="F2028" s="492"/>
      <c r="G2028" s="492"/>
      <c r="H2028" s="492"/>
      <c r="I2028" s="492"/>
      <c r="J2028" s="2901"/>
      <c r="K2028" s="2901">
        <f>0.05*1</f>
        <v>0.05</v>
      </c>
      <c r="L2028" s="2901"/>
    </row>
    <row r="2029" spans="1:12" s="1918" customFormat="1" ht="16.8">
      <c r="A2029" s="1318"/>
      <c r="B2029" s="3849" t="s">
        <v>6806</v>
      </c>
      <c r="C2029" s="3849"/>
      <c r="D2029" s="3849"/>
      <c r="E2029" s="3849"/>
      <c r="F2029" s="3849"/>
      <c r="G2029" s="3849"/>
      <c r="H2029" s="3849"/>
      <c r="I2029" s="3849"/>
      <c r="J2029" s="2901"/>
      <c r="K2029" s="2901"/>
      <c r="L2029" s="2901"/>
    </row>
    <row r="2030" spans="1:12" s="1918" customFormat="1" ht="16.8">
      <c r="A2030" s="1319"/>
      <c r="B2030" s="1320"/>
      <c r="C2030" s="1319" t="s">
        <v>140</v>
      </c>
      <c r="D2030" s="1319" t="s">
        <v>343</v>
      </c>
      <c r="E2030" s="1319" t="s">
        <v>344</v>
      </c>
      <c r="F2030" s="1319" t="s">
        <v>482</v>
      </c>
      <c r="G2030" s="1319" t="s">
        <v>483</v>
      </c>
      <c r="H2030" s="1319" t="s">
        <v>170</v>
      </c>
      <c r="I2030" s="1319" t="s">
        <v>171</v>
      </c>
      <c r="J2030" s="2901"/>
      <c r="K2030" s="2901"/>
      <c r="L2030" s="2901"/>
    </row>
    <row r="2031" spans="1:12" s="1918" customFormat="1" ht="16.8">
      <c r="A2031" s="1319"/>
      <c r="B2031" s="1320" t="s">
        <v>6804</v>
      </c>
      <c r="C2031" s="1922">
        <v>1</v>
      </c>
      <c r="D2031" s="1920" t="s">
        <v>133</v>
      </c>
      <c r="E2031" s="2149">
        <f>+'BASE 2'!D619</f>
        <v>139013.47235999999</v>
      </c>
      <c r="F2031" s="1324"/>
      <c r="G2031" s="2149">
        <f>+E2031*C2031</f>
        <v>139013.47235999999</v>
      </c>
      <c r="H2031" s="1324"/>
      <c r="I2031" s="1324"/>
      <c r="J2031" s="2901"/>
      <c r="K2031" s="2901"/>
      <c r="L2031" s="2901"/>
    </row>
    <row r="2032" spans="1:12" s="1918" customFormat="1" ht="16.8">
      <c r="A2032" s="1319"/>
      <c r="B2032" s="1320" t="s">
        <v>4727</v>
      </c>
      <c r="C2032" s="1919">
        <v>1.2E-2</v>
      </c>
      <c r="D2032" s="1921" t="s">
        <v>583</v>
      </c>
      <c r="E2032" s="2149">
        <f>+VIAJE</f>
        <v>1200000</v>
      </c>
      <c r="F2032" s="1324"/>
      <c r="G2032" s="2149"/>
      <c r="H2032" s="1324"/>
      <c r="I2032" s="2149">
        <f>+E2032*C2032</f>
        <v>14400</v>
      </c>
      <c r="J2032" s="2901"/>
      <c r="K2032" s="2901"/>
      <c r="L2032" s="2901"/>
    </row>
    <row r="2033" spans="1:12" s="1918" customFormat="1" ht="16.8">
      <c r="A2033" s="1325" t="s">
        <v>190</v>
      </c>
      <c r="B2033" s="1326">
        <f>ROUND(SUM(F2033:I2033),0)</f>
        <v>153413</v>
      </c>
      <c r="C2033" s="1323"/>
      <c r="D2033" s="1327"/>
      <c r="E2033" s="1319"/>
      <c r="F2033" s="1324">
        <f>SUM(F2031:F2031)</f>
        <v>0</v>
      </c>
      <c r="G2033" s="2149">
        <f>SUM(G2031:G2032)</f>
        <v>139013.47235999999</v>
      </c>
      <c r="H2033" s="1324">
        <f>SUM(H2031:H2031)</f>
        <v>0</v>
      </c>
      <c r="I2033" s="2149">
        <f>+I2032</f>
        <v>14400</v>
      </c>
      <c r="J2033" s="2901"/>
      <c r="K2033" s="2901"/>
      <c r="L2033" s="2901"/>
    </row>
    <row r="2034" spans="1:12" ht="16.8">
      <c r="A2034" s="1325" t="s">
        <v>191</v>
      </c>
      <c r="B2034" s="1326">
        <f>+B2033</f>
        <v>153413</v>
      </c>
      <c r="C2034" s="1328" t="s">
        <v>363</v>
      </c>
      <c r="D2034" s="1329"/>
      <c r="E2034" s="1329"/>
      <c r="F2034" s="1329"/>
      <c r="G2034" s="1329"/>
      <c r="H2034" s="1330"/>
      <c r="I2034" s="1330"/>
    </row>
    <row r="2036" spans="1:12" s="1918" customFormat="1" ht="16.8">
      <c r="A2036" s="1318"/>
      <c r="B2036" s="3849" t="s">
        <v>7196</v>
      </c>
      <c r="C2036" s="3849"/>
      <c r="D2036" s="3849"/>
      <c r="E2036" s="3849"/>
      <c r="F2036" s="3849"/>
      <c r="G2036" s="3849"/>
      <c r="H2036" s="3849"/>
      <c r="I2036" s="3849"/>
      <c r="J2036" s="2901"/>
      <c r="K2036" s="2901"/>
      <c r="L2036" s="2901"/>
    </row>
    <row r="2037" spans="1:12" s="1918" customFormat="1" ht="16.8">
      <c r="A2037" s="1319"/>
      <c r="B2037" s="1320"/>
      <c r="C2037" s="1319" t="s">
        <v>140</v>
      </c>
      <c r="D2037" s="1319" t="s">
        <v>343</v>
      </c>
      <c r="E2037" s="1319" t="s">
        <v>344</v>
      </c>
      <c r="F2037" s="1319" t="s">
        <v>482</v>
      </c>
      <c r="G2037" s="1319" t="s">
        <v>483</v>
      </c>
      <c r="H2037" s="1319" t="s">
        <v>170</v>
      </c>
      <c r="I2037" s="1319" t="s">
        <v>171</v>
      </c>
      <c r="J2037" s="2901"/>
      <c r="K2037" s="2901"/>
      <c r="L2037" s="2901"/>
    </row>
    <row r="2038" spans="1:12" s="1918" customFormat="1" ht="16.8">
      <c r="A2038" s="1319" t="s">
        <v>345</v>
      </c>
      <c r="B2038" s="1320" t="s">
        <v>6439</v>
      </c>
      <c r="C2038" s="1322">
        <v>1.32</v>
      </c>
      <c r="D2038" s="1323" t="s">
        <v>346</v>
      </c>
      <c r="E2038" s="2149">
        <f>+OFICI</f>
        <v>80479.625344</v>
      </c>
      <c r="F2038" s="2149"/>
      <c r="G2038" s="2149"/>
      <c r="H2038" s="2149">
        <f>+E2038*C2038</f>
        <v>106233.10545408001</v>
      </c>
      <c r="I2038" s="2149"/>
      <c r="J2038" s="2901"/>
      <c r="K2038" s="2901"/>
      <c r="L2038" s="2901"/>
    </row>
    <row r="2039" spans="1:12" s="1918" customFormat="1" ht="16.8">
      <c r="A2039" s="1319" t="s">
        <v>348</v>
      </c>
      <c r="B2039" s="1320" t="s">
        <v>966</v>
      </c>
      <c r="C2039" s="1322">
        <v>1.32</v>
      </c>
      <c r="D2039" s="1323" t="s">
        <v>346</v>
      </c>
      <c r="E2039" s="2149">
        <f>+AYUDR</f>
        <v>50299.76584</v>
      </c>
      <c r="F2039" s="2149"/>
      <c r="G2039" s="2149"/>
      <c r="H2039" s="2149">
        <f>+E2039*C2039</f>
        <v>66395.69090880001</v>
      </c>
      <c r="I2039" s="2149"/>
      <c r="J2039" s="2901"/>
      <c r="K2039" s="2901"/>
      <c r="L2039" s="2901"/>
    </row>
    <row r="2040" spans="1:12" s="1918" customFormat="1" ht="16.8">
      <c r="A2040" s="1319" t="s">
        <v>172</v>
      </c>
      <c r="B2040" s="1320" t="s">
        <v>189</v>
      </c>
      <c r="C2040" s="1322">
        <v>1</v>
      </c>
      <c r="D2040" s="1323" t="s">
        <v>583</v>
      </c>
      <c r="E2040" s="2149">
        <f>+H2041*0.05</f>
        <v>8631.4398181440029</v>
      </c>
      <c r="F2040" s="2149"/>
      <c r="G2040" s="2149"/>
      <c r="H2040" s="2149"/>
      <c r="I2040" s="2149">
        <f>+E2040*C2040</f>
        <v>8631.4398181440029</v>
      </c>
      <c r="J2040" s="2901"/>
      <c r="K2040" s="2901"/>
      <c r="L2040" s="2901"/>
    </row>
    <row r="2041" spans="1:12" s="1918" customFormat="1" ht="16.8">
      <c r="A2041" s="1325" t="s">
        <v>190</v>
      </c>
      <c r="B2041" s="1326">
        <f>ROUND(SUM(F2041:I2041),0)</f>
        <v>181260</v>
      </c>
      <c r="C2041" s="1323"/>
      <c r="D2041" s="1327"/>
      <c r="E2041" s="2149"/>
      <c r="F2041" s="2149">
        <f>SUM(F2038:F2040)</f>
        <v>0</v>
      </c>
      <c r="G2041" s="2149">
        <f>SUM(G2038:G2039)</f>
        <v>0</v>
      </c>
      <c r="H2041" s="2149">
        <f>SUM(H2038:H2039)</f>
        <v>172628.79636288004</v>
      </c>
      <c r="I2041" s="2149">
        <f>SUM(I2038:I2040)</f>
        <v>8631.4398181440029</v>
      </c>
      <c r="J2041" s="2901"/>
      <c r="K2041" s="2901"/>
      <c r="L2041" s="2901"/>
    </row>
    <row r="2042" spans="1:12" ht="16.8">
      <c r="A2042" s="1325" t="s">
        <v>191</v>
      </c>
      <c r="B2042" s="1326">
        <f>+B2041</f>
        <v>181260</v>
      </c>
      <c r="C2042" s="1328" t="s">
        <v>150</v>
      </c>
      <c r="D2042" s="1329"/>
      <c r="E2042" s="1329">
        <f>+B2049*0.15</f>
        <v>180535.05</v>
      </c>
      <c r="F2042" s="1329"/>
      <c r="G2042" s="1329"/>
      <c r="H2042" s="1330"/>
      <c r="I2042" s="1330"/>
    </row>
    <row r="2043" spans="1:12" s="1918" customFormat="1" ht="15.75" customHeight="1">
      <c r="A2043" s="492"/>
      <c r="B2043" s="492"/>
      <c r="C2043" s="492"/>
      <c r="D2043" s="492"/>
      <c r="E2043" s="492"/>
      <c r="F2043" s="492"/>
      <c r="G2043" s="492"/>
      <c r="H2043" s="492"/>
      <c r="I2043" s="492"/>
      <c r="J2043" s="2901"/>
      <c r="K2043" s="2901">
        <f>0.05*1</f>
        <v>0.05</v>
      </c>
      <c r="L2043" s="2901"/>
    </row>
    <row r="2044" spans="1:12" s="1918" customFormat="1" ht="16.8">
      <c r="A2044" s="1318"/>
      <c r="B2044" s="3849" t="s">
        <v>7065</v>
      </c>
      <c r="C2044" s="3849"/>
      <c r="D2044" s="3849"/>
      <c r="E2044" s="3849"/>
      <c r="F2044" s="3849"/>
      <c r="G2044" s="3849"/>
      <c r="H2044" s="3849"/>
      <c r="I2044" s="3849"/>
      <c r="J2044" s="2901"/>
      <c r="K2044" s="2901"/>
      <c r="L2044" s="2901"/>
    </row>
    <row r="2045" spans="1:12" s="1918" customFormat="1" ht="16.8">
      <c r="A2045" s="1319"/>
      <c r="B2045" s="1320"/>
      <c r="C2045" s="1319" t="s">
        <v>140</v>
      </c>
      <c r="D2045" s="1319" t="s">
        <v>343</v>
      </c>
      <c r="E2045" s="1319" t="s">
        <v>344</v>
      </c>
      <c r="F2045" s="1319" t="s">
        <v>482</v>
      </c>
      <c r="G2045" s="1319" t="s">
        <v>483</v>
      </c>
      <c r="H2045" s="1319" t="s">
        <v>170</v>
      </c>
      <c r="I2045" s="1319" t="s">
        <v>171</v>
      </c>
      <c r="J2045" s="2901"/>
      <c r="K2045" s="2901"/>
      <c r="L2045" s="2901"/>
    </row>
    <row r="2046" spans="1:12" s="1918" customFormat="1" ht="15" customHeight="1">
      <c r="A2046" s="1319"/>
      <c r="B2046" s="1335" t="s">
        <v>7195</v>
      </c>
      <c r="C2046" s="1922">
        <v>1</v>
      </c>
      <c r="D2046" s="1920" t="s">
        <v>133</v>
      </c>
      <c r="E2046" s="2183">
        <f>+'BASE 2'!D549</f>
        <v>1189167</v>
      </c>
      <c r="F2046" s="1374"/>
      <c r="G2046" s="2183">
        <f>+E2046*C2046</f>
        <v>1189167</v>
      </c>
      <c r="H2046" s="2183"/>
      <c r="I2046" s="2183"/>
      <c r="J2046" s="2901"/>
      <c r="K2046" s="2901"/>
      <c r="L2046" s="2901"/>
    </row>
    <row r="2047" spans="1:12" s="1918" customFormat="1" ht="16.8">
      <c r="A2047" s="1319"/>
      <c r="B2047" s="1320" t="s">
        <v>4727</v>
      </c>
      <c r="C2047" s="1919">
        <v>1.2E-2</v>
      </c>
      <c r="D2047" s="1921" t="s">
        <v>583</v>
      </c>
      <c r="E2047" s="2149">
        <f>+VIAJE</f>
        <v>1200000</v>
      </c>
      <c r="F2047" s="1324"/>
      <c r="G2047" s="2149"/>
      <c r="H2047" s="2149"/>
      <c r="I2047" s="2149">
        <f>+E2047*C2047</f>
        <v>14400</v>
      </c>
      <c r="J2047" s="2901"/>
      <c r="K2047" s="2901"/>
      <c r="L2047" s="2901"/>
    </row>
    <row r="2048" spans="1:12" s="1918" customFormat="1" ht="16.8">
      <c r="A2048" s="1325" t="s">
        <v>190</v>
      </c>
      <c r="B2048" s="1326">
        <f>ROUND(SUM(F2048:I2048),0)</f>
        <v>1203567</v>
      </c>
      <c r="C2048" s="1323"/>
      <c r="D2048" s="1327"/>
      <c r="E2048" s="1319"/>
      <c r="F2048" s="1324">
        <f>SUM(F2046:F2046)</f>
        <v>0</v>
      </c>
      <c r="G2048" s="2149">
        <f>SUM(G2046:G2047)</f>
        <v>1189167</v>
      </c>
      <c r="H2048" s="2149">
        <f>SUM(H2046:H2046)</f>
        <v>0</v>
      </c>
      <c r="I2048" s="2149">
        <f>+I2047</f>
        <v>14400</v>
      </c>
      <c r="J2048" s="2901"/>
      <c r="K2048" s="2901"/>
      <c r="L2048" s="2901"/>
    </row>
    <row r="2049" spans="1:9" ht="16.8">
      <c r="A2049" s="1325" t="s">
        <v>191</v>
      </c>
      <c r="B2049" s="1326">
        <f>+B2048</f>
        <v>1203567</v>
      </c>
      <c r="C2049" s="1328" t="s">
        <v>150</v>
      </c>
      <c r="D2049" s="1329"/>
      <c r="E2049" s="1329"/>
      <c r="F2049" s="1329"/>
      <c r="G2049" s="1329"/>
      <c r="H2049" s="1330"/>
      <c r="I2049" s="1330"/>
    </row>
    <row r="2051" spans="1:9" ht="16.8">
      <c r="A2051" s="1318"/>
      <c r="B2051" s="3849" t="s">
        <v>6811</v>
      </c>
      <c r="C2051" s="3849"/>
      <c r="D2051" s="3849"/>
      <c r="E2051" s="3849"/>
      <c r="F2051" s="3849"/>
      <c r="G2051" s="3849"/>
      <c r="H2051" s="3849"/>
      <c r="I2051" s="3849"/>
    </row>
    <row r="2052" spans="1:9" ht="16.8">
      <c r="A2052" s="1319"/>
      <c r="B2052" s="1320"/>
      <c r="C2052" s="1319" t="s">
        <v>140</v>
      </c>
      <c r="D2052" s="1319" t="s">
        <v>343</v>
      </c>
      <c r="E2052" s="1319" t="s">
        <v>344</v>
      </c>
      <c r="F2052" s="1319" t="s">
        <v>482</v>
      </c>
      <c r="G2052" s="1319" t="s">
        <v>483</v>
      </c>
      <c r="H2052" s="1319" t="s">
        <v>170</v>
      </c>
      <c r="I2052" s="1319" t="s">
        <v>171</v>
      </c>
    </row>
    <row r="2053" spans="1:9" ht="16.8">
      <c r="A2053" s="1319" t="s">
        <v>345</v>
      </c>
      <c r="B2053" s="1320" t="s">
        <v>6439</v>
      </c>
      <c r="C2053" s="1322">
        <v>7.4999999999999997E-2</v>
      </c>
      <c r="D2053" s="1323" t="s">
        <v>346</v>
      </c>
      <c r="E2053" s="1324">
        <f>+OFICI</f>
        <v>80479.625344</v>
      </c>
      <c r="F2053" s="1324"/>
      <c r="G2053" s="1324"/>
      <c r="H2053" s="1324">
        <f>+E2053*C2053</f>
        <v>6035.9719008000002</v>
      </c>
      <c r="I2053" s="1324"/>
    </row>
    <row r="2054" spans="1:9" ht="16.8">
      <c r="A2054" s="1319" t="s">
        <v>348</v>
      </c>
      <c r="B2054" s="1320" t="s">
        <v>6579</v>
      </c>
      <c r="C2054" s="1322">
        <v>7.4999999999999997E-2</v>
      </c>
      <c r="D2054" s="1323" t="s">
        <v>346</v>
      </c>
      <c r="E2054" s="1324">
        <f>+AYUDR</f>
        <v>50299.76584</v>
      </c>
      <c r="F2054" s="1324"/>
      <c r="G2054" s="1324"/>
      <c r="H2054" s="1324">
        <f>+E2054*C2054</f>
        <v>3772.482438</v>
      </c>
      <c r="I2054" s="1324"/>
    </row>
    <row r="2055" spans="1:9" ht="16.8">
      <c r="A2055" s="1319" t="s">
        <v>172</v>
      </c>
      <c r="B2055" s="1320" t="s">
        <v>189</v>
      </c>
      <c r="C2055" s="1322">
        <v>1</v>
      </c>
      <c r="D2055" s="1323" t="s">
        <v>583</v>
      </c>
      <c r="E2055" s="1324">
        <f>+H2056*0.05</f>
        <v>490.42271694000004</v>
      </c>
      <c r="F2055" s="1324"/>
      <c r="G2055" s="1324"/>
      <c r="H2055" s="1324"/>
      <c r="I2055" s="1324">
        <f>+E2055*C2055</f>
        <v>490.42271694000004</v>
      </c>
    </row>
    <row r="2056" spans="1:9" ht="16.8">
      <c r="A2056" s="1325" t="s">
        <v>190</v>
      </c>
      <c r="B2056" s="1326">
        <f>ROUND(SUM(F2056:I2056),0)</f>
        <v>10299</v>
      </c>
      <c r="C2056" s="1323"/>
      <c r="D2056" s="1327"/>
      <c r="E2056" s="1319"/>
      <c r="F2056" s="1324">
        <f>SUM(F2053:F2055)</f>
        <v>0</v>
      </c>
      <c r="G2056" s="1324">
        <f>SUM(G2053:G2054)</f>
        <v>0</v>
      </c>
      <c r="H2056" s="1324">
        <f>SUM(H2053:H2054)</f>
        <v>9808.4543388000002</v>
      </c>
      <c r="I2056" s="1324">
        <f>SUM(I2053:I2055)</f>
        <v>490.42271694000004</v>
      </c>
    </row>
    <row r="2057" spans="1:9" ht="16.8">
      <c r="A2057" s="1325" t="s">
        <v>191</v>
      </c>
      <c r="B2057" s="1326">
        <f>+B2056</f>
        <v>10299</v>
      </c>
      <c r="C2057" s="1328" t="s">
        <v>150</v>
      </c>
      <c r="D2057" s="1329"/>
      <c r="E2057" s="1329">
        <f>+B2065*0.15</f>
        <v>10108.65</v>
      </c>
      <c r="F2057" s="1329"/>
      <c r="G2057" s="1329"/>
      <c r="H2057" s="1330"/>
      <c r="I2057" s="1330"/>
    </row>
    <row r="2059" spans="1:9" ht="16.8">
      <c r="A2059" s="1318"/>
      <c r="B2059" s="3849" t="s">
        <v>4888</v>
      </c>
      <c r="C2059" s="3849"/>
      <c r="D2059" s="3849"/>
      <c r="E2059" s="3849"/>
      <c r="F2059" s="3849"/>
      <c r="G2059" s="3849"/>
      <c r="H2059" s="3849"/>
      <c r="I2059" s="3849"/>
    </row>
    <row r="2060" spans="1:9" ht="16.8">
      <c r="A2060" s="1319"/>
      <c r="B2060" s="1320"/>
      <c r="C2060" s="1319" t="s">
        <v>140</v>
      </c>
      <c r="D2060" s="1319" t="s">
        <v>343</v>
      </c>
      <c r="E2060" s="1319" t="s">
        <v>344</v>
      </c>
      <c r="F2060" s="1319" t="s">
        <v>482</v>
      </c>
      <c r="G2060" s="1319" t="s">
        <v>483</v>
      </c>
      <c r="H2060" s="1319" t="s">
        <v>170</v>
      </c>
      <c r="I2060" s="1319" t="s">
        <v>171</v>
      </c>
    </row>
    <row r="2061" spans="1:9" ht="16.8">
      <c r="A2061" s="1319"/>
      <c r="B2061" s="1320" t="s">
        <v>6808</v>
      </c>
      <c r="C2061" s="1378">
        <v>1</v>
      </c>
      <c r="D2061" s="1379" t="s">
        <v>133</v>
      </c>
      <c r="E2061" s="2149">
        <f>+'BASE 2'!D488</f>
        <v>55543.25</v>
      </c>
      <c r="F2061" s="1319"/>
      <c r="G2061" s="2149">
        <f>+E2061*C2061</f>
        <v>55543.25</v>
      </c>
      <c r="H2061" s="1319"/>
      <c r="I2061" s="1319"/>
    </row>
    <row r="2062" spans="1:9" ht="16.8">
      <c r="A2062" s="1319"/>
      <c r="B2062" s="1320" t="s">
        <v>6810</v>
      </c>
      <c r="C2062" s="1922">
        <v>2</v>
      </c>
      <c r="D2062" s="1920" t="s">
        <v>133</v>
      </c>
      <c r="E2062" s="2149">
        <f>4474*1.19</f>
        <v>5324.0599999999995</v>
      </c>
      <c r="F2062" s="1324"/>
      <c r="G2062" s="2149">
        <f>+E2062*C2062</f>
        <v>10648.119999999999</v>
      </c>
      <c r="H2062" s="1324"/>
      <c r="I2062" s="1324"/>
    </row>
    <row r="2063" spans="1:9" ht="16.8">
      <c r="A2063" s="1319"/>
      <c r="B2063" s="1320" t="s">
        <v>4727</v>
      </c>
      <c r="C2063" s="1919">
        <v>1E-3</v>
      </c>
      <c r="D2063" s="1921" t="s">
        <v>583</v>
      </c>
      <c r="E2063" s="2149">
        <f>+VIAJE</f>
        <v>1200000</v>
      </c>
      <c r="F2063" s="1324"/>
      <c r="G2063" s="2149"/>
      <c r="H2063" s="1324"/>
      <c r="I2063" s="2149">
        <f>+E2063*C2063</f>
        <v>1200</v>
      </c>
    </row>
    <row r="2064" spans="1:9" ht="16.8">
      <c r="A2064" s="1325" t="s">
        <v>190</v>
      </c>
      <c r="B2064" s="1326">
        <f>ROUND(SUM(F2064:I2064),0)</f>
        <v>67391</v>
      </c>
      <c r="C2064" s="1323"/>
      <c r="D2064" s="1327"/>
      <c r="E2064" s="1319"/>
      <c r="F2064" s="1324">
        <f>SUM(F2062:F2062)</f>
        <v>0</v>
      </c>
      <c r="G2064" s="2149">
        <f>SUM(G2061:G2063)</f>
        <v>66191.37</v>
      </c>
      <c r="H2064" s="1324">
        <f>SUM(H2062:H2062)</f>
        <v>0</v>
      </c>
      <c r="I2064" s="2149">
        <f>+I2063</f>
        <v>1200</v>
      </c>
    </row>
    <row r="2065" spans="1:9" ht="18" customHeight="1">
      <c r="A2065" s="1325" t="s">
        <v>191</v>
      </c>
      <c r="B2065" s="1326">
        <f>+B2064</f>
        <v>67391</v>
      </c>
      <c r="C2065" s="1328" t="s">
        <v>150</v>
      </c>
      <c r="D2065" s="1329"/>
      <c r="E2065" s="1329"/>
      <c r="F2065" s="1329"/>
      <c r="G2065" s="1329"/>
      <c r="H2065" s="1330"/>
      <c r="I2065" s="1330"/>
    </row>
    <row r="2067" spans="1:9" ht="16.8">
      <c r="A2067" s="1318"/>
      <c r="B2067" s="3849" t="s">
        <v>7199</v>
      </c>
      <c r="C2067" s="3849"/>
      <c r="D2067" s="3849"/>
      <c r="E2067" s="3849"/>
      <c r="F2067" s="3849"/>
      <c r="G2067" s="3849"/>
      <c r="H2067" s="3849"/>
      <c r="I2067" s="3849"/>
    </row>
    <row r="2068" spans="1:9" ht="16.8">
      <c r="A2068" s="1319"/>
      <c r="B2068" s="1320"/>
      <c r="C2068" s="1319" t="s">
        <v>140</v>
      </c>
      <c r="D2068" s="1319" t="s">
        <v>343</v>
      </c>
      <c r="E2068" s="1319" t="s">
        <v>344</v>
      </c>
      <c r="F2068" s="1319" t="s">
        <v>482</v>
      </c>
      <c r="G2068" s="1319" t="s">
        <v>483</v>
      </c>
      <c r="H2068" s="1319" t="s">
        <v>170</v>
      </c>
      <c r="I2068" s="1319" t="s">
        <v>171</v>
      </c>
    </row>
    <row r="2069" spans="1:9" ht="16.8">
      <c r="A2069" s="1319" t="s">
        <v>345</v>
      </c>
      <c r="B2069" s="1320" t="s">
        <v>6439</v>
      </c>
      <c r="C2069" s="1322">
        <v>1.68</v>
      </c>
      <c r="D2069" s="1323" t="s">
        <v>346</v>
      </c>
      <c r="E2069" s="1324">
        <f>+OFICI</f>
        <v>80479.625344</v>
      </c>
      <c r="F2069" s="1324"/>
      <c r="G2069" s="1324"/>
      <c r="H2069" s="1324">
        <f>+E2069*C2069</f>
        <v>135205.77057791999</v>
      </c>
      <c r="I2069" s="1324"/>
    </row>
    <row r="2070" spans="1:9" ht="16.8">
      <c r="A2070" s="1319" t="s">
        <v>348</v>
      </c>
      <c r="B2070" s="1320" t="s">
        <v>6579</v>
      </c>
      <c r="C2070" s="1322">
        <v>1.68</v>
      </c>
      <c r="D2070" s="1323" t="s">
        <v>346</v>
      </c>
      <c r="E2070" s="1324">
        <f>+AYUDR</f>
        <v>50299.76584</v>
      </c>
      <c r="F2070" s="1324"/>
      <c r="G2070" s="1324"/>
      <c r="H2070" s="1324">
        <f>+E2070*C2070</f>
        <v>84503.606611199997</v>
      </c>
      <c r="I2070" s="1324"/>
    </row>
    <row r="2071" spans="1:9" ht="16.8">
      <c r="A2071" s="1319" t="s">
        <v>172</v>
      </c>
      <c r="B2071" s="1320" t="s">
        <v>189</v>
      </c>
      <c r="C2071" s="1322">
        <v>1</v>
      </c>
      <c r="D2071" s="1323" t="s">
        <v>583</v>
      </c>
      <c r="E2071" s="1324">
        <f>+H2072*0.05</f>
        <v>10985.468859455999</v>
      </c>
      <c r="F2071" s="1324"/>
      <c r="G2071" s="1324"/>
      <c r="H2071" s="1324"/>
      <c r="I2071" s="1324">
        <f>+E2071*C2071</f>
        <v>10985.468859455999</v>
      </c>
    </row>
    <row r="2072" spans="1:9" ht="16.8">
      <c r="A2072" s="1325" t="s">
        <v>190</v>
      </c>
      <c r="B2072" s="1326">
        <f>ROUND(SUM(F2072:I2072),0)</f>
        <v>230695</v>
      </c>
      <c r="C2072" s="1323"/>
      <c r="D2072" s="1327"/>
      <c r="E2072" s="1319"/>
      <c r="F2072" s="1324">
        <f>SUM(F2069:F2071)</f>
        <v>0</v>
      </c>
      <c r="G2072" s="1324">
        <f>SUM(G2069:G2070)</f>
        <v>0</v>
      </c>
      <c r="H2072" s="1324">
        <f>SUM(H2069:H2070)</f>
        <v>219709.37718911999</v>
      </c>
      <c r="I2072" s="1324">
        <f>SUM(I2069:I2071)</f>
        <v>10985.468859455999</v>
      </c>
    </row>
    <row r="2073" spans="1:9" ht="16.8">
      <c r="A2073" s="1325" t="s">
        <v>191</v>
      </c>
      <c r="B2073" s="1326">
        <f>+B2072</f>
        <v>230695</v>
      </c>
      <c r="C2073" s="1328" t="s">
        <v>150</v>
      </c>
      <c r="D2073" s="1329"/>
      <c r="E2073" s="1329">
        <f>+B2080*0.15</f>
        <v>230015.25</v>
      </c>
      <c r="F2073" s="1329"/>
      <c r="G2073" s="1329"/>
      <c r="H2073" s="1330"/>
      <c r="I2073" s="1330"/>
    </row>
    <row r="2075" spans="1:9" ht="16.8">
      <c r="A2075" s="1318"/>
      <c r="B2075" s="3849" t="s">
        <v>7198</v>
      </c>
      <c r="C2075" s="3849"/>
      <c r="D2075" s="3849"/>
      <c r="E2075" s="3849"/>
      <c r="F2075" s="3849"/>
      <c r="G2075" s="3849"/>
      <c r="H2075" s="3849"/>
      <c r="I2075" s="3849"/>
    </row>
    <row r="2076" spans="1:9" ht="16.8">
      <c r="A2076" s="1319"/>
      <c r="B2076" s="1320"/>
      <c r="C2076" s="1319" t="s">
        <v>140</v>
      </c>
      <c r="D2076" s="1319" t="s">
        <v>343</v>
      </c>
      <c r="E2076" s="1319" t="s">
        <v>344</v>
      </c>
      <c r="F2076" s="1319" t="s">
        <v>482</v>
      </c>
      <c r="G2076" s="1319" t="s">
        <v>483</v>
      </c>
      <c r="H2076" s="1319" t="s">
        <v>170</v>
      </c>
      <c r="I2076" s="1319" t="s">
        <v>171</v>
      </c>
    </row>
    <row r="2077" spans="1:9" ht="16.8">
      <c r="A2077" s="1319"/>
      <c r="B2077" s="1335" t="s">
        <v>7197</v>
      </c>
      <c r="C2077" s="1922">
        <v>1</v>
      </c>
      <c r="D2077" s="1920" t="s">
        <v>133</v>
      </c>
      <c r="E2077" s="2183">
        <f>+'BASE 2'!D569</f>
        <v>1519035</v>
      </c>
      <c r="F2077" s="2183"/>
      <c r="G2077" s="2183">
        <f>+E2077*C2077</f>
        <v>1519035</v>
      </c>
      <c r="H2077" s="2183"/>
      <c r="I2077" s="2183"/>
    </row>
    <row r="2078" spans="1:9" ht="16.8">
      <c r="A2078" s="1319"/>
      <c r="B2078" s="1320" t="s">
        <v>4727</v>
      </c>
      <c r="C2078" s="1919">
        <v>1.2E-2</v>
      </c>
      <c r="D2078" s="1921" t="s">
        <v>583</v>
      </c>
      <c r="E2078" s="2183">
        <f>+VIAJE</f>
        <v>1200000</v>
      </c>
      <c r="F2078" s="2183"/>
      <c r="G2078" s="2183"/>
      <c r="H2078" s="2183"/>
      <c r="I2078" s="2183">
        <f>+E2078*C2078</f>
        <v>14400</v>
      </c>
    </row>
    <row r="2079" spans="1:9" ht="16.8">
      <c r="A2079" s="1325" t="s">
        <v>190</v>
      </c>
      <c r="B2079" s="1326">
        <f>ROUND(SUM(F2079:I2079),0)</f>
        <v>1533435</v>
      </c>
      <c r="C2079" s="1323"/>
      <c r="D2079" s="1327"/>
      <c r="E2079" s="2149"/>
      <c r="F2079" s="2149">
        <f>SUM(F2077:F2077)</f>
        <v>0</v>
      </c>
      <c r="G2079" s="2149">
        <f>SUM(G2077:G2078)</f>
        <v>1519035</v>
      </c>
      <c r="H2079" s="2149">
        <f>SUM(H2077:H2077)</f>
        <v>0</v>
      </c>
      <c r="I2079" s="2149">
        <f>+I2078</f>
        <v>14400</v>
      </c>
    </row>
    <row r="2080" spans="1:9" ht="16.8">
      <c r="A2080" s="1325" t="s">
        <v>191</v>
      </c>
      <c r="B2080" s="1326">
        <f>+B2079</f>
        <v>1533435</v>
      </c>
      <c r="C2080" s="1328" t="s">
        <v>150</v>
      </c>
      <c r="D2080" s="1329"/>
      <c r="E2080" s="1329"/>
      <c r="F2080" s="1329"/>
      <c r="G2080" s="1329"/>
      <c r="H2080" s="1330"/>
      <c r="I2080" s="1330"/>
    </row>
    <row r="2082" spans="1:9" ht="16.8">
      <c r="A2082" s="1318"/>
      <c r="B2082" s="3849" t="s">
        <v>7202</v>
      </c>
      <c r="C2082" s="3849"/>
      <c r="D2082" s="3849"/>
      <c r="E2082" s="3849"/>
      <c r="F2082" s="3849"/>
      <c r="G2082" s="3849"/>
      <c r="H2082" s="3849"/>
      <c r="I2082" s="3849"/>
    </row>
    <row r="2083" spans="1:9" ht="16.8">
      <c r="A2083" s="1319"/>
      <c r="B2083" s="1320"/>
      <c r="C2083" s="1319" t="s">
        <v>140</v>
      </c>
      <c r="D2083" s="1319" t="s">
        <v>343</v>
      </c>
      <c r="E2083" s="1319" t="s">
        <v>344</v>
      </c>
      <c r="F2083" s="1319" t="s">
        <v>482</v>
      </c>
      <c r="G2083" s="1319" t="s">
        <v>483</v>
      </c>
      <c r="H2083" s="1319" t="s">
        <v>170</v>
      </c>
      <c r="I2083" s="1319" t="s">
        <v>171</v>
      </c>
    </row>
    <row r="2084" spans="1:9" ht="16.8">
      <c r="A2084" s="1319" t="s">
        <v>345</v>
      </c>
      <c r="B2084" s="1320" t="s">
        <v>6439</v>
      </c>
      <c r="C2084" s="1322">
        <v>1.45</v>
      </c>
      <c r="D2084" s="1323" t="s">
        <v>346</v>
      </c>
      <c r="E2084" s="1324">
        <f>+OFICI</f>
        <v>80479.625344</v>
      </c>
      <c r="F2084" s="1324"/>
      <c r="G2084" s="1324"/>
      <c r="H2084" s="1324">
        <f>+E2084*C2084</f>
        <v>116695.4567488</v>
      </c>
      <c r="I2084" s="1324"/>
    </row>
    <row r="2085" spans="1:9" ht="16.8">
      <c r="A2085" s="1319" t="s">
        <v>348</v>
      </c>
      <c r="B2085" s="1320" t="s">
        <v>6579</v>
      </c>
      <c r="C2085" s="1322">
        <v>1.45</v>
      </c>
      <c r="D2085" s="1323" t="s">
        <v>346</v>
      </c>
      <c r="E2085" s="1324">
        <f>+AYUDR</f>
        <v>50299.76584</v>
      </c>
      <c r="F2085" s="1324"/>
      <c r="G2085" s="1324"/>
      <c r="H2085" s="1324">
        <f>+E2085*C2085</f>
        <v>72934.660468000002</v>
      </c>
      <c r="I2085" s="1324"/>
    </row>
    <row r="2086" spans="1:9" ht="16.8">
      <c r="A2086" s="1319" t="s">
        <v>172</v>
      </c>
      <c r="B2086" s="1320" t="s">
        <v>189</v>
      </c>
      <c r="C2086" s="1322">
        <v>1</v>
      </c>
      <c r="D2086" s="1323" t="s">
        <v>583</v>
      </c>
      <c r="E2086" s="1324">
        <f>+H2087*0.05</f>
        <v>9481.5058608399995</v>
      </c>
      <c r="F2086" s="1324"/>
      <c r="G2086" s="1324"/>
      <c r="H2086" s="1324"/>
      <c r="I2086" s="1324">
        <f>+E2086*C2086</f>
        <v>9481.5058608399995</v>
      </c>
    </row>
    <row r="2087" spans="1:9" ht="16.8">
      <c r="A2087" s="1325" t="s">
        <v>190</v>
      </c>
      <c r="B2087" s="1326">
        <f>ROUND(SUM(F2087:I2087),0)</f>
        <v>199112</v>
      </c>
      <c r="C2087" s="1323"/>
      <c r="D2087" s="1327"/>
      <c r="E2087" s="1319"/>
      <c r="F2087" s="1324">
        <f>SUM(F2084:F2086)</f>
        <v>0</v>
      </c>
      <c r="G2087" s="1324">
        <f>SUM(G2084:G2085)</f>
        <v>0</v>
      </c>
      <c r="H2087" s="1324">
        <f>SUM(H2084:H2085)</f>
        <v>189630.11721679999</v>
      </c>
      <c r="I2087" s="1324">
        <f>SUM(I2084:I2086)</f>
        <v>9481.5058608399995</v>
      </c>
    </row>
    <row r="2088" spans="1:9" ht="16.8">
      <c r="A2088" s="1325" t="s">
        <v>191</v>
      </c>
      <c r="B2088" s="1326">
        <f>+B2087</f>
        <v>199112</v>
      </c>
      <c r="C2088" s="1328" t="s">
        <v>150</v>
      </c>
      <c r="D2088" s="1329"/>
      <c r="E2088" s="1329">
        <f>+B2095*0.15</f>
        <v>197617.5</v>
      </c>
      <c r="F2088" s="1329"/>
      <c r="G2088" s="1329"/>
      <c r="H2088" s="1330"/>
      <c r="I2088" s="1330"/>
    </row>
    <row r="2090" spans="1:9" ht="16.8">
      <c r="A2090" s="1318"/>
      <c r="B2090" s="3849" t="s">
        <v>7201</v>
      </c>
      <c r="C2090" s="3849"/>
      <c r="D2090" s="3849"/>
      <c r="E2090" s="3849"/>
      <c r="F2090" s="3849"/>
      <c r="G2090" s="3849"/>
      <c r="H2090" s="3849"/>
      <c r="I2090" s="3849"/>
    </row>
    <row r="2091" spans="1:9" ht="16.8">
      <c r="A2091" s="1319"/>
      <c r="B2091" s="1320"/>
      <c r="C2091" s="1319" t="s">
        <v>140</v>
      </c>
      <c r="D2091" s="1319" t="s">
        <v>343</v>
      </c>
      <c r="E2091" s="1319" t="s">
        <v>344</v>
      </c>
      <c r="F2091" s="1319" t="s">
        <v>482</v>
      </c>
      <c r="G2091" s="1319" t="s">
        <v>483</v>
      </c>
      <c r="H2091" s="1319" t="s">
        <v>170</v>
      </c>
      <c r="I2091" s="1319" t="s">
        <v>171</v>
      </c>
    </row>
    <row r="2092" spans="1:9" ht="16.8">
      <c r="A2092" s="1319"/>
      <c r="B2092" s="1335" t="s">
        <v>7200</v>
      </c>
      <c r="C2092" s="1922">
        <v>1</v>
      </c>
      <c r="D2092" s="1920" t="s">
        <v>133</v>
      </c>
      <c r="E2092" s="2183">
        <f>1095000*1.19</f>
        <v>1303050</v>
      </c>
      <c r="F2092" s="2183"/>
      <c r="G2092" s="2183">
        <f>+E2092*C2092</f>
        <v>1303050</v>
      </c>
      <c r="H2092" s="2183"/>
      <c r="I2092" s="2183"/>
    </row>
    <row r="2093" spans="1:9" ht="16.8">
      <c r="A2093" s="1319"/>
      <c r="B2093" s="1320" t="s">
        <v>4727</v>
      </c>
      <c r="C2093" s="1919">
        <v>1.2E-2</v>
      </c>
      <c r="D2093" s="1921" t="s">
        <v>583</v>
      </c>
      <c r="E2093" s="2183">
        <f>+VIAJE</f>
        <v>1200000</v>
      </c>
      <c r="F2093" s="2183"/>
      <c r="G2093" s="2183"/>
      <c r="H2093" s="2183"/>
      <c r="I2093" s="2183">
        <f>+E2093*C2093</f>
        <v>14400</v>
      </c>
    </row>
    <row r="2094" spans="1:9" ht="16.8">
      <c r="A2094" s="1325" t="s">
        <v>190</v>
      </c>
      <c r="B2094" s="1326">
        <f>ROUND(SUM(F2094:I2094),0)</f>
        <v>1317450</v>
      </c>
      <c r="C2094" s="1323"/>
      <c r="D2094" s="1327"/>
      <c r="E2094" s="2149"/>
      <c r="F2094" s="2149">
        <f>SUM(F2092:F2092)</f>
        <v>0</v>
      </c>
      <c r="G2094" s="2149">
        <f>SUM(G2092:G2093)</f>
        <v>1303050</v>
      </c>
      <c r="H2094" s="2149">
        <f>SUM(H2092:H2092)</f>
        <v>0</v>
      </c>
      <c r="I2094" s="2149">
        <f>+I2093</f>
        <v>14400</v>
      </c>
    </row>
    <row r="2095" spans="1:9" ht="16.8">
      <c r="A2095" s="1325" t="s">
        <v>191</v>
      </c>
      <c r="B2095" s="1326">
        <f>+B2094</f>
        <v>1317450</v>
      </c>
      <c r="C2095" s="1328" t="s">
        <v>150</v>
      </c>
      <c r="D2095" s="1329"/>
      <c r="E2095" s="1329"/>
      <c r="F2095" s="1329"/>
      <c r="G2095" s="1329"/>
      <c r="H2095" s="1330"/>
      <c r="I2095" s="1330"/>
    </row>
    <row r="2096" spans="1:9" hidden="1"/>
    <row r="2097" spans="1:9" ht="16.8" hidden="1">
      <c r="A2097" s="1318" t="s">
        <v>1148</v>
      </c>
      <c r="B2097" s="3849" t="s">
        <v>4891</v>
      </c>
      <c r="C2097" s="3849"/>
      <c r="D2097" s="3849"/>
      <c r="E2097" s="3849"/>
      <c r="F2097" s="3849"/>
      <c r="G2097" s="3849"/>
      <c r="H2097" s="3849"/>
      <c r="I2097" s="3849"/>
    </row>
    <row r="2098" spans="1:9" ht="16.8" hidden="1">
      <c r="A2098" s="1319"/>
      <c r="B2098" s="1320"/>
      <c r="C2098" s="1319" t="s">
        <v>140</v>
      </c>
      <c r="D2098" s="1319" t="s">
        <v>343</v>
      </c>
      <c r="E2098" s="1319" t="s">
        <v>344</v>
      </c>
      <c r="F2098" s="1319" t="s">
        <v>482</v>
      </c>
      <c r="G2098" s="1319" t="s">
        <v>483</v>
      </c>
      <c r="H2098" s="1319" t="s">
        <v>170</v>
      </c>
      <c r="I2098" s="1319" t="s">
        <v>171</v>
      </c>
    </row>
    <row r="2099" spans="1:9" ht="16.8" hidden="1">
      <c r="A2099" s="1319" t="s">
        <v>345</v>
      </c>
      <c r="B2099" s="1320" t="s">
        <v>3886</v>
      </c>
      <c r="C2099" s="1322">
        <v>0.1</v>
      </c>
      <c r="D2099" s="1323" t="s">
        <v>346</v>
      </c>
      <c r="E2099" s="1324">
        <f>+OFICI</f>
        <v>80479.625344</v>
      </c>
      <c r="F2099" s="1324"/>
      <c r="G2099" s="1324"/>
      <c r="H2099" s="1324">
        <f>+E2099*C2099</f>
        <v>8047.9625344000005</v>
      </c>
      <c r="I2099" s="1324"/>
    </row>
    <row r="2100" spans="1:9" ht="16.8" hidden="1">
      <c r="A2100" s="1319" t="s">
        <v>348</v>
      </c>
      <c r="B2100" s="1320" t="s">
        <v>1109</v>
      </c>
      <c r="C2100" s="1322">
        <v>0.85</v>
      </c>
      <c r="D2100" s="1323" t="s">
        <v>346</v>
      </c>
      <c r="E2100" s="1324">
        <f>+AYUDR</f>
        <v>50299.76584</v>
      </c>
      <c r="F2100" s="1324"/>
      <c r="G2100" s="1324"/>
      <c r="H2100" s="1324">
        <f>+E2100*C2100</f>
        <v>42754.800964000002</v>
      </c>
      <c r="I2100" s="1324"/>
    </row>
    <row r="2101" spans="1:9" ht="16.8" hidden="1">
      <c r="A2101" s="1319" t="s">
        <v>172</v>
      </c>
      <c r="B2101" s="1320" t="s">
        <v>189</v>
      </c>
      <c r="C2101" s="1322">
        <v>1</v>
      </c>
      <c r="D2101" s="1323" t="s">
        <v>583</v>
      </c>
      <c r="E2101" s="1324">
        <f>+H2102*0.05</f>
        <v>2540.1381749200004</v>
      </c>
      <c r="F2101" s="1324"/>
      <c r="G2101" s="1324"/>
      <c r="H2101" s="1324"/>
      <c r="I2101" s="1324">
        <f>+E2101*C2101</f>
        <v>2540.1381749200004</v>
      </c>
    </row>
    <row r="2102" spans="1:9" ht="16.8" hidden="1">
      <c r="A2102" s="1325" t="s">
        <v>190</v>
      </c>
      <c r="B2102" s="1326">
        <f>ROUND(SUM(F2102:I2102),0)</f>
        <v>53343</v>
      </c>
      <c r="C2102" s="1323"/>
      <c r="D2102" s="1327"/>
      <c r="E2102" s="1319"/>
      <c r="F2102" s="1324">
        <f>SUM(F2099:F2101)</f>
        <v>0</v>
      </c>
      <c r="G2102" s="1324">
        <f>SUM(G2099:G2100)</f>
        <v>0</v>
      </c>
      <c r="H2102" s="1324">
        <f>SUM(H2099:H2100)</f>
        <v>50802.763498400003</v>
      </c>
      <c r="I2102" s="1324">
        <f>SUM(I2099:I2101)</f>
        <v>2540.1381749200004</v>
      </c>
    </row>
    <row r="2103" spans="1:9" ht="16.8" hidden="1">
      <c r="A2103" s="1325" t="s">
        <v>191</v>
      </c>
      <c r="B2103" s="1326">
        <f>+B2102</f>
        <v>53343</v>
      </c>
      <c r="C2103" s="1328" t="s">
        <v>150</v>
      </c>
      <c r="D2103" s="1329"/>
      <c r="E2103" s="1329"/>
      <c r="F2103" s="1329"/>
      <c r="G2103" s="1329"/>
      <c r="H2103" s="1330"/>
      <c r="I2103" s="1330"/>
    </row>
    <row r="2104" spans="1:9" hidden="1"/>
    <row r="2105" spans="1:9" ht="16.8" hidden="1">
      <c r="A2105" s="1318" t="s">
        <v>1148</v>
      </c>
      <c r="B2105" s="3849" t="s">
        <v>4892</v>
      </c>
      <c r="C2105" s="3849"/>
      <c r="D2105" s="3849"/>
      <c r="E2105" s="3849"/>
      <c r="F2105" s="3849"/>
      <c r="G2105" s="3849"/>
      <c r="H2105" s="3849"/>
      <c r="I2105" s="3849"/>
    </row>
    <row r="2106" spans="1:9" ht="16.8" hidden="1">
      <c r="A2106" s="1319"/>
      <c r="B2106" s="1320"/>
      <c r="C2106" s="1319" t="s">
        <v>140</v>
      </c>
      <c r="D2106" s="1319" t="s">
        <v>343</v>
      </c>
      <c r="E2106" s="1319" t="s">
        <v>344</v>
      </c>
      <c r="F2106" s="1319" t="s">
        <v>482</v>
      </c>
      <c r="G2106" s="1319" t="s">
        <v>483</v>
      </c>
      <c r="H2106" s="1319" t="s">
        <v>170</v>
      </c>
      <c r="I2106" s="1319" t="s">
        <v>171</v>
      </c>
    </row>
    <row r="2107" spans="1:9" ht="16.8" hidden="1">
      <c r="A2107" s="1319"/>
      <c r="B2107" s="1320" t="s">
        <v>4889</v>
      </c>
      <c r="C2107" s="1378">
        <v>1</v>
      </c>
      <c r="D2107" s="1379" t="s">
        <v>133</v>
      </c>
      <c r="E2107" s="1324">
        <f>40806*1.19</f>
        <v>48559.14</v>
      </c>
      <c r="F2107" s="1319"/>
      <c r="G2107" s="1324">
        <f>+E2107*C2107</f>
        <v>48559.14</v>
      </c>
      <c r="H2107" s="1319"/>
      <c r="I2107" s="1319"/>
    </row>
    <row r="2108" spans="1:9" ht="16.8" hidden="1">
      <c r="A2108" s="1319"/>
      <c r="B2108" s="1320" t="s">
        <v>4890</v>
      </c>
      <c r="C2108" s="1922">
        <v>2</v>
      </c>
      <c r="D2108" s="1920" t="s">
        <v>133</v>
      </c>
      <c r="E2108" s="1324">
        <f>4474*1.19</f>
        <v>5324.0599999999995</v>
      </c>
      <c r="F2108" s="1324"/>
      <c r="G2108" s="1324">
        <f>+E2108*C2108</f>
        <v>10648.119999999999</v>
      </c>
      <c r="H2108" s="1324"/>
      <c r="I2108" s="1324"/>
    </row>
    <row r="2109" spans="1:9" ht="16.8" hidden="1">
      <c r="A2109" s="1319"/>
      <c r="B2109" s="1320" t="s">
        <v>4727</v>
      </c>
      <c r="C2109" s="1919">
        <v>1.2E-2</v>
      </c>
      <c r="D2109" s="1921" t="s">
        <v>583</v>
      </c>
      <c r="E2109" s="1324">
        <f>+VIAJE</f>
        <v>1200000</v>
      </c>
      <c r="F2109" s="1324"/>
      <c r="G2109" s="1324"/>
      <c r="H2109" s="1324"/>
      <c r="I2109" s="1324">
        <f>+E2109*C2109</f>
        <v>14400</v>
      </c>
    </row>
    <row r="2110" spans="1:9" ht="16.8" hidden="1">
      <c r="A2110" s="1325" t="s">
        <v>190</v>
      </c>
      <c r="B2110" s="1326">
        <f>ROUND(SUM(F2110:I2110),0)</f>
        <v>73607</v>
      </c>
      <c r="C2110" s="1323"/>
      <c r="D2110" s="1327"/>
      <c r="E2110" s="1319"/>
      <c r="F2110" s="1324">
        <f>SUM(F2108:F2108)</f>
        <v>0</v>
      </c>
      <c r="G2110" s="1324">
        <f>SUM(G2107:G2109)</f>
        <v>59207.259999999995</v>
      </c>
      <c r="H2110" s="1324">
        <f>SUM(H2108:H2108)</f>
        <v>0</v>
      </c>
      <c r="I2110" s="1324">
        <f>+I2109</f>
        <v>14400</v>
      </c>
    </row>
    <row r="2111" spans="1:9" ht="16.8" hidden="1">
      <c r="A2111" s="1325" t="s">
        <v>191</v>
      </c>
      <c r="B2111" s="1326">
        <f>+B2110</f>
        <v>73607</v>
      </c>
      <c r="C2111" s="1328" t="s">
        <v>150</v>
      </c>
      <c r="D2111" s="1329"/>
      <c r="E2111" s="1329"/>
      <c r="F2111" s="1329"/>
      <c r="G2111" s="1329"/>
      <c r="H2111" s="1330"/>
      <c r="I2111" s="1330"/>
    </row>
    <row r="2112" spans="1:9" hidden="1"/>
    <row r="2113" spans="1:12" ht="16.8" hidden="1">
      <c r="A2113" s="1318" t="s">
        <v>1148</v>
      </c>
      <c r="B2113" s="3849" t="s">
        <v>5087</v>
      </c>
      <c r="C2113" s="3849"/>
      <c r="D2113" s="3849"/>
      <c r="E2113" s="3849"/>
      <c r="F2113" s="3849"/>
      <c r="G2113" s="3849"/>
      <c r="H2113" s="3849"/>
      <c r="I2113" s="3849"/>
    </row>
    <row r="2114" spans="1:12" ht="16.8" hidden="1">
      <c r="A2114" s="1319"/>
      <c r="B2114" s="1320"/>
      <c r="C2114" s="1319" t="s">
        <v>140</v>
      </c>
      <c r="D2114" s="1319" t="s">
        <v>343</v>
      </c>
      <c r="E2114" s="1319" t="s">
        <v>344</v>
      </c>
      <c r="F2114" s="1319" t="s">
        <v>482</v>
      </c>
      <c r="G2114" s="1319" t="s">
        <v>483</v>
      </c>
      <c r="H2114" s="1319" t="s">
        <v>170</v>
      </c>
      <c r="I2114" s="1319" t="s">
        <v>171</v>
      </c>
      <c r="L2114" s="2894">
        <f>0.8*2*1</f>
        <v>1.6</v>
      </c>
    </row>
    <row r="2115" spans="1:12" ht="16.8" hidden="1">
      <c r="A2115" s="1319"/>
      <c r="B2115" s="1320" t="s">
        <v>5094</v>
      </c>
      <c r="C2115" s="1378">
        <v>7</v>
      </c>
      <c r="D2115" s="1379" t="s">
        <v>1292</v>
      </c>
      <c r="E2115" s="1324">
        <f>+CT245KG</f>
        <v>469469.49922490004</v>
      </c>
      <c r="F2115" s="1319"/>
      <c r="G2115" s="1324">
        <f>+E2115*C2115</f>
        <v>3286286.4945743</v>
      </c>
      <c r="H2115" s="1319"/>
      <c r="I2115" s="1319"/>
    </row>
    <row r="2116" spans="1:12" ht="16.8" hidden="1">
      <c r="A2116" s="1319"/>
      <c r="B2116" s="1320" t="s">
        <v>5093</v>
      </c>
      <c r="C2116" s="1922">
        <v>400</v>
      </c>
      <c r="D2116" s="1920" t="s">
        <v>133</v>
      </c>
      <c r="E2116" s="1324">
        <v>1000</v>
      </c>
      <c r="F2116" s="1324"/>
      <c r="G2116" s="1324">
        <f>+E2116*C2116</f>
        <v>400000</v>
      </c>
      <c r="H2116" s="1324"/>
      <c r="I2116" s="1324"/>
    </row>
    <row r="2117" spans="1:12" ht="16.8" hidden="1">
      <c r="A2117" s="1319"/>
      <c r="B2117" s="1320" t="s">
        <v>5088</v>
      </c>
      <c r="C2117" s="1919">
        <v>50</v>
      </c>
      <c r="D2117" s="1921" t="s">
        <v>647</v>
      </c>
      <c r="E2117" s="1324">
        <f>+A60FI</f>
        <v>3200</v>
      </c>
      <c r="F2117" s="1324"/>
      <c r="G2117" s="1324">
        <f>+E2117*C2117</f>
        <v>160000</v>
      </c>
      <c r="H2117" s="1324"/>
    </row>
    <row r="2118" spans="1:12" ht="16.8" hidden="1">
      <c r="A2118" s="1319"/>
      <c r="B2118" s="1320" t="s">
        <v>5095</v>
      </c>
      <c r="C2118" s="1919">
        <v>15</v>
      </c>
      <c r="D2118" s="1921" t="s">
        <v>1002</v>
      </c>
      <c r="E2118" s="1324">
        <f>17000*1.19</f>
        <v>20230</v>
      </c>
      <c r="F2118" s="1324"/>
      <c r="G2118" s="1324">
        <f>+E2118*C2118</f>
        <v>303450</v>
      </c>
      <c r="H2118" s="1324"/>
      <c r="I2118" s="1324"/>
    </row>
    <row r="2119" spans="1:12" ht="16.8" hidden="1">
      <c r="A2119" s="1319"/>
      <c r="B2119" s="1320" t="s">
        <v>5089</v>
      </c>
      <c r="C2119" s="1919">
        <f>15*0.05</f>
        <v>0.75</v>
      </c>
      <c r="D2119" s="1921" t="s">
        <v>1002</v>
      </c>
      <c r="E2119" s="1324">
        <f>+M280K</f>
        <v>414261.84922490001</v>
      </c>
      <c r="F2119" s="1324"/>
      <c r="G2119" s="1324">
        <f>+E2119*C2119</f>
        <v>310696.38691867504</v>
      </c>
      <c r="H2119" s="1324"/>
      <c r="I2119" s="1324"/>
    </row>
    <row r="2120" spans="1:12" ht="16.8" hidden="1">
      <c r="A2120" s="1319"/>
      <c r="B2120" s="1320" t="s">
        <v>5090</v>
      </c>
      <c r="C2120" s="1919">
        <v>1.7</v>
      </c>
      <c r="D2120" s="1921" t="s">
        <v>1292</v>
      </c>
      <c r="E2120" s="1324">
        <f>+CT245KG</f>
        <v>469469.49922490004</v>
      </c>
      <c r="F2120" s="1324"/>
      <c r="G2120" s="1324">
        <f t="shared" ref="G2120:G2122" si="56">+E2120*C2120</f>
        <v>798098.14868233004</v>
      </c>
      <c r="H2120" s="1324"/>
      <c r="I2120" s="1324"/>
    </row>
    <row r="2121" spans="1:12" ht="16.8" hidden="1">
      <c r="A2121" s="1319"/>
      <c r="B2121" s="1320" t="s">
        <v>5091</v>
      </c>
      <c r="C2121" s="1919">
        <v>8</v>
      </c>
      <c r="D2121" s="1921" t="s">
        <v>363</v>
      </c>
      <c r="E2121" s="1324">
        <v>50000</v>
      </c>
      <c r="F2121" s="1324"/>
      <c r="G2121" s="1324">
        <f t="shared" si="56"/>
        <v>400000</v>
      </c>
      <c r="H2121" s="1324"/>
      <c r="I2121" s="1324"/>
    </row>
    <row r="2122" spans="1:12" ht="16.8" hidden="1">
      <c r="A2122" s="1319"/>
      <c r="B2122" s="1320" t="s">
        <v>5092</v>
      </c>
      <c r="C2122" s="1919">
        <v>1</v>
      </c>
      <c r="D2122" s="1921" t="s">
        <v>238</v>
      </c>
      <c r="E2122" s="1324">
        <f>+PINBLA</f>
        <v>35700</v>
      </c>
      <c r="F2122" s="1324"/>
      <c r="G2122" s="1324">
        <f t="shared" si="56"/>
        <v>35700</v>
      </c>
      <c r="H2122" s="1324"/>
      <c r="I2122" s="1324"/>
    </row>
    <row r="2123" spans="1:12" ht="16.8" hidden="1">
      <c r="A2123" s="1319" t="s">
        <v>345</v>
      </c>
      <c r="B2123" s="1320" t="s">
        <v>3886</v>
      </c>
      <c r="C2123" s="1322">
        <v>1</v>
      </c>
      <c r="D2123" s="1323" t="s">
        <v>346</v>
      </c>
      <c r="E2123" s="1324">
        <f>+OFICI</f>
        <v>80479.625344</v>
      </c>
      <c r="F2123" s="1324"/>
      <c r="G2123" s="1324"/>
      <c r="H2123" s="1324">
        <f>+E2123*C2123</f>
        <v>80479.625344</v>
      </c>
      <c r="I2123" s="1324"/>
    </row>
    <row r="2124" spans="1:12" ht="16.8" hidden="1">
      <c r="A2124" s="1319" t="s">
        <v>348</v>
      </c>
      <c r="B2124" s="1320" t="s">
        <v>1109</v>
      </c>
      <c r="C2124" s="1322">
        <v>2</v>
      </c>
      <c r="D2124" s="1323" t="s">
        <v>346</v>
      </c>
      <c r="E2124" s="1324">
        <f>+AYUDR</f>
        <v>50299.76584</v>
      </c>
      <c r="F2124" s="1324"/>
      <c r="G2124" s="1324"/>
      <c r="H2124" s="1324">
        <f>+E2124*C2124</f>
        <v>100599.53168</v>
      </c>
      <c r="I2124" s="1324"/>
    </row>
    <row r="2125" spans="1:12" ht="16.8" hidden="1">
      <c r="A2125" s="1325" t="s">
        <v>190</v>
      </c>
      <c r="B2125" s="1326">
        <f>ROUND(SUM(F2125:I2125),0)</f>
        <v>5875310</v>
      </c>
      <c r="C2125" s="1323"/>
      <c r="D2125" s="1327"/>
      <c r="E2125" s="1319"/>
      <c r="F2125" s="1324">
        <f>SUM(F2116:F2124)</f>
        <v>0</v>
      </c>
      <c r="G2125" s="1324">
        <f>SUM(G2115:G2124)</f>
        <v>5694231.030175305</v>
      </c>
      <c r="H2125" s="1324">
        <f t="shared" ref="H2125:I2125" si="57">SUM(H2116:H2124)</f>
        <v>181079.15702400001</v>
      </c>
      <c r="I2125" s="1324">
        <f t="shared" si="57"/>
        <v>0</v>
      </c>
    </row>
    <row r="2126" spans="1:12" ht="16.8">
      <c r="A2126" s="1325" t="s">
        <v>191</v>
      </c>
      <c r="B2126" s="1326">
        <f>+B2125</f>
        <v>5875310</v>
      </c>
      <c r="C2126" s="1328" t="s">
        <v>150</v>
      </c>
      <c r="D2126" s="1329"/>
      <c r="E2126" s="1329"/>
      <c r="F2126" s="1329"/>
      <c r="G2126" s="1329"/>
      <c r="H2126" s="1330"/>
      <c r="I2126" s="1330"/>
    </row>
    <row r="2127" spans="1:12" ht="17.25" customHeight="1"/>
    <row r="2128" spans="1:12" s="402" customFormat="1" ht="15" customHeight="1">
      <c r="A2128" s="3632" t="s">
        <v>8204</v>
      </c>
      <c r="B2128" s="3632"/>
      <c r="C2128" s="3632"/>
      <c r="D2128" s="3632"/>
      <c r="E2128" s="3632"/>
      <c r="F2128" s="3632"/>
      <c r="G2128" s="3632"/>
      <c r="H2128" s="3632"/>
      <c r="I2128" s="3632"/>
      <c r="J2128" s="2895"/>
      <c r="K2128" s="2895"/>
      <c r="L2128" s="2896"/>
    </row>
    <row r="2129" spans="1:12" ht="17.25" customHeight="1"/>
    <row r="2130" spans="1:12" s="61" customFormat="1" ht="18">
      <c r="A2130" s="3616" t="s">
        <v>8205</v>
      </c>
      <c r="B2130" s="3617"/>
      <c r="C2130" s="3617"/>
      <c r="D2130" s="3617"/>
      <c r="E2130" s="3617"/>
      <c r="F2130" s="3617"/>
      <c r="G2130" s="3617"/>
      <c r="H2130" s="3617"/>
      <c r="I2130" s="3618"/>
      <c r="J2130" s="2894"/>
      <c r="K2130" s="2894"/>
      <c r="L2130" s="2894"/>
    </row>
    <row r="2131" spans="1:12" ht="17.25" customHeight="1"/>
    <row r="2132" spans="1:12" ht="16.8">
      <c r="A2132" s="594"/>
      <c r="B2132" s="3871" t="s">
        <v>4425</v>
      </c>
      <c r="C2132" s="3871"/>
      <c r="D2132" s="3871"/>
      <c r="E2132" s="3871"/>
      <c r="F2132" s="3871"/>
      <c r="G2132" s="3871"/>
      <c r="H2132" s="3871"/>
      <c r="I2132" s="3871"/>
    </row>
    <row r="2133" spans="1:12" ht="16.8">
      <c r="A2133" s="2695"/>
      <c r="B2133" s="696"/>
      <c r="C2133" s="2695" t="s">
        <v>140</v>
      </c>
      <c r="D2133" s="2695" t="s">
        <v>343</v>
      </c>
      <c r="E2133" s="2693" t="s">
        <v>344</v>
      </c>
      <c r="F2133" s="2693" t="s">
        <v>482</v>
      </c>
      <c r="G2133" s="2693" t="s">
        <v>483</v>
      </c>
      <c r="H2133" s="2693" t="s">
        <v>170</v>
      </c>
      <c r="I2133" s="2693" t="s">
        <v>171</v>
      </c>
    </row>
    <row r="2134" spans="1:12" ht="16.8">
      <c r="A2134" s="2" t="s">
        <v>347</v>
      </c>
      <c r="B2134" s="41" t="str">
        <f>IF(PRESTA&gt;0,"AYUD. ENTENDIDO (INCLUYE "&amp;""&amp;PRESTA*100&amp;"% PRESTACIONES)",0)</f>
        <v>AYUD. ENTENDIDO (INCLUYE 82,22% PRESTACIONES)</v>
      </c>
      <c r="C2134" s="346">
        <v>0.76</v>
      </c>
      <c r="D2134" s="160" t="s">
        <v>346</v>
      </c>
      <c r="E2134" s="32">
        <f>AYUDA</f>
        <v>65389.695592000004</v>
      </c>
      <c r="F2134" s="32"/>
      <c r="G2134" s="32"/>
      <c r="H2134" s="32">
        <f>+E2134*C2134</f>
        <v>49696.16864992</v>
      </c>
      <c r="I2134" s="2693"/>
    </row>
    <row r="2135" spans="1:12" ht="16.8">
      <c r="A2135" s="2" t="s">
        <v>172</v>
      </c>
      <c r="B2135" s="41" t="s">
        <v>189</v>
      </c>
      <c r="C2135" s="346">
        <v>1</v>
      </c>
      <c r="D2135" s="160" t="s">
        <v>583</v>
      </c>
      <c r="E2135" s="32">
        <f>H2136*0.05</f>
        <v>2484.808432496</v>
      </c>
      <c r="F2135" s="32"/>
      <c r="G2135" s="32"/>
      <c r="H2135" s="32"/>
      <c r="I2135" s="2693">
        <f>+E2135*C2135</f>
        <v>2484.808432496</v>
      </c>
    </row>
    <row r="2136" spans="1:12" ht="16.8">
      <c r="A2136" s="587" t="s">
        <v>190</v>
      </c>
      <c r="B2136" s="588">
        <f>SUM(F2136:I2136)</f>
        <v>52180.977082416</v>
      </c>
      <c r="C2136" s="370"/>
      <c r="D2136" s="169"/>
      <c r="E2136" s="32"/>
      <c r="F2136" s="32">
        <f>SUM(F2134:F2135)</f>
        <v>0</v>
      </c>
      <c r="G2136" s="32">
        <f>SUM(G2134:G2135)</f>
        <v>0</v>
      </c>
      <c r="H2136" s="32">
        <f>SUM(H2134:H2135)</f>
        <v>49696.16864992</v>
      </c>
      <c r="I2136" s="2693">
        <f>SUM(I2134:I2135)</f>
        <v>2484.808432496</v>
      </c>
    </row>
    <row r="2137" spans="1:12" ht="16.8">
      <c r="A2137" s="587" t="s">
        <v>191</v>
      </c>
      <c r="B2137" s="39">
        <f>+B2136</f>
        <v>52180.977082416</v>
      </c>
      <c r="C2137" s="688" t="s">
        <v>94</v>
      </c>
      <c r="D2137" s="13"/>
      <c r="E2137" s="673"/>
      <c r="F2137" s="673"/>
      <c r="G2137" s="673"/>
      <c r="H2137" s="673"/>
      <c r="I2137" s="673"/>
    </row>
    <row r="2138" spans="1:12" s="1260" customFormat="1" ht="15" customHeight="1">
      <c r="A2138" s="1277"/>
      <c r="B2138" s="1278"/>
      <c r="C2138" s="1279"/>
      <c r="D2138" s="402"/>
      <c r="E2138" s="1280"/>
      <c r="F2138" s="1280"/>
      <c r="G2138" s="1280"/>
      <c r="H2138" s="1280"/>
      <c r="I2138" s="1280"/>
      <c r="J2138" s="2897"/>
      <c r="K2138" s="2897"/>
      <c r="L2138" s="2897"/>
    </row>
    <row r="2139" spans="1:12" ht="16.8">
      <c r="A2139" s="594"/>
      <c r="B2139" s="3871" t="s">
        <v>4426</v>
      </c>
      <c r="C2139" s="3871"/>
      <c r="D2139" s="3871"/>
      <c r="E2139" s="3871"/>
      <c r="F2139" s="3871"/>
      <c r="G2139" s="3871"/>
      <c r="H2139" s="3871"/>
      <c r="I2139" s="3871"/>
    </row>
    <row r="2140" spans="1:12" ht="16.8">
      <c r="A2140" s="2695"/>
      <c r="B2140" s="696"/>
      <c r="C2140" s="2695" t="s">
        <v>140</v>
      </c>
      <c r="D2140" s="2695" t="s">
        <v>343</v>
      </c>
      <c r="E2140" s="2693" t="s">
        <v>344</v>
      </c>
      <c r="F2140" s="2693" t="s">
        <v>482</v>
      </c>
      <c r="G2140" s="2693" t="s">
        <v>483</v>
      </c>
      <c r="H2140" s="2693" t="s">
        <v>170</v>
      </c>
      <c r="I2140" s="2693" t="s">
        <v>171</v>
      </c>
    </row>
    <row r="2141" spans="1:12" ht="16.8">
      <c r="A2141" s="2" t="s">
        <v>4131</v>
      </c>
      <c r="B2141" s="41" t="s">
        <v>4427</v>
      </c>
      <c r="C2141" s="346">
        <v>1</v>
      </c>
      <c r="D2141" s="160" t="s">
        <v>363</v>
      </c>
      <c r="E2141" s="2693">
        <f>1887100</f>
        <v>1887100</v>
      </c>
      <c r="F2141" s="2693"/>
      <c r="G2141" s="2693">
        <f>+E2141*C2141</f>
        <v>1887100</v>
      </c>
      <c r="H2141" s="2693"/>
      <c r="I2141" s="2693"/>
    </row>
    <row r="2142" spans="1:12" ht="16.8">
      <c r="A2142" s="2" t="s">
        <v>584</v>
      </c>
      <c r="B2142" s="41" t="s">
        <v>134</v>
      </c>
      <c r="C2142" s="346">
        <v>0.01</v>
      </c>
      <c r="D2142" s="160" t="s">
        <v>583</v>
      </c>
      <c r="E2142" s="2693">
        <f>+VIAJE</f>
        <v>1200000</v>
      </c>
      <c r="F2142" s="2693"/>
      <c r="G2142" s="2693"/>
      <c r="H2142" s="2693"/>
      <c r="I2142" s="2693">
        <f>+E2142*C2142</f>
        <v>12000</v>
      </c>
    </row>
    <row r="2143" spans="1:12" ht="16.8">
      <c r="A2143" s="587" t="s">
        <v>190</v>
      </c>
      <c r="B2143" s="588">
        <f>SUM(F2143:I2143)</f>
        <v>1899100</v>
      </c>
      <c r="C2143" s="370"/>
      <c r="D2143" s="169"/>
      <c r="E2143" s="32"/>
      <c r="F2143" s="32">
        <f>SUM(F2141:F2142)</f>
        <v>0</v>
      </c>
      <c r="G2143" s="32">
        <f>SUM(G2141:G2142)</f>
        <v>1887100</v>
      </c>
      <c r="H2143" s="32">
        <f>SUM(H2141:H2142)</f>
        <v>0</v>
      </c>
      <c r="I2143" s="2693">
        <f>SUM(I2141:I2142)</f>
        <v>12000</v>
      </c>
    </row>
    <row r="2144" spans="1:12" ht="16.8">
      <c r="A2144" s="587" t="s">
        <v>191</v>
      </c>
      <c r="B2144" s="39">
        <f>+B2143</f>
        <v>1899100</v>
      </c>
      <c r="C2144" s="688" t="s">
        <v>94</v>
      </c>
      <c r="D2144" s="13"/>
      <c r="E2144" s="673"/>
      <c r="F2144" s="673"/>
      <c r="G2144" s="673"/>
      <c r="H2144" s="673"/>
      <c r="I2144" s="673"/>
    </row>
    <row r="2146" spans="1:12" ht="16.8">
      <c r="A2146" s="594"/>
      <c r="B2146" s="3855" t="s">
        <v>4428</v>
      </c>
      <c r="C2146" s="3856"/>
      <c r="D2146" s="3856"/>
      <c r="E2146" s="3856"/>
      <c r="F2146" s="3856"/>
      <c r="G2146" s="3856"/>
      <c r="H2146" s="3856"/>
      <c r="I2146" s="3857"/>
    </row>
    <row r="2147" spans="1:12" ht="16.8">
      <c r="A2147" s="2695"/>
      <c r="B2147" s="696"/>
      <c r="C2147" s="2695" t="s">
        <v>140</v>
      </c>
      <c r="D2147" s="2695" t="s">
        <v>343</v>
      </c>
      <c r="E2147" s="2693" t="s">
        <v>344</v>
      </c>
      <c r="F2147" s="2693" t="s">
        <v>482</v>
      </c>
      <c r="G2147" s="2693" t="s">
        <v>483</v>
      </c>
      <c r="H2147" s="2693" t="s">
        <v>170</v>
      </c>
      <c r="I2147" s="2693" t="s">
        <v>171</v>
      </c>
    </row>
    <row r="2148" spans="1:12" ht="16.8">
      <c r="A2148" s="485"/>
      <c r="B2148" s="41" t="s">
        <v>4192</v>
      </c>
      <c r="C2148" s="346">
        <v>2</v>
      </c>
      <c r="D2148" s="160" t="s">
        <v>363</v>
      </c>
      <c r="E2148" s="2693">
        <v>40000</v>
      </c>
      <c r="F2148" s="2693"/>
      <c r="G2148" s="2693"/>
      <c r="H2148" s="2693">
        <f>+E2148*C2148</f>
        <v>80000</v>
      </c>
      <c r="I2148" s="2693"/>
    </row>
    <row r="2149" spans="1:12" ht="16.8">
      <c r="A2149" s="2" t="s">
        <v>347</v>
      </c>
      <c r="B2149" s="41" t="str">
        <f>IF(PRESTA&gt;0,"AYUD. ENTENDIDO (INCLUYE "&amp;""&amp;PRESTA*100&amp;"% PRESTACIONES)",0)</f>
        <v>AYUD. ENTENDIDO (INCLUYE 82,22% PRESTACIONES)</v>
      </c>
      <c r="C2149" s="346">
        <v>0.185</v>
      </c>
      <c r="D2149" s="160" t="s">
        <v>346</v>
      </c>
      <c r="E2149" s="32">
        <f>AYUDA</f>
        <v>65389.695592000004</v>
      </c>
      <c r="F2149" s="32"/>
      <c r="G2149" s="32"/>
      <c r="H2149" s="32">
        <f>+E2149*C2149</f>
        <v>12097.093684520001</v>
      </c>
      <c r="I2149" s="2693"/>
    </row>
    <row r="2150" spans="1:12" ht="16.8">
      <c r="A2150" s="2" t="s">
        <v>172</v>
      </c>
      <c r="B2150" s="41" t="s">
        <v>189</v>
      </c>
      <c r="C2150" s="346">
        <v>1</v>
      </c>
      <c r="D2150" s="160" t="s">
        <v>583</v>
      </c>
      <c r="E2150" s="32">
        <f>H2151*0.05</f>
        <v>4604.8546842260002</v>
      </c>
      <c r="F2150" s="32"/>
      <c r="G2150" s="32"/>
      <c r="H2150" s="32"/>
      <c r="I2150" s="2693">
        <f>+E2150*C2150</f>
        <v>4604.8546842260002</v>
      </c>
    </row>
    <row r="2151" spans="1:12" ht="16.8">
      <c r="A2151" s="587" t="s">
        <v>190</v>
      </c>
      <c r="B2151" s="588">
        <f>SUM(F2151:I2151)</f>
        <v>96701.948368746002</v>
      </c>
      <c r="C2151" s="370"/>
      <c r="D2151" s="169"/>
      <c r="E2151" s="32"/>
      <c r="F2151" s="32">
        <f>SUM(F2149:F2150)</f>
        <v>0</v>
      </c>
      <c r="G2151" s="32">
        <f>SUM(G2149:G2150)</f>
        <v>0</v>
      </c>
      <c r="H2151" s="32">
        <f>SUM(H2148:H2150)</f>
        <v>92097.093684520005</v>
      </c>
      <c r="I2151" s="2693">
        <f>SUM(I2149:I2150)</f>
        <v>4604.8546842260002</v>
      </c>
    </row>
    <row r="2152" spans="1:12" ht="16.8">
      <c r="A2152" s="587" t="s">
        <v>191</v>
      </c>
      <c r="B2152" s="39">
        <f>+B2151</f>
        <v>96701.948368746002</v>
      </c>
      <c r="C2152" s="688" t="s">
        <v>427</v>
      </c>
      <c r="D2152" s="13"/>
      <c r="E2152" s="673"/>
      <c r="F2152" s="673"/>
      <c r="G2152" s="673"/>
      <c r="H2152" s="673"/>
      <c r="I2152" s="673"/>
    </row>
    <row r="2153" spans="1:12" s="1260" customFormat="1" ht="15" customHeight="1">
      <c r="A2153" s="1277"/>
      <c r="B2153" s="1278"/>
      <c r="C2153" s="1279"/>
      <c r="D2153" s="402"/>
      <c r="E2153" s="1280"/>
      <c r="F2153" s="1280"/>
      <c r="G2153" s="1280"/>
      <c r="H2153" s="1280"/>
      <c r="I2153" s="1280"/>
      <c r="J2153" s="2897"/>
      <c r="K2153" s="2897"/>
      <c r="L2153" s="2897"/>
    </row>
    <row r="2154" spans="1:12" ht="16.8">
      <c r="A2154" s="594"/>
      <c r="B2154" s="3855" t="s">
        <v>4429</v>
      </c>
      <c r="C2154" s="3856"/>
      <c r="D2154" s="3856"/>
      <c r="E2154" s="3856"/>
      <c r="F2154" s="3856"/>
      <c r="G2154" s="3856"/>
      <c r="H2154" s="3856"/>
      <c r="I2154" s="3857"/>
    </row>
    <row r="2155" spans="1:12" ht="16.8">
      <c r="A2155" s="2695"/>
      <c r="B2155" s="696"/>
      <c r="C2155" s="2695" t="s">
        <v>140</v>
      </c>
      <c r="D2155" s="2695" t="s">
        <v>343</v>
      </c>
      <c r="E2155" s="2693" t="s">
        <v>344</v>
      </c>
      <c r="F2155" s="2693" t="s">
        <v>482</v>
      </c>
      <c r="G2155" s="2693" t="s">
        <v>483</v>
      </c>
      <c r="H2155" s="2693" t="s">
        <v>170</v>
      </c>
      <c r="I2155" s="2693" t="s">
        <v>171</v>
      </c>
    </row>
    <row r="2156" spans="1:12" ht="16.8">
      <c r="A2156" s="2" t="s">
        <v>4131</v>
      </c>
      <c r="B2156" s="41" t="s">
        <v>4408</v>
      </c>
      <c r="C2156" s="346">
        <v>1</v>
      </c>
      <c r="D2156" s="160" t="s">
        <v>363</v>
      </c>
      <c r="E2156" s="2693">
        <f>1120000</f>
        <v>1120000</v>
      </c>
      <c r="F2156" s="2693"/>
      <c r="G2156" s="2693">
        <f>+E2156*C2156</f>
        <v>1120000</v>
      </c>
      <c r="H2156" s="2693"/>
      <c r="I2156" s="2693"/>
    </row>
    <row r="2157" spans="1:12" ht="16.8">
      <c r="A2157" s="2" t="s">
        <v>584</v>
      </c>
      <c r="B2157" s="41" t="s">
        <v>134</v>
      </c>
      <c r="C2157" s="346">
        <v>3.0000000000000001E-3</v>
      </c>
      <c r="D2157" s="160" t="s">
        <v>583</v>
      </c>
      <c r="E2157" s="2693">
        <f>+VIAJE</f>
        <v>1200000</v>
      </c>
      <c r="F2157" s="2693"/>
      <c r="G2157" s="2693"/>
      <c r="H2157" s="2693"/>
      <c r="I2157" s="2693">
        <f>+E2157*C2157</f>
        <v>3600</v>
      </c>
    </row>
    <row r="2158" spans="1:12" ht="16.8">
      <c r="A2158" s="587" t="s">
        <v>190</v>
      </c>
      <c r="B2158" s="588">
        <f>SUM(F2158:I2158)</f>
        <v>1123600</v>
      </c>
      <c r="C2158" s="370"/>
      <c r="D2158" s="169"/>
      <c r="E2158" s="32"/>
      <c r="F2158" s="32">
        <f>SUM(F2156:F2157)</f>
        <v>0</v>
      </c>
      <c r="G2158" s="32">
        <f>SUM(G2156:G2157)</f>
        <v>1120000</v>
      </c>
      <c r="H2158" s="32">
        <f>SUM(H2156:H2157)</f>
        <v>0</v>
      </c>
      <c r="I2158" s="2693">
        <f>SUM(I2156:I2157)</f>
        <v>3600</v>
      </c>
    </row>
    <row r="2159" spans="1:12" ht="16.8">
      <c r="A2159" s="587" t="s">
        <v>191</v>
      </c>
      <c r="B2159" s="39">
        <f>+B2158</f>
        <v>1123600</v>
      </c>
      <c r="C2159" s="688" t="s">
        <v>427</v>
      </c>
      <c r="D2159" s="13"/>
      <c r="E2159" s="673"/>
      <c r="F2159" s="673"/>
      <c r="G2159" s="673"/>
      <c r="H2159" s="673"/>
      <c r="I2159" s="673"/>
    </row>
    <row r="2161" spans="1:12" ht="16.8">
      <c r="A2161" s="594"/>
      <c r="B2161" s="3855" t="s">
        <v>4431</v>
      </c>
      <c r="C2161" s="3856"/>
      <c r="D2161" s="3856"/>
      <c r="E2161" s="3856"/>
      <c r="F2161" s="3856"/>
      <c r="G2161" s="3856"/>
      <c r="H2161" s="3856"/>
      <c r="I2161" s="3857"/>
    </row>
    <row r="2162" spans="1:12" ht="16.8">
      <c r="A2162" s="2695"/>
      <c r="B2162" s="696"/>
      <c r="C2162" s="2695" t="s">
        <v>140</v>
      </c>
      <c r="D2162" s="2695" t="s">
        <v>343</v>
      </c>
      <c r="E2162" s="2693" t="s">
        <v>344</v>
      </c>
      <c r="F2162" s="2693" t="s">
        <v>482</v>
      </c>
      <c r="G2162" s="2693" t="s">
        <v>483</v>
      </c>
      <c r="H2162" s="2693" t="s">
        <v>170</v>
      </c>
      <c r="I2162" s="2693" t="s">
        <v>171</v>
      </c>
    </row>
    <row r="2163" spans="1:12" ht="16.8">
      <c r="A2163" s="485"/>
      <c r="B2163" s="41" t="s">
        <v>4192</v>
      </c>
      <c r="C2163" s="346">
        <v>2</v>
      </c>
      <c r="D2163" s="160" t="s">
        <v>363</v>
      </c>
      <c r="E2163" s="2693">
        <v>40000</v>
      </c>
      <c r="F2163" s="2693"/>
      <c r="G2163" s="2693"/>
      <c r="H2163" s="2693">
        <f>+E2163*C2163</f>
        <v>80000</v>
      </c>
      <c r="I2163" s="2693"/>
    </row>
    <row r="2164" spans="1:12" ht="16.8">
      <c r="A2164" s="2" t="s">
        <v>347</v>
      </c>
      <c r="B2164" s="41" t="str">
        <f>IF(PRESTA&gt;0,"AYUD. ENTENDIDO (INCLUYE "&amp;""&amp;PRESTA*100&amp;"% PRESTACIONES)",0)</f>
        <v>AYUD. ENTENDIDO (INCLUYE 82,22% PRESTACIONES)</v>
      </c>
      <c r="C2164" s="346">
        <v>0.2</v>
      </c>
      <c r="D2164" s="160" t="s">
        <v>346</v>
      </c>
      <c r="E2164" s="32">
        <f>AYUDA</f>
        <v>65389.695592000004</v>
      </c>
      <c r="F2164" s="32"/>
      <c r="G2164" s="32"/>
      <c r="H2164" s="32">
        <f>+E2164*C2164</f>
        <v>13077.939118400001</v>
      </c>
      <c r="I2164" s="2693"/>
    </row>
    <row r="2165" spans="1:12" ht="16.8">
      <c r="A2165" s="2" t="s">
        <v>172</v>
      </c>
      <c r="B2165" s="41" t="s">
        <v>189</v>
      </c>
      <c r="C2165" s="346">
        <v>1</v>
      </c>
      <c r="D2165" s="160" t="s">
        <v>583</v>
      </c>
      <c r="E2165" s="32">
        <f>H2166*0.05</f>
        <v>4653.8969559200004</v>
      </c>
      <c r="F2165" s="32"/>
      <c r="G2165" s="32"/>
      <c r="H2165" s="32"/>
      <c r="I2165" s="2693">
        <f>+E2165*C2165</f>
        <v>4653.8969559200004</v>
      </c>
    </row>
    <row r="2166" spans="1:12" ht="16.8">
      <c r="A2166" s="587" t="s">
        <v>190</v>
      </c>
      <c r="B2166" s="588">
        <f>SUM(F2166:I2166)</f>
        <v>97731.836074320003</v>
      </c>
      <c r="C2166" s="370"/>
      <c r="D2166" s="169"/>
      <c r="E2166" s="32"/>
      <c r="F2166" s="32">
        <f>SUM(F2164:F2165)</f>
        <v>0</v>
      </c>
      <c r="G2166" s="32">
        <f>SUM(G2164:G2165)</f>
        <v>0</v>
      </c>
      <c r="H2166" s="32">
        <f>SUM(H2163:H2165)</f>
        <v>93077.939118399998</v>
      </c>
      <c r="I2166" s="2693">
        <f>SUM(I2164:I2165)</f>
        <v>4653.8969559200004</v>
      </c>
    </row>
    <row r="2167" spans="1:12" ht="16.8">
      <c r="A2167" s="587" t="s">
        <v>191</v>
      </c>
      <c r="B2167" s="39">
        <f>+B2166</f>
        <v>97731.836074320003</v>
      </c>
      <c r="C2167" s="688" t="s">
        <v>427</v>
      </c>
      <c r="D2167" s="13"/>
      <c r="E2167" s="673"/>
      <c r="F2167" s="673"/>
      <c r="G2167" s="673"/>
      <c r="H2167" s="673"/>
      <c r="I2167" s="673"/>
    </row>
    <row r="2168" spans="1:12" s="1260" customFormat="1" ht="15" customHeight="1">
      <c r="A2168" s="1277"/>
      <c r="B2168" s="1278"/>
      <c r="C2168" s="1279"/>
      <c r="D2168" s="402"/>
      <c r="E2168" s="1280"/>
      <c r="F2168" s="1280"/>
      <c r="G2168" s="1280"/>
      <c r="H2168" s="1280"/>
      <c r="I2168" s="1280"/>
      <c r="J2168" s="2897"/>
      <c r="K2168" s="2897"/>
      <c r="L2168" s="2897"/>
    </row>
    <row r="2169" spans="1:12" ht="16.8">
      <c r="A2169" s="594"/>
      <c r="B2169" s="3855" t="s">
        <v>4432</v>
      </c>
      <c r="C2169" s="3856"/>
      <c r="D2169" s="3856"/>
      <c r="E2169" s="3856"/>
      <c r="F2169" s="3856"/>
      <c r="G2169" s="3856"/>
      <c r="H2169" s="3856"/>
      <c r="I2169" s="3857"/>
    </row>
    <row r="2170" spans="1:12" ht="16.8">
      <c r="A2170" s="2695"/>
      <c r="B2170" s="696"/>
      <c r="C2170" s="2695" t="s">
        <v>140</v>
      </c>
      <c r="D2170" s="2695" t="s">
        <v>343</v>
      </c>
      <c r="E2170" s="2693" t="s">
        <v>344</v>
      </c>
      <c r="F2170" s="2693" t="s">
        <v>482</v>
      </c>
      <c r="G2170" s="2693" t="s">
        <v>483</v>
      </c>
      <c r="H2170" s="2693" t="s">
        <v>170</v>
      </c>
      <c r="I2170" s="2693" t="s">
        <v>171</v>
      </c>
    </row>
    <row r="2171" spans="1:12" ht="16.8">
      <c r="A2171" s="2" t="s">
        <v>4131</v>
      </c>
      <c r="B2171" s="773" t="s">
        <v>4412</v>
      </c>
      <c r="C2171" s="346">
        <v>1</v>
      </c>
      <c r="D2171" s="160" t="s">
        <v>363</v>
      </c>
      <c r="E2171" s="2693">
        <f>1265000</f>
        <v>1265000</v>
      </c>
      <c r="F2171" s="2693"/>
      <c r="G2171" s="2693">
        <f>+E2171*C2171</f>
        <v>1265000</v>
      </c>
      <c r="H2171" s="2693"/>
      <c r="I2171" s="2693"/>
    </row>
    <row r="2172" spans="1:12" ht="16.8">
      <c r="A2172" s="2" t="s">
        <v>584</v>
      </c>
      <c r="B2172" s="41" t="s">
        <v>134</v>
      </c>
      <c r="C2172" s="346">
        <v>3.0000000000000001E-3</v>
      </c>
      <c r="D2172" s="160" t="s">
        <v>583</v>
      </c>
      <c r="E2172" s="2693">
        <f>+VIAJE</f>
        <v>1200000</v>
      </c>
      <c r="F2172" s="2693"/>
      <c r="G2172" s="2693"/>
      <c r="H2172" s="2693"/>
      <c r="I2172" s="2693">
        <f>+E2172*C2172</f>
        <v>3600</v>
      </c>
    </row>
    <row r="2173" spans="1:12" ht="16.8">
      <c r="A2173" s="587" t="s">
        <v>190</v>
      </c>
      <c r="B2173" s="588">
        <f>SUM(F2173:I2173)</f>
        <v>1268600</v>
      </c>
      <c r="C2173" s="370"/>
      <c r="D2173" s="169"/>
      <c r="E2173" s="32"/>
      <c r="F2173" s="32">
        <f>SUM(F2171:F2172)</f>
        <v>0</v>
      </c>
      <c r="G2173" s="32">
        <f>SUM(G2171:G2172)</f>
        <v>1265000</v>
      </c>
      <c r="H2173" s="32">
        <f>SUM(H2171:H2172)</f>
        <v>0</v>
      </c>
      <c r="I2173" s="2693">
        <f>SUM(I2171:I2172)</f>
        <v>3600</v>
      </c>
    </row>
    <row r="2174" spans="1:12" ht="16.8">
      <c r="A2174" s="587" t="s">
        <v>191</v>
      </c>
      <c r="B2174" s="39">
        <f>+B2173</f>
        <v>1268600</v>
      </c>
      <c r="C2174" s="688" t="s">
        <v>427</v>
      </c>
      <c r="D2174" s="13"/>
      <c r="E2174" s="673"/>
      <c r="F2174" s="673"/>
      <c r="G2174" s="673"/>
      <c r="H2174" s="673"/>
      <c r="I2174" s="673"/>
    </row>
    <row r="2176" spans="1:12" ht="16.8">
      <c r="A2176" s="594"/>
      <c r="B2176" s="3855" t="s">
        <v>4433</v>
      </c>
      <c r="C2176" s="3856"/>
      <c r="D2176" s="3856"/>
      <c r="E2176" s="3856"/>
      <c r="F2176" s="3856"/>
      <c r="G2176" s="3856"/>
      <c r="H2176" s="3856"/>
      <c r="I2176" s="3857"/>
    </row>
    <row r="2177" spans="1:12" ht="16.8">
      <c r="A2177" s="2695"/>
      <c r="B2177" s="696"/>
      <c r="C2177" s="2695" t="s">
        <v>140</v>
      </c>
      <c r="D2177" s="2695" t="s">
        <v>343</v>
      </c>
      <c r="E2177" s="2693" t="s">
        <v>344</v>
      </c>
      <c r="F2177" s="2693" t="s">
        <v>482</v>
      </c>
      <c r="G2177" s="2693" t="s">
        <v>483</v>
      </c>
      <c r="H2177" s="2693" t="s">
        <v>170</v>
      </c>
      <c r="I2177" s="2693" t="s">
        <v>171</v>
      </c>
    </row>
    <row r="2178" spans="1:12" ht="16.8">
      <c r="A2178" s="485"/>
      <c r="B2178" s="41" t="s">
        <v>4192</v>
      </c>
      <c r="C2178" s="346">
        <v>1</v>
      </c>
      <c r="D2178" s="160" t="s">
        <v>363</v>
      </c>
      <c r="E2178" s="2693">
        <v>40000</v>
      </c>
      <c r="F2178" s="2693"/>
      <c r="G2178" s="2693"/>
      <c r="H2178" s="2693">
        <f>+E2178*C2178</f>
        <v>40000</v>
      </c>
      <c r="I2178" s="2693"/>
    </row>
    <row r="2179" spans="1:12" ht="16.8">
      <c r="A2179" s="2" t="s">
        <v>347</v>
      </c>
      <c r="B2179" s="41" t="str">
        <f>IF(PRESTA&gt;0,"AYUD. ENTENDIDO (INCLUYE "&amp;""&amp;PRESTA*100&amp;"% PRESTACIONES)",0)</f>
        <v>AYUD. ENTENDIDO (INCLUYE 82,22% PRESTACIONES)</v>
      </c>
      <c r="C2179" s="346">
        <v>0.4</v>
      </c>
      <c r="D2179" s="160" t="s">
        <v>346</v>
      </c>
      <c r="E2179" s="32">
        <f>AYUDA</f>
        <v>65389.695592000004</v>
      </c>
      <c r="F2179" s="32"/>
      <c r="G2179" s="32"/>
      <c r="H2179" s="32">
        <f>+E2179*C2179</f>
        <v>26155.878236800003</v>
      </c>
      <c r="I2179" s="2693"/>
    </row>
    <row r="2180" spans="1:12" ht="16.8">
      <c r="A2180" s="2" t="s">
        <v>172</v>
      </c>
      <c r="B2180" s="41" t="s">
        <v>189</v>
      </c>
      <c r="C2180" s="346">
        <v>1</v>
      </c>
      <c r="D2180" s="160" t="s">
        <v>583</v>
      </c>
      <c r="E2180" s="32">
        <f>H2181*0.05</f>
        <v>3307.79391184</v>
      </c>
      <c r="F2180" s="32"/>
      <c r="G2180" s="32"/>
      <c r="H2180" s="32"/>
      <c r="I2180" s="2693">
        <f>+E2180*C2180</f>
        <v>3307.79391184</v>
      </c>
    </row>
    <row r="2181" spans="1:12" ht="16.8">
      <c r="A2181" s="587" t="s">
        <v>190</v>
      </c>
      <c r="B2181" s="588">
        <f>SUM(F2181:I2181)</f>
        <v>69463.672148639991</v>
      </c>
      <c r="C2181" s="370"/>
      <c r="D2181" s="169"/>
      <c r="E2181" s="32"/>
      <c r="F2181" s="32">
        <f>SUM(F2179:F2180)</f>
        <v>0</v>
      </c>
      <c r="G2181" s="32">
        <f>SUM(G2179:G2180)</f>
        <v>0</v>
      </c>
      <c r="H2181" s="32">
        <f>SUM(H2178:H2180)</f>
        <v>66155.878236799996</v>
      </c>
      <c r="I2181" s="2693">
        <f>SUM(I2179:I2180)</f>
        <v>3307.79391184</v>
      </c>
    </row>
    <row r="2182" spans="1:12" ht="16.8">
      <c r="A2182" s="587" t="s">
        <v>191</v>
      </c>
      <c r="B2182" s="39">
        <f>+B2181</f>
        <v>69463.672148639991</v>
      </c>
      <c r="C2182" s="688" t="s">
        <v>427</v>
      </c>
      <c r="D2182" s="13"/>
      <c r="E2182" s="673"/>
      <c r="F2182" s="673"/>
      <c r="G2182" s="673"/>
      <c r="H2182" s="673"/>
      <c r="I2182" s="673"/>
    </row>
    <row r="2183" spans="1:12" s="1260" customFormat="1" ht="15" customHeight="1">
      <c r="A2183" s="1277"/>
      <c r="B2183" s="1278"/>
      <c r="C2183" s="1279"/>
      <c r="D2183" s="402"/>
      <c r="E2183" s="1280"/>
      <c r="F2183" s="1280"/>
      <c r="G2183" s="1280"/>
      <c r="H2183" s="1280"/>
      <c r="I2183" s="1280"/>
      <c r="J2183" s="2897"/>
      <c r="K2183" s="2897"/>
      <c r="L2183" s="2897"/>
    </row>
    <row r="2184" spans="1:12" ht="16.8">
      <c r="A2184" s="594"/>
      <c r="B2184" s="3855" t="s">
        <v>4434</v>
      </c>
      <c r="C2184" s="3856"/>
      <c r="D2184" s="3856"/>
      <c r="E2184" s="3856"/>
      <c r="F2184" s="3856"/>
      <c r="G2184" s="3856"/>
      <c r="H2184" s="3856"/>
      <c r="I2184" s="3857"/>
    </row>
    <row r="2185" spans="1:12" ht="16.8">
      <c r="A2185" s="2695"/>
      <c r="B2185" s="696"/>
      <c r="C2185" s="2695" t="s">
        <v>140</v>
      </c>
      <c r="D2185" s="2695" t="s">
        <v>343</v>
      </c>
      <c r="E2185" s="2693" t="s">
        <v>344</v>
      </c>
      <c r="F2185" s="2693" t="s">
        <v>482</v>
      </c>
      <c r="G2185" s="2693" t="s">
        <v>483</v>
      </c>
      <c r="H2185" s="2693" t="s">
        <v>170</v>
      </c>
      <c r="I2185" s="2693" t="s">
        <v>171</v>
      </c>
    </row>
    <row r="2186" spans="1:12" ht="16.8">
      <c r="A2186" s="2" t="s">
        <v>4131</v>
      </c>
      <c r="B2186" s="773" t="s">
        <v>4413</v>
      </c>
      <c r="C2186" s="346">
        <v>1</v>
      </c>
      <c r="D2186" s="160" t="s">
        <v>363</v>
      </c>
      <c r="E2186" s="2693">
        <f>627500*1.19</f>
        <v>746725</v>
      </c>
      <c r="F2186" s="2693"/>
      <c r="G2186" s="2693">
        <f>+E2186*C2186</f>
        <v>746725</v>
      </c>
      <c r="H2186" s="2693"/>
      <c r="I2186" s="2693"/>
    </row>
    <row r="2187" spans="1:12" ht="16.8">
      <c r="A2187" s="2" t="s">
        <v>584</v>
      </c>
      <c r="B2187" s="41" t="s">
        <v>134</v>
      </c>
      <c r="C2187" s="346">
        <v>3.0000000000000001E-3</v>
      </c>
      <c r="D2187" s="160" t="s">
        <v>583</v>
      </c>
      <c r="E2187" s="2693">
        <f>+VIAJE</f>
        <v>1200000</v>
      </c>
      <c r="F2187" s="2693"/>
      <c r="G2187" s="2693"/>
      <c r="H2187" s="2693"/>
      <c r="I2187" s="2693">
        <f>+E2187*C2187</f>
        <v>3600</v>
      </c>
    </row>
    <row r="2188" spans="1:12" ht="16.8">
      <c r="A2188" s="587" t="s">
        <v>190</v>
      </c>
      <c r="B2188" s="588">
        <f>SUM(F2188:I2188)</f>
        <v>750325</v>
      </c>
      <c r="C2188" s="370"/>
      <c r="D2188" s="169"/>
      <c r="E2188" s="32"/>
      <c r="F2188" s="32">
        <f>SUM(F2186:F2187)</f>
        <v>0</v>
      </c>
      <c r="G2188" s="32">
        <f>SUM(G2186:G2187)</f>
        <v>746725</v>
      </c>
      <c r="H2188" s="32">
        <f>SUM(H2186:H2187)</f>
        <v>0</v>
      </c>
      <c r="I2188" s="2693">
        <f>SUM(I2186:I2187)</f>
        <v>3600</v>
      </c>
    </row>
    <row r="2189" spans="1:12" ht="16.8">
      <c r="A2189" s="587" t="s">
        <v>191</v>
      </c>
      <c r="B2189" s="39">
        <f>+B2188</f>
        <v>750325</v>
      </c>
      <c r="C2189" s="688" t="s">
        <v>427</v>
      </c>
      <c r="D2189" s="13"/>
      <c r="E2189" s="673"/>
      <c r="F2189" s="673"/>
      <c r="G2189" s="673"/>
      <c r="H2189" s="673"/>
      <c r="I2189" s="673"/>
    </row>
    <row r="2191" spans="1:12" s="1918" customFormat="1" ht="16.8">
      <c r="A2191" s="1318"/>
      <c r="B2191" s="3849" t="s">
        <v>6815</v>
      </c>
      <c r="C2191" s="3849"/>
      <c r="D2191" s="3849"/>
      <c r="E2191" s="3849"/>
      <c r="F2191" s="3849"/>
      <c r="G2191" s="3849"/>
      <c r="H2191" s="3849"/>
      <c r="I2191" s="3849"/>
      <c r="J2191" s="2901"/>
      <c r="K2191" s="2901"/>
      <c r="L2191" s="2901"/>
    </row>
    <row r="2192" spans="1:12" s="1918" customFormat="1" ht="16.8">
      <c r="A2192" s="1319"/>
      <c r="B2192" s="1320"/>
      <c r="C2192" s="1319" t="s">
        <v>140</v>
      </c>
      <c r="D2192" s="1319" t="s">
        <v>343</v>
      </c>
      <c r="E2192" s="1319" t="s">
        <v>344</v>
      </c>
      <c r="F2192" s="1319" t="s">
        <v>482</v>
      </c>
      <c r="G2192" s="1319" t="s">
        <v>483</v>
      </c>
      <c r="H2192" s="1319" t="s">
        <v>170</v>
      </c>
      <c r="I2192" s="1319" t="s">
        <v>171</v>
      </c>
      <c r="J2192" s="2901"/>
      <c r="K2192" s="2901"/>
      <c r="L2192" s="2901"/>
    </row>
    <row r="2193" spans="1:12" s="1918" customFormat="1" ht="16.8">
      <c r="A2193" s="1319" t="s">
        <v>345</v>
      </c>
      <c r="B2193" s="1320" t="s">
        <v>6439</v>
      </c>
      <c r="C2193" s="1322">
        <v>0.75</v>
      </c>
      <c r="D2193" s="1323" t="s">
        <v>346</v>
      </c>
      <c r="E2193" s="1324">
        <f>+OFICI</f>
        <v>80479.625344</v>
      </c>
      <c r="F2193" s="1324"/>
      <c r="G2193" s="1324"/>
      <c r="H2193" s="1324">
        <f>+E2193*C2193</f>
        <v>60359.719008</v>
      </c>
      <c r="I2193" s="1324"/>
      <c r="J2193" s="2901"/>
      <c r="K2193" s="2901"/>
      <c r="L2193" s="2901"/>
    </row>
    <row r="2194" spans="1:12" s="1918" customFormat="1" ht="16.8">
      <c r="A2194" s="1319" t="s">
        <v>348</v>
      </c>
      <c r="B2194" s="1320" t="s">
        <v>6579</v>
      </c>
      <c r="C2194" s="1322">
        <v>0.75</v>
      </c>
      <c r="D2194" s="1323" t="s">
        <v>346</v>
      </c>
      <c r="E2194" s="1324">
        <f>+AYUDR</f>
        <v>50299.76584</v>
      </c>
      <c r="F2194" s="1324"/>
      <c r="G2194" s="1324"/>
      <c r="H2194" s="1324">
        <f>+E2194*C2194</f>
        <v>37724.824379999998</v>
      </c>
      <c r="I2194" s="1324"/>
      <c r="J2194" s="2901"/>
      <c r="K2194" s="2901"/>
      <c r="L2194" s="2901"/>
    </row>
    <row r="2195" spans="1:12" s="1918" customFormat="1" ht="16.8">
      <c r="A2195" s="1319" t="s">
        <v>172</v>
      </c>
      <c r="B2195" s="1320" t="s">
        <v>189</v>
      </c>
      <c r="C2195" s="1322">
        <v>1</v>
      </c>
      <c r="D2195" s="1323" t="s">
        <v>583</v>
      </c>
      <c r="E2195" s="1324">
        <f>+H2196*0.05</f>
        <v>4904.2271694000001</v>
      </c>
      <c r="F2195" s="1324"/>
      <c r="G2195" s="1324"/>
      <c r="H2195" s="1324"/>
      <c r="I2195" s="1324">
        <f>+E2195*C2195</f>
        <v>4904.2271694000001</v>
      </c>
      <c r="J2195" s="2901"/>
      <c r="K2195" s="2901"/>
      <c r="L2195" s="2901"/>
    </row>
    <row r="2196" spans="1:12" s="1918" customFormat="1" ht="16.8">
      <c r="A2196" s="1325" t="s">
        <v>190</v>
      </c>
      <c r="B2196" s="1326">
        <f>ROUND(SUM(F2196:I2196),0)</f>
        <v>102989</v>
      </c>
      <c r="C2196" s="1323"/>
      <c r="D2196" s="1327"/>
      <c r="E2196" s="1319"/>
      <c r="F2196" s="1324">
        <f>SUM(F2193:F2195)</f>
        <v>0</v>
      </c>
      <c r="G2196" s="1324">
        <f>SUM(G2193:G2194)</f>
        <v>0</v>
      </c>
      <c r="H2196" s="1324">
        <f>SUM(H2193:H2194)</f>
        <v>98084.543387999991</v>
      </c>
      <c r="I2196" s="1324">
        <f>SUM(I2193:I2195)</f>
        <v>4904.2271694000001</v>
      </c>
      <c r="J2196" s="2901"/>
      <c r="K2196" s="2901"/>
      <c r="L2196" s="2901"/>
    </row>
    <row r="2197" spans="1:12" ht="16.8">
      <c r="A2197" s="1325" t="s">
        <v>191</v>
      </c>
      <c r="B2197" s="1326">
        <f>+B2196</f>
        <v>102989</v>
      </c>
      <c r="C2197" s="1328" t="s">
        <v>150</v>
      </c>
      <c r="D2197" s="1329"/>
      <c r="E2197" s="1329">
        <f>+B2205*0.15</f>
        <v>102645</v>
      </c>
      <c r="F2197" s="1329"/>
      <c r="G2197" s="1329"/>
      <c r="H2197" s="1330"/>
      <c r="I2197" s="1330"/>
    </row>
    <row r="2198" spans="1:12" s="1918" customFormat="1" ht="15.75" customHeight="1">
      <c r="A2198" s="492"/>
      <c r="B2198" s="492"/>
      <c r="C2198" s="492"/>
      <c r="D2198" s="492"/>
      <c r="E2198" s="492"/>
      <c r="F2198" s="492"/>
      <c r="G2198" s="492"/>
      <c r="H2198" s="492"/>
      <c r="I2198" s="492"/>
      <c r="J2198" s="2901"/>
      <c r="K2198" s="2901">
        <f>0.05*1</f>
        <v>0.05</v>
      </c>
      <c r="L2198" s="2901"/>
    </row>
    <row r="2199" spans="1:12" s="1918" customFormat="1" ht="16.8">
      <c r="A2199" s="1318"/>
      <c r="B2199" s="3849" t="s">
        <v>6814</v>
      </c>
      <c r="C2199" s="3849"/>
      <c r="D2199" s="3849"/>
      <c r="E2199" s="3849"/>
      <c r="F2199" s="3849"/>
      <c r="G2199" s="3849"/>
      <c r="H2199" s="3849"/>
      <c r="I2199" s="3849"/>
      <c r="J2199" s="2901"/>
      <c r="K2199" s="2901"/>
      <c r="L2199" s="2901"/>
    </row>
    <row r="2200" spans="1:12" s="1918" customFormat="1" ht="15" customHeight="1">
      <c r="A2200" s="1319"/>
      <c r="B2200" s="1320"/>
      <c r="C2200" s="1319" t="s">
        <v>140</v>
      </c>
      <c r="D2200" s="1319" t="s">
        <v>343</v>
      </c>
      <c r="E2200" s="1319" t="s">
        <v>344</v>
      </c>
      <c r="F2200" s="1319" t="s">
        <v>482</v>
      </c>
      <c r="G2200" s="1319" t="s">
        <v>483</v>
      </c>
      <c r="H2200" s="1319" t="s">
        <v>170</v>
      </c>
      <c r="I2200" s="1319" t="s">
        <v>171</v>
      </c>
      <c r="J2200" s="2901"/>
      <c r="K2200" s="2901"/>
      <c r="L2200" s="2901"/>
    </row>
    <row r="2201" spans="1:12" s="1918" customFormat="1" ht="15" customHeight="1">
      <c r="A2201" s="1319"/>
      <c r="B2201" s="1335" t="s">
        <v>4414</v>
      </c>
      <c r="C2201" s="1922">
        <v>1</v>
      </c>
      <c r="D2201" s="1920" t="s">
        <v>133</v>
      </c>
      <c r="E2201" s="1324">
        <f>+'BASE 2'!D483</f>
        <v>487900</v>
      </c>
      <c r="F2201" s="1324"/>
      <c r="G2201" s="1324">
        <f>+E2201*C2201</f>
        <v>487900</v>
      </c>
      <c r="H2201" s="1324"/>
      <c r="I2201" s="1324"/>
      <c r="J2201" s="2901"/>
      <c r="K2201" s="2901"/>
      <c r="L2201" s="2901"/>
    </row>
    <row r="2202" spans="1:12" s="1918" customFormat="1" ht="16.8">
      <c r="A2202" s="1319"/>
      <c r="B2202" s="1335" t="s">
        <v>6455</v>
      </c>
      <c r="C2202" s="1922">
        <v>2</v>
      </c>
      <c r="D2202" s="1920" t="s">
        <v>133</v>
      </c>
      <c r="E2202" s="1324">
        <f>+'BASE 2'!D625</f>
        <v>91000</v>
      </c>
      <c r="F2202" s="1324"/>
      <c r="G2202" s="1324">
        <f>+E2202*C2202</f>
        <v>182000</v>
      </c>
      <c r="H2202" s="1324"/>
      <c r="I2202" s="1324"/>
      <c r="J2202" s="2901"/>
      <c r="K2202" s="2901"/>
      <c r="L2202" s="2901"/>
    </row>
    <row r="2203" spans="1:12" s="1918" customFormat="1" ht="16.8">
      <c r="A2203" s="1319"/>
      <c r="B2203" s="1320" t="s">
        <v>4727</v>
      </c>
      <c r="C2203" s="1919">
        <v>1.2E-2</v>
      </c>
      <c r="D2203" s="1921" t="s">
        <v>583</v>
      </c>
      <c r="E2203" s="1324">
        <f>+VIAJE</f>
        <v>1200000</v>
      </c>
      <c r="F2203" s="1324"/>
      <c r="G2203" s="1324"/>
      <c r="H2203" s="1324"/>
      <c r="I2203" s="1324">
        <f>+E2203*C2203</f>
        <v>14400</v>
      </c>
      <c r="J2203" s="2901"/>
      <c r="K2203" s="2901"/>
      <c r="L2203" s="2901"/>
    </row>
    <row r="2204" spans="1:12" s="1918" customFormat="1" ht="16.8">
      <c r="A2204" s="1325" t="s">
        <v>190</v>
      </c>
      <c r="B2204" s="1326">
        <f>ROUND(SUM(F2204:I2204),0)</f>
        <v>684300</v>
      </c>
      <c r="C2204" s="1323"/>
      <c r="D2204" s="1327"/>
      <c r="E2204" s="1319"/>
      <c r="F2204" s="1324">
        <f>SUM(F2201:F2201)</f>
        <v>0</v>
      </c>
      <c r="G2204" s="1324">
        <f>SUM(G2201:G2203)</f>
        <v>669900</v>
      </c>
      <c r="H2204" s="1324">
        <f>SUM(H2201:H2201)</f>
        <v>0</v>
      </c>
      <c r="I2204" s="1324">
        <f>+I2203</f>
        <v>14400</v>
      </c>
      <c r="J2204" s="2901"/>
      <c r="K2204" s="2901"/>
      <c r="L2204" s="2901"/>
    </row>
    <row r="2205" spans="1:12" ht="16.8">
      <c r="A2205" s="1325" t="s">
        <v>191</v>
      </c>
      <c r="B2205" s="1326">
        <f>+B2204</f>
        <v>684300</v>
      </c>
      <c r="C2205" s="1328" t="s">
        <v>150</v>
      </c>
      <c r="D2205" s="1329"/>
      <c r="E2205" s="1329"/>
      <c r="F2205" s="1329"/>
      <c r="G2205" s="1329"/>
      <c r="H2205" s="1330"/>
      <c r="I2205" s="1330"/>
    </row>
    <row r="2207" spans="1:12" s="1918" customFormat="1" ht="16.8">
      <c r="A2207" s="1318"/>
      <c r="B2207" s="3849" t="s">
        <v>6818</v>
      </c>
      <c r="C2207" s="3849"/>
      <c r="D2207" s="3849"/>
      <c r="E2207" s="3849"/>
      <c r="F2207" s="3849"/>
      <c r="G2207" s="3849"/>
      <c r="H2207" s="3849"/>
      <c r="I2207" s="3849"/>
      <c r="J2207" s="2901"/>
      <c r="K2207" s="2901"/>
      <c r="L2207" s="2901"/>
    </row>
    <row r="2208" spans="1:12" s="1918" customFormat="1" ht="16.8">
      <c r="A2208" s="1319"/>
      <c r="B2208" s="1320"/>
      <c r="C2208" s="1319" t="s">
        <v>140</v>
      </c>
      <c r="D2208" s="1319" t="s">
        <v>343</v>
      </c>
      <c r="E2208" s="1319" t="s">
        <v>344</v>
      </c>
      <c r="F2208" s="1319" t="s">
        <v>482</v>
      </c>
      <c r="G2208" s="1319" t="s">
        <v>483</v>
      </c>
      <c r="H2208" s="1319" t="s">
        <v>170</v>
      </c>
      <c r="I2208" s="1319" t="s">
        <v>171</v>
      </c>
      <c r="J2208" s="2901"/>
      <c r="K2208" s="2901"/>
      <c r="L2208" s="2901"/>
    </row>
    <row r="2209" spans="1:12" s="1918" customFormat="1" ht="16.8">
      <c r="A2209" s="1319" t="s">
        <v>345</v>
      </c>
      <c r="B2209" s="1320" t="s">
        <v>6439</v>
      </c>
      <c r="C2209" s="1322">
        <v>0.72</v>
      </c>
      <c r="D2209" s="1323" t="s">
        <v>346</v>
      </c>
      <c r="E2209" s="1324">
        <f>+OFICI</f>
        <v>80479.625344</v>
      </c>
      <c r="F2209" s="1324"/>
      <c r="G2209" s="1324"/>
      <c r="H2209" s="1324">
        <f>+E2209*C2209</f>
        <v>57945.330247679994</v>
      </c>
      <c r="I2209" s="1324"/>
      <c r="J2209" s="2901"/>
      <c r="K2209" s="2901"/>
      <c r="L2209" s="2901"/>
    </row>
    <row r="2210" spans="1:12" s="1918" customFormat="1" ht="16.8">
      <c r="A2210" s="1319" t="s">
        <v>348</v>
      </c>
      <c r="B2210" s="1320" t="s">
        <v>6579</v>
      </c>
      <c r="C2210" s="1322">
        <v>0.72</v>
      </c>
      <c r="D2210" s="1323" t="s">
        <v>346</v>
      </c>
      <c r="E2210" s="1324">
        <f>+AYUDR</f>
        <v>50299.76584</v>
      </c>
      <c r="F2210" s="1324"/>
      <c r="G2210" s="1324"/>
      <c r="H2210" s="1324">
        <f>+E2210*C2210</f>
        <v>36215.831404799996</v>
      </c>
      <c r="I2210" s="1324"/>
      <c r="J2210" s="2901"/>
      <c r="K2210" s="2901"/>
      <c r="L2210" s="2901"/>
    </row>
    <row r="2211" spans="1:12" s="1918" customFormat="1" ht="16.8">
      <c r="A2211" s="1319" t="s">
        <v>172</v>
      </c>
      <c r="B2211" s="1320" t="s">
        <v>189</v>
      </c>
      <c r="C2211" s="1322">
        <v>1</v>
      </c>
      <c r="D2211" s="1323" t="s">
        <v>583</v>
      </c>
      <c r="E2211" s="1324">
        <f>+H2212*0.05</f>
        <v>4708.0580826239993</v>
      </c>
      <c r="F2211" s="1324"/>
      <c r="G2211" s="1324"/>
      <c r="H2211" s="1324"/>
      <c r="I2211" s="1324">
        <f>+E2211*C2211</f>
        <v>4708.0580826239993</v>
      </c>
      <c r="J2211" s="2901"/>
      <c r="K2211" s="2901"/>
      <c r="L2211" s="2901"/>
    </row>
    <row r="2212" spans="1:12" s="1918" customFormat="1" ht="16.8">
      <c r="A2212" s="1325" t="s">
        <v>190</v>
      </c>
      <c r="B2212" s="1326">
        <f>ROUND(SUM(F2212:I2212),0)</f>
        <v>98869</v>
      </c>
      <c r="C2212" s="1323"/>
      <c r="D2212" s="1327"/>
      <c r="E2212" s="1319"/>
      <c r="F2212" s="1324">
        <f>SUM(F2209:F2211)</f>
        <v>0</v>
      </c>
      <c r="G2212" s="1324">
        <f>SUM(G2209:G2210)</f>
        <v>0</v>
      </c>
      <c r="H2212" s="1324">
        <f>SUM(H2209:H2210)</f>
        <v>94161.16165247999</v>
      </c>
      <c r="I2212" s="1324">
        <f>SUM(I2209:I2211)</f>
        <v>4708.0580826239993</v>
      </c>
      <c r="J2212" s="2901"/>
      <c r="K2212" s="2901"/>
      <c r="L2212" s="2901"/>
    </row>
    <row r="2213" spans="1:12" ht="16.8">
      <c r="A2213" s="1325" t="s">
        <v>191</v>
      </c>
      <c r="B2213" s="1326">
        <f>+B2212</f>
        <v>98869</v>
      </c>
      <c r="C2213" s="1328" t="s">
        <v>150</v>
      </c>
      <c r="D2213" s="1329"/>
      <c r="E2213" s="1329">
        <f>+B2221*0.15</f>
        <v>98182.5</v>
      </c>
      <c r="F2213" s="1329"/>
      <c r="G2213" s="1329"/>
      <c r="H2213" s="1330"/>
      <c r="I2213" s="1330"/>
    </row>
    <row r="2214" spans="1:12" s="1918" customFormat="1" ht="15.75" customHeight="1">
      <c r="A2214" s="492"/>
      <c r="B2214" s="492"/>
      <c r="C2214" s="492"/>
      <c r="D2214" s="492"/>
      <c r="E2214" s="492"/>
      <c r="F2214" s="492"/>
      <c r="G2214" s="492"/>
      <c r="H2214" s="492"/>
      <c r="I2214" s="492"/>
      <c r="J2214" s="2901"/>
      <c r="K2214" s="2901">
        <f>0.05*1</f>
        <v>0.05</v>
      </c>
      <c r="L2214" s="2901"/>
    </row>
    <row r="2215" spans="1:12" s="1918" customFormat="1" ht="16.8">
      <c r="A2215" s="1318"/>
      <c r="B2215" s="3849" t="s">
        <v>6817</v>
      </c>
      <c r="C2215" s="3849"/>
      <c r="D2215" s="3849"/>
      <c r="E2215" s="3849"/>
      <c r="F2215" s="3849"/>
      <c r="G2215" s="3849"/>
      <c r="H2215" s="3849"/>
      <c r="I2215" s="3849"/>
      <c r="J2215" s="2901"/>
      <c r="K2215" s="2901"/>
      <c r="L2215" s="2901"/>
    </row>
    <row r="2216" spans="1:12" s="1918" customFormat="1" ht="15" customHeight="1">
      <c r="A2216" s="1319"/>
      <c r="B2216" s="1320"/>
      <c r="C2216" s="1319" t="s">
        <v>140</v>
      </c>
      <c r="D2216" s="1319" t="s">
        <v>343</v>
      </c>
      <c r="E2216" s="1319" t="s">
        <v>344</v>
      </c>
      <c r="F2216" s="1319" t="s">
        <v>482</v>
      </c>
      <c r="G2216" s="1319" t="s">
        <v>483</v>
      </c>
      <c r="H2216" s="1319" t="s">
        <v>170</v>
      </c>
      <c r="I2216" s="1319" t="s">
        <v>171</v>
      </c>
      <c r="J2216" s="2901"/>
      <c r="K2216" s="2901"/>
      <c r="L2216" s="2901"/>
    </row>
    <row r="2217" spans="1:12" s="1918" customFormat="1" ht="15" customHeight="1">
      <c r="A2217" s="1319"/>
      <c r="B2217" s="1335" t="s">
        <v>4415</v>
      </c>
      <c r="C2217" s="1922">
        <v>1</v>
      </c>
      <c r="D2217" s="1920" t="s">
        <v>133</v>
      </c>
      <c r="E2217" s="1324">
        <f>+'BASE 2'!D484</f>
        <v>458150</v>
      </c>
      <c r="F2217" s="1324"/>
      <c r="G2217" s="1324">
        <f>+E2217*C2217</f>
        <v>458150</v>
      </c>
      <c r="H2217" s="1324"/>
      <c r="I2217" s="1324"/>
      <c r="J2217" s="2901"/>
      <c r="K2217" s="2901"/>
      <c r="L2217" s="2901"/>
    </row>
    <row r="2218" spans="1:12" s="1918" customFormat="1" ht="16.8">
      <c r="A2218" s="1319"/>
      <c r="B2218" s="1335" t="s">
        <v>6455</v>
      </c>
      <c r="C2218" s="1922">
        <v>2</v>
      </c>
      <c r="D2218" s="1920" t="s">
        <v>133</v>
      </c>
      <c r="E2218" s="1324">
        <f>+'BASE 2'!D625</f>
        <v>91000</v>
      </c>
      <c r="F2218" s="1324"/>
      <c r="G2218" s="1324">
        <f>+E2218*C2218</f>
        <v>182000</v>
      </c>
      <c r="H2218" s="1324"/>
      <c r="I2218" s="1324"/>
      <c r="J2218" s="2901"/>
      <c r="K2218" s="2901"/>
      <c r="L2218" s="2901"/>
    </row>
    <row r="2219" spans="1:12" s="1918" customFormat="1" ht="16.8">
      <c r="A2219" s="1319"/>
      <c r="B2219" s="1320" t="s">
        <v>4727</v>
      </c>
      <c r="C2219" s="1919">
        <v>1.2E-2</v>
      </c>
      <c r="D2219" s="1921" t="s">
        <v>583</v>
      </c>
      <c r="E2219" s="1324">
        <f>+VIAJE</f>
        <v>1200000</v>
      </c>
      <c r="F2219" s="1324"/>
      <c r="G2219" s="1324"/>
      <c r="H2219" s="1324"/>
      <c r="I2219" s="1324">
        <f>+E2219*C2219</f>
        <v>14400</v>
      </c>
      <c r="J2219" s="2901"/>
      <c r="K2219" s="2901"/>
      <c r="L2219" s="2901"/>
    </row>
    <row r="2220" spans="1:12" s="1918" customFormat="1" ht="16.8">
      <c r="A2220" s="1325" t="s">
        <v>190</v>
      </c>
      <c r="B2220" s="1326">
        <f>ROUND(SUM(F2220:I2220),0)</f>
        <v>654550</v>
      </c>
      <c r="C2220" s="1323"/>
      <c r="D2220" s="1327"/>
      <c r="E2220" s="1319"/>
      <c r="F2220" s="1324">
        <f>SUM(F2217:F2217)</f>
        <v>0</v>
      </c>
      <c r="G2220" s="1324">
        <f>SUM(G2217:G2219)</f>
        <v>640150</v>
      </c>
      <c r="H2220" s="1324">
        <f>SUM(H2217:H2217)</f>
        <v>0</v>
      </c>
      <c r="I2220" s="1324">
        <f>+I2219</f>
        <v>14400</v>
      </c>
      <c r="J2220" s="2901"/>
      <c r="K2220" s="2901"/>
      <c r="L2220" s="2901"/>
    </row>
    <row r="2221" spans="1:12" ht="16.8">
      <c r="A2221" s="1325" t="s">
        <v>191</v>
      </c>
      <c r="B2221" s="1326">
        <f>+B2220</f>
        <v>654550</v>
      </c>
      <c r="C2221" s="1328" t="s">
        <v>150</v>
      </c>
      <c r="D2221" s="1329"/>
      <c r="E2221" s="1329"/>
      <c r="F2221" s="1329"/>
      <c r="G2221" s="1329"/>
      <c r="H2221" s="1330"/>
      <c r="I2221" s="1330"/>
    </row>
    <row r="2223" spans="1:12" ht="16.8">
      <c r="A2223" s="594"/>
      <c r="B2223" s="3855" t="s">
        <v>4856</v>
      </c>
      <c r="C2223" s="3856"/>
      <c r="D2223" s="3856"/>
      <c r="E2223" s="3856"/>
      <c r="F2223" s="3856"/>
      <c r="G2223" s="3856"/>
      <c r="H2223" s="3856"/>
      <c r="I2223" s="3857"/>
    </row>
    <row r="2224" spans="1:12" ht="16.8">
      <c r="A2224" s="2695"/>
      <c r="B2224" s="696"/>
      <c r="C2224" s="2695" t="s">
        <v>140</v>
      </c>
      <c r="D2224" s="2695" t="s">
        <v>343</v>
      </c>
      <c r="E2224" s="2693" t="s">
        <v>344</v>
      </c>
      <c r="F2224" s="2693" t="s">
        <v>482</v>
      </c>
      <c r="G2224" s="2693" t="s">
        <v>483</v>
      </c>
      <c r="H2224" s="2693" t="s">
        <v>170</v>
      </c>
      <c r="I2224" s="2693" t="s">
        <v>171</v>
      </c>
    </row>
    <row r="2225" spans="1:12" ht="16.8">
      <c r="A2225" s="485"/>
      <c r="B2225" s="41" t="s">
        <v>4192</v>
      </c>
      <c r="C2225" s="346">
        <v>1</v>
      </c>
      <c r="D2225" s="160" t="s">
        <v>363</v>
      </c>
      <c r="E2225" s="2693">
        <v>40000</v>
      </c>
      <c r="F2225" s="2693"/>
      <c r="G2225" s="2693"/>
      <c r="H2225" s="2693">
        <f>+E2225*C2225</f>
        <v>40000</v>
      </c>
      <c r="I2225" s="2693"/>
    </row>
    <row r="2226" spans="1:12" ht="16.8">
      <c r="A2226" s="2" t="s">
        <v>347</v>
      </c>
      <c r="B2226" s="41" t="str">
        <f>IF(PRESTA&gt;0,"AYUD. ENTENDIDO (INCLUYE "&amp;""&amp;PRESTA*100&amp;"% PRESTACIONES)",0)</f>
        <v>AYUD. ENTENDIDO (INCLUYE 82,22% PRESTACIONES)</v>
      </c>
      <c r="C2226" s="346">
        <v>0.4</v>
      </c>
      <c r="D2226" s="160" t="s">
        <v>346</v>
      </c>
      <c r="E2226" s="32">
        <f>AYUDA</f>
        <v>65389.695592000004</v>
      </c>
      <c r="F2226" s="32"/>
      <c r="G2226" s="32"/>
      <c r="H2226" s="32">
        <f>+E2226*C2226</f>
        <v>26155.878236800003</v>
      </c>
      <c r="I2226" s="2693"/>
    </row>
    <row r="2227" spans="1:12" ht="16.8">
      <c r="A2227" s="2" t="s">
        <v>172</v>
      </c>
      <c r="B2227" s="41" t="s">
        <v>189</v>
      </c>
      <c r="C2227" s="346">
        <v>1</v>
      </c>
      <c r="D2227" s="160" t="s">
        <v>583</v>
      </c>
      <c r="E2227" s="32">
        <f>H2228*0.05</f>
        <v>3307.79391184</v>
      </c>
      <c r="F2227" s="32"/>
      <c r="G2227" s="32"/>
      <c r="H2227" s="32"/>
      <c r="I2227" s="2693">
        <f>+E2227*C2227</f>
        <v>3307.79391184</v>
      </c>
    </row>
    <row r="2228" spans="1:12" ht="16.8">
      <c r="A2228" s="587" t="s">
        <v>190</v>
      </c>
      <c r="B2228" s="588">
        <f>SUM(F2228:I2228)</f>
        <v>69463.672148639991</v>
      </c>
      <c r="C2228" s="370"/>
      <c r="D2228" s="169"/>
      <c r="E2228" s="32"/>
      <c r="F2228" s="32">
        <f>SUM(F2226:F2227)</f>
        <v>0</v>
      </c>
      <c r="G2228" s="32">
        <f>SUM(G2226:G2227)</f>
        <v>0</v>
      </c>
      <c r="H2228" s="32">
        <f>SUM(H2225:H2227)</f>
        <v>66155.878236799996</v>
      </c>
      <c r="I2228" s="2693">
        <f>SUM(I2226:I2227)</f>
        <v>3307.79391184</v>
      </c>
    </row>
    <row r="2229" spans="1:12" ht="16.8">
      <c r="A2229" s="587" t="s">
        <v>191</v>
      </c>
      <c r="B2229" s="39">
        <f>+B2228</f>
        <v>69463.672148639991</v>
      </c>
      <c r="C2229" s="688" t="s">
        <v>427</v>
      </c>
      <c r="D2229" s="13"/>
      <c r="E2229" s="673"/>
      <c r="F2229" s="673"/>
      <c r="G2229" s="673"/>
      <c r="H2229" s="673"/>
      <c r="I2229" s="673"/>
    </row>
    <row r="2230" spans="1:12" s="1260" customFormat="1" ht="15" customHeight="1">
      <c r="A2230" s="1277"/>
      <c r="B2230" s="1278"/>
      <c r="C2230" s="1279"/>
      <c r="D2230" s="402"/>
      <c r="E2230" s="1280"/>
      <c r="F2230" s="1280"/>
      <c r="G2230" s="1280"/>
      <c r="H2230" s="1280"/>
      <c r="I2230" s="1280"/>
      <c r="J2230" s="2897"/>
      <c r="K2230" s="2897"/>
      <c r="L2230" s="2897"/>
    </row>
    <row r="2231" spans="1:12" ht="16.8">
      <c r="A2231" s="594"/>
      <c r="B2231" s="3855" t="s">
        <v>4857</v>
      </c>
      <c r="C2231" s="3856"/>
      <c r="D2231" s="3856"/>
      <c r="E2231" s="3856"/>
      <c r="F2231" s="3856"/>
      <c r="G2231" s="3856"/>
      <c r="H2231" s="3856"/>
      <c r="I2231" s="3857"/>
    </row>
    <row r="2232" spans="1:12" ht="16.8">
      <c r="A2232" s="2695"/>
      <c r="B2232" s="696"/>
      <c r="C2232" s="2695" t="s">
        <v>140</v>
      </c>
      <c r="D2232" s="2695" t="s">
        <v>343</v>
      </c>
      <c r="E2232" s="2693" t="s">
        <v>344</v>
      </c>
      <c r="F2232" s="2693" t="s">
        <v>482</v>
      </c>
      <c r="G2232" s="2693" t="s">
        <v>483</v>
      </c>
      <c r="H2232" s="2693" t="s">
        <v>170</v>
      </c>
      <c r="I2232" s="2693" t="s">
        <v>171</v>
      </c>
    </row>
    <row r="2233" spans="1:12" ht="16.8">
      <c r="A2233" s="2" t="s">
        <v>4131</v>
      </c>
      <c r="B2233" s="773" t="s">
        <v>4416</v>
      </c>
      <c r="C2233" s="346">
        <v>1</v>
      </c>
      <c r="D2233" s="160" t="s">
        <v>363</v>
      </c>
      <c r="E2233" s="2693">
        <f>623500*1.19</f>
        <v>741965</v>
      </c>
      <c r="F2233" s="2693"/>
      <c r="G2233" s="2693">
        <f>+E2233*C2233</f>
        <v>741965</v>
      </c>
      <c r="H2233" s="2693"/>
      <c r="I2233" s="2693"/>
    </row>
    <row r="2234" spans="1:12" ht="16.8">
      <c r="A2234" s="2" t="s">
        <v>584</v>
      </c>
      <c r="B2234" s="41" t="s">
        <v>134</v>
      </c>
      <c r="C2234" s="346">
        <v>0.03</v>
      </c>
      <c r="D2234" s="160" t="s">
        <v>583</v>
      </c>
      <c r="E2234" s="2693">
        <f>+VIAJE</f>
        <v>1200000</v>
      </c>
      <c r="F2234" s="2693"/>
      <c r="G2234" s="2693"/>
      <c r="H2234" s="2693"/>
      <c r="I2234" s="2693">
        <f>+E2234*C2234</f>
        <v>36000</v>
      </c>
    </row>
    <row r="2235" spans="1:12" ht="16.8">
      <c r="A2235" s="587" t="s">
        <v>190</v>
      </c>
      <c r="B2235" s="588">
        <f>SUM(F2235:I2235)</f>
        <v>777965</v>
      </c>
      <c r="C2235" s="370"/>
      <c r="D2235" s="169"/>
      <c r="E2235" s="32"/>
      <c r="F2235" s="32">
        <f>SUM(F2233:F2234)</f>
        <v>0</v>
      </c>
      <c r="G2235" s="32">
        <f>SUM(G2233:G2234)</f>
        <v>741965</v>
      </c>
      <c r="H2235" s="32">
        <f>SUM(H2233:H2234)</f>
        <v>0</v>
      </c>
      <c r="I2235" s="2693">
        <f>SUM(I2233:I2234)</f>
        <v>36000</v>
      </c>
    </row>
    <row r="2236" spans="1:12" ht="15.75" customHeight="1">
      <c r="A2236" s="587" t="s">
        <v>191</v>
      </c>
      <c r="B2236" s="39">
        <f>+B2235</f>
        <v>777965</v>
      </c>
      <c r="C2236" s="688" t="s">
        <v>427</v>
      </c>
      <c r="D2236" s="13"/>
      <c r="E2236" s="673"/>
      <c r="F2236" s="673"/>
      <c r="G2236" s="673"/>
      <c r="H2236" s="673"/>
      <c r="I2236" s="673"/>
    </row>
    <row r="2238" spans="1:12" ht="16.8">
      <c r="A2238" s="594"/>
      <c r="B2238" s="3855" t="s">
        <v>4437</v>
      </c>
      <c r="C2238" s="3856"/>
      <c r="D2238" s="3856"/>
      <c r="E2238" s="3856"/>
      <c r="F2238" s="3856"/>
      <c r="G2238" s="3856"/>
      <c r="H2238" s="3856"/>
      <c r="I2238" s="3857"/>
    </row>
    <row r="2239" spans="1:12" ht="16.8">
      <c r="A2239" s="2695"/>
      <c r="B2239" s="696"/>
      <c r="C2239" s="2695" t="s">
        <v>140</v>
      </c>
      <c r="D2239" s="2695" t="s">
        <v>343</v>
      </c>
      <c r="E2239" s="2693" t="s">
        <v>344</v>
      </c>
      <c r="F2239" s="2693" t="s">
        <v>482</v>
      </c>
      <c r="G2239" s="2693" t="s">
        <v>483</v>
      </c>
      <c r="H2239" s="2693" t="s">
        <v>170</v>
      </c>
      <c r="I2239" s="2693" t="s">
        <v>171</v>
      </c>
    </row>
    <row r="2240" spans="1:12" ht="16.8">
      <c r="A2240" s="485"/>
      <c r="B2240" s="41" t="s">
        <v>4192</v>
      </c>
      <c r="C2240" s="346">
        <v>1</v>
      </c>
      <c r="D2240" s="160" t="s">
        <v>363</v>
      </c>
      <c r="E2240" s="2693">
        <v>40000</v>
      </c>
      <c r="F2240" s="2693"/>
      <c r="G2240" s="2693"/>
      <c r="H2240" s="2693">
        <f>+E2240*C2240</f>
        <v>40000</v>
      </c>
      <c r="I2240" s="2693"/>
    </row>
    <row r="2241" spans="1:12" ht="16.8">
      <c r="A2241" s="2" t="s">
        <v>347</v>
      </c>
      <c r="B2241" s="41" t="str">
        <f>IF(PRESTA&gt;0,"AYUD. ENTENDIDO (INCLUYE "&amp;""&amp;PRESTA*100&amp;"% PRESTACIONES)",0)</f>
        <v>AYUD. ENTENDIDO (INCLUYE 82,22% PRESTACIONES)</v>
      </c>
      <c r="C2241" s="346">
        <v>0.4</v>
      </c>
      <c r="D2241" s="160" t="s">
        <v>346</v>
      </c>
      <c r="E2241" s="32">
        <f>AYUDA</f>
        <v>65389.695592000004</v>
      </c>
      <c r="F2241" s="32"/>
      <c r="G2241" s="32"/>
      <c r="H2241" s="32">
        <f>+E2241*C2241</f>
        <v>26155.878236800003</v>
      </c>
      <c r="I2241" s="2693"/>
    </row>
    <row r="2242" spans="1:12" ht="16.8">
      <c r="A2242" s="2" t="s">
        <v>172</v>
      </c>
      <c r="B2242" s="41" t="s">
        <v>189</v>
      </c>
      <c r="C2242" s="346">
        <v>1</v>
      </c>
      <c r="D2242" s="160" t="s">
        <v>583</v>
      </c>
      <c r="E2242" s="32">
        <f>H2243*0.05</f>
        <v>3307.79391184</v>
      </c>
      <c r="F2242" s="32"/>
      <c r="G2242" s="32"/>
      <c r="H2242" s="32"/>
      <c r="I2242" s="2693">
        <f>+E2242*C2242</f>
        <v>3307.79391184</v>
      </c>
    </row>
    <row r="2243" spans="1:12" ht="16.8">
      <c r="A2243" s="587" t="s">
        <v>190</v>
      </c>
      <c r="B2243" s="588">
        <f>SUM(F2243:I2243)</f>
        <v>69463.672148639991</v>
      </c>
      <c r="C2243" s="370"/>
      <c r="D2243" s="169"/>
      <c r="E2243" s="32"/>
      <c r="F2243" s="32">
        <f>SUM(F2241:F2242)</f>
        <v>0</v>
      </c>
      <c r="G2243" s="32">
        <f>SUM(G2241:G2242)</f>
        <v>0</v>
      </c>
      <c r="H2243" s="32">
        <f>SUM(H2240:H2242)</f>
        <v>66155.878236799996</v>
      </c>
      <c r="I2243" s="2693">
        <f>SUM(I2241:I2242)</f>
        <v>3307.79391184</v>
      </c>
    </row>
    <row r="2244" spans="1:12" ht="16.8">
      <c r="A2244" s="587" t="s">
        <v>191</v>
      </c>
      <c r="B2244" s="39">
        <f>+B2243</f>
        <v>69463.672148639991</v>
      </c>
      <c r="C2244" s="688" t="s">
        <v>427</v>
      </c>
      <c r="D2244" s="13"/>
      <c r="E2244" s="673"/>
      <c r="F2244" s="673"/>
      <c r="G2244" s="673"/>
      <c r="H2244" s="673"/>
      <c r="I2244" s="673"/>
    </row>
    <row r="2245" spans="1:12" s="1260" customFormat="1" ht="15" customHeight="1">
      <c r="A2245" s="1277"/>
      <c r="B2245" s="1278"/>
      <c r="C2245" s="1279"/>
      <c r="D2245" s="402"/>
      <c r="E2245" s="1280"/>
      <c r="F2245" s="1280"/>
      <c r="G2245" s="1280"/>
      <c r="H2245" s="1280"/>
      <c r="I2245" s="1280"/>
      <c r="J2245" s="2897"/>
      <c r="K2245" s="2897"/>
      <c r="L2245" s="2897"/>
    </row>
    <row r="2246" spans="1:12" ht="16.8">
      <c r="A2246" s="594"/>
      <c r="B2246" s="3855" t="s">
        <v>4438</v>
      </c>
      <c r="C2246" s="3856"/>
      <c r="D2246" s="3856"/>
      <c r="E2246" s="3856"/>
      <c r="F2246" s="3856"/>
      <c r="G2246" s="3856"/>
      <c r="H2246" s="3856"/>
      <c r="I2246" s="3857"/>
    </row>
    <row r="2247" spans="1:12" ht="16.8">
      <c r="A2247" s="2695"/>
      <c r="B2247" s="696"/>
      <c r="C2247" s="2695" t="s">
        <v>140</v>
      </c>
      <c r="D2247" s="2695" t="s">
        <v>343</v>
      </c>
      <c r="E2247" s="2693" t="s">
        <v>344</v>
      </c>
      <c r="F2247" s="2693" t="s">
        <v>482</v>
      </c>
      <c r="G2247" s="2693" t="s">
        <v>483</v>
      </c>
      <c r="H2247" s="2693" t="s">
        <v>170</v>
      </c>
      <c r="I2247" s="2693" t="s">
        <v>171</v>
      </c>
    </row>
    <row r="2248" spans="1:12" ht="16.8">
      <c r="A2248" s="2" t="s">
        <v>4131</v>
      </c>
      <c r="B2248" s="773" t="s">
        <v>4417</v>
      </c>
      <c r="C2248" s="346">
        <v>1</v>
      </c>
      <c r="D2248" s="160" t="s">
        <v>363</v>
      </c>
      <c r="E2248" s="2693">
        <f>552500*1.19</f>
        <v>657475</v>
      </c>
      <c r="F2248" s="2693"/>
      <c r="G2248" s="2693">
        <f>+E2248*C2248</f>
        <v>657475</v>
      </c>
      <c r="H2248" s="2693"/>
      <c r="I2248" s="2693"/>
    </row>
    <row r="2249" spans="1:12" ht="16.8">
      <c r="A2249" s="2" t="s">
        <v>584</v>
      </c>
      <c r="B2249" s="41" t="s">
        <v>134</v>
      </c>
      <c r="C2249" s="346">
        <v>0.03</v>
      </c>
      <c r="D2249" s="160" t="s">
        <v>583</v>
      </c>
      <c r="E2249" s="2693">
        <f>+VIAJE</f>
        <v>1200000</v>
      </c>
      <c r="F2249" s="2693"/>
      <c r="G2249" s="2693"/>
      <c r="H2249" s="2693"/>
      <c r="I2249" s="2693">
        <f>+E2249*C2249</f>
        <v>36000</v>
      </c>
    </row>
    <row r="2250" spans="1:12" ht="16.8">
      <c r="A2250" s="587" t="s">
        <v>190</v>
      </c>
      <c r="B2250" s="588">
        <f>SUM(F2250:I2250)</f>
        <v>693475</v>
      </c>
      <c r="C2250" s="370"/>
      <c r="D2250" s="169"/>
      <c r="E2250" s="32"/>
      <c r="F2250" s="32">
        <f>SUM(F2248:F2249)</f>
        <v>0</v>
      </c>
      <c r="G2250" s="32">
        <f>SUM(G2248:G2249)</f>
        <v>657475</v>
      </c>
      <c r="H2250" s="32">
        <f>SUM(H2248:H2249)</f>
        <v>0</v>
      </c>
      <c r="I2250" s="2693">
        <f>SUM(I2248:I2249)</f>
        <v>36000</v>
      </c>
    </row>
    <row r="2251" spans="1:12" ht="15.75" customHeight="1">
      <c r="A2251" s="587" t="s">
        <v>191</v>
      </c>
      <c r="B2251" s="39">
        <f>+B2250</f>
        <v>693475</v>
      </c>
      <c r="C2251" s="688" t="s">
        <v>427</v>
      </c>
      <c r="D2251" s="13"/>
      <c r="E2251" s="673"/>
      <c r="F2251" s="673"/>
      <c r="G2251" s="673"/>
      <c r="H2251" s="673"/>
      <c r="I2251" s="673"/>
    </row>
    <row r="2253" spans="1:12" ht="16.8">
      <c r="A2253" s="594"/>
      <c r="B2253" s="3855" t="s">
        <v>4439</v>
      </c>
      <c r="C2253" s="3856"/>
      <c r="D2253" s="3856"/>
      <c r="E2253" s="3856"/>
      <c r="F2253" s="3856"/>
      <c r="G2253" s="3856"/>
      <c r="H2253" s="3856"/>
      <c r="I2253" s="3857"/>
    </row>
    <row r="2254" spans="1:12" ht="16.8">
      <c r="A2254" s="2695"/>
      <c r="B2254" s="696"/>
      <c r="C2254" s="2695" t="s">
        <v>140</v>
      </c>
      <c r="D2254" s="2695" t="s">
        <v>343</v>
      </c>
      <c r="E2254" s="2693" t="s">
        <v>344</v>
      </c>
      <c r="F2254" s="2693" t="s">
        <v>482</v>
      </c>
      <c r="G2254" s="2693" t="s">
        <v>483</v>
      </c>
      <c r="H2254" s="2693" t="s">
        <v>170</v>
      </c>
      <c r="I2254" s="2693" t="s">
        <v>171</v>
      </c>
    </row>
    <row r="2255" spans="1:12" ht="16.8">
      <c r="A2255" s="471" t="s">
        <v>172</v>
      </c>
      <c r="B2255" s="41" t="s">
        <v>189</v>
      </c>
      <c r="C2255" s="346">
        <v>1</v>
      </c>
      <c r="D2255" s="160" t="s">
        <v>583</v>
      </c>
      <c r="E2255" s="585">
        <f>+H2258*0.05</f>
        <v>2942.5363016400006</v>
      </c>
      <c r="F2255" s="65"/>
      <c r="G2255" s="65"/>
      <c r="H2255" s="65"/>
      <c r="I2255" s="65">
        <f>+E2255*C2255</f>
        <v>2942.5363016400006</v>
      </c>
    </row>
    <row r="2256" spans="1:12" ht="16.8">
      <c r="A2256" s="471" t="s">
        <v>347</v>
      </c>
      <c r="B2256" s="41" t="str">
        <f>IF(PRESTA&gt;0,"AYUD. ENTENDIDO (INCLUYE "&amp;""&amp;PRESTA*100&amp;"% PRESTACIONES)",0)</f>
        <v>AYUD. ENTENDIDO (INCLUYE 82,22% PRESTACIONES)</v>
      </c>
      <c r="C2256" s="684">
        <v>0.9</v>
      </c>
      <c r="D2256" s="160" t="s">
        <v>346</v>
      </c>
      <c r="E2256" s="585">
        <f>+AYUDA</f>
        <v>65389.695592000004</v>
      </c>
      <c r="F2256" s="65"/>
      <c r="G2256" s="65"/>
      <c r="H2256" s="65">
        <f>+E2256*C2256</f>
        <v>58850.726032800005</v>
      </c>
      <c r="I2256" s="65"/>
    </row>
    <row r="2257" spans="1:12" ht="16.8">
      <c r="A2257" s="471" t="s">
        <v>770</v>
      </c>
      <c r="B2257" s="41" t="s">
        <v>771</v>
      </c>
      <c r="C2257" s="346">
        <v>1</v>
      </c>
      <c r="D2257" s="160" t="s">
        <v>133</v>
      </c>
      <c r="E2257" s="585">
        <f>+LUBRI</f>
        <v>12500.1</v>
      </c>
      <c r="F2257" s="65"/>
      <c r="G2257" s="65">
        <f>+E2257*C2257</f>
        <v>12500.1</v>
      </c>
      <c r="H2257" s="65"/>
      <c r="I2257" s="65"/>
    </row>
    <row r="2258" spans="1:12" ht="16.8">
      <c r="A2258" s="587" t="s">
        <v>190</v>
      </c>
      <c r="B2258" s="588">
        <f>SUM(F2258:I2258)</f>
        <v>74293.362334439997</v>
      </c>
      <c r="C2258" s="370"/>
      <c r="D2258" s="169"/>
      <c r="E2258" s="32"/>
      <c r="F2258" s="32">
        <f>SUM(F2255:F2257)</f>
        <v>0</v>
      </c>
      <c r="G2258" s="32">
        <f>SUM(G2255:G2257)</f>
        <v>12500.1</v>
      </c>
      <c r="H2258" s="32">
        <f>SUM(H2255:H2257)</f>
        <v>58850.726032800005</v>
      </c>
      <c r="I2258" s="32">
        <f>SUM(I2255:I2257)</f>
        <v>2942.5363016400006</v>
      </c>
    </row>
    <row r="2259" spans="1:12" ht="16.8">
      <c r="A2259" s="587" t="s">
        <v>191</v>
      </c>
      <c r="B2259" s="39">
        <f>+B2258</f>
        <v>74293.362334439997</v>
      </c>
      <c r="C2259" s="688" t="s">
        <v>427</v>
      </c>
      <c r="D2259" s="13"/>
      <c r="E2259" s="673"/>
      <c r="F2259" s="673"/>
      <c r="G2259" s="673"/>
      <c r="H2259" s="673"/>
      <c r="I2259" s="673"/>
    </row>
    <row r="2260" spans="1:12" s="1260" customFormat="1" ht="15" customHeight="1">
      <c r="A2260" s="1277"/>
      <c r="B2260" s="1278"/>
      <c r="C2260" s="1279"/>
      <c r="D2260" s="402"/>
      <c r="E2260" s="1280"/>
      <c r="F2260" s="1280"/>
      <c r="G2260" s="1280"/>
      <c r="H2260" s="1280"/>
      <c r="I2260" s="1280"/>
      <c r="J2260" s="2897"/>
      <c r="K2260" s="2897"/>
      <c r="L2260" s="2897"/>
    </row>
    <row r="2261" spans="1:12" ht="16.8">
      <c r="A2261" s="594"/>
      <c r="B2261" s="3855" t="s">
        <v>4440</v>
      </c>
      <c r="C2261" s="3856"/>
      <c r="D2261" s="3856"/>
      <c r="E2261" s="3856"/>
      <c r="F2261" s="3856"/>
      <c r="G2261" s="3856"/>
      <c r="H2261" s="3856"/>
      <c r="I2261" s="3857"/>
    </row>
    <row r="2262" spans="1:12" ht="16.8">
      <c r="A2262" s="2695"/>
      <c r="B2262" s="696"/>
      <c r="C2262" s="2695" t="s">
        <v>140</v>
      </c>
      <c r="D2262" s="2695" t="s">
        <v>343</v>
      </c>
      <c r="E2262" s="2693" t="s">
        <v>344</v>
      </c>
      <c r="F2262" s="2693" t="s">
        <v>482</v>
      </c>
      <c r="G2262" s="2693" t="s">
        <v>483</v>
      </c>
      <c r="H2262" s="2693" t="s">
        <v>170</v>
      </c>
      <c r="I2262" s="2693" t="s">
        <v>171</v>
      </c>
    </row>
    <row r="2263" spans="1:12" ht="16.8">
      <c r="A2263" s="2" t="s">
        <v>4131</v>
      </c>
      <c r="B2263" s="773" t="s">
        <v>4418</v>
      </c>
      <c r="C2263" s="346">
        <v>1</v>
      </c>
      <c r="D2263" s="160" t="s">
        <v>363</v>
      </c>
      <c r="E2263" s="2693">
        <f>3334980</f>
        <v>3334980</v>
      </c>
      <c r="F2263" s="2693"/>
      <c r="G2263" s="2693">
        <f>+E2263*C2263</f>
        <v>3334980</v>
      </c>
      <c r="H2263" s="2693"/>
      <c r="I2263" s="2693"/>
    </row>
    <row r="2264" spans="1:12" ht="16.8">
      <c r="A2264" s="2" t="s">
        <v>584</v>
      </c>
      <c r="B2264" s="41" t="s">
        <v>134</v>
      </c>
      <c r="C2264" s="346">
        <v>3.0000000000000001E-3</v>
      </c>
      <c r="D2264" s="160" t="s">
        <v>583</v>
      </c>
      <c r="E2264" s="2693">
        <f>+VIAJE</f>
        <v>1200000</v>
      </c>
      <c r="F2264" s="2693"/>
      <c r="G2264" s="2693"/>
      <c r="H2264" s="2693"/>
      <c r="I2264" s="2693">
        <f>+E2264*C2264</f>
        <v>3600</v>
      </c>
    </row>
    <row r="2265" spans="1:12" ht="16.8">
      <c r="A2265" s="587" t="s">
        <v>190</v>
      </c>
      <c r="B2265" s="588">
        <f>SUM(F2265:I2265)</f>
        <v>3338580</v>
      </c>
      <c r="C2265" s="370"/>
      <c r="D2265" s="169"/>
      <c r="E2265" s="32"/>
      <c r="F2265" s="32">
        <f>SUM(F2263:F2264)</f>
        <v>0</v>
      </c>
      <c r="G2265" s="32">
        <f>SUM(G2263:G2264)</f>
        <v>3334980</v>
      </c>
      <c r="H2265" s="32">
        <f>SUM(H2263:H2264)</f>
        <v>0</v>
      </c>
      <c r="I2265" s="2693">
        <f>SUM(I2263:I2264)</f>
        <v>3600</v>
      </c>
    </row>
    <row r="2266" spans="1:12" ht="15.75" customHeight="1">
      <c r="A2266" s="587" t="s">
        <v>191</v>
      </c>
      <c r="B2266" s="39">
        <f>+B2265</f>
        <v>3338580</v>
      </c>
      <c r="C2266" s="688" t="s">
        <v>427</v>
      </c>
      <c r="D2266" s="13"/>
      <c r="E2266" s="673"/>
      <c r="F2266" s="673"/>
      <c r="G2266" s="673"/>
      <c r="H2266" s="673"/>
      <c r="I2266" s="673"/>
    </row>
    <row r="2268" spans="1:12" ht="16.8">
      <c r="A2268" s="594"/>
      <c r="B2268" s="3855" t="s">
        <v>4441</v>
      </c>
      <c r="C2268" s="3856"/>
      <c r="D2268" s="3856"/>
      <c r="E2268" s="3856"/>
      <c r="F2268" s="3856"/>
      <c r="G2268" s="3856"/>
      <c r="H2268" s="3856"/>
      <c r="I2268" s="3857"/>
    </row>
    <row r="2269" spans="1:12" s="1918" customFormat="1" ht="16.8">
      <c r="A2269" s="2695"/>
      <c r="B2269" s="696"/>
      <c r="C2269" s="2695" t="s">
        <v>140</v>
      </c>
      <c r="D2269" s="2695" t="s">
        <v>343</v>
      </c>
      <c r="E2269" s="2693" t="s">
        <v>344</v>
      </c>
      <c r="F2269" s="2693" t="s">
        <v>482</v>
      </c>
      <c r="G2269" s="2693" t="s">
        <v>483</v>
      </c>
      <c r="H2269" s="2693" t="s">
        <v>170</v>
      </c>
      <c r="I2269" s="2693" t="s">
        <v>171</v>
      </c>
      <c r="J2269" s="2901"/>
      <c r="K2269" s="2901"/>
      <c r="L2269" s="2901"/>
    </row>
    <row r="2270" spans="1:12" s="1918" customFormat="1" ht="16.8">
      <c r="A2270" s="1319" t="s">
        <v>345</v>
      </c>
      <c r="B2270" s="1320" t="s">
        <v>6439</v>
      </c>
      <c r="C2270" s="1322">
        <v>2.1</v>
      </c>
      <c r="D2270" s="1323" t="s">
        <v>346</v>
      </c>
      <c r="E2270" s="2149">
        <f>+OFICI</f>
        <v>80479.625344</v>
      </c>
      <c r="F2270" s="1324"/>
      <c r="G2270" s="1324"/>
      <c r="H2270" s="1324">
        <f>+E2270*C2270</f>
        <v>169007.21322239999</v>
      </c>
      <c r="I2270" s="1324"/>
      <c r="J2270" s="2901"/>
      <c r="K2270" s="2901"/>
      <c r="L2270" s="2901"/>
    </row>
    <row r="2271" spans="1:12" s="1918" customFormat="1" ht="16.8">
      <c r="A2271" s="1319" t="s">
        <v>348</v>
      </c>
      <c r="B2271" s="1320" t="s">
        <v>6579</v>
      </c>
      <c r="C2271" s="1322">
        <v>2.1</v>
      </c>
      <c r="D2271" s="1323" t="s">
        <v>346</v>
      </c>
      <c r="E2271" s="2149">
        <f>+AYUDR</f>
        <v>50299.76584</v>
      </c>
      <c r="F2271" s="1324"/>
      <c r="G2271" s="1324"/>
      <c r="H2271" s="1324">
        <f>+E2271*C2271</f>
        <v>105629.508264</v>
      </c>
      <c r="I2271" s="1324"/>
      <c r="J2271" s="2901"/>
      <c r="K2271" s="2901"/>
      <c r="L2271" s="2901"/>
    </row>
    <row r="2272" spans="1:12" ht="16.8">
      <c r="A2272" s="1319"/>
      <c r="B2272" s="1320" t="s">
        <v>6426</v>
      </c>
      <c r="C2272" s="1322">
        <v>2.1</v>
      </c>
      <c r="D2272" s="1323" t="s">
        <v>346</v>
      </c>
      <c r="E2272" s="2149">
        <f>+'BASE 2'!D736</f>
        <v>18500</v>
      </c>
      <c r="F2272" s="1324"/>
      <c r="G2272" s="1324">
        <f>+C2272*E2272</f>
        <v>38850</v>
      </c>
      <c r="H2272" s="1324"/>
      <c r="I2272" s="1324"/>
    </row>
    <row r="2273" spans="1:12" ht="16.8">
      <c r="A2273" s="471" t="s">
        <v>770</v>
      </c>
      <c r="B2273" s="41" t="s">
        <v>771</v>
      </c>
      <c r="C2273" s="346">
        <v>1</v>
      </c>
      <c r="D2273" s="160" t="s">
        <v>133</v>
      </c>
      <c r="E2273" s="710">
        <f>+LUBRI</f>
        <v>12500.1</v>
      </c>
      <c r="F2273" s="65"/>
      <c r="G2273" s="65">
        <f>+E2273*C2273</f>
        <v>12500.1</v>
      </c>
      <c r="H2273" s="65"/>
      <c r="I2273" s="65"/>
    </row>
    <row r="2274" spans="1:12" ht="16.8">
      <c r="A2274" s="471" t="s">
        <v>172</v>
      </c>
      <c r="B2274" s="41" t="s">
        <v>189</v>
      </c>
      <c r="C2274" s="346">
        <v>1</v>
      </c>
      <c r="D2274" s="160" t="s">
        <v>583</v>
      </c>
      <c r="E2274" s="710">
        <f>+H2275*0.05</f>
        <v>13731.836074320001</v>
      </c>
      <c r="F2274" s="65"/>
      <c r="G2274" s="65"/>
      <c r="H2274" s="65"/>
      <c r="I2274" s="65">
        <f>+E2274*C2274</f>
        <v>13731.836074320001</v>
      </c>
    </row>
    <row r="2275" spans="1:12" ht="16.8">
      <c r="A2275" s="587" t="s">
        <v>190</v>
      </c>
      <c r="B2275" s="588">
        <f>SUM(F2275:I2275)</f>
        <v>339718.65756071999</v>
      </c>
      <c r="C2275" s="370"/>
      <c r="D2275" s="169"/>
      <c r="E2275" s="32"/>
      <c r="F2275" s="2693">
        <f>SUM(F2270:F2274)</f>
        <v>0</v>
      </c>
      <c r="G2275" s="2693">
        <f>SUM(G2270:G2274)</f>
        <v>51350.1</v>
      </c>
      <c r="H2275" s="2693">
        <f t="shared" ref="H2275:I2275" si="58">SUM(H2270:H2274)</f>
        <v>274636.7214864</v>
      </c>
      <c r="I2275" s="2693">
        <f t="shared" si="58"/>
        <v>13731.836074320001</v>
      </c>
    </row>
    <row r="2276" spans="1:12" s="1260" customFormat="1" ht="15" customHeight="1">
      <c r="A2276" s="587" t="s">
        <v>191</v>
      </c>
      <c r="B2276" s="39">
        <f>+B2275</f>
        <v>339718.65756071999</v>
      </c>
      <c r="C2276" s="688" t="s">
        <v>427</v>
      </c>
      <c r="D2276" s="13"/>
      <c r="E2276" s="673">
        <f>+B2284*0.15</f>
        <v>334350</v>
      </c>
      <c r="F2276" s="673"/>
      <c r="G2276" s="673"/>
      <c r="H2276" s="673"/>
      <c r="I2276" s="673"/>
      <c r="J2276" s="2897"/>
      <c r="K2276" s="2897"/>
      <c r="L2276" s="2897"/>
    </row>
    <row r="2277" spans="1:12" ht="18">
      <c r="A2277" s="1277"/>
      <c r="B2277" s="1278"/>
      <c r="C2277" s="1279"/>
      <c r="D2277" s="402"/>
      <c r="E2277" s="1280"/>
      <c r="F2277" s="1280"/>
      <c r="G2277" s="1280"/>
      <c r="H2277" s="1280"/>
      <c r="I2277" s="1280"/>
    </row>
    <row r="2278" spans="1:12" ht="16.8">
      <c r="A2278" s="2150"/>
      <c r="B2278" s="3852" t="s">
        <v>4442</v>
      </c>
      <c r="C2278" s="3853"/>
      <c r="D2278" s="3853"/>
      <c r="E2278" s="3853"/>
      <c r="F2278" s="3853"/>
      <c r="G2278" s="3853"/>
      <c r="H2278" s="3853"/>
      <c r="I2278" s="3854"/>
    </row>
    <row r="2279" spans="1:12" ht="30.75" customHeight="1">
      <c r="A2279" s="2695"/>
      <c r="B2279" s="696"/>
      <c r="C2279" s="2695" t="s">
        <v>140</v>
      </c>
      <c r="D2279" s="2695" t="s">
        <v>343</v>
      </c>
      <c r="E2279" s="2693" t="s">
        <v>344</v>
      </c>
      <c r="F2279" s="2693" t="s">
        <v>482</v>
      </c>
      <c r="G2279" s="2693" t="s">
        <v>483</v>
      </c>
      <c r="H2279" s="2693" t="s">
        <v>170</v>
      </c>
      <c r="I2279" s="2693" t="s">
        <v>171</v>
      </c>
    </row>
    <row r="2280" spans="1:12" s="1918" customFormat="1" ht="15" customHeight="1">
      <c r="A2280" s="2"/>
      <c r="B2280" s="2752" t="s">
        <v>6821</v>
      </c>
      <c r="C2280" s="451">
        <v>1</v>
      </c>
      <c r="D2280" s="487" t="s">
        <v>363</v>
      </c>
      <c r="E2280" s="677">
        <f>+'BASE 2'!D495</f>
        <v>2023000</v>
      </c>
      <c r="F2280" s="677"/>
      <c r="G2280" s="677">
        <f>+E2280*C2280</f>
        <v>2023000</v>
      </c>
      <c r="H2280" s="677"/>
      <c r="I2280" s="677"/>
      <c r="J2280" s="2901"/>
      <c r="K2280" s="2901"/>
      <c r="L2280" s="2901"/>
    </row>
    <row r="2281" spans="1:12" ht="16.8">
      <c r="A2281" s="1319"/>
      <c r="B2281" s="2752" t="s">
        <v>6455</v>
      </c>
      <c r="C2281" s="1922">
        <v>2</v>
      </c>
      <c r="D2281" s="1920" t="s">
        <v>133</v>
      </c>
      <c r="E2281" s="1324">
        <f>+'BASE 2'!D625</f>
        <v>91000</v>
      </c>
      <c r="F2281" s="1324"/>
      <c r="G2281" s="677">
        <f>+E2281*C2281</f>
        <v>182000</v>
      </c>
      <c r="H2281" s="1324"/>
      <c r="I2281" s="1324"/>
    </row>
    <row r="2282" spans="1:12" ht="16.8">
      <c r="A2282" s="2" t="s">
        <v>584</v>
      </c>
      <c r="B2282" s="41" t="s">
        <v>134</v>
      </c>
      <c r="C2282" s="346">
        <v>0.02</v>
      </c>
      <c r="D2282" s="160" t="s">
        <v>583</v>
      </c>
      <c r="E2282" s="2693">
        <f>+VIAJE</f>
        <v>1200000</v>
      </c>
      <c r="F2282" s="2693"/>
      <c r="G2282" s="2693"/>
      <c r="H2282" s="2693"/>
      <c r="I2282" s="2693">
        <f>+E2282*C2282</f>
        <v>24000</v>
      </c>
    </row>
    <row r="2283" spans="1:12" ht="15" customHeight="1">
      <c r="A2283" s="587" t="s">
        <v>190</v>
      </c>
      <c r="B2283" s="588">
        <f>SUM(F2283:I2283)</f>
        <v>2229000</v>
      </c>
      <c r="C2283" s="370"/>
      <c r="D2283" s="169"/>
      <c r="E2283" s="32"/>
      <c r="F2283" s="32">
        <f>SUM(F2280:F2282)</f>
        <v>0</v>
      </c>
      <c r="G2283" s="32">
        <f>SUM(G2280:G2282)</f>
        <v>2205000</v>
      </c>
      <c r="H2283" s="32">
        <f>SUM(H2280:H2282)</f>
        <v>0</v>
      </c>
      <c r="I2283" s="2693">
        <f>SUM(I2280:I2282)</f>
        <v>24000</v>
      </c>
    </row>
    <row r="2284" spans="1:12" s="61" customFormat="1" ht="16.8">
      <c r="A2284" s="587" t="s">
        <v>191</v>
      </c>
      <c r="B2284" s="39">
        <f>+B2283</f>
        <v>2229000</v>
      </c>
      <c r="C2284" s="688" t="s">
        <v>427</v>
      </c>
      <c r="D2284" s="13"/>
      <c r="E2284" s="673"/>
      <c r="F2284" s="673"/>
      <c r="G2284" s="673"/>
      <c r="H2284" s="673"/>
      <c r="I2284" s="673"/>
      <c r="J2284" s="2894"/>
      <c r="K2284" s="2894"/>
      <c r="L2284" s="2894"/>
    </row>
    <row r="2286" spans="1:12" ht="16.8">
      <c r="A2286" s="594"/>
      <c r="B2286" s="3855" t="s">
        <v>4443</v>
      </c>
      <c r="C2286" s="3856"/>
      <c r="D2286" s="3856"/>
      <c r="E2286" s="3856"/>
      <c r="F2286" s="3856"/>
      <c r="G2286" s="3856"/>
      <c r="H2286" s="3856"/>
      <c r="I2286" s="3857"/>
    </row>
    <row r="2287" spans="1:12" s="1918" customFormat="1" ht="16.8">
      <c r="A2287" s="2695"/>
      <c r="B2287" s="696"/>
      <c r="C2287" s="2695" t="s">
        <v>140</v>
      </c>
      <c r="D2287" s="2695" t="s">
        <v>343</v>
      </c>
      <c r="E2287" s="2693" t="s">
        <v>344</v>
      </c>
      <c r="F2287" s="2693" t="s">
        <v>482</v>
      </c>
      <c r="G2287" s="2693" t="s">
        <v>483</v>
      </c>
      <c r="H2287" s="2693" t="s">
        <v>170</v>
      </c>
      <c r="I2287" s="2693" t="s">
        <v>171</v>
      </c>
      <c r="J2287" s="2901"/>
      <c r="K2287" s="2901"/>
      <c r="L2287" s="2901"/>
    </row>
    <row r="2288" spans="1:12" s="1918" customFormat="1" ht="16.8">
      <c r="A2288" s="1319" t="s">
        <v>345</v>
      </c>
      <c r="B2288" s="1320" t="s">
        <v>6439</v>
      </c>
      <c r="C2288" s="1322">
        <v>1.05</v>
      </c>
      <c r="D2288" s="1323" t="s">
        <v>346</v>
      </c>
      <c r="E2288" s="2149">
        <f>+OFICI</f>
        <v>80479.625344</v>
      </c>
      <c r="F2288" s="1324"/>
      <c r="G2288" s="1324"/>
      <c r="H2288" s="1324">
        <f>+E2288*C2288</f>
        <v>84503.606611199997</v>
      </c>
      <c r="I2288" s="1324"/>
      <c r="J2288" s="2901"/>
      <c r="K2288" s="2901"/>
      <c r="L2288" s="2901"/>
    </row>
    <row r="2289" spans="1:12" s="1918" customFormat="1" ht="16.8">
      <c r="A2289" s="1319" t="s">
        <v>348</v>
      </c>
      <c r="B2289" s="1320" t="s">
        <v>6579</v>
      </c>
      <c r="C2289" s="1322">
        <v>1.05</v>
      </c>
      <c r="D2289" s="1323" t="s">
        <v>346</v>
      </c>
      <c r="E2289" s="2149">
        <f>+AYUDR</f>
        <v>50299.76584</v>
      </c>
      <c r="F2289" s="1324"/>
      <c r="G2289" s="1324"/>
      <c r="H2289" s="1324">
        <f>+E2289*C2289</f>
        <v>52814.754132000002</v>
      </c>
      <c r="I2289" s="1324"/>
      <c r="J2289" s="2901"/>
      <c r="K2289" s="2901"/>
      <c r="L2289" s="2901"/>
    </row>
    <row r="2290" spans="1:12" ht="16.8">
      <c r="A2290" s="1319"/>
      <c r="B2290" s="1320" t="s">
        <v>6426</v>
      </c>
      <c r="C2290" s="1322">
        <v>1.05</v>
      </c>
      <c r="D2290" s="1323" t="s">
        <v>346</v>
      </c>
      <c r="E2290" s="2149">
        <f>+'BASE 2'!D736</f>
        <v>18500</v>
      </c>
      <c r="F2290" s="1324"/>
      <c r="G2290" s="1324">
        <f>+C2290*E2290</f>
        <v>19425</v>
      </c>
      <c r="H2290" s="1324"/>
      <c r="I2290" s="1324"/>
    </row>
    <row r="2291" spans="1:12" ht="16.8">
      <c r="A2291" s="2" t="s">
        <v>172</v>
      </c>
      <c r="B2291" s="41" t="s">
        <v>189</v>
      </c>
      <c r="C2291" s="346">
        <v>1</v>
      </c>
      <c r="D2291" s="160" t="s">
        <v>583</v>
      </c>
      <c r="E2291" s="32">
        <f>H2292*0.05</f>
        <v>6865.9180371600005</v>
      </c>
      <c r="F2291" s="32"/>
      <c r="G2291" s="32"/>
      <c r="H2291" s="32"/>
      <c r="I2291" s="2693">
        <f>+E2291*C2291</f>
        <v>6865.9180371600005</v>
      </c>
    </row>
    <row r="2292" spans="1:12" ht="16.8">
      <c r="A2292" s="587" t="s">
        <v>190</v>
      </c>
      <c r="B2292" s="588">
        <f>SUM(F2292:I2292)</f>
        <v>163609.27878036001</v>
      </c>
      <c r="C2292" s="370"/>
      <c r="D2292" s="169"/>
      <c r="E2292" s="32"/>
      <c r="F2292" s="32">
        <f>SUM(F2288:F2291)</f>
        <v>0</v>
      </c>
      <c r="G2292" s="32">
        <f t="shared" ref="G2292:I2292" si="59">SUM(G2288:G2291)</f>
        <v>19425</v>
      </c>
      <c r="H2292" s="32">
        <f t="shared" si="59"/>
        <v>137318.3607432</v>
      </c>
      <c r="I2292" s="32">
        <f t="shared" si="59"/>
        <v>6865.9180371600005</v>
      </c>
    </row>
    <row r="2293" spans="1:12" s="1260" customFormat="1" ht="15" customHeight="1">
      <c r="A2293" s="587" t="s">
        <v>191</v>
      </c>
      <c r="B2293" s="39">
        <f>+B2292</f>
        <v>163609.27878036001</v>
      </c>
      <c r="C2293" s="688" t="s">
        <v>427</v>
      </c>
      <c r="D2293" s="13"/>
      <c r="E2293" s="673">
        <f>+B2301*0.15</f>
        <v>162990</v>
      </c>
      <c r="F2293" s="673"/>
      <c r="G2293" s="673"/>
      <c r="H2293" s="673"/>
      <c r="I2293" s="673"/>
      <c r="J2293" s="2897"/>
      <c r="K2293" s="2897"/>
      <c r="L2293" s="2897"/>
    </row>
    <row r="2294" spans="1:12" ht="18">
      <c r="A2294" s="1277"/>
      <c r="B2294" s="1278"/>
      <c r="C2294" s="1279"/>
      <c r="D2294" s="402"/>
      <c r="E2294" s="1280"/>
      <c r="F2294" s="1280"/>
      <c r="G2294" s="1280"/>
      <c r="H2294" s="1280"/>
      <c r="I2294" s="1280"/>
    </row>
    <row r="2295" spans="1:12" ht="16.8">
      <c r="A2295" s="2150"/>
      <c r="B2295" s="3852" t="s">
        <v>4444</v>
      </c>
      <c r="C2295" s="3853"/>
      <c r="D2295" s="3853"/>
      <c r="E2295" s="3853"/>
      <c r="F2295" s="3853"/>
      <c r="G2295" s="3853"/>
      <c r="H2295" s="3853"/>
      <c r="I2295" s="3854"/>
    </row>
    <row r="2296" spans="1:12" ht="16.8">
      <c r="A2296" s="2695"/>
      <c r="B2296" s="696"/>
      <c r="C2296" s="2695" t="s">
        <v>140</v>
      </c>
      <c r="D2296" s="2695" t="s">
        <v>343</v>
      </c>
      <c r="E2296" s="2693" t="s">
        <v>344</v>
      </c>
      <c r="F2296" s="2693" t="s">
        <v>482</v>
      </c>
      <c r="G2296" s="2693" t="s">
        <v>483</v>
      </c>
      <c r="H2296" s="2693" t="s">
        <v>170</v>
      </c>
      <c r="I2296" s="2693" t="s">
        <v>171</v>
      </c>
    </row>
    <row r="2297" spans="1:12" ht="16.8">
      <c r="A2297" s="2" t="s">
        <v>4131</v>
      </c>
      <c r="B2297" s="773" t="s">
        <v>4420</v>
      </c>
      <c r="C2297" s="346">
        <v>1</v>
      </c>
      <c r="D2297" s="160" t="s">
        <v>363</v>
      </c>
      <c r="E2297" s="2693">
        <f>+'BASE 2'!D646</f>
        <v>880600</v>
      </c>
      <c r="F2297" s="2693"/>
      <c r="G2297" s="2693">
        <f>+E2297*C2297</f>
        <v>880600</v>
      </c>
      <c r="H2297" s="2693"/>
      <c r="I2297" s="2693"/>
    </row>
    <row r="2298" spans="1:12" ht="16.8">
      <c r="A2298" s="2"/>
      <c r="B2298" s="2752" t="s">
        <v>6455</v>
      </c>
      <c r="C2298" s="346">
        <v>2</v>
      </c>
      <c r="D2298" s="160" t="s">
        <v>363</v>
      </c>
      <c r="E2298" s="2693">
        <f>+'BASE 2'!D625</f>
        <v>91000</v>
      </c>
      <c r="F2298" s="2693"/>
      <c r="G2298" s="2693">
        <f>+E2298*C2298</f>
        <v>182000</v>
      </c>
      <c r="H2298" s="2693"/>
      <c r="I2298" s="2693"/>
    </row>
    <row r="2299" spans="1:12" ht="16.8">
      <c r="A2299" s="2" t="s">
        <v>584</v>
      </c>
      <c r="B2299" s="41" t="s">
        <v>134</v>
      </c>
      <c r="C2299" s="346">
        <v>0.02</v>
      </c>
      <c r="D2299" s="160" t="s">
        <v>583</v>
      </c>
      <c r="E2299" s="2693">
        <f>+VIAJE</f>
        <v>1200000</v>
      </c>
      <c r="F2299" s="2693"/>
      <c r="G2299" s="2693"/>
      <c r="H2299" s="2693"/>
      <c r="I2299" s="2693">
        <f>+E2299*C2299</f>
        <v>24000</v>
      </c>
    </row>
    <row r="2300" spans="1:12" ht="15" customHeight="1">
      <c r="A2300" s="587" t="s">
        <v>190</v>
      </c>
      <c r="B2300" s="588">
        <f>SUM(F2300:I2300)</f>
        <v>1086600</v>
      </c>
      <c r="C2300" s="370"/>
      <c r="D2300" s="169"/>
      <c r="E2300" s="32"/>
      <c r="F2300" s="32">
        <f>SUM(F2297:F2299)</f>
        <v>0</v>
      </c>
      <c r="G2300" s="32">
        <f>SUM(G2297:G2299)</f>
        <v>1062600</v>
      </c>
      <c r="H2300" s="32">
        <f>SUM(H2297:H2299)</f>
        <v>0</v>
      </c>
      <c r="I2300" s="2693">
        <f>SUM(I2297:I2299)</f>
        <v>24000</v>
      </c>
    </row>
    <row r="2301" spans="1:12" s="61" customFormat="1" ht="16.8">
      <c r="A2301" s="587" t="s">
        <v>191</v>
      </c>
      <c r="B2301" s="39">
        <f>+B2300</f>
        <v>1086600</v>
      </c>
      <c r="C2301" s="688" t="s">
        <v>427</v>
      </c>
      <c r="D2301" s="13"/>
      <c r="E2301" s="673"/>
      <c r="F2301" s="673"/>
      <c r="G2301" s="673"/>
      <c r="H2301" s="673"/>
      <c r="I2301" s="673"/>
      <c r="J2301" s="2894"/>
      <c r="K2301" s="2894"/>
      <c r="L2301" s="2894"/>
    </row>
    <row r="2303" spans="1:12" ht="16.8">
      <c r="A2303" s="594"/>
      <c r="B2303" s="3855" t="s">
        <v>4445</v>
      </c>
      <c r="C2303" s="3856"/>
      <c r="D2303" s="3856"/>
      <c r="E2303" s="3856"/>
      <c r="F2303" s="3856"/>
      <c r="G2303" s="3856"/>
      <c r="H2303" s="3856"/>
      <c r="I2303" s="3857"/>
    </row>
    <row r="2304" spans="1:12" ht="16.8">
      <c r="A2304" s="2695"/>
      <c r="B2304" s="696"/>
      <c r="C2304" s="2695" t="s">
        <v>140</v>
      </c>
      <c r="D2304" s="2695" t="s">
        <v>343</v>
      </c>
      <c r="E2304" s="2693" t="s">
        <v>344</v>
      </c>
      <c r="F2304" s="2693" t="s">
        <v>482</v>
      </c>
      <c r="G2304" s="2693" t="s">
        <v>483</v>
      </c>
      <c r="H2304" s="2693" t="s">
        <v>170</v>
      </c>
      <c r="I2304" s="2693" t="s">
        <v>171</v>
      </c>
    </row>
    <row r="2305" spans="1:12" ht="16.8">
      <c r="A2305" s="2" t="s">
        <v>347</v>
      </c>
      <c r="B2305" s="41" t="str">
        <f>IF(PRESTA&gt;0,"AYUD. ENTENDIDO (INCLUYE "&amp;""&amp;PRESTA*100&amp;"% PRESTACIONES)",0)</f>
        <v>AYUD. ENTENDIDO (INCLUYE 82,22% PRESTACIONES)</v>
      </c>
      <c r="C2305" s="346">
        <v>1</v>
      </c>
      <c r="D2305" s="160" t="s">
        <v>346</v>
      </c>
      <c r="E2305" s="32">
        <f>AYUDA</f>
        <v>65389.695592000004</v>
      </c>
      <c r="F2305" s="32"/>
      <c r="G2305" s="32"/>
      <c r="H2305" s="32">
        <f>+E2305*C2305</f>
        <v>65389.695592000004</v>
      </c>
      <c r="I2305" s="2693"/>
    </row>
    <row r="2306" spans="1:12" ht="16.8">
      <c r="A2306" s="2" t="s">
        <v>172</v>
      </c>
      <c r="B2306" s="41" t="s">
        <v>189</v>
      </c>
      <c r="C2306" s="346">
        <v>1</v>
      </c>
      <c r="D2306" s="160" t="s">
        <v>583</v>
      </c>
      <c r="E2306" s="32">
        <f>H2307*0.05</f>
        <v>3269.4847796000004</v>
      </c>
      <c r="F2306" s="32"/>
      <c r="G2306" s="32"/>
      <c r="H2306" s="32"/>
      <c r="I2306" s="2693">
        <f>+E2306*C2306</f>
        <v>3269.4847796000004</v>
      </c>
    </row>
    <row r="2307" spans="1:12" ht="16.8">
      <c r="A2307" s="587" t="s">
        <v>190</v>
      </c>
      <c r="B2307" s="588">
        <f>SUM(F2307:I2307)</f>
        <v>68659.180371599999</v>
      </c>
      <c r="C2307" s="370"/>
      <c r="D2307" s="169"/>
      <c r="E2307" s="32"/>
      <c r="F2307" s="32">
        <f>SUM(F2305:F2306)</f>
        <v>0</v>
      </c>
      <c r="G2307" s="32">
        <f>SUM(G2305:G2306)</f>
        <v>0</v>
      </c>
      <c r="H2307" s="32">
        <f>SUM(H2305:H2306)</f>
        <v>65389.695592000004</v>
      </c>
      <c r="I2307" s="2693">
        <f>SUM(I2305:I2306)</f>
        <v>3269.4847796000004</v>
      </c>
    </row>
    <row r="2308" spans="1:12" ht="16.8">
      <c r="A2308" s="587" t="s">
        <v>191</v>
      </c>
      <c r="B2308" s="39">
        <f>+B2307</f>
        <v>68659.180371599999</v>
      </c>
      <c r="C2308" s="688" t="s">
        <v>427</v>
      </c>
      <c r="D2308" s="13"/>
      <c r="E2308" s="673"/>
      <c r="F2308" s="673"/>
      <c r="G2308" s="673"/>
      <c r="H2308" s="673"/>
      <c r="I2308" s="673"/>
    </row>
    <row r="2309" spans="1:12" s="1260" customFormat="1" ht="15" customHeight="1">
      <c r="A2309" s="1277"/>
      <c r="B2309" s="1278"/>
      <c r="C2309" s="1279"/>
      <c r="D2309" s="402"/>
      <c r="E2309" s="1280"/>
      <c r="F2309" s="1280"/>
      <c r="G2309" s="1280"/>
      <c r="H2309" s="1280"/>
      <c r="I2309" s="1280"/>
      <c r="J2309" s="2897"/>
      <c r="K2309" s="2897"/>
      <c r="L2309" s="2897"/>
    </row>
    <row r="2310" spans="1:12" ht="16.8">
      <c r="A2310" s="594"/>
      <c r="B2310" s="3855" t="s">
        <v>4446</v>
      </c>
      <c r="C2310" s="3856"/>
      <c r="D2310" s="3856"/>
      <c r="E2310" s="3856"/>
      <c r="F2310" s="3856"/>
      <c r="G2310" s="3856"/>
      <c r="H2310" s="3856"/>
      <c r="I2310" s="3857"/>
    </row>
    <row r="2311" spans="1:12" ht="16.8">
      <c r="A2311" s="2695"/>
      <c r="B2311" s="696"/>
      <c r="C2311" s="2695" t="s">
        <v>140</v>
      </c>
      <c r="D2311" s="2695" t="s">
        <v>343</v>
      </c>
      <c r="E2311" s="2693" t="s">
        <v>344</v>
      </c>
      <c r="F2311" s="2693" t="s">
        <v>482</v>
      </c>
      <c r="G2311" s="2693" t="s">
        <v>483</v>
      </c>
      <c r="H2311" s="2693" t="s">
        <v>170</v>
      </c>
      <c r="I2311" s="2693" t="s">
        <v>171</v>
      </c>
    </row>
    <row r="2312" spans="1:12" ht="16.8">
      <c r="A2312" s="2" t="s">
        <v>4131</v>
      </c>
      <c r="B2312" s="773" t="s">
        <v>4421</v>
      </c>
      <c r="C2312" s="346">
        <v>1</v>
      </c>
      <c r="D2312" s="160" t="s">
        <v>363</v>
      </c>
      <c r="E2312" s="2693">
        <f>989000*1.19</f>
        <v>1176910</v>
      </c>
      <c r="F2312" s="2693"/>
      <c r="G2312" s="2693">
        <f>+E2312*C2312</f>
        <v>1176910</v>
      </c>
      <c r="H2312" s="2693"/>
      <c r="I2312" s="2693"/>
    </row>
    <row r="2313" spans="1:12" ht="16.8">
      <c r="A2313" s="2" t="s">
        <v>584</v>
      </c>
      <c r="B2313" s="41" t="s">
        <v>134</v>
      </c>
      <c r="C2313" s="346">
        <v>0.03</v>
      </c>
      <c r="D2313" s="160" t="s">
        <v>583</v>
      </c>
      <c r="E2313" s="2693">
        <v>1200000</v>
      </c>
      <c r="F2313" s="2693"/>
      <c r="G2313" s="2693"/>
      <c r="H2313" s="2693"/>
      <c r="I2313" s="2693">
        <f>+E2313*C2313</f>
        <v>36000</v>
      </c>
    </row>
    <row r="2314" spans="1:12" ht="16.8">
      <c r="A2314" s="587" t="s">
        <v>190</v>
      </c>
      <c r="B2314" s="588">
        <f>SUM(F2314:I2314)</f>
        <v>1212910</v>
      </c>
      <c r="C2314" s="370"/>
      <c r="D2314" s="169"/>
      <c r="E2314" s="32"/>
      <c r="F2314" s="32">
        <f>SUM(F2312:F2313)</f>
        <v>0</v>
      </c>
      <c r="G2314" s="32">
        <f>SUM(G2312:G2313)</f>
        <v>1176910</v>
      </c>
      <c r="H2314" s="32">
        <f>SUM(H2312:H2313)</f>
        <v>0</v>
      </c>
      <c r="I2314" s="2693">
        <f>SUM(I2312:I2313)</f>
        <v>36000</v>
      </c>
    </row>
    <row r="2315" spans="1:12" ht="15" customHeight="1">
      <c r="A2315" s="587" t="s">
        <v>191</v>
      </c>
      <c r="B2315" s="39">
        <f>+B2314</f>
        <v>1212910</v>
      </c>
      <c r="C2315" s="688" t="s">
        <v>427</v>
      </c>
      <c r="D2315" s="13"/>
      <c r="E2315" s="673"/>
      <c r="F2315" s="673"/>
      <c r="G2315" s="673"/>
      <c r="H2315" s="673"/>
      <c r="I2315" s="673"/>
    </row>
    <row r="2317" spans="1:12" ht="16.8">
      <c r="A2317" s="594"/>
      <c r="B2317" s="3855" t="s">
        <v>4447</v>
      </c>
      <c r="C2317" s="3856"/>
      <c r="D2317" s="3856"/>
      <c r="E2317" s="3856"/>
      <c r="F2317" s="3856"/>
      <c r="G2317" s="3856"/>
      <c r="H2317" s="3856"/>
      <c r="I2317" s="3857"/>
    </row>
    <row r="2318" spans="1:12" ht="16.8">
      <c r="A2318" s="2695"/>
      <c r="B2318" s="696"/>
      <c r="C2318" s="2695" t="s">
        <v>140</v>
      </c>
      <c r="D2318" s="2695" t="s">
        <v>343</v>
      </c>
      <c r="E2318" s="2693" t="s">
        <v>344</v>
      </c>
      <c r="F2318" s="2693" t="s">
        <v>482</v>
      </c>
      <c r="G2318" s="2693" t="s">
        <v>483</v>
      </c>
      <c r="H2318" s="2693" t="s">
        <v>170</v>
      </c>
      <c r="I2318" s="2693" t="s">
        <v>171</v>
      </c>
    </row>
    <row r="2319" spans="1:12" ht="16.8">
      <c r="A2319" s="485"/>
      <c r="B2319" s="41" t="s">
        <v>4192</v>
      </c>
      <c r="C2319" s="346">
        <v>1</v>
      </c>
      <c r="D2319" s="160" t="s">
        <v>363</v>
      </c>
      <c r="E2319" s="2693">
        <v>40000</v>
      </c>
      <c r="F2319" s="2693"/>
      <c r="G2319" s="2693"/>
      <c r="H2319" s="2693">
        <f>+E2319*C2319</f>
        <v>40000</v>
      </c>
      <c r="I2319" s="2693"/>
    </row>
    <row r="2320" spans="1:12" ht="16.8">
      <c r="A2320" s="2" t="s">
        <v>347</v>
      </c>
      <c r="B2320" s="41" t="str">
        <f>IF(PRESTA&gt;0,"AYUD. ENTENDIDO (INCLUYE "&amp;""&amp;PRESTA*100&amp;"% PRESTACIONES)",0)</f>
        <v>AYUD. ENTENDIDO (INCLUYE 82,22% PRESTACIONES)</v>
      </c>
      <c r="C2320" s="346">
        <v>0.33</v>
      </c>
      <c r="D2320" s="160" t="s">
        <v>346</v>
      </c>
      <c r="E2320" s="32">
        <f>AYUDA</f>
        <v>65389.695592000004</v>
      </c>
      <c r="F2320" s="32"/>
      <c r="G2320" s="32"/>
      <c r="H2320" s="32">
        <f>+E2320*C2320</f>
        <v>21578.599545360001</v>
      </c>
      <c r="I2320" s="2693"/>
    </row>
    <row r="2321" spans="1:12" ht="16.8">
      <c r="A2321" s="2" t="s">
        <v>172</v>
      </c>
      <c r="B2321" s="41" t="s">
        <v>189</v>
      </c>
      <c r="C2321" s="346">
        <v>1</v>
      </c>
      <c r="D2321" s="160" t="s">
        <v>583</v>
      </c>
      <c r="E2321" s="32">
        <f>H2322*0.05</f>
        <v>3078.9299772680006</v>
      </c>
      <c r="F2321" s="32"/>
      <c r="G2321" s="32"/>
      <c r="H2321" s="32"/>
      <c r="I2321" s="2693">
        <f>+E2321*C2321</f>
        <v>3078.9299772680006</v>
      </c>
    </row>
    <row r="2322" spans="1:12" ht="16.8">
      <c r="A2322" s="587" t="s">
        <v>190</v>
      </c>
      <c r="B2322" s="588">
        <f>SUM(F2322:I2322)</f>
        <v>64657.529522628007</v>
      </c>
      <c r="C2322" s="370"/>
      <c r="D2322" s="169"/>
      <c r="E2322" s="32"/>
      <c r="F2322" s="32">
        <f>SUM(F2320:F2321)</f>
        <v>0</v>
      </c>
      <c r="G2322" s="32">
        <f>SUM(G2320:G2321)</f>
        <v>0</v>
      </c>
      <c r="H2322" s="32">
        <f>SUM(H2319:H2321)</f>
        <v>61578.599545360004</v>
      </c>
      <c r="I2322" s="2693">
        <f>SUM(I2320:I2321)</f>
        <v>3078.9299772680006</v>
      </c>
    </row>
    <row r="2323" spans="1:12" ht="16.8">
      <c r="A2323" s="587" t="s">
        <v>191</v>
      </c>
      <c r="B2323" s="39">
        <f>+B2322</f>
        <v>64657.529522628007</v>
      </c>
      <c r="C2323" s="688" t="s">
        <v>427</v>
      </c>
      <c r="D2323" s="13"/>
      <c r="E2323" s="673"/>
      <c r="F2323" s="673"/>
      <c r="G2323" s="673"/>
      <c r="H2323" s="673"/>
      <c r="I2323" s="673"/>
    </row>
    <row r="2324" spans="1:12" s="1260" customFormat="1" ht="15" customHeight="1">
      <c r="A2324" s="1277"/>
      <c r="B2324" s="1278"/>
      <c r="C2324" s="1279"/>
      <c r="D2324" s="402"/>
      <c r="E2324" s="1280"/>
      <c r="F2324" s="1280"/>
      <c r="G2324" s="1280"/>
      <c r="H2324" s="1280"/>
      <c r="I2324" s="1280"/>
      <c r="J2324" s="2897"/>
      <c r="K2324" s="2897"/>
      <c r="L2324" s="2897"/>
    </row>
    <row r="2325" spans="1:12" ht="16.8">
      <c r="A2325" s="594"/>
      <c r="B2325" s="3855" t="s">
        <v>4448</v>
      </c>
      <c r="C2325" s="3856"/>
      <c r="D2325" s="3856"/>
      <c r="E2325" s="3856"/>
      <c r="F2325" s="3856"/>
      <c r="G2325" s="3856"/>
      <c r="H2325" s="3856"/>
      <c r="I2325" s="3857"/>
    </row>
    <row r="2326" spans="1:12" ht="16.8">
      <c r="A2326" s="2695"/>
      <c r="B2326" s="696"/>
      <c r="C2326" s="2695" t="s">
        <v>140</v>
      </c>
      <c r="D2326" s="2695" t="s">
        <v>343</v>
      </c>
      <c r="E2326" s="2693" t="s">
        <v>344</v>
      </c>
      <c r="F2326" s="2693" t="s">
        <v>482</v>
      </c>
      <c r="G2326" s="2693" t="s">
        <v>483</v>
      </c>
      <c r="H2326" s="2693" t="s">
        <v>170</v>
      </c>
      <c r="I2326" s="2693" t="s">
        <v>171</v>
      </c>
    </row>
    <row r="2327" spans="1:12" ht="16.8">
      <c r="A2327" s="2" t="s">
        <v>4131</v>
      </c>
      <c r="B2327" s="773" t="s">
        <v>4422</v>
      </c>
      <c r="C2327" s="346">
        <v>1</v>
      </c>
      <c r="D2327" s="160" t="s">
        <v>363</v>
      </c>
      <c r="E2327" s="2693">
        <f>530000*1.19</f>
        <v>630700</v>
      </c>
      <c r="F2327" s="2693"/>
      <c r="G2327" s="2693">
        <f>+E2327*C2327</f>
        <v>630700</v>
      </c>
      <c r="H2327" s="2693"/>
      <c r="I2327" s="2693"/>
    </row>
    <row r="2328" spans="1:12" ht="16.8">
      <c r="A2328" s="2" t="s">
        <v>584</v>
      </c>
      <c r="B2328" s="41" t="s">
        <v>134</v>
      </c>
      <c r="C2328" s="346">
        <v>3.0000000000000001E-3</v>
      </c>
      <c r="D2328" s="160" t="s">
        <v>583</v>
      </c>
      <c r="E2328" s="2693">
        <f>+VIAJE</f>
        <v>1200000</v>
      </c>
      <c r="F2328" s="2693"/>
      <c r="G2328" s="2693"/>
      <c r="H2328" s="2693"/>
      <c r="I2328" s="2693">
        <f>+E2328*C2328</f>
        <v>3600</v>
      </c>
    </row>
    <row r="2329" spans="1:12" ht="16.8">
      <c r="A2329" s="587" t="s">
        <v>190</v>
      </c>
      <c r="B2329" s="588">
        <f>SUM(F2329:I2329)</f>
        <v>634300</v>
      </c>
      <c r="C2329" s="370"/>
      <c r="D2329" s="169"/>
      <c r="E2329" s="32"/>
      <c r="F2329" s="32">
        <f>SUM(F2327:F2328)</f>
        <v>0</v>
      </c>
      <c r="G2329" s="32">
        <f>SUM(G2327:G2328)</f>
        <v>630700</v>
      </c>
      <c r="H2329" s="32">
        <f>SUM(H2327:H2328)</f>
        <v>0</v>
      </c>
      <c r="I2329" s="2693">
        <f>SUM(I2327:I2328)</f>
        <v>3600</v>
      </c>
    </row>
    <row r="2330" spans="1:12" ht="15" customHeight="1">
      <c r="A2330" s="587" t="s">
        <v>191</v>
      </c>
      <c r="B2330" s="39">
        <f>+B2329</f>
        <v>634300</v>
      </c>
      <c r="C2330" s="688" t="s">
        <v>427</v>
      </c>
      <c r="D2330" s="13"/>
      <c r="E2330" s="673"/>
      <c r="F2330" s="673"/>
      <c r="G2330" s="673"/>
      <c r="H2330" s="673"/>
      <c r="I2330" s="673"/>
    </row>
    <row r="2332" spans="1:12" ht="16.8">
      <c r="A2332" s="594"/>
      <c r="B2332" s="3855" t="s">
        <v>4449</v>
      </c>
      <c r="C2332" s="3856"/>
      <c r="D2332" s="3856"/>
      <c r="E2332" s="3856"/>
      <c r="F2332" s="3856"/>
      <c r="G2332" s="3856"/>
      <c r="H2332" s="3856"/>
      <c r="I2332" s="3857"/>
    </row>
    <row r="2333" spans="1:12" ht="16.8">
      <c r="A2333" s="2695"/>
      <c r="B2333" s="696"/>
      <c r="C2333" s="2695" t="s">
        <v>140</v>
      </c>
      <c r="D2333" s="2695" t="s">
        <v>343</v>
      </c>
      <c r="E2333" s="2693" t="s">
        <v>344</v>
      </c>
      <c r="F2333" s="2693" t="s">
        <v>482</v>
      </c>
      <c r="G2333" s="2693" t="s">
        <v>483</v>
      </c>
      <c r="H2333" s="2693" t="s">
        <v>170</v>
      </c>
      <c r="I2333" s="2693" t="s">
        <v>171</v>
      </c>
    </row>
    <row r="2334" spans="1:12" ht="16.8">
      <c r="A2334" s="485"/>
      <c r="B2334" s="41" t="s">
        <v>4192</v>
      </c>
      <c r="C2334" s="346">
        <v>2</v>
      </c>
      <c r="D2334" s="160" t="s">
        <v>363</v>
      </c>
      <c r="E2334" s="2693">
        <v>40000</v>
      </c>
      <c r="F2334" s="2693"/>
      <c r="G2334" s="2693"/>
      <c r="H2334" s="2693">
        <f>+E2334*C2334</f>
        <v>80000</v>
      </c>
      <c r="I2334" s="2693"/>
    </row>
    <row r="2335" spans="1:12" ht="16.8">
      <c r="A2335" s="2" t="s">
        <v>347</v>
      </c>
      <c r="B2335" s="41" t="str">
        <f>IF(PRESTA&gt;0,"AYUD. ENTENDIDO (INCLUYE "&amp;""&amp;PRESTA*100&amp;"% PRESTACIONES)",0)</f>
        <v>AYUD. ENTENDIDO (INCLUYE 82,22% PRESTACIONES)</v>
      </c>
      <c r="C2335" s="346">
        <v>0.185</v>
      </c>
      <c r="D2335" s="160" t="s">
        <v>346</v>
      </c>
      <c r="E2335" s="32">
        <f>AYUDA</f>
        <v>65389.695592000004</v>
      </c>
      <c r="F2335" s="32"/>
      <c r="G2335" s="32"/>
      <c r="H2335" s="32">
        <f>+E2335*C2335</f>
        <v>12097.093684520001</v>
      </c>
      <c r="I2335" s="2693"/>
    </row>
    <row r="2336" spans="1:12" ht="16.8">
      <c r="A2336" s="2" t="s">
        <v>172</v>
      </c>
      <c r="B2336" s="41" t="s">
        <v>189</v>
      </c>
      <c r="C2336" s="346">
        <v>1</v>
      </c>
      <c r="D2336" s="160" t="s">
        <v>583</v>
      </c>
      <c r="E2336" s="32">
        <f>H2337*0.05</f>
        <v>4604.8546842260002</v>
      </c>
      <c r="F2336" s="32"/>
      <c r="G2336" s="32"/>
      <c r="H2336" s="32"/>
      <c r="I2336" s="2693">
        <f>+E2336*C2336</f>
        <v>4604.8546842260002</v>
      </c>
    </row>
    <row r="2337" spans="1:12" ht="16.8">
      <c r="A2337" s="587" t="s">
        <v>190</v>
      </c>
      <c r="B2337" s="588">
        <f>SUM(F2337:I2337)</f>
        <v>96701.948368746002</v>
      </c>
      <c r="C2337" s="370"/>
      <c r="D2337" s="169"/>
      <c r="E2337" s="32"/>
      <c r="F2337" s="32">
        <f>SUM(F2335:F2336)</f>
        <v>0</v>
      </c>
      <c r="G2337" s="32">
        <f>SUM(G2335:G2336)</f>
        <v>0</v>
      </c>
      <c r="H2337" s="32">
        <f>SUM(H2334:H2336)</f>
        <v>92097.093684520005</v>
      </c>
      <c r="I2337" s="2693">
        <f>SUM(I2335:I2336)</f>
        <v>4604.8546842260002</v>
      </c>
    </row>
    <row r="2338" spans="1:12" ht="16.8">
      <c r="A2338" s="587" t="s">
        <v>191</v>
      </c>
      <c r="B2338" s="39">
        <f>+B2337</f>
        <v>96701.948368746002</v>
      </c>
      <c r="C2338" s="688" t="s">
        <v>427</v>
      </c>
      <c r="D2338" s="13"/>
      <c r="E2338" s="673"/>
      <c r="F2338" s="673"/>
      <c r="G2338" s="673"/>
      <c r="H2338" s="673"/>
      <c r="I2338" s="673"/>
    </row>
    <row r="2339" spans="1:12" s="1260" customFormat="1" ht="15" customHeight="1">
      <c r="A2339" s="1277"/>
      <c r="B2339" s="1278"/>
      <c r="C2339" s="1279"/>
      <c r="D2339" s="402"/>
      <c r="E2339" s="1280"/>
      <c r="F2339" s="1280"/>
      <c r="G2339" s="1280"/>
      <c r="H2339" s="1280"/>
      <c r="I2339" s="1280"/>
      <c r="J2339" s="2897"/>
      <c r="K2339" s="2897"/>
      <c r="L2339" s="2897"/>
    </row>
    <row r="2340" spans="1:12" ht="16.8">
      <c r="A2340" s="594"/>
      <c r="B2340" s="3855" t="s">
        <v>4450</v>
      </c>
      <c r="C2340" s="3856"/>
      <c r="D2340" s="3856"/>
      <c r="E2340" s="3856"/>
      <c r="F2340" s="3856"/>
      <c r="G2340" s="3856"/>
      <c r="H2340" s="3856"/>
      <c r="I2340" s="3857"/>
    </row>
    <row r="2341" spans="1:12" ht="16.8">
      <c r="A2341" s="2695"/>
      <c r="B2341" s="696"/>
      <c r="C2341" s="2695" t="s">
        <v>140</v>
      </c>
      <c r="D2341" s="2695" t="s">
        <v>343</v>
      </c>
      <c r="E2341" s="2693" t="s">
        <v>344</v>
      </c>
      <c r="F2341" s="2693" t="s">
        <v>482</v>
      </c>
      <c r="G2341" s="2693" t="s">
        <v>483</v>
      </c>
      <c r="H2341" s="2693" t="s">
        <v>170</v>
      </c>
      <c r="I2341" s="2693" t="s">
        <v>171</v>
      </c>
    </row>
    <row r="2342" spans="1:12" ht="16.8">
      <c r="A2342" s="2" t="s">
        <v>4131</v>
      </c>
      <c r="B2342" s="773" t="s">
        <v>4423</v>
      </c>
      <c r="C2342" s="346">
        <v>1</v>
      </c>
      <c r="D2342" s="160" t="s">
        <v>363</v>
      </c>
      <c r="E2342" s="673">
        <f>1190000*1.19</f>
        <v>1416100</v>
      </c>
      <c r="F2342" s="2693"/>
      <c r="G2342" s="2693">
        <f>+E2342*C2342</f>
        <v>1416100</v>
      </c>
      <c r="H2342" s="2693"/>
      <c r="I2342" s="2693"/>
    </row>
    <row r="2343" spans="1:12" ht="16.8">
      <c r="A2343" s="2" t="s">
        <v>584</v>
      </c>
      <c r="B2343" s="41" t="s">
        <v>134</v>
      </c>
      <c r="C2343" s="346">
        <v>0.03</v>
      </c>
      <c r="D2343" s="160" t="s">
        <v>583</v>
      </c>
      <c r="E2343" s="2693">
        <f>+VIAJE</f>
        <v>1200000</v>
      </c>
      <c r="F2343" s="2693"/>
      <c r="G2343" s="2693"/>
      <c r="H2343" s="2693"/>
      <c r="I2343" s="2693">
        <f>+E2343*C2343</f>
        <v>36000</v>
      </c>
    </row>
    <row r="2344" spans="1:12" ht="16.8">
      <c r="A2344" s="587" t="s">
        <v>190</v>
      </c>
      <c r="B2344" s="588">
        <f>SUM(F2344:I2344)</f>
        <v>1452100</v>
      </c>
      <c r="C2344" s="370"/>
      <c r="D2344" s="169"/>
      <c r="E2344" s="32"/>
      <c r="F2344" s="32">
        <f>SUM(F2342:F2343)</f>
        <v>0</v>
      </c>
      <c r="G2344" s="32">
        <f>SUM(G2342:G2343)</f>
        <v>1416100</v>
      </c>
      <c r="H2344" s="32">
        <f>SUM(H2342:H2343)</f>
        <v>0</v>
      </c>
      <c r="I2344" s="2693">
        <f>SUM(I2342:I2343)</f>
        <v>36000</v>
      </c>
    </row>
    <row r="2345" spans="1:12" ht="15" customHeight="1">
      <c r="A2345" s="587" t="s">
        <v>191</v>
      </c>
      <c r="B2345" s="39">
        <f>+B2344</f>
        <v>1452100</v>
      </c>
      <c r="C2345" s="688" t="s">
        <v>427</v>
      </c>
      <c r="D2345" s="13"/>
      <c r="E2345" s="673">
        <v>4</v>
      </c>
      <c r="F2345" s="673"/>
      <c r="G2345" s="673"/>
      <c r="H2345" s="673"/>
      <c r="I2345" s="673"/>
    </row>
    <row r="2347" spans="1:12" ht="16.8">
      <c r="A2347" s="594"/>
      <c r="B2347" s="3855" t="s">
        <v>4451</v>
      </c>
      <c r="C2347" s="3856"/>
      <c r="D2347" s="3856"/>
      <c r="E2347" s="3856"/>
      <c r="F2347" s="3856"/>
      <c r="G2347" s="3856"/>
      <c r="H2347" s="3856"/>
      <c r="I2347" s="3857"/>
    </row>
    <row r="2348" spans="1:12" ht="16.8">
      <c r="A2348" s="2695"/>
      <c r="B2348" s="696"/>
      <c r="C2348" s="2695" t="s">
        <v>140</v>
      </c>
      <c r="D2348" s="2695" t="s">
        <v>343</v>
      </c>
      <c r="E2348" s="2693" t="s">
        <v>344</v>
      </c>
      <c r="F2348" s="2693" t="s">
        <v>482</v>
      </c>
      <c r="G2348" s="2693" t="s">
        <v>483</v>
      </c>
      <c r="H2348" s="2693" t="s">
        <v>170</v>
      </c>
      <c r="I2348" s="2693" t="s">
        <v>171</v>
      </c>
    </row>
    <row r="2349" spans="1:12" ht="16.8">
      <c r="A2349" s="485"/>
      <c r="B2349" s="41" t="s">
        <v>4192</v>
      </c>
      <c r="C2349" s="346">
        <v>2</v>
      </c>
      <c r="D2349" s="160" t="s">
        <v>363</v>
      </c>
      <c r="E2349" s="2693">
        <v>40000</v>
      </c>
      <c r="F2349" s="2693"/>
      <c r="G2349" s="2693"/>
      <c r="H2349" s="2693">
        <f>+E2349*C2349</f>
        <v>80000</v>
      </c>
      <c r="I2349" s="2693"/>
    </row>
    <row r="2350" spans="1:12" ht="16.8">
      <c r="A2350" s="2" t="s">
        <v>347</v>
      </c>
      <c r="B2350" s="41" t="str">
        <f>IF(PRESTA&gt;0,"AYUD. ENTENDIDO (INCLUYE "&amp;""&amp;PRESTA*100&amp;"% PRESTACIONES)",0)</f>
        <v>AYUD. ENTENDIDO (INCLUYE 82,22% PRESTACIONES)</v>
      </c>
      <c r="C2350" s="346">
        <v>0.17</v>
      </c>
      <c r="D2350" s="160" t="s">
        <v>346</v>
      </c>
      <c r="E2350" s="32">
        <f>AYUDA</f>
        <v>65389.695592000004</v>
      </c>
      <c r="F2350" s="32"/>
      <c r="G2350" s="32"/>
      <c r="H2350" s="32">
        <f>+E2350*C2350</f>
        <v>11116.248250640001</v>
      </c>
      <c r="I2350" s="2693"/>
    </row>
    <row r="2351" spans="1:12" ht="16.8">
      <c r="A2351" s="2" t="s">
        <v>172</v>
      </c>
      <c r="B2351" s="41" t="s">
        <v>189</v>
      </c>
      <c r="C2351" s="346">
        <v>1</v>
      </c>
      <c r="D2351" s="160" t="s">
        <v>583</v>
      </c>
      <c r="E2351" s="32">
        <f>H2352*0.05</f>
        <v>4555.8124125320001</v>
      </c>
      <c r="F2351" s="32"/>
      <c r="G2351" s="32"/>
      <c r="H2351" s="32"/>
      <c r="I2351" s="2693">
        <f>+E2351*C2351</f>
        <v>4555.8124125320001</v>
      </c>
    </row>
    <row r="2352" spans="1:12" ht="16.8">
      <c r="A2352" s="587" t="s">
        <v>190</v>
      </c>
      <c r="B2352" s="588">
        <f>SUM(F2352:I2352)</f>
        <v>95672.060663172</v>
      </c>
      <c r="C2352" s="370"/>
      <c r="D2352" s="169"/>
      <c r="E2352" s="32"/>
      <c r="F2352" s="32">
        <f>SUM(F2350:F2351)</f>
        <v>0</v>
      </c>
      <c r="G2352" s="32">
        <f>SUM(G2350:G2351)</f>
        <v>0</v>
      </c>
      <c r="H2352" s="32">
        <f>SUM(H2349:H2351)</f>
        <v>91116.248250639997</v>
      </c>
      <c r="I2352" s="2693">
        <f>SUM(I2350:I2351)</f>
        <v>4555.8124125320001</v>
      </c>
    </row>
    <row r="2353" spans="1:12" ht="16.8">
      <c r="A2353" s="587" t="s">
        <v>191</v>
      </c>
      <c r="B2353" s="39">
        <f>+B2352</f>
        <v>95672.060663172</v>
      </c>
      <c r="C2353" s="688" t="s">
        <v>427</v>
      </c>
      <c r="D2353" s="13"/>
      <c r="E2353" s="673"/>
      <c r="F2353" s="673"/>
      <c r="G2353" s="673"/>
      <c r="H2353" s="673"/>
      <c r="I2353" s="673"/>
    </row>
    <row r="2354" spans="1:12" s="1260" customFormat="1" ht="15" customHeight="1">
      <c r="A2354" s="1277"/>
      <c r="B2354" s="1278"/>
      <c r="C2354" s="1279"/>
      <c r="D2354" s="402"/>
      <c r="E2354" s="1280"/>
      <c r="F2354" s="1280"/>
      <c r="G2354" s="1280"/>
      <c r="H2354" s="1280"/>
      <c r="I2354" s="1280"/>
      <c r="J2354" s="2897"/>
      <c r="K2354" s="2897"/>
      <c r="L2354" s="2897"/>
    </row>
    <row r="2355" spans="1:12" ht="16.8">
      <c r="A2355" s="594"/>
      <c r="B2355" s="3855" t="s">
        <v>4452</v>
      </c>
      <c r="C2355" s="3856"/>
      <c r="D2355" s="3856"/>
      <c r="E2355" s="3856"/>
      <c r="F2355" s="3856"/>
      <c r="G2355" s="3856"/>
      <c r="H2355" s="3856"/>
      <c r="I2355" s="3857"/>
    </row>
    <row r="2356" spans="1:12" ht="16.8">
      <c r="A2356" s="2695"/>
      <c r="B2356" s="696"/>
      <c r="C2356" s="2695" t="s">
        <v>140</v>
      </c>
      <c r="D2356" s="2695" t="s">
        <v>343</v>
      </c>
      <c r="E2356" s="2693" t="s">
        <v>344</v>
      </c>
      <c r="F2356" s="2693" t="s">
        <v>482</v>
      </c>
      <c r="G2356" s="2693" t="s">
        <v>483</v>
      </c>
      <c r="H2356" s="2693" t="s">
        <v>170</v>
      </c>
      <c r="I2356" s="2693" t="s">
        <v>171</v>
      </c>
    </row>
    <row r="2357" spans="1:12" ht="16.8">
      <c r="A2357" s="2" t="s">
        <v>4131</v>
      </c>
      <c r="B2357" s="773" t="s">
        <v>4424</v>
      </c>
      <c r="C2357" s="346">
        <v>1</v>
      </c>
      <c r="D2357" s="160" t="s">
        <v>363</v>
      </c>
      <c r="E2357" s="2693">
        <f>902500*1.19</f>
        <v>1073975</v>
      </c>
      <c r="F2357" s="2693"/>
      <c r="G2357" s="2693">
        <f>+E2357*C2357</f>
        <v>1073975</v>
      </c>
      <c r="H2357" s="2693"/>
      <c r="I2357" s="2693"/>
    </row>
    <row r="2358" spans="1:12" ht="16.8">
      <c r="A2358" s="2" t="s">
        <v>584</v>
      </c>
      <c r="B2358" s="41" t="s">
        <v>134</v>
      </c>
      <c r="C2358" s="346">
        <v>0.03</v>
      </c>
      <c r="D2358" s="160" t="s">
        <v>583</v>
      </c>
      <c r="E2358" s="2693">
        <f>+VIAJE</f>
        <v>1200000</v>
      </c>
      <c r="F2358" s="2693"/>
      <c r="G2358" s="2693"/>
      <c r="H2358" s="2693"/>
      <c r="I2358" s="2693">
        <f>+E2358*C2358</f>
        <v>36000</v>
      </c>
    </row>
    <row r="2359" spans="1:12" ht="16.8">
      <c r="A2359" s="587" t="s">
        <v>190</v>
      </c>
      <c r="B2359" s="588">
        <f>SUM(F2359:I2359)</f>
        <v>1109975</v>
      </c>
      <c r="C2359" s="370"/>
      <c r="D2359" s="169"/>
      <c r="E2359" s="32"/>
      <c r="F2359" s="32">
        <f>SUM(F2357:F2358)</f>
        <v>0</v>
      </c>
      <c r="G2359" s="32">
        <f>SUM(G2357:G2358)</f>
        <v>1073975</v>
      </c>
      <c r="H2359" s="32">
        <f>SUM(H2357:H2358)</f>
        <v>0</v>
      </c>
      <c r="I2359" s="2693">
        <f>SUM(I2357:I2358)</f>
        <v>36000</v>
      </c>
    </row>
    <row r="2360" spans="1:12" ht="15" customHeight="1">
      <c r="A2360" s="587" t="s">
        <v>191</v>
      </c>
      <c r="B2360" s="39">
        <f>+B2359</f>
        <v>1109975</v>
      </c>
      <c r="C2360" s="688" t="s">
        <v>427</v>
      </c>
      <c r="D2360" s="13"/>
      <c r="E2360" s="673"/>
      <c r="F2360" s="673"/>
      <c r="G2360" s="673"/>
      <c r="H2360" s="673"/>
      <c r="I2360" s="673"/>
    </row>
    <row r="2362" spans="1:12" ht="16.8">
      <c r="A2362" s="594"/>
      <c r="B2362" s="3855" t="s">
        <v>4568</v>
      </c>
      <c r="C2362" s="3856"/>
      <c r="D2362" s="3856"/>
      <c r="E2362" s="3856"/>
      <c r="F2362" s="3856"/>
      <c r="G2362" s="3856"/>
      <c r="H2362" s="3856"/>
      <c r="I2362" s="3857"/>
    </row>
    <row r="2363" spans="1:12" s="1918" customFormat="1" ht="16.8">
      <c r="A2363" s="2695"/>
      <c r="B2363" s="696"/>
      <c r="C2363" s="2695" t="s">
        <v>140</v>
      </c>
      <c r="D2363" s="2695" t="s">
        <v>343</v>
      </c>
      <c r="E2363" s="2693" t="s">
        <v>344</v>
      </c>
      <c r="F2363" s="2693" t="s">
        <v>482</v>
      </c>
      <c r="G2363" s="2693" t="s">
        <v>483</v>
      </c>
      <c r="H2363" s="2693" t="s">
        <v>170</v>
      </c>
      <c r="I2363" s="2693" t="s">
        <v>171</v>
      </c>
      <c r="J2363" s="2901"/>
      <c r="K2363" s="2901"/>
      <c r="L2363" s="2901"/>
    </row>
    <row r="2364" spans="1:12" s="1918" customFormat="1" ht="16.8">
      <c r="A2364" s="1319" t="s">
        <v>345</v>
      </c>
      <c r="B2364" s="1320" t="s">
        <v>6439</v>
      </c>
      <c r="C2364" s="1322">
        <v>0.94</v>
      </c>
      <c r="D2364" s="1323" t="s">
        <v>346</v>
      </c>
      <c r="E2364" s="2149">
        <f>+OFICI</f>
        <v>80479.625344</v>
      </c>
      <c r="F2364" s="1324"/>
      <c r="G2364" s="1324"/>
      <c r="H2364" s="1324">
        <f>+E2364*C2364</f>
        <v>75650.847823359989</v>
      </c>
      <c r="I2364" s="1324"/>
      <c r="J2364" s="2901"/>
      <c r="K2364" s="2901"/>
      <c r="L2364" s="2901"/>
    </row>
    <row r="2365" spans="1:12" ht="16.8">
      <c r="A2365" s="1319" t="s">
        <v>348</v>
      </c>
      <c r="B2365" s="1320" t="s">
        <v>6579</v>
      </c>
      <c r="C2365" s="1322">
        <v>0.94</v>
      </c>
      <c r="D2365" s="1323" t="s">
        <v>346</v>
      </c>
      <c r="E2365" s="2149">
        <f>+AYUDR</f>
        <v>50299.76584</v>
      </c>
      <c r="F2365" s="1324"/>
      <c r="G2365" s="1324"/>
      <c r="H2365" s="1324">
        <f>+E2365*C2365</f>
        <v>47281.779889599995</v>
      </c>
      <c r="I2365" s="1324"/>
    </row>
    <row r="2366" spans="1:12" ht="16.8">
      <c r="A2366" s="2" t="s">
        <v>172</v>
      </c>
      <c r="B2366" s="41" t="s">
        <v>189</v>
      </c>
      <c r="C2366" s="346">
        <v>1</v>
      </c>
      <c r="D2366" s="160" t="s">
        <v>583</v>
      </c>
      <c r="E2366" s="32">
        <f>H2367*0.05</f>
        <v>6146.6313856479992</v>
      </c>
      <c r="F2366" s="32"/>
      <c r="G2366" s="32"/>
      <c r="H2366" s="32"/>
      <c r="I2366" s="2693">
        <f>+E2366*C2366</f>
        <v>6146.6313856479992</v>
      </c>
    </row>
    <row r="2367" spans="1:12" ht="16.8">
      <c r="A2367" s="587" t="s">
        <v>190</v>
      </c>
      <c r="B2367" s="588">
        <f>SUM(F2367:I2367)</f>
        <v>129079.25909860797</v>
      </c>
      <c r="C2367" s="370"/>
      <c r="D2367" s="169"/>
      <c r="E2367" s="32"/>
      <c r="F2367" s="32">
        <f>SUM(F2364:F2366)</f>
        <v>0</v>
      </c>
      <c r="G2367" s="32">
        <f t="shared" ref="G2367:I2367" si="60">SUM(G2364:G2366)</f>
        <v>0</v>
      </c>
      <c r="H2367" s="32">
        <f t="shared" si="60"/>
        <v>122932.62771295998</v>
      </c>
      <c r="I2367" s="32">
        <f t="shared" si="60"/>
        <v>6146.6313856479992</v>
      </c>
    </row>
    <row r="2368" spans="1:12" s="1260" customFormat="1" ht="15" customHeight="1">
      <c r="A2368" s="587" t="s">
        <v>191</v>
      </c>
      <c r="B2368" s="39">
        <f>+B2367</f>
        <v>129079.25909860797</v>
      </c>
      <c r="C2368" s="688" t="s">
        <v>427</v>
      </c>
      <c r="D2368" s="13"/>
      <c r="E2368" s="673">
        <f>+B2376*0.15</f>
        <v>128182.5</v>
      </c>
      <c r="F2368" s="673"/>
      <c r="G2368" s="673"/>
      <c r="H2368" s="673"/>
      <c r="I2368" s="673"/>
      <c r="J2368" s="2897"/>
      <c r="K2368" s="2897"/>
      <c r="L2368" s="2897"/>
    </row>
    <row r="2369" spans="1:12" ht="18">
      <c r="A2369" s="1277"/>
      <c r="B2369" s="1278"/>
      <c r="C2369" s="1279"/>
      <c r="D2369" s="402"/>
      <c r="E2369" s="1280"/>
      <c r="F2369" s="1280"/>
      <c r="G2369" s="1280"/>
      <c r="H2369" s="1280"/>
      <c r="I2369" s="1280"/>
    </row>
    <row r="2370" spans="1:12" ht="16.8">
      <c r="A2370" s="2150"/>
      <c r="B2370" s="3852" t="s">
        <v>4569</v>
      </c>
      <c r="C2370" s="3853"/>
      <c r="D2370" s="3853"/>
      <c r="E2370" s="3853"/>
      <c r="F2370" s="3853"/>
      <c r="G2370" s="3853"/>
      <c r="H2370" s="3853"/>
      <c r="I2370" s="3854"/>
    </row>
    <row r="2371" spans="1:12" ht="16.8">
      <c r="A2371" s="2695"/>
      <c r="B2371" s="696"/>
      <c r="C2371" s="2695" t="s">
        <v>140</v>
      </c>
      <c r="D2371" s="2695" t="s">
        <v>343</v>
      </c>
      <c r="E2371" s="2693" t="s">
        <v>344</v>
      </c>
      <c r="F2371" s="2693" t="s">
        <v>482</v>
      </c>
      <c r="G2371" s="2693" t="s">
        <v>483</v>
      </c>
      <c r="H2371" s="2693" t="s">
        <v>170</v>
      </c>
      <c r="I2371" s="2693" t="s">
        <v>171</v>
      </c>
    </row>
    <row r="2372" spans="1:12" ht="16.8">
      <c r="A2372" s="2" t="s">
        <v>4131</v>
      </c>
      <c r="B2372" s="773" t="s">
        <v>4527</v>
      </c>
      <c r="C2372" s="346">
        <v>1</v>
      </c>
      <c r="D2372" s="160" t="s">
        <v>363</v>
      </c>
      <c r="E2372" s="2693">
        <f>+'BASE 2'!D485</f>
        <v>648550</v>
      </c>
      <c r="F2372" s="2693"/>
      <c r="G2372" s="2693">
        <f>+E2372*C2372</f>
        <v>648550</v>
      </c>
      <c r="H2372" s="2693"/>
      <c r="I2372" s="2693"/>
    </row>
    <row r="2373" spans="1:12" ht="16.8">
      <c r="A2373" s="2"/>
      <c r="B2373" s="2752" t="s">
        <v>6455</v>
      </c>
      <c r="C2373" s="346">
        <v>2</v>
      </c>
      <c r="D2373" s="160" t="s">
        <v>363</v>
      </c>
      <c r="E2373" s="2693">
        <f>+'BASE 2'!D625</f>
        <v>91000</v>
      </c>
      <c r="F2373" s="2693"/>
      <c r="G2373" s="2693">
        <f>+E2373*C2373</f>
        <v>182000</v>
      </c>
      <c r="H2373" s="2693"/>
      <c r="I2373" s="2693"/>
    </row>
    <row r="2374" spans="1:12" ht="16.8">
      <c r="A2374" s="2" t="s">
        <v>584</v>
      </c>
      <c r="B2374" s="41" t="s">
        <v>134</v>
      </c>
      <c r="C2374" s="346">
        <v>0.02</v>
      </c>
      <c r="D2374" s="160" t="s">
        <v>583</v>
      </c>
      <c r="E2374" s="2693">
        <f>+VIAJE</f>
        <v>1200000</v>
      </c>
      <c r="F2374" s="2693"/>
      <c r="G2374" s="2693"/>
      <c r="H2374" s="2693"/>
      <c r="I2374" s="2693">
        <f>+E2374*C2374</f>
        <v>24000</v>
      </c>
    </row>
    <row r="2375" spans="1:12" ht="15.75" customHeight="1">
      <c r="A2375" s="587" t="s">
        <v>190</v>
      </c>
      <c r="B2375" s="588">
        <f>SUM(F2375:I2375)</f>
        <v>854550</v>
      </c>
      <c r="C2375" s="370"/>
      <c r="D2375" s="169"/>
      <c r="E2375" s="32"/>
      <c r="F2375" s="32">
        <f>SUM(F2372:F2374)</f>
        <v>0</v>
      </c>
      <c r="G2375" s="32">
        <f>SUM(G2372:G2374)</f>
        <v>830550</v>
      </c>
      <c r="H2375" s="32">
        <f>SUM(H2372:H2374)</f>
        <v>0</v>
      </c>
      <c r="I2375" s="2693">
        <f>SUM(I2372:I2374)</f>
        <v>24000</v>
      </c>
    </row>
    <row r="2376" spans="1:12" s="61" customFormat="1" ht="15.75" customHeight="1">
      <c r="A2376" s="587" t="s">
        <v>191</v>
      </c>
      <c r="B2376" s="39">
        <f>+B2375</f>
        <v>854550</v>
      </c>
      <c r="C2376" s="688" t="s">
        <v>427</v>
      </c>
      <c r="D2376" s="13"/>
      <c r="E2376" s="673"/>
      <c r="F2376" s="673"/>
      <c r="G2376" s="673"/>
      <c r="H2376" s="673"/>
      <c r="I2376" s="673"/>
      <c r="J2376" s="2894"/>
      <c r="K2376" s="2894"/>
      <c r="L2376" s="2894"/>
    </row>
    <row r="2378" spans="1:12" ht="16.8">
      <c r="A2378" s="594"/>
      <c r="B2378" s="3855" t="s">
        <v>4472</v>
      </c>
      <c r="C2378" s="3856"/>
      <c r="D2378" s="3856"/>
      <c r="E2378" s="3856"/>
      <c r="F2378" s="3856"/>
      <c r="G2378" s="3856"/>
      <c r="H2378" s="3856"/>
      <c r="I2378" s="3857"/>
    </row>
    <row r="2379" spans="1:12" ht="16.8">
      <c r="A2379" s="2695"/>
      <c r="B2379" s="696"/>
      <c r="C2379" s="2695" t="s">
        <v>140</v>
      </c>
      <c r="D2379" s="2695" t="s">
        <v>343</v>
      </c>
      <c r="E2379" s="2693" t="s">
        <v>344</v>
      </c>
      <c r="F2379" s="2693" t="s">
        <v>482</v>
      </c>
      <c r="G2379" s="2693" t="s">
        <v>483</v>
      </c>
      <c r="H2379" s="2693" t="s">
        <v>170</v>
      </c>
      <c r="I2379" s="2693" t="s">
        <v>171</v>
      </c>
    </row>
    <row r="2380" spans="1:12" s="402" customFormat="1" ht="15" customHeight="1">
      <c r="A2380" s="954" t="s">
        <v>53</v>
      </c>
      <c r="B2380" s="231" t="s">
        <v>51</v>
      </c>
      <c r="C2380" s="183">
        <f>1/12</f>
        <v>8.3333333333333329E-2</v>
      </c>
      <c r="D2380" s="401" t="s">
        <v>346</v>
      </c>
      <c r="E2380" s="2697">
        <f>+PLAELE</f>
        <v>204223.83333333331</v>
      </c>
      <c r="F2380" s="2697">
        <f>+E2380*C2380</f>
        <v>17018.652777777774</v>
      </c>
      <c r="G2380" s="2697"/>
      <c r="H2380" s="2697"/>
      <c r="I2380" s="2697"/>
      <c r="J2380" s="2895"/>
      <c r="K2380" s="2895"/>
      <c r="L2380" s="2895"/>
    </row>
    <row r="2381" spans="1:12" s="402" customFormat="1" ht="15" customHeight="1">
      <c r="A2381" s="954" t="s">
        <v>47</v>
      </c>
      <c r="B2381" s="231" t="s">
        <v>46</v>
      </c>
      <c r="C2381" s="183">
        <f>1/12</f>
        <v>8.3333333333333329E-2</v>
      </c>
      <c r="D2381" s="401" t="s">
        <v>346</v>
      </c>
      <c r="E2381" s="2697">
        <f>+_ETF315</f>
        <v>132600</v>
      </c>
      <c r="F2381" s="2697">
        <f>+E2381*C2381</f>
        <v>11050</v>
      </c>
      <c r="G2381" s="2697"/>
      <c r="H2381" s="2697"/>
      <c r="I2381" s="2697"/>
      <c r="J2381" s="2895"/>
      <c r="K2381" s="2895"/>
      <c r="L2381" s="2895"/>
    </row>
    <row r="2382" spans="1:12" s="402" customFormat="1" ht="15" customHeight="1">
      <c r="A2382" s="954" t="s">
        <v>380</v>
      </c>
      <c r="B2382" s="184" t="s">
        <v>378</v>
      </c>
      <c r="C2382" s="183">
        <f>1/40</f>
        <v>2.5000000000000001E-2</v>
      </c>
      <c r="D2382" s="401" t="s">
        <v>238</v>
      </c>
      <c r="E2382" s="2697">
        <f>+GASO</f>
        <v>8800</v>
      </c>
      <c r="F2382" s="2697"/>
      <c r="G2382" s="2697"/>
      <c r="H2382" s="2697"/>
      <c r="I2382" s="2697">
        <f>+E2382*C2382</f>
        <v>220</v>
      </c>
      <c r="J2382" s="2895"/>
      <c r="K2382" s="2895"/>
      <c r="L2382" s="2895"/>
    </row>
    <row r="2383" spans="1:12" s="402" customFormat="1" ht="15" customHeight="1">
      <c r="A2383" s="954" t="s">
        <v>382</v>
      </c>
      <c r="B2383" s="184" t="s">
        <v>381</v>
      </c>
      <c r="C2383" s="183">
        <f>1/3.3</f>
        <v>0.30303030303030304</v>
      </c>
      <c r="D2383" s="401" t="s">
        <v>426</v>
      </c>
      <c r="E2383" s="2697">
        <f>+ESTOP</f>
        <v>4080</v>
      </c>
      <c r="F2383" s="2697"/>
      <c r="G2383" s="2697"/>
      <c r="H2383" s="2697"/>
      <c r="I2383" s="2697">
        <f>+E2383*C2383</f>
        <v>1236.3636363636365</v>
      </c>
      <c r="J2383" s="2895"/>
      <c r="K2383" s="2895"/>
      <c r="L2383" s="2895"/>
    </row>
    <row r="2384" spans="1:12" s="402" customFormat="1" ht="15" customHeight="1">
      <c r="A2384" s="1261" t="s">
        <v>345</v>
      </c>
      <c r="B2384" s="184" t="str">
        <f>IF(PRESTA&gt;0,"OFICIAL (INCLUYE "&amp;""&amp;PRESTA*100&amp;"% PRESTACIONES)",0)</f>
        <v>OFICIAL (INCLUYE 82,22% PRESTACIONES)</v>
      </c>
      <c r="C2384" s="183">
        <f>1/12</f>
        <v>8.3333333333333329E-2</v>
      </c>
      <c r="D2384" s="1229" t="s">
        <v>346</v>
      </c>
      <c r="E2384" s="2697">
        <f>+OFICI</f>
        <v>80479.625344</v>
      </c>
      <c r="F2384" s="2697"/>
      <c r="G2384" s="2697"/>
      <c r="H2384" s="2697">
        <f>+E2384*C2384</f>
        <v>6706.6354453333333</v>
      </c>
      <c r="I2384" s="2697"/>
      <c r="J2384" s="2912"/>
      <c r="K2384" s="2895"/>
      <c r="L2384" s="2895"/>
    </row>
    <row r="2385" spans="1:12" s="402" customFormat="1" ht="15" customHeight="1">
      <c r="A2385" s="1261" t="s">
        <v>347</v>
      </c>
      <c r="B2385" s="1229" t="str">
        <f>IF(PRESTA&gt;0,"AYUD. ENTENDIDO (INCLUYE "&amp;""&amp;PRESTA*100&amp;"% PRESTACIONES)",0)</f>
        <v>AYUD. ENTENDIDO (INCLUYE 82,22% PRESTACIONES)</v>
      </c>
      <c r="C2385" s="1263">
        <f>+C2384</f>
        <v>8.3333333333333329E-2</v>
      </c>
      <c r="D2385" s="1229" t="s">
        <v>346</v>
      </c>
      <c r="E2385" s="2697">
        <f>+AYUDA</f>
        <v>65389.695592000004</v>
      </c>
      <c r="F2385" s="2697"/>
      <c r="G2385" s="2697"/>
      <c r="H2385" s="2697">
        <f>+E2385*C2385</f>
        <v>5449.1412993333333</v>
      </c>
      <c r="I2385" s="2697"/>
      <c r="J2385" s="2897"/>
      <c r="K2385" s="2895"/>
      <c r="L2385" s="2895"/>
    </row>
    <row r="2386" spans="1:12" s="402" customFormat="1" ht="15" customHeight="1">
      <c r="A2386" s="1261" t="s">
        <v>172</v>
      </c>
      <c r="B2386" s="184" t="s">
        <v>189</v>
      </c>
      <c r="C2386" s="1264">
        <v>1</v>
      </c>
      <c r="D2386" s="1229" t="s">
        <v>583</v>
      </c>
      <c r="E2386" s="2697">
        <f>H2387*0.05</f>
        <v>607.78883723333331</v>
      </c>
      <c r="F2386" s="2697"/>
      <c r="G2386" s="2697"/>
      <c r="H2386" s="2697"/>
      <c r="I2386" s="2697">
        <f>+E2386*C2386</f>
        <v>607.78883723333331</v>
      </c>
      <c r="J2386" s="2897"/>
      <c r="K2386" s="2895"/>
      <c r="L2386" s="2895"/>
    </row>
    <row r="2387" spans="1:12" ht="16.8">
      <c r="A2387" s="587" t="s">
        <v>190</v>
      </c>
      <c r="B2387" s="588">
        <f>SUM(F2387:I2387)</f>
        <v>42288.581996041408</v>
      </c>
      <c r="C2387" s="370"/>
      <c r="D2387" s="169"/>
      <c r="E2387" s="32"/>
      <c r="F2387" s="32">
        <f>SUM(F2380:F2386)</f>
        <v>28068.652777777774</v>
      </c>
      <c r="G2387" s="32">
        <f>SUM(G2380:G2386)</f>
        <v>0</v>
      </c>
      <c r="H2387" s="32">
        <f>SUM(H2380:H2386)</f>
        <v>12155.776744666666</v>
      </c>
      <c r="I2387" s="32">
        <f>SUM(I2380:I2386)</f>
        <v>2064.1524735969697</v>
      </c>
    </row>
    <row r="2388" spans="1:12" ht="16.8">
      <c r="A2388" s="587" t="s">
        <v>191</v>
      </c>
      <c r="B2388" s="39">
        <f>+B2387</f>
        <v>42288.581996041408</v>
      </c>
      <c r="C2388" s="688" t="s">
        <v>427</v>
      </c>
      <c r="D2388" s="13"/>
      <c r="E2388" s="673"/>
      <c r="F2388" s="673"/>
      <c r="G2388" s="673"/>
      <c r="H2388" s="673"/>
      <c r="I2388" s="673"/>
    </row>
    <row r="2389" spans="1:12" s="1260" customFormat="1" ht="15" customHeight="1">
      <c r="A2389" s="1277"/>
      <c r="B2389" s="1278"/>
      <c r="C2389" s="1279"/>
      <c r="D2389" s="402"/>
      <c r="E2389" s="1280"/>
      <c r="F2389" s="1280"/>
      <c r="G2389" s="1280"/>
      <c r="H2389" s="1280"/>
      <c r="I2389" s="1280"/>
      <c r="J2389" s="2897"/>
      <c r="K2389" s="2897"/>
      <c r="L2389" s="2897"/>
    </row>
    <row r="2390" spans="1:12" ht="16.8">
      <c r="A2390" s="594"/>
      <c r="B2390" s="3855" t="s">
        <v>4473</v>
      </c>
      <c r="C2390" s="3856"/>
      <c r="D2390" s="3856"/>
      <c r="E2390" s="3856"/>
      <c r="F2390" s="3856"/>
      <c r="G2390" s="3856"/>
      <c r="H2390" s="3856"/>
      <c r="I2390" s="3857"/>
    </row>
    <row r="2391" spans="1:12" ht="16.8">
      <c r="A2391" s="2695"/>
      <c r="B2391" s="696"/>
      <c r="C2391" s="2695" t="s">
        <v>140</v>
      </c>
      <c r="D2391" s="2695" t="s">
        <v>343</v>
      </c>
      <c r="E2391" s="2693" t="s">
        <v>344</v>
      </c>
      <c r="F2391" s="2693" t="s">
        <v>482</v>
      </c>
      <c r="G2391" s="2693" t="s">
        <v>483</v>
      </c>
      <c r="H2391" s="2693" t="s">
        <v>170</v>
      </c>
      <c r="I2391" s="2693" t="s">
        <v>171</v>
      </c>
    </row>
    <row r="2392" spans="1:12" ht="18">
      <c r="A2392" s="2" t="s">
        <v>4131</v>
      </c>
      <c r="B2392" s="184" t="s">
        <v>4474</v>
      </c>
      <c r="C2392" s="346">
        <v>1</v>
      </c>
      <c r="D2392" s="160" t="s">
        <v>363</v>
      </c>
      <c r="E2392" s="2693">
        <f>102500*1.19</f>
        <v>121975</v>
      </c>
      <c r="F2392" s="2693"/>
      <c r="G2392" s="2693">
        <f>+E2392*C2392</f>
        <v>121975</v>
      </c>
      <c r="H2392" s="2693"/>
      <c r="I2392" s="2693"/>
    </row>
    <row r="2393" spans="1:12" ht="18">
      <c r="A2393" s="2"/>
      <c r="B2393" s="184" t="s">
        <v>4475</v>
      </c>
      <c r="C2393" s="346">
        <v>1</v>
      </c>
      <c r="D2393" s="160" t="s">
        <v>363</v>
      </c>
      <c r="E2393" s="2693">
        <f>55300*1.19</f>
        <v>65807</v>
      </c>
      <c r="F2393" s="2693"/>
      <c r="G2393" s="2693">
        <f>+E2393*C2393</f>
        <v>65807</v>
      </c>
      <c r="H2393" s="2693"/>
      <c r="I2393" s="2693"/>
    </row>
    <row r="2394" spans="1:12" ht="18">
      <c r="A2394" s="2"/>
      <c r="B2394" s="184" t="s">
        <v>4476</v>
      </c>
      <c r="C2394" s="346">
        <v>1</v>
      </c>
      <c r="D2394" s="160" t="s">
        <v>4477</v>
      </c>
      <c r="E2394" s="2693">
        <v>135000</v>
      </c>
      <c r="F2394" s="2693"/>
      <c r="G2394" s="2693">
        <f>+E2394*C2394</f>
        <v>135000</v>
      </c>
      <c r="H2394" s="2693"/>
      <c r="I2394" s="2693"/>
    </row>
    <row r="2395" spans="1:12" ht="16.8">
      <c r="A2395" s="2" t="s">
        <v>584</v>
      </c>
      <c r="B2395" s="41" t="s">
        <v>134</v>
      </c>
      <c r="C2395" s="346">
        <v>0.03</v>
      </c>
      <c r="D2395" s="160" t="s">
        <v>583</v>
      </c>
      <c r="E2395" s="2693">
        <f>+VIAJE</f>
        <v>1200000</v>
      </c>
      <c r="F2395" s="2693"/>
      <c r="G2395" s="2693">
        <f>+E2395*C2395</f>
        <v>36000</v>
      </c>
      <c r="H2395" s="2693"/>
      <c r="I2395" s="2693">
        <f>+E2395*C2395</f>
        <v>36000</v>
      </c>
    </row>
    <row r="2396" spans="1:12" ht="16.8">
      <c r="A2396" s="587" t="s">
        <v>190</v>
      </c>
      <c r="B2396" s="588">
        <f>SUM(F2396:I2396)</f>
        <v>394782</v>
      </c>
      <c r="C2396" s="370"/>
      <c r="D2396" s="169"/>
      <c r="E2396" s="32"/>
      <c r="F2396" s="32">
        <f>SUM(F2392:F2395)</f>
        <v>0</v>
      </c>
      <c r="G2396" s="32">
        <f>SUM(G2392:G2395)</f>
        <v>358782</v>
      </c>
      <c r="H2396" s="32">
        <f>SUM(H2392:H2395)</f>
        <v>0</v>
      </c>
      <c r="I2396" s="2693">
        <f>SUM(I2392:I2395)</f>
        <v>36000</v>
      </c>
    </row>
    <row r="2397" spans="1:12" ht="15" customHeight="1">
      <c r="A2397" s="587" t="s">
        <v>191</v>
      </c>
      <c r="B2397" s="39">
        <f>+B2396</f>
        <v>394782</v>
      </c>
      <c r="C2397" s="688" t="s">
        <v>427</v>
      </c>
      <c r="D2397" s="13"/>
      <c r="E2397" s="673"/>
      <c r="F2397" s="673"/>
      <c r="G2397" s="673"/>
      <c r="H2397" s="673"/>
      <c r="I2397" s="673"/>
    </row>
    <row r="2398" spans="1:12" ht="15" customHeight="1">
      <c r="A2398" s="587"/>
      <c r="B2398" s="39"/>
      <c r="C2398" s="688"/>
      <c r="D2398" s="13"/>
      <c r="E2398" s="673"/>
      <c r="F2398" s="673"/>
      <c r="G2398" s="673"/>
      <c r="H2398" s="673"/>
      <c r="I2398" s="673"/>
    </row>
    <row r="2411" spans="1:12" s="1918" customFormat="1" ht="14.4">
      <c r="A2411" s="492"/>
      <c r="B2411" s="492"/>
      <c r="C2411" s="492"/>
      <c r="D2411" s="492"/>
      <c r="E2411" s="492"/>
      <c r="F2411" s="492"/>
      <c r="G2411" s="492"/>
      <c r="H2411" s="492"/>
      <c r="I2411" s="492"/>
      <c r="J2411" s="2901"/>
      <c r="K2411" s="2901"/>
      <c r="L2411" s="2901"/>
    </row>
    <row r="2412" spans="1:12" s="1918" customFormat="1" ht="15.75" hidden="1" customHeight="1">
      <c r="A2412" s="1318" t="s">
        <v>1148</v>
      </c>
      <c r="B2412" s="3850" t="s">
        <v>4711</v>
      </c>
      <c r="C2412" s="3851"/>
      <c r="D2412" s="3851"/>
      <c r="E2412" s="3851"/>
      <c r="F2412" s="3851"/>
      <c r="G2412" s="3851"/>
      <c r="H2412" s="3851"/>
      <c r="I2412" s="3858"/>
      <c r="J2412" s="2901"/>
      <c r="K2412" s="2901"/>
      <c r="L2412" s="2901"/>
    </row>
    <row r="2413" spans="1:12" s="1918" customFormat="1" ht="16.8" hidden="1">
      <c r="A2413" s="1319"/>
      <c r="B2413" s="1320"/>
      <c r="C2413" s="1319" t="s">
        <v>140</v>
      </c>
      <c r="D2413" s="1319" t="s">
        <v>343</v>
      </c>
      <c r="E2413" s="1319" t="s">
        <v>344</v>
      </c>
      <c r="F2413" s="1319" t="s">
        <v>482</v>
      </c>
      <c r="G2413" s="1319" t="s">
        <v>483</v>
      </c>
      <c r="H2413" s="1319" t="s">
        <v>170</v>
      </c>
      <c r="I2413" s="1319" t="s">
        <v>171</v>
      </c>
      <c r="J2413" s="2901"/>
      <c r="K2413" s="2901"/>
      <c r="L2413" s="2901"/>
    </row>
    <row r="2414" spans="1:12" s="1918" customFormat="1" ht="16.8" hidden="1">
      <c r="A2414" s="1319" t="s">
        <v>256</v>
      </c>
      <c r="B2414" s="1320" t="s">
        <v>257</v>
      </c>
      <c r="C2414" s="1322">
        <v>36</v>
      </c>
      <c r="D2414" s="1323" t="s">
        <v>346</v>
      </c>
      <c r="E2414" s="1324">
        <v>260</v>
      </c>
      <c r="F2414" s="1324">
        <f>+C2414*E2414</f>
        <v>9360</v>
      </c>
      <c r="G2414" s="1324"/>
      <c r="H2414" s="1324"/>
      <c r="I2414" s="1324"/>
      <c r="J2414" s="2901"/>
      <c r="K2414" s="2901"/>
      <c r="L2414" s="2901"/>
    </row>
    <row r="2415" spans="1:12" s="1918" customFormat="1" ht="16.8" hidden="1">
      <c r="A2415" s="1319" t="s">
        <v>258</v>
      </c>
      <c r="B2415" s="1320" t="s">
        <v>247</v>
      </c>
      <c r="C2415" s="1322">
        <v>0.125</v>
      </c>
      <c r="D2415" s="1323" t="s">
        <v>717</v>
      </c>
      <c r="E2415" s="1324">
        <f>+VIBGA</f>
        <v>47000</v>
      </c>
      <c r="F2415" s="1324">
        <f>+C2415*E2415</f>
        <v>5875</v>
      </c>
      <c r="G2415" s="1324"/>
      <c r="H2415" s="1324"/>
      <c r="I2415" s="1324"/>
      <c r="J2415" s="2901"/>
      <c r="K2415" s="2901"/>
      <c r="L2415" s="2901"/>
    </row>
    <row r="2416" spans="1:12" s="1918" customFormat="1" ht="16.8" hidden="1">
      <c r="A2416" s="1319" t="s">
        <v>172</v>
      </c>
      <c r="B2416" s="1320" t="s">
        <v>189</v>
      </c>
      <c r="C2416" s="1322">
        <v>1</v>
      </c>
      <c r="D2416" s="1323" t="s">
        <v>583</v>
      </c>
      <c r="E2416" s="1324">
        <f>+H2424*0.05</f>
        <v>6004.5345471500004</v>
      </c>
      <c r="F2416" s="1324"/>
      <c r="G2416" s="1324"/>
      <c r="H2416" s="1324"/>
      <c r="I2416" s="1324">
        <f>+E2416*C2416</f>
        <v>6004.5345471500004</v>
      </c>
      <c r="J2416" s="2901"/>
      <c r="K2416" s="2901"/>
      <c r="L2416" s="2901"/>
    </row>
    <row r="2417" spans="1:12" s="1918" customFormat="1" ht="16.8" hidden="1">
      <c r="A2417" s="1319"/>
      <c r="B2417" s="1582" t="s">
        <v>6420</v>
      </c>
      <c r="C2417" s="2191">
        <v>5</v>
      </c>
      <c r="D2417" s="2026" t="s">
        <v>1002</v>
      </c>
      <c r="E2417" s="2149">
        <f>+FORMA</f>
        <v>2222.2222222222222</v>
      </c>
      <c r="F2417" s="2744"/>
      <c r="G2417" s="2149">
        <f>+E2417*C2417</f>
        <v>11111.111111111111</v>
      </c>
      <c r="H2417" s="2149"/>
      <c r="I2417" s="2149"/>
      <c r="J2417" s="2901"/>
      <c r="K2417" s="2901"/>
      <c r="L2417" s="2901"/>
    </row>
    <row r="2418" spans="1:12" s="1918" customFormat="1" ht="16.8" hidden="1">
      <c r="A2418" s="1319" t="s">
        <v>261</v>
      </c>
      <c r="B2418" s="1320" t="s">
        <v>262</v>
      </c>
      <c r="C2418" s="1322">
        <v>4</v>
      </c>
      <c r="D2418" s="1323" t="s">
        <v>363</v>
      </c>
      <c r="E2418" s="1324">
        <v>3300</v>
      </c>
      <c r="F2418" s="1324"/>
      <c r="G2418" s="1324">
        <f>+E2418*C2418</f>
        <v>13200</v>
      </c>
      <c r="H2418" s="1324"/>
      <c r="I2418" s="1324"/>
      <c r="J2418" s="2901"/>
      <c r="K2418" s="2901"/>
      <c r="L2418" s="2901"/>
    </row>
    <row r="2419" spans="1:12" s="1918" customFormat="1" ht="16.8" hidden="1">
      <c r="A2419" s="1319" t="s">
        <v>263</v>
      </c>
      <c r="B2419" s="1320" t="s">
        <v>264</v>
      </c>
      <c r="C2419" s="1322">
        <v>3</v>
      </c>
      <c r="D2419" s="1323" t="s">
        <v>374</v>
      </c>
      <c r="E2419" s="1324">
        <f>+PUNTI</f>
        <v>1632</v>
      </c>
      <c r="F2419" s="1324"/>
      <c r="G2419" s="1324">
        <f>+E2419*C2419</f>
        <v>4896</v>
      </c>
      <c r="H2419" s="1324"/>
      <c r="I2419" s="1324"/>
      <c r="J2419" s="2901"/>
      <c r="K2419" s="2901"/>
      <c r="L2419" s="2901"/>
    </row>
    <row r="2420" spans="1:12" s="1918" customFormat="1" ht="16.8" hidden="1">
      <c r="A2420" s="1319" t="s">
        <v>345</v>
      </c>
      <c r="B2420" s="1320" t="s">
        <v>6439</v>
      </c>
      <c r="C2420" s="1322">
        <v>0.25</v>
      </c>
      <c r="D2420" s="1323" t="s">
        <v>346</v>
      </c>
      <c r="E2420" s="1324">
        <f>+OFICI</f>
        <v>80479.625344</v>
      </c>
      <c r="F2420" s="1324"/>
      <c r="G2420" s="1324"/>
      <c r="H2420" s="1324">
        <f>+E2420*C2420</f>
        <v>20119.906336</v>
      </c>
      <c r="I2420" s="1324"/>
      <c r="J2420" s="2901"/>
      <c r="K2420" s="2901"/>
      <c r="L2420" s="2901"/>
    </row>
    <row r="2421" spans="1:12" s="1918" customFormat="1" ht="16.8" hidden="1">
      <c r="A2421" s="1319" t="s">
        <v>347</v>
      </c>
      <c r="B2421" s="1320" t="s">
        <v>266</v>
      </c>
      <c r="C2421" s="1322">
        <v>0.375</v>
      </c>
      <c r="D2421" s="1323" t="s">
        <v>346</v>
      </c>
      <c r="E2421" s="1324">
        <f>+AYUDA</f>
        <v>65389.695592000004</v>
      </c>
      <c r="F2421" s="1324"/>
      <c r="G2421" s="1324"/>
      <c r="H2421" s="1324">
        <f>+E2421*C2421</f>
        <v>24521.135847000001</v>
      </c>
      <c r="I2421" s="1324"/>
      <c r="J2421" s="2901"/>
      <c r="K2421" s="2901"/>
      <c r="L2421" s="2901"/>
    </row>
    <row r="2422" spans="1:12" s="1918" customFormat="1" ht="16.8" hidden="1">
      <c r="A2422" s="1319" t="s">
        <v>348</v>
      </c>
      <c r="B2422" s="1320" t="s">
        <v>6579</v>
      </c>
      <c r="C2422" s="1322">
        <v>1.5</v>
      </c>
      <c r="D2422" s="1323" t="s">
        <v>346</v>
      </c>
      <c r="E2422" s="1324">
        <f>+AYUDR</f>
        <v>50299.76584</v>
      </c>
      <c r="F2422" s="1324"/>
      <c r="G2422" s="1324"/>
      <c r="H2422" s="1324">
        <f>+E2422*C2422</f>
        <v>75449.648759999996</v>
      </c>
      <c r="I2422" s="1324"/>
      <c r="J2422" s="2901"/>
      <c r="K2422" s="2901"/>
      <c r="L2422" s="2901"/>
    </row>
    <row r="2423" spans="1:12" s="1918" customFormat="1" ht="16.8" hidden="1">
      <c r="A2423" s="1319" t="s">
        <v>1112</v>
      </c>
      <c r="B2423" s="1320" t="s">
        <v>4709</v>
      </c>
      <c r="C2423" s="1322">
        <v>1.02</v>
      </c>
      <c r="D2423" s="1323" t="s">
        <v>1292</v>
      </c>
      <c r="E2423" s="1324">
        <f>+'BASE CTOS'!B135</f>
        <v>488795.14911417139</v>
      </c>
      <c r="F2423" s="1324"/>
      <c r="G2423" s="1324">
        <f>+E2423*C2423</f>
        <v>498571.05209645483</v>
      </c>
      <c r="H2423" s="1324"/>
      <c r="I2423" s="1324"/>
      <c r="J2423" s="2901"/>
      <c r="K2423" s="2901"/>
      <c r="L2423" s="2901"/>
    </row>
    <row r="2424" spans="1:12" s="1918" customFormat="1" ht="16.8" hidden="1">
      <c r="A2424" s="1325" t="s">
        <v>190</v>
      </c>
      <c r="B2424" s="1326">
        <f>ROUND(SUM(F2424:I2424),0)</f>
        <v>669108</v>
      </c>
      <c r="C2424" s="1323"/>
      <c r="D2424" s="1327"/>
      <c r="E2424" s="1319"/>
      <c r="F2424" s="1324">
        <f>SUM(F2414:F2423)</f>
        <v>15235</v>
      </c>
      <c r="G2424" s="1324">
        <f>SUM(G2414:G2423)</f>
        <v>527778.1632075659</v>
      </c>
      <c r="H2424" s="1324">
        <f>SUM(H2414:H2423)</f>
        <v>120090.69094299999</v>
      </c>
      <c r="I2424" s="1324">
        <f>SUM(I2414:I2423)</f>
        <v>6004.5345471500004</v>
      </c>
      <c r="J2424" s="2901"/>
      <c r="K2424" s="2901"/>
      <c r="L2424" s="2901"/>
    </row>
    <row r="2425" spans="1:12" s="1918" customFormat="1" ht="16.8" hidden="1">
      <c r="A2425" s="1325" t="s">
        <v>191</v>
      </c>
      <c r="B2425" s="1326">
        <f>+B2424</f>
        <v>669108</v>
      </c>
      <c r="C2425" s="1328" t="s">
        <v>356</v>
      </c>
      <c r="D2425" s="1329"/>
      <c r="E2425" s="1329"/>
      <c r="F2425" s="1329"/>
      <c r="G2425" s="1329"/>
      <c r="H2425" s="1330"/>
      <c r="I2425" s="1330"/>
      <c r="J2425" s="2901"/>
      <c r="K2425" s="2901"/>
      <c r="L2425" s="2901"/>
    </row>
    <row r="2426" spans="1:12" s="1918" customFormat="1" ht="14.4" hidden="1">
      <c r="J2426" s="2901"/>
      <c r="K2426" s="2901"/>
      <c r="L2426" s="2901"/>
    </row>
    <row r="2427" spans="1:12" s="1918" customFormat="1" ht="16.8" hidden="1">
      <c r="A2427" s="1318" t="s">
        <v>1148</v>
      </c>
      <c r="B2427" s="3850" t="s">
        <v>6562</v>
      </c>
      <c r="C2427" s="3851"/>
      <c r="D2427" s="3851"/>
      <c r="E2427" s="3851"/>
      <c r="F2427" s="3851"/>
      <c r="G2427" s="3851"/>
      <c r="H2427" s="3851"/>
      <c r="I2427" s="3851"/>
      <c r="J2427" s="2901"/>
      <c r="K2427" s="2901"/>
      <c r="L2427" s="2901"/>
    </row>
    <row r="2428" spans="1:12" s="1918" customFormat="1" ht="16.8" hidden="1">
      <c r="A2428" s="1319"/>
      <c r="B2428" s="1320"/>
      <c r="C2428" s="1319" t="s">
        <v>140</v>
      </c>
      <c r="D2428" s="1319" t="s">
        <v>343</v>
      </c>
      <c r="E2428" s="1319" t="s">
        <v>344</v>
      </c>
      <c r="F2428" s="1319" t="s">
        <v>482</v>
      </c>
      <c r="G2428" s="1319" t="s">
        <v>483</v>
      </c>
      <c r="H2428" s="1319" t="s">
        <v>170</v>
      </c>
      <c r="I2428" s="1321" t="s">
        <v>171</v>
      </c>
      <c r="J2428" s="2901"/>
      <c r="K2428" s="2901"/>
      <c r="L2428" s="2901"/>
    </row>
    <row r="2429" spans="1:12" s="1918" customFormat="1" ht="16.8" hidden="1">
      <c r="A2429" s="1319" t="s">
        <v>172</v>
      </c>
      <c r="B2429" s="1320" t="s">
        <v>189</v>
      </c>
      <c r="C2429" s="1322">
        <v>1</v>
      </c>
      <c r="D2429" s="1323" t="s">
        <v>583</v>
      </c>
      <c r="E2429" s="1324">
        <f>+H2434*0.05</f>
        <v>6004.5345471500004</v>
      </c>
      <c r="F2429" s="1324"/>
      <c r="G2429" s="1324"/>
      <c r="H2429" s="1324"/>
      <c r="I2429" s="1324">
        <f>+E2429*C2429</f>
        <v>6004.5345471500004</v>
      </c>
      <c r="J2429" s="2901"/>
      <c r="K2429" s="2901"/>
      <c r="L2429" s="2901"/>
    </row>
    <row r="2430" spans="1:12" s="1918" customFormat="1" ht="16.8" hidden="1">
      <c r="A2430" s="1319" t="s">
        <v>345</v>
      </c>
      <c r="B2430" s="1320" t="s">
        <v>6439</v>
      </c>
      <c r="C2430" s="1322">
        <v>0.25</v>
      </c>
      <c r="D2430" s="1323" t="s">
        <v>346</v>
      </c>
      <c r="E2430" s="1324">
        <f>+OFICI</f>
        <v>80479.625344</v>
      </c>
      <c r="F2430" s="1324"/>
      <c r="G2430" s="1324"/>
      <c r="H2430" s="1324">
        <f>+E2430*C2430</f>
        <v>20119.906336</v>
      </c>
      <c r="I2430" s="1324"/>
      <c r="J2430" s="2901"/>
      <c r="K2430" s="2901"/>
      <c r="L2430" s="2901"/>
    </row>
    <row r="2431" spans="1:12" s="1918" customFormat="1" ht="16.8" hidden="1">
      <c r="A2431" s="1319" t="s">
        <v>347</v>
      </c>
      <c r="B2431" s="1320" t="s">
        <v>266</v>
      </c>
      <c r="C2431" s="1322">
        <v>0.375</v>
      </c>
      <c r="D2431" s="1323" t="s">
        <v>346</v>
      </c>
      <c r="E2431" s="1324">
        <f>+AYUDA</f>
        <v>65389.695592000004</v>
      </c>
      <c r="F2431" s="1324"/>
      <c r="G2431" s="1324"/>
      <c r="H2431" s="1324">
        <f>+E2431*C2431</f>
        <v>24521.135847000001</v>
      </c>
      <c r="I2431" s="1324"/>
      <c r="J2431" s="2901"/>
      <c r="K2431" s="2901"/>
      <c r="L2431" s="2901"/>
    </row>
    <row r="2432" spans="1:12" s="1918" customFormat="1" ht="16.8" hidden="1">
      <c r="A2432" s="1319" t="s">
        <v>348</v>
      </c>
      <c r="B2432" s="1320" t="s">
        <v>6579</v>
      </c>
      <c r="C2432" s="1322">
        <v>1.5</v>
      </c>
      <c r="D2432" s="1323" t="s">
        <v>346</v>
      </c>
      <c r="E2432" s="1324">
        <f>+AYUDR</f>
        <v>50299.76584</v>
      </c>
      <c r="F2432" s="1324"/>
      <c r="G2432" s="1324"/>
      <c r="H2432" s="1324">
        <f>+E2432*C2432</f>
        <v>75449.648759999996</v>
      </c>
      <c r="I2432" s="1324"/>
      <c r="J2432" s="2901"/>
      <c r="K2432" s="2901"/>
      <c r="L2432" s="2901"/>
    </row>
    <row r="2433" spans="1:12" s="1918" customFormat="1" ht="16.8" hidden="1">
      <c r="A2433" s="1319" t="s">
        <v>1112</v>
      </c>
      <c r="B2433" s="1320" t="s">
        <v>6560</v>
      </c>
      <c r="C2433" s="1322">
        <v>1.02</v>
      </c>
      <c r="D2433" s="1323" t="s">
        <v>1292</v>
      </c>
      <c r="E2433" s="1324">
        <f>+'BASE CTOS'!B79</f>
        <v>362394.84922490001</v>
      </c>
      <c r="F2433" s="1324"/>
      <c r="G2433" s="1324">
        <f>+E2433*C2433</f>
        <v>369642.74620939803</v>
      </c>
      <c r="H2433" s="1324"/>
      <c r="I2433" s="1324"/>
      <c r="J2433" s="2901"/>
      <c r="K2433" s="2901"/>
      <c r="L2433" s="2901"/>
    </row>
    <row r="2434" spans="1:12" s="1918" customFormat="1" ht="16.8" hidden="1">
      <c r="A2434" s="1325" t="s">
        <v>190</v>
      </c>
      <c r="B2434" s="1326">
        <f>ROUND(SUM(F2434:I2434),0)</f>
        <v>495738</v>
      </c>
      <c r="C2434" s="1323"/>
      <c r="D2434" s="1327"/>
      <c r="E2434" s="1319"/>
      <c r="F2434" s="1324">
        <f>SUM(F2429:F2433)</f>
        <v>0</v>
      </c>
      <c r="G2434" s="1324">
        <f>SUM(G2429:G2433)</f>
        <v>369642.74620939803</v>
      </c>
      <c r="H2434" s="1324">
        <f>SUM(H2429:H2433)</f>
        <v>120090.69094299999</v>
      </c>
      <c r="I2434" s="1324">
        <f>SUM(I2429:I2433)</f>
        <v>6004.5345471500004</v>
      </c>
      <c r="J2434" s="2901"/>
      <c r="K2434" s="2901"/>
      <c r="L2434" s="2901"/>
    </row>
    <row r="2435" spans="1:12" s="1918" customFormat="1" ht="16.8" hidden="1">
      <c r="A2435" s="1325" t="s">
        <v>191</v>
      </c>
      <c r="B2435" s="1326">
        <f>+B2434</f>
        <v>495738</v>
      </c>
      <c r="C2435" s="1328" t="s">
        <v>356</v>
      </c>
      <c r="D2435" s="1329"/>
      <c r="E2435" s="1329"/>
      <c r="F2435" s="1329"/>
      <c r="G2435" s="1329"/>
      <c r="H2435" s="1330"/>
      <c r="I2435" s="1330"/>
      <c r="J2435" s="2901"/>
      <c r="K2435" s="2901"/>
      <c r="L2435" s="2901"/>
    </row>
    <row r="2436" spans="1:12" s="1918" customFormat="1" ht="15.75" hidden="1" customHeight="1">
      <c r="J2436" s="2901"/>
      <c r="K2436" s="2901"/>
      <c r="L2436" s="2901"/>
    </row>
    <row r="2437" spans="1:12" s="1918" customFormat="1" ht="16.8" hidden="1">
      <c r="A2437" s="1318" t="s">
        <v>1148</v>
      </c>
      <c r="B2437" s="3850" t="s">
        <v>4715</v>
      </c>
      <c r="C2437" s="3851"/>
      <c r="D2437" s="3851"/>
      <c r="E2437" s="3851"/>
      <c r="F2437" s="3851"/>
      <c r="G2437" s="3851"/>
      <c r="H2437" s="3851"/>
      <c r="I2437" s="3851"/>
      <c r="J2437" s="2901"/>
      <c r="K2437" s="2901"/>
      <c r="L2437" s="2901"/>
    </row>
    <row r="2438" spans="1:12" s="1918" customFormat="1" ht="16.8" hidden="1">
      <c r="A2438" s="1319"/>
      <c r="B2438" s="1320"/>
      <c r="C2438" s="1319" t="s">
        <v>140</v>
      </c>
      <c r="D2438" s="1319" t="s">
        <v>343</v>
      </c>
      <c r="E2438" s="1319" t="s">
        <v>344</v>
      </c>
      <c r="F2438" s="1319" t="s">
        <v>482</v>
      </c>
      <c r="G2438" s="1319" t="s">
        <v>483</v>
      </c>
      <c r="H2438" s="1319" t="s">
        <v>170</v>
      </c>
      <c r="I2438" s="1321" t="s">
        <v>171</v>
      </c>
      <c r="J2438" s="2901"/>
      <c r="K2438" s="2901"/>
      <c r="L2438" s="2901"/>
    </row>
    <row r="2439" spans="1:12" s="1918" customFormat="1" ht="16.8" hidden="1">
      <c r="A2439" s="1319" t="s">
        <v>256</v>
      </c>
      <c r="B2439" s="1320" t="s">
        <v>257</v>
      </c>
      <c r="C2439" s="1322">
        <v>36</v>
      </c>
      <c r="D2439" s="1323" t="s">
        <v>346</v>
      </c>
      <c r="E2439" s="1324">
        <v>260</v>
      </c>
      <c r="F2439" s="1324">
        <f>+C2439*E2439</f>
        <v>9360</v>
      </c>
      <c r="G2439" s="1324"/>
      <c r="H2439" s="1324"/>
      <c r="I2439" s="1324"/>
      <c r="J2439" s="2901"/>
      <c r="K2439" s="2901"/>
      <c r="L2439" s="2901"/>
    </row>
    <row r="2440" spans="1:12" s="1918" customFormat="1" ht="16.8" hidden="1">
      <c r="A2440" s="1319" t="s">
        <v>258</v>
      </c>
      <c r="B2440" s="1320" t="s">
        <v>247</v>
      </c>
      <c r="C2440" s="1322">
        <v>0.125</v>
      </c>
      <c r="D2440" s="1323" t="s">
        <v>717</v>
      </c>
      <c r="E2440" s="1324">
        <f>+VIBGA</f>
        <v>47000</v>
      </c>
      <c r="F2440" s="1324">
        <f>+C2440*E2440</f>
        <v>5875</v>
      </c>
      <c r="G2440" s="1324"/>
      <c r="H2440" s="1324"/>
      <c r="I2440" s="1324"/>
      <c r="J2440" s="2901"/>
      <c r="K2440" s="2901"/>
      <c r="L2440" s="2901"/>
    </row>
    <row r="2441" spans="1:12" s="1918" customFormat="1" ht="16.8" hidden="1">
      <c r="A2441" s="1319" t="s">
        <v>172</v>
      </c>
      <c r="B2441" s="1320" t="s">
        <v>189</v>
      </c>
      <c r="C2441" s="1322">
        <v>1</v>
      </c>
      <c r="D2441" s="1323" t="s">
        <v>583</v>
      </c>
      <c r="E2441" s="1324">
        <f>+H2450*0.05</f>
        <v>6004.5345471500004</v>
      </c>
      <c r="F2441" s="1324"/>
      <c r="G2441" s="1324"/>
      <c r="H2441" s="1324"/>
      <c r="I2441" s="1324">
        <f>+E2441*C2441</f>
        <v>6004.5345471500004</v>
      </c>
      <c r="J2441" s="2901"/>
      <c r="K2441" s="2901"/>
      <c r="L2441" s="2901"/>
    </row>
    <row r="2442" spans="1:12" s="1918" customFormat="1" ht="16.8" hidden="1">
      <c r="A2442" s="1319" t="s">
        <v>248</v>
      </c>
      <c r="B2442" s="1320" t="s">
        <v>249</v>
      </c>
      <c r="C2442" s="1322">
        <v>0.7</v>
      </c>
      <c r="D2442" s="1323" t="s">
        <v>363</v>
      </c>
      <c r="E2442" s="1324">
        <v>14000</v>
      </c>
      <c r="F2442" s="1324">
        <f>+E2442*C2442</f>
        <v>9800</v>
      </c>
      <c r="G2442" s="1324"/>
      <c r="H2442" s="1324"/>
      <c r="I2442" s="1324"/>
      <c r="J2442" s="2901"/>
      <c r="K2442" s="2901"/>
      <c r="L2442" s="2901"/>
    </row>
    <row r="2443" spans="1:12" s="1918" customFormat="1" ht="16.8" hidden="1">
      <c r="A2443" s="1319" t="s">
        <v>250</v>
      </c>
      <c r="B2443" s="1320" t="s">
        <v>251</v>
      </c>
      <c r="C2443" s="1322">
        <v>2</v>
      </c>
      <c r="D2443" s="1323" t="s">
        <v>647</v>
      </c>
      <c r="E2443" s="1324">
        <f>+PLAST</f>
        <v>8896</v>
      </c>
      <c r="F2443" s="1324"/>
      <c r="G2443" s="1324">
        <f>+E2443*C2443</f>
        <v>17792</v>
      </c>
      <c r="H2443" s="1324"/>
      <c r="I2443" s="1324"/>
      <c r="J2443" s="2901"/>
      <c r="K2443" s="2901"/>
      <c r="L2443" s="2901"/>
    </row>
    <row r="2444" spans="1:12" s="1918" customFormat="1" ht="16.8" hidden="1">
      <c r="A2444" s="1319" t="s">
        <v>261</v>
      </c>
      <c r="B2444" s="1320" t="s">
        <v>262</v>
      </c>
      <c r="C2444" s="1322">
        <v>4</v>
      </c>
      <c r="D2444" s="1323" t="s">
        <v>363</v>
      </c>
      <c r="E2444" s="1324">
        <v>3300</v>
      </c>
      <c r="F2444" s="1324"/>
      <c r="G2444" s="1324">
        <f>+E2444*C2444</f>
        <v>13200</v>
      </c>
      <c r="H2444" s="1324"/>
      <c r="I2444" s="1324"/>
      <c r="J2444" s="2901"/>
      <c r="K2444" s="2901"/>
      <c r="L2444" s="2901"/>
    </row>
    <row r="2445" spans="1:12" s="1918" customFormat="1" ht="16.8" hidden="1">
      <c r="A2445" s="1319" t="s">
        <v>263</v>
      </c>
      <c r="B2445" s="1320" t="s">
        <v>264</v>
      </c>
      <c r="C2445" s="1322">
        <v>3</v>
      </c>
      <c r="D2445" s="1323" t="s">
        <v>374</v>
      </c>
      <c r="E2445" s="1324">
        <f>+PUNTI</f>
        <v>1632</v>
      </c>
      <c r="F2445" s="1324"/>
      <c r="G2445" s="1324">
        <f>+E2445*C2445</f>
        <v>4896</v>
      </c>
      <c r="H2445" s="1324"/>
      <c r="I2445" s="1324"/>
      <c r="J2445" s="2901"/>
      <c r="K2445" s="2901"/>
      <c r="L2445" s="2901"/>
    </row>
    <row r="2446" spans="1:12" s="1918" customFormat="1" ht="16.8" hidden="1">
      <c r="A2446" s="1319" t="s">
        <v>345</v>
      </c>
      <c r="B2446" s="1320" t="s">
        <v>965</v>
      </c>
      <c r="C2446" s="1322">
        <v>0.25</v>
      </c>
      <c r="D2446" s="1323" t="s">
        <v>346</v>
      </c>
      <c r="E2446" s="1324">
        <f>+OFICI</f>
        <v>80479.625344</v>
      </c>
      <c r="F2446" s="1324"/>
      <c r="G2446" s="1324"/>
      <c r="H2446" s="1324">
        <f>+E2446*C2446</f>
        <v>20119.906336</v>
      </c>
      <c r="I2446" s="1324"/>
      <c r="J2446" s="2901"/>
      <c r="K2446" s="2901"/>
      <c r="L2446" s="2901"/>
    </row>
    <row r="2447" spans="1:12" s="1918" customFormat="1" ht="16.8" hidden="1">
      <c r="A2447" s="1319" t="s">
        <v>347</v>
      </c>
      <c r="B2447" s="1320" t="s">
        <v>266</v>
      </c>
      <c r="C2447" s="1322">
        <v>0.375</v>
      </c>
      <c r="D2447" s="1323" t="s">
        <v>346</v>
      </c>
      <c r="E2447" s="1324">
        <f>+AYUDA</f>
        <v>65389.695592000004</v>
      </c>
      <c r="F2447" s="1324"/>
      <c r="G2447" s="1324"/>
      <c r="H2447" s="1324">
        <f>+E2447*C2447</f>
        <v>24521.135847000001</v>
      </c>
      <c r="I2447" s="1324"/>
      <c r="J2447" s="2901"/>
      <c r="K2447" s="2901"/>
      <c r="L2447" s="2901"/>
    </row>
    <row r="2448" spans="1:12" s="1918" customFormat="1" ht="16.8" hidden="1">
      <c r="A2448" s="1319" t="s">
        <v>348</v>
      </c>
      <c r="B2448" s="1320" t="s">
        <v>6579</v>
      </c>
      <c r="C2448" s="1322">
        <v>1.5</v>
      </c>
      <c r="D2448" s="1323" t="s">
        <v>346</v>
      </c>
      <c r="E2448" s="1324">
        <f>+AYUDR</f>
        <v>50299.76584</v>
      </c>
      <c r="F2448" s="1324"/>
      <c r="G2448" s="1324"/>
      <c r="H2448" s="1324">
        <f>+E2448*C2448</f>
        <v>75449.648759999996</v>
      </c>
      <c r="I2448" s="1324"/>
      <c r="J2448" s="2901"/>
      <c r="K2448" s="2901"/>
      <c r="L2448" s="2901"/>
    </row>
    <row r="2449" spans="1:12" s="1918" customFormat="1" ht="16.8" hidden="1">
      <c r="A2449" s="1319" t="s">
        <v>1112</v>
      </c>
      <c r="B2449" s="1320" t="s">
        <v>6563</v>
      </c>
      <c r="C2449" s="1322">
        <v>1.02</v>
      </c>
      <c r="D2449" s="1323" t="s">
        <v>1292</v>
      </c>
      <c r="E2449" s="1324">
        <f>+'BASE CTOS'!B121</f>
        <v>469469.49922490004</v>
      </c>
      <c r="F2449" s="1324"/>
      <c r="G2449" s="1324">
        <f>+E2449*C2449</f>
        <v>478858.88920939807</v>
      </c>
      <c r="H2449" s="1324"/>
      <c r="I2449" s="1324"/>
      <c r="J2449" s="2901"/>
      <c r="K2449" s="2901"/>
      <c r="L2449" s="2901"/>
    </row>
    <row r="2450" spans="1:12" s="1918" customFormat="1" ht="16.8" hidden="1">
      <c r="A2450" s="1325" t="s">
        <v>190</v>
      </c>
      <c r="B2450" s="1326">
        <f>ROUND(SUM(F2450:I2450),0)</f>
        <v>665877</v>
      </c>
      <c r="C2450" s="1323"/>
      <c r="D2450" s="1327"/>
      <c r="E2450" s="1319"/>
      <c r="F2450" s="1324">
        <f>SUM(F2439:F2449)</f>
        <v>25035</v>
      </c>
      <c r="G2450" s="1324">
        <f>SUM(G2439:G2449)</f>
        <v>514746.88920939807</v>
      </c>
      <c r="H2450" s="1324">
        <f>SUM(H2439:H2449)</f>
        <v>120090.69094299999</v>
      </c>
      <c r="I2450" s="1324">
        <f>SUM(I2439:I2449)</f>
        <v>6004.5345471500004</v>
      </c>
      <c r="J2450" s="2901"/>
      <c r="K2450" s="2901"/>
      <c r="L2450" s="2901"/>
    </row>
    <row r="2451" spans="1:12" s="1918" customFormat="1" ht="16.8" hidden="1">
      <c r="A2451" s="1325" t="s">
        <v>191</v>
      </c>
      <c r="B2451" s="1326">
        <f>+B2450</f>
        <v>665877</v>
      </c>
      <c r="C2451" s="1328" t="s">
        <v>356</v>
      </c>
      <c r="D2451" s="1329"/>
      <c r="E2451" s="1329"/>
      <c r="F2451" s="1329"/>
      <c r="G2451" s="1329"/>
      <c r="H2451" s="1330"/>
      <c r="I2451" s="1330"/>
      <c r="J2451" s="2901"/>
      <c r="K2451" s="2901"/>
      <c r="L2451" s="2901"/>
    </row>
    <row r="2452" spans="1:12" s="1918" customFormat="1" ht="15.75" hidden="1" customHeight="1">
      <c r="J2452" s="2901"/>
      <c r="K2452" s="2901"/>
      <c r="L2452" s="2901"/>
    </row>
    <row r="2453" spans="1:12" s="1918" customFormat="1" ht="16.8" hidden="1">
      <c r="A2453" s="1318" t="s">
        <v>1148</v>
      </c>
      <c r="B2453" s="3850" t="s">
        <v>6565</v>
      </c>
      <c r="C2453" s="3851"/>
      <c r="D2453" s="3851"/>
      <c r="E2453" s="3851"/>
      <c r="F2453" s="3851"/>
      <c r="G2453" s="3851"/>
      <c r="H2453" s="3851"/>
      <c r="I2453" s="3851"/>
      <c r="J2453" s="2901"/>
      <c r="K2453" s="2901"/>
      <c r="L2453" s="2901"/>
    </row>
    <row r="2454" spans="1:12" s="1918" customFormat="1" ht="16.8" hidden="1">
      <c r="A2454" s="1319"/>
      <c r="B2454" s="1320"/>
      <c r="C2454" s="1319" t="s">
        <v>140</v>
      </c>
      <c r="D2454" s="1319" t="s">
        <v>343</v>
      </c>
      <c r="E2454" s="1319" t="s">
        <v>344</v>
      </c>
      <c r="F2454" s="1319" t="s">
        <v>482</v>
      </c>
      <c r="G2454" s="1319" t="s">
        <v>483</v>
      </c>
      <c r="H2454" s="1319" t="s">
        <v>170</v>
      </c>
      <c r="I2454" s="1321" t="s">
        <v>171</v>
      </c>
      <c r="J2454" s="2901"/>
      <c r="K2454" s="2901"/>
      <c r="L2454" s="2901"/>
    </row>
    <row r="2455" spans="1:12" s="1918" customFormat="1" ht="16.8" hidden="1">
      <c r="A2455" s="1319" t="s">
        <v>256</v>
      </c>
      <c r="B2455" s="1320" t="s">
        <v>257</v>
      </c>
      <c r="C2455" s="1322">
        <v>36</v>
      </c>
      <c r="D2455" s="1323" t="s">
        <v>346</v>
      </c>
      <c r="E2455" s="1324">
        <v>260</v>
      </c>
      <c r="F2455" s="1324">
        <f>+C2455*E2455</f>
        <v>9360</v>
      </c>
      <c r="G2455" s="1324"/>
      <c r="H2455" s="1324"/>
      <c r="I2455" s="1324"/>
      <c r="J2455" s="2901"/>
      <c r="K2455" s="2901"/>
      <c r="L2455" s="2901"/>
    </row>
    <row r="2456" spans="1:12" s="1918" customFormat="1" ht="16.8" hidden="1">
      <c r="A2456" s="1319" t="s">
        <v>258</v>
      </c>
      <c r="B2456" s="1320" t="s">
        <v>247</v>
      </c>
      <c r="C2456" s="1322">
        <v>0.125</v>
      </c>
      <c r="D2456" s="1323" t="s">
        <v>717</v>
      </c>
      <c r="E2456" s="1324">
        <f>+VIBGA</f>
        <v>47000</v>
      </c>
      <c r="F2456" s="1324">
        <f>+C2456*E2456</f>
        <v>5875</v>
      </c>
      <c r="G2456" s="1324"/>
      <c r="H2456" s="1324"/>
      <c r="I2456" s="1324"/>
      <c r="J2456" s="2901"/>
      <c r="K2456" s="2901"/>
      <c r="L2456" s="2901"/>
    </row>
    <row r="2457" spans="1:12" s="1918" customFormat="1" ht="16.8" hidden="1">
      <c r="A2457" s="1319" t="s">
        <v>172</v>
      </c>
      <c r="B2457" s="1320" t="s">
        <v>189</v>
      </c>
      <c r="C2457" s="1322">
        <v>1</v>
      </c>
      <c r="D2457" s="1323" t="s">
        <v>583</v>
      </c>
      <c r="E2457" s="1324">
        <f>+H2465*0.05</f>
        <v>4235.2402837280006</v>
      </c>
      <c r="F2457" s="1324"/>
      <c r="G2457" s="1324"/>
      <c r="H2457" s="1324"/>
      <c r="I2457" s="1324">
        <f>+E2457*C2457</f>
        <v>4235.2402837280006</v>
      </c>
      <c r="J2457" s="2901"/>
      <c r="K2457" s="2901"/>
      <c r="L2457" s="2901"/>
    </row>
    <row r="2458" spans="1:12" s="1918" customFormat="1" ht="16.8" hidden="1">
      <c r="A2458" s="1319"/>
      <c r="B2458" s="1582" t="s">
        <v>6420</v>
      </c>
      <c r="C2458" s="2191">
        <v>4</v>
      </c>
      <c r="D2458" s="2026" t="s">
        <v>1002</v>
      </c>
      <c r="E2458" s="2149">
        <f>+FORMA</f>
        <v>2222.2222222222222</v>
      </c>
      <c r="F2458" s="2744"/>
      <c r="G2458" s="2149">
        <f>+E2458*C2458</f>
        <v>8888.8888888888887</v>
      </c>
      <c r="H2458" s="2149"/>
      <c r="I2458" s="2149"/>
      <c r="J2458" s="2901"/>
      <c r="K2458" s="2901"/>
      <c r="L2458" s="2901"/>
    </row>
    <row r="2459" spans="1:12" s="1918" customFormat="1" ht="16.8" hidden="1">
      <c r="A2459" s="1319" t="s">
        <v>261</v>
      </c>
      <c r="B2459" s="1320" t="s">
        <v>262</v>
      </c>
      <c r="C2459" s="1322">
        <v>4</v>
      </c>
      <c r="D2459" s="1323" t="s">
        <v>363</v>
      </c>
      <c r="E2459" s="1324">
        <v>3300</v>
      </c>
      <c r="F2459" s="1324"/>
      <c r="G2459" s="1324">
        <f>+E2459*C2459</f>
        <v>13200</v>
      </c>
      <c r="H2459" s="1324"/>
      <c r="I2459" s="1324"/>
      <c r="J2459" s="2901"/>
      <c r="K2459" s="2901"/>
      <c r="L2459" s="2901"/>
    </row>
    <row r="2460" spans="1:12" s="1918" customFormat="1" ht="16.8" hidden="1">
      <c r="A2460" s="1319" t="s">
        <v>263</v>
      </c>
      <c r="B2460" s="1320" t="s">
        <v>264</v>
      </c>
      <c r="C2460" s="1322">
        <v>3</v>
      </c>
      <c r="D2460" s="1323" t="s">
        <v>374</v>
      </c>
      <c r="E2460" s="1324">
        <f>+PUNTI</f>
        <v>1632</v>
      </c>
      <c r="F2460" s="1324"/>
      <c r="G2460" s="1324">
        <f>+E2460*C2460</f>
        <v>4896</v>
      </c>
      <c r="H2460" s="1324"/>
      <c r="I2460" s="1324"/>
      <c r="J2460" s="2901"/>
      <c r="K2460" s="2901"/>
      <c r="L2460" s="2901"/>
    </row>
    <row r="2461" spans="1:12" s="1918" customFormat="1" ht="16.8" hidden="1">
      <c r="A2461" s="1319" t="s">
        <v>345</v>
      </c>
      <c r="B2461" s="1320" t="s">
        <v>6439</v>
      </c>
      <c r="C2461" s="1322">
        <v>0.2</v>
      </c>
      <c r="D2461" s="1323" t="s">
        <v>346</v>
      </c>
      <c r="E2461" s="1324">
        <f>+OFICI</f>
        <v>80479.625344</v>
      </c>
      <c r="F2461" s="1324"/>
      <c r="G2461" s="1324"/>
      <c r="H2461" s="1324">
        <f>+E2461*C2461</f>
        <v>16095.925068800001</v>
      </c>
      <c r="I2461" s="1324"/>
      <c r="J2461" s="2901"/>
      <c r="K2461" s="2901"/>
      <c r="L2461" s="2901"/>
    </row>
    <row r="2462" spans="1:12" s="1918" customFormat="1" ht="16.8" hidden="1">
      <c r="A2462" s="1319" t="s">
        <v>347</v>
      </c>
      <c r="B2462" s="1320" t="s">
        <v>266</v>
      </c>
      <c r="C2462" s="1322">
        <v>0.28000000000000003</v>
      </c>
      <c r="D2462" s="1323" t="s">
        <v>346</v>
      </c>
      <c r="E2462" s="1324">
        <f>+AYUDA</f>
        <v>65389.695592000004</v>
      </c>
      <c r="F2462" s="1324"/>
      <c r="G2462" s="1324"/>
      <c r="H2462" s="1324">
        <f>+E2462*C2462</f>
        <v>18309.114765760001</v>
      </c>
      <c r="I2462" s="1324"/>
      <c r="J2462" s="2901"/>
      <c r="K2462" s="2901"/>
      <c r="L2462" s="2901"/>
    </row>
    <row r="2463" spans="1:12" s="1918" customFormat="1" ht="16.8" hidden="1">
      <c r="A2463" s="1319" t="s">
        <v>348</v>
      </c>
      <c r="B2463" s="1320" t="s">
        <v>6579</v>
      </c>
      <c r="C2463" s="1322">
        <v>1</v>
      </c>
      <c r="D2463" s="1323" t="s">
        <v>346</v>
      </c>
      <c r="E2463" s="1324">
        <f>+AYUDR</f>
        <v>50299.76584</v>
      </c>
      <c r="F2463" s="1324"/>
      <c r="G2463" s="1324"/>
      <c r="H2463" s="1324">
        <f>+E2463*C2463</f>
        <v>50299.76584</v>
      </c>
      <c r="I2463" s="1324"/>
      <c r="J2463" s="2901"/>
      <c r="K2463" s="2901"/>
      <c r="L2463" s="2901"/>
    </row>
    <row r="2464" spans="1:12" s="1918" customFormat="1" ht="16.8" hidden="1">
      <c r="A2464" s="1319" t="s">
        <v>1112</v>
      </c>
      <c r="B2464" s="1320" t="s">
        <v>6564</v>
      </c>
      <c r="C2464" s="1322">
        <v>1.02</v>
      </c>
      <c r="D2464" s="1323" t="s">
        <v>1292</v>
      </c>
      <c r="E2464" s="1324">
        <f>+'BASE CTOS'!B135</f>
        <v>488795.14911417139</v>
      </c>
      <c r="F2464" s="1324"/>
      <c r="G2464" s="1324">
        <f>+E2464*C2464</f>
        <v>498571.05209645483</v>
      </c>
      <c r="H2464" s="1324"/>
      <c r="I2464" s="1324"/>
      <c r="J2464" s="2901"/>
      <c r="K2464" s="2901"/>
      <c r="L2464" s="2901"/>
    </row>
    <row r="2465" spans="1:12" s="1918" customFormat="1" ht="16.8" hidden="1">
      <c r="A2465" s="1325" t="s">
        <v>190</v>
      </c>
      <c r="B2465" s="1326">
        <f>ROUND(SUM(F2465:I2465),0)</f>
        <v>629731</v>
      </c>
      <c r="C2465" s="1323"/>
      <c r="D2465" s="1327"/>
      <c r="E2465" s="1319"/>
      <c r="F2465" s="1324">
        <f>SUM(F2455:F2464)</f>
        <v>15235</v>
      </c>
      <c r="G2465" s="1324">
        <f>SUM(G2455:G2464)</f>
        <v>525555.94098534377</v>
      </c>
      <c r="H2465" s="1324">
        <f>SUM(H2455:H2464)</f>
        <v>84704.805674560004</v>
      </c>
      <c r="I2465" s="1324">
        <f>SUM(I2455:I2464)</f>
        <v>4235.2402837280006</v>
      </c>
      <c r="J2465" s="2901"/>
      <c r="K2465" s="2901"/>
      <c r="L2465" s="2901"/>
    </row>
    <row r="2466" spans="1:12" s="1918" customFormat="1" ht="16.8" hidden="1">
      <c r="A2466" s="1325" t="s">
        <v>191</v>
      </c>
      <c r="B2466" s="1326">
        <f>+B2465</f>
        <v>629731</v>
      </c>
      <c r="C2466" s="1328" t="s">
        <v>356</v>
      </c>
      <c r="D2466" s="1329"/>
      <c r="E2466" s="1329"/>
      <c r="F2466" s="1329"/>
      <c r="G2466" s="1329"/>
      <c r="H2466" s="1330"/>
      <c r="I2466" s="1330"/>
      <c r="J2466" s="2901"/>
      <c r="K2466" s="2901"/>
      <c r="L2466" s="2901"/>
    </row>
    <row r="2467" spans="1:12" s="1918" customFormat="1" ht="15.75" hidden="1" customHeight="1">
      <c r="J2467" s="2901"/>
      <c r="K2467" s="2901"/>
      <c r="L2467" s="2901"/>
    </row>
    <row r="2468" spans="1:12" s="1918" customFormat="1" ht="16.8" hidden="1">
      <c r="A2468" s="1318" t="s">
        <v>1148</v>
      </c>
      <c r="B2468" s="3850" t="s">
        <v>6566</v>
      </c>
      <c r="C2468" s="3851"/>
      <c r="D2468" s="3851"/>
      <c r="E2468" s="3851"/>
      <c r="F2468" s="3851"/>
      <c r="G2468" s="3851"/>
      <c r="H2468" s="3851"/>
      <c r="I2468" s="3851"/>
      <c r="J2468" s="2901"/>
      <c r="K2468" s="2901"/>
      <c r="L2468" s="2901"/>
    </row>
    <row r="2469" spans="1:12" s="1918" customFormat="1" ht="16.8" hidden="1">
      <c r="A2469" s="1319"/>
      <c r="B2469" s="1320"/>
      <c r="C2469" s="1319" t="s">
        <v>140</v>
      </c>
      <c r="D2469" s="1319" t="s">
        <v>343</v>
      </c>
      <c r="E2469" s="1319" t="s">
        <v>344</v>
      </c>
      <c r="F2469" s="1319" t="s">
        <v>482</v>
      </c>
      <c r="G2469" s="1319" t="s">
        <v>483</v>
      </c>
      <c r="H2469" s="1319" t="s">
        <v>170</v>
      </c>
      <c r="I2469" s="1321" t="s">
        <v>171</v>
      </c>
      <c r="J2469" s="2901"/>
      <c r="K2469" s="2901"/>
      <c r="L2469" s="2901"/>
    </row>
    <row r="2470" spans="1:12" s="1918" customFormat="1" ht="16.8" hidden="1">
      <c r="A2470" s="1319" t="s">
        <v>256</v>
      </c>
      <c r="B2470" s="1320" t="s">
        <v>257</v>
      </c>
      <c r="C2470" s="1322">
        <v>36</v>
      </c>
      <c r="D2470" s="1323" t="s">
        <v>346</v>
      </c>
      <c r="E2470" s="1324">
        <f>TACOM</f>
        <v>538</v>
      </c>
      <c r="F2470" s="1324">
        <f>+C2470*E2470</f>
        <v>19368</v>
      </c>
      <c r="G2470" s="1324"/>
      <c r="H2470" s="1324"/>
      <c r="I2470" s="1324"/>
      <c r="J2470" s="2901"/>
      <c r="K2470" s="2901"/>
      <c r="L2470" s="2901"/>
    </row>
    <row r="2471" spans="1:12" s="1918" customFormat="1" ht="16.8" hidden="1">
      <c r="A2471" s="1319" t="s">
        <v>258</v>
      </c>
      <c r="B2471" s="1320" t="s">
        <v>247</v>
      </c>
      <c r="C2471" s="1322">
        <v>0.125</v>
      </c>
      <c r="D2471" s="1323" t="s">
        <v>717</v>
      </c>
      <c r="E2471" s="1324">
        <f>+VIBGA</f>
        <v>47000</v>
      </c>
      <c r="F2471" s="1324">
        <f>+C2471*E2471</f>
        <v>5875</v>
      </c>
      <c r="G2471" s="1324"/>
      <c r="H2471" s="1324"/>
      <c r="I2471" s="1324"/>
      <c r="J2471" s="2901"/>
      <c r="K2471" s="2901"/>
      <c r="L2471" s="2901"/>
    </row>
    <row r="2472" spans="1:12" s="1918" customFormat="1" ht="16.8" hidden="1">
      <c r="A2472" s="1319" t="s">
        <v>172</v>
      </c>
      <c r="B2472" s="1320" t="s">
        <v>189</v>
      </c>
      <c r="C2472" s="1322">
        <v>1</v>
      </c>
      <c r="D2472" s="1323" t="s">
        <v>583</v>
      </c>
      <c r="E2472" s="1324">
        <f>+H2480*0.05</f>
        <v>4235.2402837280006</v>
      </c>
      <c r="F2472" s="1324"/>
      <c r="G2472" s="1324"/>
      <c r="H2472" s="1324"/>
      <c r="I2472" s="1324">
        <f>+E2472*C2472</f>
        <v>4235.2402837280006</v>
      </c>
      <c r="J2472" s="2901"/>
      <c r="K2472" s="2901"/>
      <c r="L2472" s="2901"/>
    </row>
    <row r="2473" spans="1:12" s="1918" customFormat="1" ht="16.8" hidden="1">
      <c r="A2473" s="1319"/>
      <c r="B2473" s="1320" t="s">
        <v>6420</v>
      </c>
      <c r="C2473" s="2191">
        <v>5</v>
      </c>
      <c r="D2473" s="2026" t="s">
        <v>1002</v>
      </c>
      <c r="E2473" s="2149">
        <f>+FORMA</f>
        <v>2222.2222222222222</v>
      </c>
      <c r="F2473" s="2744"/>
      <c r="G2473" s="2149">
        <f>+E2473*C2473</f>
        <v>11111.111111111111</v>
      </c>
      <c r="H2473" s="2149"/>
      <c r="I2473" s="2149"/>
      <c r="J2473" s="2901"/>
      <c r="K2473" s="2901"/>
      <c r="L2473" s="2901"/>
    </row>
    <row r="2474" spans="1:12" s="1918" customFormat="1" ht="16.8" hidden="1">
      <c r="A2474" s="1319" t="s">
        <v>261</v>
      </c>
      <c r="B2474" s="1320" t="s">
        <v>262</v>
      </c>
      <c r="C2474" s="1322">
        <v>4</v>
      </c>
      <c r="D2474" s="1323" t="s">
        <v>363</v>
      </c>
      <c r="E2474" s="1324">
        <f>TACOR</f>
        <v>3366</v>
      </c>
      <c r="F2474" s="1324"/>
      <c r="G2474" s="1324">
        <f>+E2474*C2474</f>
        <v>13464</v>
      </c>
      <c r="H2474" s="1324"/>
      <c r="I2474" s="1324"/>
      <c r="J2474" s="2901"/>
      <c r="K2474" s="2901"/>
      <c r="L2474" s="2901"/>
    </row>
    <row r="2475" spans="1:12" s="1918" customFormat="1" ht="16.8" hidden="1">
      <c r="A2475" s="1319" t="s">
        <v>263</v>
      </c>
      <c r="B2475" s="1320" t="s">
        <v>264</v>
      </c>
      <c r="C2475" s="1322">
        <v>3</v>
      </c>
      <c r="D2475" s="1323" t="s">
        <v>374</v>
      </c>
      <c r="E2475" s="1324">
        <f>+PUNTI</f>
        <v>1632</v>
      </c>
      <c r="F2475" s="1324"/>
      <c r="G2475" s="1324">
        <f>+E2475*C2475</f>
        <v>4896</v>
      </c>
      <c r="H2475" s="1324"/>
      <c r="I2475" s="1324"/>
      <c r="J2475" s="2901"/>
      <c r="K2475" s="2901"/>
      <c r="L2475" s="2901"/>
    </row>
    <row r="2476" spans="1:12" s="1918" customFormat="1" ht="16.8" hidden="1">
      <c r="A2476" s="1319" t="s">
        <v>345</v>
      </c>
      <c r="B2476" s="1320" t="s">
        <v>6439</v>
      </c>
      <c r="C2476" s="1322">
        <v>0.2</v>
      </c>
      <c r="D2476" s="1323" t="s">
        <v>346</v>
      </c>
      <c r="E2476" s="1324">
        <f>+OFICI</f>
        <v>80479.625344</v>
      </c>
      <c r="F2476" s="1324"/>
      <c r="G2476" s="1324"/>
      <c r="H2476" s="1324">
        <f>+E2476*C2476</f>
        <v>16095.925068800001</v>
      </c>
      <c r="I2476" s="1324"/>
      <c r="J2476" s="2901"/>
      <c r="K2476" s="2901"/>
      <c r="L2476" s="2901"/>
    </row>
    <row r="2477" spans="1:12" s="1918" customFormat="1" ht="16.8" hidden="1">
      <c r="A2477" s="1319" t="s">
        <v>347</v>
      </c>
      <c r="B2477" s="1320" t="s">
        <v>266</v>
      </c>
      <c r="C2477" s="1322">
        <v>0.28000000000000003</v>
      </c>
      <c r="D2477" s="1323" t="s">
        <v>346</v>
      </c>
      <c r="E2477" s="1324">
        <f>+AYUDA</f>
        <v>65389.695592000004</v>
      </c>
      <c r="F2477" s="1324"/>
      <c r="G2477" s="1324"/>
      <c r="H2477" s="1324">
        <f>+E2477*C2477</f>
        <v>18309.114765760001</v>
      </c>
      <c r="I2477" s="1324"/>
      <c r="J2477" s="2901"/>
      <c r="K2477" s="2901"/>
      <c r="L2477" s="2901"/>
    </row>
    <row r="2478" spans="1:12" s="1918" customFormat="1" ht="16.8" hidden="1">
      <c r="A2478" s="1319" t="s">
        <v>348</v>
      </c>
      <c r="B2478" s="1320" t="s">
        <v>6579</v>
      </c>
      <c r="C2478" s="1322">
        <v>1</v>
      </c>
      <c r="D2478" s="1323" t="s">
        <v>346</v>
      </c>
      <c r="E2478" s="1324">
        <f>+AYUDR</f>
        <v>50299.76584</v>
      </c>
      <c r="F2478" s="1324"/>
      <c r="G2478" s="1324"/>
      <c r="H2478" s="1324">
        <f>+E2478*C2478</f>
        <v>50299.76584</v>
      </c>
      <c r="I2478" s="1324"/>
      <c r="J2478" s="2901"/>
      <c r="K2478" s="2901"/>
      <c r="L2478" s="2901"/>
    </row>
    <row r="2479" spans="1:12" s="1918" customFormat="1" ht="16.8" hidden="1">
      <c r="A2479" s="1319" t="s">
        <v>1112</v>
      </c>
      <c r="B2479" s="1320" t="s">
        <v>6564</v>
      </c>
      <c r="C2479" s="1322">
        <v>1.02</v>
      </c>
      <c r="D2479" s="1323" t="s">
        <v>1292</v>
      </c>
      <c r="E2479" s="1324">
        <f>+'BASE CTOS'!B135</f>
        <v>488795.14911417139</v>
      </c>
      <c r="F2479" s="1324"/>
      <c r="G2479" s="1324">
        <f>+E2479*C2479</f>
        <v>498571.05209645483</v>
      </c>
      <c r="H2479" s="1324"/>
      <c r="I2479" s="1324"/>
      <c r="J2479" s="2901"/>
      <c r="K2479" s="2901"/>
      <c r="L2479" s="2901"/>
    </row>
    <row r="2480" spans="1:12" s="1918" customFormat="1" ht="16.8" hidden="1">
      <c r="A2480" s="1325" t="s">
        <v>190</v>
      </c>
      <c r="B2480" s="1326">
        <f>ROUND(SUM(F2480:I2480),0)</f>
        <v>642225</v>
      </c>
      <c r="C2480" s="1323"/>
      <c r="D2480" s="1327"/>
      <c r="E2480" s="1319"/>
      <c r="F2480" s="1324">
        <f>SUM(F2470:F2479)</f>
        <v>25243</v>
      </c>
      <c r="G2480" s="1324">
        <f>SUM(G2470:G2479)</f>
        <v>528042.1632075659</v>
      </c>
      <c r="H2480" s="1324">
        <f>SUM(H2470:H2479)</f>
        <v>84704.805674560004</v>
      </c>
      <c r="I2480" s="1324">
        <f>SUM(I2470:I2479)</f>
        <v>4235.2402837280006</v>
      </c>
      <c r="J2480" s="2901"/>
      <c r="K2480" s="2901"/>
      <c r="L2480" s="2901"/>
    </row>
    <row r="2481" spans="1:12" s="1918" customFormat="1" ht="16.8" hidden="1">
      <c r="A2481" s="1325" t="s">
        <v>191</v>
      </c>
      <c r="B2481" s="1326">
        <f>+B2480</f>
        <v>642225</v>
      </c>
      <c r="C2481" s="1328" t="s">
        <v>356</v>
      </c>
      <c r="D2481" s="1329"/>
      <c r="E2481" s="1329"/>
      <c r="F2481" s="1329"/>
      <c r="G2481" s="1329"/>
      <c r="H2481" s="1330"/>
      <c r="I2481" s="1330"/>
      <c r="J2481" s="2901"/>
      <c r="K2481" s="2901"/>
      <c r="L2481" s="2901"/>
    </row>
    <row r="2482" spans="1:12" s="1918" customFormat="1" ht="15.75" hidden="1" customHeight="1">
      <c r="J2482" s="2901"/>
      <c r="K2482" s="2901"/>
      <c r="L2482" s="2901"/>
    </row>
    <row r="2483" spans="1:12" s="1918" customFormat="1" ht="16.8" hidden="1">
      <c r="A2483" s="1318" t="s">
        <v>1148</v>
      </c>
      <c r="B2483" s="3849" t="s">
        <v>4717</v>
      </c>
      <c r="C2483" s="3849"/>
      <c r="D2483" s="3849"/>
      <c r="E2483" s="3849"/>
      <c r="F2483" s="3849"/>
      <c r="G2483" s="3849"/>
      <c r="H2483" s="3849"/>
      <c r="I2483" s="3849"/>
      <c r="J2483" s="2901"/>
      <c r="K2483" s="2901"/>
      <c r="L2483" s="2901"/>
    </row>
    <row r="2484" spans="1:12" s="1918" customFormat="1" ht="16.8" hidden="1">
      <c r="A2484" s="1319"/>
      <c r="B2484" s="1320"/>
      <c r="C2484" s="1319" t="s">
        <v>140</v>
      </c>
      <c r="D2484" s="1319" t="s">
        <v>343</v>
      </c>
      <c r="E2484" s="1319" t="s">
        <v>344</v>
      </c>
      <c r="F2484" s="1319" t="s">
        <v>482</v>
      </c>
      <c r="G2484" s="1319" t="s">
        <v>483</v>
      </c>
      <c r="H2484" s="1319" t="s">
        <v>170</v>
      </c>
      <c r="I2484" s="1319" t="s">
        <v>171</v>
      </c>
      <c r="J2484" s="2901"/>
      <c r="K2484" s="2901"/>
      <c r="L2484" s="2901"/>
    </row>
    <row r="2485" spans="1:12" s="1918" customFormat="1" ht="16.8" hidden="1">
      <c r="A2485" s="1319"/>
      <c r="B2485" s="1320" t="s">
        <v>4718</v>
      </c>
      <c r="C2485" s="1319">
        <v>0.5</v>
      </c>
      <c r="D2485" s="1319" t="s">
        <v>1292</v>
      </c>
      <c r="E2485" s="1331">
        <v>22959</v>
      </c>
      <c r="F2485" s="1319"/>
      <c r="G2485" s="1331">
        <f>+C2485*E2485</f>
        <v>11479.5</v>
      </c>
      <c r="H2485" s="1319"/>
      <c r="I2485" s="1319"/>
      <c r="J2485" s="2901"/>
      <c r="K2485" s="2901"/>
      <c r="L2485" s="2901"/>
    </row>
    <row r="2486" spans="1:12" s="1918" customFormat="1" ht="16.8" hidden="1">
      <c r="A2486" s="1319"/>
      <c r="B2486" s="1320" t="s">
        <v>4719</v>
      </c>
      <c r="C2486" s="1319">
        <v>12</v>
      </c>
      <c r="D2486" s="1319" t="s">
        <v>427</v>
      </c>
      <c r="E2486" s="1331">
        <v>900</v>
      </c>
      <c r="F2486" s="1319"/>
      <c r="G2486" s="1331">
        <f>+C2486*E2486</f>
        <v>10800</v>
      </c>
      <c r="H2486" s="1319"/>
      <c r="I2486" s="1319"/>
      <c r="J2486" s="2901"/>
      <c r="K2486" s="2901"/>
      <c r="L2486" s="2901"/>
    </row>
    <row r="2487" spans="1:12" s="1918" customFormat="1" ht="16.8" hidden="1">
      <c r="A2487" s="1319" t="s">
        <v>464</v>
      </c>
      <c r="B2487" s="1320" t="s">
        <v>582</v>
      </c>
      <c r="C2487" s="1322">
        <v>0.25</v>
      </c>
      <c r="D2487" s="1323" t="s">
        <v>583</v>
      </c>
      <c r="E2487" s="1324">
        <v>12000</v>
      </c>
      <c r="F2487" s="1324"/>
      <c r="G2487" s="1324"/>
      <c r="H2487" s="1324"/>
      <c r="I2487" s="1324">
        <f>+E2487*C2487</f>
        <v>3000</v>
      </c>
      <c r="J2487" s="2901"/>
      <c r="K2487" s="2901"/>
      <c r="L2487" s="2901"/>
    </row>
    <row r="2488" spans="1:12" s="1918" customFormat="1" ht="16.8" hidden="1">
      <c r="A2488" s="1319" t="s">
        <v>345</v>
      </c>
      <c r="B2488" s="1320" t="s">
        <v>6439</v>
      </c>
      <c r="C2488" s="1322">
        <v>0.05</v>
      </c>
      <c r="D2488" s="1323" t="s">
        <v>346</v>
      </c>
      <c r="E2488" s="1324">
        <f>+OFICI</f>
        <v>80479.625344</v>
      </c>
      <c r="F2488" s="1324"/>
      <c r="G2488" s="1324"/>
      <c r="H2488" s="1324">
        <f>+E2488*C2488</f>
        <v>4023.9812672000003</v>
      </c>
      <c r="I2488" s="1324"/>
      <c r="J2488" s="2901"/>
      <c r="K2488" s="2901"/>
      <c r="L2488" s="2901"/>
    </row>
    <row r="2489" spans="1:12" s="1918" customFormat="1" ht="16.8" hidden="1">
      <c r="A2489" s="1319" t="s">
        <v>348</v>
      </c>
      <c r="B2489" s="1320" t="s">
        <v>966</v>
      </c>
      <c r="C2489" s="1322">
        <v>0.1</v>
      </c>
      <c r="D2489" s="1323" t="s">
        <v>346</v>
      </c>
      <c r="E2489" s="1324">
        <f>+AYUDR</f>
        <v>50299.76584</v>
      </c>
      <c r="F2489" s="1324"/>
      <c r="G2489" s="1324"/>
      <c r="H2489" s="1324">
        <f>+E2489*C2489</f>
        <v>5029.976584</v>
      </c>
      <c r="I2489" s="1324"/>
      <c r="J2489" s="2901"/>
      <c r="K2489" s="2901"/>
      <c r="L2489" s="2901"/>
    </row>
    <row r="2490" spans="1:12" s="1918" customFormat="1" ht="16.8" hidden="1">
      <c r="A2490" s="1319" t="s">
        <v>172</v>
      </c>
      <c r="B2490" s="1320" t="s">
        <v>7948</v>
      </c>
      <c r="C2490" s="1322">
        <v>1</v>
      </c>
      <c r="D2490" s="1323" t="s">
        <v>583</v>
      </c>
      <c r="E2490" s="1324">
        <f>+H2491*0.05</f>
        <v>452.69789256000007</v>
      </c>
      <c r="F2490" s="1324"/>
      <c r="G2490" s="1324"/>
      <c r="H2490" s="1324"/>
      <c r="I2490" s="1324">
        <f>+E2490*C2490</f>
        <v>452.69789256000007</v>
      </c>
      <c r="J2490" s="2901"/>
      <c r="K2490" s="2901"/>
      <c r="L2490" s="2901"/>
    </row>
    <row r="2491" spans="1:12" s="1918" customFormat="1" ht="16.8" hidden="1">
      <c r="A2491" s="1325" t="s">
        <v>190</v>
      </c>
      <c r="B2491" s="1326">
        <f>ROUND(SUM(F2491:I2491),0)</f>
        <v>34786</v>
      </c>
      <c r="C2491" s="1323"/>
      <c r="D2491" s="1327"/>
      <c r="E2491" s="1319"/>
      <c r="F2491" s="1324">
        <f>SUM(F2487:F2489)</f>
        <v>0</v>
      </c>
      <c r="G2491" s="1324">
        <f>SUM(G2485:G2489)</f>
        <v>22279.5</v>
      </c>
      <c r="H2491" s="1324">
        <f>SUM(H2487:H2489)</f>
        <v>9053.9578512000007</v>
      </c>
      <c r="I2491" s="1324">
        <f>SUM(I2487:I2490)</f>
        <v>3452.6978925600001</v>
      </c>
      <c r="J2491" s="2901"/>
      <c r="K2491" s="2901"/>
      <c r="L2491" s="2901"/>
    </row>
    <row r="2492" spans="1:12" s="1918" customFormat="1" ht="16.8" hidden="1">
      <c r="A2492" s="1325" t="s">
        <v>191</v>
      </c>
      <c r="B2492" s="1326">
        <f>+B2491</f>
        <v>34786</v>
      </c>
      <c r="C2492" s="1328" t="s">
        <v>1002</v>
      </c>
      <c r="D2492" s="1329"/>
      <c r="E2492" s="1329"/>
      <c r="F2492" s="1329"/>
      <c r="G2492" s="1329"/>
      <c r="H2492" s="1330"/>
      <c r="I2492" s="1330"/>
      <c r="J2492" s="2901"/>
      <c r="K2492" s="2901"/>
      <c r="L2492" s="2901"/>
    </row>
    <row r="2493" spans="1:12" ht="35.25" hidden="1" customHeight="1">
      <c r="A2493" s="1918"/>
      <c r="B2493" s="1918"/>
      <c r="C2493" s="1918"/>
      <c r="D2493" s="1918"/>
      <c r="E2493" s="1918"/>
      <c r="F2493" s="1918"/>
      <c r="G2493" s="1918"/>
      <c r="H2493" s="1918"/>
      <c r="I2493" s="1918"/>
    </row>
    <row r="2494" spans="1:12" s="17" customFormat="1" ht="18" hidden="1">
      <c r="A2494" s="1578"/>
      <c r="B2494" s="3547" t="s">
        <v>6578</v>
      </c>
      <c r="C2494" s="3548"/>
      <c r="D2494" s="3548"/>
      <c r="E2494" s="3548"/>
      <c r="F2494" s="3548"/>
      <c r="G2494" s="3548"/>
      <c r="H2494" s="3548"/>
      <c r="I2494" s="3549"/>
      <c r="J2494" s="2902"/>
      <c r="K2494" s="2902"/>
      <c r="L2494" s="2902"/>
    </row>
    <row r="2495" spans="1:12" s="17" customFormat="1" ht="18" hidden="1">
      <c r="A2495" s="1579"/>
      <c r="B2495" s="1262"/>
      <c r="C2495" s="34" t="s">
        <v>140</v>
      </c>
      <c r="D2495" s="2" t="s">
        <v>343</v>
      </c>
      <c r="E2495" s="585" t="s">
        <v>344</v>
      </c>
      <c r="F2495" s="585" t="s">
        <v>482</v>
      </c>
      <c r="G2495" s="585" t="s">
        <v>483</v>
      </c>
      <c r="H2495" s="585" t="s">
        <v>232</v>
      </c>
      <c r="I2495" s="585" t="s">
        <v>171</v>
      </c>
      <c r="J2495" s="2902"/>
      <c r="K2495" s="2902"/>
      <c r="L2495" s="2902"/>
    </row>
    <row r="2496" spans="1:12" s="17" customFormat="1" ht="18" hidden="1">
      <c r="A2496" s="1589"/>
      <c r="B2496" s="323" t="s">
        <v>247</v>
      </c>
      <c r="C2496" s="451">
        <v>3.6333617021276603</v>
      </c>
      <c r="D2496" s="2" t="s">
        <v>346</v>
      </c>
      <c r="E2496" s="585">
        <f>+VIBGA</f>
        <v>47000</v>
      </c>
      <c r="F2496" s="585">
        <f>+E2496*C2496</f>
        <v>170768.00000000003</v>
      </c>
      <c r="G2496" s="585"/>
      <c r="H2496" s="585"/>
      <c r="I2496" s="585"/>
      <c r="J2496" s="2902"/>
      <c r="K2496" s="2902"/>
      <c r="L2496" s="2902"/>
    </row>
    <row r="2497" spans="1:12" s="17" customFormat="1" ht="18" hidden="1">
      <c r="A2497" s="1589"/>
      <c r="B2497" s="323" t="s">
        <v>1302</v>
      </c>
      <c r="C2497" s="451">
        <v>9.4703999999999997</v>
      </c>
      <c r="D2497" s="2" t="s">
        <v>647</v>
      </c>
      <c r="E2497" s="585">
        <f>+A60FI</f>
        <v>3200</v>
      </c>
      <c r="F2497" s="585"/>
      <c r="G2497" s="585">
        <f>+E2497*C2497</f>
        <v>30305.279999999999</v>
      </c>
      <c r="H2497" s="585"/>
      <c r="I2497" s="585"/>
      <c r="J2497" s="2902"/>
      <c r="K2497" s="2902"/>
      <c r="L2497" s="2902"/>
    </row>
    <row r="2498" spans="1:12" s="17" customFormat="1" ht="18" hidden="1">
      <c r="A2498" s="1589"/>
      <c r="B2498" s="323" t="s">
        <v>5693</v>
      </c>
      <c r="C2498" s="451">
        <v>0.56999999999999995</v>
      </c>
      <c r="D2498" s="2" t="s">
        <v>363</v>
      </c>
      <c r="E2498" s="585">
        <v>20250</v>
      </c>
      <c r="F2498" s="585"/>
      <c r="G2498" s="585">
        <f>+E2498*C2498</f>
        <v>11542.499999999998</v>
      </c>
      <c r="H2498" s="585"/>
      <c r="I2498" s="585"/>
      <c r="J2498" s="2902"/>
      <c r="K2498" s="2902"/>
      <c r="L2498" s="2902"/>
    </row>
    <row r="2499" spans="1:12" s="17" customFormat="1" ht="18" hidden="1">
      <c r="A2499" s="1589"/>
      <c r="B2499" s="323" t="s">
        <v>5694</v>
      </c>
      <c r="C2499" s="451">
        <v>1</v>
      </c>
      <c r="D2499" s="2" t="s">
        <v>374</v>
      </c>
      <c r="E2499" s="585">
        <v>4050.0000000000005</v>
      </c>
      <c r="F2499" s="585"/>
      <c r="G2499" s="585">
        <f>+E2499*C2499</f>
        <v>4050.0000000000005</v>
      </c>
      <c r="H2499" s="585"/>
      <c r="I2499" s="585"/>
      <c r="J2499" s="2902"/>
      <c r="K2499" s="2902"/>
      <c r="L2499" s="2902"/>
    </row>
    <row r="2500" spans="1:12" s="17" customFormat="1" ht="18" hidden="1">
      <c r="A2500" s="1589"/>
      <c r="B2500" s="323" t="s">
        <v>5694</v>
      </c>
      <c r="C2500" s="451">
        <v>0.22</v>
      </c>
      <c r="D2500" s="2" t="s">
        <v>363</v>
      </c>
      <c r="E2500" s="585">
        <v>10800</v>
      </c>
      <c r="F2500" s="585"/>
      <c r="G2500" s="585">
        <f>+E2500*C2500</f>
        <v>2376</v>
      </c>
      <c r="H2500" s="585"/>
      <c r="I2500" s="585"/>
      <c r="J2500" s="2902"/>
      <c r="K2500" s="2902"/>
      <c r="L2500" s="2902"/>
    </row>
    <row r="2501" spans="1:12" s="402" customFormat="1" ht="15" hidden="1" customHeight="1">
      <c r="A2501" s="1589"/>
      <c r="B2501" s="323" t="s">
        <v>5695</v>
      </c>
      <c r="C2501" s="451">
        <v>0.12</v>
      </c>
      <c r="D2501" s="2" t="s">
        <v>647</v>
      </c>
      <c r="E2501" s="585">
        <v>7830.0000000000009</v>
      </c>
      <c r="F2501" s="585"/>
      <c r="G2501" s="585">
        <f>+E2501*C2501</f>
        <v>939.6</v>
      </c>
      <c r="H2501" s="585"/>
      <c r="I2501" s="585"/>
      <c r="J2501" s="2895"/>
      <c r="K2501" s="2895"/>
      <c r="L2501" s="2895"/>
    </row>
    <row r="2502" spans="1:12" s="402" customFormat="1" ht="15" hidden="1" customHeight="1">
      <c r="A2502" s="1579"/>
      <c r="B2502" s="1320" t="s">
        <v>6439</v>
      </c>
      <c r="C2502" s="451">
        <f>1/4.5</f>
        <v>0.22222222222222221</v>
      </c>
      <c r="D2502" s="2695" t="s">
        <v>346</v>
      </c>
      <c r="E2502" s="585">
        <f>+OFICI</f>
        <v>80479.625344</v>
      </c>
      <c r="F2502" s="669"/>
      <c r="G2502" s="2136"/>
      <c r="H2502" s="669">
        <f>+E2502*C2502</f>
        <v>17884.361187555554</v>
      </c>
      <c r="I2502" s="669"/>
      <c r="J2502" s="2895"/>
      <c r="K2502" s="2895"/>
      <c r="L2502" s="2895"/>
    </row>
    <row r="2503" spans="1:12" s="402" customFormat="1" ht="15" hidden="1" customHeight="1">
      <c r="A2503" s="1579"/>
      <c r="B2503" s="1320" t="s">
        <v>6579</v>
      </c>
      <c r="C2503" s="451">
        <f>1/4.5</f>
        <v>0.22222222222222221</v>
      </c>
      <c r="D2503" s="2695" t="s">
        <v>346</v>
      </c>
      <c r="E2503" s="585">
        <f>AYUDR*2</f>
        <v>100599.53168</v>
      </c>
      <c r="F2503" s="669"/>
      <c r="G2503" s="2136"/>
      <c r="H2503" s="669">
        <f>+E2503*C2503</f>
        <v>22355.451484444442</v>
      </c>
      <c r="I2503" s="669"/>
      <c r="J2503" s="2895"/>
      <c r="K2503" s="2895"/>
      <c r="L2503" s="2895"/>
    </row>
    <row r="2504" spans="1:12" s="17" customFormat="1" ht="18" hidden="1">
      <c r="A2504" s="1579" t="s">
        <v>349</v>
      </c>
      <c r="B2504" s="1320" t="s">
        <v>189</v>
      </c>
      <c r="C2504" s="451">
        <v>1</v>
      </c>
      <c r="D2504" s="2695" t="s">
        <v>583</v>
      </c>
      <c r="E2504" s="585">
        <f>H2505*0.05</f>
        <v>2011.9906336000001</v>
      </c>
      <c r="F2504" s="669"/>
      <c r="G2504" s="669"/>
      <c r="H2504" s="669"/>
      <c r="I2504" s="669">
        <f>+E2504*C2504</f>
        <v>2011.9906336000001</v>
      </c>
      <c r="J2504" s="2902"/>
      <c r="K2504" s="2902"/>
      <c r="L2504" s="2902"/>
    </row>
    <row r="2505" spans="1:12" s="17" customFormat="1" ht="18" hidden="1">
      <c r="A2505" s="1586" t="s">
        <v>190</v>
      </c>
      <c r="B2505" s="1587">
        <f>SUM(F2505:I2505)</f>
        <v>262233.18330560002</v>
      </c>
      <c r="C2505" s="370"/>
      <c r="D2505" s="2695"/>
      <c r="E2505" s="585"/>
      <c r="F2505" s="669">
        <f>SUM(F2496:F2504)</f>
        <v>170768.00000000003</v>
      </c>
      <c r="G2505" s="669">
        <f>SUM(G2496:G2504)</f>
        <v>49213.38</v>
      </c>
      <c r="H2505" s="669">
        <f>SUM(H2496:H2504)</f>
        <v>40239.812672</v>
      </c>
      <c r="I2505" s="669">
        <f>SUM(I2496:I2504)</f>
        <v>2011.9906336000001</v>
      </c>
      <c r="J2505" s="2902"/>
      <c r="K2505" s="2902"/>
      <c r="L2505" s="2902"/>
    </row>
    <row r="2506" spans="1:12" ht="18" hidden="1">
      <c r="A2506" s="1586" t="s">
        <v>191</v>
      </c>
      <c r="B2506" s="1587">
        <f>+ROUND(B2505,0)</f>
        <v>262233</v>
      </c>
      <c r="C2506" s="1228" t="s">
        <v>45</v>
      </c>
      <c r="D2506" s="402"/>
      <c r="E2506" s="1588"/>
      <c r="F2506" s="1280"/>
      <c r="G2506" s="1280"/>
      <c r="H2506" s="1280"/>
      <c r="I2506" s="1280"/>
    </row>
    <row r="2507" spans="1:12" ht="24.75" hidden="1" customHeight="1"/>
    <row r="2508" spans="1:12" s="1918" customFormat="1" ht="16.8" hidden="1">
      <c r="A2508" s="1318" t="s">
        <v>1148</v>
      </c>
      <c r="B2508" s="3849" t="s">
        <v>4831</v>
      </c>
      <c r="C2508" s="3849"/>
      <c r="D2508" s="3849"/>
      <c r="E2508" s="3849"/>
      <c r="F2508" s="3849"/>
      <c r="G2508" s="3849"/>
      <c r="H2508" s="3849"/>
      <c r="I2508" s="3849"/>
      <c r="J2508" s="2901"/>
      <c r="K2508" s="2901"/>
      <c r="L2508" s="2901"/>
    </row>
    <row r="2509" spans="1:12" s="1918" customFormat="1" ht="16.8" hidden="1">
      <c r="A2509" s="1319"/>
      <c r="B2509" s="1320"/>
      <c r="C2509" s="1319" t="s">
        <v>140</v>
      </c>
      <c r="D2509" s="1319" t="s">
        <v>343</v>
      </c>
      <c r="E2509" s="1319" t="s">
        <v>344</v>
      </c>
      <c r="F2509" s="1319" t="s">
        <v>482</v>
      </c>
      <c r="G2509" s="1319" t="s">
        <v>483</v>
      </c>
      <c r="H2509" s="1319" t="s">
        <v>170</v>
      </c>
      <c r="I2509" s="1319" t="s">
        <v>171</v>
      </c>
      <c r="J2509" s="2901"/>
      <c r="K2509" s="2901"/>
      <c r="L2509" s="2901"/>
    </row>
    <row r="2510" spans="1:12" s="1918" customFormat="1" ht="16.8" hidden="1">
      <c r="A2510" s="1319" t="s">
        <v>345</v>
      </c>
      <c r="B2510" s="1320" t="s">
        <v>965</v>
      </c>
      <c r="C2510" s="1322">
        <v>1.5</v>
      </c>
      <c r="D2510" s="1323" t="s">
        <v>346</v>
      </c>
      <c r="E2510" s="1324">
        <f>+OFICI</f>
        <v>80479.625344</v>
      </c>
      <c r="F2510" s="1324"/>
      <c r="G2510" s="1324"/>
      <c r="H2510" s="1324">
        <f>+E2510*C2510</f>
        <v>120719.438016</v>
      </c>
      <c r="I2510" s="1324"/>
      <c r="J2510" s="2901"/>
      <c r="K2510" s="2901"/>
      <c r="L2510" s="2901"/>
    </row>
    <row r="2511" spans="1:12" s="1918" customFormat="1" ht="16.8" hidden="1">
      <c r="A2511" s="1319" t="s">
        <v>348</v>
      </c>
      <c r="B2511" s="1320" t="s">
        <v>6579</v>
      </c>
      <c r="C2511" s="1322">
        <v>2.4</v>
      </c>
      <c r="D2511" s="1323" t="s">
        <v>346</v>
      </c>
      <c r="E2511" s="1324">
        <f>+AYUDR</f>
        <v>50299.76584</v>
      </c>
      <c r="F2511" s="1324"/>
      <c r="G2511" s="1324"/>
      <c r="H2511" s="1324">
        <f>+E2511*C2511</f>
        <v>120719.438016</v>
      </c>
      <c r="I2511" s="1324"/>
      <c r="J2511" s="2901"/>
      <c r="K2511" s="2901"/>
      <c r="L2511" s="2901"/>
    </row>
    <row r="2512" spans="1:12" s="1918" customFormat="1" ht="16.8" hidden="1">
      <c r="A2512" s="1319" t="s">
        <v>172</v>
      </c>
      <c r="B2512" s="1320" t="s">
        <v>189</v>
      </c>
      <c r="C2512" s="1322">
        <v>1</v>
      </c>
      <c r="D2512" s="1323" t="s">
        <v>583</v>
      </c>
      <c r="E2512" s="1324">
        <f>+H2513*0.05</f>
        <v>12071.9438016</v>
      </c>
      <c r="F2512" s="1324"/>
      <c r="G2512" s="1324"/>
      <c r="H2512" s="1324"/>
      <c r="I2512" s="1324">
        <f>+E2512*C2512</f>
        <v>12071.9438016</v>
      </c>
      <c r="J2512" s="2901"/>
      <c r="K2512" s="2901"/>
      <c r="L2512" s="2901"/>
    </row>
    <row r="2513" spans="1:12" s="1918" customFormat="1" ht="16.8" hidden="1">
      <c r="A2513" s="1325" t="s">
        <v>190</v>
      </c>
      <c r="B2513" s="1326">
        <f>ROUND(SUM(F2513:I2513),0)</f>
        <v>253511</v>
      </c>
      <c r="C2513" s="1323"/>
      <c r="D2513" s="1327"/>
      <c r="E2513" s="1319"/>
      <c r="F2513" s="1324">
        <f>SUM(F2510:F2512)</f>
        <v>0</v>
      </c>
      <c r="G2513" s="1324">
        <f>SUM(G2510:G2511)</f>
        <v>0</v>
      </c>
      <c r="H2513" s="1324">
        <f>SUM(H2510:H2511)</f>
        <v>241438.876032</v>
      </c>
      <c r="I2513" s="1324">
        <f>SUM(I2510:I2512)</f>
        <v>12071.9438016</v>
      </c>
      <c r="J2513" s="2901"/>
      <c r="K2513" s="2901"/>
      <c r="L2513" s="2901"/>
    </row>
    <row r="2514" spans="1:12" ht="16.8" hidden="1">
      <c r="A2514" s="1325" t="s">
        <v>191</v>
      </c>
      <c r="B2514" s="1326">
        <f>+B2513</f>
        <v>253511</v>
      </c>
      <c r="C2514" s="1328" t="s">
        <v>150</v>
      </c>
      <c r="D2514" s="1329"/>
      <c r="E2514" s="1329"/>
      <c r="F2514" s="1329"/>
      <c r="G2514" s="1329"/>
      <c r="H2514" s="1330"/>
      <c r="I2514" s="1330"/>
    </row>
    <row r="2515" spans="1:12" s="1918" customFormat="1" ht="17.399999999999999" hidden="1" customHeight="1">
      <c r="A2515" s="492"/>
      <c r="B2515" s="492"/>
      <c r="C2515" s="492"/>
      <c r="D2515" s="492"/>
      <c r="E2515" s="492"/>
      <c r="F2515" s="492"/>
      <c r="G2515" s="492"/>
      <c r="H2515" s="492"/>
      <c r="I2515" s="492"/>
      <c r="J2515" s="2901"/>
      <c r="K2515" s="2901">
        <f>0.05*1</f>
        <v>0.05</v>
      </c>
      <c r="L2515" s="2901"/>
    </row>
    <row r="2516" spans="1:12" s="1918" customFormat="1" ht="16.2" hidden="1" customHeight="1">
      <c r="A2516" s="1318" t="s">
        <v>1148</v>
      </c>
      <c r="B2516" s="3849" t="s">
        <v>4832</v>
      </c>
      <c r="C2516" s="3849"/>
      <c r="D2516" s="3849"/>
      <c r="E2516" s="3849"/>
      <c r="F2516" s="3849"/>
      <c r="G2516" s="3849"/>
      <c r="H2516" s="3849"/>
      <c r="I2516" s="3849"/>
      <c r="J2516" s="2901"/>
      <c r="K2516" s="2901"/>
      <c r="L2516" s="2901"/>
    </row>
    <row r="2517" spans="1:12" s="1918" customFormat="1" ht="51" hidden="1" customHeight="1">
      <c r="A2517" s="1319"/>
      <c r="B2517" s="1320"/>
      <c r="C2517" s="1319" t="s">
        <v>140</v>
      </c>
      <c r="D2517" s="1319" t="s">
        <v>343</v>
      </c>
      <c r="E2517" s="1319" t="s">
        <v>344</v>
      </c>
      <c r="F2517" s="1319" t="s">
        <v>482</v>
      </c>
      <c r="G2517" s="1319" t="s">
        <v>483</v>
      </c>
      <c r="H2517" s="1319" t="s">
        <v>170</v>
      </c>
      <c r="I2517" s="1319" t="s">
        <v>171</v>
      </c>
      <c r="J2517" s="2901"/>
      <c r="K2517" s="2901"/>
      <c r="L2517" s="2901"/>
    </row>
    <row r="2518" spans="1:12" s="1918" customFormat="1" ht="50.4" hidden="1">
      <c r="A2518" s="1319"/>
      <c r="B2518" s="1335" t="s">
        <v>4753</v>
      </c>
      <c r="C2518" s="1922">
        <v>1</v>
      </c>
      <c r="D2518" s="1920" t="s">
        <v>133</v>
      </c>
      <c r="E2518" s="1324">
        <v>0</v>
      </c>
      <c r="F2518" s="1324"/>
      <c r="G2518" s="1324">
        <f>+E2518*C2518</f>
        <v>0</v>
      </c>
      <c r="H2518" s="1324"/>
      <c r="I2518" s="1324"/>
      <c r="J2518" s="2901"/>
      <c r="K2518" s="2901"/>
      <c r="L2518" s="2901"/>
    </row>
    <row r="2519" spans="1:12" s="1918" customFormat="1" ht="16.8" hidden="1">
      <c r="A2519" s="1319"/>
      <c r="B2519" s="1320" t="s">
        <v>4727</v>
      </c>
      <c r="C2519" s="1919">
        <v>1.2E-2</v>
      </c>
      <c r="D2519" s="1921" t="s">
        <v>583</v>
      </c>
      <c r="E2519" s="1324">
        <f>+VIAJE</f>
        <v>1200000</v>
      </c>
      <c r="F2519" s="1324"/>
      <c r="G2519" s="1324"/>
      <c r="H2519" s="1324"/>
      <c r="I2519" s="1324">
        <f>+E2519*C2519</f>
        <v>14400</v>
      </c>
      <c r="J2519" s="2901"/>
      <c r="K2519" s="2901"/>
      <c r="L2519" s="2901"/>
    </row>
    <row r="2520" spans="1:12" s="1918" customFormat="1" ht="16.8" hidden="1">
      <c r="A2520" s="1325" t="s">
        <v>190</v>
      </c>
      <c r="B2520" s="1326">
        <f>ROUND(SUM(F2520:I2520),0)</f>
        <v>14400</v>
      </c>
      <c r="C2520" s="1323"/>
      <c r="D2520" s="1327"/>
      <c r="E2520" s="1319"/>
      <c r="F2520" s="1324">
        <f>SUM(F2518:F2518)</f>
        <v>0</v>
      </c>
      <c r="G2520" s="1324">
        <f>SUM(G2518:G2519)</f>
        <v>0</v>
      </c>
      <c r="H2520" s="1324">
        <f>SUM(H2518:H2518)</f>
        <v>0</v>
      </c>
      <c r="I2520" s="1324">
        <f>+I2519</f>
        <v>14400</v>
      </c>
      <c r="J2520" s="2901"/>
      <c r="K2520" s="2901"/>
      <c r="L2520" s="2901"/>
    </row>
    <row r="2521" spans="1:12" ht="16.8" hidden="1">
      <c r="A2521" s="1325" t="s">
        <v>191</v>
      </c>
      <c r="B2521" s="1326">
        <f>+B2520</f>
        <v>14400</v>
      </c>
      <c r="C2521" s="1328" t="s">
        <v>150</v>
      </c>
      <c r="D2521" s="1329"/>
      <c r="E2521" s="1329"/>
      <c r="F2521" s="1329"/>
      <c r="G2521" s="1329"/>
      <c r="H2521" s="1330"/>
      <c r="I2521" s="1330"/>
    </row>
    <row r="2522" spans="1:12" hidden="1"/>
    <row r="2523" spans="1:12" s="1918" customFormat="1" ht="16.8" hidden="1">
      <c r="A2523" s="1318" t="s">
        <v>1148</v>
      </c>
      <c r="B2523" s="3849" t="s">
        <v>7175</v>
      </c>
      <c r="C2523" s="3849"/>
      <c r="D2523" s="3849"/>
      <c r="E2523" s="3849"/>
      <c r="F2523" s="3849"/>
      <c r="G2523" s="3849"/>
      <c r="H2523" s="3849"/>
      <c r="I2523" s="3849"/>
      <c r="J2523" s="2901"/>
      <c r="K2523" s="2901"/>
      <c r="L2523" s="2901"/>
    </row>
    <row r="2524" spans="1:12" s="1918" customFormat="1" ht="16.8" hidden="1">
      <c r="A2524" s="1319"/>
      <c r="B2524" s="1320"/>
      <c r="C2524" s="1319" t="s">
        <v>140</v>
      </c>
      <c r="D2524" s="1319" t="s">
        <v>343</v>
      </c>
      <c r="E2524" s="1319" t="s">
        <v>344</v>
      </c>
      <c r="F2524" s="1319" t="s">
        <v>482</v>
      </c>
      <c r="G2524" s="1319" t="s">
        <v>483</v>
      </c>
      <c r="H2524" s="1319" t="s">
        <v>170</v>
      </c>
      <c r="I2524" s="1319" t="s">
        <v>171</v>
      </c>
      <c r="J2524" s="2901"/>
      <c r="K2524" s="2901"/>
      <c r="L2524" s="2901"/>
    </row>
    <row r="2525" spans="1:12" s="1918" customFormat="1" ht="16.8" hidden="1">
      <c r="A2525" s="1319" t="s">
        <v>345</v>
      </c>
      <c r="B2525" s="1320" t="s">
        <v>6439</v>
      </c>
      <c r="C2525" s="1322">
        <v>1.04</v>
      </c>
      <c r="D2525" s="1323" t="s">
        <v>346</v>
      </c>
      <c r="E2525" s="1324">
        <f>+OFICI</f>
        <v>80479.625344</v>
      </c>
      <c r="F2525" s="1324"/>
      <c r="G2525" s="1324"/>
      <c r="H2525" s="1324">
        <f>+E2525*C2525</f>
        <v>83698.810357759998</v>
      </c>
      <c r="I2525" s="1324"/>
      <c r="J2525" s="2901"/>
      <c r="K2525" s="2901"/>
      <c r="L2525" s="2901"/>
    </row>
    <row r="2526" spans="1:12" s="1918" customFormat="1" ht="16.8" hidden="1">
      <c r="A2526" s="1319" t="s">
        <v>348</v>
      </c>
      <c r="B2526" s="1320" t="s">
        <v>6579</v>
      </c>
      <c r="C2526" s="1322">
        <v>1.04</v>
      </c>
      <c r="D2526" s="1323" t="s">
        <v>346</v>
      </c>
      <c r="E2526" s="1324">
        <f>+AYUDR</f>
        <v>50299.76584</v>
      </c>
      <c r="F2526" s="1324"/>
      <c r="G2526" s="1324"/>
      <c r="H2526" s="1324">
        <f>+E2526*C2526</f>
        <v>52311.756473599999</v>
      </c>
      <c r="I2526" s="1324"/>
      <c r="J2526" s="2901"/>
      <c r="K2526" s="2901"/>
      <c r="L2526" s="2901"/>
    </row>
    <row r="2527" spans="1:12" s="1918" customFormat="1" ht="16.8" hidden="1">
      <c r="A2527" s="1319" t="s">
        <v>172</v>
      </c>
      <c r="B2527" s="1320" t="s">
        <v>189</v>
      </c>
      <c r="C2527" s="1322">
        <v>1</v>
      </c>
      <c r="D2527" s="1323" t="s">
        <v>583</v>
      </c>
      <c r="E2527" s="1324">
        <f>+H2528*0.05</f>
        <v>6800.5283415679996</v>
      </c>
      <c r="F2527" s="1324"/>
      <c r="G2527" s="1324"/>
      <c r="H2527" s="1324"/>
      <c r="I2527" s="1324">
        <f>+E2527*C2527</f>
        <v>6800.5283415679996</v>
      </c>
      <c r="J2527" s="2901"/>
      <c r="K2527" s="2901"/>
      <c r="L2527" s="2901"/>
    </row>
    <row r="2528" spans="1:12" s="1918" customFormat="1" ht="16.8" hidden="1">
      <c r="A2528" s="1325" t="s">
        <v>190</v>
      </c>
      <c r="B2528" s="1326">
        <f>ROUND(SUM(F2528:I2528),0)</f>
        <v>142811</v>
      </c>
      <c r="C2528" s="1323"/>
      <c r="D2528" s="1327"/>
      <c r="E2528" s="1319"/>
      <c r="F2528" s="1324">
        <f>SUM(F2525:F2527)</f>
        <v>0</v>
      </c>
      <c r="G2528" s="1324">
        <f>SUM(G2525:G2526)</f>
        <v>0</v>
      </c>
      <c r="H2528" s="1324">
        <f>SUM(H2525:H2526)</f>
        <v>136010.56683135999</v>
      </c>
      <c r="I2528" s="1324">
        <f>SUM(I2525:I2527)</f>
        <v>6800.5283415679996</v>
      </c>
      <c r="J2528" s="2901"/>
      <c r="K2528" s="2901"/>
      <c r="L2528" s="2901"/>
    </row>
    <row r="2529" spans="1:12" ht="16.8" hidden="1">
      <c r="A2529" s="1325" t="s">
        <v>191</v>
      </c>
      <c r="B2529" s="1326">
        <f>+B2528</f>
        <v>142811</v>
      </c>
      <c r="C2529" s="1328" t="s">
        <v>150</v>
      </c>
      <c r="D2529" s="1329"/>
      <c r="E2529" s="1329">
        <f>+B2536*0.15</f>
        <v>142835.85</v>
      </c>
      <c r="F2529" s="1329"/>
      <c r="G2529" s="1329"/>
      <c r="H2529" s="1330"/>
      <c r="I2529" s="1330"/>
    </row>
    <row r="2530" spans="1:12" s="1918" customFormat="1" ht="15.75" hidden="1" customHeight="1">
      <c r="A2530" s="492"/>
      <c r="B2530" s="492"/>
      <c r="C2530" s="492"/>
      <c r="D2530" s="492"/>
      <c r="E2530" s="492"/>
      <c r="F2530" s="492"/>
      <c r="G2530" s="492"/>
      <c r="H2530" s="492"/>
      <c r="I2530" s="492"/>
      <c r="J2530" s="2901"/>
      <c r="K2530" s="2901">
        <f>0.05*1</f>
        <v>0.05</v>
      </c>
      <c r="L2530" s="2901"/>
    </row>
    <row r="2531" spans="1:12" s="1918" customFormat="1" ht="16.8" hidden="1">
      <c r="A2531" s="1318" t="s">
        <v>1148</v>
      </c>
      <c r="B2531" s="3849" t="s">
        <v>7174</v>
      </c>
      <c r="C2531" s="3849"/>
      <c r="D2531" s="3849"/>
      <c r="E2531" s="3849"/>
      <c r="F2531" s="3849"/>
      <c r="G2531" s="3849"/>
      <c r="H2531" s="3849"/>
      <c r="I2531" s="3849"/>
      <c r="J2531" s="2901"/>
      <c r="K2531" s="2901"/>
      <c r="L2531" s="2901"/>
    </row>
    <row r="2532" spans="1:12" s="1918" customFormat="1" ht="16.8" hidden="1">
      <c r="A2532" s="1319"/>
      <c r="B2532" s="1320"/>
      <c r="C2532" s="1319" t="s">
        <v>140</v>
      </c>
      <c r="D2532" s="1319" t="s">
        <v>343</v>
      </c>
      <c r="E2532" s="1319" t="s">
        <v>344</v>
      </c>
      <c r="F2532" s="1319" t="s">
        <v>482</v>
      </c>
      <c r="G2532" s="1319" t="s">
        <v>483</v>
      </c>
      <c r="H2532" s="1319" t="s">
        <v>170</v>
      </c>
      <c r="I2532" s="1319" t="s">
        <v>171</v>
      </c>
      <c r="J2532" s="2901"/>
      <c r="K2532" s="2901"/>
      <c r="L2532" s="2901"/>
    </row>
    <row r="2533" spans="1:12" s="1918" customFormat="1" ht="16.8" hidden="1">
      <c r="A2533" s="1319"/>
      <c r="B2533" s="1320" t="s">
        <v>7173</v>
      </c>
      <c r="C2533" s="1922">
        <v>1</v>
      </c>
      <c r="D2533" s="1920" t="s">
        <v>133</v>
      </c>
      <c r="E2533" s="1324">
        <f>+'BASE 2'!D552</f>
        <v>937839</v>
      </c>
      <c r="F2533" s="1324"/>
      <c r="G2533" s="1324">
        <f>+E2533*C2533</f>
        <v>937839</v>
      </c>
      <c r="H2533" s="1324"/>
      <c r="I2533" s="1324"/>
      <c r="J2533" s="2901"/>
      <c r="K2533" s="2901"/>
      <c r="L2533" s="2901"/>
    </row>
    <row r="2534" spans="1:12" s="1918" customFormat="1" ht="16.8" hidden="1">
      <c r="A2534" s="1319"/>
      <c r="B2534" s="1320" t="s">
        <v>4727</v>
      </c>
      <c r="C2534" s="1919">
        <v>1.2E-2</v>
      </c>
      <c r="D2534" s="1921" t="s">
        <v>583</v>
      </c>
      <c r="E2534" s="1324">
        <f>+VIAJE</f>
        <v>1200000</v>
      </c>
      <c r="F2534" s="1324"/>
      <c r="G2534" s="1324"/>
      <c r="H2534" s="1324"/>
      <c r="I2534" s="1324">
        <f>+E2534*C2534</f>
        <v>14400</v>
      </c>
      <c r="J2534" s="2901"/>
      <c r="K2534" s="2901"/>
      <c r="L2534" s="2901"/>
    </row>
    <row r="2535" spans="1:12" s="1918" customFormat="1" ht="16.8" hidden="1">
      <c r="A2535" s="1325" t="s">
        <v>190</v>
      </c>
      <c r="B2535" s="1326">
        <f>ROUND(SUM(F2535:I2535),0)</f>
        <v>952239</v>
      </c>
      <c r="C2535" s="1323"/>
      <c r="D2535" s="1327"/>
      <c r="E2535" s="1319"/>
      <c r="F2535" s="1324">
        <f>SUM(F2533:F2533)</f>
        <v>0</v>
      </c>
      <c r="G2535" s="1324">
        <f>SUM(G2533:G2534)</f>
        <v>937839</v>
      </c>
      <c r="H2535" s="1324">
        <f>SUM(H2533:H2533)</f>
        <v>0</v>
      </c>
      <c r="I2535" s="1324">
        <f>+I2534</f>
        <v>14400</v>
      </c>
      <c r="J2535" s="2901"/>
      <c r="K2535" s="2901"/>
      <c r="L2535" s="2901"/>
    </row>
    <row r="2536" spans="1:12" ht="16.8" hidden="1">
      <c r="A2536" s="1325" t="s">
        <v>191</v>
      </c>
      <c r="B2536" s="1326">
        <f>+B2535</f>
        <v>952239</v>
      </c>
      <c r="C2536" s="1328" t="s">
        <v>150</v>
      </c>
      <c r="D2536" s="1329"/>
      <c r="E2536" s="1329"/>
      <c r="F2536" s="1329"/>
      <c r="G2536" s="1329"/>
      <c r="H2536" s="1330"/>
      <c r="I2536" s="1330"/>
    </row>
    <row r="2537" spans="1:12" s="1918" customFormat="1" ht="18" hidden="1" customHeight="1">
      <c r="A2537" s="492"/>
      <c r="B2537" s="492"/>
      <c r="C2537" s="492"/>
      <c r="D2537" s="492"/>
      <c r="E2537" s="492"/>
      <c r="F2537" s="492"/>
      <c r="G2537" s="492"/>
      <c r="H2537" s="492"/>
      <c r="I2537" s="492"/>
      <c r="J2537" s="2901"/>
      <c r="K2537" s="2901">
        <f>0.05*1</f>
        <v>0.05</v>
      </c>
      <c r="L2537" s="2901"/>
    </row>
    <row r="2538" spans="1:12" s="1918" customFormat="1" ht="16.8" hidden="1">
      <c r="A2538" s="1318" t="s">
        <v>1148</v>
      </c>
      <c r="B2538" s="3849" t="s">
        <v>7979</v>
      </c>
      <c r="C2538" s="3849"/>
      <c r="D2538" s="3849"/>
      <c r="E2538" s="3849"/>
      <c r="F2538" s="3849"/>
      <c r="G2538" s="3849"/>
      <c r="H2538" s="3849"/>
      <c r="I2538" s="3849"/>
      <c r="J2538" s="2901"/>
      <c r="K2538" s="2901"/>
      <c r="L2538" s="2901"/>
    </row>
    <row r="2539" spans="1:12" s="1918" customFormat="1" ht="16.8" hidden="1">
      <c r="A2539" s="1319"/>
      <c r="B2539" s="1320"/>
      <c r="C2539" s="1319" t="s">
        <v>140</v>
      </c>
      <c r="D2539" s="1319" t="s">
        <v>343</v>
      </c>
      <c r="E2539" s="1319" t="s">
        <v>344</v>
      </c>
      <c r="F2539" s="1319" t="s">
        <v>482</v>
      </c>
      <c r="G2539" s="1319" t="s">
        <v>483</v>
      </c>
      <c r="H2539" s="1319" t="s">
        <v>170</v>
      </c>
      <c r="I2539" s="1319" t="s">
        <v>171</v>
      </c>
      <c r="J2539" s="2901"/>
      <c r="K2539" s="2901"/>
      <c r="L2539" s="2901"/>
    </row>
    <row r="2540" spans="1:12" s="1918" customFormat="1" ht="16.8" hidden="1">
      <c r="A2540" s="1319" t="s">
        <v>345</v>
      </c>
      <c r="B2540" s="1320" t="s">
        <v>6439</v>
      </c>
      <c r="C2540" s="1322">
        <v>0.62</v>
      </c>
      <c r="D2540" s="1323" t="s">
        <v>346</v>
      </c>
      <c r="E2540" s="1324">
        <f>+OFICI</f>
        <v>80479.625344</v>
      </c>
      <c r="F2540" s="1324"/>
      <c r="G2540" s="1324"/>
      <c r="H2540" s="1324">
        <f>+E2540*C2540</f>
        <v>49897.36771328</v>
      </c>
      <c r="I2540" s="1324"/>
      <c r="J2540" s="2901"/>
      <c r="K2540" s="2901"/>
      <c r="L2540" s="2901"/>
    </row>
    <row r="2541" spans="1:12" s="1918" customFormat="1" ht="16.8" hidden="1">
      <c r="A2541" s="1319" t="s">
        <v>348</v>
      </c>
      <c r="B2541" s="1320" t="s">
        <v>966</v>
      </c>
      <c r="C2541" s="1322">
        <v>0.62</v>
      </c>
      <c r="D2541" s="1323" t="s">
        <v>346</v>
      </c>
      <c r="E2541" s="1324">
        <f>+AYUDR</f>
        <v>50299.76584</v>
      </c>
      <c r="F2541" s="1324"/>
      <c r="G2541" s="1324"/>
      <c r="H2541" s="1324">
        <f>+E2541*C2541</f>
        <v>31185.854820799999</v>
      </c>
      <c r="I2541" s="1324"/>
      <c r="J2541" s="2901"/>
      <c r="K2541" s="2901"/>
      <c r="L2541" s="2901"/>
    </row>
    <row r="2542" spans="1:12" s="1918" customFormat="1" ht="16.8" hidden="1">
      <c r="A2542" s="1319" t="s">
        <v>172</v>
      </c>
      <c r="B2542" s="1320" t="s">
        <v>189</v>
      </c>
      <c r="C2542" s="1322">
        <v>1</v>
      </c>
      <c r="D2542" s="1323" t="s">
        <v>583</v>
      </c>
      <c r="E2542" s="1324">
        <f>+H2543*0.05</f>
        <v>4054.1611267040007</v>
      </c>
      <c r="F2542" s="1324"/>
      <c r="G2542" s="1324"/>
      <c r="H2542" s="1324"/>
      <c r="I2542" s="1324">
        <f>+E2542*C2542</f>
        <v>4054.1611267040007</v>
      </c>
      <c r="J2542" s="2901"/>
      <c r="K2542" s="2901"/>
      <c r="L2542" s="2901"/>
    </row>
    <row r="2543" spans="1:12" s="1918" customFormat="1" ht="16.8" hidden="1">
      <c r="A2543" s="1325" t="s">
        <v>190</v>
      </c>
      <c r="B2543" s="1326">
        <f>ROUND(SUM(F2543:I2543),0)</f>
        <v>85137</v>
      </c>
      <c r="C2543" s="1323"/>
      <c r="D2543" s="1327"/>
      <c r="E2543" s="1319"/>
      <c r="F2543" s="1324">
        <f>SUM(F2540:F2542)</f>
        <v>0</v>
      </c>
      <c r="G2543" s="1324">
        <f>SUM(G2540:G2541)</f>
        <v>0</v>
      </c>
      <c r="H2543" s="1324">
        <f>SUM(H2540:H2541)</f>
        <v>81083.222534080007</v>
      </c>
      <c r="I2543" s="1324">
        <f>SUM(I2540:I2542)</f>
        <v>4054.1611267040007</v>
      </c>
      <c r="J2543" s="2901"/>
      <c r="K2543" s="2901"/>
      <c r="L2543" s="2901"/>
    </row>
    <row r="2544" spans="1:12" ht="16.8" hidden="1">
      <c r="A2544" s="1325" t="s">
        <v>191</v>
      </c>
      <c r="B2544" s="1326">
        <f>+B2543</f>
        <v>85137</v>
      </c>
      <c r="C2544" s="1328" t="s">
        <v>150</v>
      </c>
      <c r="D2544" s="1329"/>
      <c r="E2544" s="1329">
        <f>+B2551*0.15</f>
        <v>85733.7</v>
      </c>
      <c r="F2544" s="1329"/>
      <c r="G2544" s="1329"/>
      <c r="H2544" s="1330"/>
      <c r="I2544" s="1330"/>
    </row>
    <row r="2545" spans="1:12" s="1918" customFormat="1" ht="15.75" hidden="1" customHeight="1">
      <c r="A2545" s="492"/>
      <c r="B2545" s="492"/>
      <c r="C2545" s="492"/>
      <c r="D2545" s="492"/>
      <c r="E2545" s="492"/>
      <c r="F2545" s="492"/>
      <c r="G2545" s="492"/>
      <c r="H2545" s="492"/>
      <c r="I2545" s="492"/>
      <c r="J2545" s="2901"/>
      <c r="K2545" s="2901">
        <f>0.05*1</f>
        <v>0.05</v>
      </c>
      <c r="L2545" s="2901"/>
    </row>
    <row r="2546" spans="1:12" s="1918" customFormat="1" ht="16.8" hidden="1">
      <c r="A2546" s="1318" t="s">
        <v>1148</v>
      </c>
      <c r="B2546" s="3849" t="s">
        <v>7178</v>
      </c>
      <c r="C2546" s="3849"/>
      <c r="D2546" s="3849"/>
      <c r="E2546" s="3849"/>
      <c r="F2546" s="3849"/>
      <c r="G2546" s="3849"/>
      <c r="H2546" s="3849"/>
      <c r="I2546" s="3849"/>
      <c r="J2546" s="2901"/>
      <c r="K2546" s="2901"/>
      <c r="L2546" s="2901"/>
    </row>
    <row r="2547" spans="1:12" s="1918" customFormat="1" ht="16.8" hidden="1">
      <c r="A2547" s="1319"/>
      <c r="B2547" s="1320"/>
      <c r="C2547" s="1319" t="s">
        <v>140</v>
      </c>
      <c r="D2547" s="1319" t="s">
        <v>343</v>
      </c>
      <c r="E2547" s="1319" t="s">
        <v>344</v>
      </c>
      <c r="F2547" s="1319" t="s">
        <v>482</v>
      </c>
      <c r="G2547" s="1319" t="s">
        <v>483</v>
      </c>
      <c r="H2547" s="1319" t="s">
        <v>170</v>
      </c>
      <c r="I2547" s="1319" t="s">
        <v>171</v>
      </c>
      <c r="J2547" s="2901"/>
      <c r="K2547" s="2901"/>
      <c r="L2547" s="2901"/>
    </row>
    <row r="2548" spans="1:12" s="1918" customFormat="1" ht="16.8" hidden="1">
      <c r="A2548" s="1319"/>
      <c r="B2548" s="1320" t="s">
        <v>7177</v>
      </c>
      <c r="C2548" s="1922">
        <v>1</v>
      </c>
      <c r="D2548" s="1920" t="s">
        <v>133</v>
      </c>
      <c r="E2548" s="1324">
        <f>+'BASE 2'!D554</f>
        <v>557158</v>
      </c>
      <c r="F2548" s="1324"/>
      <c r="G2548" s="1324">
        <f>+E2548*C2548</f>
        <v>557158</v>
      </c>
      <c r="H2548" s="1324"/>
      <c r="I2548" s="1324"/>
      <c r="J2548" s="2901"/>
      <c r="K2548" s="2901"/>
      <c r="L2548" s="2901"/>
    </row>
    <row r="2549" spans="1:12" s="1918" customFormat="1" ht="16.8" hidden="1">
      <c r="A2549" s="1319"/>
      <c r="B2549" s="1320" t="s">
        <v>4727</v>
      </c>
      <c r="C2549" s="1919">
        <v>1.2E-2</v>
      </c>
      <c r="D2549" s="1921" t="s">
        <v>583</v>
      </c>
      <c r="E2549" s="1324">
        <f>+VIAJE</f>
        <v>1200000</v>
      </c>
      <c r="F2549" s="1324"/>
      <c r="G2549" s="1324"/>
      <c r="H2549" s="1324"/>
      <c r="I2549" s="1324">
        <f>+E2549*C2549</f>
        <v>14400</v>
      </c>
      <c r="J2549" s="2901"/>
      <c r="K2549" s="2901"/>
      <c r="L2549" s="2901"/>
    </row>
    <row r="2550" spans="1:12" s="1918" customFormat="1" ht="16.8" hidden="1">
      <c r="A2550" s="1325" t="s">
        <v>190</v>
      </c>
      <c r="B2550" s="1326">
        <f>ROUND(SUM(F2550:I2550),0)</f>
        <v>571558</v>
      </c>
      <c r="C2550" s="1323"/>
      <c r="D2550" s="1327"/>
      <c r="E2550" s="1319"/>
      <c r="F2550" s="1324">
        <f>SUM(F2548:F2548)</f>
        <v>0</v>
      </c>
      <c r="G2550" s="1324">
        <f>SUM(G2548:G2549)</f>
        <v>557158</v>
      </c>
      <c r="H2550" s="1324">
        <f>SUM(H2548:H2548)</f>
        <v>0</v>
      </c>
      <c r="I2550" s="1324">
        <f>+I2549</f>
        <v>14400</v>
      </c>
      <c r="J2550" s="2901"/>
      <c r="K2550" s="2901"/>
      <c r="L2550" s="2901"/>
    </row>
    <row r="2551" spans="1:12" ht="16.8" hidden="1">
      <c r="A2551" s="1325" t="s">
        <v>191</v>
      </c>
      <c r="B2551" s="1326">
        <f>+B2550</f>
        <v>571558</v>
      </c>
      <c r="C2551" s="1328" t="s">
        <v>150</v>
      </c>
      <c r="D2551" s="1329"/>
      <c r="E2551" s="1329"/>
      <c r="F2551" s="1329"/>
      <c r="G2551" s="1329"/>
      <c r="H2551" s="1330"/>
      <c r="I2551" s="1330"/>
    </row>
    <row r="2552" spans="1:12" s="1918" customFormat="1" ht="18" customHeight="1">
      <c r="A2552" s="492"/>
      <c r="B2552" s="492"/>
      <c r="C2552" s="492"/>
      <c r="D2552" s="492"/>
      <c r="E2552" s="492"/>
      <c r="F2552" s="492"/>
      <c r="G2552" s="492"/>
      <c r="H2552" s="492"/>
      <c r="I2552" s="492"/>
      <c r="J2552" s="2901"/>
      <c r="K2552" s="2901">
        <f>0.05*1</f>
        <v>0.05</v>
      </c>
      <c r="L2552" s="2901"/>
    </row>
    <row r="2553" spans="1:12" ht="13.8">
      <c r="A2553" s="1353"/>
      <c r="B2553" s="1353"/>
      <c r="C2553" s="1353"/>
      <c r="D2553" s="1353"/>
      <c r="E2553" s="1354"/>
      <c r="F2553" s="1354"/>
      <c r="G2553" s="1354"/>
      <c r="H2553" s="1354"/>
      <c r="I2553" s="1354"/>
    </row>
  </sheetData>
  <mergeCells count="316">
    <mergeCell ref="B2378:I2378"/>
    <mergeCell ref="B2207:I2207"/>
    <mergeCell ref="B2215:I2215"/>
    <mergeCell ref="B2268:I2268"/>
    <mergeCell ref="B2278:I2278"/>
    <mergeCell ref="B1855:I1855"/>
    <mergeCell ref="B1863:I1863"/>
    <mergeCell ref="B1870:I1870"/>
    <mergeCell ref="B1879:I1879"/>
    <mergeCell ref="B1886:I1886"/>
    <mergeCell ref="B1894:I1894"/>
    <mergeCell ref="B1901:I1901"/>
    <mergeCell ref="B1909:I1909"/>
    <mergeCell ref="B1916:I1916"/>
    <mergeCell ref="B2044:I2044"/>
    <mergeCell ref="B2191:I2191"/>
    <mergeCell ref="B2199:I2199"/>
    <mergeCell ref="B1924:I1924"/>
    <mergeCell ref="B2014:I2014"/>
    <mergeCell ref="B1961:I1961"/>
    <mergeCell ref="B1969:I1969"/>
    <mergeCell ref="B1976:I1976"/>
    <mergeCell ref="B1984:I1984"/>
    <mergeCell ref="B1991:I1991"/>
    <mergeCell ref="B2317:I2317"/>
    <mergeCell ref="B2340:I2340"/>
    <mergeCell ref="B2494:I2494"/>
    <mergeCell ref="B327:I327"/>
    <mergeCell ref="B313:I313"/>
    <mergeCell ref="B195:I195"/>
    <mergeCell ref="B205:I205"/>
    <mergeCell ref="B219:I219"/>
    <mergeCell ref="B228:I228"/>
    <mergeCell ref="B241:I241"/>
    <mergeCell ref="B255:I255"/>
    <mergeCell ref="B271:I271"/>
    <mergeCell ref="A203:I203"/>
    <mergeCell ref="A217:I217"/>
    <mergeCell ref="A239:I239"/>
    <mergeCell ref="A345:I345"/>
    <mergeCell ref="A559:I559"/>
    <mergeCell ref="B2427:I2427"/>
    <mergeCell ref="B2437:I2437"/>
    <mergeCell ref="B2453:I2453"/>
    <mergeCell ref="A2130:I2130"/>
    <mergeCell ref="A2128:I2128"/>
    <mergeCell ref="B2132:I2132"/>
    <mergeCell ref="B2139:I2139"/>
    <mergeCell ref="A13:I13"/>
    <mergeCell ref="A15:I15"/>
    <mergeCell ref="A34:I34"/>
    <mergeCell ref="A193:I193"/>
    <mergeCell ref="B2161:I2161"/>
    <mergeCell ref="B2169:I2169"/>
    <mergeCell ref="B2176:I2176"/>
    <mergeCell ref="B2184:I2184"/>
    <mergeCell ref="B1096:I1096"/>
    <mergeCell ref="B1104:I1104"/>
    <mergeCell ref="B2146:I2146"/>
    <mergeCell ref="B2154:I2154"/>
    <mergeCell ref="B586:I586"/>
    <mergeCell ref="B594:I594"/>
    <mergeCell ref="B949:I949"/>
    <mergeCell ref="B957:I957"/>
    <mergeCell ref="B1112:I1112"/>
    <mergeCell ref="B1120:I1120"/>
    <mergeCell ref="B987:I987"/>
    <mergeCell ref="B972:I972"/>
    <mergeCell ref="B964:I964"/>
    <mergeCell ref="B979:I979"/>
    <mergeCell ref="B994:I994"/>
    <mergeCell ref="B1009:I1009"/>
    <mergeCell ref="A1:A3"/>
    <mergeCell ref="B1:G1"/>
    <mergeCell ref="H1:I3"/>
    <mergeCell ref="B2:G2"/>
    <mergeCell ref="B3:C3"/>
    <mergeCell ref="D3:G3"/>
    <mergeCell ref="A802:I802"/>
    <mergeCell ref="B771:I771"/>
    <mergeCell ref="B779:I779"/>
    <mergeCell ref="B756:I756"/>
    <mergeCell ref="B764:I764"/>
    <mergeCell ref="B794:I794"/>
    <mergeCell ref="B6:I6"/>
    <mergeCell ref="B36:I36"/>
    <mergeCell ref="B47:I47"/>
    <mergeCell ref="B58:I58"/>
    <mergeCell ref="B184:I184"/>
    <mergeCell ref="B80:I80"/>
    <mergeCell ref="B91:I91"/>
    <mergeCell ref="B561:I561"/>
    <mergeCell ref="B602:I602"/>
    <mergeCell ref="B609:I609"/>
    <mergeCell ref="B436:I436"/>
    <mergeCell ref="B495:I495"/>
    <mergeCell ref="B1017:I1017"/>
    <mergeCell ref="B1024:I1024"/>
    <mergeCell ref="B1032:I1032"/>
    <mergeCell ref="B1043:I1043"/>
    <mergeCell ref="B786:I786"/>
    <mergeCell ref="B617:I617"/>
    <mergeCell ref="B624:I624"/>
    <mergeCell ref="B1748:I1748"/>
    <mergeCell ref="A1094:I1094"/>
    <mergeCell ref="B1076:I1076"/>
    <mergeCell ref="B632:I632"/>
    <mergeCell ref="B639:I639"/>
    <mergeCell ref="B649:I649"/>
    <mergeCell ref="B657:I657"/>
    <mergeCell ref="B665:I665"/>
    <mergeCell ref="B673:I673"/>
    <mergeCell ref="B681:I681"/>
    <mergeCell ref="B689:I689"/>
    <mergeCell ref="B729:I729"/>
    <mergeCell ref="B737:I737"/>
    <mergeCell ref="A754:I754"/>
    <mergeCell ref="B697:I697"/>
    <mergeCell ref="B721:I721"/>
    <mergeCell ref="B705:I705"/>
    <mergeCell ref="B1756:I1756"/>
    <mergeCell ref="B1763:I1763"/>
    <mergeCell ref="B1197:I1197"/>
    <mergeCell ref="B1255:I1255"/>
    <mergeCell ref="B1391:I1391"/>
    <mergeCell ref="B1428:I1428"/>
    <mergeCell ref="B1436:I1436"/>
    <mergeCell ref="B1525:I1525"/>
    <mergeCell ref="B1135:I1135"/>
    <mergeCell ref="B1158:I1158"/>
    <mergeCell ref="B1222:I1222"/>
    <mergeCell ref="B1231:I1231"/>
    <mergeCell ref="B1142:I1142"/>
    <mergeCell ref="B1533:I1533"/>
    <mergeCell ref="B1571:I1571"/>
    <mergeCell ref="B1443:I1443"/>
    <mergeCell ref="B1452:I1452"/>
    <mergeCell ref="B1596:I1596"/>
    <mergeCell ref="B1368:I1368"/>
    <mergeCell ref="B1376:I1376"/>
    <mergeCell ref="B1398:I1398"/>
    <mergeCell ref="B1406:I1406"/>
    <mergeCell ref="B1413:I1413"/>
    <mergeCell ref="B1421:I1421"/>
    <mergeCell ref="B510:I510"/>
    <mergeCell ref="B525:I525"/>
    <mergeCell ref="B542:I542"/>
    <mergeCell ref="B503:I503"/>
    <mergeCell ref="B518:I518"/>
    <mergeCell ref="B533:I533"/>
    <mergeCell ref="B550:I550"/>
    <mergeCell ref="B102:I102"/>
    <mergeCell ref="B113:I113"/>
    <mergeCell ref="B124:I124"/>
    <mergeCell ref="B135:I135"/>
    <mergeCell ref="B144:I144"/>
    <mergeCell ref="B152:I152"/>
    <mergeCell ref="B160:I160"/>
    <mergeCell ref="B168:I168"/>
    <mergeCell ref="B176:I176"/>
    <mergeCell ref="B286:I286"/>
    <mergeCell ref="B25:I25"/>
    <mergeCell ref="B69:I69"/>
    <mergeCell ref="B301:I301"/>
    <mergeCell ref="B336:I336"/>
    <mergeCell ref="B804:I804"/>
    <mergeCell ref="B445:I445"/>
    <mergeCell ref="B846:I846"/>
    <mergeCell ref="B856:I856"/>
    <mergeCell ref="B864:I864"/>
    <mergeCell ref="B570:I570"/>
    <mergeCell ref="B578:I578"/>
    <mergeCell ref="B813:I813"/>
    <mergeCell ref="B454:I454"/>
    <mergeCell ref="B463:I463"/>
    <mergeCell ref="B476:I476"/>
    <mergeCell ref="B486:I486"/>
    <mergeCell ref="B347:I347"/>
    <mergeCell ref="B361:I361"/>
    <mergeCell ref="B371:I371"/>
    <mergeCell ref="B381:I381"/>
    <mergeCell ref="B394:I394"/>
    <mergeCell ref="B405:I405"/>
    <mergeCell ref="B417:I417"/>
    <mergeCell ref="B427:I427"/>
    <mergeCell ref="B713:I713"/>
    <mergeCell ref="B745:I745"/>
    <mergeCell ref="B830:I830"/>
    <mergeCell ref="B910:I910"/>
    <mergeCell ref="B871:I871"/>
    <mergeCell ref="B879:I879"/>
    <mergeCell ref="B901:I901"/>
    <mergeCell ref="A854:I854"/>
    <mergeCell ref="B820:I820"/>
    <mergeCell ref="B886:I886"/>
    <mergeCell ref="B894:I894"/>
    <mergeCell ref="B1002:I1002"/>
    <mergeCell ref="B837:I837"/>
    <mergeCell ref="B1239:I1239"/>
    <mergeCell ref="B1247:I1247"/>
    <mergeCell ref="B1304:I1304"/>
    <mergeCell ref="B1312:I1312"/>
    <mergeCell ref="B1320:I1320"/>
    <mergeCell ref="A1039:I1039"/>
    <mergeCell ref="A1041:I1041"/>
    <mergeCell ref="B926:I926"/>
    <mergeCell ref="B933:I933"/>
    <mergeCell ref="B1057:I1057"/>
    <mergeCell ref="B1166:I1166"/>
    <mergeCell ref="B1127:I1127"/>
    <mergeCell ref="B917:I917"/>
    <mergeCell ref="B1205:I1205"/>
    <mergeCell ref="B1213:I1213"/>
    <mergeCell ref="B1189:I1189"/>
    <mergeCell ref="B1263:I1263"/>
    <mergeCell ref="B1271:I1271"/>
    <mergeCell ref="B1279:I1279"/>
    <mergeCell ref="B1287:I1287"/>
    <mergeCell ref="B1295:I1295"/>
    <mergeCell ref="B941:I941"/>
    <mergeCell ref="B1793:I1793"/>
    <mergeCell ref="B1801:I1801"/>
    <mergeCell ref="B1808:I1808"/>
    <mergeCell ref="B1661:I1661"/>
    <mergeCell ref="B1173:I1173"/>
    <mergeCell ref="B1181:I1181"/>
    <mergeCell ref="B1383:I1383"/>
    <mergeCell ref="B1636:I1636"/>
    <mergeCell ref="B1644:I1644"/>
    <mergeCell ref="B1336:I1336"/>
    <mergeCell ref="B1344:I1344"/>
    <mergeCell ref="B1540:I1540"/>
    <mergeCell ref="B1548:I1548"/>
    <mergeCell ref="B1579:I1579"/>
    <mergeCell ref="B1604:I1604"/>
    <mergeCell ref="B1474:I1474"/>
    <mergeCell ref="B1771:I1771"/>
    <mergeCell ref="B1778:I1778"/>
    <mergeCell ref="B1786:I1786"/>
    <mergeCell ref="B1669:I1669"/>
    <mergeCell ref="B1677:I1677"/>
    <mergeCell ref="B1328:I1328"/>
    <mergeCell ref="B1351:I1351"/>
    <mergeCell ref="B1360:I1360"/>
    <mergeCell ref="B2538:I2538"/>
    <mergeCell ref="B2370:I2370"/>
    <mergeCell ref="B2113:I2113"/>
    <mergeCell ref="B2105:I2105"/>
    <mergeCell ref="B2021:I2021"/>
    <mergeCell ref="B2029:I2029"/>
    <mergeCell ref="B2067:I2067"/>
    <mergeCell ref="B2075:I2075"/>
    <mergeCell ref="B2082:I2082"/>
    <mergeCell ref="B2090:I2090"/>
    <mergeCell ref="B2051:I2051"/>
    <mergeCell ref="B2059:I2059"/>
    <mergeCell ref="B2097:I2097"/>
    <mergeCell ref="B2332:I2332"/>
    <mergeCell ref="B2347:I2347"/>
    <mergeCell ref="B2355:I2355"/>
    <mergeCell ref="B2412:I2412"/>
    <mergeCell ref="B2223:I2223"/>
    <mergeCell ref="B2231:I2231"/>
    <mergeCell ref="B2238:I2238"/>
    <mergeCell ref="B2246:I2246"/>
    <mergeCell ref="B2253:I2253"/>
    <mergeCell ref="B2261:I2261"/>
    <mergeCell ref="B2390:I2390"/>
    <mergeCell ref="B2362:I2362"/>
    <mergeCell ref="B1701:I1701"/>
    <mergeCell ref="B1709:I1709"/>
    <mergeCell ref="B1817:I1817"/>
    <mergeCell ref="B1612:I1612"/>
    <mergeCell ref="B1620:I1620"/>
    <mergeCell ref="B1628:I1628"/>
    <mergeCell ref="B2523:I2523"/>
    <mergeCell ref="B2531:I2531"/>
    <mergeCell ref="B1999:I1999"/>
    <mergeCell ref="B2006:I2006"/>
    <mergeCell ref="B1931:I1931"/>
    <mergeCell ref="B1939:I1939"/>
    <mergeCell ref="B1946:I1946"/>
    <mergeCell ref="B1954:I1954"/>
    <mergeCell ref="B1840:I1840"/>
    <mergeCell ref="B1848:I1848"/>
    <mergeCell ref="B1685:I1685"/>
    <mergeCell ref="B1693:I1693"/>
    <mergeCell ref="B1732:I1732"/>
    <mergeCell ref="B1741:I1741"/>
    <mergeCell ref="B2303:I2303"/>
    <mergeCell ref="B2310:I2310"/>
    <mergeCell ref="B2325:I2325"/>
    <mergeCell ref="B17:I17"/>
    <mergeCell ref="B2546:I2546"/>
    <mergeCell ref="B1716:I1716"/>
    <mergeCell ref="B1724:I1724"/>
    <mergeCell ref="B1459:I1459"/>
    <mergeCell ref="B1467:I1467"/>
    <mergeCell ref="B1489:I1489"/>
    <mergeCell ref="B1499:I1499"/>
    <mergeCell ref="B1507:I1507"/>
    <mergeCell ref="B1517:I1517"/>
    <mergeCell ref="B1555:I1555"/>
    <mergeCell ref="B1563:I1563"/>
    <mergeCell ref="B1588:I1588"/>
    <mergeCell ref="B2468:I2468"/>
    <mergeCell ref="B2483:I2483"/>
    <mergeCell ref="B1824:I1824"/>
    <mergeCell ref="B1833:I1833"/>
    <mergeCell ref="B2036:I2036"/>
    <mergeCell ref="B1482:I1482"/>
    <mergeCell ref="B1653:I1653"/>
    <mergeCell ref="B2508:I2508"/>
    <mergeCell ref="B2516:I2516"/>
    <mergeCell ref="B2295:I2295"/>
    <mergeCell ref="B2286:I2286"/>
  </mergeCells>
  <pageMargins left="0.70866141732283472" right="0.70866141732283472" top="0.74803149606299213" bottom="0.74803149606299213" header="0.31496062992125984" footer="0.31496062992125984"/>
  <pageSetup scale="44" orientation="portrait" r:id="rId1"/>
  <rowBreaks count="2" manualBreakCount="2">
    <brk id="2267" max="8" man="1"/>
    <brk id="2339" max="8"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7" tint="0.39997558519241921"/>
  </sheetPr>
  <dimension ref="A1:I1792"/>
  <sheetViews>
    <sheetView workbookViewId="0">
      <selection sqref="A1:A3"/>
    </sheetView>
  </sheetViews>
  <sheetFormatPr baseColWidth="10" defaultColWidth="10.6640625" defaultRowHeight="16.8"/>
  <cols>
    <col min="1" max="1" width="16.88671875" style="178" customWidth="1"/>
    <col min="2" max="2" width="49.6640625" style="578" customWidth="1"/>
    <col min="3" max="3" width="13.6640625" style="666" customWidth="1"/>
    <col min="4" max="4" width="11.44140625" style="17"/>
    <col min="5" max="5" width="12.109375" style="581" customWidth="1"/>
    <col min="6" max="6" width="13.44140625" style="581" bestFit="1" customWidth="1"/>
    <col min="7" max="7" width="12.5546875" style="581" customWidth="1"/>
    <col min="8" max="8" width="11.33203125" style="581" bestFit="1" customWidth="1"/>
    <col min="9" max="9" width="10.6640625" style="581" customWidth="1"/>
  </cols>
  <sheetData>
    <row r="1" spans="1:9" ht="32.25" customHeight="1">
      <c r="A1" s="3493"/>
      <c r="B1" s="3626" t="s">
        <v>4262</v>
      </c>
      <c r="C1" s="3627"/>
      <c r="D1" s="3627"/>
      <c r="E1" s="3627"/>
      <c r="F1" s="3627"/>
      <c r="G1" s="3627"/>
      <c r="H1" s="3302"/>
      <c r="I1" s="3303"/>
    </row>
    <row r="2" spans="1:9" ht="18">
      <c r="A2" s="3494"/>
      <c r="B2" s="3586" t="s">
        <v>8539</v>
      </c>
      <c r="C2" s="3309"/>
      <c r="D2" s="3309"/>
      <c r="E2" s="3309"/>
      <c r="F2" s="3309"/>
      <c r="G2" s="3309"/>
      <c r="H2" s="3304"/>
      <c r="I2" s="3305"/>
    </row>
    <row r="3" spans="1:9" ht="18.600000000000001" thickBot="1">
      <c r="A3" s="3495"/>
      <c r="B3" s="3866" t="s">
        <v>3859</v>
      </c>
      <c r="C3" s="3866"/>
      <c r="D3" s="3914" t="s">
        <v>4259</v>
      </c>
      <c r="E3" s="3915"/>
      <c r="F3" s="3915"/>
      <c r="G3" s="3915"/>
      <c r="H3" s="3306"/>
      <c r="I3" s="3307"/>
    </row>
    <row r="5" spans="1:9">
      <c r="A5" s="3694" t="s">
        <v>3860</v>
      </c>
      <c r="B5" s="3695"/>
      <c r="C5" s="3695"/>
      <c r="D5" s="3695"/>
      <c r="E5" s="3695"/>
      <c r="F5" s="3695"/>
      <c r="G5" s="3695"/>
      <c r="H5" s="3695"/>
      <c r="I5" s="3895"/>
    </row>
    <row r="6" spans="1:9">
      <c r="A6" s="13"/>
      <c r="B6" s="251"/>
      <c r="C6" s="252"/>
      <c r="D6" s="13"/>
      <c r="E6" s="170"/>
      <c r="F6" s="170"/>
      <c r="G6" s="170"/>
      <c r="H6" s="170"/>
      <c r="I6" s="170"/>
    </row>
    <row r="7" spans="1:9">
      <c r="A7" s="668">
        <v>1.1000000000000001</v>
      </c>
      <c r="B7" s="3855" t="s">
        <v>3861</v>
      </c>
      <c r="C7" s="3856"/>
      <c r="D7" s="3856"/>
      <c r="E7" s="3856"/>
      <c r="F7" s="3856"/>
      <c r="G7" s="3856"/>
      <c r="H7" s="3856"/>
      <c r="I7" s="3857"/>
    </row>
    <row r="8" spans="1:9">
      <c r="A8" s="2"/>
      <c r="B8" s="40"/>
      <c r="C8" s="34" t="s">
        <v>140</v>
      </c>
      <c r="D8" s="2" t="s">
        <v>343</v>
      </c>
      <c r="E8" s="585" t="s">
        <v>344</v>
      </c>
      <c r="F8" s="585" t="s">
        <v>482</v>
      </c>
      <c r="G8" s="585" t="s">
        <v>483</v>
      </c>
      <c r="H8" s="585" t="s">
        <v>232</v>
      </c>
      <c r="I8" s="585" t="s">
        <v>171</v>
      </c>
    </row>
    <row r="9" spans="1:9" ht="18">
      <c r="A9" s="2" t="s">
        <v>172</v>
      </c>
      <c r="B9" s="40" t="s">
        <v>189</v>
      </c>
      <c r="C9" s="158">
        <v>1</v>
      </c>
      <c r="D9" s="6" t="s">
        <v>583</v>
      </c>
      <c r="E9" s="585">
        <f>+H12*0.05</f>
        <v>184.81182795698925</v>
      </c>
      <c r="F9" s="669"/>
      <c r="G9" s="669"/>
      <c r="H9" s="669"/>
      <c r="I9" s="669">
        <f>+E9*C9</f>
        <v>184.81182795698925</v>
      </c>
    </row>
    <row r="10" spans="1:9" ht="18">
      <c r="A10" s="2" t="s">
        <v>372</v>
      </c>
      <c r="B10" s="670" t="s">
        <v>621</v>
      </c>
      <c r="C10" s="182">
        <f>1/50</f>
        <v>0.02</v>
      </c>
      <c r="D10" s="6" t="s">
        <v>374</v>
      </c>
      <c r="E10" s="585">
        <f>CLAVO</f>
        <v>2300</v>
      </c>
      <c r="F10" s="669"/>
      <c r="G10" s="669">
        <f>+E10*C10</f>
        <v>46</v>
      </c>
      <c r="H10" s="669"/>
      <c r="I10" s="669"/>
    </row>
    <row r="11" spans="1:9" ht="19.8">
      <c r="A11" s="2" t="s">
        <v>349</v>
      </c>
      <c r="B11" s="40" t="s">
        <v>350</v>
      </c>
      <c r="C11" s="183">
        <f>1/148.8</f>
        <v>6.720430107526881E-3</v>
      </c>
      <c r="D11" s="643" t="s">
        <v>3850</v>
      </c>
      <c r="E11" s="585">
        <f>+MOTOP</f>
        <v>550000</v>
      </c>
      <c r="F11" s="669"/>
      <c r="G11" s="669"/>
      <c r="H11" s="669">
        <f>+E11*C11</f>
        <v>3696.2365591397847</v>
      </c>
      <c r="I11" s="669"/>
    </row>
    <row r="12" spans="1:9">
      <c r="A12" s="20" t="s">
        <v>190</v>
      </c>
      <c r="B12" s="39">
        <f>SUM(F12:I12)</f>
        <v>3927.0483870967741</v>
      </c>
      <c r="C12" s="34"/>
      <c r="D12" s="6"/>
      <c r="E12" s="585"/>
      <c r="F12" s="669">
        <f>SUM(F9:F11)</f>
        <v>0</v>
      </c>
      <c r="G12" s="669">
        <f>SUM(G9:G11)</f>
        <v>46</v>
      </c>
      <c r="H12" s="669">
        <f>SUM(H9:H11)</f>
        <v>3696.2365591397847</v>
      </c>
      <c r="I12" s="669">
        <f>SUM(I9:I11)</f>
        <v>184.81182795698925</v>
      </c>
    </row>
    <row r="13" spans="1:9" ht="19.8">
      <c r="A13" s="20" t="s">
        <v>191</v>
      </c>
      <c r="B13" s="1227">
        <f>+ROUND(B12,0)</f>
        <v>3927</v>
      </c>
      <c r="C13" s="643" t="s">
        <v>3850</v>
      </c>
      <c r="D13" s="671"/>
      <c r="E13" s="170"/>
      <c r="F13" s="672"/>
      <c r="G13" s="672"/>
      <c r="H13" s="672"/>
      <c r="I13" s="672"/>
    </row>
    <row r="14" spans="1:9">
      <c r="A14" s="673"/>
      <c r="B14" s="673"/>
      <c r="C14" s="673"/>
      <c r="D14" s="673"/>
      <c r="E14" s="170"/>
      <c r="F14" s="672"/>
      <c r="G14" s="672"/>
      <c r="H14" s="672"/>
      <c r="I14" s="672"/>
    </row>
    <row r="15" spans="1:9">
      <c r="A15" s="582">
        <v>1.2</v>
      </c>
      <c r="B15" s="3855" t="s">
        <v>1374</v>
      </c>
      <c r="C15" s="3856"/>
      <c r="D15" s="3856"/>
      <c r="E15" s="3856"/>
      <c r="F15" s="3856"/>
      <c r="G15" s="3856"/>
      <c r="H15" s="3856"/>
      <c r="I15" s="3857"/>
    </row>
    <row r="16" spans="1:9">
      <c r="A16" s="470"/>
      <c r="B16" s="670"/>
      <c r="C16" s="34" t="s">
        <v>140</v>
      </c>
      <c r="D16" s="2" t="s">
        <v>343</v>
      </c>
      <c r="E16" s="32" t="s">
        <v>344</v>
      </c>
      <c r="F16" s="32" t="s">
        <v>482</v>
      </c>
      <c r="G16" s="32" t="s">
        <v>483</v>
      </c>
      <c r="H16" s="32" t="s">
        <v>170</v>
      </c>
      <c r="I16" s="32" t="s">
        <v>171</v>
      </c>
    </row>
    <row r="17" spans="1:9">
      <c r="A17" s="470" t="s">
        <v>172</v>
      </c>
      <c r="B17" s="670" t="s">
        <v>189</v>
      </c>
      <c r="C17" s="370">
        <v>1</v>
      </c>
      <c r="D17" s="243" t="s">
        <v>583</v>
      </c>
      <c r="E17" s="674">
        <f>+H20*0.05</f>
        <v>331.97845454400004</v>
      </c>
      <c r="F17" s="674"/>
      <c r="G17" s="674"/>
      <c r="H17" s="674"/>
      <c r="I17" s="674">
        <f>+E17*C17</f>
        <v>331.97845454400004</v>
      </c>
    </row>
    <row r="18" spans="1:9">
      <c r="A18" s="470" t="s">
        <v>348</v>
      </c>
      <c r="B18" s="670" t="str">
        <f>IF(PRESTA&gt;0,"AYUD. RASO (INCLUYE "&amp;""&amp;PRESTA*100&amp;"% PRESTACIONES)",0)</f>
        <v>AYUD. RASO (INCLUYE 82,22% PRESTACIONES)</v>
      </c>
      <c r="C18" s="370">
        <f>2/25</f>
        <v>0.08</v>
      </c>
      <c r="D18" s="243" t="s">
        <v>346</v>
      </c>
      <c r="E18" s="674">
        <f>+AYUDR</f>
        <v>50299.76584</v>
      </c>
      <c r="F18" s="674"/>
      <c r="G18" s="674"/>
      <c r="H18" s="674">
        <f>+E18*C18</f>
        <v>4023.9812672000003</v>
      </c>
      <c r="I18" s="674"/>
    </row>
    <row r="19" spans="1:9">
      <c r="A19" s="470" t="s">
        <v>347</v>
      </c>
      <c r="B19" s="5" t="str">
        <f>IF(PRESTA&gt;0,"AYUD. ENTENDIDO (INCLUYE "&amp;""&amp;PRESTA*100&amp;"% PRESTACIONES)",0)</f>
        <v>AYUD. ENTENDIDO (INCLUYE 82,22% PRESTACIONES)</v>
      </c>
      <c r="C19" s="370">
        <f>1/25</f>
        <v>0.04</v>
      </c>
      <c r="D19" s="243" t="s">
        <v>346</v>
      </c>
      <c r="E19" s="674">
        <f>+AYUDA</f>
        <v>65389.695592000004</v>
      </c>
      <c r="F19" s="674"/>
      <c r="G19" s="674"/>
      <c r="H19" s="674">
        <f>+E19*C19</f>
        <v>2615.5878236800004</v>
      </c>
      <c r="I19" s="674"/>
    </row>
    <row r="20" spans="1:9">
      <c r="A20" s="20" t="s">
        <v>190</v>
      </c>
      <c r="B20" s="39">
        <f>SUM(F20:I20)</f>
        <v>6971.5475454240004</v>
      </c>
      <c r="C20" s="370"/>
      <c r="D20" s="243"/>
      <c r="E20" s="674"/>
      <c r="F20" s="674">
        <f>+SUM(F17:F19)</f>
        <v>0</v>
      </c>
      <c r="G20" s="674">
        <f>+SUM(G17:G19)</f>
        <v>0</v>
      </c>
      <c r="H20" s="674">
        <f>+SUM(H17:H19)</f>
        <v>6639.5690908800007</v>
      </c>
      <c r="I20" s="674">
        <f>+SUM(I17:I19)</f>
        <v>331.97845454400004</v>
      </c>
    </row>
    <row r="21" spans="1:9" ht="18">
      <c r="A21" s="20" t="s">
        <v>191</v>
      </c>
      <c r="B21" s="39">
        <f>+B20</f>
        <v>6971.5475454240004</v>
      </c>
      <c r="C21" s="21" t="s">
        <v>3862</v>
      </c>
      <c r="D21" s="178"/>
      <c r="E21" s="377"/>
      <c r="F21" s="377"/>
      <c r="G21" s="377"/>
      <c r="H21" s="377"/>
      <c r="I21" s="377"/>
    </row>
    <row r="22" spans="1:9">
      <c r="A22" s="479"/>
      <c r="B22" s="675"/>
      <c r="C22" s="676"/>
      <c r="D22" s="178"/>
      <c r="E22" s="377"/>
      <c r="F22" s="377"/>
      <c r="G22" s="377"/>
      <c r="H22" s="377"/>
      <c r="I22" s="377"/>
    </row>
    <row r="23" spans="1:9">
      <c r="A23" s="582">
        <v>1.3</v>
      </c>
      <c r="B23" s="3855" t="s">
        <v>1375</v>
      </c>
      <c r="C23" s="3856"/>
      <c r="D23" s="3856"/>
      <c r="E23" s="3856"/>
      <c r="F23" s="3856"/>
      <c r="G23" s="3856"/>
      <c r="H23" s="3856"/>
      <c r="I23" s="3857"/>
    </row>
    <row r="24" spans="1:9">
      <c r="A24" s="470"/>
      <c r="B24" s="670"/>
      <c r="C24" s="34" t="s">
        <v>140</v>
      </c>
      <c r="D24" s="2" t="s">
        <v>343</v>
      </c>
      <c r="E24" s="32" t="s">
        <v>344</v>
      </c>
      <c r="F24" s="32" t="s">
        <v>482</v>
      </c>
      <c r="G24" s="32" t="s">
        <v>483</v>
      </c>
      <c r="H24" s="32" t="s">
        <v>170</v>
      </c>
      <c r="I24" s="32" t="s">
        <v>171</v>
      </c>
    </row>
    <row r="25" spans="1:9">
      <c r="A25" s="470" t="s">
        <v>736</v>
      </c>
      <c r="B25" s="167" t="s">
        <v>737</v>
      </c>
      <c r="C25" s="168">
        <v>0.01</v>
      </c>
      <c r="D25" s="470" t="s">
        <v>735</v>
      </c>
      <c r="E25" s="677">
        <f>+RETRO</f>
        <v>150000</v>
      </c>
      <c r="F25" s="677">
        <f>+E25*C25</f>
        <v>1500</v>
      </c>
      <c r="G25" s="677"/>
      <c r="H25" s="677"/>
      <c r="I25" s="677"/>
    </row>
    <row r="26" spans="1:9" ht="18">
      <c r="A26" s="470"/>
      <c r="B26" s="167" t="s">
        <v>3863</v>
      </c>
      <c r="C26" s="168">
        <v>1</v>
      </c>
      <c r="D26" s="243" t="s">
        <v>3864</v>
      </c>
      <c r="E26" s="677">
        <f>+BOTAD</f>
        <v>22000</v>
      </c>
      <c r="F26" s="677"/>
      <c r="G26" s="677"/>
      <c r="H26" s="677"/>
      <c r="I26" s="674">
        <f>+E26*C26</f>
        <v>22000</v>
      </c>
    </row>
    <row r="27" spans="1:9">
      <c r="A27" s="470" t="s">
        <v>172</v>
      </c>
      <c r="B27" s="670" t="s">
        <v>189</v>
      </c>
      <c r="C27" s="370">
        <v>1</v>
      </c>
      <c r="D27" s="243" t="s">
        <v>583</v>
      </c>
      <c r="E27" s="674">
        <f>+H30*0.05</f>
        <v>57.844730716000008</v>
      </c>
      <c r="F27" s="674"/>
      <c r="G27" s="674"/>
      <c r="H27" s="674"/>
      <c r="I27" s="674">
        <f>+E27*C27</f>
        <v>57.844730716000008</v>
      </c>
    </row>
    <row r="28" spans="1:9">
      <c r="A28" s="470" t="s">
        <v>348</v>
      </c>
      <c r="B28" s="670" t="str">
        <f>IF(PRESTA&gt;0,"AYUD. RASO (INCLUYE "&amp;""&amp;PRESTA*100&amp;"% PRESTACIONES)",0)</f>
        <v>AYUD. RASO (INCLUYE 82,22% PRESTACIONES)</v>
      </c>
      <c r="C28" s="370">
        <v>0.01</v>
      </c>
      <c r="D28" s="243" t="s">
        <v>346</v>
      </c>
      <c r="E28" s="674">
        <f>+AYUDR</f>
        <v>50299.76584</v>
      </c>
      <c r="F28" s="674"/>
      <c r="G28" s="674"/>
      <c r="H28" s="674">
        <f>+E28*C28</f>
        <v>502.99765840000003</v>
      </c>
      <c r="I28" s="674"/>
    </row>
    <row r="29" spans="1:9">
      <c r="A29" s="470" t="s">
        <v>347</v>
      </c>
      <c r="B29" s="5" t="str">
        <f>IF(PRESTA&gt;0,"AYUD. ENTENDIDO (INCLUYE "&amp;""&amp;PRESTA*100&amp;"% PRESTACIONES)",0)</f>
        <v>AYUD. ENTENDIDO (INCLUYE 82,22% PRESTACIONES)</v>
      </c>
      <c r="C29" s="370">
        <v>0.01</v>
      </c>
      <c r="D29" s="243" t="s">
        <v>346</v>
      </c>
      <c r="E29" s="674">
        <f>+AYUDA</f>
        <v>65389.695592000004</v>
      </c>
      <c r="F29" s="674"/>
      <c r="G29" s="674"/>
      <c r="H29" s="674">
        <f>+E29*C29</f>
        <v>653.8969559200001</v>
      </c>
      <c r="I29" s="674"/>
    </row>
    <row r="30" spans="1:9">
      <c r="A30" s="20" t="s">
        <v>190</v>
      </c>
      <c r="B30" s="39">
        <f>SUM(F30:I30)</f>
        <v>24714.739345036</v>
      </c>
      <c r="C30" s="370"/>
      <c r="D30" s="243"/>
      <c r="E30" s="674"/>
      <c r="F30" s="674">
        <f>+SUM(F25:F29)</f>
        <v>1500</v>
      </c>
      <c r="G30" s="674">
        <f>+SUM(G25:G29)</f>
        <v>0</v>
      </c>
      <c r="H30" s="674">
        <f>+SUM(H25:H29)</f>
        <v>1156.8946143200001</v>
      </c>
      <c r="I30" s="674">
        <f>+SUM(I25:I29)</f>
        <v>22057.844730715999</v>
      </c>
    </row>
    <row r="31" spans="1:9" ht="18">
      <c r="A31" s="20" t="s">
        <v>191</v>
      </c>
      <c r="B31" s="39">
        <f>+B30</f>
        <v>24714.739345036</v>
      </c>
      <c r="C31" s="21" t="s">
        <v>3864</v>
      </c>
      <c r="D31" s="178"/>
      <c r="E31" s="377"/>
      <c r="F31" s="377"/>
      <c r="G31" s="377"/>
      <c r="H31" s="377"/>
      <c r="I31" s="377"/>
    </row>
    <row r="32" spans="1:9">
      <c r="A32" s="73"/>
      <c r="B32" s="678"/>
      <c r="C32" s="317"/>
      <c r="D32" s="73"/>
      <c r="E32" s="374"/>
      <c r="F32" s="374"/>
      <c r="G32" s="374"/>
      <c r="H32" s="374"/>
      <c r="I32" s="374"/>
    </row>
    <row r="33" spans="1:9">
      <c r="A33" s="582">
        <v>1.4</v>
      </c>
      <c r="B33" s="3900" t="s">
        <v>1376</v>
      </c>
      <c r="C33" s="3856"/>
      <c r="D33" s="3856"/>
      <c r="E33" s="3856"/>
      <c r="F33" s="3856"/>
      <c r="G33" s="3856"/>
      <c r="H33" s="3856"/>
      <c r="I33" s="3857"/>
    </row>
    <row r="34" spans="1:9">
      <c r="A34" s="470"/>
      <c r="B34" s="670"/>
      <c r="C34" s="34" t="s">
        <v>140</v>
      </c>
      <c r="D34" s="2" t="s">
        <v>343</v>
      </c>
      <c r="E34" s="32" t="s">
        <v>344</v>
      </c>
      <c r="F34" s="32" t="s">
        <v>482</v>
      </c>
      <c r="G34" s="32" t="s">
        <v>483</v>
      </c>
      <c r="H34" s="32" t="s">
        <v>170</v>
      </c>
      <c r="I34" s="32" t="s">
        <v>171</v>
      </c>
    </row>
    <row r="35" spans="1:9">
      <c r="A35" s="470" t="s">
        <v>172</v>
      </c>
      <c r="B35" s="670" t="s">
        <v>189</v>
      </c>
      <c r="C35" s="370">
        <v>1</v>
      </c>
      <c r="D35" s="243" t="s">
        <v>583</v>
      </c>
      <c r="E35" s="674">
        <f>+H39*0.05</f>
        <v>6350</v>
      </c>
      <c r="F35" s="674"/>
      <c r="G35" s="674"/>
      <c r="H35" s="674"/>
      <c r="I35" s="674">
        <f>+E35*C35</f>
        <v>6350</v>
      </c>
    </row>
    <row r="36" spans="1:9" ht="18">
      <c r="A36" s="470"/>
      <c r="B36" s="167" t="s">
        <v>3863</v>
      </c>
      <c r="C36" s="168">
        <v>7</v>
      </c>
      <c r="D36" s="21" t="s">
        <v>3864</v>
      </c>
      <c r="E36" s="677">
        <f>+BOTAD</f>
        <v>22000</v>
      </c>
      <c r="F36" s="677"/>
      <c r="G36" s="677"/>
      <c r="H36" s="677"/>
      <c r="I36" s="674">
        <f>+E36*C36</f>
        <v>154000</v>
      </c>
    </row>
    <row r="37" spans="1:9">
      <c r="A37" s="470" t="s">
        <v>348</v>
      </c>
      <c r="B37" s="670" t="s">
        <v>3865</v>
      </c>
      <c r="C37" s="370">
        <v>1</v>
      </c>
      <c r="D37" s="243" t="s">
        <v>343</v>
      </c>
      <c r="E37" s="674">
        <v>127000</v>
      </c>
      <c r="F37" s="674"/>
      <c r="G37" s="674"/>
      <c r="H37" s="674">
        <f>+E37*C37</f>
        <v>127000</v>
      </c>
      <c r="I37" s="674"/>
    </row>
    <row r="38" spans="1:9">
      <c r="A38" s="470"/>
      <c r="B38" s="670" t="s">
        <v>3866</v>
      </c>
      <c r="C38" s="370">
        <v>0.5</v>
      </c>
      <c r="D38" s="243" t="s">
        <v>346</v>
      </c>
      <c r="E38" s="674">
        <v>50000</v>
      </c>
      <c r="F38" s="674">
        <f>+E38*C38</f>
        <v>25000</v>
      </c>
      <c r="G38" s="674"/>
      <c r="H38" s="674"/>
      <c r="I38" s="674"/>
    </row>
    <row r="39" spans="1:9">
      <c r="A39" s="20" t="s">
        <v>190</v>
      </c>
      <c r="B39" s="39">
        <f>SUM(F39:I39)</f>
        <v>312350</v>
      </c>
      <c r="C39" s="370"/>
      <c r="D39" s="243"/>
      <c r="E39" s="674"/>
      <c r="F39" s="674">
        <f>+SUM(F35:F38)</f>
        <v>25000</v>
      </c>
      <c r="G39" s="674">
        <f>+SUM(G35:G38)</f>
        <v>0</v>
      </c>
      <c r="H39" s="674">
        <f>+SUM(H35:H38)</f>
        <v>127000</v>
      </c>
      <c r="I39" s="674">
        <f>+SUM(I35:I38)</f>
        <v>160350</v>
      </c>
    </row>
    <row r="40" spans="1:9" ht="18">
      <c r="A40" s="20" t="s">
        <v>191</v>
      </c>
      <c r="B40" s="39">
        <f>+B39</f>
        <v>312350</v>
      </c>
      <c r="C40" s="21" t="s">
        <v>3862</v>
      </c>
      <c r="D40" s="178"/>
      <c r="E40" s="377"/>
      <c r="F40" s="377"/>
      <c r="G40" s="377"/>
      <c r="H40" s="377"/>
      <c r="I40" s="377"/>
    </row>
    <row r="41" spans="1:9">
      <c r="A41" s="479"/>
      <c r="B41" s="675"/>
      <c r="C41" s="676"/>
      <c r="D41" s="178"/>
      <c r="E41" s="377"/>
      <c r="F41" s="377"/>
      <c r="G41" s="377"/>
      <c r="H41" s="377"/>
      <c r="I41" s="377"/>
    </row>
    <row r="42" spans="1:9">
      <c r="A42" s="582">
        <v>1.5</v>
      </c>
      <c r="B42" s="3900" t="s">
        <v>1377</v>
      </c>
      <c r="C42" s="3856"/>
      <c r="D42" s="3856"/>
      <c r="E42" s="3856"/>
      <c r="F42" s="3856"/>
      <c r="G42" s="3856"/>
      <c r="H42" s="3856"/>
      <c r="I42" s="3857"/>
    </row>
    <row r="43" spans="1:9">
      <c r="A43" s="470"/>
      <c r="B43" s="670"/>
      <c r="C43" s="34" t="s">
        <v>140</v>
      </c>
      <c r="D43" s="2" t="s">
        <v>343</v>
      </c>
      <c r="E43" s="32" t="s">
        <v>344</v>
      </c>
      <c r="F43" s="32" t="s">
        <v>482</v>
      </c>
      <c r="G43" s="32" t="s">
        <v>483</v>
      </c>
      <c r="H43" s="32" t="s">
        <v>170</v>
      </c>
      <c r="I43" s="32" t="s">
        <v>171</v>
      </c>
    </row>
    <row r="44" spans="1:9">
      <c r="A44" s="470" t="s">
        <v>172</v>
      </c>
      <c r="B44" s="670" t="s">
        <v>189</v>
      </c>
      <c r="C44" s="370">
        <v>1</v>
      </c>
      <c r="D44" s="243" t="s">
        <v>583</v>
      </c>
      <c r="E44" s="674">
        <f>+H48*0.05</f>
        <v>24250</v>
      </c>
      <c r="F44" s="674"/>
      <c r="G44" s="674"/>
      <c r="H44" s="674"/>
      <c r="I44" s="674">
        <f>+E44*C44</f>
        <v>24250</v>
      </c>
    </row>
    <row r="45" spans="1:9" ht="18">
      <c r="A45" s="470"/>
      <c r="B45" s="167" t="s">
        <v>3863</v>
      </c>
      <c r="C45" s="168">
        <v>7</v>
      </c>
      <c r="D45" s="21" t="s">
        <v>3864</v>
      </c>
      <c r="E45" s="677">
        <f>+BOTAD</f>
        <v>22000</v>
      </c>
      <c r="F45" s="677"/>
      <c r="G45" s="677"/>
      <c r="H45" s="677"/>
      <c r="I45" s="674">
        <f>+E45*C45</f>
        <v>154000</v>
      </c>
    </row>
    <row r="46" spans="1:9">
      <c r="A46" s="470" t="s">
        <v>348</v>
      </c>
      <c r="B46" s="670" t="s">
        <v>3865</v>
      </c>
      <c r="C46" s="370">
        <v>1</v>
      </c>
      <c r="D46" s="243" t="s">
        <v>343</v>
      </c>
      <c r="E46" s="674">
        <v>485000</v>
      </c>
      <c r="F46" s="674"/>
      <c r="G46" s="674"/>
      <c r="H46" s="674">
        <f>+E46*C46</f>
        <v>485000</v>
      </c>
      <c r="I46" s="674"/>
    </row>
    <row r="47" spans="1:9">
      <c r="A47" s="470"/>
      <c r="B47" s="670" t="s">
        <v>3866</v>
      </c>
      <c r="C47" s="370">
        <v>1</v>
      </c>
      <c r="D47" s="243" t="s">
        <v>346</v>
      </c>
      <c r="E47" s="674">
        <v>50000</v>
      </c>
      <c r="F47" s="674">
        <f>+E47*C47</f>
        <v>50000</v>
      </c>
      <c r="G47" s="674"/>
      <c r="H47" s="674"/>
      <c r="I47" s="674"/>
    </row>
    <row r="48" spans="1:9">
      <c r="A48" s="20" t="s">
        <v>190</v>
      </c>
      <c r="B48" s="39">
        <f>SUM(F48:I48)</f>
        <v>713250</v>
      </c>
      <c r="C48" s="370"/>
      <c r="D48" s="243"/>
      <c r="E48" s="674"/>
      <c r="F48" s="674">
        <f>+SUM(F44:F47)</f>
        <v>50000</v>
      </c>
      <c r="G48" s="674">
        <f>+SUM(G44:G47)</f>
        <v>0</v>
      </c>
      <c r="H48" s="674">
        <f>+SUM(H44:H47)</f>
        <v>485000</v>
      </c>
      <c r="I48" s="674">
        <f>+SUM(I44:I47)</f>
        <v>178250</v>
      </c>
    </row>
    <row r="49" spans="1:9" ht="18">
      <c r="A49" s="20" t="s">
        <v>191</v>
      </c>
      <c r="B49" s="39">
        <f>+B48</f>
        <v>713250</v>
      </c>
      <c r="C49" s="21" t="s">
        <v>3862</v>
      </c>
      <c r="D49" s="178"/>
      <c r="E49" s="377"/>
      <c r="F49" s="377"/>
      <c r="G49" s="377"/>
      <c r="H49" s="377"/>
      <c r="I49" s="377"/>
    </row>
    <row r="50" spans="1:9">
      <c r="A50" s="479"/>
      <c r="B50" s="675"/>
      <c r="C50" s="676"/>
      <c r="D50" s="178"/>
      <c r="E50" s="377"/>
      <c r="F50" s="377"/>
      <c r="G50" s="377"/>
      <c r="H50" s="377"/>
      <c r="I50" s="377"/>
    </row>
    <row r="51" spans="1:9">
      <c r="A51" s="3694" t="s">
        <v>1378</v>
      </c>
      <c r="B51" s="3695"/>
      <c r="C51" s="3695"/>
      <c r="D51" s="3695"/>
      <c r="E51" s="3695"/>
      <c r="F51" s="3695"/>
      <c r="G51" s="3695"/>
      <c r="H51" s="3695"/>
      <c r="I51" s="3895"/>
    </row>
    <row r="52" spans="1:9">
      <c r="A52" s="73"/>
      <c r="B52" s="679"/>
      <c r="C52" s="13"/>
      <c r="D52" s="13"/>
      <c r="E52" s="13"/>
      <c r="F52" s="13"/>
      <c r="G52" s="13"/>
      <c r="H52" s="13"/>
      <c r="I52" s="13"/>
    </row>
    <row r="53" spans="1:9">
      <c r="A53" s="680" t="s">
        <v>5786</v>
      </c>
      <c r="B53" s="3855" t="s">
        <v>3867</v>
      </c>
      <c r="C53" s="3856"/>
      <c r="D53" s="3856"/>
      <c r="E53" s="3856"/>
      <c r="F53" s="3856"/>
      <c r="G53" s="3856"/>
      <c r="H53" s="3856"/>
      <c r="I53" s="3857"/>
    </row>
    <row r="54" spans="1:9">
      <c r="A54" s="470"/>
      <c r="B54" s="670"/>
      <c r="C54" s="34" t="s">
        <v>140</v>
      </c>
      <c r="D54" s="2" t="s">
        <v>343</v>
      </c>
      <c r="E54" s="32" t="s">
        <v>344</v>
      </c>
      <c r="F54" s="32" t="s">
        <v>482</v>
      </c>
      <c r="G54" s="32" t="s">
        <v>483</v>
      </c>
      <c r="H54" s="32" t="s">
        <v>232</v>
      </c>
      <c r="I54" s="32" t="s">
        <v>171</v>
      </c>
    </row>
    <row r="55" spans="1:9" ht="18">
      <c r="A55" s="470" t="s">
        <v>736</v>
      </c>
      <c r="B55" s="167" t="s">
        <v>737</v>
      </c>
      <c r="C55" s="182">
        <f>1/6.5</f>
        <v>0.15384615384615385</v>
      </c>
      <c r="D55" s="470" t="s">
        <v>735</v>
      </c>
      <c r="E55" s="677">
        <f>+RETRO</f>
        <v>150000</v>
      </c>
      <c r="F55" s="677">
        <f>+E55*C55</f>
        <v>23076.923076923078</v>
      </c>
      <c r="G55" s="677"/>
      <c r="H55" s="677"/>
      <c r="I55" s="677"/>
    </row>
    <row r="56" spans="1:9">
      <c r="A56" s="470" t="s">
        <v>172</v>
      </c>
      <c r="B56" s="167" t="s">
        <v>189</v>
      </c>
      <c r="C56" s="168">
        <v>1</v>
      </c>
      <c r="D56" s="470" t="s">
        <v>583</v>
      </c>
      <c r="E56" s="677">
        <f>+H58*0.05</f>
        <v>502.99765840000003</v>
      </c>
      <c r="F56" s="677"/>
      <c r="G56" s="677"/>
      <c r="H56" s="677"/>
      <c r="I56" s="677">
        <f>+E56*C56</f>
        <v>502.99765840000003</v>
      </c>
    </row>
    <row r="57" spans="1:9" ht="18">
      <c r="A57" s="470" t="s">
        <v>348</v>
      </c>
      <c r="B57" s="167" t="str">
        <f>IF(PRESTA&gt;0,"AYUD. RASO (INCLUYE "&amp;""&amp;PRESTA*100&amp;"% PRESTACIONES)",0)</f>
        <v>AYUD. RASO (INCLUYE 82,22% PRESTACIONES)</v>
      </c>
      <c r="C57" s="182">
        <f>1/5</f>
        <v>0.2</v>
      </c>
      <c r="D57" s="470" t="s">
        <v>346</v>
      </c>
      <c r="E57" s="677">
        <f>+AYUDR</f>
        <v>50299.76584</v>
      </c>
      <c r="F57" s="677"/>
      <c r="G57" s="677"/>
      <c r="H57" s="677">
        <f>+E57*C57</f>
        <v>10059.953168</v>
      </c>
      <c r="I57" s="677"/>
    </row>
    <row r="58" spans="1:9">
      <c r="A58" s="587" t="s">
        <v>190</v>
      </c>
      <c r="B58" s="588">
        <f>ROUND(SUM(F58:I58),0)</f>
        <v>33640</v>
      </c>
      <c r="C58" s="168"/>
      <c r="D58" s="470"/>
      <c r="E58" s="677"/>
      <c r="F58" s="677">
        <f>+SUM(F55:F57)</f>
        <v>23076.923076923078</v>
      </c>
      <c r="G58" s="677">
        <f>+SUM(G55:G57)</f>
        <v>0</v>
      </c>
      <c r="H58" s="677">
        <f>+SUM(H55:H57)</f>
        <v>10059.953168</v>
      </c>
      <c r="I58" s="677">
        <f>+SUM(I55:I57)</f>
        <v>502.99765840000003</v>
      </c>
    </row>
    <row r="59" spans="1:9">
      <c r="A59" s="587" t="s">
        <v>191</v>
      </c>
      <c r="B59" s="39">
        <f>+B58</f>
        <v>33640</v>
      </c>
      <c r="C59" s="681" t="s">
        <v>356</v>
      </c>
      <c r="D59" s="479"/>
      <c r="E59" s="682"/>
      <c r="F59" s="682"/>
      <c r="G59" s="682"/>
      <c r="H59" s="682"/>
      <c r="I59" s="682"/>
    </row>
    <row r="60" spans="1:9">
      <c r="A60" s="479"/>
      <c r="B60" s="675"/>
      <c r="C60" s="676"/>
      <c r="D60" s="178"/>
      <c r="E60" s="377"/>
      <c r="F60" s="377"/>
      <c r="G60" s="377"/>
      <c r="H60" s="377"/>
      <c r="I60" s="377"/>
    </row>
    <row r="61" spans="1:9">
      <c r="A61" s="680" t="s">
        <v>5919</v>
      </c>
      <c r="B61" s="3871" t="s">
        <v>3868</v>
      </c>
      <c r="C61" s="3871"/>
      <c r="D61" s="3871"/>
      <c r="E61" s="3871"/>
      <c r="F61" s="3871"/>
      <c r="G61" s="3871"/>
      <c r="H61" s="3871"/>
      <c r="I61" s="3871"/>
    </row>
    <row r="62" spans="1:9">
      <c r="A62" s="470"/>
      <c r="B62" s="670"/>
      <c r="C62" s="34" t="s">
        <v>140</v>
      </c>
      <c r="D62" s="2" t="s">
        <v>343</v>
      </c>
      <c r="E62" s="32" t="s">
        <v>344</v>
      </c>
      <c r="F62" s="32" t="s">
        <v>482</v>
      </c>
      <c r="G62" s="32" t="s">
        <v>483</v>
      </c>
      <c r="H62" s="32" t="s">
        <v>232</v>
      </c>
      <c r="I62" s="32" t="s">
        <v>171</v>
      </c>
    </row>
    <row r="63" spans="1:9" ht="18">
      <c r="A63" s="470" t="s">
        <v>172</v>
      </c>
      <c r="B63" s="670" t="s">
        <v>189</v>
      </c>
      <c r="C63" s="182">
        <v>1</v>
      </c>
      <c r="D63" s="243" t="s">
        <v>583</v>
      </c>
      <c r="E63" s="674">
        <f>+H65*0.05</f>
        <v>9000</v>
      </c>
      <c r="F63" s="674"/>
      <c r="G63" s="674"/>
      <c r="H63" s="674"/>
      <c r="I63" s="674">
        <f>+E63*C63</f>
        <v>9000</v>
      </c>
    </row>
    <row r="64" spans="1:9" ht="18">
      <c r="A64" s="470" t="s">
        <v>1013</v>
      </c>
      <c r="B64" s="670" t="s">
        <v>1014</v>
      </c>
      <c r="C64" s="182">
        <v>1</v>
      </c>
      <c r="D64" s="243" t="s">
        <v>356</v>
      </c>
      <c r="E64" s="674">
        <f>+MOVOL</f>
        <v>180000</v>
      </c>
      <c r="F64" s="674"/>
      <c r="G64" s="674"/>
      <c r="H64" s="674">
        <f>+E64*C64</f>
        <v>180000</v>
      </c>
      <c r="I64" s="674"/>
    </row>
    <row r="65" spans="1:9">
      <c r="A65" s="20" t="s">
        <v>190</v>
      </c>
      <c r="B65" s="39">
        <f>SUM(F65:I65)</f>
        <v>189000</v>
      </c>
      <c r="C65" s="370"/>
      <c r="D65" s="243"/>
      <c r="E65" s="674"/>
      <c r="F65" s="674">
        <f>+SUM(F63:F64)</f>
        <v>0</v>
      </c>
      <c r="G65" s="674">
        <f>+SUM(G63:G64)</f>
        <v>0</v>
      </c>
      <c r="H65" s="674">
        <f>+SUM(H63:H64)</f>
        <v>180000</v>
      </c>
      <c r="I65" s="674">
        <f>+SUM(I63:I64)</f>
        <v>9000</v>
      </c>
    </row>
    <row r="66" spans="1:9">
      <c r="A66" s="20" t="s">
        <v>191</v>
      </c>
      <c r="B66" s="39">
        <f>+B65</f>
        <v>189000</v>
      </c>
      <c r="C66" s="21" t="s">
        <v>356</v>
      </c>
      <c r="D66" s="178"/>
      <c r="E66" s="377"/>
      <c r="F66" s="377"/>
      <c r="G66" s="377"/>
      <c r="H66" s="377"/>
      <c r="I66" s="377"/>
    </row>
    <row r="67" spans="1:9">
      <c r="A67" s="479"/>
      <c r="B67" s="675"/>
      <c r="C67" s="676"/>
      <c r="D67" s="178"/>
      <c r="E67" s="377"/>
      <c r="F67" s="377"/>
      <c r="G67" s="377"/>
      <c r="H67" s="377"/>
      <c r="I67" s="377"/>
    </row>
    <row r="68" spans="1:9">
      <c r="A68" s="683" t="s">
        <v>1096</v>
      </c>
      <c r="B68" s="3547" t="s">
        <v>252</v>
      </c>
      <c r="C68" s="3548"/>
      <c r="D68" s="3548"/>
      <c r="E68" s="3548"/>
      <c r="F68" s="3548"/>
      <c r="G68" s="3548"/>
      <c r="H68" s="3548"/>
      <c r="I68" s="3549"/>
    </row>
    <row r="69" spans="1:9">
      <c r="A69" s="243"/>
      <c r="B69" s="179"/>
      <c r="C69" s="243" t="s">
        <v>140</v>
      </c>
      <c r="D69" s="243" t="s">
        <v>343</v>
      </c>
      <c r="E69" s="65" t="s">
        <v>344</v>
      </c>
      <c r="F69" s="65" t="s">
        <v>482</v>
      </c>
      <c r="G69" s="65" t="s">
        <v>483</v>
      </c>
      <c r="H69" s="65" t="s">
        <v>232</v>
      </c>
      <c r="I69" s="65" t="s">
        <v>171</v>
      </c>
    </row>
    <row r="70" spans="1:9">
      <c r="A70" s="243" t="s">
        <v>172</v>
      </c>
      <c r="B70" s="179" t="s">
        <v>189</v>
      </c>
      <c r="C70" s="346">
        <v>1</v>
      </c>
      <c r="D70" s="243" t="s">
        <v>583</v>
      </c>
      <c r="E70" s="65">
        <f>+H77*0.05</f>
        <v>739.40655784800003</v>
      </c>
      <c r="F70" s="65"/>
      <c r="G70" s="65"/>
      <c r="H70" s="65"/>
      <c r="I70" s="65">
        <f>+E70*C70</f>
        <v>739.40655784800003</v>
      </c>
    </row>
    <row r="71" spans="1:9">
      <c r="A71" s="243" t="s">
        <v>361</v>
      </c>
      <c r="B71" s="179" t="s">
        <v>362</v>
      </c>
      <c r="C71" s="684">
        <v>1.2</v>
      </c>
      <c r="D71" s="243" t="s">
        <v>363</v>
      </c>
      <c r="E71" s="585">
        <v>12500</v>
      </c>
      <c r="F71" s="65"/>
      <c r="G71" s="65">
        <f>+E71*C71</f>
        <v>15000</v>
      </c>
      <c r="H71" s="65"/>
      <c r="I71" s="65"/>
    </row>
    <row r="72" spans="1:9">
      <c r="A72" s="2" t="s">
        <v>245</v>
      </c>
      <c r="B72" s="5" t="s">
        <v>146</v>
      </c>
      <c r="C72" s="684">
        <v>2.1</v>
      </c>
      <c r="D72" s="243" t="s">
        <v>363</v>
      </c>
      <c r="E72" s="65">
        <f>+TABLA</f>
        <v>2958</v>
      </c>
      <c r="F72" s="65"/>
      <c r="G72" s="65">
        <f>+E72*C72</f>
        <v>6211.8</v>
      </c>
      <c r="H72" s="65"/>
      <c r="I72" s="65"/>
    </row>
    <row r="73" spans="1:9">
      <c r="A73" s="243" t="s">
        <v>261</v>
      </c>
      <c r="B73" s="179" t="s">
        <v>262</v>
      </c>
      <c r="C73" s="684">
        <v>0.25</v>
      </c>
      <c r="D73" s="243" t="s">
        <v>363</v>
      </c>
      <c r="E73" s="65">
        <f>+TACOR</f>
        <v>3366</v>
      </c>
      <c r="F73" s="65"/>
      <c r="G73" s="65">
        <f>+E73*C73</f>
        <v>841.5</v>
      </c>
      <c r="H73" s="65"/>
      <c r="I73" s="65"/>
    </row>
    <row r="74" spans="1:9">
      <c r="A74" s="243" t="s">
        <v>372</v>
      </c>
      <c r="B74" s="179" t="s">
        <v>621</v>
      </c>
      <c r="C74" s="684">
        <v>0.15</v>
      </c>
      <c r="D74" s="243" t="s">
        <v>374</v>
      </c>
      <c r="E74" s="65">
        <f>+CLAVO</f>
        <v>2300</v>
      </c>
      <c r="F74" s="65"/>
      <c r="G74" s="65">
        <f>+E74*C74</f>
        <v>345</v>
      </c>
      <c r="H74" s="65"/>
      <c r="I74" s="65"/>
    </row>
    <row r="75" spans="1:9">
      <c r="A75" s="243" t="s">
        <v>345</v>
      </c>
      <c r="B75" s="179" t="str">
        <f>IF(PRESTA&gt;0,"OFICIAL (INCLUYE "&amp;""&amp;PRESTA*100&amp;"% PRESTACIONES)",0)</f>
        <v>OFICIAL (INCLUYE 82,22% PRESTACIONES)</v>
      </c>
      <c r="C75" s="346">
        <v>7.0000000000000007E-2</v>
      </c>
      <c r="D75" s="243" t="s">
        <v>346</v>
      </c>
      <c r="E75" s="65">
        <f>+OFICI</f>
        <v>80479.625344</v>
      </c>
      <c r="F75" s="65"/>
      <c r="G75" s="65"/>
      <c r="H75" s="65">
        <f>+E75*C75</f>
        <v>5633.5737740800005</v>
      </c>
      <c r="I75" s="65"/>
    </row>
    <row r="76" spans="1:9">
      <c r="A76" s="243" t="s">
        <v>347</v>
      </c>
      <c r="B76" s="179" t="str">
        <f>IF(PRESTA&gt;0,"AYUD. ENTENDIDO (INCLUYE "&amp;""&amp;PRESTA*100&amp;"% PRESTACIONES)",0)</f>
        <v>AYUD. ENTENDIDO (INCLUYE 82,22% PRESTACIONES)</v>
      </c>
      <c r="C76" s="346">
        <v>0.14000000000000001</v>
      </c>
      <c r="D76" s="243" t="s">
        <v>346</v>
      </c>
      <c r="E76" s="65">
        <f>+AYUDA</f>
        <v>65389.695592000004</v>
      </c>
      <c r="F76" s="65"/>
      <c r="G76" s="65"/>
      <c r="H76" s="65">
        <f>+E76*C76</f>
        <v>9154.5573828800007</v>
      </c>
      <c r="I76" s="65"/>
    </row>
    <row r="77" spans="1:9">
      <c r="A77" s="20" t="s">
        <v>190</v>
      </c>
      <c r="B77" s="588">
        <f>ROUND(SUM(F77:I77),0)</f>
        <v>37926</v>
      </c>
      <c r="C77" s="34"/>
      <c r="D77" s="243"/>
      <c r="E77" s="65"/>
      <c r="F77" s="65">
        <f>+SUM(F70:F76)</f>
        <v>0</v>
      </c>
      <c r="G77" s="65">
        <f>+SUM(G70:G76)</f>
        <v>22398.3</v>
      </c>
      <c r="H77" s="65">
        <f>+SUM(H70:H76)</f>
        <v>14788.13115696</v>
      </c>
      <c r="I77" s="65">
        <f>+SUM(I70:I76)</f>
        <v>739.40655784800003</v>
      </c>
    </row>
    <row r="78" spans="1:9" ht="17.399999999999999">
      <c r="A78" s="20" t="s">
        <v>191</v>
      </c>
      <c r="B78" s="39">
        <f>+B77</f>
        <v>37926</v>
      </c>
      <c r="C78" s="21" t="s">
        <v>1125</v>
      </c>
      <c r="D78" s="178"/>
      <c r="E78" s="685"/>
      <c r="F78" s="685"/>
      <c r="G78" s="685"/>
      <c r="H78" s="685"/>
      <c r="I78" s="685"/>
    </row>
    <row r="79" spans="1:9">
      <c r="B79" s="686"/>
      <c r="C79" s="178"/>
      <c r="D79" s="178"/>
      <c r="E79" s="685"/>
      <c r="F79" s="685"/>
      <c r="G79" s="685"/>
      <c r="H79" s="685"/>
      <c r="I79" s="685"/>
    </row>
    <row r="80" spans="1:9">
      <c r="A80" s="680" t="s">
        <v>1139</v>
      </c>
      <c r="B80" s="3855" t="s">
        <v>3869</v>
      </c>
      <c r="C80" s="3856"/>
      <c r="D80" s="3856"/>
      <c r="E80" s="3856"/>
      <c r="F80" s="3856"/>
      <c r="G80" s="3856"/>
      <c r="H80" s="3856"/>
      <c r="I80" s="3857"/>
    </row>
    <row r="81" spans="1:9">
      <c r="A81" s="470"/>
      <c r="B81" s="670"/>
      <c r="C81" s="34" t="s">
        <v>140</v>
      </c>
      <c r="D81" s="2" t="s">
        <v>343</v>
      </c>
      <c r="E81" s="585" t="s">
        <v>344</v>
      </c>
      <c r="F81" s="585" t="s">
        <v>482</v>
      </c>
      <c r="G81" s="585" t="s">
        <v>483</v>
      </c>
      <c r="H81" s="585" t="s">
        <v>232</v>
      </c>
      <c r="I81" s="585" t="s">
        <v>171</v>
      </c>
    </row>
    <row r="82" spans="1:9" ht="18">
      <c r="A82" s="470" t="s">
        <v>738</v>
      </c>
      <c r="B82" s="670" t="s">
        <v>93</v>
      </c>
      <c r="C82" s="182">
        <v>0.67</v>
      </c>
      <c r="D82" s="243" t="s">
        <v>735</v>
      </c>
      <c r="E82" s="65">
        <f>+CANGU</f>
        <v>11625</v>
      </c>
      <c r="F82" s="65">
        <f>+E82*C82</f>
        <v>7788.7500000000009</v>
      </c>
      <c r="G82" s="65"/>
      <c r="H82" s="65"/>
      <c r="I82" s="65"/>
    </row>
    <row r="83" spans="1:9" ht="18">
      <c r="A83" s="470" t="s">
        <v>172</v>
      </c>
      <c r="B83" s="670" t="s">
        <v>189</v>
      </c>
      <c r="C83" s="687">
        <v>1</v>
      </c>
      <c r="D83" s="243" t="s">
        <v>583</v>
      </c>
      <c r="E83" s="65">
        <f>+H86*0.05</f>
        <v>402.39812672000005</v>
      </c>
      <c r="F83" s="65"/>
      <c r="G83" s="65"/>
      <c r="H83" s="65"/>
      <c r="I83" s="65">
        <f>+E83*C83</f>
        <v>402.39812672000005</v>
      </c>
    </row>
    <row r="84" spans="1:9" ht="18">
      <c r="A84" s="470" t="s">
        <v>348</v>
      </c>
      <c r="B84" s="670" t="str">
        <f>IF(PRESTA&gt;0,"AYUD. RASO (INCLUYE "&amp;""&amp;PRESTA*100&amp;"% PRESTACIONES)",0)</f>
        <v>AYUD. RASO (INCLUYE 82,22% PRESTACIONES)</v>
      </c>
      <c r="C84" s="182">
        <v>0.16</v>
      </c>
      <c r="D84" s="243" t="s">
        <v>346</v>
      </c>
      <c r="E84" s="65">
        <f>+AYUDR</f>
        <v>50299.76584</v>
      </c>
      <c r="F84" s="65"/>
      <c r="G84" s="65"/>
      <c r="H84" s="65">
        <f>+E84*C84</f>
        <v>8047.9625344000005</v>
      </c>
      <c r="I84" s="65"/>
    </row>
    <row r="85" spans="1:9" ht="18">
      <c r="A85" s="470" t="s">
        <v>458</v>
      </c>
      <c r="B85" s="670" t="s">
        <v>459</v>
      </c>
      <c r="C85" s="687">
        <v>1</v>
      </c>
      <c r="D85" s="6" t="s">
        <v>356</v>
      </c>
      <c r="E85" s="65">
        <v>2000</v>
      </c>
      <c r="F85" s="65"/>
      <c r="G85" s="65"/>
      <c r="H85" s="65"/>
      <c r="I85" s="65">
        <f>+E85*C85</f>
        <v>2000</v>
      </c>
    </row>
    <row r="86" spans="1:9">
      <c r="A86" s="20" t="s">
        <v>190</v>
      </c>
      <c r="B86" s="39">
        <f>SUM(F86:I86)</f>
        <v>18239.110661120001</v>
      </c>
      <c r="C86" s="370"/>
      <c r="D86" s="243"/>
      <c r="E86" s="65"/>
      <c r="F86" s="65">
        <f>+SUM(F82:F84)</f>
        <v>7788.7500000000009</v>
      </c>
      <c r="G86" s="65">
        <f>+SUM(G82:G84)</f>
        <v>0</v>
      </c>
      <c r="H86" s="65">
        <f>+SUM(H82:H84)</f>
        <v>8047.9625344000005</v>
      </c>
      <c r="I86" s="65">
        <f>+SUM(I83:I85)</f>
        <v>2402.3981267200002</v>
      </c>
    </row>
    <row r="87" spans="1:9">
      <c r="A87" s="20" t="s">
        <v>191</v>
      </c>
      <c r="B87" s="39">
        <f>+B86</f>
        <v>18239.110661120001</v>
      </c>
      <c r="C87" s="21" t="s">
        <v>356</v>
      </c>
      <c r="D87" s="178"/>
      <c r="E87" s="685"/>
      <c r="F87" s="685"/>
      <c r="G87" s="685"/>
      <c r="H87" s="685"/>
      <c r="I87" s="685"/>
    </row>
    <row r="89" spans="1:9">
      <c r="A89" s="683" t="s">
        <v>1140</v>
      </c>
      <c r="B89" s="3547" t="s">
        <v>192</v>
      </c>
      <c r="C89" s="3548"/>
      <c r="D89" s="3548"/>
      <c r="E89" s="3548"/>
      <c r="F89" s="3548"/>
      <c r="G89" s="3548"/>
      <c r="H89" s="3548"/>
      <c r="I89" s="3549"/>
    </row>
    <row r="90" spans="1:9">
      <c r="A90" s="243"/>
      <c r="B90" s="180"/>
      <c r="C90" s="243" t="s">
        <v>140</v>
      </c>
      <c r="D90" s="243" t="s">
        <v>343</v>
      </c>
      <c r="E90" s="65" t="s">
        <v>344</v>
      </c>
      <c r="F90" s="65" t="s">
        <v>482</v>
      </c>
      <c r="G90" s="65" t="s">
        <v>483</v>
      </c>
      <c r="H90" s="65" t="s">
        <v>232</v>
      </c>
      <c r="I90" s="65" t="s">
        <v>171</v>
      </c>
    </row>
    <row r="91" spans="1:9">
      <c r="A91" s="243" t="s">
        <v>357</v>
      </c>
      <c r="B91" s="180" t="s">
        <v>358</v>
      </c>
      <c r="C91" s="346">
        <v>1</v>
      </c>
      <c r="D91" s="243" t="s">
        <v>356</v>
      </c>
      <c r="E91" s="65">
        <f>+PIEDR</f>
        <v>26500</v>
      </c>
      <c r="F91" s="65"/>
      <c r="G91" s="65">
        <f>+E91*C91</f>
        <v>26500</v>
      </c>
      <c r="H91" s="65"/>
      <c r="I91" s="65"/>
    </row>
    <row r="92" spans="1:9">
      <c r="A92" s="243" t="s">
        <v>172</v>
      </c>
      <c r="B92" s="180" t="s">
        <v>189</v>
      </c>
      <c r="C92" s="346">
        <v>1</v>
      </c>
      <c r="D92" s="243" t="s">
        <v>583</v>
      </c>
      <c r="E92" s="65">
        <f>+H96*0.05</f>
        <v>1634.7423898000002</v>
      </c>
      <c r="F92" s="65"/>
      <c r="G92" s="65"/>
      <c r="H92" s="65"/>
      <c r="I92" s="65">
        <f>+E92*C92</f>
        <v>1634.7423898000002</v>
      </c>
    </row>
    <row r="93" spans="1:9">
      <c r="A93" s="243" t="s">
        <v>738</v>
      </c>
      <c r="B93" s="180" t="s">
        <v>93</v>
      </c>
      <c r="C93" s="346">
        <v>0.5</v>
      </c>
      <c r="D93" s="243" t="s">
        <v>735</v>
      </c>
      <c r="E93" s="65">
        <f>+CANGU</f>
        <v>11625</v>
      </c>
      <c r="F93" s="65">
        <f>+E93*C93</f>
        <v>5812.5</v>
      </c>
      <c r="G93" s="65"/>
      <c r="H93" s="65"/>
      <c r="I93" s="65"/>
    </row>
    <row r="94" spans="1:9">
      <c r="A94" s="243" t="s">
        <v>1015</v>
      </c>
      <c r="B94" s="180" t="s">
        <v>653</v>
      </c>
      <c r="C94" s="346">
        <v>0.5</v>
      </c>
      <c r="D94" s="243" t="s">
        <v>356</v>
      </c>
      <c r="E94" s="65">
        <f>+TRANAG</f>
        <v>30600</v>
      </c>
      <c r="F94" s="65"/>
      <c r="G94" s="65"/>
      <c r="H94" s="65"/>
      <c r="I94" s="65">
        <f>+E94*C94</f>
        <v>15300</v>
      </c>
    </row>
    <row r="95" spans="1:9">
      <c r="A95" s="243" t="s">
        <v>347</v>
      </c>
      <c r="B95" s="180" t="str">
        <f>IF(PRESTA&gt;0,"AYUD. ENTENDIDO (INCLUYE "&amp;""&amp;PRESTA*100&amp;"% PRESTACIONES)",0)</f>
        <v>AYUD. ENTENDIDO (INCLUYE 82,22% PRESTACIONES)</v>
      </c>
      <c r="C95" s="346">
        <v>0.5</v>
      </c>
      <c r="D95" s="243" t="s">
        <v>346</v>
      </c>
      <c r="E95" s="65">
        <f>+AYUDA</f>
        <v>65389.695592000004</v>
      </c>
      <c r="F95" s="65"/>
      <c r="G95" s="65"/>
      <c r="H95" s="65">
        <f>+E95*C95</f>
        <v>32694.847796000002</v>
      </c>
      <c r="I95" s="65"/>
    </row>
    <row r="96" spans="1:9">
      <c r="A96" s="587" t="s">
        <v>190</v>
      </c>
      <c r="B96" s="588">
        <f>SUM(F96:I96)</f>
        <v>81942.0901858</v>
      </c>
      <c r="C96" s="160"/>
      <c r="D96" s="243"/>
      <c r="E96" s="65"/>
      <c r="F96" s="65">
        <f>+SUM(F91:F95)</f>
        <v>5812.5</v>
      </c>
      <c r="G96" s="65">
        <f>+SUM(G91:G95)</f>
        <v>26500</v>
      </c>
      <c r="H96" s="65">
        <f>+SUM(H91:H95)</f>
        <v>32694.847796000002</v>
      </c>
      <c r="I96" s="65">
        <f>+SUM(I91:I95)</f>
        <v>16934.742389800002</v>
      </c>
    </row>
    <row r="97" spans="1:9">
      <c r="A97" s="587" t="s">
        <v>191</v>
      </c>
      <c r="B97" s="39">
        <f>+B96</f>
        <v>81942.0901858</v>
      </c>
      <c r="C97" s="688" t="s">
        <v>356</v>
      </c>
      <c r="D97" s="178"/>
      <c r="E97" s="685"/>
      <c r="F97" s="685"/>
      <c r="G97" s="685"/>
      <c r="H97" s="685"/>
      <c r="I97" s="685"/>
    </row>
    <row r="98" spans="1:9">
      <c r="A98" s="479"/>
      <c r="B98" s="675"/>
      <c r="C98" s="676"/>
      <c r="D98" s="178"/>
      <c r="E98" s="685"/>
      <c r="F98" s="685"/>
      <c r="G98" s="685"/>
      <c r="H98" s="685"/>
      <c r="I98" s="685"/>
    </row>
    <row r="99" spans="1:9">
      <c r="A99" s="680" t="s">
        <v>1145</v>
      </c>
      <c r="B99" s="3558" t="s">
        <v>1394</v>
      </c>
      <c r="C99" s="3558"/>
      <c r="D99" s="3558"/>
      <c r="E99" s="3558"/>
      <c r="F99" s="3558"/>
      <c r="G99" s="3558"/>
      <c r="H99" s="3558"/>
      <c r="I99" s="3558"/>
    </row>
    <row r="100" spans="1:9">
      <c r="A100" s="470"/>
      <c r="B100" s="689"/>
      <c r="C100" s="34" t="s">
        <v>140</v>
      </c>
      <c r="D100" s="2" t="s">
        <v>343</v>
      </c>
      <c r="E100" s="585" t="s">
        <v>344</v>
      </c>
      <c r="F100" s="585" t="s">
        <v>482</v>
      </c>
      <c r="G100" s="585" t="s">
        <v>483</v>
      </c>
      <c r="H100" s="585" t="s">
        <v>232</v>
      </c>
      <c r="I100" s="585" t="s">
        <v>171</v>
      </c>
    </row>
    <row r="101" spans="1:9">
      <c r="A101" s="470" t="s">
        <v>172</v>
      </c>
      <c r="B101" s="689" t="s">
        <v>189</v>
      </c>
      <c r="C101" s="370">
        <v>1</v>
      </c>
      <c r="D101" s="243" t="s">
        <v>583</v>
      </c>
      <c r="E101" s="65">
        <f>+H106*0.05</f>
        <v>1823.3665117</v>
      </c>
      <c r="F101" s="65"/>
      <c r="G101" s="65"/>
      <c r="H101" s="65"/>
      <c r="I101" s="65">
        <f>+E101*C101</f>
        <v>1823.3665117</v>
      </c>
    </row>
    <row r="102" spans="1:9">
      <c r="A102" s="470" t="s">
        <v>464</v>
      </c>
      <c r="B102" s="689" t="s">
        <v>582</v>
      </c>
      <c r="C102" s="370">
        <v>11</v>
      </c>
      <c r="D102" s="243" t="s">
        <v>583</v>
      </c>
      <c r="E102" s="65">
        <f>+TRANS</f>
        <v>1350</v>
      </c>
      <c r="F102" s="65"/>
      <c r="G102" s="65"/>
      <c r="H102" s="65"/>
      <c r="I102" s="65">
        <f>+E102*C102</f>
        <v>14850</v>
      </c>
    </row>
    <row r="103" spans="1:9">
      <c r="A103" s="470" t="s">
        <v>345</v>
      </c>
      <c r="B103" s="689" t="str">
        <f>IF(PRESTA&gt;0,"OFICIAL (INCLUYE "&amp;""&amp;PRESTA*100&amp;"% PRESTACIONES)",0)</f>
        <v>OFICIAL (INCLUYE 82,22% PRESTACIONES)</v>
      </c>
      <c r="C103" s="370">
        <v>0.25</v>
      </c>
      <c r="D103" s="243" t="s">
        <v>346</v>
      </c>
      <c r="E103" s="65">
        <f>+OFICI</f>
        <v>80479.625344</v>
      </c>
      <c r="F103" s="65"/>
      <c r="G103" s="65"/>
      <c r="H103" s="65">
        <f>+E103*C103</f>
        <v>20119.906336</v>
      </c>
      <c r="I103" s="65"/>
    </row>
    <row r="104" spans="1:9">
      <c r="A104" s="470" t="s">
        <v>347</v>
      </c>
      <c r="B104" s="689" t="str">
        <f>IF(PRESTA&gt;0,"AYUD. ENTENDIDO (INCLUYE "&amp;""&amp;PRESTA*100&amp;"% PRESTACIONES)",0)</f>
        <v>AYUD. ENTENDIDO (INCLUYE 82,22% PRESTACIONES)</v>
      </c>
      <c r="C104" s="370">
        <v>0.25</v>
      </c>
      <c r="D104" s="243" t="s">
        <v>346</v>
      </c>
      <c r="E104" s="65">
        <f>+AYUDA</f>
        <v>65389.695592000004</v>
      </c>
      <c r="F104" s="65"/>
      <c r="G104" s="65"/>
      <c r="H104" s="65">
        <f>+E104*C104</f>
        <v>16347.423898000001</v>
      </c>
      <c r="I104" s="65"/>
    </row>
    <row r="105" spans="1:9">
      <c r="A105" s="470" t="s">
        <v>307</v>
      </c>
      <c r="B105" s="689" t="s">
        <v>3870</v>
      </c>
      <c r="C105" s="370">
        <v>1.1000000000000001</v>
      </c>
      <c r="D105" s="243" t="s">
        <v>356</v>
      </c>
      <c r="E105" s="65">
        <f>+CT140KG</f>
        <v>364500.62422489998</v>
      </c>
      <c r="F105" s="65"/>
      <c r="G105" s="65">
        <f>+E105*C105</f>
        <v>400950.68664739002</v>
      </c>
      <c r="H105" s="65"/>
    </row>
    <row r="106" spans="1:9">
      <c r="A106" s="20" t="s">
        <v>190</v>
      </c>
      <c r="B106" s="39">
        <f>SUM(F106:I106)</f>
        <v>454091.38339308999</v>
      </c>
      <c r="C106" s="370"/>
      <c r="D106" s="243"/>
      <c r="E106" s="65"/>
      <c r="F106" s="65">
        <f>+SUM(F101:F105)</f>
        <v>0</v>
      </c>
      <c r="G106" s="65">
        <f>+SUM(G101:G105)</f>
        <v>400950.68664739002</v>
      </c>
      <c r="H106" s="65">
        <f>+SUM(H101:H105)</f>
        <v>36467.330234000001</v>
      </c>
      <c r="I106" s="65">
        <f>+SUM(I101:I105)</f>
        <v>16673.366511699998</v>
      </c>
    </row>
    <row r="107" spans="1:9">
      <c r="A107" s="20" t="s">
        <v>191</v>
      </c>
      <c r="B107" s="39">
        <f>+B106</f>
        <v>454091.38339308999</v>
      </c>
      <c r="C107" s="21" t="s">
        <v>356</v>
      </c>
      <c r="D107" s="31"/>
      <c r="E107" s="590"/>
      <c r="F107" s="590"/>
      <c r="G107" s="590"/>
      <c r="H107" s="590"/>
      <c r="I107" s="590"/>
    </row>
    <row r="108" spans="1:9">
      <c r="A108" s="690"/>
      <c r="B108" s="691"/>
      <c r="C108" s="690"/>
      <c r="D108" s="692"/>
      <c r="E108" s="693"/>
      <c r="F108" s="694"/>
      <c r="G108" s="694"/>
      <c r="H108" s="695"/>
      <c r="I108" s="695"/>
    </row>
    <row r="109" spans="1:9">
      <c r="A109" s="683" t="s">
        <v>1146</v>
      </c>
      <c r="B109" s="3871" t="s">
        <v>3871</v>
      </c>
      <c r="C109" s="3871"/>
      <c r="D109" s="3871"/>
      <c r="E109" s="3871"/>
      <c r="F109" s="3871"/>
      <c r="G109" s="3871"/>
      <c r="H109" s="3871"/>
      <c r="I109" s="3871"/>
    </row>
    <row r="110" spans="1:9">
      <c r="A110" s="243"/>
      <c r="B110" s="696"/>
      <c r="C110" s="34" t="s">
        <v>140</v>
      </c>
      <c r="D110" s="2" t="s">
        <v>343</v>
      </c>
      <c r="E110" s="585" t="s">
        <v>344</v>
      </c>
      <c r="F110" s="585" t="s">
        <v>482</v>
      </c>
      <c r="G110" s="585" t="s">
        <v>483</v>
      </c>
      <c r="H110" s="585" t="s">
        <v>232</v>
      </c>
      <c r="I110" s="585" t="s">
        <v>171</v>
      </c>
    </row>
    <row r="111" spans="1:9">
      <c r="A111" s="243" t="s">
        <v>246</v>
      </c>
      <c r="B111" s="696" t="s">
        <v>247</v>
      </c>
      <c r="C111" s="370">
        <v>0.125</v>
      </c>
      <c r="D111" s="243" t="s">
        <v>717</v>
      </c>
      <c r="E111" s="65">
        <f>+VIBGA</f>
        <v>47000</v>
      </c>
      <c r="F111" s="65">
        <f>+E111*C111</f>
        <v>5875</v>
      </c>
      <c r="G111" s="65"/>
      <c r="H111" s="65"/>
      <c r="I111" s="65"/>
    </row>
    <row r="112" spans="1:9">
      <c r="A112" s="243" t="s">
        <v>172</v>
      </c>
      <c r="B112" s="696" t="s">
        <v>189</v>
      </c>
      <c r="C112" s="370">
        <v>1</v>
      </c>
      <c r="D112" s="243" t="s">
        <v>583</v>
      </c>
      <c r="E112" s="65">
        <f>+H122*0.05</f>
        <v>5985.6721349600011</v>
      </c>
      <c r="F112" s="65"/>
      <c r="G112" s="65"/>
      <c r="H112" s="65"/>
      <c r="I112" s="65">
        <f>+E112*C112</f>
        <v>5985.6721349600011</v>
      </c>
    </row>
    <row r="113" spans="1:9">
      <c r="A113" s="2" t="s">
        <v>245</v>
      </c>
      <c r="B113" s="697" t="s">
        <v>146</v>
      </c>
      <c r="C113" s="698">
        <v>2</v>
      </c>
      <c r="D113" s="615" t="s">
        <v>363</v>
      </c>
      <c r="E113" s="699">
        <f>+TABLA</f>
        <v>2958</v>
      </c>
      <c r="F113" s="699"/>
      <c r="G113" s="699">
        <f>+E113*C113</f>
        <v>5916</v>
      </c>
      <c r="H113" s="699"/>
      <c r="I113" s="700"/>
    </row>
    <row r="114" spans="1:9">
      <c r="A114" s="2" t="s">
        <v>261</v>
      </c>
      <c r="B114" s="18" t="s">
        <v>262</v>
      </c>
      <c r="C114" s="698">
        <v>1</v>
      </c>
      <c r="D114" s="701" t="s">
        <v>363</v>
      </c>
      <c r="E114" s="699">
        <f>+TACOR</f>
        <v>3366</v>
      </c>
      <c r="F114" s="699"/>
      <c r="G114" s="699">
        <f>+E114*C114</f>
        <v>3366</v>
      </c>
      <c r="H114" s="699"/>
      <c r="I114" s="700"/>
    </row>
    <row r="115" spans="1:9">
      <c r="A115" s="2" t="s">
        <v>372</v>
      </c>
      <c r="B115" s="75" t="s">
        <v>373</v>
      </c>
      <c r="C115" s="698">
        <v>0.1</v>
      </c>
      <c r="D115" s="50" t="s">
        <v>374</v>
      </c>
      <c r="E115" s="699">
        <f>+CLAVO</f>
        <v>2300</v>
      </c>
      <c r="F115" s="699"/>
      <c r="G115" s="699">
        <f>+E115*C115</f>
        <v>230</v>
      </c>
      <c r="H115" s="699"/>
      <c r="I115" s="700"/>
    </row>
    <row r="116" spans="1:9">
      <c r="A116" s="243" t="s">
        <v>345</v>
      </c>
      <c r="B116" s="696" t="str">
        <f>IF(PRESTA&gt;0,"OFICIAL (INCLUYE "&amp;""&amp;PRESTA*100&amp;"% PRESTACIONES)",0)</f>
        <v>OFICIAL (INCLUYE 82,22% PRESTACIONES)</v>
      </c>
      <c r="C116" s="370">
        <v>0.3</v>
      </c>
      <c r="D116" s="243" t="s">
        <v>346</v>
      </c>
      <c r="E116" s="65">
        <f>+OFICI</f>
        <v>80479.625344</v>
      </c>
      <c r="F116" s="65"/>
      <c r="G116" s="65"/>
      <c r="H116" s="65">
        <f>+E116*C116</f>
        <v>24143.887603200001</v>
      </c>
      <c r="I116" s="65"/>
    </row>
    <row r="117" spans="1:9">
      <c r="A117" s="243" t="s">
        <v>347</v>
      </c>
      <c r="B117" s="696" t="str">
        <f>IF(PRESTA&gt;0,"AYUD. ENTENDIDO (INCLUYE "&amp;""&amp;PRESTA*100&amp;"% PRESTACIONES)",0)</f>
        <v>AYUD. ENTENDIDO (INCLUYE 82,22% PRESTACIONES)</v>
      </c>
      <c r="C117" s="370">
        <v>0.5</v>
      </c>
      <c r="D117" s="243" t="s">
        <v>346</v>
      </c>
      <c r="E117" s="65">
        <f>+AYUDA</f>
        <v>65389.695592000004</v>
      </c>
      <c r="F117" s="65"/>
      <c r="G117" s="65"/>
      <c r="H117" s="65">
        <f>+E117*C117</f>
        <v>32694.847796000002</v>
      </c>
      <c r="I117" s="65"/>
    </row>
    <row r="118" spans="1:9">
      <c r="A118" s="243" t="s">
        <v>348</v>
      </c>
      <c r="B118" s="696" t="str">
        <f>IF(PRESTA&gt;0,"AYUD. RASO (INCLUYE "&amp;""&amp;PRESTA*100&amp;"% PRESTACIONES)",0)</f>
        <v>AYUD. RASO (INCLUYE 82,22% PRESTACIONES)</v>
      </c>
      <c r="C118" s="370">
        <v>1.25</v>
      </c>
      <c r="D118" s="243" t="s">
        <v>346</v>
      </c>
      <c r="E118" s="65">
        <f>+AYUDR</f>
        <v>50299.76584</v>
      </c>
      <c r="F118" s="65"/>
      <c r="G118" s="65"/>
      <c r="H118" s="65">
        <f>+E118*C118</f>
        <v>62874.707300000002</v>
      </c>
      <c r="I118" s="65"/>
    </row>
    <row r="119" spans="1:9">
      <c r="A119" s="243" t="s">
        <v>302</v>
      </c>
      <c r="B119" s="696" t="s">
        <v>3872</v>
      </c>
      <c r="C119" s="370">
        <v>1.1000000000000001</v>
      </c>
      <c r="D119" s="243" t="s">
        <v>1292</v>
      </c>
      <c r="E119" s="65">
        <f>+CT245KG</f>
        <v>469469.49922490004</v>
      </c>
      <c r="F119" s="65"/>
      <c r="G119" s="65">
        <f>+E119*C119</f>
        <v>516416.44914739009</v>
      </c>
      <c r="H119" s="65"/>
      <c r="I119" s="23"/>
    </row>
    <row r="120" spans="1:9">
      <c r="A120" s="243" t="s">
        <v>464</v>
      </c>
      <c r="B120" s="696" t="s">
        <v>582</v>
      </c>
      <c r="C120" s="370">
        <v>15</v>
      </c>
      <c r="D120" s="243" t="s">
        <v>583</v>
      </c>
      <c r="E120" s="65">
        <f>+TRANS</f>
        <v>1350</v>
      </c>
      <c r="F120" s="65"/>
      <c r="G120" s="65"/>
      <c r="H120" s="65"/>
      <c r="I120" s="65">
        <f>+E120*C120</f>
        <v>20250</v>
      </c>
    </row>
    <row r="121" spans="1:9">
      <c r="A121" s="243" t="s">
        <v>250</v>
      </c>
      <c r="B121" s="696" t="s">
        <v>251</v>
      </c>
      <c r="C121" s="370">
        <v>2</v>
      </c>
      <c r="D121" s="243" t="s">
        <v>647</v>
      </c>
      <c r="E121" s="65">
        <f>+PLAST</f>
        <v>8896</v>
      </c>
      <c r="F121" s="65"/>
      <c r="G121" s="65">
        <f>+E121*C121</f>
        <v>17792</v>
      </c>
      <c r="H121" s="65"/>
      <c r="I121" s="65"/>
    </row>
    <row r="122" spans="1:9">
      <c r="A122" s="20" t="s">
        <v>190</v>
      </c>
      <c r="B122" s="39">
        <f>SUM(F122:I122)</f>
        <v>695544.56398155005</v>
      </c>
      <c r="C122" s="34"/>
      <c r="D122" s="243"/>
      <c r="E122" s="65"/>
      <c r="F122" s="65">
        <f>+SUM(F111:F121)</f>
        <v>5875</v>
      </c>
      <c r="G122" s="65">
        <f>+SUM(G111:G121)</f>
        <v>543720.44914739009</v>
      </c>
      <c r="H122" s="65">
        <f>+SUM(H111:H121)</f>
        <v>119713.44269920001</v>
      </c>
      <c r="I122" s="65">
        <f>+SUM(I111:I121)</f>
        <v>26235.672134960001</v>
      </c>
    </row>
    <row r="123" spans="1:9">
      <c r="A123" s="20" t="s">
        <v>191</v>
      </c>
      <c r="B123" s="39">
        <f>+B122</f>
        <v>695544.56398155005</v>
      </c>
      <c r="C123" s="21" t="s">
        <v>356</v>
      </c>
      <c r="D123" s="178"/>
      <c r="E123" s="685"/>
      <c r="F123" s="685"/>
      <c r="G123" s="685"/>
      <c r="H123" s="685"/>
      <c r="I123" s="685"/>
    </row>
    <row r="124" spans="1:9">
      <c r="A124" s="702"/>
      <c r="B124" s="703"/>
      <c r="C124" s="252"/>
      <c r="D124" s="13"/>
      <c r="E124" s="170"/>
      <c r="F124" s="170"/>
      <c r="G124" s="3887"/>
      <c r="H124" s="3887"/>
      <c r="I124" s="170"/>
    </row>
    <row r="125" spans="1:9">
      <c r="A125" s="680" t="s">
        <v>1147</v>
      </c>
      <c r="B125" s="3558" t="s">
        <v>3873</v>
      </c>
      <c r="C125" s="3558"/>
      <c r="D125" s="3558"/>
      <c r="E125" s="3558"/>
      <c r="F125" s="3558"/>
      <c r="G125" s="3558"/>
      <c r="H125" s="3558"/>
      <c r="I125" s="3558"/>
    </row>
    <row r="126" spans="1:9">
      <c r="A126" s="470"/>
      <c r="B126" s="670"/>
      <c r="C126" s="34" t="s">
        <v>140</v>
      </c>
      <c r="D126" s="2" t="s">
        <v>343</v>
      </c>
      <c r="E126" s="585" t="s">
        <v>344</v>
      </c>
      <c r="F126" s="585" t="s">
        <v>482</v>
      </c>
      <c r="G126" s="585" t="s">
        <v>483</v>
      </c>
      <c r="H126" s="585" t="s">
        <v>232</v>
      </c>
      <c r="I126" s="585" t="s">
        <v>171</v>
      </c>
    </row>
    <row r="127" spans="1:9">
      <c r="A127" s="470" t="s">
        <v>256</v>
      </c>
      <c r="B127" s="670" t="s">
        <v>257</v>
      </c>
      <c r="C127" s="370">
        <v>36</v>
      </c>
      <c r="D127" s="243" t="s">
        <v>346</v>
      </c>
      <c r="E127" s="65">
        <f>+TACOM</f>
        <v>538</v>
      </c>
      <c r="F127" s="65">
        <f>+E127*C127</f>
        <v>19368</v>
      </c>
      <c r="G127" s="65"/>
      <c r="H127" s="65"/>
      <c r="I127" s="65"/>
    </row>
    <row r="128" spans="1:9">
      <c r="A128" s="470" t="s">
        <v>258</v>
      </c>
      <c r="B128" s="670" t="s">
        <v>259</v>
      </c>
      <c r="C128" s="370">
        <v>0.125</v>
      </c>
      <c r="D128" s="243" t="s">
        <v>717</v>
      </c>
      <c r="E128" s="65">
        <f>+VIBRE</f>
        <v>25520</v>
      </c>
      <c r="F128" s="65">
        <f>+E128*C128</f>
        <v>3190</v>
      </c>
      <c r="G128" s="65"/>
      <c r="H128" s="65"/>
      <c r="I128" s="65"/>
    </row>
    <row r="129" spans="1:9">
      <c r="A129" s="470" t="s">
        <v>172</v>
      </c>
      <c r="B129" s="670" t="s">
        <v>189</v>
      </c>
      <c r="C129" s="370">
        <v>1</v>
      </c>
      <c r="D129" s="243" t="s">
        <v>583</v>
      </c>
      <c r="E129" s="65">
        <f>+H139*0.05</f>
        <v>6205.7336105100003</v>
      </c>
      <c r="F129" s="65"/>
      <c r="G129" s="65"/>
      <c r="H129" s="65"/>
      <c r="I129" s="65">
        <f>+E129*C129</f>
        <v>6205.7336105100003</v>
      </c>
    </row>
    <row r="130" spans="1:9">
      <c r="A130" s="470" t="s">
        <v>248</v>
      </c>
      <c r="B130" s="670" t="s">
        <v>249</v>
      </c>
      <c r="C130" s="34">
        <f>8/4</f>
        <v>2</v>
      </c>
      <c r="D130" s="243" t="s">
        <v>363</v>
      </c>
      <c r="E130" s="65">
        <f>+TELEP</f>
        <v>15000</v>
      </c>
      <c r="F130" s="65">
        <f>+E130*C130</f>
        <v>30000</v>
      </c>
      <c r="G130" s="65"/>
      <c r="H130" s="65"/>
      <c r="I130" s="65"/>
    </row>
    <row r="131" spans="1:9">
      <c r="A131" s="470" t="s">
        <v>250</v>
      </c>
      <c r="B131" s="670" t="s">
        <v>251</v>
      </c>
      <c r="C131" s="370">
        <v>2</v>
      </c>
      <c r="D131" s="243" t="s">
        <v>647</v>
      </c>
      <c r="E131" s="65">
        <f>+PLAST</f>
        <v>8896</v>
      </c>
      <c r="F131" s="65"/>
      <c r="G131" s="65">
        <f>+E131*C131</f>
        <v>17792</v>
      </c>
      <c r="H131" s="65"/>
      <c r="I131" s="65"/>
    </row>
    <row r="132" spans="1:9">
      <c r="A132" s="470" t="s">
        <v>261</v>
      </c>
      <c r="B132" s="670" t="s">
        <v>262</v>
      </c>
      <c r="C132" s="370">
        <v>4</v>
      </c>
      <c r="D132" s="243" t="s">
        <v>363</v>
      </c>
      <c r="E132" s="65">
        <f>+TACOR</f>
        <v>3366</v>
      </c>
      <c r="F132" s="65"/>
      <c r="G132" s="65">
        <f>+E132*C132</f>
        <v>13464</v>
      </c>
      <c r="H132" s="65"/>
      <c r="I132" s="65"/>
    </row>
    <row r="133" spans="1:9">
      <c r="A133" s="470" t="s">
        <v>263</v>
      </c>
      <c r="B133" s="670" t="s">
        <v>264</v>
      </c>
      <c r="C133" s="370">
        <v>3</v>
      </c>
      <c r="D133" s="243" t="s">
        <v>374</v>
      </c>
      <c r="E133" s="65">
        <f>+PUNTI</f>
        <v>1632</v>
      </c>
      <c r="F133" s="65"/>
      <c r="G133" s="65">
        <f>+E133*C133</f>
        <v>4896</v>
      </c>
      <c r="H133" s="65"/>
      <c r="I133" s="65"/>
    </row>
    <row r="134" spans="1:9">
      <c r="A134" s="470" t="s">
        <v>464</v>
      </c>
      <c r="B134" s="670" t="s">
        <v>582</v>
      </c>
      <c r="C134" s="370">
        <v>15</v>
      </c>
      <c r="D134" s="243" t="s">
        <v>583</v>
      </c>
      <c r="E134" s="65">
        <f>+TRANS</f>
        <v>1350</v>
      </c>
      <c r="F134" s="65"/>
      <c r="G134" s="65"/>
      <c r="H134" s="65"/>
      <c r="I134" s="65">
        <f>+E134*C134</f>
        <v>20250</v>
      </c>
    </row>
    <row r="135" spans="1:9">
      <c r="A135" s="470" t="s">
        <v>345</v>
      </c>
      <c r="B135" s="670" t="str">
        <f>IF(PRESTA&gt;0,"OFICIAL (INCLUYE "&amp;""&amp;PRESTA*100&amp;"% PRESTACIONES)",0)</f>
        <v>OFICIAL (INCLUYE 82,22% PRESTACIONES)</v>
      </c>
      <c r="C135" s="370">
        <v>0.3</v>
      </c>
      <c r="D135" s="243" t="s">
        <v>346</v>
      </c>
      <c r="E135" s="65">
        <f>+OFICI</f>
        <v>80479.625344</v>
      </c>
      <c r="F135" s="65"/>
      <c r="G135" s="65"/>
      <c r="H135" s="65">
        <f>+E135*C135</f>
        <v>24143.887603200001</v>
      </c>
      <c r="I135" s="65"/>
    </row>
    <row r="136" spans="1:9">
      <c r="A136" s="470" t="s">
        <v>347</v>
      </c>
      <c r="B136" s="670" t="str">
        <f>IF(PRESTA&gt;0,"AYUD. ENTENDIDO (INCLUYE "&amp;""&amp;PRESTA*100&amp;"% PRESTACIONES)",0)</f>
        <v>AYUD. ENTENDIDO (INCLUYE 82,22% PRESTACIONES)</v>
      </c>
      <c r="C136" s="370">
        <v>0.375</v>
      </c>
      <c r="D136" s="243" t="s">
        <v>346</v>
      </c>
      <c r="E136" s="65">
        <f>+AYUDA</f>
        <v>65389.695592000004</v>
      </c>
      <c r="F136" s="65"/>
      <c r="G136" s="65"/>
      <c r="H136" s="65">
        <f>+E136*C136</f>
        <v>24521.135847000001</v>
      </c>
      <c r="I136" s="65"/>
    </row>
    <row r="137" spans="1:9">
      <c r="A137" s="470" t="s">
        <v>348</v>
      </c>
      <c r="B137" s="670" t="str">
        <f>IF(PRESTA&gt;0,"AYUD. RASO (INCLUYE "&amp;""&amp;PRESTA*100&amp;"% PRESTACIONES)",0)</f>
        <v>AYUD. RASO (INCLUYE 82,22% PRESTACIONES)</v>
      </c>
      <c r="C137" s="370">
        <v>1.5</v>
      </c>
      <c r="D137" s="243" t="s">
        <v>346</v>
      </c>
      <c r="E137" s="65">
        <f>+AYUDR</f>
        <v>50299.76584</v>
      </c>
      <c r="F137" s="65"/>
      <c r="G137" s="65"/>
      <c r="H137" s="65">
        <f>+E137*C137</f>
        <v>75449.648759999996</v>
      </c>
      <c r="I137" s="65"/>
    </row>
    <row r="138" spans="1:9">
      <c r="A138" s="470" t="s">
        <v>302</v>
      </c>
      <c r="B138" s="670" t="s">
        <v>3872</v>
      </c>
      <c r="C138" s="370">
        <v>1.02</v>
      </c>
      <c r="D138" s="243" t="s">
        <v>1292</v>
      </c>
      <c r="E138" s="65">
        <f>+CT245KG</f>
        <v>469469.49922490004</v>
      </c>
      <c r="F138" s="65"/>
      <c r="G138" s="65">
        <f>+E138*C138</f>
        <v>478858.88920939807</v>
      </c>
      <c r="H138" s="65"/>
      <c r="I138" s="704"/>
    </row>
    <row r="139" spans="1:9">
      <c r="A139" s="20" t="s">
        <v>190</v>
      </c>
      <c r="B139" s="39">
        <f>SUM(F139:I139)</f>
        <v>718139.29503010807</v>
      </c>
      <c r="C139" s="370"/>
      <c r="D139" s="243"/>
      <c r="E139" s="65"/>
      <c r="F139" s="65">
        <f>SUM(F127:F138)</f>
        <v>52558</v>
      </c>
      <c r="G139" s="65">
        <f>SUM(G127:G138)</f>
        <v>515010.88920939807</v>
      </c>
      <c r="H139" s="65">
        <f>SUM(H127:H138)</f>
        <v>124114.67221019999</v>
      </c>
      <c r="I139" s="65">
        <f>SUM(I127:I138)</f>
        <v>26455.73361051</v>
      </c>
    </row>
    <row r="140" spans="1:9">
      <c r="A140" s="20" t="s">
        <v>191</v>
      </c>
      <c r="B140" s="39">
        <f>+B139</f>
        <v>718139.29503010807</v>
      </c>
      <c r="C140" s="21" t="s">
        <v>356</v>
      </c>
      <c r="D140" s="178"/>
      <c r="E140" s="685"/>
      <c r="F140" s="685"/>
      <c r="G140" s="685"/>
      <c r="H140" s="685"/>
      <c r="I140" s="685"/>
    </row>
    <row r="142" spans="1:9">
      <c r="A142" s="683" t="s">
        <v>1148</v>
      </c>
      <c r="B142" s="3871" t="s">
        <v>3874</v>
      </c>
      <c r="C142" s="3871"/>
      <c r="D142" s="3871"/>
      <c r="E142" s="3871"/>
      <c r="F142" s="3871"/>
      <c r="G142" s="3871"/>
      <c r="H142" s="3871"/>
      <c r="I142" s="3871"/>
    </row>
    <row r="143" spans="1:9">
      <c r="A143" s="705"/>
      <c r="B143" s="706"/>
      <c r="C143" s="705" t="s">
        <v>140</v>
      </c>
      <c r="D143" s="705" t="s">
        <v>343</v>
      </c>
      <c r="E143" s="707" t="s">
        <v>344</v>
      </c>
      <c r="F143" s="707" t="s">
        <v>482</v>
      </c>
      <c r="G143" s="707" t="s">
        <v>483</v>
      </c>
      <c r="H143" s="707" t="s">
        <v>232</v>
      </c>
      <c r="I143" s="707" t="s">
        <v>171</v>
      </c>
    </row>
    <row r="144" spans="1:9">
      <c r="A144" s="243" t="s">
        <v>172</v>
      </c>
      <c r="B144" s="696" t="s">
        <v>189</v>
      </c>
      <c r="C144" s="346">
        <v>1</v>
      </c>
      <c r="D144" s="160" t="s">
        <v>583</v>
      </c>
      <c r="E144" s="65">
        <f>+H153*0.05</f>
        <v>6161.7213154000001</v>
      </c>
      <c r="F144" s="65"/>
      <c r="G144" s="65"/>
      <c r="H144" s="65"/>
      <c r="I144" s="65">
        <f>+E144*C144</f>
        <v>6161.7213154000001</v>
      </c>
    </row>
    <row r="145" spans="1:9">
      <c r="A145" s="243" t="s">
        <v>669</v>
      </c>
      <c r="B145" s="696" t="s">
        <v>670</v>
      </c>
      <c r="C145" s="684">
        <v>25</v>
      </c>
      <c r="D145" s="160" t="s">
        <v>45</v>
      </c>
      <c r="E145" s="65">
        <f>+FORMA</f>
        <v>2222.2222222222222</v>
      </c>
      <c r="F145" s="65"/>
      <c r="G145" s="65">
        <f>+E145*C145</f>
        <v>55555.555555555555</v>
      </c>
      <c r="H145" s="65"/>
      <c r="I145" s="65"/>
    </row>
    <row r="146" spans="1:9">
      <c r="A146" s="470" t="s">
        <v>258</v>
      </c>
      <c r="B146" s="670" t="s">
        <v>259</v>
      </c>
      <c r="C146" s="370">
        <v>0.125</v>
      </c>
      <c r="D146" s="243" t="s">
        <v>717</v>
      </c>
      <c r="E146" s="65">
        <f>+VIBRE</f>
        <v>25520</v>
      </c>
      <c r="F146" s="65">
        <f>+E146*C146</f>
        <v>3190</v>
      </c>
      <c r="G146" s="65"/>
      <c r="H146" s="65"/>
      <c r="I146" s="65"/>
    </row>
    <row r="147" spans="1:9">
      <c r="A147" s="470" t="s">
        <v>250</v>
      </c>
      <c r="B147" s="670" t="s">
        <v>251</v>
      </c>
      <c r="C147" s="370">
        <v>2</v>
      </c>
      <c r="D147" s="243" t="s">
        <v>647</v>
      </c>
      <c r="E147" s="65">
        <f>+PLAST</f>
        <v>8896</v>
      </c>
      <c r="F147" s="65"/>
      <c r="G147" s="65"/>
      <c r="H147" s="65"/>
      <c r="I147" s="65"/>
    </row>
    <row r="148" spans="1:9">
      <c r="A148" s="243" t="s">
        <v>345</v>
      </c>
      <c r="B148" s="696" t="s">
        <v>3875</v>
      </c>
      <c r="C148" s="346">
        <v>0.5</v>
      </c>
      <c r="D148" s="160" t="s">
        <v>346</v>
      </c>
      <c r="E148" s="65">
        <f>+OFICI</f>
        <v>80479.625344</v>
      </c>
      <c r="F148" s="65"/>
      <c r="G148" s="65"/>
      <c r="H148" s="65">
        <f>+E148*C148</f>
        <v>40239.812672</v>
      </c>
      <c r="I148" s="65"/>
    </row>
    <row r="149" spans="1:9">
      <c r="A149" s="243" t="s">
        <v>347</v>
      </c>
      <c r="B149" s="696" t="s">
        <v>3876</v>
      </c>
      <c r="C149" s="346">
        <v>0.5</v>
      </c>
      <c r="D149" s="160" t="s">
        <v>346</v>
      </c>
      <c r="E149" s="65">
        <f>+AYUDA</f>
        <v>65389.695592000004</v>
      </c>
      <c r="F149" s="65"/>
      <c r="G149" s="65"/>
      <c r="H149" s="65">
        <f>+E149*C149</f>
        <v>32694.847796000002</v>
      </c>
      <c r="I149" s="65"/>
    </row>
    <row r="150" spans="1:9">
      <c r="A150" s="243" t="s">
        <v>348</v>
      </c>
      <c r="B150" s="696" t="s">
        <v>3877</v>
      </c>
      <c r="C150" s="346">
        <v>1</v>
      </c>
      <c r="D150" s="160" t="s">
        <v>346</v>
      </c>
      <c r="E150" s="65">
        <f>+AYUDR</f>
        <v>50299.76584</v>
      </c>
      <c r="F150" s="65"/>
      <c r="G150" s="65"/>
      <c r="H150" s="65">
        <f>+E150*C150</f>
        <v>50299.76584</v>
      </c>
      <c r="I150" s="65"/>
    </row>
    <row r="151" spans="1:9">
      <c r="A151" s="243" t="s">
        <v>302</v>
      </c>
      <c r="B151" s="179" t="s">
        <v>16</v>
      </c>
      <c r="C151" s="370">
        <v>1.1000000000000001</v>
      </c>
      <c r="D151" s="243" t="s">
        <v>356</v>
      </c>
      <c r="E151" s="65">
        <f>+CT245KG</f>
        <v>469469.49922490004</v>
      </c>
      <c r="F151" s="65"/>
      <c r="G151" s="65">
        <f>+E151*C151</f>
        <v>516416.44914739009</v>
      </c>
      <c r="H151" s="65"/>
      <c r="I151" s="65"/>
    </row>
    <row r="152" spans="1:9">
      <c r="A152" s="243" t="s">
        <v>464</v>
      </c>
      <c r="B152" s="696" t="s">
        <v>582</v>
      </c>
      <c r="C152" s="346">
        <v>15</v>
      </c>
      <c r="D152" s="160" t="s">
        <v>583</v>
      </c>
      <c r="E152" s="65">
        <f>+TRANS</f>
        <v>1350</v>
      </c>
      <c r="F152" s="65"/>
      <c r="G152" s="65"/>
      <c r="H152" s="65"/>
      <c r="I152" s="65">
        <f>+E152*C152</f>
        <v>20250</v>
      </c>
    </row>
    <row r="153" spans="1:9">
      <c r="A153" s="20" t="s">
        <v>190</v>
      </c>
      <c r="B153" s="39">
        <f>SUM(F153:I153)</f>
        <v>724808.15232634556</v>
      </c>
      <c r="C153" s="34"/>
      <c r="D153" s="169"/>
      <c r="E153" s="65"/>
      <c r="F153" s="65">
        <f>SUM(F143:F152)</f>
        <v>3190</v>
      </c>
      <c r="G153" s="65">
        <f>SUM(G143:G152)</f>
        <v>571972.00470294559</v>
      </c>
      <c r="H153" s="65">
        <f>SUM(H143:H152)</f>
        <v>123234.42630799999</v>
      </c>
      <c r="I153" s="65">
        <f>SUM(I143:I152)</f>
        <v>26411.721315399998</v>
      </c>
    </row>
    <row r="154" spans="1:9">
      <c r="A154" s="20" t="s">
        <v>191</v>
      </c>
      <c r="B154" s="39">
        <f>+B153</f>
        <v>724808.15232634556</v>
      </c>
      <c r="C154" s="21" t="s">
        <v>356</v>
      </c>
      <c r="D154" s="13"/>
      <c r="E154" s="170"/>
      <c r="F154" s="170"/>
      <c r="G154" s="170"/>
      <c r="H154" s="170"/>
      <c r="I154" s="170"/>
    </row>
    <row r="155" spans="1:9">
      <c r="C155" s="178"/>
      <c r="D155" s="178"/>
      <c r="E155" s="685"/>
      <c r="F155" s="685"/>
      <c r="G155" s="685"/>
      <c r="H155" s="685"/>
      <c r="I155" s="685"/>
    </row>
    <row r="156" spans="1:9">
      <c r="A156" s="680" t="s">
        <v>5766</v>
      </c>
      <c r="B156" s="3558" t="s">
        <v>1464</v>
      </c>
      <c r="C156" s="3558"/>
      <c r="D156" s="3558"/>
      <c r="E156" s="3558"/>
      <c r="F156" s="3558"/>
      <c r="G156" s="3558"/>
      <c r="H156" s="3558"/>
      <c r="I156" s="3558"/>
    </row>
    <row r="157" spans="1:9">
      <c r="A157" s="470"/>
      <c r="B157" s="670"/>
      <c r="C157" s="34" t="s">
        <v>140</v>
      </c>
      <c r="D157" s="2" t="s">
        <v>343</v>
      </c>
      <c r="E157" s="585" t="s">
        <v>344</v>
      </c>
      <c r="F157" s="585" t="s">
        <v>482</v>
      </c>
      <c r="G157" s="585" t="s">
        <v>483</v>
      </c>
      <c r="H157" s="585" t="s">
        <v>232</v>
      </c>
      <c r="I157" s="585" t="s">
        <v>171</v>
      </c>
    </row>
    <row r="158" spans="1:9">
      <c r="A158" s="470" t="s">
        <v>172</v>
      </c>
      <c r="B158" s="670" t="s">
        <v>189</v>
      </c>
      <c r="C158" s="370">
        <v>1</v>
      </c>
      <c r="D158" s="243" t="s">
        <v>583</v>
      </c>
      <c r="E158" s="65">
        <f>+H164*0.05</f>
        <v>59.25941163025</v>
      </c>
      <c r="F158" s="65"/>
      <c r="G158" s="65"/>
      <c r="H158" s="65"/>
      <c r="I158" s="65">
        <f>+E158*C158</f>
        <v>59.25941163025</v>
      </c>
    </row>
    <row r="159" spans="1:9">
      <c r="A159" s="470" t="s">
        <v>865</v>
      </c>
      <c r="B159" s="670" t="s">
        <v>866</v>
      </c>
      <c r="C159" s="370">
        <v>0.04</v>
      </c>
      <c r="D159" s="243" t="s">
        <v>647</v>
      </c>
      <c r="E159" s="65">
        <f>+ALANR</f>
        <v>3000</v>
      </c>
      <c r="F159" s="65"/>
      <c r="G159" s="65">
        <f>+E159*C159</f>
        <v>120</v>
      </c>
      <c r="H159" s="65"/>
      <c r="I159" s="65"/>
    </row>
    <row r="160" spans="1:9">
      <c r="A160" s="470" t="s">
        <v>867</v>
      </c>
      <c r="B160" s="670" t="s">
        <v>96</v>
      </c>
      <c r="C160" s="370">
        <v>1</v>
      </c>
      <c r="D160" s="243" t="s">
        <v>647</v>
      </c>
      <c r="E160" s="65">
        <f>+A60FI</f>
        <v>3200</v>
      </c>
      <c r="F160" s="65"/>
      <c r="G160" s="65">
        <f>+E160*C160</f>
        <v>3200</v>
      </c>
      <c r="H160" s="65"/>
      <c r="I160" s="65"/>
    </row>
    <row r="161" spans="1:9">
      <c r="A161" s="243" t="s">
        <v>345</v>
      </c>
      <c r="B161" s="696" t="str">
        <f>IF(PRESTA&gt;0,"OFICIAL (INCLUYE "&amp;""&amp;PRESTA*100&amp;"% PRESTACIONES)",0)</f>
        <v>OFICIAL (INCLUYE 82,22% PRESTACIONES)</v>
      </c>
      <c r="C161" s="370">
        <f>0.065/8</f>
        <v>8.1250000000000003E-3</v>
      </c>
      <c r="D161" s="243" t="s">
        <v>346</v>
      </c>
      <c r="E161" s="65">
        <f>+OFICI</f>
        <v>80479.625344</v>
      </c>
      <c r="F161" s="65"/>
      <c r="G161" s="65"/>
      <c r="H161" s="65">
        <f>+E161*C161</f>
        <v>653.89695591999998</v>
      </c>
      <c r="I161" s="65"/>
    </row>
    <row r="162" spans="1:9">
      <c r="A162" s="243" t="s">
        <v>347</v>
      </c>
      <c r="B162" s="696" t="str">
        <f>IF(PRESTA&gt;0,"AYUD. ENTENDIDO (INCLUYE "&amp;""&amp;PRESTA*100&amp;"% PRESTACIONES)",0)</f>
        <v>AYUD. ENTENDIDO (INCLUYE 82,22% PRESTACIONES)</v>
      </c>
      <c r="C162" s="370">
        <f>0.065/8</f>
        <v>8.1250000000000003E-3</v>
      </c>
      <c r="D162" s="243" t="s">
        <v>346</v>
      </c>
      <c r="E162" s="65">
        <f>+AYUDA</f>
        <v>65389.695592000004</v>
      </c>
      <c r="F162" s="65"/>
      <c r="G162" s="65"/>
      <c r="H162" s="65">
        <f>+E162*C162</f>
        <v>531.29127668500007</v>
      </c>
      <c r="I162" s="65"/>
    </row>
    <row r="163" spans="1:9">
      <c r="A163" s="470" t="s">
        <v>584</v>
      </c>
      <c r="B163" s="670" t="s">
        <v>134</v>
      </c>
      <c r="C163" s="708">
        <v>2.5000000000000001E-4</v>
      </c>
      <c r="D163" s="243" t="s">
        <v>583</v>
      </c>
      <c r="E163" s="65">
        <f>+VIAJE</f>
        <v>1200000</v>
      </c>
      <c r="F163" s="65"/>
      <c r="G163" s="65"/>
      <c r="H163" s="65"/>
      <c r="I163" s="65">
        <f>+E163*C163</f>
        <v>300</v>
      </c>
    </row>
    <row r="164" spans="1:9">
      <c r="A164" s="20" t="s">
        <v>190</v>
      </c>
      <c r="B164" s="39">
        <f>SUM(F164:I164)</f>
        <v>4864.4476442352498</v>
      </c>
      <c r="C164" s="34"/>
      <c r="D164" s="243"/>
      <c r="E164" s="65"/>
      <c r="F164" s="65">
        <f>+SUM(F158:F163)</f>
        <v>0</v>
      </c>
      <c r="G164" s="65">
        <f>+SUM(G158:G163)</f>
        <v>3320</v>
      </c>
      <c r="H164" s="65">
        <f>+SUM(H158:H163)</f>
        <v>1185.1882326049999</v>
      </c>
      <c r="I164" s="65">
        <f>+SUM(I158:I163)</f>
        <v>359.25941163024999</v>
      </c>
    </row>
    <row r="165" spans="1:9">
      <c r="A165" s="20" t="s">
        <v>191</v>
      </c>
      <c r="B165" s="39">
        <f>+B164</f>
        <v>4864.4476442352498</v>
      </c>
      <c r="C165" s="21" t="s">
        <v>647</v>
      </c>
      <c r="D165" s="178"/>
      <c r="E165" s="685"/>
      <c r="F165" s="685"/>
      <c r="G165" s="685"/>
      <c r="H165" s="685"/>
      <c r="I165" s="685"/>
    </row>
    <row r="167" spans="1:9">
      <c r="A167" s="594">
        <v>2.6</v>
      </c>
      <c r="B167" s="3547" t="s">
        <v>3878</v>
      </c>
      <c r="C167" s="3548"/>
      <c r="D167" s="3548"/>
      <c r="E167" s="3548"/>
      <c r="F167" s="3548"/>
      <c r="G167" s="3548"/>
      <c r="H167" s="3548"/>
      <c r="I167" s="3549"/>
    </row>
    <row r="168" spans="1:9">
      <c r="A168" s="243"/>
      <c r="B168" s="179"/>
      <c r="C168" s="243" t="s">
        <v>140</v>
      </c>
      <c r="D168" s="243" t="s">
        <v>343</v>
      </c>
      <c r="E168" s="65" t="s">
        <v>344</v>
      </c>
      <c r="F168" s="65" t="s">
        <v>482</v>
      </c>
      <c r="G168" s="65" t="s">
        <v>483</v>
      </c>
      <c r="H168" s="65" t="s">
        <v>232</v>
      </c>
      <c r="I168" s="65" t="s">
        <v>171</v>
      </c>
    </row>
    <row r="169" spans="1:9">
      <c r="A169" s="243" t="s">
        <v>172</v>
      </c>
      <c r="B169" s="179" t="s">
        <v>189</v>
      </c>
      <c r="C169" s="346">
        <v>1</v>
      </c>
      <c r="D169" s="160" t="s">
        <v>583</v>
      </c>
      <c r="E169" s="65">
        <f>+H172*0.05</f>
        <v>490.42271694000004</v>
      </c>
      <c r="F169" s="65"/>
      <c r="G169" s="65"/>
      <c r="H169" s="65"/>
      <c r="I169" s="65">
        <f>+E169*C169</f>
        <v>490.42271694000004</v>
      </c>
    </row>
    <row r="170" spans="1:9">
      <c r="A170" s="243" t="s">
        <v>431</v>
      </c>
      <c r="B170" s="179" t="s">
        <v>3879</v>
      </c>
      <c r="C170" s="346">
        <v>1</v>
      </c>
      <c r="D170" s="160" t="s">
        <v>45</v>
      </c>
      <c r="E170" s="65">
        <f>+CSIKA</f>
        <v>25379.640000000003</v>
      </c>
      <c r="F170" s="65"/>
      <c r="G170" s="65">
        <f>+E170*C170</f>
        <v>25379.640000000003</v>
      </c>
      <c r="H170" s="65"/>
      <c r="I170" s="65"/>
    </row>
    <row r="171" spans="1:9">
      <c r="A171" s="243" t="s">
        <v>347</v>
      </c>
      <c r="B171" s="179" t="str">
        <f>IF(PRESTA&gt;0,"AYUD. ENTENDIDO (INCLUYE "&amp;""&amp;PRESTA*100&amp;"% PRESTACIONES)",0)</f>
        <v>AYUD. ENTENDIDO (INCLUYE 82,22% PRESTACIONES)</v>
      </c>
      <c r="C171" s="346">
        <v>0.15</v>
      </c>
      <c r="D171" s="160" t="s">
        <v>346</v>
      </c>
      <c r="E171" s="65">
        <f>+AYUDA</f>
        <v>65389.695592000004</v>
      </c>
      <c r="F171" s="65"/>
      <c r="G171" s="65"/>
      <c r="H171" s="65">
        <f>+E171*C171</f>
        <v>9808.4543388000002</v>
      </c>
      <c r="I171" s="65"/>
    </row>
    <row r="172" spans="1:9">
      <c r="A172" s="20" t="s">
        <v>190</v>
      </c>
      <c r="B172" s="39">
        <f>SUM(F172:I172)</f>
        <v>35678.517055739998</v>
      </c>
      <c r="C172" s="34"/>
      <c r="D172" s="169"/>
      <c r="E172" s="65"/>
      <c r="F172" s="65">
        <f>SUM(F169:F171)</f>
        <v>0</v>
      </c>
      <c r="G172" s="65">
        <f>SUM(G169:G171)</f>
        <v>25379.640000000003</v>
      </c>
      <c r="H172" s="65">
        <f>SUM(H169:H171)</f>
        <v>9808.4543388000002</v>
      </c>
      <c r="I172" s="65">
        <f>SUM(I169:I171)</f>
        <v>490.42271694000004</v>
      </c>
    </row>
    <row r="173" spans="1:9">
      <c r="A173" s="20" t="s">
        <v>191</v>
      </c>
      <c r="B173" s="39">
        <f>+B172</f>
        <v>35678.517055739998</v>
      </c>
      <c r="C173" s="21" t="s">
        <v>363</v>
      </c>
      <c r="D173" s="13"/>
      <c r="E173" s="170"/>
      <c r="F173" s="170"/>
      <c r="G173" s="170"/>
      <c r="H173" s="170"/>
      <c r="I173" s="170"/>
    </row>
    <row r="174" spans="1:9">
      <c r="A174" s="596"/>
      <c r="B174" s="597"/>
      <c r="C174" s="596"/>
      <c r="D174" s="596"/>
      <c r="E174" s="599"/>
      <c r="F174" s="599"/>
      <c r="G174" s="599"/>
      <c r="H174" s="599"/>
      <c r="I174" s="599"/>
    </row>
    <row r="176" spans="1:9">
      <c r="A176" s="582">
        <v>2.7</v>
      </c>
      <c r="B176" s="3547" t="s">
        <v>3880</v>
      </c>
      <c r="C176" s="3548"/>
      <c r="D176" s="3548"/>
      <c r="E176" s="3548"/>
      <c r="F176" s="3548"/>
      <c r="G176" s="3548"/>
      <c r="H176" s="3548"/>
      <c r="I176" s="3549"/>
    </row>
    <row r="177" spans="1:9">
      <c r="A177" s="470"/>
      <c r="B177" s="670"/>
      <c r="C177" s="34" t="s">
        <v>140</v>
      </c>
      <c r="D177" s="2" t="s">
        <v>343</v>
      </c>
      <c r="E177" s="585" t="s">
        <v>344</v>
      </c>
      <c r="F177" s="585" t="s">
        <v>482</v>
      </c>
      <c r="G177" s="585" t="s">
        <v>483</v>
      </c>
      <c r="H177" s="585" t="s">
        <v>232</v>
      </c>
      <c r="I177" s="585" t="s">
        <v>171</v>
      </c>
    </row>
    <row r="178" spans="1:9" ht="18">
      <c r="A178" s="470" t="s">
        <v>736</v>
      </c>
      <c r="B178" s="670" t="s">
        <v>737</v>
      </c>
      <c r="C178" s="183">
        <v>0.12</v>
      </c>
      <c r="D178" s="243" t="s">
        <v>735</v>
      </c>
      <c r="E178" s="65">
        <f>+RETRO</f>
        <v>150000</v>
      </c>
      <c r="F178" s="65">
        <f>+E178*C178</f>
        <v>18000</v>
      </c>
      <c r="G178" s="65"/>
      <c r="H178" s="65"/>
      <c r="I178" s="65"/>
    </row>
    <row r="179" spans="1:9">
      <c r="A179" s="470" t="s">
        <v>719</v>
      </c>
      <c r="B179" s="670" t="s">
        <v>720</v>
      </c>
      <c r="C179" s="709">
        <v>1</v>
      </c>
      <c r="D179" s="243" t="s">
        <v>356</v>
      </c>
      <c r="E179" s="65">
        <f>+BOTAD</f>
        <v>22000</v>
      </c>
      <c r="F179" s="65"/>
      <c r="G179" s="65"/>
      <c r="H179" s="65"/>
      <c r="I179" s="65">
        <f>+E179*C179</f>
        <v>22000</v>
      </c>
    </row>
    <row r="180" spans="1:9">
      <c r="A180" s="20" t="s">
        <v>190</v>
      </c>
      <c r="B180" s="588">
        <f>ROUND(SUM(F180:I180),0)</f>
        <v>40000</v>
      </c>
      <c r="C180" s="370"/>
      <c r="D180" s="243"/>
      <c r="E180" s="65"/>
      <c r="F180" s="65">
        <f>+SUM(F178:F179)</f>
        <v>18000</v>
      </c>
      <c r="G180" s="65">
        <f>+SUM(G178:G179)</f>
        <v>0</v>
      </c>
      <c r="H180" s="65">
        <f>+SUM(H178:H179)</f>
        <v>0</v>
      </c>
      <c r="I180" s="65">
        <f>+SUM(I178:I179)</f>
        <v>22000</v>
      </c>
    </row>
    <row r="181" spans="1:9">
      <c r="A181" s="20" t="s">
        <v>191</v>
      </c>
      <c r="B181" s="39">
        <f>+B180</f>
        <v>40000</v>
      </c>
      <c r="C181" s="21" t="s">
        <v>356</v>
      </c>
      <c r="D181" s="178"/>
      <c r="E181" s="685"/>
      <c r="F181" s="685"/>
      <c r="G181" s="685"/>
      <c r="H181" s="685"/>
      <c r="I181" s="685"/>
    </row>
    <row r="183" spans="1:9">
      <c r="A183" s="3694" t="s">
        <v>3881</v>
      </c>
      <c r="B183" s="3695"/>
      <c r="C183" s="3695"/>
      <c r="D183" s="3695"/>
      <c r="E183" s="3695"/>
      <c r="F183" s="3695"/>
      <c r="G183" s="3695"/>
      <c r="H183" s="3695"/>
      <c r="I183" s="3895"/>
    </row>
    <row r="184" spans="1:9">
      <c r="A184" s="680" t="s">
        <v>8583</v>
      </c>
      <c r="B184" s="3558" t="s">
        <v>1385</v>
      </c>
      <c r="C184" s="3558"/>
      <c r="D184" s="3558"/>
      <c r="E184" s="3558"/>
      <c r="F184" s="3558"/>
      <c r="G184" s="3558"/>
      <c r="H184" s="3558"/>
      <c r="I184" s="3558"/>
    </row>
    <row r="185" spans="1:9">
      <c r="A185" s="243"/>
      <c r="B185" s="180"/>
      <c r="C185" s="243" t="s">
        <v>140</v>
      </c>
      <c r="D185" s="243" t="s">
        <v>343</v>
      </c>
      <c r="E185" s="243" t="s">
        <v>344</v>
      </c>
      <c r="F185" s="243" t="s">
        <v>482</v>
      </c>
      <c r="G185" s="243" t="s">
        <v>483</v>
      </c>
      <c r="H185" s="243" t="s">
        <v>170</v>
      </c>
      <c r="I185" s="243" t="s">
        <v>171</v>
      </c>
    </row>
    <row r="186" spans="1:9">
      <c r="A186" s="243" t="s">
        <v>3882</v>
      </c>
      <c r="B186" s="180" t="s">
        <v>3883</v>
      </c>
      <c r="C186" s="370">
        <v>1</v>
      </c>
      <c r="D186" s="243" t="s">
        <v>363</v>
      </c>
      <c r="E186" s="32">
        <v>95000</v>
      </c>
      <c r="F186" s="32"/>
      <c r="G186" s="32">
        <f>+E186*C186</f>
        <v>95000</v>
      </c>
      <c r="H186" s="32"/>
      <c r="I186" s="32"/>
    </row>
    <row r="187" spans="1:9">
      <c r="A187" s="243"/>
      <c r="B187" s="180" t="s">
        <v>3884</v>
      </c>
      <c r="C187" s="370">
        <v>2</v>
      </c>
      <c r="D187" s="243" t="s">
        <v>363</v>
      </c>
      <c r="E187" s="32">
        <v>55500</v>
      </c>
      <c r="F187" s="32"/>
      <c r="G187" s="32">
        <f>+E187*C187</f>
        <v>111000</v>
      </c>
      <c r="H187" s="32"/>
      <c r="I187" s="32"/>
    </row>
    <row r="188" spans="1:9">
      <c r="A188" s="243" t="s">
        <v>348</v>
      </c>
      <c r="B188" s="180" t="s">
        <v>3885</v>
      </c>
      <c r="C188" s="370">
        <v>0.5</v>
      </c>
      <c r="D188" s="243" t="s">
        <v>346</v>
      </c>
      <c r="E188" s="32">
        <v>25500</v>
      </c>
      <c r="F188" s="32"/>
      <c r="G188" s="32"/>
      <c r="H188" s="710">
        <f>+E188*C188</f>
        <v>12750</v>
      </c>
      <c r="I188" s="32"/>
    </row>
    <row r="189" spans="1:9">
      <c r="A189" s="243" t="s">
        <v>345</v>
      </c>
      <c r="B189" s="180" t="s">
        <v>3886</v>
      </c>
      <c r="C189" s="370">
        <v>0.5</v>
      </c>
      <c r="D189" s="243" t="s">
        <v>346</v>
      </c>
      <c r="E189" s="32">
        <f>+OFICI</f>
        <v>80479.625344</v>
      </c>
      <c r="F189" s="32"/>
      <c r="G189" s="32"/>
      <c r="H189" s="710">
        <f>+E189*C189</f>
        <v>40239.812672</v>
      </c>
      <c r="I189" s="32"/>
    </row>
    <row r="190" spans="1:9">
      <c r="A190" s="243" t="s">
        <v>172</v>
      </c>
      <c r="B190" s="180" t="s">
        <v>189</v>
      </c>
      <c r="C190" s="370">
        <v>1</v>
      </c>
      <c r="D190" s="243" t="s">
        <v>583</v>
      </c>
      <c r="E190" s="585">
        <f>+H192*0.05</f>
        <v>2649.4906336000004</v>
      </c>
      <c r="F190" s="32"/>
      <c r="G190" s="32"/>
      <c r="H190" s="32"/>
      <c r="I190" s="710">
        <f>+E190*C190</f>
        <v>2649.4906336000004</v>
      </c>
    </row>
    <row r="191" spans="1:9">
      <c r="A191" s="243" t="s">
        <v>584</v>
      </c>
      <c r="B191" s="180" t="s">
        <v>134</v>
      </c>
      <c r="C191" s="708">
        <v>5.0000000000000001E-3</v>
      </c>
      <c r="D191" s="243" t="s">
        <v>583</v>
      </c>
      <c r="E191" s="32">
        <f>+VIAJE</f>
        <v>1200000</v>
      </c>
      <c r="F191" s="32"/>
      <c r="G191" s="32"/>
      <c r="H191" s="32"/>
      <c r="I191" s="32">
        <f>+E191*C191</f>
        <v>6000</v>
      </c>
    </row>
    <row r="192" spans="1:9">
      <c r="A192" s="20" t="s">
        <v>190</v>
      </c>
      <c r="B192" s="39">
        <f>SUM(F192:I192)</f>
        <v>267639.30330560001</v>
      </c>
      <c r="C192" s="34"/>
      <c r="D192" s="243"/>
      <c r="E192" s="243"/>
      <c r="F192" s="674">
        <f>+SUM(F186:F191)</f>
        <v>0</v>
      </c>
      <c r="G192" s="674">
        <f>+SUM(G186:G191)</f>
        <v>206000</v>
      </c>
      <c r="H192" s="674">
        <f>+SUM(H186:H191)</f>
        <v>52989.812672</v>
      </c>
      <c r="I192" s="674">
        <f>+SUM(I186:I191)</f>
        <v>8649.4906336000004</v>
      </c>
    </row>
    <row r="193" spans="1:9">
      <c r="A193" s="20" t="s">
        <v>191</v>
      </c>
      <c r="B193" s="39">
        <f>+B192</f>
        <v>267639.30330560001</v>
      </c>
      <c r="C193" s="21" t="s">
        <v>363</v>
      </c>
      <c r="D193" s="492"/>
      <c r="E193" s="492"/>
      <c r="F193" s="492"/>
      <c r="G193" s="492"/>
      <c r="H193" s="492"/>
      <c r="I193" s="492"/>
    </row>
    <row r="194" spans="1:9" ht="13.2">
      <c r="A194" s="711"/>
      <c r="B194" s="492"/>
      <c r="C194" s="492"/>
      <c r="D194" s="492"/>
      <c r="E194" s="492"/>
      <c r="F194" s="492"/>
      <c r="G194" s="492"/>
      <c r="H194" s="492"/>
      <c r="I194" s="492"/>
    </row>
    <row r="195" spans="1:9" ht="13.2">
      <c r="A195" s="711"/>
      <c r="B195" s="492"/>
      <c r="C195" s="492"/>
      <c r="D195" s="492"/>
      <c r="E195" s="492"/>
      <c r="F195" s="492"/>
      <c r="G195" s="492"/>
      <c r="H195" s="492"/>
      <c r="I195" s="492"/>
    </row>
    <row r="196" spans="1:9">
      <c r="A196" s="683" t="s">
        <v>8584</v>
      </c>
      <c r="B196" s="3558" t="s">
        <v>1386</v>
      </c>
      <c r="C196" s="3558"/>
      <c r="D196" s="3558"/>
      <c r="E196" s="3558"/>
      <c r="F196" s="3558"/>
      <c r="G196" s="3558"/>
      <c r="H196" s="3558"/>
      <c r="I196" s="3558"/>
    </row>
    <row r="197" spans="1:9">
      <c r="A197" s="470"/>
      <c r="B197" s="712"/>
      <c r="C197" s="243" t="s">
        <v>140</v>
      </c>
      <c r="D197" s="243" t="s">
        <v>343</v>
      </c>
      <c r="E197" s="243" t="s">
        <v>344</v>
      </c>
      <c r="F197" s="243" t="s">
        <v>482</v>
      </c>
      <c r="G197" s="243" t="s">
        <v>483</v>
      </c>
      <c r="H197" s="243" t="s">
        <v>170</v>
      </c>
      <c r="I197" s="243" t="s">
        <v>171</v>
      </c>
    </row>
    <row r="198" spans="1:9">
      <c r="A198" s="471" t="s">
        <v>172</v>
      </c>
      <c r="B198" s="180" t="s">
        <v>646</v>
      </c>
      <c r="C198" s="346">
        <v>0.1</v>
      </c>
      <c r="D198" s="243" t="s">
        <v>647</v>
      </c>
      <c r="E198" s="350">
        <v>50000</v>
      </c>
      <c r="F198" s="350"/>
      <c r="G198" s="674">
        <f>+E198*C198</f>
        <v>5000</v>
      </c>
      <c r="H198" s="350"/>
      <c r="I198" s="350"/>
    </row>
    <row r="199" spans="1:9">
      <c r="A199" s="471" t="s">
        <v>1019</v>
      </c>
      <c r="B199" s="180" t="s">
        <v>3887</v>
      </c>
      <c r="C199" s="346">
        <v>0.25</v>
      </c>
      <c r="D199" s="243" t="s">
        <v>647</v>
      </c>
      <c r="E199" s="350">
        <v>61000</v>
      </c>
      <c r="F199" s="350"/>
      <c r="G199" s="350">
        <f>+E199*C199</f>
        <v>15250</v>
      </c>
      <c r="H199" s="350"/>
      <c r="I199" s="350"/>
    </row>
    <row r="200" spans="1:9">
      <c r="A200" s="471" t="s">
        <v>584</v>
      </c>
      <c r="B200" s="180" t="s">
        <v>3885</v>
      </c>
      <c r="C200" s="346">
        <v>0.1</v>
      </c>
      <c r="D200" s="243" t="s">
        <v>346</v>
      </c>
      <c r="E200" s="674">
        <f>+AYUDR</f>
        <v>50299.76584</v>
      </c>
      <c r="F200" s="350"/>
      <c r="G200" s="350"/>
      <c r="H200" s="710">
        <f>+C200*E200</f>
        <v>5029.976584</v>
      </c>
      <c r="I200" s="350"/>
    </row>
    <row r="201" spans="1:9">
      <c r="A201" s="471" t="s">
        <v>345</v>
      </c>
      <c r="B201" s="180" t="s">
        <v>3886</v>
      </c>
      <c r="C201" s="346">
        <v>0.1</v>
      </c>
      <c r="D201" s="243" t="s">
        <v>346</v>
      </c>
      <c r="E201" s="350">
        <f>+OFICI</f>
        <v>80479.625344</v>
      </c>
      <c r="F201" s="350"/>
      <c r="G201" s="350"/>
      <c r="H201" s="710">
        <f>+E201*C201</f>
        <v>8047.9625344000005</v>
      </c>
      <c r="I201" s="350"/>
    </row>
    <row r="202" spans="1:9">
      <c r="A202" s="471" t="s">
        <v>347</v>
      </c>
      <c r="B202" s="180" t="s">
        <v>189</v>
      </c>
      <c r="C202" s="346">
        <v>1</v>
      </c>
      <c r="D202" s="243" t="s">
        <v>583</v>
      </c>
      <c r="E202" s="65">
        <f>+H204*0.05</f>
        <v>653.8969559200001</v>
      </c>
      <c r="F202" s="350"/>
      <c r="G202" s="350"/>
      <c r="H202" s="350"/>
      <c r="I202" s="350">
        <f>+E202*C202</f>
        <v>653.8969559200001</v>
      </c>
    </row>
    <row r="203" spans="1:9">
      <c r="A203" s="471" t="s">
        <v>770</v>
      </c>
      <c r="B203" s="180" t="s">
        <v>134</v>
      </c>
      <c r="C203" s="346">
        <v>1E-3</v>
      </c>
      <c r="D203" s="243" t="s">
        <v>583</v>
      </c>
      <c r="E203" s="674">
        <f>+VIAJE</f>
        <v>1200000</v>
      </c>
      <c r="F203" s="350"/>
      <c r="G203" s="350"/>
      <c r="H203" s="350"/>
      <c r="I203" s="350">
        <f>+E203*C203</f>
        <v>1200</v>
      </c>
    </row>
    <row r="204" spans="1:9">
      <c r="A204" s="587" t="s">
        <v>190</v>
      </c>
      <c r="B204" s="588">
        <f>SUM(F204:I204)</f>
        <v>35181.836074319996</v>
      </c>
      <c r="C204" s="160"/>
      <c r="D204" s="169"/>
      <c r="E204" s="350"/>
      <c r="F204" s="350">
        <f>SUM(F198:F203)</f>
        <v>0</v>
      </c>
      <c r="G204" s="350">
        <f>SUM(G198:G203)</f>
        <v>20250</v>
      </c>
      <c r="H204" s="350">
        <f>SUM(H198:H203)</f>
        <v>13077.939118400001</v>
      </c>
      <c r="I204" s="350">
        <f>SUM(I198:I203)</f>
        <v>1853.89695592</v>
      </c>
    </row>
    <row r="205" spans="1:9">
      <c r="A205" s="587" t="s">
        <v>191</v>
      </c>
      <c r="B205" s="588">
        <f>+B204</f>
        <v>35181.836074319996</v>
      </c>
      <c r="C205" s="20" t="s">
        <v>94</v>
      </c>
      <c r="D205" s="13"/>
      <c r="E205" s="13"/>
      <c r="F205" s="13"/>
      <c r="G205" s="13"/>
      <c r="H205" s="13"/>
      <c r="I205" s="13"/>
    </row>
    <row r="206" spans="1:9" ht="13.2">
      <c r="A206" s="711"/>
      <c r="B206" s="492"/>
      <c r="C206" s="492"/>
      <c r="D206" s="492"/>
      <c r="E206" s="492"/>
      <c r="F206" s="492"/>
      <c r="G206" s="492"/>
      <c r="H206" s="492"/>
      <c r="I206" s="492"/>
    </row>
    <row r="207" spans="1:9" ht="13.2">
      <c r="A207" s="711"/>
      <c r="B207" s="492"/>
      <c r="C207" s="492"/>
      <c r="D207" s="492"/>
      <c r="E207" s="492"/>
      <c r="F207" s="492"/>
      <c r="G207" s="492"/>
      <c r="H207" s="492"/>
      <c r="I207" s="492"/>
    </row>
    <row r="208" spans="1:9">
      <c r="A208" s="683" t="s">
        <v>8585</v>
      </c>
      <c r="B208" s="3880" t="s">
        <v>1387</v>
      </c>
      <c r="C208" s="3881"/>
      <c r="D208" s="3881"/>
      <c r="E208" s="3881"/>
      <c r="F208" s="3881"/>
      <c r="G208" s="3881"/>
      <c r="H208" s="3881"/>
      <c r="I208" s="3882"/>
    </row>
    <row r="209" spans="1:9">
      <c r="A209" s="243"/>
      <c r="B209" s="180"/>
      <c r="C209" s="243" t="s">
        <v>140</v>
      </c>
      <c r="D209" s="243" t="s">
        <v>343</v>
      </c>
      <c r="E209" s="243" t="s">
        <v>344</v>
      </c>
      <c r="F209" s="243" t="s">
        <v>482</v>
      </c>
      <c r="G209" s="243" t="s">
        <v>483</v>
      </c>
      <c r="H209" s="243" t="s">
        <v>170</v>
      </c>
      <c r="I209" s="243" t="s">
        <v>171</v>
      </c>
    </row>
    <row r="210" spans="1:9">
      <c r="A210" s="243" t="s">
        <v>172</v>
      </c>
      <c r="B210" s="180" t="s">
        <v>189</v>
      </c>
      <c r="C210" s="713" t="s">
        <v>622</v>
      </c>
      <c r="D210" s="243" t="s">
        <v>583</v>
      </c>
      <c r="E210" s="65">
        <f>+H217*0.05</f>
        <v>1458.6932093600001</v>
      </c>
      <c r="F210" s="243"/>
      <c r="G210" s="350"/>
      <c r="H210" s="350"/>
      <c r="I210" s="160">
        <f>+E210*C210</f>
        <v>1458.6932093600001</v>
      </c>
    </row>
    <row r="211" spans="1:9">
      <c r="A211" s="243" t="s">
        <v>415</v>
      </c>
      <c r="B211" s="180" t="s">
        <v>416</v>
      </c>
      <c r="C211" s="713" t="s">
        <v>3888</v>
      </c>
      <c r="D211" s="243" t="s">
        <v>363</v>
      </c>
      <c r="E211" s="350">
        <v>1120</v>
      </c>
      <c r="F211" s="243"/>
      <c r="G211" s="350">
        <f>+E211*C211</f>
        <v>8960</v>
      </c>
      <c r="H211" s="350"/>
      <c r="I211" s="243"/>
    </row>
    <row r="212" spans="1:9">
      <c r="A212" s="243" t="s">
        <v>417</v>
      </c>
      <c r="B212" s="180" t="s">
        <v>996</v>
      </c>
      <c r="C212" s="370">
        <v>1.8</v>
      </c>
      <c r="D212" s="243" t="s">
        <v>45</v>
      </c>
      <c r="E212" s="350">
        <f>+E187</f>
        <v>55500</v>
      </c>
      <c r="F212" s="243"/>
      <c r="G212" s="350">
        <f>+E212*C212</f>
        <v>99900</v>
      </c>
      <c r="H212" s="350"/>
      <c r="I212" s="243"/>
    </row>
    <row r="213" spans="1:9">
      <c r="A213" s="243" t="s">
        <v>3889</v>
      </c>
      <c r="B213" s="180" t="s">
        <v>3890</v>
      </c>
      <c r="C213" s="713" t="s">
        <v>622</v>
      </c>
      <c r="D213" s="243" t="s">
        <v>363</v>
      </c>
      <c r="E213" s="350">
        <v>253200</v>
      </c>
      <c r="F213" s="243"/>
      <c r="G213" s="350">
        <f>+E213*C213</f>
        <v>253200</v>
      </c>
      <c r="H213" s="350"/>
      <c r="I213" s="243"/>
    </row>
    <row r="214" spans="1:9">
      <c r="A214" s="243" t="s">
        <v>584</v>
      </c>
      <c r="B214" s="180" t="s">
        <v>134</v>
      </c>
      <c r="C214" s="370">
        <v>0.01</v>
      </c>
      <c r="D214" s="243" t="s">
        <v>583</v>
      </c>
      <c r="E214" s="674">
        <f>+VIAJE</f>
        <v>1200000</v>
      </c>
      <c r="F214" s="243"/>
      <c r="G214" s="350"/>
      <c r="H214" s="350"/>
      <c r="I214" s="709">
        <f>+E214*C214</f>
        <v>12000</v>
      </c>
    </row>
    <row r="215" spans="1:9">
      <c r="A215" s="243" t="s">
        <v>347</v>
      </c>
      <c r="B215" s="180" t="s">
        <v>3891</v>
      </c>
      <c r="C215" s="370">
        <v>0.2</v>
      </c>
      <c r="D215" s="243" t="s">
        <v>346</v>
      </c>
      <c r="E215" s="350">
        <f>+AYUDA</f>
        <v>65389.695592000004</v>
      </c>
      <c r="F215" s="243"/>
      <c r="G215" s="350"/>
      <c r="H215" s="350">
        <f>+E215*C215</f>
        <v>13077.939118400001</v>
      </c>
      <c r="I215" s="243"/>
    </row>
    <row r="216" spans="1:9">
      <c r="A216" s="243" t="s">
        <v>345</v>
      </c>
      <c r="B216" s="180" t="s">
        <v>3886</v>
      </c>
      <c r="C216" s="370">
        <f>1/5</f>
        <v>0.2</v>
      </c>
      <c r="D216" s="243" t="s">
        <v>346</v>
      </c>
      <c r="E216" s="350">
        <f>+OFICI</f>
        <v>80479.625344</v>
      </c>
      <c r="F216" s="243"/>
      <c r="G216" s="350"/>
      <c r="H216" s="350">
        <f>+E216*C216</f>
        <v>16095.925068800001</v>
      </c>
      <c r="I216" s="243"/>
    </row>
    <row r="217" spans="1:9">
      <c r="A217" s="587" t="s">
        <v>190</v>
      </c>
      <c r="B217" s="588">
        <f>SUM(F217:I217)</f>
        <v>404692.55739655998</v>
      </c>
      <c r="C217" s="160"/>
      <c r="D217" s="243"/>
      <c r="E217" s="243"/>
      <c r="F217" s="350">
        <f>SUM(F210:F216)</f>
        <v>0</v>
      </c>
      <c r="G217" s="350">
        <f>SUM(G210:G216)</f>
        <v>362060</v>
      </c>
      <c r="H217" s="350">
        <f>SUM(H210:H216)</f>
        <v>29173.864187200001</v>
      </c>
      <c r="I217" s="350">
        <f>SUM(I210:I216)</f>
        <v>13458.693209360001</v>
      </c>
    </row>
    <row r="218" spans="1:9">
      <c r="A218" s="587" t="s">
        <v>191</v>
      </c>
      <c r="B218" s="588">
        <f>+B217</f>
        <v>404692.55739655998</v>
      </c>
      <c r="C218" s="20" t="s">
        <v>94</v>
      </c>
      <c r="D218" s="492"/>
      <c r="E218" s="492"/>
      <c r="F218" s="492"/>
      <c r="G218" s="492"/>
      <c r="H218" s="492"/>
      <c r="I218" s="492"/>
    </row>
    <row r="219" spans="1:9" ht="13.2">
      <c r="A219" s="711"/>
      <c r="B219" s="492"/>
      <c r="C219" s="492"/>
      <c r="D219" s="492"/>
      <c r="E219" s="492"/>
      <c r="F219" s="492"/>
      <c r="G219" s="492"/>
      <c r="H219" s="492"/>
      <c r="I219" s="492"/>
    </row>
    <row r="220" spans="1:9" ht="13.2">
      <c r="A220" s="711"/>
      <c r="B220" s="492"/>
      <c r="C220" s="492"/>
      <c r="D220" s="492"/>
      <c r="E220" s="492"/>
      <c r="F220" s="492"/>
      <c r="G220" s="492"/>
      <c r="H220" s="492"/>
      <c r="I220" s="492"/>
    </row>
    <row r="221" spans="1:9">
      <c r="A221" s="683" t="s">
        <v>8586</v>
      </c>
      <c r="B221" s="3900" t="s">
        <v>3892</v>
      </c>
      <c r="C221" s="3901"/>
      <c r="D221" s="3901"/>
      <c r="E221" s="3901"/>
      <c r="F221" s="3901"/>
      <c r="G221" s="3901"/>
      <c r="H221" s="3901"/>
      <c r="I221" s="3902"/>
    </row>
    <row r="222" spans="1:9">
      <c r="A222" s="243"/>
      <c r="B222" s="180"/>
      <c r="C222" s="243" t="s">
        <v>140</v>
      </c>
      <c r="D222" s="243" t="s">
        <v>343</v>
      </c>
      <c r="E222" s="243" t="s">
        <v>344</v>
      </c>
      <c r="F222" s="243" t="s">
        <v>482</v>
      </c>
      <c r="G222" s="243" t="s">
        <v>483</v>
      </c>
      <c r="H222" s="243" t="s">
        <v>170</v>
      </c>
      <c r="I222" s="243" t="s">
        <v>171</v>
      </c>
    </row>
    <row r="223" spans="1:9">
      <c r="A223" s="243" t="s">
        <v>172</v>
      </c>
      <c r="B223" s="180" t="s">
        <v>189</v>
      </c>
      <c r="C223" s="346">
        <v>1</v>
      </c>
      <c r="D223" s="160" t="s">
        <v>583</v>
      </c>
      <c r="E223" s="350">
        <v>20000</v>
      </c>
      <c r="F223" s="350"/>
      <c r="G223" s="350"/>
      <c r="H223" s="350"/>
      <c r="I223" s="350">
        <f>+E223*C223</f>
        <v>20000</v>
      </c>
    </row>
    <row r="224" spans="1:9">
      <c r="A224" s="243" t="s">
        <v>347</v>
      </c>
      <c r="B224" s="180" t="s">
        <v>3891</v>
      </c>
      <c r="C224" s="160" t="s">
        <v>622</v>
      </c>
      <c r="D224" s="243" t="s">
        <v>346</v>
      </c>
      <c r="E224" s="350">
        <f>+AYUDA</f>
        <v>65389.695592000004</v>
      </c>
      <c r="F224" s="350"/>
      <c r="G224" s="350"/>
      <c r="H224" s="350">
        <f>+E224*C224</f>
        <v>65389.695592000004</v>
      </c>
      <c r="I224" s="350"/>
    </row>
    <row r="225" spans="1:9">
      <c r="A225" s="20" t="s">
        <v>190</v>
      </c>
      <c r="B225" s="39">
        <f>SUM(F225:I225)</f>
        <v>85389.695592000004</v>
      </c>
      <c r="C225" s="34"/>
      <c r="D225" s="169"/>
      <c r="E225" s="350"/>
      <c r="F225" s="350">
        <f>SUM(F223:F224)</f>
        <v>0</v>
      </c>
      <c r="G225" s="350">
        <f>SUM(G223:G224)</f>
        <v>0</v>
      </c>
      <c r="H225" s="350">
        <f>SUM(H223:H224)</f>
        <v>65389.695592000004</v>
      </c>
      <c r="I225" s="350">
        <f>SUM(I223:I224)</f>
        <v>20000</v>
      </c>
    </row>
    <row r="226" spans="1:9">
      <c r="A226" s="20" t="s">
        <v>191</v>
      </c>
      <c r="B226" s="39">
        <f>+B225</f>
        <v>85389.695592000004</v>
      </c>
      <c r="C226" s="21" t="s">
        <v>363</v>
      </c>
      <c r="D226" s="13"/>
      <c r="E226" s="13"/>
      <c r="F226" s="13"/>
      <c r="G226" s="13"/>
      <c r="H226" s="13"/>
      <c r="I226" s="13"/>
    </row>
    <row r="227" spans="1:9" ht="13.2">
      <c r="A227" s="711"/>
      <c r="B227" s="492"/>
      <c r="C227" s="492"/>
      <c r="D227" s="492"/>
      <c r="E227" s="492"/>
      <c r="F227" s="492"/>
      <c r="G227" s="492"/>
      <c r="H227" s="492"/>
      <c r="I227" s="492"/>
    </row>
    <row r="228" spans="1:9">
      <c r="A228" s="714" t="s">
        <v>8587</v>
      </c>
      <c r="B228" s="3903" t="s">
        <v>3893</v>
      </c>
      <c r="C228" s="3904"/>
      <c r="D228" s="3904"/>
      <c r="E228" s="3904"/>
      <c r="F228" s="3904"/>
      <c r="G228" s="3904"/>
      <c r="H228" s="3904"/>
      <c r="I228" s="3905"/>
    </row>
    <row r="229" spans="1:9">
      <c r="A229" s="243"/>
      <c r="B229" s="180"/>
      <c r="C229" s="243" t="s">
        <v>140</v>
      </c>
      <c r="D229" s="243" t="s">
        <v>343</v>
      </c>
      <c r="E229" s="243" t="s">
        <v>344</v>
      </c>
      <c r="F229" s="243" t="s">
        <v>482</v>
      </c>
      <c r="G229" s="243" t="s">
        <v>483</v>
      </c>
      <c r="H229" s="243" t="s">
        <v>170</v>
      </c>
      <c r="I229" s="243" t="s">
        <v>171</v>
      </c>
    </row>
    <row r="230" spans="1:9">
      <c r="A230" s="243" t="s">
        <v>3894</v>
      </c>
      <c r="B230" s="180" t="s">
        <v>3895</v>
      </c>
      <c r="C230" s="346">
        <v>1</v>
      </c>
      <c r="D230" s="160" t="s">
        <v>363</v>
      </c>
      <c r="E230" s="350">
        <v>1344200</v>
      </c>
      <c r="F230" s="492"/>
      <c r="G230" s="350">
        <f>+E230*C230</f>
        <v>1344200</v>
      </c>
      <c r="H230" s="350"/>
      <c r="I230" s="350"/>
    </row>
    <row r="231" spans="1:9">
      <c r="A231" s="243" t="s">
        <v>584</v>
      </c>
      <c r="B231" s="180" t="s">
        <v>134</v>
      </c>
      <c r="C231" s="346">
        <v>0.1</v>
      </c>
      <c r="D231" s="160" t="s">
        <v>583</v>
      </c>
      <c r="E231" s="674">
        <f>+VIAJE</f>
        <v>1200000</v>
      </c>
      <c r="F231" s="350"/>
      <c r="G231" s="350"/>
      <c r="H231" s="350"/>
      <c r="I231" s="350">
        <f>+E231*C231</f>
        <v>120000</v>
      </c>
    </row>
    <row r="232" spans="1:9">
      <c r="A232" s="20" t="s">
        <v>190</v>
      </c>
      <c r="B232" s="39">
        <f>SUM(F232:I232)</f>
        <v>1464200</v>
      </c>
      <c r="C232" s="34"/>
      <c r="D232" s="169"/>
      <c r="E232" s="350"/>
      <c r="F232" s="350">
        <f>SUM(F230:F231)</f>
        <v>0</v>
      </c>
      <c r="G232" s="350">
        <f>SUM(G230:G231)</f>
        <v>1344200</v>
      </c>
      <c r="H232" s="350">
        <f>SUM(H230:H231)</f>
        <v>0</v>
      </c>
      <c r="I232" s="350">
        <f>SUM(I230:I231)</f>
        <v>120000</v>
      </c>
    </row>
    <row r="233" spans="1:9">
      <c r="A233" s="20" t="s">
        <v>191</v>
      </c>
      <c r="B233" s="39">
        <f>+B232</f>
        <v>1464200</v>
      </c>
      <c r="C233" s="21" t="s">
        <v>363</v>
      </c>
      <c r="D233" s="13"/>
      <c r="E233" s="13"/>
      <c r="F233" s="13"/>
      <c r="G233" s="13"/>
      <c r="H233" s="13"/>
      <c r="I233" s="13"/>
    </row>
    <row r="234" spans="1:9" ht="13.2">
      <c r="A234" s="711"/>
      <c r="B234" s="492"/>
      <c r="C234" s="492"/>
      <c r="D234" s="492"/>
      <c r="E234" s="492"/>
      <c r="F234" s="492"/>
      <c r="G234" s="492"/>
      <c r="H234" s="492"/>
      <c r="I234" s="492"/>
    </row>
    <row r="235" spans="1:9">
      <c r="A235" s="3694" t="s">
        <v>3896</v>
      </c>
      <c r="B235" s="3695"/>
      <c r="C235" s="3695"/>
      <c r="D235" s="3695"/>
      <c r="E235" s="3695"/>
      <c r="F235" s="3695"/>
      <c r="G235" s="3695"/>
      <c r="H235" s="3695"/>
      <c r="I235" s="3895"/>
    </row>
    <row r="236" spans="1:9">
      <c r="A236" s="683" t="s">
        <v>8588</v>
      </c>
      <c r="B236" s="3900" t="s">
        <v>3892</v>
      </c>
      <c r="C236" s="3901"/>
      <c r="D236" s="3901"/>
      <c r="E236" s="3901"/>
      <c r="F236" s="3901"/>
      <c r="G236" s="3901"/>
      <c r="H236" s="3901"/>
      <c r="I236" s="3902"/>
    </row>
    <row r="237" spans="1:9">
      <c r="A237" s="243"/>
      <c r="B237" s="180"/>
      <c r="C237" s="243" t="s">
        <v>140</v>
      </c>
      <c r="D237" s="243" t="s">
        <v>343</v>
      </c>
      <c r="E237" s="243" t="s">
        <v>344</v>
      </c>
      <c r="F237" s="243" t="s">
        <v>482</v>
      </c>
      <c r="G237" s="243" t="s">
        <v>483</v>
      </c>
      <c r="H237" s="243" t="s">
        <v>170</v>
      </c>
      <c r="I237" s="243" t="s">
        <v>171</v>
      </c>
    </row>
    <row r="238" spans="1:9">
      <c r="A238" s="243" t="s">
        <v>172</v>
      </c>
      <c r="B238" s="180" t="s">
        <v>189</v>
      </c>
      <c r="C238" s="859">
        <v>1</v>
      </c>
      <c r="D238" s="160" t="s">
        <v>583</v>
      </c>
      <c r="E238" s="350">
        <f>+H241*0.05</f>
        <v>490.42271694000004</v>
      </c>
      <c r="F238" s="350"/>
      <c r="G238" s="350"/>
      <c r="H238" s="350"/>
      <c r="I238" s="350">
        <f>+E238*C238</f>
        <v>490.42271694000004</v>
      </c>
    </row>
    <row r="239" spans="1:9">
      <c r="A239" s="243" t="s">
        <v>345</v>
      </c>
      <c r="B239" s="180" t="s">
        <v>3886</v>
      </c>
      <c r="C239" s="370">
        <v>1</v>
      </c>
      <c r="D239" s="243" t="s">
        <v>346</v>
      </c>
      <c r="E239" s="674">
        <f>+OFICI</f>
        <v>80479.625344</v>
      </c>
      <c r="F239" s="350"/>
      <c r="G239" s="350"/>
      <c r="H239" s="350"/>
      <c r="I239" s="350"/>
    </row>
    <row r="240" spans="1:9">
      <c r="A240" s="243" t="s">
        <v>347</v>
      </c>
      <c r="B240" s="180" t="s">
        <v>3891</v>
      </c>
      <c r="C240" s="160" t="s">
        <v>4280</v>
      </c>
      <c r="D240" s="243" t="s">
        <v>346</v>
      </c>
      <c r="E240" s="350">
        <f>+AYUDA</f>
        <v>65389.695592000004</v>
      </c>
      <c r="F240" s="350"/>
      <c r="G240" s="350"/>
      <c r="H240" s="350">
        <f>+E240*C240</f>
        <v>9808.4543388000002</v>
      </c>
      <c r="I240" s="350"/>
    </row>
    <row r="241" spans="1:9">
      <c r="A241" s="20" t="s">
        <v>190</v>
      </c>
      <c r="B241" s="39">
        <f>SUM(F241:I241)</f>
        <v>10298.87705574</v>
      </c>
      <c r="C241" s="34"/>
      <c r="D241" s="169"/>
      <c r="E241" s="350"/>
      <c r="F241" s="350">
        <f>SUM(F238:F240)</f>
        <v>0</v>
      </c>
      <c r="G241" s="350">
        <f>SUM(G238:G240)</f>
        <v>0</v>
      </c>
      <c r="H241" s="350">
        <f>SUM(H238:H240)</f>
        <v>9808.4543388000002</v>
      </c>
      <c r="I241" s="350">
        <f>SUM(I238:I240)</f>
        <v>490.42271694000004</v>
      </c>
    </row>
    <row r="242" spans="1:9">
      <c r="A242" s="20" t="s">
        <v>191</v>
      </c>
      <c r="B242" s="39">
        <f>+B241</f>
        <v>10298.87705574</v>
      </c>
      <c r="C242" s="21" t="s">
        <v>363</v>
      </c>
      <c r="D242" s="13"/>
      <c r="E242" s="13"/>
      <c r="F242" s="13"/>
      <c r="G242" s="13"/>
      <c r="H242" s="13"/>
      <c r="I242" s="13"/>
    </row>
    <row r="243" spans="1:9" ht="13.2">
      <c r="A243" s="711"/>
      <c r="B243" s="492"/>
      <c r="C243" s="492"/>
      <c r="D243" s="492"/>
      <c r="E243" s="492"/>
      <c r="F243" s="492"/>
      <c r="G243" s="492"/>
      <c r="H243" s="492"/>
      <c r="I243" s="492"/>
    </row>
    <row r="244" spans="1:9">
      <c r="A244" s="714" t="s">
        <v>8589</v>
      </c>
      <c r="B244" s="3903" t="s">
        <v>3897</v>
      </c>
      <c r="C244" s="3904"/>
      <c r="D244" s="3904"/>
      <c r="E244" s="3904"/>
      <c r="F244" s="3904"/>
      <c r="G244" s="3904"/>
      <c r="H244" s="3904"/>
      <c r="I244" s="3905"/>
    </row>
    <row r="245" spans="1:9">
      <c r="A245" s="243"/>
      <c r="B245" s="180"/>
      <c r="C245" s="243" t="s">
        <v>140</v>
      </c>
      <c r="D245" s="243" t="s">
        <v>343</v>
      </c>
      <c r="E245" s="243" t="s">
        <v>344</v>
      </c>
      <c r="F245" s="243" t="s">
        <v>482</v>
      </c>
      <c r="G245" s="243" t="s">
        <v>483</v>
      </c>
      <c r="H245" s="243" t="s">
        <v>170</v>
      </c>
      <c r="I245" s="243" t="s">
        <v>171</v>
      </c>
    </row>
    <row r="246" spans="1:9">
      <c r="A246" s="243" t="s">
        <v>3894</v>
      </c>
      <c r="B246" s="180" t="s">
        <v>3895</v>
      </c>
      <c r="C246" s="346">
        <v>1</v>
      </c>
      <c r="D246" s="160" t="s">
        <v>363</v>
      </c>
      <c r="E246" s="350">
        <v>3282800</v>
      </c>
      <c r="F246" s="492"/>
      <c r="G246" s="350">
        <f>+E246*C246</f>
        <v>3282800</v>
      </c>
      <c r="H246" s="350"/>
      <c r="I246" s="350"/>
    </row>
    <row r="247" spans="1:9">
      <c r="A247" s="243" t="s">
        <v>584</v>
      </c>
      <c r="B247" s="180" t="s">
        <v>134</v>
      </c>
      <c r="C247" s="346">
        <v>0.1</v>
      </c>
      <c r="D247" s="160" t="s">
        <v>583</v>
      </c>
      <c r="E247" s="674">
        <f>+VIAJE</f>
        <v>1200000</v>
      </c>
      <c r="F247" s="350"/>
      <c r="G247" s="350"/>
      <c r="H247" s="350"/>
      <c r="I247" s="350">
        <f>+E247*C247</f>
        <v>120000</v>
      </c>
    </row>
    <row r="248" spans="1:9">
      <c r="A248" s="20" t="s">
        <v>190</v>
      </c>
      <c r="B248" s="39">
        <f>SUM(F248:I248)</f>
        <v>3402800</v>
      </c>
      <c r="C248" s="34"/>
      <c r="D248" s="169"/>
      <c r="E248" s="350"/>
      <c r="F248" s="350">
        <f>SUM(F246:F247)</f>
        <v>0</v>
      </c>
      <c r="G248" s="350">
        <f>SUM(G246:G247)</f>
        <v>3282800</v>
      </c>
      <c r="H248" s="350">
        <f>SUM(H246:H247)</f>
        <v>0</v>
      </c>
      <c r="I248" s="350">
        <f>SUM(I246:I247)</f>
        <v>120000</v>
      </c>
    </row>
    <row r="249" spans="1:9">
      <c r="A249" s="20" t="s">
        <v>191</v>
      </c>
      <c r="B249" s="39">
        <f>+B248</f>
        <v>3402800</v>
      </c>
      <c r="C249" s="21" t="s">
        <v>363</v>
      </c>
      <c r="D249" s="13"/>
      <c r="E249" s="13"/>
      <c r="F249" s="13"/>
      <c r="G249" s="13"/>
      <c r="H249" s="13"/>
      <c r="I249" s="13"/>
    </row>
    <row r="250" spans="1:9" ht="13.2">
      <c r="A250" s="711"/>
      <c r="B250" s="492"/>
      <c r="C250" s="492"/>
      <c r="D250" s="492"/>
      <c r="E250" s="492"/>
      <c r="F250" s="492"/>
      <c r="G250" s="492"/>
      <c r="H250" s="492"/>
      <c r="I250" s="492"/>
    </row>
    <row r="251" spans="1:9">
      <c r="A251" s="683" t="s">
        <v>8590</v>
      </c>
      <c r="B251" s="3900" t="s">
        <v>3898</v>
      </c>
      <c r="C251" s="3901"/>
      <c r="D251" s="3901"/>
      <c r="E251" s="3901"/>
      <c r="F251" s="3901"/>
      <c r="G251" s="3901"/>
      <c r="H251" s="3901"/>
      <c r="I251" s="3902"/>
    </row>
    <row r="252" spans="1:9">
      <c r="A252" s="243"/>
      <c r="B252" s="180"/>
      <c r="C252" s="243" t="s">
        <v>140</v>
      </c>
      <c r="D252" s="243" t="s">
        <v>343</v>
      </c>
      <c r="E252" s="243" t="s">
        <v>344</v>
      </c>
      <c r="F252" s="243" t="s">
        <v>482</v>
      </c>
      <c r="G252" s="243" t="s">
        <v>483</v>
      </c>
      <c r="H252" s="243" t="s">
        <v>170</v>
      </c>
      <c r="I252" s="243" t="s">
        <v>171</v>
      </c>
    </row>
    <row r="253" spans="1:9">
      <c r="A253" s="243" t="s">
        <v>172</v>
      </c>
      <c r="B253" s="180" t="s">
        <v>189</v>
      </c>
      <c r="C253" s="346">
        <v>1</v>
      </c>
      <c r="D253" s="160" t="s">
        <v>583</v>
      </c>
      <c r="E253" s="350">
        <f>+H256*0.05</f>
        <v>10562.950826400001</v>
      </c>
      <c r="F253" s="350"/>
      <c r="G253" s="350"/>
      <c r="H253" s="350"/>
      <c r="I253" s="350">
        <f>+E253*C253</f>
        <v>10562.950826400001</v>
      </c>
    </row>
    <row r="254" spans="1:9">
      <c r="A254" s="243" t="s">
        <v>345</v>
      </c>
      <c r="B254" s="180" t="s">
        <v>3886</v>
      </c>
      <c r="C254" s="370">
        <v>1</v>
      </c>
      <c r="D254" s="243" t="s">
        <v>346</v>
      </c>
      <c r="E254" s="674">
        <f>+OFICI</f>
        <v>80479.625344</v>
      </c>
      <c r="F254" s="350"/>
      <c r="G254" s="350"/>
      <c r="H254" s="350">
        <f>+E254*C254</f>
        <v>80479.625344</v>
      </c>
      <c r="I254" s="350"/>
    </row>
    <row r="255" spans="1:9">
      <c r="A255" s="243" t="s">
        <v>347</v>
      </c>
      <c r="B255" s="180" t="s">
        <v>3891</v>
      </c>
      <c r="C255" s="160" t="s">
        <v>260</v>
      </c>
      <c r="D255" s="243" t="s">
        <v>346</v>
      </c>
      <c r="E255" s="350">
        <f>+AYUDA</f>
        <v>65389.695592000004</v>
      </c>
      <c r="F255" s="350"/>
      <c r="G255" s="350"/>
      <c r="H255" s="350">
        <f>+E255*C255</f>
        <v>130779.39118400001</v>
      </c>
      <c r="I255" s="350"/>
    </row>
    <row r="256" spans="1:9">
      <c r="A256" s="20" t="s">
        <v>190</v>
      </c>
      <c r="B256" s="39">
        <f>SUM(F256:I256)</f>
        <v>221821.9673544</v>
      </c>
      <c r="C256" s="34"/>
      <c r="D256" s="169"/>
      <c r="E256" s="350"/>
      <c r="F256" s="350">
        <f>SUM(F253:F255)</f>
        <v>0</v>
      </c>
      <c r="G256" s="350">
        <f>SUM(G253:G255)</f>
        <v>0</v>
      </c>
      <c r="H256" s="350">
        <f>SUM(H253:H255)</f>
        <v>211259.01652800001</v>
      </c>
      <c r="I256" s="350">
        <f>SUM(I253:I255)</f>
        <v>10562.950826400001</v>
      </c>
    </row>
    <row r="257" spans="1:9">
      <c r="A257" s="20" t="s">
        <v>191</v>
      </c>
      <c r="B257" s="39">
        <f>+B256</f>
        <v>221821.9673544</v>
      </c>
      <c r="C257" s="21" t="s">
        <v>363</v>
      </c>
      <c r="D257" s="13"/>
      <c r="E257" s="13"/>
      <c r="F257" s="13"/>
      <c r="G257" s="13"/>
      <c r="H257" s="13"/>
      <c r="I257" s="13"/>
    </row>
    <row r="258" spans="1:9" ht="13.2">
      <c r="A258" s="711"/>
      <c r="B258" s="492"/>
      <c r="C258" s="492"/>
      <c r="D258" s="492"/>
      <c r="E258" s="492"/>
      <c r="F258" s="492"/>
      <c r="G258" s="492"/>
      <c r="H258" s="492"/>
      <c r="I258" s="492"/>
    </row>
    <row r="259" spans="1:9">
      <c r="A259" s="714" t="s">
        <v>8591</v>
      </c>
      <c r="B259" s="3903" t="s">
        <v>3899</v>
      </c>
      <c r="C259" s="3904"/>
      <c r="D259" s="3904"/>
      <c r="E259" s="3904"/>
      <c r="F259" s="3904"/>
      <c r="G259" s="3904"/>
      <c r="H259" s="3904"/>
      <c r="I259" s="3905"/>
    </row>
    <row r="260" spans="1:9">
      <c r="A260" s="243"/>
      <c r="B260" s="180"/>
      <c r="C260" s="243" t="s">
        <v>140</v>
      </c>
      <c r="D260" s="243" t="s">
        <v>343</v>
      </c>
      <c r="E260" s="243" t="s">
        <v>344</v>
      </c>
      <c r="F260" s="243" t="s">
        <v>482</v>
      </c>
      <c r="G260" s="243" t="s">
        <v>483</v>
      </c>
      <c r="H260" s="243" t="s">
        <v>170</v>
      </c>
      <c r="I260" s="243" t="s">
        <v>171</v>
      </c>
    </row>
    <row r="261" spans="1:9">
      <c r="A261" s="243" t="s">
        <v>3894</v>
      </c>
      <c r="B261" s="180" t="s">
        <v>3900</v>
      </c>
      <c r="C261" s="346">
        <v>1</v>
      </c>
      <c r="D261" s="160" t="s">
        <v>363</v>
      </c>
      <c r="E261" s="350">
        <v>7172280</v>
      </c>
      <c r="F261" s="492"/>
      <c r="G261" s="350">
        <f>+E261*C261</f>
        <v>7172280</v>
      </c>
      <c r="H261" s="350"/>
      <c r="I261" s="350"/>
    </row>
    <row r="262" spans="1:9">
      <c r="A262" s="243" t="s">
        <v>584</v>
      </c>
      <c r="B262" s="180" t="s">
        <v>134</v>
      </c>
      <c r="C262" s="346">
        <v>0.3</v>
      </c>
      <c r="D262" s="160" t="s">
        <v>583</v>
      </c>
      <c r="E262" s="674">
        <f>+VIAJE</f>
        <v>1200000</v>
      </c>
      <c r="F262" s="350"/>
      <c r="G262" s="350"/>
      <c r="H262" s="350"/>
      <c r="I262" s="350">
        <f>+E262*C262</f>
        <v>360000</v>
      </c>
    </row>
    <row r="263" spans="1:9">
      <c r="A263" s="20" t="s">
        <v>190</v>
      </c>
      <c r="B263" s="39">
        <f>SUM(F263:I263)</f>
        <v>7532280</v>
      </c>
      <c r="C263" s="34"/>
      <c r="D263" s="169"/>
      <c r="E263" s="350"/>
      <c r="F263" s="350">
        <f>SUM(F261:F262)</f>
        <v>0</v>
      </c>
      <c r="G263" s="350">
        <f>SUM(G261:G262)</f>
        <v>7172280</v>
      </c>
      <c r="H263" s="350">
        <f>SUM(H261:H262)</f>
        <v>0</v>
      </c>
      <c r="I263" s="350">
        <f>SUM(I261:I262)</f>
        <v>360000</v>
      </c>
    </row>
    <row r="264" spans="1:9">
      <c r="A264" s="20" t="s">
        <v>191</v>
      </c>
      <c r="B264" s="39">
        <f>+B263</f>
        <v>7532280</v>
      </c>
      <c r="C264" s="21" t="s">
        <v>363</v>
      </c>
      <c r="D264" s="13"/>
      <c r="E264" s="13"/>
      <c r="F264" s="13"/>
      <c r="G264" s="13"/>
      <c r="H264" s="13"/>
      <c r="I264" s="13"/>
    </row>
    <row r="265" spans="1:9" ht="13.2">
      <c r="A265" s="711"/>
      <c r="B265" s="492"/>
      <c r="C265" s="492"/>
      <c r="D265" s="492"/>
      <c r="E265" s="492"/>
      <c r="F265" s="492"/>
      <c r="G265" s="492"/>
      <c r="H265" s="492"/>
      <c r="I265" s="492"/>
    </row>
    <row r="266" spans="1:9">
      <c r="A266" s="680" t="s">
        <v>8592</v>
      </c>
      <c r="B266" s="3558" t="s">
        <v>3901</v>
      </c>
      <c r="C266" s="3558"/>
      <c r="D266" s="3558"/>
      <c r="E266" s="3558"/>
      <c r="F266" s="3558"/>
      <c r="G266" s="3558"/>
      <c r="H266" s="3558"/>
      <c r="I266" s="3558"/>
    </row>
    <row r="267" spans="1:9">
      <c r="A267" s="470"/>
      <c r="B267" s="180"/>
      <c r="C267" s="243"/>
      <c r="D267" s="243"/>
      <c r="E267" s="243"/>
      <c r="F267" s="243" t="s">
        <v>482</v>
      </c>
      <c r="G267" s="243" t="s">
        <v>483</v>
      </c>
      <c r="H267" s="243" t="s">
        <v>170</v>
      </c>
      <c r="I267" s="243" t="s">
        <v>171</v>
      </c>
    </row>
    <row r="268" spans="1:9">
      <c r="A268" s="470" t="s">
        <v>172</v>
      </c>
      <c r="B268" s="180" t="s">
        <v>189</v>
      </c>
      <c r="C268" s="346" t="s">
        <v>622</v>
      </c>
      <c r="D268" s="243" t="s">
        <v>583</v>
      </c>
      <c r="E268" s="350">
        <f>+H274*0.05</f>
        <v>5356.9250619600007</v>
      </c>
      <c r="F268" s="350"/>
      <c r="G268" s="350"/>
      <c r="H268" s="350"/>
      <c r="I268" s="350">
        <f>+E268*C268</f>
        <v>5356.9250619600007</v>
      </c>
    </row>
    <row r="269" spans="1:9">
      <c r="A269" s="470" t="s">
        <v>559</v>
      </c>
      <c r="B269" s="180" t="s">
        <v>3902</v>
      </c>
      <c r="C269" s="346">
        <v>1.05</v>
      </c>
      <c r="D269" s="243" t="s">
        <v>356</v>
      </c>
      <c r="E269" s="350">
        <v>395000</v>
      </c>
      <c r="F269" s="350"/>
      <c r="G269" s="350">
        <f>+E269*C269</f>
        <v>414750</v>
      </c>
      <c r="H269" s="350"/>
      <c r="I269" s="350"/>
    </row>
    <row r="270" spans="1:9">
      <c r="A270" s="470" t="s">
        <v>1015</v>
      </c>
      <c r="B270" s="180" t="s">
        <v>138</v>
      </c>
      <c r="C270" s="346">
        <v>1.05</v>
      </c>
      <c r="D270" s="243" t="s">
        <v>356</v>
      </c>
      <c r="E270" s="350">
        <f>+E281</f>
        <v>30600</v>
      </c>
      <c r="F270" s="350"/>
      <c r="G270" s="350"/>
      <c r="H270" s="350"/>
      <c r="I270" s="350">
        <f>+E270*C270</f>
        <v>32130</v>
      </c>
    </row>
    <row r="271" spans="1:9">
      <c r="A271" s="243" t="s">
        <v>345</v>
      </c>
      <c r="B271" s="180" t="s">
        <v>3886</v>
      </c>
      <c r="C271" s="370">
        <v>0.6</v>
      </c>
      <c r="D271" s="243" t="s">
        <v>346</v>
      </c>
      <c r="E271" s="674">
        <f>+OFICI</f>
        <v>80479.625344</v>
      </c>
      <c r="F271" s="350"/>
      <c r="G271" s="350"/>
      <c r="H271" s="350">
        <f>+E271*C271</f>
        <v>48287.775206400001</v>
      </c>
      <c r="I271" s="350"/>
    </row>
    <row r="272" spans="1:9">
      <c r="A272" s="470" t="s">
        <v>347</v>
      </c>
      <c r="B272" s="180" t="s">
        <v>3876</v>
      </c>
      <c r="C272" s="346">
        <v>0.3</v>
      </c>
      <c r="D272" s="243" t="s">
        <v>346</v>
      </c>
      <c r="E272" s="350">
        <f>+AYUDA</f>
        <v>65389.695592000004</v>
      </c>
      <c r="F272" s="350"/>
      <c r="G272" s="350"/>
      <c r="H272" s="350">
        <f>+E272*C272</f>
        <v>19616.9086776</v>
      </c>
      <c r="I272" s="350"/>
    </row>
    <row r="273" spans="1:9">
      <c r="A273" s="470" t="s">
        <v>348</v>
      </c>
      <c r="B273" s="180" t="s">
        <v>3877</v>
      </c>
      <c r="C273" s="34">
        <v>0.6</v>
      </c>
      <c r="D273" s="243" t="s">
        <v>346</v>
      </c>
      <c r="E273" s="350">
        <f>+AYUDA</f>
        <v>65389.695592000004</v>
      </c>
      <c r="F273" s="350"/>
      <c r="G273" s="350"/>
      <c r="H273" s="350">
        <f>+E273*C273</f>
        <v>39233.817355200001</v>
      </c>
      <c r="I273" s="350"/>
    </row>
    <row r="274" spans="1:9">
      <c r="A274" s="587" t="s">
        <v>190</v>
      </c>
      <c r="B274" s="39">
        <f>SUM(F274:I274)</f>
        <v>559375.42630116001</v>
      </c>
      <c r="C274" s="34"/>
      <c r="D274" s="243"/>
      <c r="E274" s="350"/>
      <c r="F274" s="350">
        <f>+SUM(F268:F273)</f>
        <v>0</v>
      </c>
      <c r="G274" s="350">
        <f>+SUM(G268:G273)</f>
        <v>414750</v>
      </c>
      <c r="H274" s="350">
        <f>+SUM(H268:H273)</f>
        <v>107138.50123920001</v>
      </c>
      <c r="I274" s="350">
        <f>+SUM(I268:I273)</f>
        <v>37486.925061959999</v>
      </c>
    </row>
    <row r="275" spans="1:9">
      <c r="A275" s="587" t="s">
        <v>191</v>
      </c>
      <c r="B275" s="39">
        <f>+B274</f>
        <v>559375.42630116001</v>
      </c>
      <c r="C275" s="688" t="s">
        <v>3903</v>
      </c>
      <c r="D275" s="178"/>
      <c r="E275" s="178"/>
      <c r="F275" s="178"/>
      <c r="G275" s="178"/>
      <c r="H275" s="178"/>
      <c r="I275" s="178"/>
    </row>
    <row r="276" spans="1:9" ht="13.2">
      <c r="A276" s="711"/>
      <c r="B276" s="492"/>
      <c r="C276" s="492"/>
      <c r="D276" s="492"/>
      <c r="E276" s="492"/>
      <c r="F276" s="492"/>
      <c r="G276" s="492"/>
      <c r="H276" s="492"/>
      <c r="I276" s="492"/>
    </row>
    <row r="277" spans="1:9">
      <c r="A277" s="680" t="s">
        <v>8593</v>
      </c>
      <c r="B277" s="3558" t="s">
        <v>1388</v>
      </c>
      <c r="C277" s="3558"/>
      <c r="D277" s="3558"/>
      <c r="E277" s="3558"/>
      <c r="F277" s="3558"/>
      <c r="G277" s="3558"/>
      <c r="H277" s="3558"/>
      <c r="I277" s="3558"/>
    </row>
    <row r="278" spans="1:9">
      <c r="A278" s="470"/>
      <c r="B278" s="180"/>
      <c r="C278" s="243"/>
      <c r="D278" s="243"/>
      <c r="E278" s="243"/>
      <c r="F278" s="243" t="s">
        <v>482</v>
      </c>
      <c r="G278" s="243" t="s">
        <v>483</v>
      </c>
      <c r="H278" s="243" t="s">
        <v>170</v>
      </c>
      <c r="I278" s="243" t="s">
        <v>171</v>
      </c>
    </row>
    <row r="279" spans="1:9">
      <c r="A279" s="470" t="s">
        <v>172</v>
      </c>
      <c r="B279" s="180" t="s">
        <v>189</v>
      </c>
      <c r="C279" s="346" t="s">
        <v>622</v>
      </c>
      <c r="D279" s="243" t="s">
        <v>583</v>
      </c>
      <c r="E279" s="350">
        <f>+H285*0.05</f>
        <v>3584.3887603200001</v>
      </c>
      <c r="F279" s="350"/>
      <c r="G279" s="350"/>
      <c r="H279" s="350"/>
      <c r="I279" s="350">
        <f>+E279*C279</f>
        <v>3584.3887603200001</v>
      </c>
    </row>
    <row r="280" spans="1:9">
      <c r="A280" s="470" t="s">
        <v>559</v>
      </c>
      <c r="B280" s="180" t="s">
        <v>560</v>
      </c>
      <c r="C280" s="346">
        <v>1.05</v>
      </c>
      <c r="D280" s="243" t="s">
        <v>356</v>
      </c>
      <c r="E280" s="350">
        <f>+E269</f>
        <v>395000</v>
      </c>
      <c r="F280" s="350"/>
      <c r="G280" s="350">
        <f>+E280*C280</f>
        <v>414750</v>
      </c>
      <c r="H280" s="350"/>
      <c r="I280" s="350"/>
    </row>
    <row r="281" spans="1:9">
      <c r="A281" s="470" t="s">
        <v>1015</v>
      </c>
      <c r="B281" s="180" t="s">
        <v>138</v>
      </c>
      <c r="C281" s="346">
        <v>1.05</v>
      </c>
      <c r="D281" s="243" t="s">
        <v>356</v>
      </c>
      <c r="E281" s="350">
        <f>+E292</f>
        <v>30600</v>
      </c>
      <c r="F281" s="350"/>
      <c r="G281" s="350"/>
      <c r="H281" s="350"/>
      <c r="I281" s="350">
        <f>+E281*C281</f>
        <v>32130</v>
      </c>
    </row>
    <row r="282" spans="1:9">
      <c r="A282" s="243" t="s">
        <v>345</v>
      </c>
      <c r="B282" s="180" t="s">
        <v>3886</v>
      </c>
      <c r="C282" s="370">
        <v>0.6</v>
      </c>
      <c r="D282" s="243" t="s">
        <v>346</v>
      </c>
      <c r="E282" s="674">
        <f>+OFICI</f>
        <v>80479.625344</v>
      </c>
      <c r="F282" s="350"/>
      <c r="G282" s="350"/>
      <c r="H282" s="350">
        <f>+E282*C282</f>
        <v>48287.775206400001</v>
      </c>
      <c r="I282" s="350"/>
    </row>
    <row r="283" spans="1:9">
      <c r="A283" s="470" t="s">
        <v>347</v>
      </c>
      <c r="B283" s="180" t="s">
        <v>3876</v>
      </c>
      <c r="C283" s="346">
        <v>0.3</v>
      </c>
      <c r="D283" s="243" t="s">
        <v>346</v>
      </c>
      <c r="E283" s="350">
        <v>38000</v>
      </c>
      <c r="F283" s="350"/>
      <c r="G283" s="350"/>
      <c r="H283" s="350">
        <f>+E283*C283</f>
        <v>11400</v>
      </c>
      <c r="I283" s="350"/>
    </row>
    <row r="284" spans="1:9">
      <c r="A284" s="470" t="s">
        <v>348</v>
      </c>
      <c r="B284" s="180" t="s">
        <v>3877</v>
      </c>
      <c r="C284" s="34">
        <v>0.6</v>
      </c>
      <c r="D284" s="243" t="s">
        <v>346</v>
      </c>
      <c r="E284" s="350">
        <v>20000</v>
      </c>
      <c r="F284" s="350"/>
      <c r="G284" s="350"/>
      <c r="H284" s="350">
        <f>+E284*C284</f>
        <v>12000</v>
      </c>
      <c r="I284" s="350"/>
    </row>
    <row r="285" spans="1:9">
      <c r="A285" s="587" t="s">
        <v>190</v>
      </c>
      <c r="B285" s="39">
        <f>SUM(F285:I285)</f>
        <v>522152.16396671999</v>
      </c>
      <c r="C285" s="34"/>
      <c r="D285" s="243"/>
      <c r="E285" s="350"/>
      <c r="F285" s="350">
        <f>+SUM(F279:F284)</f>
        <v>0</v>
      </c>
      <c r="G285" s="350">
        <f>+SUM(G279:G284)</f>
        <v>414750</v>
      </c>
      <c r="H285" s="350">
        <f>+SUM(H279:H284)</f>
        <v>71687.775206399994</v>
      </c>
      <c r="I285" s="350">
        <f>+SUM(I279:I284)</f>
        <v>35714.388760319998</v>
      </c>
    </row>
    <row r="286" spans="1:9">
      <c r="A286" s="587" t="s">
        <v>191</v>
      </c>
      <c r="B286" s="39">
        <f>+B285</f>
        <v>522152.16396671999</v>
      </c>
      <c r="C286" s="688" t="s">
        <v>3903</v>
      </c>
      <c r="D286" s="178"/>
      <c r="E286" s="178"/>
      <c r="F286" s="178"/>
      <c r="G286" s="178"/>
      <c r="H286" s="178"/>
      <c r="I286" s="178"/>
    </row>
    <row r="287" spans="1:9" ht="13.2">
      <c r="A287" s="711"/>
      <c r="B287" s="492"/>
      <c r="C287" s="492"/>
      <c r="D287" s="492"/>
      <c r="E287" s="492"/>
      <c r="F287" s="492"/>
      <c r="G287" s="492"/>
      <c r="H287" s="492"/>
      <c r="I287" s="492"/>
    </row>
    <row r="288" spans="1:9">
      <c r="A288" s="680" t="s">
        <v>8594</v>
      </c>
      <c r="B288" s="3547" t="s">
        <v>3904</v>
      </c>
      <c r="C288" s="3548"/>
      <c r="D288" s="3548"/>
      <c r="E288" s="3548"/>
      <c r="F288" s="3548"/>
      <c r="G288" s="3548"/>
      <c r="H288" s="3548"/>
      <c r="I288" s="3549"/>
    </row>
    <row r="289" spans="1:9">
      <c r="A289" s="470"/>
      <c r="B289" s="696"/>
      <c r="C289" s="243" t="s">
        <v>140</v>
      </c>
      <c r="D289" s="243" t="s">
        <v>343</v>
      </c>
      <c r="E289" s="243" t="s">
        <v>344</v>
      </c>
      <c r="F289" s="243" t="s">
        <v>482</v>
      </c>
      <c r="G289" s="243" t="s">
        <v>483</v>
      </c>
      <c r="H289" s="243" t="s">
        <v>170</v>
      </c>
      <c r="I289" s="243" t="s">
        <v>171</v>
      </c>
    </row>
    <row r="290" spans="1:9">
      <c r="A290" s="470" t="s">
        <v>172</v>
      </c>
      <c r="B290" s="696" t="s">
        <v>189</v>
      </c>
      <c r="C290" s="346">
        <v>1</v>
      </c>
      <c r="D290" s="243" t="s">
        <v>583</v>
      </c>
      <c r="E290" s="350">
        <f>+H296*0.05</f>
        <v>5885.0726032800003</v>
      </c>
      <c r="F290" s="350"/>
      <c r="G290" s="350"/>
      <c r="H290" s="350"/>
      <c r="I290" s="350">
        <f>+E290*C290</f>
        <v>5885.0726032800003</v>
      </c>
    </row>
    <row r="291" spans="1:9">
      <c r="A291" s="470" t="s">
        <v>176</v>
      </c>
      <c r="B291" s="696" t="s">
        <v>3905</v>
      </c>
      <c r="C291" s="346">
        <v>1</v>
      </c>
      <c r="D291" s="243" t="s">
        <v>356</v>
      </c>
      <c r="E291" s="350">
        <f>+E280</f>
        <v>395000</v>
      </c>
      <c r="F291" s="350"/>
      <c r="G291" s="350">
        <f>+E291*C291</f>
        <v>395000</v>
      </c>
      <c r="H291" s="350"/>
      <c r="I291" s="350"/>
    </row>
    <row r="292" spans="1:9">
      <c r="A292" s="470" t="s">
        <v>1015</v>
      </c>
      <c r="B292" s="696" t="s">
        <v>138</v>
      </c>
      <c r="C292" s="346">
        <v>1.05</v>
      </c>
      <c r="D292" s="243" t="s">
        <v>356</v>
      </c>
      <c r="E292" s="350">
        <f>+TRANAG</f>
        <v>30600</v>
      </c>
      <c r="F292" s="350"/>
      <c r="G292" s="350"/>
      <c r="H292" s="350"/>
      <c r="I292" s="350">
        <f>+E292*C292</f>
        <v>32130</v>
      </c>
    </row>
    <row r="293" spans="1:9">
      <c r="A293" s="243" t="s">
        <v>345</v>
      </c>
      <c r="B293" s="180" t="s">
        <v>3886</v>
      </c>
      <c r="C293" s="370">
        <v>0.6</v>
      </c>
      <c r="D293" s="243" t="s">
        <v>346</v>
      </c>
      <c r="E293" s="674">
        <f>+OFICI</f>
        <v>80479.625344</v>
      </c>
      <c r="F293" s="350"/>
      <c r="G293" s="350"/>
      <c r="H293" s="350">
        <f>+E293*C293</f>
        <v>48287.775206400001</v>
      </c>
      <c r="I293" s="350"/>
    </row>
    <row r="294" spans="1:9">
      <c r="A294" s="470" t="s">
        <v>347</v>
      </c>
      <c r="B294" s="696" t="s">
        <v>3876</v>
      </c>
      <c r="C294" s="346">
        <v>0.6</v>
      </c>
      <c r="D294" s="243" t="s">
        <v>346</v>
      </c>
      <c r="E294" s="350">
        <f>+AYUDA</f>
        <v>65389.695592000004</v>
      </c>
      <c r="F294" s="350"/>
      <c r="G294" s="350"/>
      <c r="H294" s="350">
        <f>+E294*C294</f>
        <v>39233.817355200001</v>
      </c>
      <c r="I294" s="350"/>
    </row>
    <row r="295" spans="1:9">
      <c r="A295" s="470" t="s">
        <v>348</v>
      </c>
      <c r="B295" s="696" t="s">
        <v>3877</v>
      </c>
      <c r="C295" s="346">
        <v>0.6</v>
      </c>
      <c r="D295" s="243" t="s">
        <v>346</v>
      </c>
      <c r="E295" s="350">
        <f>+AYUDR</f>
        <v>50299.76584</v>
      </c>
      <c r="F295" s="350"/>
      <c r="G295" s="350"/>
      <c r="H295" s="350">
        <f>+E295*C295</f>
        <v>30179.859504</v>
      </c>
      <c r="I295" s="350"/>
    </row>
    <row r="296" spans="1:9">
      <c r="A296" s="587" t="s">
        <v>190</v>
      </c>
      <c r="B296" s="588">
        <f>SUM(F296:I296)</f>
        <v>550716.52466887992</v>
      </c>
      <c r="C296" s="160"/>
      <c r="D296" s="243"/>
      <c r="E296" s="350"/>
      <c r="F296" s="350">
        <f>+SUM(F290:F295)</f>
        <v>0</v>
      </c>
      <c r="G296" s="350">
        <f>+SUM(G290:G295)</f>
        <v>395000</v>
      </c>
      <c r="H296" s="350">
        <f>+SUM(H290:H295)</f>
        <v>117701.45206559999</v>
      </c>
      <c r="I296" s="350">
        <f>+SUM(I290:I295)</f>
        <v>38015.072603280001</v>
      </c>
    </row>
    <row r="297" spans="1:9">
      <c r="A297" s="587" t="s">
        <v>191</v>
      </c>
      <c r="B297" s="588">
        <f>+B296</f>
        <v>550716.52466887992</v>
      </c>
      <c r="C297" s="688" t="s">
        <v>3903</v>
      </c>
      <c r="D297" s="13"/>
      <c r="E297" s="13"/>
      <c r="F297" s="13"/>
      <c r="G297" s="13"/>
      <c r="H297" s="13"/>
      <c r="I297" s="13"/>
    </row>
    <row r="298" spans="1:9" ht="13.2">
      <c r="A298" s="711"/>
      <c r="B298" s="492"/>
      <c r="C298" s="492"/>
      <c r="D298" s="492"/>
      <c r="E298" s="492"/>
      <c r="F298" s="492"/>
      <c r="G298" s="492"/>
      <c r="H298" s="492"/>
      <c r="I298" s="492"/>
    </row>
    <row r="299" spans="1:9">
      <c r="A299" s="680" t="s">
        <v>8595</v>
      </c>
      <c r="B299" s="3871" t="s">
        <v>3906</v>
      </c>
      <c r="C299" s="3871"/>
      <c r="D299" s="3871"/>
      <c r="E299" s="3871"/>
      <c r="F299" s="3871"/>
      <c r="G299" s="3871"/>
      <c r="H299" s="3871"/>
      <c r="I299" s="3871"/>
    </row>
    <row r="300" spans="1:9">
      <c r="A300" s="470"/>
      <c r="B300" s="712"/>
      <c r="C300" s="243" t="s">
        <v>140</v>
      </c>
      <c r="D300" s="243" t="s">
        <v>343</v>
      </c>
      <c r="E300" s="243" t="s">
        <v>344</v>
      </c>
      <c r="F300" s="243" t="s">
        <v>482</v>
      </c>
      <c r="G300" s="243" t="s">
        <v>483</v>
      </c>
      <c r="H300" s="243" t="s">
        <v>170</v>
      </c>
      <c r="I300" s="243" t="s">
        <v>171</v>
      </c>
    </row>
    <row r="301" spans="1:9">
      <c r="A301" s="471" t="s">
        <v>172</v>
      </c>
      <c r="B301" s="41" t="s">
        <v>189</v>
      </c>
      <c r="C301" s="346">
        <v>1</v>
      </c>
      <c r="D301" s="160" t="s">
        <v>583</v>
      </c>
      <c r="E301" s="350">
        <f>+H305*0.05</f>
        <v>3646.7330234000001</v>
      </c>
      <c r="F301" s="350"/>
      <c r="G301" s="350"/>
      <c r="H301" s="350"/>
      <c r="I301" s="350">
        <f>+E301*C301</f>
        <v>3646.7330234000001</v>
      </c>
    </row>
    <row r="302" spans="1:9">
      <c r="A302" s="471" t="s">
        <v>345</v>
      </c>
      <c r="B302" s="41" t="s">
        <v>3886</v>
      </c>
      <c r="C302" s="346">
        <v>0.5</v>
      </c>
      <c r="D302" s="160" t="s">
        <v>346</v>
      </c>
      <c r="E302" s="350">
        <f>+OFICI</f>
        <v>80479.625344</v>
      </c>
      <c r="F302" s="350"/>
      <c r="G302" s="350"/>
      <c r="H302" s="350">
        <f>+E302*C302</f>
        <v>40239.812672</v>
      </c>
      <c r="I302" s="350"/>
    </row>
    <row r="303" spans="1:9">
      <c r="A303" s="471" t="s">
        <v>347</v>
      </c>
      <c r="B303" s="41" t="s">
        <v>3891</v>
      </c>
      <c r="C303" s="346">
        <v>0.5</v>
      </c>
      <c r="D303" s="160" t="s">
        <v>346</v>
      </c>
      <c r="E303" s="350">
        <f>+AYUDA</f>
        <v>65389.695592000004</v>
      </c>
      <c r="F303" s="350"/>
      <c r="G303" s="350"/>
      <c r="H303" s="350">
        <f>+E303*C303</f>
        <v>32694.847796000002</v>
      </c>
      <c r="I303" s="350"/>
    </row>
    <row r="304" spans="1:9">
      <c r="A304" s="471" t="s">
        <v>770</v>
      </c>
      <c r="B304" s="41" t="s">
        <v>771</v>
      </c>
      <c r="C304" s="346">
        <v>1</v>
      </c>
      <c r="D304" s="160" t="s">
        <v>133</v>
      </c>
      <c r="E304" s="350">
        <f>+LUBRI</f>
        <v>12500.1</v>
      </c>
      <c r="F304" s="350"/>
      <c r="G304" s="350">
        <f>+E304*C304</f>
        <v>12500.1</v>
      </c>
      <c r="H304" s="350"/>
      <c r="I304" s="350"/>
    </row>
    <row r="305" spans="1:9">
      <c r="A305" s="587" t="s">
        <v>190</v>
      </c>
      <c r="B305" s="588">
        <f>SUM(F305:I305)</f>
        <v>89081.493491400004</v>
      </c>
      <c r="C305" s="160"/>
      <c r="D305" s="169"/>
      <c r="E305" s="350"/>
      <c r="F305" s="350">
        <f>SUM(F301:F304)</f>
        <v>0</v>
      </c>
      <c r="G305" s="350">
        <f>SUM(G301:G304)</f>
        <v>12500.1</v>
      </c>
      <c r="H305" s="350">
        <f>SUM(H301:H304)</f>
        <v>72934.660468000002</v>
      </c>
      <c r="I305" s="350">
        <f>SUM(I301:I304)</f>
        <v>3646.7330234000001</v>
      </c>
    </row>
    <row r="306" spans="1:9">
      <c r="A306" s="587" t="s">
        <v>191</v>
      </c>
      <c r="B306" s="588">
        <f>+B305</f>
        <v>89081.493491400004</v>
      </c>
      <c r="C306" s="20" t="s">
        <v>363</v>
      </c>
      <c r="D306" s="13"/>
      <c r="E306" s="13"/>
      <c r="F306" s="13"/>
      <c r="G306" s="13"/>
      <c r="H306" s="13"/>
      <c r="I306" s="13"/>
    </row>
    <row r="307" spans="1:9" ht="13.2">
      <c r="A307" s="711"/>
      <c r="B307" s="492"/>
      <c r="C307" s="492"/>
      <c r="D307" s="492"/>
      <c r="E307" s="492"/>
      <c r="F307" s="492"/>
      <c r="G307" s="492"/>
      <c r="H307" s="492"/>
      <c r="I307" s="492"/>
    </row>
    <row r="308" spans="1:9">
      <c r="A308" s="508" t="s">
        <v>8596</v>
      </c>
      <c r="B308" s="3873" t="s">
        <v>3907</v>
      </c>
      <c r="C308" s="3873"/>
      <c r="D308" s="3873"/>
      <c r="E308" s="3873"/>
      <c r="F308" s="3873"/>
      <c r="G308" s="3873"/>
      <c r="H308" s="3873"/>
      <c r="I308" s="3873"/>
    </row>
    <row r="309" spans="1:9">
      <c r="A309" s="470"/>
      <c r="B309" s="712"/>
      <c r="C309" s="243" t="s">
        <v>140</v>
      </c>
      <c r="D309" s="243" t="s">
        <v>343</v>
      </c>
      <c r="E309" s="243" t="s">
        <v>344</v>
      </c>
      <c r="F309" s="243" t="s">
        <v>482</v>
      </c>
      <c r="G309" s="243" t="s">
        <v>483</v>
      </c>
      <c r="H309" s="243" t="s">
        <v>170</v>
      </c>
      <c r="I309" s="243" t="s">
        <v>171</v>
      </c>
    </row>
    <row r="310" spans="1:9">
      <c r="A310" s="471" t="s">
        <v>1019</v>
      </c>
      <c r="B310" s="41" t="s">
        <v>3908</v>
      </c>
      <c r="C310" s="346">
        <v>1</v>
      </c>
      <c r="D310" s="160" t="s">
        <v>363</v>
      </c>
      <c r="E310" s="350">
        <f>207000*1.16</f>
        <v>240119.99999999997</v>
      </c>
      <c r="F310" s="350"/>
      <c r="G310" s="350">
        <f>+E310*C310</f>
        <v>240119.99999999997</v>
      </c>
      <c r="H310" s="350"/>
      <c r="I310" s="350"/>
    </row>
    <row r="311" spans="1:9">
      <c r="A311" s="471" t="s">
        <v>584</v>
      </c>
      <c r="B311" s="41" t="s">
        <v>134</v>
      </c>
      <c r="C311" s="346">
        <v>3.5000000000000003E-2</v>
      </c>
      <c r="D311" s="160" t="s">
        <v>583</v>
      </c>
      <c r="E311" s="350">
        <f>+VIAJE</f>
        <v>1200000</v>
      </c>
      <c r="F311" s="350"/>
      <c r="G311" s="350"/>
      <c r="H311" s="350"/>
      <c r="I311" s="350">
        <f>+E311*C311</f>
        <v>42000.000000000007</v>
      </c>
    </row>
    <row r="312" spans="1:9">
      <c r="A312" s="587" t="s">
        <v>190</v>
      </c>
      <c r="B312" s="588">
        <f>SUM(F312:I312)</f>
        <v>282120</v>
      </c>
      <c r="C312" s="160"/>
      <c r="D312" s="169"/>
      <c r="E312" s="350"/>
      <c r="F312" s="350">
        <f>SUM(F310:F311)</f>
        <v>0</v>
      </c>
      <c r="G312" s="350">
        <f>SUM(G310:G311)</f>
        <v>240119.99999999997</v>
      </c>
      <c r="H312" s="350">
        <f>SUM(H310:H311)</f>
        <v>0</v>
      </c>
      <c r="I312" s="350">
        <f>SUM(I310:I311)</f>
        <v>42000.000000000007</v>
      </c>
    </row>
    <row r="313" spans="1:9">
      <c r="A313" s="587" t="s">
        <v>191</v>
      </c>
      <c r="B313" s="588">
        <f>+B312</f>
        <v>282120</v>
      </c>
      <c r="C313" s="20" t="s">
        <v>363</v>
      </c>
      <c r="D313" s="13"/>
      <c r="E313" s="13"/>
      <c r="F313" s="13"/>
      <c r="G313" s="13"/>
      <c r="H313" s="13"/>
      <c r="I313" s="13"/>
    </row>
    <row r="314" spans="1:9" ht="13.2">
      <c r="A314" s="711"/>
      <c r="B314" s="492"/>
      <c r="C314" s="492"/>
      <c r="D314" s="492"/>
      <c r="E314" s="492"/>
      <c r="F314" s="492"/>
      <c r="G314" s="492"/>
      <c r="H314" s="492"/>
      <c r="I314" s="492"/>
    </row>
    <row r="315" spans="1:9">
      <c r="A315" s="683" t="s">
        <v>8597</v>
      </c>
      <c r="B315" s="3558" t="s">
        <v>3909</v>
      </c>
      <c r="C315" s="3558"/>
      <c r="D315" s="3558"/>
      <c r="E315" s="3558"/>
      <c r="F315" s="3558"/>
      <c r="G315" s="3558"/>
      <c r="H315" s="3558"/>
      <c r="I315" s="3558"/>
    </row>
    <row r="316" spans="1:9">
      <c r="A316" s="243"/>
      <c r="B316" s="180"/>
      <c r="C316" s="243" t="s">
        <v>140</v>
      </c>
      <c r="D316" s="243" t="s">
        <v>343</v>
      </c>
      <c r="E316" s="243" t="s">
        <v>344</v>
      </c>
      <c r="F316" s="243" t="s">
        <v>482</v>
      </c>
      <c r="G316" s="243" t="s">
        <v>483</v>
      </c>
      <c r="H316" s="243" t="s">
        <v>170</v>
      </c>
      <c r="I316" s="243" t="s">
        <v>171</v>
      </c>
    </row>
    <row r="317" spans="1:9">
      <c r="A317" s="243" t="s">
        <v>172</v>
      </c>
      <c r="B317" s="180" t="s">
        <v>189</v>
      </c>
      <c r="C317" s="160" t="s">
        <v>3910</v>
      </c>
      <c r="D317" s="243" t="s">
        <v>583</v>
      </c>
      <c r="E317" s="350">
        <v>1</v>
      </c>
      <c r="F317" s="350"/>
      <c r="G317" s="350"/>
      <c r="H317" s="350"/>
      <c r="I317" s="350">
        <v>500</v>
      </c>
    </row>
    <row r="318" spans="1:9">
      <c r="A318" s="243" t="s">
        <v>347</v>
      </c>
      <c r="B318" s="180" t="s">
        <v>3891</v>
      </c>
      <c r="C318" s="160" t="s">
        <v>3911</v>
      </c>
      <c r="D318" s="243" t="s">
        <v>346</v>
      </c>
      <c r="E318" s="350">
        <v>38000</v>
      </c>
      <c r="F318" s="350"/>
      <c r="G318" s="350"/>
      <c r="H318" s="350">
        <v>7600</v>
      </c>
      <c r="I318" s="350"/>
    </row>
    <row r="319" spans="1:9">
      <c r="A319" s="243" t="s">
        <v>345</v>
      </c>
      <c r="B319" s="180" t="s">
        <v>3886</v>
      </c>
      <c r="C319" s="160" t="s">
        <v>3911</v>
      </c>
      <c r="D319" s="243" t="s">
        <v>346</v>
      </c>
      <c r="E319" s="350">
        <v>50000</v>
      </c>
      <c r="F319" s="350"/>
      <c r="G319" s="350"/>
      <c r="H319" s="350">
        <v>10000</v>
      </c>
      <c r="I319" s="350"/>
    </row>
    <row r="320" spans="1:9">
      <c r="A320" s="587" t="s">
        <v>190</v>
      </c>
      <c r="B320" s="588">
        <f>SUM(F320:I320)</f>
        <v>17600</v>
      </c>
      <c r="C320" s="160"/>
      <c r="D320" s="243"/>
      <c r="E320" s="243"/>
      <c r="F320" s="350">
        <f>SUM(F318:F319)</f>
        <v>0</v>
      </c>
      <c r="G320" s="350">
        <f>SUM(G318:G319)</f>
        <v>0</v>
      </c>
      <c r="H320" s="350">
        <f>SUM(H318:H319)</f>
        <v>17600</v>
      </c>
      <c r="I320" s="350">
        <f>SUM(I318:I319)</f>
        <v>0</v>
      </c>
    </row>
    <row r="321" spans="1:9">
      <c r="A321" s="587" t="s">
        <v>191</v>
      </c>
      <c r="B321" s="588">
        <f>+B320</f>
        <v>17600</v>
      </c>
      <c r="C321" s="20" t="s">
        <v>363</v>
      </c>
      <c r="D321" s="492"/>
      <c r="E321" s="492"/>
      <c r="F321" s="492"/>
      <c r="G321" s="492"/>
      <c r="H321" s="492"/>
      <c r="I321" s="492"/>
    </row>
    <row r="322" spans="1:9" ht="13.2">
      <c r="A322" s="711"/>
      <c r="B322" s="492"/>
      <c r="C322" s="492"/>
      <c r="D322" s="492"/>
      <c r="E322" s="492"/>
      <c r="F322" s="492"/>
      <c r="G322" s="492"/>
      <c r="H322" s="492"/>
      <c r="I322" s="492"/>
    </row>
    <row r="323" spans="1:9">
      <c r="A323" s="714" t="s">
        <v>8598</v>
      </c>
      <c r="B323" s="3872" t="s">
        <v>3912</v>
      </c>
      <c r="C323" s="3872"/>
      <c r="D323" s="3872"/>
      <c r="E323" s="3872"/>
      <c r="F323" s="3872"/>
      <c r="G323" s="3872"/>
      <c r="H323" s="3872"/>
      <c r="I323" s="3872"/>
    </row>
    <row r="324" spans="1:9">
      <c r="A324" s="243"/>
      <c r="B324" s="180"/>
      <c r="C324" s="243" t="s">
        <v>140</v>
      </c>
      <c r="D324" s="243" t="s">
        <v>343</v>
      </c>
      <c r="E324" s="243" t="s">
        <v>344</v>
      </c>
      <c r="F324" s="243" t="s">
        <v>482</v>
      </c>
      <c r="G324" s="243" t="s">
        <v>483</v>
      </c>
      <c r="H324" s="243" t="s">
        <v>170</v>
      </c>
      <c r="I324" s="243" t="s">
        <v>171</v>
      </c>
    </row>
    <row r="325" spans="1:9">
      <c r="A325" s="243" t="s">
        <v>415</v>
      </c>
      <c r="B325" s="180" t="s">
        <v>416</v>
      </c>
      <c r="C325" s="160" t="s">
        <v>3888</v>
      </c>
      <c r="D325" s="243" t="s">
        <v>363</v>
      </c>
      <c r="E325" s="350">
        <v>140</v>
      </c>
      <c r="F325" s="350"/>
      <c r="G325" s="350">
        <v>1120</v>
      </c>
      <c r="H325" s="350"/>
      <c r="I325" s="350"/>
    </row>
    <row r="326" spans="1:9">
      <c r="A326" s="243" t="s">
        <v>417</v>
      </c>
      <c r="B326" s="180" t="s">
        <v>996</v>
      </c>
      <c r="C326" s="160" t="s">
        <v>3913</v>
      </c>
      <c r="D326" s="243" t="s">
        <v>45</v>
      </c>
      <c r="E326" s="350">
        <v>19400</v>
      </c>
      <c r="F326" s="350"/>
      <c r="G326" s="350">
        <v>34920</v>
      </c>
      <c r="H326" s="350"/>
      <c r="I326" s="350"/>
    </row>
    <row r="327" spans="1:9">
      <c r="A327" s="243" t="s">
        <v>3914</v>
      </c>
      <c r="B327" s="180" t="s">
        <v>3915</v>
      </c>
      <c r="C327" s="160" t="s">
        <v>622</v>
      </c>
      <c r="D327" s="243" t="s">
        <v>363</v>
      </c>
      <c r="E327" s="350">
        <v>153200</v>
      </c>
      <c r="F327" s="350"/>
      <c r="G327" s="350">
        <v>153200</v>
      </c>
      <c r="H327" s="350"/>
      <c r="I327" s="350"/>
    </row>
    <row r="328" spans="1:9">
      <c r="A328" s="243" t="s">
        <v>584</v>
      </c>
      <c r="B328" s="180" t="s">
        <v>134</v>
      </c>
      <c r="C328" s="160" t="s">
        <v>3916</v>
      </c>
      <c r="D328" s="243" t="s">
        <v>583</v>
      </c>
      <c r="E328" s="350">
        <f>+VIAJE</f>
        <v>1200000</v>
      </c>
      <c r="F328" s="350"/>
      <c r="G328" s="350"/>
      <c r="H328" s="350"/>
      <c r="I328" s="350">
        <v>7000</v>
      </c>
    </row>
    <row r="329" spans="1:9">
      <c r="A329" s="587" t="s">
        <v>190</v>
      </c>
      <c r="B329" s="588">
        <f>SUM(F329:I329)</f>
        <v>196240</v>
      </c>
      <c r="C329" s="160"/>
      <c r="D329" s="243"/>
      <c r="E329" s="243"/>
      <c r="F329" s="350">
        <f>SUM(F325:F328)</f>
        <v>0</v>
      </c>
      <c r="G329" s="350">
        <f>SUM(G325:G328)</f>
        <v>189240</v>
      </c>
      <c r="H329" s="350">
        <f>SUM(H325:H328)</f>
        <v>0</v>
      </c>
      <c r="I329" s="350">
        <f>SUM(I325:I328)</f>
        <v>7000</v>
      </c>
    </row>
    <row r="330" spans="1:9">
      <c r="A330" s="587" t="s">
        <v>191</v>
      </c>
      <c r="B330" s="588">
        <f>+B329</f>
        <v>196240</v>
      </c>
      <c r="C330" s="20" t="s">
        <v>363</v>
      </c>
      <c r="D330" s="492"/>
      <c r="E330" s="492"/>
      <c r="F330" s="492"/>
      <c r="G330" s="492"/>
      <c r="H330" s="492"/>
      <c r="I330" s="492"/>
    </row>
    <row r="331" spans="1:9" ht="13.2">
      <c r="A331" s="711"/>
      <c r="B331" s="492"/>
      <c r="C331" s="492"/>
      <c r="D331" s="492"/>
      <c r="E331" s="492"/>
      <c r="F331" s="492"/>
      <c r="G331" s="492"/>
      <c r="H331" s="492"/>
      <c r="I331" s="492"/>
    </row>
    <row r="332" spans="1:9">
      <c r="A332" s="715" t="s">
        <v>8599</v>
      </c>
      <c r="B332" s="3888" t="s">
        <v>3917</v>
      </c>
      <c r="C332" s="3888"/>
      <c r="D332" s="3888"/>
      <c r="E332" s="3888"/>
      <c r="F332" s="3888"/>
      <c r="G332" s="3888"/>
      <c r="H332" s="3888"/>
      <c r="I332" s="3888"/>
    </row>
    <row r="333" spans="1:9">
      <c r="A333" s="243"/>
      <c r="B333" s="179"/>
      <c r="C333" s="243" t="s">
        <v>140</v>
      </c>
      <c r="D333" s="243" t="s">
        <v>343</v>
      </c>
      <c r="E333" s="243" t="s">
        <v>344</v>
      </c>
      <c r="F333" s="243" t="s">
        <v>482</v>
      </c>
      <c r="G333" s="243" t="s">
        <v>483</v>
      </c>
      <c r="H333" s="243" t="s">
        <v>170</v>
      </c>
      <c r="I333" s="243" t="s">
        <v>171</v>
      </c>
    </row>
    <row r="334" spans="1:9">
      <c r="A334" s="243" t="s">
        <v>345</v>
      </c>
      <c r="B334" s="179" t="s">
        <v>3886</v>
      </c>
      <c r="C334" s="346">
        <v>0.1</v>
      </c>
      <c r="D334" s="243" t="s">
        <v>346</v>
      </c>
      <c r="E334" s="350">
        <f>+OFICI</f>
        <v>80479.625344</v>
      </c>
      <c r="F334" s="350"/>
      <c r="G334" s="350"/>
      <c r="H334" s="350">
        <f>+E334*C334</f>
        <v>8047.9625344000005</v>
      </c>
      <c r="I334" s="350"/>
    </row>
    <row r="335" spans="1:9">
      <c r="A335" s="243" t="s">
        <v>347</v>
      </c>
      <c r="B335" s="179" t="s">
        <v>3891</v>
      </c>
      <c r="C335" s="346">
        <v>0.1</v>
      </c>
      <c r="D335" s="243" t="s">
        <v>346</v>
      </c>
      <c r="E335" s="350">
        <f>+AYUDA</f>
        <v>65389.695592000004</v>
      </c>
      <c r="F335" s="350"/>
      <c r="G335" s="350"/>
      <c r="H335" s="350">
        <f>+E335*C335</f>
        <v>6538.9695592000007</v>
      </c>
      <c r="I335" s="350"/>
    </row>
    <row r="336" spans="1:9">
      <c r="A336" s="243" t="s">
        <v>172</v>
      </c>
      <c r="B336" s="179" t="s">
        <v>189</v>
      </c>
      <c r="C336" s="346">
        <v>1</v>
      </c>
      <c r="D336" s="243" t="s">
        <v>583</v>
      </c>
      <c r="E336" s="350">
        <f>+H337*0.05</f>
        <v>729.34660468000004</v>
      </c>
      <c r="F336" s="350"/>
      <c r="G336" s="350"/>
      <c r="H336" s="350"/>
      <c r="I336" s="350">
        <f>+E336*C336</f>
        <v>729.34660468000004</v>
      </c>
    </row>
    <row r="337" spans="1:9">
      <c r="A337" s="587" t="s">
        <v>190</v>
      </c>
      <c r="B337" s="588">
        <f>SUM(F337:I337)</f>
        <v>15316.278698280001</v>
      </c>
      <c r="C337" s="346"/>
      <c r="D337" s="243"/>
      <c r="E337" s="350"/>
      <c r="F337" s="350"/>
      <c r="G337" s="350">
        <f>SUM(G334:G336)</f>
        <v>0</v>
      </c>
      <c r="H337" s="350">
        <f>SUM(H334:H336)</f>
        <v>14586.9320936</v>
      </c>
      <c r="I337" s="350">
        <f>SUM(I334:I336)</f>
        <v>729.34660468000004</v>
      </c>
    </row>
    <row r="338" spans="1:9">
      <c r="A338" s="587" t="s">
        <v>191</v>
      </c>
      <c r="B338" s="588">
        <f>+B337</f>
        <v>15316.278698280001</v>
      </c>
      <c r="C338" s="688" t="s">
        <v>133</v>
      </c>
      <c r="D338" s="178"/>
      <c r="E338" s="178"/>
      <c r="F338" s="178"/>
      <c r="G338" s="178"/>
      <c r="H338" s="178"/>
      <c r="I338" s="178"/>
    </row>
    <row r="339" spans="1:9" ht="13.2">
      <c r="A339" s="711"/>
      <c r="B339" s="492"/>
      <c r="C339" s="492"/>
      <c r="D339" s="492"/>
      <c r="E339" s="492"/>
      <c r="F339" s="492"/>
      <c r="G339" s="492"/>
      <c r="H339" s="492"/>
      <c r="I339" s="492"/>
    </row>
    <row r="340" spans="1:9">
      <c r="A340" s="716" t="s">
        <v>8600</v>
      </c>
      <c r="B340" s="3913" t="s">
        <v>3918</v>
      </c>
      <c r="C340" s="3913"/>
      <c r="D340" s="3913"/>
      <c r="E340" s="3913"/>
      <c r="F340" s="3913"/>
      <c r="G340" s="3913"/>
      <c r="H340" s="3913"/>
      <c r="I340" s="3913"/>
    </row>
    <row r="341" spans="1:9">
      <c r="A341" s="243"/>
      <c r="B341" s="179"/>
      <c r="C341" s="243" t="s">
        <v>140</v>
      </c>
      <c r="D341" s="243" t="s">
        <v>343</v>
      </c>
      <c r="E341" s="243" t="s">
        <v>344</v>
      </c>
      <c r="F341" s="243" t="s">
        <v>482</v>
      </c>
      <c r="G341" s="243" t="s">
        <v>483</v>
      </c>
      <c r="H341" s="243" t="s">
        <v>170</v>
      </c>
      <c r="I341" s="243" t="s">
        <v>171</v>
      </c>
    </row>
    <row r="342" spans="1:9">
      <c r="A342" s="243" t="s">
        <v>3919</v>
      </c>
      <c r="B342" s="179" t="s">
        <v>3920</v>
      </c>
      <c r="C342" s="346">
        <v>1</v>
      </c>
      <c r="D342" s="243" t="s">
        <v>133</v>
      </c>
      <c r="E342" s="350">
        <v>545200</v>
      </c>
      <c r="F342" s="350"/>
      <c r="G342" s="350">
        <f>+E342*C342</f>
        <v>545200</v>
      </c>
      <c r="H342" s="350"/>
      <c r="I342" s="350"/>
    </row>
    <row r="343" spans="1:9">
      <c r="A343" s="243" t="s">
        <v>239</v>
      </c>
      <c r="B343" s="179" t="s">
        <v>240</v>
      </c>
      <c r="C343" s="346">
        <v>8</v>
      </c>
      <c r="D343" s="243" t="s">
        <v>363</v>
      </c>
      <c r="E343" s="350">
        <v>4800</v>
      </c>
      <c r="F343" s="350"/>
      <c r="G343" s="350">
        <f>+E343*C343</f>
        <v>38400</v>
      </c>
      <c r="H343" s="350"/>
      <c r="I343" s="350"/>
    </row>
    <row r="344" spans="1:9">
      <c r="A344" s="243" t="s">
        <v>415</v>
      </c>
      <c r="B344" s="180" t="s">
        <v>3921</v>
      </c>
      <c r="C344" s="346">
        <v>8</v>
      </c>
      <c r="D344" s="243" t="s">
        <v>363</v>
      </c>
      <c r="E344" s="350">
        <v>3000</v>
      </c>
      <c r="F344" s="350"/>
      <c r="G344" s="350">
        <f>+E344*C344</f>
        <v>24000</v>
      </c>
      <c r="H344" s="350"/>
      <c r="I344" s="350"/>
    </row>
    <row r="345" spans="1:9">
      <c r="A345" s="471" t="s">
        <v>584</v>
      </c>
      <c r="B345" s="41" t="s">
        <v>134</v>
      </c>
      <c r="C345" s="346">
        <v>6.5000000000000002E-2</v>
      </c>
      <c r="D345" s="160" t="s">
        <v>583</v>
      </c>
      <c r="E345" s="350">
        <f>+VIAJE</f>
        <v>1200000</v>
      </c>
      <c r="F345" s="350"/>
      <c r="G345" s="350"/>
      <c r="H345" s="350"/>
      <c r="I345" s="350">
        <f>+E345*C345</f>
        <v>78000</v>
      </c>
    </row>
    <row r="346" spans="1:9">
      <c r="A346" s="587" t="s">
        <v>190</v>
      </c>
      <c r="B346" s="588">
        <f>SUM(F346:I346)</f>
        <v>685600</v>
      </c>
      <c r="C346" s="346"/>
      <c r="D346" s="243"/>
      <c r="E346" s="350"/>
      <c r="F346" s="350"/>
      <c r="G346" s="350">
        <f>SUM(G342:G345)</f>
        <v>607600</v>
      </c>
      <c r="H346" s="350">
        <f>SUM(H342:H345)</f>
        <v>0</v>
      </c>
      <c r="I346" s="350">
        <f>SUM(I342:I345)</f>
        <v>78000</v>
      </c>
    </row>
    <row r="347" spans="1:9">
      <c r="A347" s="587" t="s">
        <v>191</v>
      </c>
      <c r="B347" s="588">
        <f>+B346</f>
        <v>685600</v>
      </c>
      <c r="C347" s="688" t="s">
        <v>133</v>
      </c>
      <c r="D347" s="178"/>
      <c r="E347" s="178"/>
      <c r="F347" s="178"/>
      <c r="G347" s="178"/>
      <c r="H347" s="178"/>
      <c r="I347" s="178"/>
    </row>
    <row r="348" spans="1:9" ht="13.2">
      <c r="A348" s="711"/>
      <c r="B348" s="492"/>
      <c r="C348" s="492"/>
      <c r="D348" s="492"/>
      <c r="E348" s="492"/>
      <c r="F348" s="492"/>
      <c r="G348" s="492"/>
      <c r="H348" s="492"/>
      <c r="I348" s="492"/>
    </row>
    <row r="349" spans="1:9">
      <c r="A349" s="3694" t="s">
        <v>1390</v>
      </c>
      <c r="B349" s="3695"/>
      <c r="C349" s="3695"/>
      <c r="D349" s="3695"/>
      <c r="E349" s="3695"/>
      <c r="F349" s="3695"/>
      <c r="G349" s="3695"/>
      <c r="H349" s="3695"/>
      <c r="I349" s="3895"/>
    </row>
    <row r="350" spans="1:9">
      <c r="A350" s="680" t="s">
        <v>8601</v>
      </c>
      <c r="B350" s="3558" t="s">
        <v>3922</v>
      </c>
      <c r="C350" s="3558"/>
      <c r="D350" s="3558"/>
      <c r="E350" s="3558"/>
      <c r="F350" s="3558"/>
      <c r="G350" s="3558"/>
      <c r="H350" s="3558"/>
      <c r="I350" s="3558"/>
    </row>
    <row r="351" spans="1:9">
      <c r="A351" s="471"/>
      <c r="B351" s="180"/>
      <c r="C351" s="243" t="s">
        <v>140</v>
      </c>
      <c r="D351" s="243" t="s">
        <v>343</v>
      </c>
      <c r="E351" s="65" t="s">
        <v>344</v>
      </c>
      <c r="F351" s="65" t="s">
        <v>482</v>
      </c>
      <c r="G351" s="65" t="s">
        <v>483</v>
      </c>
      <c r="H351" s="65" t="s">
        <v>232</v>
      </c>
      <c r="I351" s="65" t="s">
        <v>171</v>
      </c>
    </row>
    <row r="352" spans="1:9">
      <c r="A352" s="471" t="s">
        <v>345</v>
      </c>
      <c r="B352" s="3" t="str">
        <f>IF(PRESTA&gt;0,"OFICIAL (INCLUYE "&amp;""&amp;PRESTA*100&amp;"% PRESTACIONES)",0)</f>
        <v>OFICIAL (INCLUYE 82,22% PRESTACIONES)</v>
      </c>
      <c r="C352" s="346">
        <v>1</v>
      </c>
      <c r="D352" s="160" t="s">
        <v>346</v>
      </c>
      <c r="E352" s="65">
        <f>+OFICI</f>
        <v>80479.625344</v>
      </c>
      <c r="F352" s="65"/>
      <c r="G352" s="65"/>
      <c r="H352" s="65">
        <f>+E352*C352</f>
        <v>80479.625344</v>
      </c>
      <c r="I352" s="65"/>
    </row>
    <row r="353" spans="1:9">
      <c r="A353" s="471" t="s">
        <v>347</v>
      </c>
      <c r="B353" s="3" t="str">
        <f>IF(PRESTA&gt;0,"AYUD. ENTENDIDO (INCLUYE "&amp;""&amp;PRESTA*100&amp;"% PRESTACIONES)",0)</f>
        <v>AYUD. ENTENDIDO (INCLUYE 82,22% PRESTACIONES)</v>
      </c>
      <c r="C353" s="346">
        <v>1</v>
      </c>
      <c r="D353" s="160" t="s">
        <v>346</v>
      </c>
      <c r="E353" s="65">
        <f>+AYUDA</f>
        <v>65389.695592000004</v>
      </c>
      <c r="F353" s="65"/>
      <c r="G353" s="65"/>
      <c r="H353" s="65">
        <f>+E353*C353</f>
        <v>65389.695592000004</v>
      </c>
      <c r="I353" s="65"/>
    </row>
    <row r="354" spans="1:9">
      <c r="A354" s="471" t="s">
        <v>172</v>
      </c>
      <c r="B354" s="3" t="s">
        <v>189</v>
      </c>
      <c r="C354" s="346">
        <v>1</v>
      </c>
      <c r="D354" s="160" t="s">
        <v>583</v>
      </c>
      <c r="E354" s="65">
        <f>+H19*0.05</f>
        <v>130.77939118400002</v>
      </c>
      <c r="F354" s="65"/>
      <c r="G354" s="65"/>
      <c r="H354" s="65"/>
      <c r="I354" s="65">
        <f>+E354*C354</f>
        <v>130.77939118400002</v>
      </c>
    </row>
    <row r="355" spans="1:9">
      <c r="A355" s="587" t="s">
        <v>190</v>
      </c>
      <c r="B355" s="588">
        <f>ROUND(SUM(F355:I355),0)</f>
        <v>146000</v>
      </c>
      <c r="C355" s="160"/>
      <c r="D355" s="169"/>
      <c r="E355" s="65"/>
      <c r="F355" s="65">
        <f>SUM(F350:F354)</f>
        <v>0</v>
      </c>
      <c r="G355" s="65">
        <f>SUM(G350:G354)</f>
        <v>0</v>
      </c>
      <c r="H355" s="65">
        <f>SUM(H350:H354)</f>
        <v>145869.320936</v>
      </c>
      <c r="I355" s="65">
        <f>SUM(I350:I354)</f>
        <v>130.77939118400002</v>
      </c>
    </row>
    <row r="356" spans="1:9">
      <c r="A356" s="587" t="s">
        <v>191</v>
      </c>
      <c r="B356" s="39">
        <f>+B355</f>
        <v>146000</v>
      </c>
      <c r="C356" s="688" t="s">
        <v>363</v>
      </c>
      <c r="D356" s="13"/>
      <c r="E356" s="170"/>
      <c r="F356" s="170"/>
      <c r="G356" s="170"/>
      <c r="H356" s="170"/>
      <c r="I356" s="170"/>
    </row>
    <row r="357" spans="1:9">
      <c r="A357" s="596"/>
      <c r="B357" s="717"/>
      <c r="C357" s="718"/>
      <c r="D357" s="19"/>
      <c r="E357" s="580"/>
      <c r="F357" s="580"/>
      <c r="G357" s="580"/>
      <c r="H357" s="580"/>
      <c r="I357" s="580"/>
    </row>
    <row r="358" spans="1:9" ht="13.2">
      <c r="A358" s="711"/>
      <c r="B358" s="492"/>
      <c r="C358" s="492"/>
      <c r="D358" s="492"/>
      <c r="E358" s="492"/>
      <c r="F358" s="492"/>
      <c r="G358" s="492"/>
      <c r="H358" s="492"/>
      <c r="I358" s="492"/>
    </row>
    <row r="359" spans="1:9">
      <c r="A359" s="508" t="s">
        <v>8602</v>
      </c>
      <c r="B359" s="3872" t="s">
        <v>3923</v>
      </c>
      <c r="C359" s="3872"/>
      <c r="D359" s="3872"/>
      <c r="E359" s="3872"/>
      <c r="F359" s="3872"/>
      <c r="G359" s="3872"/>
      <c r="H359" s="3872"/>
      <c r="I359" s="3872"/>
    </row>
    <row r="360" spans="1:9">
      <c r="A360" s="471"/>
      <c r="B360" s="180"/>
      <c r="C360" s="243" t="s">
        <v>140</v>
      </c>
      <c r="D360" s="243" t="s">
        <v>343</v>
      </c>
      <c r="E360" s="65" t="s">
        <v>344</v>
      </c>
      <c r="F360" s="65" t="s">
        <v>482</v>
      </c>
      <c r="G360" s="65" t="s">
        <v>483</v>
      </c>
      <c r="H360" s="65" t="s">
        <v>232</v>
      </c>
      <c r="I360" s="65" t="s">
        <v>171</v>
      </c>
    </row>
    <row r="361" spans="1:9">
      <c r="A361" s="471" t="s">
        <v>277</v>
      </c>
      <c r="B361" s="3" t="s">
        <v>711</v>
      </c>
      <c r="C361" s="346">
        <v>1</v>
      </c>
      <c r="D361" s="160" t="s">
        <v>363</v>
      </c>
      <c r="E361" s="585">
        <v>2342255.3250000002</v>
      </c>
      <c r="F361" s="65"/>
      <c r="G361" s="65">
        <f>+E361*C361</f>
        <v>2342255.3250000002</v>
      </c>
      <c r="H361" s="65"/>
      <c r="I361" s="65"/>
    </row>
    <row r="362" spans="1:9">
      <c r="A362" s="243" t="s">
        <v>584</v>
      </c>
      <c r="B362" s="179" t="s">
        <v>134</v>
      </c>
      <c r="C362" s="346">
        <v>0.05</v>
      </c>
      <c r="D362" s="160" t="s">
        <v>583</v>
      </c>
      <c r="E362" s="65">
        <f>+VIAJE</f>
        <v>1200000</v>
      </c>
      <c r="F362" s="65"/>
      <c r="G362" s="65"/>
      <c r="H362" s="65"/>
      <c r="I362" s="65">
        <f>+E362*C362</f>
        <v>60000</v>
      </c>
    </row>
    <row r="363" spans="1:9">
      <c r="A363" s="587" t="s">
        <v>190</v>
      </c>
      <c r="B363" s="588">
        <f>ROUND(SUM(F363:I363),0)</f>
        <v>2402255</v>
      </c>
      <c r="C363" s="160"/>
      <c r="D363" s="169"/>
      <c r="E363" s="65"/>
      <c r="F363" s="65">
        <f>SUM(F359:F362)</f>
        <v>0</v>
      </c>
      <c r="G363" s="65">
        <f>SUM(G359:G362)</f>
        <v>2342255.3250000002</v>
      </c>
      <c r="H363" s="65">
        <f>SUM(H359:H362)</f>
        <v>0</v>
      </c>
      <c r="I363" s="65">
        <f>SUM(I359:I362)</f>
        <v>60000</v>
      </c>
    </row>
    <row r="364" spans="1:9">
      <c r="A364" s="587" t="s">
        <v>191</v>
      </c>
      <c r="B364" s="39">
        <f>+B363</f>
        <v>2402255</v>
      </c>
      <c r="C364" s="688" t="s">
        <v>363</v>
      </c>
      <c r="D364" s="13"/>
      <c r="E364" s="170"/>
      <c r="F364" s="170"/>
      <c r="G364" s="170"/>
      <c r="H364" s="170"/>
      <c r="I364" s="170"/>
    </row>
    <row r="365" spans="1:9">
      <c r="A365" s="596"/>
      <c r="B365" s="717"/>
      <c r="C365" s="718"/>
      <c r="D365" s="19"/>
      <c r="E365" s="580"/>
      <c r="F365" s="580"/>
      <c r="G365" s="580"/>
      <c r="H365" s="580"/>
      <c r="I365" s="580"/>
    </row>
    <row r="366" spans="1:9">
      <c r="A366" s="680" t="s">
        <v>8603</v>
      </c>
      <c r="B366" s="3558" t="s">
        <v>3924</v>
      </c>
      <c r="C366" s="3558"/>
      <c r="D366" s="3558"/>
      <c r="E366" s="3558"/>
      <c r="F366" s="3558"/>
      <c r="G366" s="3558"/>
      <c r="H366" s="3558"/>
      <c r="I366" s="3558"/>
    </row>
    <row r="367" spans="1:9">
      <c r="A367" s="471"/>
      <c r="B367" s="719"/>
      <c r="C367" s="243" t="s">
        <v>140</v>
      </c>
      <c r="D367" s="243" t="s">
        <v>343</v>
      </c>
      <c r="E367" s="243" t="s">
        <v>344</v>
      </c>
      <c r="F367" s="243" t="s">
        <v>482</v>
      </c>
      <c r="G367" s="243" t="s">
        <v>483</v>
      </c>
      <c r="H367" s="243" t="s">
        <v>170</v>
      </c>
      <c r="I367" s="243" t="s">
        <v>171</v>
      </c>
    </row>
    <row r="368" spans="1:9">
      <c r="A368" s="471" t="s">
        <v>347</v>
      </c>
      <c r="B368" s="3" t="s">
        <v>3891</v>
      </c>
      <c r="C368" s="346">
        <v>0.3</v>
      </c>
      <c r="D368" s="160" t="s">
        <v>346</v>
      </c>
      <c r="E368" s="350">
        <f>+AYUDA</f>
        <v>65389.695592000004</v>
      </c>
      <c r="F368" s="350"/>
      <c r="G368" s="350"/>
      <c r="H368" s="350">
        <f>+E368*C368</f>
        <v>19616.9086776</v>
      </c>
      <c r="I368" s="350"/>
    </row>
    <row r="369" spans="1:9">
      <c r="A369" s="471" t="s">
        <v>172</v>
      </c>
      <c r="B369" s="3" t="s">
        <v>189</v>
      </c>
      <c r="C369" s="346">
        <v>1</v>
      </c>
      <c r="D369" s="160" t="s">
        <v>583</v>
      </c>
      <c r="E369" s="65">
        <f>+H370*0.05</f>
        <v>980.84543388000009</v>
      </c>
      <c r="F369" s="350"/>
      <c r="G369" s="350"/>
      <c r="H369" s="350"/>
      <c r="I369" s="350">
        <f>+E369*C369</f>
        <v>980.84543388000009</v>
      </c>
    </row>
    <row r="370" spans="1:9">
      <c r="A370" s="587" t="s">
        <v>190</v>
      </c>
      <c r="B370" s="588">
        <f>SUM(F370:I370)</f>
        <v>20597.754111480001</v>
      </c>
      <c r="C370" s="160"/>
      <c r="D370" s="169"/>
      <c r="E370" s="350"/>
      <c r="F370" s="350">
        <f>SUM(F366:F369)</f>
        <v>0</v>
      </c>
      <c r="G370" s="350">
        <f>SUM(G366:G369)</f>
        <v>0</v>
      </c>
      <c r="H370" s="350">
        <f>SUM(H366:H369)</f>
        <v>19616.9086776</v>
      </c>
      <c r="I370" s="350">
        <f>SUM(I366:I369)</f>
        <v>980.84543388000009</v>
      </c>
    </row>
    <row r="371" spans="1:9">
      <c r="A371" s="587" t="s">
        <v>191</v>
      </c>
      <c r="B371" s="588">
        <f>+B370</f>
        <v>20597.754111480001</v>
      </c>
      <c r="C371" s="688" t="s">
        <v>363</v>
      </c>
      <c r="D371" s="13"/>
      <c r="E371" s="13"/>
      <c r="F371" s="13"/>
      <c r="G371" s="13"/>
      <c r="H371" s="13"/>
      <c r="I371" s="13"/>
    </row>
    <row r="372" spans="1:9" ht="13.2">
      <c r="A372" s="711"/>
      <c r="B372" s="492"/>
      <c r="C372" s="492"/>
      <c r="D372" s="492"/>
      <c r="E372" s="492"/>
      <c r="F372" s="492"/>
      <c r="G372" s="492"/>
      <c r="H372" s="492"/>
      <c r="I372" s="492"/>
    </row>
    <row r="373" spans="1:9">
      <c r="A373" s="508" t="s">
        <v>8604</v>
      </c>
      <c r="B373" s="3872" t="s">
        <v>3925</v>
      </c>
      <c r="C373" s="3872"/>
      <c r="D373" s="3872"/>
      <c r="E373" s="3872"/>
      <c r="F373" s="3872"/>
      <c r="G373" s="3872"/>
      <c r="H373" s="3872"/>
      <c r="I373" s="3872"/>
    </row>
    <row r="374" spans="1:9">
      <c r="A374" s="471"/>
      <c r="B374" s="719"/>
      <c r="C374" s="243" t="s">
        <v>140</v>
      </c>
      <c r="D374" s="243" t="s">
        <v>343</v>
      </c>
      <c r="E374" s="243" t="s">
        <v>344</v>
      </c>
      <c r="F374" s="243" t="s">
        <v>482</v>
      </c>
      <c r="G374" s="243" t="s">
        <v>483</v>
      </c>
      <c r="H374" s="243" t="s">
        <v>170</v>
      </c>
      <c r="I374" s="243" t="s">
        <v>171</v>
      </c>
    </row>
    <row r="375" spans="1:9">
      <c r="A375" s="471" t="s">
        <v>277</v>
      </c>
      <c r="B375" s="3" t="s">
        <v>3926</v>
      </c>
      <c r="C375" s="346">
        <v>1</v>
      </c>
      <c r="D375" s="160" t="s">
        <v>363</v>
      </c>
      <c r="E375" s="350">
        <v>145000</v>
      </c>
      <c r="F375" s="350"/>
      <c r="G375" s="350">
        <f>+E375*C375</f>
        <v>145000</v>
      </c>
      <c r="H375" s="350"/>
      <c r="I375" s="350"/>
    </row>
    <row r="376" spans="1:9">
      <c r="A376" s="587" t="s">
        <v>190</v>
      </c>
      <c r="B376" s="588">
        <f>SUM(F376:I376)</f>
        <v>145000</v>
      </c>
      <c r="C376" s="160"/>
      <c r="D376" s="169"/>
      <c r="E376" s="350"/>
      <c r="F376" s="350">
        <f>SUM(F373:F375)</f>
        <v>0</v>
      </c>
      <c r="G376" s="350">
        <f>SUM(G373:G375)</f>
        <v>145000</v>
      </c>
      <c r="H376" s="350">
        <f>SUM(H373:H375)</f>
        <v>0</v>
      </c>
      <c r="I376" s="350">
        <f>SUM(I373:I375)</f>
        <v>0</v>
      </c>
    </row>
    <row r="377" spans="1:9">
      <c r="A377" s="587" t="s">
        <v>191</v>
      </c>
      <c r="B377" s="588">
        <f>+B376</f>
        <v>145000</v>
      </c>
      <c r="C377" s="688" t="s">
        <v>363</v>
      </c>
      <c r="D377" s="13"/>
      <c r="E377" s="13"/>
      <c r="F377" s="13"/>
      <c r="G377" s="13"/>
      <c r="H377" s="13"/>
      <c r="I377" s="13"/>
    </row>
    <row r="378" spans="1:9" ht="13.2">
      <c r="A378" s="711"/>
      <c r="B378" s="492"/>
      <c r="C378" s="492"/>
      <c r="D378" s="492"/>
      <c r="E378" s="492"/>
      <c r="F378" s="492"/>
      <c r="G378" s="492"/>
      <c r="H378" s="492"/>
      <c r="I378" s="492"/>
    </row>
    <row r="379" spans="1:9">
      <c r="A379" s="3694" t="s">
        <v>1391</v>
      </c>
      <c r="B379" s="3695"/>
      <c r="C379" s="3695"/>
      <c r="D379" s="3695"/>
      <c r="E379" s="3695"/>
      <c r="F379" s="3695"/>
      <c r="G379" s="3695"/>
      <c r="H379" s="3695"/>
      <c r="I379" s="3895"/>
    </row>
    <row r="381" spans="1:9">
      <c r="A381" s="715" t="s">
        <v>8605</v>
      </c>
      <c r="B381" s="3888" t="s">
        <v>3927</v>
      </c>
      <c r="C381" s="3888"/>
      <c r="D381" s="3888"/>
      <c r="E381" s="3888"/>
      <c r="F381" s="3888"/>
      <c r="G381" s="3888"/>
      <c r="H381" s="3888"/>
      <c r="I381" s="3888"/>
    </row>
    <row r="382" spans="1:9">
      <c r="A382" s="243"/>
      <c r="B382" s="179"/>
      <c r="C382" s="243" t="s">
        <v>140</v>
      </c>
      <c r="D382" s="243" t="s">
        <v>343</v>
      </c>
      <c r="E382" s="243" t="s">
        <v>344</v>
      </c>
      <c r="F382" s="243" t="s">
        <v>482</v>
      </c>
      <c r="G382" s="243" t="s">
        <v>483</v>
      </c>
      <c r="H382" s="243" t="s">
        <v>170</v>
      </c>
      <c r="I382" s="243" t="s">
        <v>171</v>
      </c>
    </row>
    <row r="383" spans="1:9">
      <c r="A383" s="243" t="s">
        <v>345</v>
      </c>
      <c r="B383" s="179" t="s">
        <v>3886</v>
      </c>
      <c r="C383" s="346">
        <v>0.1</v>
      </c>
      <c r="D383" s="243" t="s">
        <v>346</v>
      </c>
      <c r="E383" s="350">
        <f>+OFICI</f>
        <v>80479.625344</v>
      </c>
      <c r="F383" s="350"/>
      <c r="G383" s="350"/>
      <c r="H383" s="350">
        <f>+E383*C383</f>
        <v>8047.9625344000005</v>
      </c>
      <c r="I383" s="350"/>
    </row>
    <row r="384" spans="1:9">
      <c r="A384" s="243" t="s">
        <v>347</v>
      </c>
      <c r="B384" s="179" t="s">
        <v>3891</v>
      </c>
      <c r="C384" s="346">
        <v>0.1</v>
      </c>
      <c r="D384" s="243" t="s">
        <v>346</v>
      </c>
      <c r="E384" s="350">
        <f>+AYUDA</f>
        <v>65389.695592000004</v>
      </c>
      <c r="F384" s="350"/>
      <c r="G384" s="350"/>
      <c r="H384" s="350">
        <f>+E384*C384</f>
        <v>6538.9695592000007</v>
      </c>
      <c r="I384" s="350"/>
    </row>
    <row r="385" spans="1:9">
      <c r="A385" s="243" t="s">
        <v>172</v>
      </c>
      <c r="B385" s="179" t="s">
        <v>189</v>
      </c>
      <c r="C385" s="346">
        <v>1</v>
      </c>
      <c r="D385" s="243" t="s">
        <v>583</v>
      </c>
      <c r="E385" s="350">
        <f>+H386*0.05</f>
        <v>729.34660468000004</v>
      </c>
      <c r="F385" s="350"/>
      <c r="G385" s="350"/>
      <c r="H385" s="350"/>
      <c r="I385" s="350">
        <f>+E385*C385</f>
        <v>729.34660468000004</v>
      </c>
    </row>
    <row r="386" spans="1:9">
      <c r="A386" s="587" t="s">
        <v>190</v>
      </c>
      <c r="B386" s="588">
        <f>SUM(F386:I386)</f>
        <v>15316.278698280001</v>
      </c>
      <c r="C386" s="346"/>
      <c r="D386" s="243"/>
      <c r="E386" s="350"/>
      <c r="F386" s="350"/>
      <c r="G386" s="350">
        <f>SUM(G383:G385)</f>
        <v>0</v>
      </c>
      <c r="H386" s="350">
        <f>SUM(H383:H385)</f>
        <v>14586.9320936</v>
      </c>
      <c r="I386" s="350">
        <f>SUM(I383:I385)</f>
        <v>729.34660468000004</v>
      </c>
    </row>
    <row r="387" spans="1:9">
      <c r="A387" s="587" t="s">
        <v>191</v>
      </c>
      <c r="B387" s="588">
        <f>+B386</f>
        <v>15316.278698280001</v>
      </c>
      <c r="C387" s="688" t="s">
        <v>133</v>
      </c>
      <c r="D387" s="178"/>
      <c r="E387" s="178"/>
      <c r="F387" s="178"/>
      <c r="G387" s="178"/>
      <c r="H387" s="178"/>
      <c r="I387" s="178"/>
    </row>
    <row r="388" spans="1:9" ht="13.2">
      <c r="A388" s="711"/>
      <c r="B388" s="492"/>
      <c r="C388" s="492"/>
      <c r="D388" s="492"/>
      <c r="E388" s="492"/>
      <c r="F388" s="492"/>
      <c r="G388" s="492"/>
      <c r="H388" s="492"/>
      <c r="I388" s="492"/>
    </row>
    <row r="389" spans="1:9">
      <c r="A389" s="716" t="s">
        <v>8606</v>
      </c>
      <c r="B389" s="3913" t="s">
        <v>3928</v>
      </c>
      <c r="C389" s="3913"/>
      <c r="D389" s="3913"/>
      <c r="E389" s="3913"/>
      <c r="F389" s="3913"/>
      <c r="G389" s="3913"/>
      <c r="H389" s="3913"/>
      <c r="I389" s="3913"/>
    </row>
    <row r="390" spans="1:9">
      <c r="A390" s="243"/>
      <c r="B390" s="179"/>
      <c r="C390" s="243" t="s">
        <v>140</v>
      </c>
      <c r="D390" s="243" t="s">
        <v>343</v>
      </c>
      <c r="E390" s="243" t="s">
        <v>344</v>
      </c>
      <c r="F390" s="243" t="s">
        <v>482</v>
      </c>
      <c r="G390" s="243" t="s">
        <v>483</v>
      </c>
      <c r="H390" s="243" t="s">
        <v>170</v>
      </c>
      <c r="I390" s="243" t="s">
        <v>171</v>
      </c>
    </row>
    <row r="391" spans="1:9">
      <c r="A391" s="243" t="s">
        <v>3919</v>
      </c>
      <c r="B391" s="179" t="s">
        <v>3929</v>
      </c>
      <c r="C391" s="346">
        <v>1</v>
      </c>
      <c r="D391" s="243" t="s">
        <v>133</v>
      </c>
      <c r="E391" s="350">
        <v>689000</v>
      </c>
      <c r="F391" s="350"/>
      <c r="G391" s="350">
        <f>+E391*C391</f>
        <v>689000</v>
      </c>
      <c r="H391" s="350"/>
      <c r="I391" s="350"/>
    </row>
    <row r="392" spans="1:9">
      <c r="A392" s="243" t="s">
        <v>239</v>
      </c>
      <c r="B392" s="179" t="s">
        <v>240</v>
      </c>
      <c r="C392" s="346">
        <v>4</v>
      </c>
      <c r="D392" s="243" t="s">
        <v>363</v>
      </c>
      <c r="E392" s="350">
        <f>+TORNI</f>
        <v>2550</v>
      </c>
      <c r="F392" s="350"/>
      <c r="G392" s="350">
        <f>+E392*C392</f>
        <v>10200</v>
      </c>
      <c r="H392" s="350"/>
      <c r="I392" s="350"/>
    </row>
    <row r="393" spans="1:9">
      <c r="A393" s="243" t="s">
        <v>345</v>
      </c>
      <c r="B393" s="179" t="s">
        <v>3886</v>
      </c>
      <c r="C393" s="346">
        <v>0.1</v>
      </c>
      <c r="D393" s="243" t="s">
        <v>346</v>
      </c>
      <c r="E393" s="350">
        <f>+OFICI</f>
        <v>80479.625344</v>
      </c>
      <c r="F393" s="350"/>
      <c r="G393" s="350"/>
      <c r="H393" s="350">
        <f>+E393*C393</f>
        <v>8047.9625344000005</v>
      </c>
      <c r="I393" s="350"/>
    </row>
    <row r="394" spans="1:9">
      <c r="A394" s="587" t="s">
        <v>190</v>
      </c>
      <c r="B394" s="588">
        <f>SUM(F394:I394)</f>
        <v>707247.96253440005</v>
      </c>
      <c r="C394" s="346"/>
      <c r="D394" s="243"/>
      <c r="E394" s="350"/>
      <c r="F394" s="350"/>
      <c r="G394" s="350">
        <f>SUM(G391:G393)</f>
        <v>699200</v>
      </c>
      <c r="H394" s="350">
        <f>SUM(H391:H393)</f>
        <v>8047.9625344000005</v>
      </c>
      <c r="I394" s="350">
        <f>SUM(I391:I393)</f>
        <v>0</v>
      </c>
    </row>
    <row r="395" spans="1:9">
      <c r="A395" s="587" t="s">
        <v>191</v>
      </c>
      <c r="B395" s="588">
        <f>+B394</f>
        <v>707247.96253440005</v>
      </c>
      <c r="C395" s="688" t="s">
        <v>133</v>
      </c>
      <c r="D395" s="178"/>
      <c r="E395" s="178"/>
      <c r="F395" s="178"/>
      <c r="G395" s="178"/>
      <c r="H395" s="178"/>
      <c r="I395" s="178"/>
    </row>
    <row r="396" spans="1:9" ht="13.2">
      <c r="A396" s="711"/>
      <c r="B396" s="492"/>
      <c r="C396" s="492"/>
      <c r="D396" s="492"/>
      <c r="E396" s="492"/>
      <c r="F396" s="492"/>
      <c r="G396" s="492"/>
      <c r="H396" s="492"/>
      <c r="I396" s="492"/>
    </row>
    <row r="397" spans="1:9">
      <c r="A397" s="683" t="s">
        <v>8607</v>
      </c>
      <c r="B397" s="3871" t="s">
        <v>3930</v>
      </c>
      <c r="C397" s="3871"/>
      <c r="D397" s="3871"/>
      <c r="E397" s="3871"/>
      <c r="F397" s="3871"/>
      <c r="G397" s="3871"/>
      <c r="H397" s="3871"/>
      <c r="I397" s="3871"/>
    </row>
    <row r="398" spans="1:9">
      <c r="A398" s="243"/>
      <c r="B398" s="180"/>
      <c r="C398" s="243" t="s">
        <v>140</v>
      </c>
      <c r="D398" s="243" t="s">
        <v>343</v>
      </c>
      <c r="E398" s="243" t="s">
        <v>344</v>
      </c>
      <c r="F398" s="243" t="s">
        <v>482</v>
      </c>
      <c r="G398" s="243" t="s">
        <v>483</v>
      </c>
      <c r="H398" s="243" t="s">
        <v>170</v>
      </c>
      <c r="I398" s="243" t="s">
        <v>171</v>
      </c>
    </row>
    <row r="399" spans="1:9">
      <c r="A399" s="243" t="s">
        <v>3931</v>
      </c>
      <c r="B399" s="180" t="s">
        <v>3932</v>
      </c>
      <c r="C399" s="160" t="s">
        <v>4278</v>
      </c>
      <c r="D399" s="243" t="s">
        <v>133</v>
      </c>
      <c r="E399" s="350">
        <v>3000</v>
      </c>
      <c r="F399" s="350"/>
      <c r="G399" s="350">
        <f>+E399*C399</f>
        <v>4500</v>
      </c>
      <c r="H399" s="350"/>
      <c r="I399" s="350"/>
    </row>
    <row r="400" spans="1:9">
      <c r="A400" s="243" t="s">
        <v>770</v>
      </c>
      <c r="B400" s="180" t="s">
        <v>771</v>
      </c>
      <c r="C400" s="160" t="s">
        <v>622</v>
      </c>
      <c r="D400" s="243" t="s">
        <v>133</v>
      </c>
      <c r="E400" s="350">
        <v>850</v>
      </c>
      <c r="F400" s="350"/>
      <c r="G400" s="350">
        <f>+E400*C400</f>
        <v>850</v>
      </c>
      <c r="H400" s="350"/>
      <c r="I400" s="350"/>
    </row>
    <row r="401" spans="1:9">
      <c r="A401" s="243" t="s">
        <v>345</v>
      </c>
      <c r="B401" s="180" t="s">
        <v>3886</v>
      </c>
      <c r="C401" s="160" t="s">
        <v>4279</v>
      </c>
      <c r="D401" s="243" t="s">
        <v>346</v>
      </c>
      <c r="E401" s="350">
        <f>+OFICI</f>
        <v>80479.625344</v>
      </c>
      <c r="F401" s="350"/>
      <c r="G401" s="350"/>
      <c r="H401" s="350">
        <f>+E401*C401</f>
        <v>8852.7587878400009</v>
      </c>
      <c r="I401" s="350"/>
    </row>
    <row r="402" spans="1:9">
      <c r="A402" s="243" t="s">
        <v>348</v>
      </c>
      <c r="B402" s="180" t="s">
        <v>3885</v>
      </c>
      <c r="C402" s="160" t="s">
        <v>4279</v>
      </c>
      <c r="D402" s="243" t="s">
        <v>346</v>
      </c>
      <c r="E402" s="350">
        <f>+AYUDA</f>
        <v>65389.695592000004</v>
      </c>
      <c r="F402" s="350"/>
      <c r="G402" s="350"/>
      <c r="H402" s="350">
        <f>+E402*C402</f>
        <v>7192.8665151200003</v>
      </c>
      <c r="I402" s="350"/>
    </row>
    <row r="403" spans="1:9">
      <c r="A403" s="243" t="s">
        <v>172</v>
      </c>
      <c r="B403" s="179" t="s">
        <v>189</v>
      </c>
      <c r="C403" s="346">
        <v>1</v>
      </c>
      <c r="D403" s="243" t="s">
        <v>583</v>
      </c>
      <c r="E403" s="350">
        <f>+H404*0.05</f>
        <v>802.2812651480001</v>
      </c>
      <c r="F403" s="350"/>
      <c r="G403" s="350"/>
      <c r="H403" s="350"/>
      <c r="I403" s="350">
        <f>+E403*C403</f>
        <v>802.2812651480001</v>
      </c>
    </row>
    <row r="404" spans="1:9">
      <c r="A404" s="20" t="s">
        <v>190</v>
      </c>
      <c r="B404" s="39">
        <f>SUM(F404:I404)</f>
        <v>22197.906568108003</v>
      </c>
      <c r="C404" s="34"/>
      <c r="D404" s="243"/>
      <c r="E404" s="350"/>
      <c r="F404" s="350">
        <f>SUM(F399:F403)</f>
        <v>0</v>
      </c>
      <c r="G404" s="350">
        <f>SUM(G399:G403)</f>
        <v>5350</v>
      </c>
      <c r="H404" s="350">
        <f>SUM(H399:H403)</f>
        <v>16045.625302960001</v>
      </c>
      <c r="I404" s="350">
        <f>SUM(I399:I403)</f>
        <v>802.2812651480001</v>
      </c>
    </row>
    <row r="405" spans="1:9">
      <c r="A405" s="20" t="s">
        <v>191</v>
      </c>
      <c r="B405" s="39">
        <f>+B404</f>
        <v>22197.906568108003</v>
      </c>
      <c r="C405" s="21" t="s">
        <v>94</v>
      </c>
      <c r="D405" s="178"/>
      <c r="E405" s="178"/>
      <c r="F405" s="178"/>
      <c r="G405" s="178"/>
      <c r="H405" s="178"/>
      <c r="I405" s="178"/>
    </row>
    <row r="406" spans="1:9">
      <c r="B406" s="17"/>
      <c r="C406" s="178"/>
      <c r="D406" s="178"/>
      <c r="E406" s="178"/>
      <c r="F406" s="178"/>
      <c r="G406" s="178"/>
      <c r="H406" s="178"/>
      <c r="I406" s="178"/>
    </row>
    <row r="407" spans="1:9">
      <c r="A407" s="714" t="s">
        <v>8608</v>
      </c>
      <c r="B407" s="3873" t="s">
        <v>3933</v>
      </c>
      <c r="C407" s="3873"/>
      <c r="D407" s="3873"/>
      <c r="E407" s="3873"/>
      <c r="F407" s="3873"/>
      <c r="G407" s="3873"/>
      <c r="H407" s="3873"/>
      <c r="I407" s="3873"/>
    </row>
    <row r="408" spans="1:9">
      <c r="A408" s="243"/>
      <c r="B408" s="180"/>
      <c r="C408" s="243" t="s">
        <v>140</v>
      </c>
      <c r="D408" s="243" t="s">
        <v>343</v>
      </c>
      <c r="E408" s="243" t="s">
        <v>344</v>
      </c>
      <c r="F408" s="243" t="s">
        <v>482</v>
      </c>
      <c r="G408" s="243" t="s">
        <v>483</v>
      </c>
      <c r="H408" s="243" t="s">
        <v>170</v>
      </c>
      <c r="I408" s="243" t="s">
        <v>171</v>
      </c>
    </row>
    <row r="409" spans="1:9">
      <c r="A409" s="243" t="s">
        <v>3934</v>
      </c>
      <c r="B409" s="180" t="s">
        <v>3935</v>
      </c>
      <c r="C409" s="160" t="s">
        <v>622</v>
      </c>
      <c r="D409" s="243" t="s">
        <v>45</v>
      </c>
      <c r="E409" s="350">
        <f>+TZ2110_</f>
        <v>224325</v>
      </c>
      <c r="F409" s="350"/>
      <c r="G409" s="350">
        <f>+E409*C409</f>
        <v>224325</v>
      </c>
      <c r="H409" s="350"/>
      <c r="I409" s="350"/>
    </row>
    <row r="410" spans="1:9" ht="18">
      <c r="A410" s="243" t="s">
        <v>584</v>
      </c>
      <c r="B410" s="180" t="s">
        <v>134</v>
      </c>
      <c r="C410" s="183">
        <f>1/150</f>
        <v>6.6666666666666671E-3</v>
      </c>
      <c r="D410" s="243" t="s">
        <v>583</v>
      </c>
      <c r="E410" s="674">
        <f>+VIAJE</f>
        <v>1200000</v>
      </c>
      <c r="F410" s="350"/>
      <c r="G410" s="350"/>
      <c r="H410" s="350"/>
      <c r="I410" s="350">
        <f>+E410*C410</f>
        <v>8000.0000000000009</v>
      </c>
    </row>
    <row r="411" spans="1:9">
      <c r="A411" s="20" t="s">
        <v>190</v>
      </c>
      <c r="B411" s="39">
        <f>SUM(F411:I411)</f>
        <v>232325</v>
      </c>
      <c r="C411" s="34"/>
      <c r="D411" s="243"/>
      <c r="E411" s="350"/>
      <c r="F411" s="350">
        <f>SUM(F409:F410)</f>
        <v>0</v>
      </c>
      <c r="G411" s="350">
        <f>SUM(G409:G410)</f>
        <v>224325</v>
      </c>
      <c r="H411" s="350">
        <f>SUM(H409:H410)</f>
        <v>0</v>
      </c>
      <c r="I411" s="350">
        <f>SUM(I409:I410)</f>
        <v>8000.0000000000009</v>
      </c>
    </row>
    <row r="412" spans="1:9">
      <c r="A412" s="20" t="s">
        <v>191</v>
      </c>
      <c r="B412" s="39">
        <f>+B411</f>
        <v>232325</v>
      </c>
      <c r="C412" s="21" t="s">
        <v>94</v>
      </c>
      <c r="D412" s="178"/>
      <c r="E412" s="178"/>
      <c r="F412" s="178"/>
      <c r="G412" s="178"/>
      <c r="H412" s="178"/>
      <c r="I412" s="178"/>
    </row>
    <row r="413" spans="1:9">
      <c r="B413" s="17"/>
      <c r="C413" s="178"/>
      <c r="D413" s="178"/>
      <c r="E413" s="178"/>
      <c r="F413" s="178"/>
      <c r="G413" s="178"/>
      <c r="H413" s="178"/>
      <c r="I413" s="178"/>
    </row>
    <row r="414" spans="1:9">
      <c r="A414" s="683" t="s">
        <v>8609</v>
      </c>
      <c r="B414" s="3871" t="s">
        <v>3936</v>
      </c>
      <c r="C414" s="3871"/>
      <c r="D414" s="3871"/>
      <c r="E414" s="3871"/>
      <c r="F414" s="3871"/>
      <c r="G414" s="3871"/>
      <c r="H414" s="3871"/>
      <c r="I414" s="3871"/>
    </row>
    <row r="415" spans="1:9">
      <c r="A415" s="243"/>
      <c r="B415" s="180"/>
      <c r="C415" s="243" t="s">
        <v>140</v>
      </c>
      <c r="D415" s="243" t="s">
        <v>343</v>
      </c>
      <c r="E415" s="243" t="s">
        <v>344</v>
      </c>
      <c r="F415" s="243" t="s">
        <v>482</v>
      </c>
      <c r="G415" s="243" t="s">
        <v>483</v>
      </c>
      <c r="H415" s="243" t="s">
        <v>170</v>
      </c>
      <c r="I415" s="243" t="s">
        <v>171</v>
      </c>
    </row>
    <row r="416" spans="1:9">
      <c r="A416" s="243" t="s">
        <v>3931</v>
      </c>
      <c r="B416" s="180" t="s">
        <v>3932</v>
      </c>
      <c r="C416" s="160" t="s">
        <v>4278</v>
      </c>
      <c r="D416" s="243" t="s">
        <v>133</v>
      </c>
      <c r="E416" s="350">
        <v>3000</v>
      </c>
      <c r="F416" s="350"/>
      <c r="G416" s="350">
        <f>+E416*C416</f>
        <v>4500</v>
      </c>
      <c r="H416" s="350"/>
      <c r="I416" s="350"/>
    </row>
    <row r="417" spans="1:9">
      <c r="A417" s="243" t="s">
        <v>770</v>
      </c>
      <c r="B417" s="180" t="s">
        <v>771</v>
      </c>
      <c r="C417" s="160" t="s">
        <v>622</v>
      </c>
      <c r="D417" s="243" t="s">
        <v>133</v>
      </c>
      <c r="E417" s="350">
        <f>+$E$400</f>
        <v>850</v>
      </c>
      <c r="F417" s="350"/>
      <c r="G417" s="350">
        <f>+E417*C417</f>
        <v>850</v>
      </c>
      <c r="H417" s="350"/>
      <c r="I417" s="350"/>
    </row>
    <row r="418" spans="1:9">
      <c r="A418" s="243" t="s">
        <v>345</v>
      </c>
      <c r="B418" s="180" t="s">
        <v>3886</v>
      </c>
      <c r="C418" s="160" t="s">
        <v>4279</v>
      </c>
      <c r="D418" s="243" t="s">
        <v>346</v>
      </c>
      <c r="E418" s="350">
        <f>+OFICI</f>
        <v>80479.625344</v>
      </c>
      <c r="F418" s="350"/>
      <c r="G418" s="350"/>
      <c r="H418" s="350">
        <f>+E418*C418</f>
        <v>8852.7587878400009</v>
      </c>
      <c r="I418" s="350"/>
    </row>
    <row r="419" spans="1:9">
      <c r="A419" s="243" t="s">
        <v>348</v>
      </c>
      <c r="B419" s="180" t="s">
        <v>3885</v>
      </c>
      <c r="C419" s="160" t="s">
        <v>4279</v>
      </c>
      <c r="D419" s="243" t="s">
        <v>346</v>
      </c>
      <c r="E419" s="350">
        <f>+AYUDA</f>
        <v>65389.695592000004</v>
      </c>
      <c r="F419" s="350"/>
      <c r="G419" s="350"/>
      <c r="H419" s="350">
        <f>+E419*C419</f>
        <v>7192.8665151200003</v>
      </c>
      <c r="I419" s="350"/>
    </row>
    <row r="420" spans="1:9">
      <c r="A420" s="243" t="s">
        <v>172</v>
      </c>
      <c r="B420" s="179" t="s">
        <v>189</v>
      </c>
      <c r="C420" s="346">
        <v>1</v>
      </c>
      <c r="D420" s="243" t="s">
        <v>583</v>
      </c>
      <c r="E420" s="350">
        <f>+H421*0.05</f>
        <v>802.2812651480001</v>
      </c>
      <c r="F420" s="350"/>
      <c r="G420" s="350"/>
      <c r="H420" s="350"/>
      <c r="I420" s="350">
        <f>+E420*C420</f>
        <v>802.2812651480001</v>
      </c>
    </row>
    <row r="421" spans="1:9">
      <c r="A421" s="20" t="s">
        <v>190</v>
      </c>
      <c r="B421" s="39">
        <f>SUM(F421:I421)</f>
        <v>22197.906568108003</v>
      </c>
      <c r="C421" s="34"/>
      <c r="D421" s="243"/>
      <c r="E421" s="350"/>
      <c r="F421" s="350">
        <f>SUM(F416:F420)</f>
        <v>0</v>
      </c>
      <c r="G421" s="350">
        <f>SUM(G416:G420)</f>
        <v>5350</v>
      </c>
      <c r="H421" s="350">
        <f>SUM(H416:H420)</f>
        <v>16045.625302960001</v>
      </c>
      <c r="I421" s="350">
        <f>SUM(I416:I420)</f>
        <v>802.2812651480001</v>
      </c>
    </row>
    <row r="422" spans="1:9">
      <c r="A422" s="20" t="s">
        <v>191</v>
      </c>
      <c r="B422" s="39">
        <f>+B421</f>
        <v>22197.906568108003</v>
      </c>
      <c r="C422" s="21" t="s">
        <v>363</v>
      </c>
      <c r="D422" s="178"/>
      <c r="E422" s="178"/>
      <c r="F422" s="178"/>
      <c r="G422" s="178"/>
      <c r="H422" s="178"/>
      <c r="I422" s="178"/>
    </row>
    <row r="423" spans="1:9">
      <c r="B423" s="17"/>
      <c r="C423" s="178"/>
      <c r="D423" s="178"/>
      <c r="E423" s="178"/>
      <c r="F423" s="178"/>
      <c r="G423" s="178"/>
      <c r="H423" s="178"/>
      <c r="I423" s="178"/>
    </row>
    <row r="424" spans="1:9">
      <c r="A424" s="714" t="s">
        <v>8610</v>
      </c>
      <c r="B424" s="3873" t="s">
        <v>3937</v>
      </c>
      <c r="C424" s="3873"/>
      <c r="D424" s="3873"/>
      <c r="E424" s="3873"/>
      <c r="F424" s="3873"/>
      <c r="G424" s="3873"/>
      <c r="H424" s="3873"/>
      <c r="I424" s="3873"/>
    </row>
    <row r="425" spans="1:9">
      <c r="A425" s="243"/>
      <c r="B425" s="180"/>
      <c r="C425" s="243" t="s">
        <v>140</v>
      </c>
      <c r="D425" s="243" t="s">
        <v>343</v>
      </c>
      <c r="E425" s="243" t="s">
        <v>344</v>
      </c>
      <c r="F425" s="243" t="s">
        <v>482</v>
      </c>
      <c r="G425" s="243" t="s">
        <v>483</v>
      </c>
      <c r="H425" s="243" t="s">
        <v>170</v>
      </c>
      <c r="I425" s="243" t="s">
        <v>171</v>
      </c>
    </row>
    <row r="426" spans="1:9">
      <c r="A426" s="243" t="s">
        <v>3938</v>
      </c>
      <c r="B426" s="180" t="s">
        <v>3939</v>
      </c>
      <c r="C426" s="160" t="s">
        <v>622</v>
      </c>
      <c r="D426" s="243" t="s">
        <v>45</v>
      </c>
      <c r="E426" s="350">
        <f>+TZ268_</f>
        <v>234166.25</v>
      </c>
      <c r="F426" s="350"/>
      <c r="G426" s="350">
        <f>+E426*C426</f>
        <v>234166.25</v>
      </c>
      <c r="H426" s="350"/>
      <c r="I426" s="350"/>
    </row>
    <row r="427" spans="1:9">
      <c r="A427" s="243" t="s">
        <v>584</v>
      </c>
      <c r="B427" s="180" t="s">
        <v>134</v>
      </c>
      <c r="C427" s="370">
        <f>1/470</f>
        <v>2.1276595744680851E-3</v>
      </c>
      <c r="D427" s="243" t="s">
        <v>583</v>
      </c>
      <c r="E427" s="674">
        <f>+VIAJE</f>
        <v>1200000</v>
      </c>
      <c r="F427" s="350"/>
      <c r="G427" s="350"/>
      <c r="H427" s="350"/>
      <c r="I427" s="350">
        <f>+E427*C427</f>
        <v>2553.1914893617022</v>
      </c>
    </row>
    <row r="428" spans="1:9">
      <c r="A428" s="20" t="s">
        <v>190</v>
      </c>
      <c r="B428" s="39">
        <f>SUM(F428:I428)</f>
        <v>236719.44148936169</v>
      </c>
      <c r="C428" s="34"/>
      <c r="D428" s="243"/>
      <c r="E428" s="350"/>
      <c r="F428" s="350">
        <f>SUM(F426:F427)</f>
        <v>0</v>
      </c>
      <c r="G428" s="350">
        <f>SUM(G426:G427)</f>
        <v>234166.25</v>
      </c>
      <c r="H428" s="350">
        <f>SUM(H426:H427)</f>
        <v>0</v>
      </c>
      <c r="I428" s="350">
        <f>SUM(I426:I427)</f>
        <v>2553.1914893617022</v>
      </c>
    </row>
    <row r="429" spans="1:9">
      <c r="A429" s="20" t="s">
        <v>191</v>
      </c>
      <c r="B429" s="39">
        <f>+B428</f>
        <v>236719.44148936169</v>
      </c>
      <c r="C429" s="21" t="s">
        <v>363</v>
      </c>
      <c r="D429" s="178"/>
      <c r="E429" s="178"/>
      <c r="F429" s="178"/>
      <c r="G429" s="178"/>
      <c r="H429" s="178"/>
      <c r="I429" s="178"/>
    </row>
    <row r="430" spans="1:9">
      <c r="B430" s="17"/>
      <c r="C430" s="178"/>
      <c r="D430" s="178"/>
      <c r="E430" s="178"/>
      <c r="F430" s="178"/>
      <c r="G430" s="178"/>
      <c r="H430" s="178"/>
      <c r="I430" s="178"/>
    </row>
    <row r="431" spans="1:9">
      <c r="A431" s="683" t="s">
        <v>8611</v>
      </c>
      <c r="B431" s="3871" t="s">
        <v>3940</v>
      </c>
      <c r="C431" s="3871"/>
      <c r="D431" s="3871"/>
      <c r="E431" s="3871"/>
      <c r="F431" s="3871"/>
      <c r="G431" s="3871"/>
      <c r="H431" s="3871"/>
      <c r="I431" s="3871"/>
    </row>
    <row r="432" spans="1:9">
      <c r="A432" s="243"/>
      <c r="B432" s="180"/>
      <c r="C432" s="243" t="s">
        <v>140</v>
      </c>
      <c r="D432" s="243" t="s">
        <v>343</v>
      </c>
      <c r="E432" s="243" t="s">
        <v>344</v>
      </c>
      <c r="F432" s="243" t="s">
        <v>482</v>
      </c>
      <c r="G432" s="243" t="s">
        <v>483</v>
      </c>
      <c r="H432" s="243" t="s">
        <v>170</v>
      </c>
      <c r="I432" s="243" t="s">
        <v>171</v>
      </c>
    </row>
    <row r="433" spans="1:9">
      <c r="A433" s="243" t="s">
        <v>345</v>
      </c>
      <c r="B433" s="180" t="s">
        <v>3886</v>
      </c>
      <c r="C433" s="370">
        <v>0.33333333333333331</v>
      </c>
      <c r="D433" s="243" t="s">
        <v>346</v>
      </c>
      <c r="E433" s="350">
        <f>+OFICI</f>
        <v>80479.625344</v>
      </c>
      <c r="F433" s="350"/>
      <c r="G433" s="350"/>
      <c r="H433" s="350">
        <f>+E433*C433</f>
        <v>26826.541781333333</v>
      </c>
      <c r="I433" s="350"/>
    </row>
    <row r="434" spans="1:9">
      <c r="A434" s="243" t="s">
        <v>347</v>
      </c>
      <c r="B434" s="180" t="s">
        <v>3891</v>
      </c>
      <c r="C434" s="370">
        <v>0.33333333333333331</v>
      </c>
      <c r="D434" s="243" t="s">
        <v>346</v>
      </c>
      <c r="E434" s="350">
        <f>+AYUDA</f>
        <v>65389.695592000004</v>
      </c>
      <c r="F434" s="350"/>
      <c r="G434" s="350"/>
      <c r="H434" s="350">
        <f>+E434*C434</f>
        <v>21796.565197333333</v>
      </c>
      <c r="I434" s="350"/>
    </row>
    <row r="435" spans="1:9">
      <c r="A435" s="243" t="s">
        <v>172</v>
      </c>
      <c r="B435" s="180" t="s">
        <v>189</v>
      </c>
      <c r="C435" s="370">
        <v>1</v>
      </c>
      <c r="D435" s="243" t="s">
        <v>583</v>
      </c>
      <c r="E435" s="350">
        <f>+H436*0.05</f>
        <v>2431.1553489333332</v>
      </c>
      <c r="F435" s="350"/>
      <c r="G435" s="350"/>
      <c r="H435" s="350"/>
      <c r="I435" s="350">
        <f>+E435*C435</f>
        <v>2431.1553489333332</v>
      </c>
    </row>
    <row r="436" spans="1:9">
      <c r="A436" s="20" t="s">
        <v>190</v>
      </c>
      <c r="B436" s="39">
        <f>SUM(F436:I436)</f>
        <v>51054.262327599994</v>
      </c>
      <c r="C436" s="370"/>
      <c r="D436" s="243"/>
      <c r="E436" s="243"/>
      <c r="F436" s="350">
        <f>SUM(F433:F435)</f>
        <v>0</v>
      </c>
      <c r="G436" s="350">
        <f>SUM(G433:G435)</f>
        <v>0</v>
      </c>
      <c r="H436" s="350">
        <f>SUM(H433:H435)</f>
        <v>48623.106978666663</v>
      </c>
      <c r="I436" s="350">
        <f>SUM(I433:I435)</f>
        <v>2431.1553489333332</v>
      </c>
    </row>
    <row r="437" spans="1:9">
      <c r="A437" s="20" t="s">
        <v>191</v>
      </c>
      <c r="B437" s="39">
        <f>+B436</f>
        <v>51054.262327599994</v>
      </c>
      <c r="C437" s="21" t="s">
        <v>363</v>
      </c>
      <c r="D437" s="178"/>
      <c r="E437" s="178"/>
      <c r="F437" s="178"/>
      <c r="G437" s="178"/>
      <c r="H437" s="178"/>
      <c r="I437" s="178"/>
    </row>
    <row r="438" spans="1:9">
      <c r="B438" s="17"/>
      <c r="C438" s="178"/>
      <c r="D438" s="178"/>
      <c r="E438" s="178"/>
      <c r="F438" s="178"/>
      <c r="G438" s="178"/>
      <c r="H438" s="178"/>
      <c r="I438" s="178"/>
    </row>
    <row r="439" spans="1:9">
      <c r="A439" s="714" t="s">
        <v>8612</v>
      </c>
      <c r="B439" s="3873" t="s">
        <v>3941</v>
      </c>
      <c r="C439" s="3873"/>
      <c r="D439" s="3873"/>
      <c r="E439" s="3873"/>
      <c r="F439" s="3873"/>
      <c r="G439" s="3873"/>
      <c r="H439" s="3873"/>
      <c r="I439" s="3873"/>
    </row>
    <row r="440" spans="1:9">
      <c r="A440" s="243"/>
      <c r="B440" s="180"/>
      <c r="C440" s="243" t="s">
        <v>140</v>
      </c>
      <c r="D440" s="243" t="s">
        <v>343</v>
      </c>
      <c r="E440" s="243" t="s">
        <v>344</v>
      </c>
      <c r="F440" s="243" t="s">
        <v>482</v>
      </c>
      <c r="G440" s="243" t="s">
        <v>483</v>
      </c>
      <c r="H440" s="243" t="s">
        <v>170</v>
      </c>
      <c r="I440" s="243" t="s">
        <v>171</v>
      </c>
    </row>
    <row r="441" spans="1:9">
      <c r="A441" s="243" t="s">
        <v>195</v>
      </c>
      <c r="B441" s="180" t="s">
        <v>3942</v>
      </c>
      <c r="C441" s="370" t="s">
        <v>622</v>
      </c>
      <c r="D441" s="243" t="s">
        <v>363</v>
      </c>
      <c r="E441" s="674">
        <v>657720</v>
      </c>
      <c r="F441" s="350"/>
      <c r="G441" s="350">
        <f>+E441*C441</f>
        <v>657720</v>
      </c>
      <c r="H441" s="350"/>
      <c r="I441" s="350"/>
    </row>
    <row r="442" spans="1:9">
      <c r="A442" s="243" t="s">
        <v>584</v>
      </c>
      <c r="B442" s="180" t="s">
        <v>134</v>
      </c>
      <c r="C442" s="370">
        <v>1.4285714285714286E-3</v>
      </c>
      <c r="D442" s="243" t="s">
        <v>583</v>
      </c>
      <c r="E442" s="674">
        <f>+VIAJE</f>
        <v>1200000</v>
      </c>
      <c r="F442" s="350"/>
      <c r="G442" s="350"/>
      <c r="H442" s="350"/>
      <c r="I442" s="350">
        <f>+E442*C442</f>
        <v>1714.2857142857142</v>
      </c>
    </row>
    <row r="443" spans="1:9">
      <c r="A443" s="20" t="s">
        <v>190</v>
      </c>
      <c r="B443" s="39">
        <f>SUM(F443:I443)</f>
        <v>659434.28571428568</v>
      </c>
      <c r="C443" s="370"/>
      <c r="D443" s="243"/>
      <c r="E443" s="243"/>
      <c r="F443" s="350">
        <f>SUM(F441:F442)</f>
        <v>0</v>
      </c>
      <c r="G443" s="350">
        <f>SUM(G441:G442)</f>
        <v>657720</v>
      </c>
      <c r="H443" s="350">
        <f>SUM(H441:H442)</f>
        <v>0</v>
      </c>
      <c r="I443" s="350">
        <f>SUM(I441:I442)</f>
        <v>1714.2857142857142</v>
      </c>
    </row>
    <row r="444" spans="1:9">
      <c r="A444" s="20" t="s">
        <v>191</v>
      </c>
      <c r="B444" s="39">
        <f>+B443</f>
        <v>659434.28571428568</v>
      </c>
      <c r="C444" s="21" t="s">
        <v>363</v>
      </c>
      <c r="D444" s="178"/>
      <c r="E444" s="178"/>
      <c r="F444" s="178"/>
      <c r="G444" s="178"/>
      <c r="H444" s="178"/>
      <c r="I444" s="178"/>
    </row>
    <row r="445" spans="1:9">
      <c r="B445" s="17"/>
      <c r="C445" s="178"/>
      <c r="D445" s="178"/>
      <c r="E445" s="178"/>
      <c r="F445" s="178"/>
      <c r="G445" s="178"/>
      <c r="H445" s="178"/>
      <c r="I445" s="178"/>
    </row>
    <row r="446" spans="1:9">
      <c r="A446" s="683" t="s">
        <v>8613</v>
      </c>
      <c r="B446" s="3547" t="s">
        <v>3943</v>
      </c>
      <c r="C446" s="3548"/>
      <c r="D446" s="3548"/>
      <c r="E446" s="3548"/>
      <c r="F446" s="3548"/>
      <c r="G446" s="3548"/>
      <c r="H446" s="3548"/>
      <c r="I446" s="3549"/>
    </row>
    <row r="447" spans="1:9">
      <c r="A447" s="2"/>
      <c r="B447" s="18"/>
      <c r="C447" s="243" t="s">
        <v>140</v>
      </c>
      <c r="D447" s="243" t="s">
        <v>343</v>
      </c>
      <c r="E447" s="243" t="s">
        <v>344</v>
      </c>
      <c r="F447" s="2" t="s">
        <v>482</v>
      </c>
      <c r="G447" s="2" t="s">
        <v>483</v>
      </c>
      <c r="H447" s="2" t="s">
        <v>170</v>
      </c>
      <c r="I447" s="2" t="s">
        <v>171</v>
      </c>
    </row>
    <row r="448" spans="1:9">
      <c r="A448" s="2" t="s">
        <v>348</v>
      </c>
      <c r="B448" s="18" t="s">
        <v>3885</v>
      </c>
      <c r="C448" s="370">
        <v>0.125</v>
      </c>
      <c r="D448" s="2" t="s">
        <v>346</v>
      </c>
      <c r="E448" s="350">
        <f>+AYUDA</f>
        <v>65389.695592000004</v>
      </c>
      <c r="F448" s="350"/>
      <c r="G448" s="350"/>
      <c r="H448" s="350">
        <f>+E448*C448</f>
        <v>8173.7119490000005</v>
      </c>
      <c r="I448" s="350"/>
    </row>
    <row r="449" spans="1:9">
      <c r="A449" s="2" t="s">
        <v>345</v>
      </c>
      <c r="B449" s="18" t="s">
        <v>3886</v>
      </c>
      <c r="C449" s="370">
        <v>0.125</v>
      </c>
      <c r="D449" s="2" t="s">
        <v>346</v>
      </c>
      <c r="E449" s="350">
        <f>+OFICI</f>
        <v>80479.625344</v>
      </c>
      <c r="F449" s="350"/>
      <c r="G449" s="350"/>
      <c r="H449" s="350">
        <f>+E449*C449</f>
        <v>10059.953168</v>
      </c>
      <c r="I449" s="350"/>
    </row>
    <row r="450" spans="1:9">
      <c r="A450" s="2" t="s">
        <v>172</v>
      </c>
      <c r="B450" s="18" t="s">
        <v>189</v>
      </c>
      <c r="C450" s="370">
        <v>1</v>
      </c>
      <c r="D450" s="2" t="s">
        <v>583</v>
      </c>
      <c r="E450" s="350">
        <f>+H451*0.05</f>
        <v>911.68325585000002</v>
      </c>
      <c r="F450" s="350"/>
      <c r="G450" s="350"/>
      <c r="H450" s="350"/>
      <c r="I450" s="350">
        <f>+E450*C450</f>
        <v>911.68325585000002</v>
      </c>
    </row>
    <row r="451" spans="1:9">
      <c r="A451" s="20" t="s">
        <v>190</v>
      </c>
      <c r="B451" s="39">
        <f>SUM(F451:I451)</f>
        <v>19145.34837285</v>
      </c>
      <c r="C451" s="34"/>
      <c r="D451" s="243"/>
      <c r="E451" s="243"/>
      <c r="F451" s="350">
        <f>SUM(F448:F450)</f>
        <v>0</v>
      </c>
      <c r="G451" s="350">
        <f>SUM(G448:G450)</f>
        <v>0</v>
      </c>
      <c r="H451" s="350">
        <f>SUM(H448:H450)</f>
        <v>18233.665117</v>
      </c>
      <c r="I451" s="350">
        <f>SUM(I448:I450)</f>
        <v>911.68325585000002</v>
      </c>
    </row>
    <row r="452" spans="1:9">
      <c r="A452" s="20" t="s">
        <v>191</v>
      </c>
      <c r="B452" s="39">
        <f>+B451</f>
        <v>19145.34837285</v>
      </c>
      <c r="C452" s="21" t="s">
        <v>363</v>
      </c>
      <c r="D452" s="492"/>
      <c r="E452" s="492"/>
      <c r="F452" s="492"/>
      <c r="G452" s="492"/>
      <c r="H452" s="492"/>
      <c r="I452" s="492"/>
    </row>
    <row r="453" spans="1:9" ht="13.2">
      <c r="A453" s="711"/>
      <c r="B453" s="492"/>
      <c r="C453" s="492"/>
      <c r="D453" s="492"/>
      <c r="E453" s="492"/>
      <c r="F453" s="492"/>
      <c r="G453" s="492"/>
      <c r="H453" s="492"/>
      <c r="I453" s="492"/>
    </row>
    <row r="454" spans="1:9">
      <c r="A454" s="714" t="s">
        <v>8614</v>
      </c>
      <c r="B454" s="3874" t="s">
        <v>3944</v>
      </c>
      <c r="C454" s="3875"/>
      <c r="D454" s="3875"/>
      <c r="E454" s="3875"/>
      <c r="F454" s="3875"/>
      <c r="G454" s="3875"/>
      <c r="H454" s="3875"/>
      <c r="I454" s="3876"/>
    </row>
    <row r="455" spans="1:9">
      <c r="A455" s="2"/>
      <c r="B455" s="18"/>
      <c r="C455" s="243" t="s">
        <v>140</v>
      </c>
      <c r="D455" s="243" t="s">
        <v>343</v>
      </c>
      <c r="E455" s="243" t="s">
        <v>344</v>
      </c>
      <c r="F455" s="2" t="s">
        <v>482</v>
      </c>
      <c r="G455" s="2" t="s">
        <v>483</v>
      </c>
      <c r="H455" s="2" t="s">
        <v>170</v>
      </c>
      <c r="I455" s="2" t="s">
        <v>171</v>
      </c>
    </row>
    <row r="456" spans="1:9">
      <c r="A456" s="2" t="s">
        <v>3945</v>
      </c>
      <c r="B456" s="18" t="s">
        <v>3946</v>
      </c>
      <c r="C456" s="370" t="s">
        <v>622</v>
      </c>
      <c r="D456" s="2" t="s">
        <v>363</v>
      </c>
      <c r="E456" s="350">
        <f>+THF8JH</f>
        <v>286926</v>
      </c>
      <c r="F456" s="350"/>
      <c r="G456" s="350">
        <f>+E456*C456</f>
        <v>286926</v>
      </c>
      <c r="H456" s="350"/>
      <c r="I456" s="350"/>
    </row>
    <row r="457" spans="1:9">
      <c r="A457" s="2" t="s">
        <v>584</v>
      </c>
      <c r="B457" s="18" t="s">
        <v>134</v>
      </c>
      <c r="C457" s="346">
        <v>1.5384615384615385E-3</v>
      </c>
      <c r="D457" s="2" t="s">
        <v>583</v>
      </c>
      <c r="E457" s="674">
        <f>+VIAJE</f>
        <v>1200000</v>
      </c>
      <c r="F457" s="350"/>
      <c r="G457" s="350"/>
      <c r="H457" s="350"/>
      <c r="I457" s="350">
        <f>+E457*C457</f>
        <v>1846.1538461538462</v>
      </c>
    </row>
    <row r="458" spans="1:9">
      <c r="A458" s="20" t="s">
        <v>190</v>
      </c>
      <c r="B458" s="39">
        <f>SUM(F458:I458)</f>
        <v>288772.15384615387</v>
      </c>
      <c r="C458" s="34"/>
      <c r="D458" s="243"/>
      <c r="E458" s="243"/>
      <c r="F458" s="350">
        <f>SUM(F456:F457)</f>
        <v>0</v>
      </c>
      <c r="G458" s="350">
        <f>SUM(G456:G457)</f>
        <v>286926</v>
      </c>
      <c r="H458" s="350">
        <f>SUM(H456:H457)</f>
        <v>0</v>
      </c>
      <c r="I458" s="350">
        <f>SUM(I456:I457)</f>
        <v>1846.1538461538462</v>
      </c>
    </row>
    <row r="459" spans="1:9">
      <c r="A459" s="20" t="s">
        <v>191</v>
      </c>
      <c r="B459" s="39">
        <f>+B458</f>
        <v>288772.15384615387</v>
      </c>
      <c r="C459" s="21" t="s">
        <v>363</v>
      </c>
      <c r="D459" s="492"/>
      <c r="E459" s="492"/>
      <c r="F459" s="492"/>
      <c r="G459" s="492"/>
      <c r="H459" s="492"/>
      <c r="I459" s="492"/>
    </row>
    <row r="460" spans="1:9" ht="13.2">
      <c r="A460" s="711"/>
      <c r="B460" s="492"/>
      <c r="C460" s="492"/>
      <c r="D460" s="492"/>
      <c r="E460" s="492"/>
      <c r="F460" s="492"/>
      <c r="G460" s="492"/>
      <c r="H460" s="492"/>
      <c r="I460" s="492"/>
    </row>
    <row r="461" spans="1:9">
      <c r="A461" s="683" t="s">
        <v>8615</v>
      </c>
      <c r="B461" s="3558" t="s">
        <v>3947</v>
      </c>
      <c r="C461" s="3558"/>
      <c r="D461" s="3558"/>
      <c r="E461" s="3558"/>
      <c r="F461" s="3558"/>
      <c r="G461" s="3558"/>
      <c r="H461" s="3558"/>
      <c r="I461" s="3558"/>
    </row>
    <row r="462" spans="1:9">
      <c r="A462" s="243"/>
      <c r="B462" s="180"/>
      <c r="C462" s="243" t="s">
        <v>140</v>
      </c>
      <c r="D462" s="243" t="s">
        <v>343</v>
      </c>
      <c r="E462" s="243" t="s">
        <v>344</v>
      </c>
      <c r="F462" s="243" t="s">
        <v>482</v>
      </c>
      <c r="G462" s="243" t="s">
        <v>483</v>
      </c>
      <c r="H462" s="243" t="s">
        <v>170</v>
      </c>
      <c r="I462" s="243" t="s">
        <v>171</v>
      </c>
    </row>
    <row r="463" spans="1:9">
      <c r="A463" s="243" t="s">
        <v>348</v>
      </c>
      <c r="B463" s="180" t="s">
        <v>3885</v>
      </c>
      <c r="C463" s="370">
        <f>3/4</f>
        <v>0.75</v>
      </c>
      <c r="D463" s="243" t="s">
        <v>346</v>
      </c>
      <c r="E463" s="350">
        <f>+AYUDA</f>
        <v>65389.695592000004</v>
      </c>
      <c r="F463" s="674"/>
      <c r="G463" s="719"/>
      <c r="H463" s="674">
        <f>+E463*C463</f>
        <v>49042.271694000003</v>
      </c>
      <c r="I463" s="674"/>
    </row>
    <row r="464" spans="1:9">
      <c r="A464" s="243" t="s">
        <v>345</v>
      </c>
      <c r="B464" s="180" t="s">
        <v>3886</v>
      </c>
      <c r="C464" s="370">
        <f>1/4</f>
        <v>0.25</v>
      </c>
      <c r="D464" s="243" t="s">
        <v>346</v>
      </c>
      <c r="E464" s="674">
        <f>+OFICI</f>
        <v>80479.625344</v>
      </c>
      <c r="F464" s="674"/>
      <c r="G464" s="720"/>
      <c r="H464" s="674">
        <f>+E464*C464</f>
        <v>20119.906336</v>
      </c>
      <c r="I464" s="674"/>
    </row>
    <row r="465" spans="1:9">
      <c r="A465" s="243" t="s">
        <v>172</v>
      </c>
      <c r="B465" s="180" t="s">
        <v>189</v>
      </c>
      <c r="C465" s="370">
        <v>1</v>
      </c>
      <c r="D465" s="243" t="s">
        <v>583</v>
      </c>
      <c r="E465" s="350">
        <f>+H466*0.05</f>
        <v>3458.1089015000007</v>
      </c>
      <c r="F465" s="674"/>
      <c r="G465" s="674"/>
      <c r="H465" s="674"/>
      <c r="I465" s="674">
        <f>+E465*C465</f>
        <v>3458.1089015000007</v>
      </c>
    </row>
    <row r="466" spans="1:9">
      <c r="A466" s="20" t="s">
        <v>190</v>
      </c>
      <c r="B466" s="39">
        <f>SUM(F466:I466)</f>
        <v>72620.286931500013</v>
      </c>
      <c r="C466" s="34"/>
      <c r="D466" s="243"/>
      <c r="E466" s="243"/>
      <c r="F466" s="674">
        <f>+SUM(F463:F465)</f>
        <v>0</v>
      </c>
      <c r="G466" s="674">
        <f>+SUM(G463:G465)</f>
        <v>0</v>
      </c>
      <c r="H466" s="674">
        <f>+SUM(H463:H465)</f>
        <v>69162.17803000001</v>
      </c>
      <c r="I466" s="674">
        <f>+SUM(I463:I465)</f>
        <v>3458.1089015000007</v>
      </c>
    </row>
    <row r="467" spans="1:9">
      <c r="A467" s="20" t="s">
        <v>191</v>
      </c>
      <c r="B467" s="39">
        <f>+B466</f>
        <v>72620.286931500013</v>
      </c>
      <c r="C467" s="21" t="s">
        <v>363</v>
      </c>
      <c r="D467" s="492"/>
      <c r="E467" s="492"/>
      <c r="F467" s="492"/>
      <c r="G467" s="492"/>
      <c r="H467" s="492"/>
      <c r="I467" s="492"/>
    </row>
    <row r="468" spans="1:9" ht="13.2">
      <c r="A468" s="711"/>
      <c r="B468" s="492"/>
      <c r="C468" s="492"/>
      <c r="D468" s="492"/>
      <c r="E468" s="492"/>
      <c r="F468" s="492"/>
      <c r="G468" s="492"/>
      <c r="H468" s="492"/>
      <c r="I468" s="492"/>
    </row>
    <row r="469" spans="1:9">
      <c r="A469" s="714" t="s">
        <v>8616</v>
      </c>
      <c r="B469" s="3872" t="s">
        <v>3948</v>
      </c>
      <c r="C469" s="3872"/>
      <c r="D469" s="3872"/>
      <c r="E469" s="3872"/>
      <c r="F469" s="3872"/>
      <c r="G469" s="3872"/>
      <c r="H469" s="3872"/>
      <c r="I469" s="3872"/>
    </row>
    <row r="470" spans="1:9">
      <c r="A470" s="243"/>
      <c r="B470" s="180"/>
      <c r="C470" s="243" t="s">
        <v>140</v>
      </c>
      <c r="D470" s="243" t="s">
        <v>343</v>
      </c>
      <c r="E470" s="243" t="s">
        <v>344</v>
      </c>
      <c r="F470" s="243" t="s">
        <v>482</v>
      </c>
      <c r="G470" s="243" t="s">
        <v>483</v>
      </c>
      <c r="H470" s="243" t="s">
        <v>170</v>
      </c>
      <c r="I470" s="243" t="s">
        <v>171</v>
      </c>
    </row>
    <row r="471" spans="1:9">
      <c r="A471" s="243" t="s">
        <v>3882</v>
      </c>
      <c r="B471" s="180" t="s">
        <v>3949</v>
      </c>
      <c r="C471" s="370">
        <v>1</v>
      </c>
      <c r="D471" s="243" t="s">
        <v>363</v>
      </c>
      <c r="E471" s="674">
        <v>135000</v>
      </c>
      <c r="F471" s="674"/>
      <c r="G471" s="674">
        <f>+E471*C471</f>
        <v>135000</v>
      </c>
      <c r="H471" s="674"/>
      <c r="I471" s="674"/>
    </row>
    <row r="472" spans="1:9">
      <c r="A472" s="243"/>
      <c r="B472" s="180" t="s">
        <v>3884</v>
      </c>
      <c r="C472" s="370">
        <v>2</v>
      </c>
      <c r="D472" s="243" t="s">
        <v>363</v>
      </c>
      <c r="E472" s="32">
        <v>55500</v>
      </c>
      <c r="F472" s="32"/>
      <c r="G472" s="32">
        <f>+E472*C472</f>
        <v>111000</v>
      </c>
      <c r="H472" s="674"/>
      <c r="I472" s="674"/>
    </row>
    <row r="473" spans="1:9">
      <c r="A473" s="243" t="s">
        <v>584</v>
      </c>
      <c r="B473" s="180" t="s">
        <v>134</v>
      </c>
      <c r="C473" s="708">
        <v>5.0000000000000001E-3</v>
      </c>
      <c r="D473" s="243" t="s">
        <v>583</v>
      </c>
      <c r="E473" s="674">
        <f>+VIAJE</f>
        <v>1200000</v>
      </c>
      <c r="F473" s="674"/>
      <c r="G473" s="674"/>
      <c r="H473" s="674"/>
      <c r="I473" s="674">
        <f>+E473*C473</f>
        <v>6000</v>
      </c>
    </row>
    <row r="474" spans="1:9">
      <c r="A474" s="20" t="s">
        <v>190</v>
      </c>
      <c r="B474" s="39">
        <f>SUM(F474:I474)</f>
        <v>252000</v>
      </c>
      <c r="C474" s="34"/>
      <c r="D474" s="243"/>
      <c r="E474" s="243"/>
      <c r="F474" s="674">
        <f>+SUM(F471:F473)</f>
        <v>0</v>
      </c>
      <c r="G474" s="674">
        <f>+SUM(G471:G473)</f>
        <v>246000</v>
      </c>
      <c r="H474" s="674">
        <f>+SUM(H471:H473)</f>
        <v>0</v>
      </c>
      <c r="I474" s="674">
        <f>+SUM(I471:I473)</f>
        <v>6000</v>
      </c>
    </row>
    <row r="475" spans="1:9">
      <c r="A475" s="20" t="s">
        <v>191</v>
      </c>
      <c r="B475" s="39">
        <f>+B474</f>
        <v>252000</v>
      </c>
      <c r="C475" s="21" t="s">
        <v>363</v>
      </c>
      <c r="D475" s="492"/>
      <c r="E475" s="492"/>
      <c r="F475" s="492"/>
      <c r="G475" s="492"/>
      <c r="H475" s="492"/>
      <c r="I475" s="492"/>
    </row>
    <row r="476" spans="1:9" ht="13.2">
      <c r="A476" s="711"/>
      <c r="B476" s="492"/>
      <c r="C476" s="492"/>
      <c r="D476" s="492"/>
      <c r="E476" s="492"/>
      <c r="F476" s="492"/>
      <c r="G476" s="492"/>
      <c r="H476" s="492"/>
      <c r="I476" s="492"/>
    </row>
    <row r="477" spans="1:9">
      <c r="A477" s="683" t="s">
        <v>8617</v>
      </c>
      <c r="B477" s="3871" t="s">
        <v>3950</v>
      </c>
      <c r="C477" s="3871"/>
      <c r="D477" s="3871"/>
      <c r="E477" s="3871"/>
      <c r="F477" s="3871"/>
      <c r="G477" s="3871"/>
      <c r="H477" s="3871"/>
      <c r="I477" s="3871"/>
    </row>
    <row r="478" spans="1:9">
      <c r="A478" s="243"/>
      <c r="B478" s="180"/>
      <c r="C478" s="243" t="s">
        <v>140</v>
      </c>
      <c r="D478" s="243" t="s">
        <v>343</v>
      </c>
      <c r="E478" s="243" t="s">
        <v>344</v>
      </c>
      <c r="F478" s="243" t="s">
        <v>482</v>
      </c>
      <c r="G478" s="243" t="s">
        <v>483</v>
      </c>
      <c r="H478" s="243" t="s">
        <v>170</v>
      </c>
      <c r="I478" s="243" t="s">
        <v>171</v>
      </c>
    </row>
    <row r="479" spans="1:9">
      <c r="A479" s="243" t="s">
        <v>345</v>
      </c>
      <c r="B479" s="180" t="s">
        <v>3886</v>
      </c>
      <c r="C479" s="370">
        <v>0.05</v>
      </c>
      <c r="D479" s="243" t="s">
        <v>346</v>
      </c>
      <c r="E479" s="350">
        <f>+OFICI</f>
        <v>80479.625344</v>
      </c>
      <c r="F479" s="350"/>
      <c r="G479" s="350"/>
      <c r="H479" s="350">
        <f>+C479*E479</f>
        <v>4023.9812672000003</v>
      </c>
      <c r="I479" s="350"/>
    </row>
    <row r="480" spans="1:9">
      <c r="A480" s="243" t="s">
        <v>348</v>
      </c>
      <c r="B480" s="180" t="s">
        <v>3885</v>
      </c>
      <c r="C480" s="370">
        <v>0.05</v>
      </c>
      <c r="D480" s="243" t="s">
        <v>346</v>
      </c>
      <c r="E480" s="350">
        <f>+AYUDA</f>
        <v>65389.695592000004</v>
      </c>
      <c r="F480" s="350"/>
      <c r="G480" s="350"/>
      <c r="H480" s="350">
        <f>+C480*E480</f>
        <v>3269.4847796000004</v>
      </c>
      <c r="I480" s="350"/>
    </row>
    <row r="481" spans="1:9">
      <c r="A481" s="243" t="s">
        <v>172</v>
      </c>
      <c r="B481" s="180" t="s">
        <v>189</v>
      </c>
      <c r="C481" s="370">
        <v>1</v>
      </c>
      <c r="D481" s="243" t="s">
        <v>583</v>
      </c>
      <c r="E481" s="350">
        <f>+H482*0.05</f>
        <v>364.67330234000002</v>
      </c>
      <c r="F481" s="350"/>
      <c r="G481" s="350"/>
      <c r="H481" s="350"/>
      <c r="I481" s="350"/>
    </row>
    <row r="482" spans="1:9">
      <c r="A482" s="20" t="s">
        <v>190</v>
      </c>
      <c r="B482" s="39">
        <f>SUM(F482:I482)</f>
        <v>7293.4660468000002</v>
      </c>
      <c r="C482" s="34"/>
      <c r="D482" s="243"/>
      <c r="E482" s="350"/>
      <c r="F482" s="350">
        <f>SUM(F479:F481)</f>
        <v>0</v>
      </c>
      <c r="G482" s="350">
        <f>SUM(G479:G481)</f>
        <v>0</v>
      </c>
      <c r="H482" s="350">
        <f>SUM(H479:H481)</f>
        <v>7293.4660468000002</v>
      </c>
      <c r="I482" s="350">
        <f>SUM(I479:I481)</f>
        <v>0</v>
      </c>
    </row>
    <row r="483" spans="1:9">
      <c r="A483" s="20" t="s">
        <v>191</v>
      </c>
      <c r="B483" s="39">
        <f>+B482</f>
        <v>7293.4660468000002</v>
      </c>
      <c r="C483" s="21" t="s">
        <v>363</v>
      </c>
      <c r="D483" s="178"/>
      <c r="E483" s="178"/>
      <c r="F483" s="178"/>
      <c r="G483" s="178"/>
      <c r="H483" s="178"/>
      <c r="I483" s="178"/>
    </row>
    <row r="484" spans="1:9" ht="13.2">
      <c r="A484" s="711"/>
      <c r="B484" s="492"/>
      <c r="C484" s="492"/>
      <c r="D484" s="492"/>
      <c r="E484" s="492"/>
      <c r="F484" s="492"/>
      <c r="G484" s="492"/>
      <c r="H484" s="492"/>
      <c r="I484" s="492"/>
    </row>
    <row r="485" spans="1:9">
      <c r="A485" s="714" t="s">
        <v>8618</v>
      </c>
      <c r="B485" s="3873" t="s">
        <v>3951</v>
      </c>
      <c r="C485" s="3873"/>
      <c r="D485" s="3873"/>
      <c r="E485" s="3873"/>
      <c r="F485" s="3873"/>
      <c r="G485" s="3873"/>
      <c r="H485" s="3873"/>
      <c r="I485" s="3873"/>
    </row>
    <row r="486" spans="1:9">
      <c r="A486" s="243"/>
      <c r="B486" s="180"/>
      <c r="C486" s="243" t="s">
        <v>140</v>
      </c>
      <c r="D486" s="243" t="s">
        <v>343</v>
      </c>
      <c r="E486" s="243" t="s">
        <v>344</v>
      </c>
      <c r="F486" s="243" t="s">
        <v>482</v>
      </c>
      <c r="G486" s="243" t="s">
        <v>483</v>
      </c>
      <c r="H486" s="243" t="s">
        <v>170</v>
      </c>
      <c r="I486" s="243" t="s">
        <v>171</v>
      </c>
    </row>
    <row r="487" spans="1:9">
      <c r="A487" s="243" t="s">
        <v>3938</v>
      </c>
      <c r="B487" s="180" t="s">
        <v>3952</v>
      </c>
      <c r="C487" s="160" t="s">
        <v>622</v>
      </c>
      <c r="D487" s="243" t="s">
        <v>45</v>
      </c>
      <c r="E487" s="350">
        <v>18000</v>
      </c>
      <c r="F487" s="350"/>
      <c r="G487" s="350">
        <f>+C487*E487</f>
        <v>18000</v>
      </c>
      <c r="H487" s="350"/>
      <c r="I487" s="350"/>
    </row>
    <row r="488" spans="1:9">
      <c r="A488" s="243" t="s">
        <v>584</v>
      </c>
      <c r="B488" s="180" t="s">
        <v>134</v>
      </c>
      <c r="C488" s="346">
        <v>2E-3</v>
      </c>
      <c r="D488" s="243" t="s">
        <v>583</v>
      </c>
      <c r="E488" s="674">
        <f>+VIAJE</f>
        <v>1200000</v>
      </c>
      <c r="F488" s="350"/>
      <c r="G488" s="350"/>
      <c r="H488" s="350"/>
      <c r="I488" s="350">
        <f>+C488*E488</f>
        <v>2400</v>
      </c>
    </row>
    <row r="489" spans="1:9">
      <c r="A489" s="20" t="s">
        <v>190</v>
      </c>
      <c r="B489" s="39">
        <f>SUM(F489:I489)</f>
        <v>20400</v>
      </c>
      <c r="C489" s="34"/>
      <c r="D489" s="243"/>
      <c r="E489" s="350"/>
      <c r="F489" s="350">
        <f>SUM(F487:F488)</f>
        <v>0</v>
      </c>
      <c r="G489" s="350">
        <f>SUM(G487:G488)</f>
        <v>18000</v>
      </c>
      <c r="H489" s="350">
        <f>SUM(H487:H488)</f>
        <v>0</v>
      </c>
      <c r="I489" s="350">
        <f>SUM(I487:I488)</f>
        <v>2400</v>
      </c>
    </row>
    <row r="490" spans="1:9">
      <c r="A490" s="20" t="s">
        <v>191</v>
      </c>
      <c r="B490" s="39">
        <f>+B489</f>
        <v>20400</v>
      </c>
      <c r="C490" s="21" t="s">
        <v>363</v>
      </c>
      <c r="D490" s="178"/>
      <c r="E490" s="178"/>
      <c r="F490" s="178"/>
      <c r="G490" s="178"/>
      <c r="H490" s="178"/>
      <c r="I490" s="178"/>
    </row>
    <row r="491" spans="1:9" ht="13.2">
      <c r="A491" s="711"/>
      <c r="B491" s="492"/>
      <c r="C491" s="492"/>
      <c r="D491" s="492"/>
      <c r="E491" s="492"/>
      <c r="F491" s="492"/>
      <c r="G491" s="492"/>
      <c r="H491" s="492"/>
      <c r="I491" s="492"/>
    </row>
    <row r="492" spans="1:9">
      <c r="A492" s="683" t="s">
        <v>8619</v>
      </c>
      <c r="B492" s="3900" t="s">
        <v>3953</v>
      </c>
      <c r="C492" s="3901"/>
      <c r="D492" s="3901"/>
      <c r="E492" s="3901"/>
      <c r="F492" s="3901"/>
      <c r="G492" s="3901"/>
      <c r="H492" s="3901"/>
      <c r="I492" s="3902"/>
    </row>
    <row r="493" spans="1:9">
      <c r="A493" s="243"/>
      <c r="B493" s="180"/>
      <c r="C493" s="243" t="s">
        <v>140</v>
      </c>
      <c r="D493" s="243" t="s">
        <v>343</v>
      </c>
      <c r="E493" s="243" t="s">
        <v>344</v>
      </c>
      <c r="F493" s="243" t="s">
        <v>482</v>
      </c>
      <c r="G493" s="243" t="s">
        <v>483</v>
      </c>
      <c r="H493" s="243" t="s">
        <v>170</v>
      </c>
      <c r="I493" s="243" t="s">
        <v>171</v>
      </c>
    </row>
    <row r="494" spans="1:9">
      <c r="A494" s="243" t="s">
        <v>172</v>
      </c>
      <c r="B494" s="180" t="s">
        <v>189</v>
      </c>
      <c r="C494" s="346">
        <v>1</v>
      </c>
      <c r="D494" s="160" t="s">
        <v>583</v>
      </c>
      <c r="E494" s="350">
        <f>+H497*0.05</f>
        <v>10562.950826400001</v>
      </c>
      <c r="F494" s="350"/>
      <c r="G494" s="350"/>
      <c r="H494" s="350"/>
      <c r="I494" s="350">
        <f>+E494*C494</f>
        <v>10562.950826400001</v>
      </c>
    </row>
    <row r="495" spans="1:9">
      <c r="A495" s="243" t="s">
        <v>348</v>
      </c>
      <c r="B495" s="180" t="s">
        <v>3885</v>
      </c>
      <c r="C495" s="370">
        <v>2</v>
      </c>
      <c r="D495" s="243" t="s">
        <v>346</v>
      </c>
      <c r="E495" s="350">
        <f>+AYUDA</f>
        <v>65389.695592000004</v>
      </c>
      <c r="F495" s="350"/>
      <c r="G495" s="350"/>
      <c r="H495" s="350">
        <f>+E495*C495</f>
        <v>130779.39118400001</v>
      </c>
      <c r="I495" s="350"/>
    </row>
    <row r="496" spans="1:9">
      <c r="A496" s="243" t="s">
        <v>345</v>
      </c>
      <c r="B496" s="180" t="s">
        <v>3886</v>
      </c>
      <c r="C496" s="370">
        <v>1</v>
      </c>
      <c r="D496" s="243" t="s">
        <v>346</v>
      </c>
      <c r="E496" s="674">
        <f>+OFICI</f>
        <v>80479.625344</v>
      </c>
      <c r="F496" s="350"/>
      <c r="G496" s="350"/>
      <c r="H496" s="350">
        <f>+E496*C496</f>
        <v>80479.625344</v>
      </c>
      <c r="I496" s="350"/>
    </row>
    <row r="497" spans="1:9">
      <c r="A497" s="20" t="s">
        <v>190</v>
      </c>
      <c r="B497" s="39">
        <f>SUM(F497:I497)</f>
        <v>221821.9673544</v>
      </c>
      <c r="C497" s="34"/>
      <c r="D497" s="169"/>
      <c r="E497" s="350"/>
      <c r="F497" s="350">
        <f>SUM(F494:F496)</f>
        <v>0</v>
      </c>
      <c r="G497" s="350">
        <f>SUM(G494:G496)</f>
        <v>0</v>
      </c>
      <c r="H497" s="350">
        <f>SUM(H494:H496)</f>
        <v>211259.01652800001</v>
      </c>
      <c r="I497" s="350">
        <f>SUM(I494:I496)</f>
        <v>10562.950826400001</v>
      </c>
    </row>
    <row r="498" spans="1:9">
      <c r="A498" s="20" t="s">
        <v>191</v>
      </c>
      <c r="B498" s="39">
        <f>+B497</f>
        <v>221821.9673544</v>
      </c>
      <c r="C498" s="21" t="s">
        <v>363</v>
      </c>
      <c r="D498" s="13"/>
      <c r="E498" s="13"/>
      <c r="F498" s="13"/>
      <c r="G498" s="13"/>
      <c r="H498" s="13"/>
      <c r="I498" s="13"/>
    </row>
    <row r="499" spans="1:9" ht="13.2">
      <c r="A499" s="711"/>
      <c r="B499" s="492"/>
      <c r="C499" s="492"/>
      <c r="D499" s="492"/>
      <c r="E499" s="492"/>
      <c r="F499" s="492"/>
      <c r="G499" s="492"/>
      <c r="H499" s="492"/>
      <c r="I499" s="492"/>
    </row>
    <row r="500" spans="1:9">
      <c r="A500" s="714" t="s">
        <v>8620</v>
      </c>
      <c r="B500" s="3903" t="s">
        <v>3954</v>
      </c>
      <c r="C500" s="3904"/>
      <c r="D500" s="3904"/>
      <c r="E500" s="3904"/>
      <c r="F500" s="3904"/>
      <c r="G500" s="3904"/>
      <c r="H500" s="3904"/>
      <c r="I500" s="3905"/>
    </row>
    <row r="501" spans="1:9">
      <c r="A501" s="243"/>
      <c r="B501" s="180"/>
      <c r="C501" s="243" t="s">
        <v>140</v>
      </c>
      <c r="D501" s="243" t="s">
        <v>343</v>
      </c>
      <c r="E501" s="243" t="s">
        <v>344</v>
      </c>
      <c r="F501" s="243" t="s">
        <v>482</v>
      </c>
      <c r="G501" s="243" t="s">
        <v>483</v>
      </c>
      <c r="H501" s="243" t="s">
        <v>170</v>
      </c>
      <c r="I501" s="243" t="s">
        <v>171</v>
      </c>
    </row>
    <row r="502" spans="1:9">
      <c r="A502" s="243" t="s">
        <v>3894</v>
      </c>
      <c r="B502" s="180" t="s">
        <v>3955</v>
      </c>
      <c r="C502" s="346">
        <v>1</v>
      </c>
      <c r="D502" s="160" t="s">
        <v>363</v>
      </c>
      <c r="E502" s="350">
        <v>4424240</v>
      </c>
      <c r="F502" s="350"/>
      <c r="G502" s="350">
        <f>+E502*C502</f>
        <v>4424240</v>
      </c>
      <c r="H502" s="350"/>
      <c r="I502" s="350"/>
    </row>
    <row r="503" spans="1:9">
      <c r="A503" s="243" t="s">
        <v>584</v>
      </c>
      <c r="B503" s="180" t="s">
        <v>134</v>
      </c>
      <c r="C503" s="346">
        <v>0.3</v>
      </c>
      <c r="D503" s="160" t="s">
        <v>583</v>
      </c>
      <c r="E503" s="674">
        <f>+VIAJE</f>
        <v>1200000</v>
      </c>
      <c r="F503" s="350"/>
      <c r="G503" s="350"/>
      <c r="H503" s="350"/>
      <c r="I503" s="350">
        <f>+E503*C503</f>
        <v>360000</v>
      </c>
    </row>
    <row r="504" spans="1:9">
      <c r="A504" s="20" t="s">
        <v>190</v>
      </c>
      <c r="B504" s="39">
        <f>SUM(F504:I504)</f>
        <v>4784240</v>
      </c>
      <c r="C504" s="34"/>
      <c r="D504" s="169"/>
      <c r="E504" s="350"/>
      <c r="F504" s="350">
        <f>SUM(F502:F503)</f>
        <v>0</v>
      </c>
      <c r="G504" s="350">
        <f>SUM(G502:G503)</f>
        <v>4424240</v>
      </c>
      <c r="H504" s="350">
        <f>SUM(H502:H503)</f>
        <v>0</v>
      </c>
      <c r="I504" s="350">
        <f>SUM(I502:I503)</f>
        <v>360000</v>
      </c>
    </row>
    <row r="505" spans="1:9">
      <c r="A505" s="20" t="s">
        <v>191</v>
      </c>
      <c r="B505" s="39">
        <f>+B504</f>
        <v>4784240</v>
      </c>
      <c r="C505" s="21" t="s">
        <v>363</v>
      </c>
      <c r="D505" s="13"/>
      <c r="E505" s="13"/>
      <c r="F505" s="13"/>
      <c r="G505" s="13"/>
      <c r="H505" s="13"/>
      <c r="I505" s="13"/>
    </row>
    <row r="506" spans="1:9" ht="13.2">
      <c r="A506" s="711"/>
      <c r="B506" s="492"/>
      <c r="C506" s="492"/>
      <c r="D506" s="492"/>
      <c r="E506" s="492"/>
      <c r="F506" s="492"/>
      <c r="G506" s="492"/>
      <c r="H506" s="492"/>
      <c r="I506" s="492"/>
    </row>
    <row r="507" spans="1:9">
      <c r="A507" s="3694" t="s">
        <v>3956</v>
      </c>
      <c r="B507" s="3695"/>
      <c r="C507" s="3695"/>
      <c r="D507" s="3695"/>
      <c r="E507" s="3695"/>
      <c r="F507" s="3695"/>
      <c r="G507" s="3695"/>
      <c r="H507" s="3695"/>
      <c r="I507" s="3895"/>
    </row>
    <row r="508" spans="1:9" ht="13.2">
      <c r="A508" s="711"/>
      <c r="B508" s="492"/>
      <c r="C508" s="492"/>
      <c r="D508" s="492"/>
      <c r="E508" s="492"/>
      <c r="F508" s="492"/>
      <c r="G508" s="492"/>
      <c r="H508" s="492"/>
      <c r="I508" s="492"/>
    </row>
    <row r="509" spans="1:9">
      <c r="A509" s="594" t="s">
        <v>8621</v>
      </c>
      <c r="B509" s="3906" t="s">
        <v>3957</v>
      </c>
      <c r="C509" s="3907"/>
      <c r="D509" s="3907"/>
      <c r="E509" s="3907"/>
      <c r="F509" s="3907"/>
      <c r="G509" s="3907"/>
      <c r="H509" s="3907"/>
      <c r="I509" s="3908"/>
    </row>
    <row r="510" spans="1:9">
      <c r="A510" s="721"/>
      <c r="B510" s="722"/>
      <c r="C510" s="243" t="s">
        <v>140</v>
      </c>
      <c r="D510" s="243" t="s">
        <v>343</v>
      </c>
      <c r="E510" s="674" t="s">
        <v>344</v>
      </c>
      <c r="F510" s="674" t="s">
        <v>482</v>
      </c>
      <c r="G510" s="674" t="s">
        <v>483</v>
      </c>
      <c r="H510" s="674" t="s">
        <v>170</v>
      </c>
      <c r="I510" s="674" t="s">
        <v>171</v>
      </c>
    </row>
    <row r="511" spans="1:9">
      <c r="A511" s="232" t="s">
        <v>3958</v>
      </c>
      <c r="B511" s="41" t="s">
        <v>342</v>
      </c>
      <c r="C511" s="232">
        <v>1</v>
      </c>
      <c r="D511" s="232" t="s">
        <v>583</v>
      </c>
      <c r="E511" s="674">
        <v>95000</v>
      </c>
      <c r="F511" s="674"/>
      <c r="G511" s="674"/>
      <c r="H511" s="674">
        <f>+E511*C511</f>
        <v>95000</v>
      </c>
      <c r="I511" s="674"/>
    </row>
    <row r="512" spans="1:9">
      <c r="A512" s="232" t="s">
        <v>172</v>
      </c>
      <c r="B512" s="41" t="s">
        <v>189</v>
      </c>
      <c r="C512" s="723">
        <v>1</v>
      </c>
      <c r="D512" s="232" t="s">
        <v>583</v>
      </c>
      <c r="E512" s="674">
        <f>+H513*0.05</f>
        <v>4750</v>
      </c>
      <c r="F512" s="674"/>
      <c r="G512" s="674"/>
      <c r="H512" s="674"/>
      <c r="I512" s="674">
        <f>+E512*C512</f>
        <v>4750</v>
      </c>
    </row>
    <row r="513" spans="1:9">
      <c r="A513" s="20" t="s">
        <v>190</v>
      </c>
      <c r="B513" s="39">
        <f>SUM(F513:I513)</f>
        <v>99750</v>
      </c>
      <c r="C513" s="34"/>
      <c r="D513" s="232"/>
      <c r="E513" s="674"/>
      <c r="F513" s="674">
        <f>SUM(F511:F512)</f>
        <v>0</v>
      </c>
      <c r="G513" s="674">
        <f>SUM(G511:G512)</f>
        <v>0</v>
      </c>
      <c r="H513" s="674">
        <f>SUM(H511:H512)</f>
        <v>95000</v>
      </c>
      <c r="I513" s="674">
        <f>SUM(I511:I512)</f>
        <v>4750</v>
      </c>
    </row>
    <row r="514" spans="1:9">
      <c r="A514" s="20" t="s">
        <v>191</v>
      </c>
      <c r="B514" s="39">
        <f>+B513</f>
        <v>99750</v>
      </c>
      <c r="C514" s="21" t="s">
        <v>363</v>
      </c>
      <c r="D514" s="178"/>
      <c r="E514" s="377"/>
      <c r="F514" s="377"/>
      <c r="G514" s="377"/>
      <c r="H514" s="377"/>
      <c r="I514" s="377"/>
    </row>
    <row r="515" spans="1:9">
      <c r="C515" s="178"/>
      <c r="D515" s="178"/>
      <c r="E515" s="377"/>
      <c r="F515" s="377"/>
      <c r="G515" s="377"/>
      <c r="H515" s="377"/>
      <c r="I515" s="377"/>
    </row>
    <row r="516" spans="1:9">
      <c r="A516" s="724" t="s">
        <v>8622</v>
      </c>
      <c r="B516" s="3909" t="s">
        <v>3959</v>
      </c>
      <c r="C516" s="3910"/>
      <c r="D516" s="3910"/>
      <c r="E516" s="3910"/>
      <c r="F516" s="3910"/>
      <c r="G516" s="3910"/>
      <c r="H516" s="3910"/>
      <c r="I516" s="3911"/>
    </row>
    <row r="517" spans="1:9">
      <c r="A517" s="721"/>
      <c r="B517" s="722"/>
      <c r="C517" s="243" t="s">
        <v>140</v>
      </c>
      <c r="D517" s="243" t="s">
        <v>343</v>
      </c>
      <c r="E517" s="674" t="s">
        <v>344</v>
      </c>
      <c r="F517" s="674" t="s">
        <v>482</v>
      </c>
      <c r="G517" s="674" t="s">
        <v>483</v>
      </c>
      <c r="H517" s="674" t="s">
        <v>170</v>
      </c>
      <c r="I517" s="674" t="s">
        <v>171</v>
      </c>
    </row>
    <row r="518" spans="1:9">
      <c r="A518" s="232" t="s">
        <v>3960</v>
      </c>
      <c r="B518" s="41" t="s">
        <v>3961</v>
      </c>
      <c r="C518" s="232">
        <v>1</v>
      </c>
      <c r="D518" s="232" t="s">
        <v>363</v>
      </c>
      <c r="E518" s="674">
        <f>1923000*1.19</f>
        <v>2288370</v>
      </c>
      <c r="F518" s="674"/>
      <c r="G518" s="674">
        <f>+E518*C518</f>
        <v>2288370</v>
      </c>
      <c r="H518" s="674"/>
      <c r="I518" s="674"/>
    </row>
    <row r="519" spans="1:9">
      <c r="A519" s="471" t="s">
        <v>584</v>
      </c>
      <c r="B519" s="41" t="s">
        <v>134</v>
      </c>
      <c r="C519" s="346">
        <v>0.1</v>
      </c>
      <c r="D519" s="160" t="s">
        <v>583</v>
      </c>
      <c r="E519" s="350">
        <f>+VIAJE</f>
        <v>1200000</v>
      </c>
      <c r="F519" s="674"/>
      <c r="G519" s="674"/>
      <c r="H519" s="674"/>
      <c r="I519" s="674">
        <f>+E519*C519</f>
        <v>120000</v>
      </c>
    </row>
    <row r="520" spans="1:9">
      <c r="A520" s="20" t="s">
        <v>190</v>
      </c>
      <c r="B520" s="39">
        <f>SUM(F520:I520)</f>
        <v>2408370</v>
      </c>
      <c r="C520" s="34"/>
      <c r="D520" s="232"/>
      <c r="E520" s="674"/>
      <c r="F520" s="674">
        <f>SUM(F518:F519)</f>
        <v>0</v>
      </c>
      <c r="G520" s="674">
        <f>SUM(G518:G519)</f>
        <v>2288370</v>
      </c>
      <c r="H520" s="674">
        <f>SUM(H518:H519)</f>
        <v>0</v>
      </c>
      <c r="I520" s="674">
        <f>SUM(I518:I519)</f>
        <v>120000</v>
      </c>
    </row>
    <row r="521" spans="1:9">
      <c r="A521" s="20" t="s">
        <v>191</v>
      </c>
      <c r="B521" s="39">
        <f>+B520</f>
        <v>2408370</v>
      </c>
      <c r="C521" s="21" t="s">
        <v>363</v>
      </c>
      <c r="D521" s="178"/>
      <c r="E521" s="377"/>
      <c r="F521" s="377"/>
      <c r="G521" s="377"/>
      <c r="H521" s="377"/>
      <c r="I521" s="377"/>
    </row>
    <row r="522" spans="1:9">
      <c r="C522" s="178"/>
      <c r="D522" s="178"/>
      <c r="E522" s="377"/>
      <c r="F522" s="377"/>
      <c r="G522" s="377"/>
      <c r="H522" s="377"/>
      <c r="I522" s="377"/>
    </row>
    <row r="523" spans="1:9">
      <c r="A523" s="594" t="s">
        <v>8623</v>
      </c>
      <c r="B523" s="3912" t="s">
        <v>3962</v>
      </c>
      <c r="C523" s="3912"/>
      <c r="D523" s="3912"/>
      <c r="E523" s="3912"/>
      <c r="F523" s="3912"/>
      <c r="G523" s="3912"/>
      <c r="H523" s="3912"/>
      <c r="I523" s="3912"/>
    </row>
    <row r="524" spans="1:9">
      <c r="A524" s="232"/>
      <c r="B524" s="725"/>
      <c r="C524" s="243" t="s">
        <v>140</v>
      </c>
      <c r="D524" s="243" t="s">
        <v>343</v>
      </c>
      <c r="E524" s="674" t="s">
        <v>344</v>
      </c>
      <c r="F524" s="674" t="s">
        <v>482</v>
      </c>
      <c r="G524" s="674" t="s">
        <v>483</v>
      </c>
      <c r="H524" s="674" t="s">
        <v>170</v>
      </c>
      <c r="I524" s="674" t="s">
        <v>171</v>
      </c>
    </row>
    <row r="525" spans="1:9">
      <c r="A525" s="232" t="s">
        <v>3963</v>
      </c>
      <c r="B525" s="41" t="s">
        <v>3964</v>
      </c>
      <c r="C525" s="232" t="s">
        <v>622</v>
      </c>
      <c r="D525" s="232" t="s">
        <v>363</v>
      </c>
      <c r="E525" s="674">
        <f>356297*1.16</f>
        <v>413304.51999999996</v>
      </c>
      <c r="F525" s="674"/>
      <c r="G525" s="674">
        <f>+E525*C525</f>
        <v>413304.51999999996</v>
      </c>
      <c r="H525" s="674"/>
      <c r="I525" s="674"/>
    </row>
    <row r="526" spans="1:9">
      <c r="A526" s="232" t="s">
        <v>3958</v>
      </c>
      <c r="B526" s="41" t="s">
        <v>342</v>
      </c>
      <c r="C526" s="232">
        <v>1</v>
      </c>
      <c r="D526" s="232" t="s">
        <v>583</v>
      </c>
      <c r="E526" s="674">
        <v>100000</v>
      </c>
      <c r="F526" s="674"/>
      <c r="G526" s="674"/>
      <c r="H526" s="674">
        <f>+E526*C526</f>
        <v>100000</v>
      </c>
      <c r="I526" s="674"/>
    </row>
    <row r="527" spans="1:9">
      <c r="A527" s="232" t="s">
        <v>172</v>
      </c>
      <c r="B527" s="41" t="s">
        <v>189</v>
      </c>
      <c r="C527" s="232">
        <v>1</v>
      </c>
      <c r="D527" s="232" t="s">
        <v>583</v>
      </c>
      <c r="E527" s="674">
        <f>+H528*0.05</f>
        <v>5000</v>
      </c>
      <c r="F527" s="674"/>
      <c r="G527" s="674"/>
      <c r="H527" s="674"/>
      <c r="I527" s="674">
        <f>+E527*C527</f>
        <v>5000</v>
      </c>
    </row>
    <row r="528" spans="1:9">
      <c r="A528" s="587" t="s">
        <v>190</v>
      </c>
      <c r="B528" s="588">
        <f>SUM(F528:I528)</f>
        <v>518304.51999999996</v>
      </c>
      <c r="C528" s="160"/>
      <c r="D528" s="232"/>
      <c r="E528" s="674"/>
      <c r="F528" s="674"/>
      <c r="G528" s="674">
        <f>SUM(G525:G527)</f>
        <v>413304.51999999996</v>
      </c>
      <c r="H528" s="674">
        <f>SUM(H525:H527)</f>
        <v>100000</v>
      </c>
      <c r="I528" s="674">
        <f>SUM(I525:I527)</f>
        <v>5000</v>
      </c>
    </row>
    <row r="529" spans="1:9">
      <c r="A529" s="587" t="s">
        <v>191</v>
      </c>
      <c r="B529" s="588">
        <f>+B528</f>
        <v>518304.51999999996</v>
      </c>
      <c r="C529" s="688" t="s">
        <v>363</v>
      </c>
      <c r="D529" s="721"/>
      <c r="E529" s="673"/>
      <c r="F529" s="673"/>
      <c r="G529" s="673"/>
      <c r="H529" s="673"/>
      <c r="I529" s="673"/>
    </row>
    <row r="530" spans="1:9">
      <c r="D530" s="492"/>
      <c r="E530" s="726"/>
      <c r="F530" s="726"/>
      <c r="G530" s="726"/>
      <c r="H530" s="726"/>
      <c r="I530" s="726"/>
    </row>
    <row r="531" spans="1:9">
      <c r="A531" s="724" t="s">
        <v>8622</v>
      </c>
      <c r="B531" s="3899" t="s">
        <v>3965</v>
      </c>
      <c r="C531" s="3899"/>
      <c r="D531" s="3899"/>
      <c r="E531" s="3899"/>
      <c r="F531" s="3899"/>
      <c r="G531" s="3899"/>
      <c r="H531" s="3899"/>
      <c r="I531" s="3899"/>
    </row>
    <row r="532" spans="1:9">
      <c r="A532" s="232"/>
      <c r="B532" s="725"/>
      <c r="C532" s="243" t="s">
        <v>140</v>
      </c>
      <c r="D532" s="243" t="s">
        <v>343</v>
      </c>
      <c r="E532" s="674" t="s">
        <v>344</v>
      </c>
      <c r="F532" s="674" t="s">
        <v>482</v>
      </c>
      <c r="G532" s="674" t="s">
        <v>483</v>
      </c>
      <c r="H532" s="674" t="s">
        <v>170</v>
      </c>
      <c r="I532" s="674" t="s">
        <v>171</v>
      </c>
    </row>
    <row r="533" spans="1:9">
      <c r="A533" s="232" t="s">
        <v>3966</v>
      </c>
      <c r="B533" s="41" t="s">
        <v>3967</v>
      </c>
      <c r="C533" s="232">
        <v>40</v>
      </c>
      <c r="D533" s="232" t="s">
        <v>94</v>
      </c>
      <c r="E533" s="674">
        <f>+(2766)</f>
        <v>2766</v>
      </c>
      <c r="F533" s="674"/>
      <c r="G533" s="674">
        <f>+E533*C533</f>
        <v>110640</v>
      </c>
      <c r="H533" s="674"/>
      <c r="I533" s="674"/>
    </row>
    <row r="534" spans="1:9">
      <c r="A534" s="232" t="s">
        <v>3968</v>
      </c>
      <c r="B534" s="41" t="s">
        <v>3969</v>
      </c>
      <c r="C534" s="232">
        <v>1</v>
      </c>
      <c r="D534" s="232" t="s">
        <v>94</v>
      </c>
      <c r="E534" s="674">
        <f>+(157284*1.16)</f>
        <v>182449.43999999997</v>
      </c>
      <c r="F534" s="674"/>
      <c r="G534" s="674">
        <f>+E534*C534</f>
        <v>182449.43999999997</v>
      </c>
      <c r="H534" s="674"/>
      <c r="I534" s="674"/>
    </row>
    <row r="535" spans="1:9">
      <c r="A535" s="232" t="s">
        <v>464</v>
      </c>
      <c r="B535" s="41" t="s">
        <v>582</v>
      </c>
      <c r="C535" s="232">
        <v>15</v>
      </c>
      <c r="D535" s="232" t="s">
        <v>583</v>
      </c>
      <c r="E535" s="674">
        <f>+TRANS</f>
        <v>1350</v>
      </c>
      <c r="F535" s="674"/>
      <c r="G535" s="674"/>
      <c r="H535" s="674"/>
      <c r="I535" s="674">
        <f>+E535*C535</f>
        <v>20250</v>
      </c>
    </row>
    <row r="536" spans="1:9">
      <c r="A536" s="587" t="s">
        <v>190</v>
      </c>
      <c r="B536" s="588">
        <f>SUM(F536:I536)</f>
        <v>313339.43999999994</v>
      </c>
      <c r="C536" s="160"/>
      <c r="D536" s="232"/>
      <c r="E536" s="674"/>
      <c r="F536" s="674"/>
      <c r="G536" s="674">
        <f>SUM(G533:G535)</f>
        <v>293089.43999999994</v>
      </c>
      <c r="H536" s="674">
        <f>SUM(H533:H535)</f>
        <v>0</v>
      </c>
      <c r="I536" s="674">
        <f>SUM(I533:I535)</f>
        <v>20250</v>
      </c>
    </row>
    <row r="537" spans="1:9">
      <c r="A537" s="587" t="s">
        <v>191</v>
      </c>
      <c r="B537" s="588">
        <f>+B536</f>
        <v>313339.43999999994</v>
      </c>
      <c r="C537" s="688" t="s">
        <v>363</v>
      </c>
      <c r="D537" s="721"/>
      <c r="E537" s="673"/>
      <c r="F537" s="673"/>
      <c r="G537" s="673"/>
      <c r="H537" s="673"/>
      <c r="I537" s="673"/>
    </row>
    <row r="538" spans="1:9">
      <c r="D538" s="492"/>
      <c r="E538" s="726"/>
      <c r="F538" s="726"/>
      <c r="G538" s="726"/>
      <c r="H538" s="726"/>
      <c r="I538" s="726"/>
    </row>
    <row r="539" spans="1:9">
      <c r="A539" s="724" t="s">
        <v>8624</v>
      </c>
      <c r="B539" s="3873" t="s">
        <v>3970</v>
      </c>
      <c r="C539" s="3873"/>
      <c r="D539" s="3873"/>
      <c r="E539" s="3873"/>
      <c r="F539" s="3873"/>
      <c r="G539" s="3873"/>
      <c r="H539" s="3873"/>
      <c r="I539" s="3873"/>
    </row>
    <row r="540" spans="1:9">
      <c r="A540" s="243"/>
      <c r="B540" s="696"/>
      <c r="C540" s="243" t="s">
        <v>140</v>
      </c>
      <c r="D540" s="243" t="s">
        <v>343</v>
      </c>
      <c r="E540" s="674" t="s">
        <v>344</v>
      </c>
      <c r="F540" s="674" t="s">
        <v>482</v>
      </c>
      <c r="G540" s="674" t="s">
        <v>483</v>
      </c>
      <c r="H540" s="674" t="s">
        <v>170</v>
      </c>
      <c r="I540" s="674" t="s">
        <v>171</v>
      </c>
    </row>
    <row r="541" spans="1:9">
      <c r="A541" s="243" t="s">
        <v>3971</v>
      </c>
      <c r="B541" s="696" t="s">
        <v>3972</v>
      </c>
      <c r="C541" s="370">
        <v>1</v>
      </c>
      <c r="D541" s="243" t="s">
        <v>363</v>
      </c>
      <c r="E541" s="674">
        <v>4530000</v>
      </c>
      <c r="F541" s="674"/>
      <c r="G541" s="674">
        <f>+E541*C541</f>
        <v>4530000</v>
      </c>
      <c r="H541" s="674"/>
      <c r="I541" s="674"/>
    </row>
    <row r="542" spans="1:9">
      <c r="A542" s="243" t="s">
        <v>584</v>
      </c>
      <c r="B542" s="696" t="s">
        <v>134</v>
      </c>
      <c r="C542" s="346">
        <v>0.1</v>
      </c>
      <c r="D542" s="160" t="s">
        <v>583</v>
      </c>
      <c r="E542" s="674">
        <f>+VIAJE</f>
        <v>1200000</v>
      </c>
      <c r="F542" s="674"/>
      <c r="G542" s="674"/>
      <c r="H542" s="674"/>
      <c r="I542" s="674">
        <f>+E542*C542</f>
        <v>120000</v>
      </c>
    </row>
    <row r="543" spans="1:9">
      <c r="A543" s="20" t="s">
        <v>190</v>
      </c>
      <c r="B543" s="39">
        <f>SUM(F543:I543)</f>
        <v>4650000</v>
      </c>
      <c r="C543" s="34"/>
      <c r="D543" s="243"/>
      <c r="E543" s="674"/>
      <c r="F543" s="674">
        <f>+F541</f>
        <v>0</v>
      </c>
      <c r="G543" s="674">
        <f>+G541</f>
        <v>4530000</v>
      </c>
      <c r="H543" s="674">
        <f>+H541</f>
        <v>0</v>
      </c>
      <c r="I543" s="674">
        <f>+SUM(I541:I542)</f>
        <v>120000</v>
      </c>
    </row>
    <row r="544" spans="1:9">
      <c r="A544" s="20" t="s">
        <v>191</v>
      </c>
      <c r="B544" s="39">
        <f>+B543</f>
        <v>4650000</v>
      </c>
      <c r="C544" s="21" t="s">
        <v>363</v>
      </c>
      <c r="D544" s="178"/>
      <c r="E544" s="377"/>
      <c r="F544" s="377"/>
      <c r="G544" s="377"/>
      <c r="H544" s="377"/>
      <c r="I544" s="377"/>
    </row>
    <row r="545" spans="1:9">
      <c r="B545" s="727"/>
      <c r="C545" s="728"/>
      <c r="D545" s="492"/>
      <c r="E545" s="726"/>
      <c r="F545" s="726"/>
      <c r="G545" s="726"/>
      <c r="H545" s="726"/>
      <c r="I545" s="726"/>
    </row>
    <row r="546" spans="1:9">
      <c r="A546" s="724" t="s">
        <v>8625</v>
      </c>
      <c r="B546" s="3873" t="s">
        <v>3973</v>
      </c>
      <c r="C546" s="3873"/>
      <c r="D546" s="3873"/>
      <c r="E546" s="3873"/>
      <c r="F546" s="3873"/>
      <c r="G546" s="3873"/>
      <c r="H546" s="3873"/>
      <c r="I546" s="3873"/>
    </row>
    <row r="547" spans="1:9">
      <c r="A547" s="243"/>
      <c r="B547" s="696"/>
      <c r="C547" s="243" t="s">
        <v>140</v>
      </c>
      <c r="D547" s="243" t="s">
        <v>343</v>
      </c>
      <c r="E547" s="674" t="s">
        <v>344</v>
      </c>
      <c r="F547" s="674" t="s">
        <v>482</v>
      </c>
      <c r="G547" s="674" t="s">
        <v>483</v>
      </c>
      <c r="H547" s="674" t="s">
        <v>170</v>
      </c>
      <c r="I547" s="674" t="s">
        <v>171</v>
      </c>
    </row>
    <row r="548" spans="1:9">
      <c r="A548" s="243" t="s">
        <v>3971</v>
      </c>
      <c r="B548" s="696" t="s">
        <v>3974</v>
      </c>
      <c r="C548" s="370">
        <v>1</v>
      </c>
      <c r="D548" s="243" t="s">
        <v>363</v>
      </c>
      <c r="E548" s="674">
        <v>991000</v>
      </c>
      <c r="F548" s="674"/>
      <c r="G548" s="674">
        <f>+E548*C548</f>
        <v>991000</v>
      </c>
      <c r="H548" s="674"/>
      <c r="I548" s="674"/>
    </row>
    <row r="549" spans="1:9">
      <c r="A549" s="243" t="s">
        <v>584</v>
      </c>
      <c r="B549" s="696" t="s">
        <v>134</v>
      </c>
      <c r="C549" s="346">
        <v>0.1</v>
      </c>
      <c r="D549" s="160" t="s">
        <v>583</v>
      </c>
      <c r="E549" s="674">
        <f>+VIAJE</f>
        <v>1200000</v>
      </c>
      <c r="F549" s="674"/>
      <c r="G549" s="674"/>
      <c r="H549" s="674"/>
      <c r="I549" s="674">
        <f>+E549*C549</f>
        <v>120000</v>
      </c>
    </row>
    <row r="550" spans="1:9">
      <c r="A550" s="20" t="s">
        <v>190</v>
      </c>
      <c r="B550" s="39">
        <f>SUM(F550:I550)</f>
        <v>1111000</v>
      </c>
      <c r="C550" s="34"/>
      <c r="D550" s="243"/>
      <c r="E550" s="674"/>
      <c r="F550" s="674">
        <f>+F548</f>
        <v>0</v>
      </c>
      <c r="G550" s="674">
        <f>+G548</f>
        <v>991000</v>
      </c>
      <c r="H550" s="674">
        <f>+H548</f>
        <v>0</v>
      </c>
      <c r="I550" s="674">
        <f>+SUM(I548:I549)</f>
        <v>120000</v>
      </c>
    </row>
    <row r="551" spans="1:9">
      <c r="A551" s="20" t="s">
        <v>191</v>
      </c>
      <c r="B551" s="39">
        <f>+B550</f>
        <v>1111000</v>
      </c>
      <c r="C551" s="21" t="s">
        <v>363</v>
      </c>
      <c r="D551" s="178"/>
      <c r="E551" s="377"/>
      <c r="F551" s="377"/>
      <c r="G551" s="377"/>
      <c r="H551" s="377"/>
      <c r="I551" s="377"/>
    </row>
    <row r="552" spans="1:9">
      <c r="D552" s="492"/>
      <c r="E552" s="726"/>
      <c r="F552" s="726"/>
      <c r="G552" s="726"/>
      <c r="H552" s="726"/>
      <c r="I552" s="726"/>
    </row>
    <row r="553" spans="1:9">
      <c r="A553" s="724" t="s">
        <v>8626</v>
      </c>
      <c r="B553" s="3873" t="s">
        <v>3975</v>
      </c>
      <c r="C553" s="3873"/>
      <c r="D553" s="3873"/>
      <c r="E553" s="3873"/>
      <c r="F553" s="3873"/>
      <c r="G553" s="3873"/>
      <c r="H553" s="3873"/>
      <c r="I553" s="3873"/>
    </row>
    <row r="554" spans="1:9">
      <c r="A554" s="243"/>
      <c r="B554" s="696"/>
      <c r="C554" s="243"/>
      <c r="D554" s="243"/>
      <c r="E554" s="674"/>
      <c r="F554" s="674" t="s">
        <v>482</v>
      </c>
      <c r="G554" s="674" t="s">
        <v>483</v>
      </c>
      <c r="H554" s="674" t="s">
        <v>170</v>
      </c>
      <c r="I554" s="674" t="s">
        <v>171</v>
      </c>
    </row>
    <row r="555" spans="1:9">
      <c r="A555" s="243" t="s">
        <v>3976</v>
      </c>
      <c r="B555" s="696" t="s">
        <v>3977</v>
      </c>
      <c r="C555" s="370" t="s">
        <v>622</v>
      </c>
      <c r="D555" s="243" t="s">
        <v>363</v>
      </c>
      <c r="E555" s="674">
        <v>950000</v>
      </c>
      <c r="F555" s="674"/>
      <c r="G555" s="674">
        <f>+E555*C555</f>
        <v>950000</v>
      </c>
      <c r="H555" s="674"/>
      <c r="I555" s="674"/>
    </row>
    <row r="556" spans="1:9">
      <c r="A556" s="243" t="s">
        <v>584</v>
      </c>
      <c r="B556" s="696" t="s">
        <v>1064</v>
      </c>
      <c r="C556" s="346">
        <v>0.1</v>
      </c>
      <c r="D556" s="243" t="s">
        <v>363</v>
      </c>
      <c r="E556" s="674">
        <f>+VIAJE</f>
        <v>1200000</v>
      </c>
      <c r="F556" s="674"/>
      <c r="G556" s="674"/>
      <c r="H556" s="674"/>
      <c r="I556" s="674">
        <f>+E556*C556</f>
        <v>120000</v>
      </c>
    </row>
    <row r="557" spans="1:9">
      <c r="A557" s="20" t="s">
        <v>190</v>
      </c>
      <c r="B557" s="39">
        <f>SUM(F557:I557)</f>
        <v>1070000</v>
      </c>
      <c r="C557" s="370"/>
      <c r="D557" s="243"/>
      <c r="E557" s="674"/>
      <c r="F557" s="674">
        <f>+SUM(F555:F556)</f>
        <v>0</v>
      </c>
      <c r="G557" s="674">
        <f>+SUM(G555:G556)</f>
        <v>950000</v>
      </c>
      <c r="H557" s="674">
        <f>+SUM(H555:H556)</f>
        <v>0</v>
      </c>
      <c r="I557" s="674">
        <f>+SUM(I555:I556)</f>
        <v>120000</v>
      </c>
    </row>
    <row r="558" spans="1:9">
      <c r="A558" s="20" t="s">
        <v>191</v>
      </c>
      <c r="B558" s="39">
        <f>+B557</f>
        <v>1070000</v>
      </c>
      <c r="C558" s="21" t="s">
        <v>363</v>
      </c>
      <c r="D558" s="178"/>
      <c r="E558" s="377"/>
      <c r="F558" s="377"/>
      <c r="G558" s="377"/>
      <c r="H558" s="377"/>
      <c r="I558" s="377"/>
    </row>
    <row r="559" spans="1:9">
      <c r="C559" s="178"/>
      <c r="D559" s="178"/>
      <c r="E559" s="377"/>
      <c r="F559" s="377"/>
      <c r="G559" s="377"/>
      <c r="H559" s="377"/>
      <c r="I559" s="377"/>
    </row>
    <row r="560" spans="1:9">
      <c r="A560" s="594" t="s">
        <v>8627</v>
      </c>
      <c r="B560" s="3871" t="s">
        <v>3978</v>
      </c>
      <c r="C560" s="3871"/>
      <c r="D560" s="3871"/>
      <c r="E560" s="3871"/>
      <c r="F560" s="3871"/>
      <c r="G560" s="3871"/>
      <c r="H560" s="3871"/>
      <c r="I560" s="3871"/>
    </row>
    <row r="561" spans="1:9">
      <c r="A561" s="243"/>
      <c r="B561" s="696"/>
      <c r="C561" s="243"/>
      <c r="D561" s="243"/>
      <c r="E561" s="674"/>
      <c r="F561" s="674" t="s">
        <v>482</v>
      </c>
      <c r="G561" s="674" t="s">
        <v>483</v>
      </c>
      <c r="H561" s="674" t="s">
        <v>170</v>
      </c>
      <c r="I561" s="674" t="s">
        <v>171</v>
      </c>
    </row>
    <row r="562" spans="1:9">
      <c r="A562" s="243" t="s">
        <v>345</v>
      </c>
      <c r="B562" s="696" t="s">
        <v>3886</v>
      </c>
      <c r="C562" s="346">
        <v>0.01</v>
      </c>
      <c r="D562" s="243" t="s">
        <v>346</v>
      </c>
      <c r="E562" s="674">
        <f>+OFICI</f>
        <v>80479.625344</v>
      </c>
      <c r="F562" s="674"/>
      <c r="G562" s="674"/>
      <c r="H562" s="674">
        <f>+E562*C562</f>
        <v>804.79625343999999</v>
      </c>
      <c r="I562" s="674"/>
    </row>
    <row r="563" spans="1:9">
      <c r="A563" s="243" t="s">
        <v>347</v>
      </c>
      <c r="B563" s="696" t="s">
        <v>3891</v>
      </c>
      <c r="C563" s="346">
        <v>0.01</v>
      </c>
      <c r="D563" s="243" t="s">
        <v>346</v>
      </c>
      <c r="E563" s="674">
        <f>+AYUDA</f>
        <v>65389.695592000004</v>
      </c>
      <c r="F563" s="674"/>
      <c r="G563" s="674"/>
      <c r="H563" s="674">
        <f>+E563*C563</f>
        <v>653.8969559200001</v>
      </c>
      <c r="I563" s="674"/>
    </row>
    <row r="564" spans="1:9">
      <c r="A564" s="243" t="s">
        <v>172</v>
      </c>
      <c r="B564" s="696" t="s">
        <v>189</v>
      </c>
      <c r="C564" s="346">
        <v>1</v>
      </c>
      <c r="D564" s="243" t="s">
        <v>583</v>
      </c>
      <c r="E564" s="674">
        <f>+H566*0.05</f>
        <v>72.934660468000004</v>
      </c>
      <c r="F564" s="674"/>
      <c r="G564" s="674"/>
      <c r="H564" s="674"/>
      <c r="I564" s="674">
        <f>+E564*C564</f>
        <v>72.934660468000004</v>
      </c>
    </row>
    <row r="565" spans="1:9">
      <c r="A565" s="243" t="s">
        <v>375</v>
      </c>
      <c r="B565" s="696" t="s">
        <v>43</v>
      </c>
      <c r="C565" s="346">
        <v>0.1</v>
      </c>
      <c r="D565" s="243" t="s">
        <v>44</v>
      </c>
      <c r="E565" s="674">
        <f>+LUPVC</f>
        <v>13275</v>
      </c>
      <c r="F565" s="674"/>
      <c r="G565" s="674"/>
      <c r="H565" s="674"/>
      <c r="I565" s="674">
        <f>+E565*C565</f>
        <v>1327.5</v>
      </c>
    </row>
    <row r="566" spans="1:9">
      <c r="A566" s="587" t="s">
        <v>190</v>
      </c>
      <c r="B566" s="588">
        <f>SUM(F566:I566)</f>
        <v>2859.1278698280003</v>
      </c>
      <c r="C566" s="160"/>
      <c r="D566" s="243"/>
      <c r="E566" s="674"/>
      <c r="F566" s="674">
        <f>+SUM(F562:F565)</f>
        <v>0</v>
      </c>
      <c r="G566" s="674">
        <f>+SUM(G562:G565)</f>
        <v>0</v>
      </c>
      <c r="H566" s="674">
        <f>+SUM(H562:H565)</f>
        <v>1458.6932093600001</v>
      </c>
      <c r="I566" s="674">
        <f>+SUM(I562:I565)</f>
        <v>1400.4346604679999</v>
      </c>
    </row>
    <row r="567" spans="1:9">
      <c r="A567" s="587" t="s">
        <v>191</v>
      </c>
      <c r="B567" s="588">
        <f>+B566</f>
        <v>2859.1278698280003</v>
      </c>
      <c r="C567" s="688" t="s">
        <v>45</v>
      </c>
      <c r="D567" s="178"/>
      <c r="E567" s="377"/>
      <c r="F567" s="377"/>
      <c r="G567" s="377"/>
      <c r="H567" s="377"/>
      <c r="I567" s="377"/>
    </row>
    <row r="568" spans="1:9">
      <c r="C568" s="178"/>
      <c r="D568" s="178"/>
      <c r="E568" s="377"/>
      <c r="F568" s="377"/>
      <c r="G568" s="377"/>
      <c r="H568" s="377"/>
      <c r="I568" s="377"/>
    </row>
    <row r="569" spans="1:9">
      <c r="A569" s="724" t="s">
        <v>8628</v>
      </c>
      <c r="B569" s="3873" t="s">
        <v>3979</v>
      </c>
      <c r="C569" s="3873"/>
      <c r="D569" s="3873"/>
      <c r="E569" s="3873"/>
      <c r="F569" s="3873"/>
      <c r="G569" s="3873"/>
      <c r="H569" s="3873"/>
      <c r="I569" s="3873"/>
    </row>
    <row r="570" spans="1:9">
      <c r="A570" s="243"/>
      <c r="B570" s="696"/>
      <c r="C570" s="243"/>
      <c r="D570" s="243"/>
      <c r="E570" s="674"/>
      <c r="F570" s="674" t="s">
        <v>482</v>
      </c>
      <c r="G570" s="674" t="s">
        <v>483</v>
      </c>
      <c r="H570" s="674" t="s">
        <v>170</v>
      </c>
      <c r="I570" s="674" t="s">
        <v>171</v>
      </c>
    </row>
    <row r="571" spans="1:9">
      <c r="A571" s="243" t="s">
        <v>68</v>
      </c>
      <c r="B571" s="696" t="s">
        <v>3980</v>
      </c>
      <c r="C571" s="346">
        <v>1</v>
      </c>
      <c r="D571" s="243" t="s">
        <v>45</v>
      </c>
      <c r="E571" s="674">
        <f>+TPVCP1</f>
        <v>3049.1063999999997</v>
      </c>
      <c r="F571" s="674"/>
      <c r="G571" s="674">
        <f>+E571*C571</f>
        <v>3049.1063999999997</v>
      </c>
      <c r="H571" s="674"/>
      <c r="I571" s="674"/>
    </row>
    <row r="572" spans="1:9">
      <c r="A572" s="243" t="s">
        <v>464</v>
      </c>
      <c r="B572" s="696" t="s">
        <v>582</v>
      </c>
      <c r="C572" s="346">
        <v>1</v>
      </c>
      <c r="D572" s="243" t="s">
        <v>583</v>
      </c>
      <c r="E572" s="674">
        <f>+TRANS</f>
        <v>1350</v>
      </c>
      <c r="F572" s="674"/>
      <c r="G572" s="674"/>
      <c r="H572" s="674"/>
      <c r="I572" s="674">
        <f>+E572*C572</f>
        <v>1350</v>
      </c>
    </row>
    <row r="573" spans="1:9">
      <c r="A573" s="587" t="s">
        <v>190</v>
      </c>
      <c r="B573" s="588">
        <f>SUM(F573:I573)</f>
        <v>4399.1063999999997</v>
      </c>
      <c r="C573" s="160"/>
      <c r="D573" s="243"/>
      <c r="E573" s="674"/>
      <c r="F573" s="674">
        <f>+SUM(F571:F572)</f>
        <v>0</v>
      </c>
      <c r="G573" s="674">
        <f>+SUM(G571:G572)</f>
        <v>3049.1063999999997</v>
      </c>
      <c r="H573" s="674">
        <f>+SUM(H571:H572)</f>
        <v>0</v>
      </c>
      <c r="I573" s="674">
        <f>+SUM(I571:I572)</f>
        <v>1350</v>
      </c>
    </row>
    <row r="574" spans="1:9">
      <c r="A574" s="587" t="s">
        <v>191</v>
      </c>
      <c r="B574" s="588">
        <f>+B573</f>
        <v>4399.1063999999997</v>
      </c>
      <c r="C574" s="688" t="s">
        <v>45</v>
      </c>
      <c r="D574" s="178"/>
      <c r="E574" s="377"/>
      <c r="F574" s="377"/>
      <c r="G574" s="377"/>
      <c r="H574" s="377"/>
      <c r="I574" s="377"/>
    </row>
    <row r="575" spans="1:9">
      <c r="C575" s="178"/>
      <c r="D575" s="178"/>
      <c r="E575" s="377"/>
      <c r="F575" s="377"/>
      <c r="G575" s="377"/>
      <c r="H575" s="377"/>
      <c r="I575" s="377"/>
    </row>
    <row r="576" spans="1:9">
      <c r="A576" s="594" t="s">
        <v>8629</v>
      </c>
      <c r="B576" s="3880" t="s">
        <v>3981</v>
      </c>
      <c r="C576" s="3881"/>
      <c r="D576" s="3881"/>
      <c r="E576" s="3881"/>
      <c r="F576" s="3881"/>
      <c r="G576" s="3881"/>
      <c r="H576" s="3881"/>
      <c r="I576" s="3882"/>
    </row>
    <row r="577" spans="1:9">
      <c r="A577" s="470"/>
      <c r="B577" s="696"/>
      <c r="C577" s="243" t="s">
        <v>140</v>
      </c>
      <c r="D577" s="243" t="s">
        <v>343</v>
      </c>
      <c r="E577" s="674" t="s">
        <v>344</v>
      </c>
      <c r="F577" s="674" t="s">
        <v>482</v>
      </c>
      <c r="G577" s="674" t="s">
        <v>483</v>
      </c>
      <c r="H577" s="674" t="s">
        <v>170</v>
      </c>
      <c r="I577" s="674" t="s">
        <v>171</v>
      </c>
    </row>
    <row r="578" spans="1:9">
      <c r="A578" s="471" t="s">
        <v>345</v>
      </c>
      <c r="B578" s="41" t="s">
        <v>3886</v>
      </c>
      <c r="C578" s="346">
        <v>5.0000000000000001E-3</v>
      </c>
      <c r="D578" s="160" t="s">
        <v>346</v>
      </c>
      <c r="E578" s="32">
        <f>+OFICI</f>
        <v>80479.625344</v>
      </c>
      <c r="F578" s="32"/>
      <c r="G578" s="32"/>
      <c r="H578" s="32">
        <f>+E578*C578</f>
        <v>402.39812671999999</v>
      </c>
      <c r="I578" s="32"/>
    </row>
    <row r="579" spans="1:9">
      <c r="A579" s="471" t="s">
        <v>347</v>
      </c>
      <c r="B579" s="41" t="s">
        <v>3891</v>
      </c>
      <c r="C579" s="346">
        <v>5.0000000000000001E-3</v>
      </c>
      <c r="D579" s="160" t="s">
        <v>346</v>
      </c>
      <c r="E579" s="32">
        <f>+AYUDA</f>
        <v>65389.695592000004</v>
      </c>
      <c r="F579" s="32"/>
      <c r="G579" s="32"/>
      <c r="H579" s="32">
        <f>+E579*C579</f>
        <v>326.94847796000005</v>
      </c>
      <c r="I579" s="32"/>
    </row>
    <row r="580" spans="1:9">
      <c r="A580" s="471" t="s">
        <v>172</v>
      </c>
      <c r="B580" s="41" t="s">
        <v>189</v>
      </c>
      <c r="C580" s="346">
        <v>1</v>
      </c>
      <c r="D580" s="160" t="s">
        <v>583</v>
      </c>
      <c r="E580" s="32">
        <f>+H581*0.05</f>
        <v>36.467330234000002</v>
      </c>
      <c r="F580" s="32"/>
      <c r="G580" s="32"/>
      <c r="H580" s="32"/>
      <c r="I580" s="32">
        <f>+E580*C580</f>
        <v>36.467330234000002</v>
      </c>
    </row>
    <row r="581" spans="1:9">
      <c r="A581" s="587" t="s">
        <v>190</v>
      </c>
      <c r="B581" s="588">
        <f>SUM(F581:I581)</f>
        <v>765.81393491400001</v>
      </c>
      <c r="C581" s="160"/>
      <c r="D581" s="169"/>
      <c r="E581" s="32"/>
      <c r="F581" s="32">
        <f>SUM(F578:F580)</f>
        <v>0</v>
      </c>
      <c r="G581" s="32">
        <f>SUM(G578:G580)</f>
        <v>0</v>
      </c>
      <c r="H581" s="32">
        <f>SUM(H578:H580)</f>
        <v>729.34660468000004</v>
      </c>
      <c r="I581" s="32">
        <f>SUM(I578:I580)</f>
        <v>36.467330234000002</v>
      </c>
    </row>
    <row r="582" spans="1:9">
      <c r="A582" s="587" t="s">
        <v>191</v>
      </c>
      <c r="B582" s="588">
        <f>+B581</f>
        <v>765.81393491400001</v>
      </c>
      <c r="C582" s="688" t="s">
        <v>363</v>
      </c>
      <c r="D582" s="13"/>
      <c r="E582" s="673"/>
      <c r="F582" s="673"/>
      <c r="G582" s="673"/>
      <c r="H582" s="673"/>
      <c r="I582" s="673"/>
    </row>
    <row r="583" spans="1:9">
      <c r="A583" s="596"/>
      <c r="B583" s="717"/>
      <c r="C583" s="596"/>
      <c r="D583" s="596"/>
      <c r="E583" s="729"/>
      <c r="F583" s="729"/>
      <c r="G583" s="729"/>
      <c r="H583" s="729"/>
      <c r="I583" s="729"/>
    </row>
    <row r="584" spans="1:9">
      <c r="A584" s="724" t="s">
        <v>8630</v>
      </c>
      <c r="B584" s="3877" t="s">
        <v>3982</v>
      </c>
      <c r="C584" s="3878"/>
      <c r="D584" s="3878"/>
      <c r="E584" s="3878"/>
      <c r="F584" s="3878"/>
      <c r="G584" s="3878"/>
      <c r="H584" s="3878"/>
      <c r="I584" s="3879"/>
    </row>
    <row r="585" spans="1:9">
      <c r="A585" s="470"/>
      <c r="B585" s="696"/>
      <c r="C585" s="243" t="s">
        <v>140</v>
      </c>
      <c r="D585" s="243" t="s">
        <v>343</v>
      </c>
      <c r="E585" s="674" t="s">
        <v>344</v>
      </c>
      <c r="F585" s="674" t="s">
        <v>482</v>
      </c>
      <c r="G585" s="674" t="s">
        <v>483</v>
      </c>
      <c r="H585" s="674" t="s">
        <v>170</v>
      </c>
      <c r="I585" s="674" t="s">
        <v>171</v>
      </c>
    </row>
    <row r="586" spans="1:9">
      <c r="A586" s="471" t="s">
        <v>3983</v>
      </c>
      <c r="B586" s="41" t="s">
        <v>3984</v>
      </c>
      <c r="C586" s="346">
        <v>1</v>
      </c>
      <c r="D586" s="160" t="s">
        <v>363</v>
      </c>
      <c r="E586" s="32">
        <v>1523</v>
      </c>
      <c r="F586" s="32"/>
      <c r="G586" s="32">
        <f>+E586*C586</f>
        <v>1523</v>
      </c>
      <c r="H586" s="32"/>
      <c r="I586" s="32"/>
    </row>
    <row r="587" spans="1:9">
      <c r="A587" s="471" t="s">
        <v>584</v>
      </c>
      <c r="B587" s="41" t="s">
        <v>134</v>
      </c>
      <c r="C587" s="346">
        <v>1E-4</v>
      </c>
      <c r="D587" s="160" t="s">
        <v>583</v>
      </c>
      <c r="E587" s="32">
        <f>+VIAJE</f>
        <v>1200000</v>
      </c>
      <c r="F587" s="32"/>
      <c r="G587" s="32"/>
      <c r="H587" s="32"/>
      <c r="I587" s="32">
        <f>+E587*C587</f>
        <v>120</v>
      </c>
    </row>
    <row r="588" spans="1:9">
      <c r="A588" s="587" t="s">
        <v>190</v>
      </c>
      <c r="B588" s="588">
        <f>SUM(F588:I588)</f>
        <v>1643</v>
      </c>
      <c r="C588" s="160"/>
      <c r="D588" s="169"/>
      <c r="E588" s="32"/>
      <c r="F588" s="32">
        <f>SUM(F586:F587)</f>
        <v>0</v>
      </c>
      <c r="G588" s="32">
        <f>SUM(G586:G587)</f>
        <v>1523</v>
      </c>
      <c r="H588" s="32">
        <f>SUM(H586:H587)</f>
        <v>0</v>
      </c>
      <c r="I588" s="32">
        <f>SUM(I586:I587)</f>
        <v>120</v>
      </c>
    </row>
    <row r="589" spans="1:9">
      <c r="A589" s="587" t="s">
        <v>191</v>
      </c>
      <c r="B589" s="588">
        <f>+B588</f>
        <v>1643</v>
      </c>
      <c r="C589" s="688" t="s">
        <v>363</v>
      </c>
      <c r="D589" s="13"/>
      <c r="E589" s="673"/>
      <c r="F589" s="673"/>
      <c r="G589" s="673"/>
      <c r="H589" s="673"/>
      <c r="I589" s="673"/>
    </row>
    <row r="590" spans="1:9">
      <c r="A590" s="596"/>
      <c r="B590" s="717"/>
      <c r="C590" s="596"/>
      <c r="D590" s="596"/>
      <c r="E590" s="729"/>
      <c r="F590" s="729"/>
      <c r="G590" s="729"/>
      <c r="H590" s="729"/>
      <c r="I590" s="729"/>
    </row>
    <row r="591" spans="1:9">
      <c r="A591" s="594" t="s">
        <v>8631</v>
      </c>
      <c r="B591" s="3880" t="s">
        <v>3985</v>
      </c>
      <c r="C591" s="3881"/>
      <c r="D591" s="3881"/>
      <c r="E591" s="3881"/>
      <c r="F591" s="3881"/>
      <c r="G591" s="3881"/>
      <c r="H591" s="3881"/>
      <c r="I591" s="3882"/>
    </row>
    <row r="592" spans="1:9">
      <c r="A592" s="470"/>
      <c r="B592" s="696"/>
      <c r="C592" s="243" t="s">
        <v>140</v>
      </c>
      <c r="D592" s="243" t="s">
        <v>343</v>
      </c>
      <c r="E592" s="674" t="s">
        <v>344</v>
      </c>
      <c r="F592" s="674" t="s">
        <v>482</v>
      </c>
      <c r="G592" s="674" t="s">
        <v>483</v>
      </c>
      <c r="H592" s="674" t="s">
        <v>170</v>
      </c>
      <c r="I592" s="674" t="s">
        <v>171</v>
      </c>
    </row>
    <row r="593" spans="1:9">
      <c r="A593" s="471" t="s">
        <v>345</v>
      </c>
      <c r="B593" s="41" t="s">
        <v>3886</v>
      </c>
      <c r="C593" s="346">
        <v>5.0000000000000001E-3</v>
      </c>
      <c r="D593" s="160" t="s">
        <v>346</v>
      </c>
      <c r="E593" s="32">
        <f>+OFICI</f>
        <v>80479.625344</v>
      </c>
      <c r="F593" s="32"/>
      <c r="G593" s="32"/>
      <c r="H593" s="32">
        <f>+E593*C593</f>
        <v>402.39812671999999</v>
      </c>
      <c r="I593" s="32"/>
    </row>
    <row r="594" spans="1:9">
      <c r="A594" s="471" t="s">
        <v>347</v>
      </c>
      <c r="B594" s="41" t="s">
        <v>3891</v>
      </c>
      <c r="C594" s="346">
        <v>5.0000000000000001E-3</v>
      </c>
      <c r="D594" s="160" t="s">
        <v>346</v>
      </c>
      <c r="E594" s="32">
        <f>+AYUDA</f>
        <v>65389.695592000004</v>
      </c>
      <c r="F594" s="32"/>
      <c r="G594" s="32"/>
      <c r="H594" s="32">
        <f>+E594*C594</f>
        <v>326.94847796000005</v>
      </c>
      <c r="I594" s="32"/>
    </row>
    <row r="595" spans="1:9">
      <c r="A595" s="471" t="s">
        <v>172</v>
      </c>
      <c r="B595" s="41" t="s">
        <v>189</v>
      </c>
      <c r="C595" s="346">
        <v>1</v>
      </c>
      <c r="D595" s="160" t="s">
        <v>583</v>
      </c>
      <c r="E595" s="32">
        <f>+H596*0.05</f>
        <v>36.467330234000002</v>
      </c>
      <c r="F595" s="32"/>
      <c r="G595" s="32"/>
      <c r="H595" s="32"/>
      <c r="I595" s="32">
        <f>+E595*C595</f>
        <v>36.467330234000002</v>
      </c>
    </row>
    <row r="596" spans="1:9">
      <c r="A596" s="587" t="s">
        <v>190</v>
      </c>
      <c r="B596" s="588">
        <f>SUM(F596:I596)</f>
        <v>765.81393491400001</v>
      </c>
      <c r="C596" s="160"/>
      <c r="D596" s="169"/>
      <c r="E596" s="32"/>
      <c r="F596" s="32">
        <f>SUM(F593:F595)</f>
        <v>0</v>
      </c>
      <c r="G596" s="32">
        <f>SUM(G593:G595)</f>
        <v>0</v>
      </c>
      <c r="H596" s="32">
        <f>SUM(H593:H595)</f>
        <v>729.34660468000004</v>
      </c>
      <c r="I596" s="32">
        <f>SUM(I593:I595)</f>
        <v>36.467330234000002</v>
      </c>
    </row>
    <row r="597" spans="1:9">
      <c r="A597" s="587" t="s">
        <v>191</v>
      </c>
      <c r="B597" s="588">
        <f>+B596</f>
        <v>765.81393491400001</v>
      </c>
      <c r="C597" s="688" t="s">
        <v>363</v>
      </c>
      <c r="D597" s="13"/>
      <c r="E597" s="673"/>
      <c r="F597" s="673"/>
      <c r="G597" s="673"/>
      <c r="H597" s="673"/>
      <c r="I597" s="673"/>
    </row>
    <row r="598" spans="1:9" ht="13.2">
      <c r="A598" s="711"/>
      <c r="B598" s="492"/>
      <c r="C598" s="492"/>
      <c r="D598" s="492"/>
      <c r="E598" s="492"/>
      <c r="F598" s="492"/>
      <c r="G598" s="492"/>
      <c r="H598" s="492"/>
      <c r="I598" s="492"/>
    </row>
    <row r="599" spans="1:9">
      <c r="A599" s="724" t="s">
        <v>8632</v>
      </c>
      <c r="B599" s="3877" t="s">
        <v>3986</v>
      </c>
      <c r="C599" s="3878"/>
      <c r="D599" s="3878"/>
      <c r="E599" s="3878"/>
      <c r="F599" s="3878"/>
      <c r="G599" s="3878"/>
      <c r="H599" s="3878"/>
      <c r="I599" s="3879"/>
    </row>
    <row r="600" spans="1:9">
      <c r="A600" s="470"/>
      <c r="B600" s="696"/>
      <c r="C600" s="243" t="s">
        <v>140</v>
      </c>
      <c r="D600" s="243" t="s">
        <v>343</v>
      </c>
      <c r="E600" s="674" t="s">
        <v>344</v>
      </c>
      <c r="F600" s="674" t="s">
        <v>482</v>
      </c>
      <c r="G600" s="674" t="s">
        <v>483</v>
      </c>
      <c r="H600" s="674" t="s">
        <v>170</v>
      </c>
      <c r="I600" s="674" t="s">
        <v>171</v>
      </c>
    </row>
    <row r="601" spans="1:9">
      <c r="A601" s="471" t="s">
        <v>3983</v>
      </c>
      <c r="B601" s="41" t="s">
        <v>3987</v>
      </c>
      <c r="C601" s="346">
        <v>1</v>
      </c>
      <c r="D601" s="160" t="s">
        <v>363</v>
      </c>
      <c r="E601" s="32">
        <v>2500</v>
      </c>
      <c r="F601" s="32"/>
      <c r="G601" s="32">
        <f>+E601*C601</f>
        <v>2500</v>
      </c>
      <c r="H601" s="32"/>
      <c r="I601" s="32"/>
    </row>
    <row r="602" spans="1:9">
      <c r="A602" s="471" t="s">
        <v>584</v>
      </c>
      <c r="B602" s="41" t="s">
        <v>134</v>
      </c>
      <c r="C602" s="346">
        <v>1E-4</v>
      </c>
      <c r="D602" s="160" t="s">
        <v>583</v>
      </c>
      <c r="E602" s="32">
        <f>+VIAJE</f>
        <v>1200000</v>
      </c>
      <c r="F602" s="32"/>
      <c r="G602" s="32"/>
      <c r="H602" s="32"/>
      <c r="I602" s="32">
        <f>+E602*C602</f>
        <v>120</v>
      </c>
    </row>
    <row r="603" spans="1:9">
      <c r="A603" s="587" t="s">
        <v>190</v>
      </c>
      <c r="B603" s="588">
        <f>SUM(F603:I603)</f>
        <v>2620</v>
      </c>
      <c r="C603" s="160"/>
      <c r="D603" s="169"/>
      <c r="E603" s="32"/>
      <c r="F603" s="32">
        <f>SUM(F601:F602)</f>
        <v>0</v>
      </c>
      <c r="G603" s="32">
        <f>SUM(G601:G602)</f>
        <v>2500</v>
      </c>
      <c r="H603" s="32">
        <f>SUM(H601:H602)</f>
        <v>0</v>
      </c>
      <c r="I603" s="32">
        <f>SUM(I601:I602)</f>
        <v>120</v>
      </c>
    </row>
    <row r="604" spans="1:9">
      <c r="A604" s="587" t="s">
        <v>191</v>
      </c>
      <c r="B604" s="588">
        <f>+B603</f>
        <v>2620</v>
      </c>
      <c r="C604" s="688" t="s">
        <v>363</v>
      </c>
      <c r="D604" s="13"/>
      <c r="E604" s="673"/>
      <c r="F604" s="673"/>
      <c r="G604" s="673"/>
      <c r="H604" s="673"/>
      <c r="I604" s="673"/>
    </row>
    <row r="605" spans="1:9" ht="13.2">
      <c r="A605" s="711"/>
      <c r="B605" s="492"/>
      <c r="C605" s="492"/>
      <c r="D605" s="492"/>
      <c r="E605" s="492"/>
      <c r="F605" s="492"/>
      <c r="G605" s="492"/>
      <c r="H605" s="492"/>
      <c r="I605" s="492"/>
    </row>
    <row r="606" spans="1:9">
      <c r="A606" s="3694" t="s">
        <v>3988</v>
      </c>
      <c r="B606" s="3695"/>
      <c r="C606" s="3695"/>
      <c r="D606" s="3695"/>
      <c r="E606" s="3695"/>
      <c r="F606" s="3695"/>
      <c r="G606" s="3695"/>
      <c r="H606" s="3695"/>
      <c r="I606" s="3895"/>
    </row>
    <row r="607" spans="1:9">
      <c r="A607" s="724" t="e">
        <v>#REF!</v>
      </c>
      <c r="B607" s="3872" t="s">
        <v>3989</v>
      </c>
      <c r="C607" s="3872"/>
      <c r="D607" s="3872"/>
      <c r="E607" s="3872"/>
      <c r="F607" s="3872"/>
      <c r="G607" s="3872"/>
      <c r="H607" s="3872"/>
      <c r="I607" s="3872"/>
    </row>
    <row r="608" spans="1:9">
      <c r="A608" s="243"/>
      <c r="B608" s="180"/>
      <c r="C608" s="243" t="s">
        <v>140</v>
      </c>
      <c r="D608" s="243" t="s">
        <v>343</v>
      </c>
      <c r="E608" s="243" t="s">
        <v>344</v>
      </c>
      <c r="F608" s="65" t="s">
        <v>482</v>
      </c>
      <c r="G608" s="65" t="s">
        <v>483</v>
      </c>
      <c r="H608" s="65" t="s">
        <v>170</v>
      </c>
      <c r="I608" s="65" t="s">
        <v>171</v>
      </c>
    </row>
    <row r="609" spans="1:9">
      <c r="A609" s="243" t="s">
        <v>3990</v>
      </c>
      <c r="B609" s="180" t="s">
        <v>3991</v>
      </c>
      <c r="C609" s="346" t="s">
        <v>622</v>
      </c>
      <c r="D609" s="243" t="s">
        <v>133</v>
      </c>
      <c r="E609" s="65">
        <v>3800000</v>
      </c>
      <c r="F609" s="65"/>
      <c r="G609" s="65">
        <f>+E609*C609</f>
        <v>3800000</v>
      </c>
      <c r="H609" s="65"/>
      <c r="I609" s="65"/>
    </row>
    <row r="610" spans="1:9">
      <c r="A610" s="243" t="s">
        <v>584</v>
      </c>
      <c r="B610" s="180" t="s">
        <v>1064</v>
      </c>
      <c r="C610" s="346">
        <v>7.1428571428571425E-2</v>
      </c>
      <c r="D610" s="243" t="s">
        <v>363</v>
      </c>
      <c r="E610" s="32">
        <f>+VIAJE</f>
        <v>1200000</v>
      </c>
      <c r="F610" s="65"/>
      <c r="G610" s="65"/>
      <c r="H610" s="65"/>
      <c r="I610" s="65">
        <f>+E610*C610</f>
        <v>85714.28571428571</v>
      </c>
    </row>
    <row r="611" spans="1:9">
      <c r="A611" s="20" t="s">
        <v>190</v>
      </c>
      <c r="B611" s="39">
        <f>SUM(F611:I611)</f>
        <v>3885714.2857142859</v>
      </c>
      <c r="C611" s="370"/>
      <c r="D611" s="243"/>
      <c r="E611" s="65"/>
      <c r="F611" s="65">
        <f>+SUM(F609:F610)</f>
        <v>0</v>
      </c>
      <c r="G611" s="65">
        <f>+SUM(G609:G610)</f>
        <v>3800000</v>
      </c>
      <c r="H611" s="65">
        <f>+SUM(H609:H610)</f>
        <v>0</v>
      </c>
      <c r="I611" s="65">
        <f>+SUM(I609:I610)</f>
        <v>85714.28571428571</v>
      </c>
    </row>
    <row r="612" spans="1:9">
      <c r="A612" s="20" t="s">
        <v>191</v>
      </c>
      <c r="B612" s="39">
        <f>+B611</f>
        <v>3885714.2857142859</v>
      </c>
      <c r="C612" s="21" t="s">
        <v>363</v>
      </c>
      <c r="D612" s="178"/>
      <c r="E612" s="685"/>
      <c r="F612" s="685"/>
      <c r="G612" s="685"/>
      <c r="H612" s="685"/>
      <c r="I612" s="685"/>
    </row>
    <row r="613" spans="1:9" ht="13.2">
      <c r="A613" s="711"/>
      <c r="B613" s="727"/>
      <c r="C613" s="728"/>
      <c r="D613" s="492"/>
      <c r="E613" s="730"/>
      <c r="F613" s="730"/>
      <c r="G613" s="730"/>
      <c r="H613" s="730"/>
      <c r="I613" s="730"/>
    </row>
    <row r="614" spans="1:9">
      <c r="A614" s="724" t="e">
        <v>#REF!</v>
      </c>
      <c r="B614" s="3873" t="s">
        <v>3992</v>
      </c>
      <c r="C614" s="3873"/>
      <c r="D614" s="3873"/>
      <c r="E614" s="3873"/>
      <c r="F614" s="3873"/>
      <c r="G614" s="3873"/>
      <c r="H614" s="3873"/>
      <c r="I614" s="3873"/>
    </row>
    <row r="615" spans="1:9">
      <c r="A615" s="243"/>
      <c r="B615" s="180"/>
      <c r="C615" s="243" t="s">
        <v>140</v>
      </c>
      <c r="D615" s="243" t="s">
        <v>343</v>
      </c>
      <c r="E615" s="243" t="s">
        <v>344</v>
      </c>
      <c r="F615" s="65" t="s">
        <v>482</v>
      </c>
      <c r="G615" s="65" t="s">
        <v>483</v>
      </c>
      <c r="H615" s="65" t="s">
        <v>170</v>
      </c>
      <c r="I615" s="65" t="s">
        <v>171</v>
      </c>
    </row>
    <row r="616" spans="1:9">
      <c r="A616" s="243" t="s">
        <v>3993</v>
      </c>
      <c r="B616" s="180" t="s">
        <v>3994</v>
      </c>
      <c r="C616" s="370" t="s">
        <v>622</v>
      </c>
      <c r="D616" s="243" t="s">
        <v>133</v>
      </c>
      <c r="E616" s="65">
        <v>2800000</v>
      </c>
      <c r="F616" s="65"/>
      <c r="G616" s="65">
        <f>+E616*C616</f>
        <v>2800000</v>
      </c>
      <c r="H616" s="65"/>
      <c r="I616" s="65"/>
    </row>
    <row r="617" spans="1:9">
      <c r="A617" s="243" t="s">
        <v>584</v>
      </c>
      <c r="B617" s="180" t="s">
        <v>1064</v>
      </c>
      <c r="C617" s="346">
        <v>7.1428571428571425E-2</v>
      </c>
      <c r="D617" s="243" t="s">
        <v>363</v>
      </c>
      <c r="E617" s="32">
        <f>+VIAJE</f>
        <v>1200000</v>
      </c>
      <c r="F617" s="65"/>
      <c r="G617" s="65"/>
      <c r="H617" s="65"/>
      <c r="I617" s="65">
        <f>+E617*C617</f>
        <v>85714.28571428571</v>
      </c>
    </row>
    <row r="618" spans="1:9">
      <c r="A618" s="20" t="s">
        <v>190</v>
      </c>
      <c r="B618" s="39">
        <f>SUM(F618:I618)</f>
        <v>2885714.2857142859</v>
      </c>
      <c r="C618" s="370"/>
      <c r="D618" s="243"/>
      <c r="E618" s="65"/>
      <c r="F618" s="65">
        <f>+SUM(F616:F617)</f>
        <v>0</v>
      </c>
      <c r="G618" s="65">
        <f>+SUM(G616:G617)</f>
        <v>2800000</v>
      </c>
      <c r="H618" s="65">
        <f>+SUM(H616:H617)</f>
        <v>0</v>
      </c>
      <c r="I618" s="65">
        <f>+SUM(I616:I617)</f>
        <v>85714.28571428571</v>
      </c>
    </row>
    <row r="619" spans="1:9">
      <c r="A619" s="20" t="s">
        <v>191</v>
      </c>
      <c r="B619" s="39">
        <f>+B618</f>
        <v>2885714.2857142859</v>
      </c>
      <c r="C619" s="21" t="s">
        <v>363</v>
      </c>
      <c r="D619" s="178"/>
      <c r="E619" s="685"/>
      <c r="F619" s="685"/>
      <c r="G619" s="685"/>
      <c r="H619" s="685"/>
      <c r="I619" s="685"/>
    </row>
    <row r="620" spans="1:9">
      <c r="B620" s="17"/>
      <c r="C620" s="178"/>
      <c r="D620" s="178"/>
      <c r="E620" s="685"/>
      <c r="F620" s="685"/>
      <c r="G620" s="685"/>
      <c r="H620" s="685"/>
      <c r="I620" s="685"/>
    </row>
    <row r="621" spans="1:9">
      <c r="A621" s="724" t="e">
        <v>#REF!</v>
      </c>
      <c r="B621" s="3873" t="s">
        <v>3995</v>
      </c>
      <c r="C621" s="3873"/>
      <c r="D621" s="3873"/>
      <c r="E621" s="3873"/>
      <c r="F621" s="3873"/>
      <c r="G621" s="3873"/>
      <c r="H621" s="3873"/>
      <c r="I621" s="3873"/>
    </row>
    <row r="622" spans="1:9">
      <c r="A622" s="243"/>
      <c r="B622" s="180"/>
      <c r="C622" s="243" t="s">
        <v>140</v>
      </c>
      <c r="D622" s="243" t="s">
        <v>343</v>
      </c>
      <c r="E622" s="243" t="s">
        <v>344</v>
      </c>
      <c r="F622" s="65" t="s">
        <v>482</v>
      </c>
      <c r="G622" s="65" t="s">
        <v>483</v>
      </c>
      <c r="H622" s="65" t="s">
        <v>170</v>
      </c>
      <c r="I622" s="65" t="s">
        <v>171</v>
      </c>
    </row>
    <row r="623" spans="1:9">
      <c r="A623" s="243" t="s">
        <v>3996</v>
      </c>
      <c r="B623" s="180" t="s">
        <v>3997</v>
      </c>
      <c r="C623" s="346" t="s">
        <v>622</v>
      </c>
      <c r="D623" s="243" t="s">
        <v>133</v>
      </c>
      <c r="E623" s="65">
        <v>2800000</v>
      </c>
      <c r="F623" s="65"/>
      <c r="G623" s="65">
        <f>+E623*C623</f>
        <v>2800000</v>
      </c>
      <c r="H623" s="65"/>
      <c r="I623" s="65"/>
    </row>
    <row r="624" spans="1:9">
      <c r="A624" s="243" t="s">
        <v>584</v>
      </c>
      <c r="B624" s="180" t="s">
        <v>1064</v>
      </c>
      <c r="C624" s="370">
        <v>7.1428571428571425E-2</v>
      </c>
      <c r="D624" s="243" t="s">
        <v>363</v>
      </c>
      <c r="E624" s="32">
        <f>+VIAJE</f>
        <v>1200000</v>
      </c>
      <c r="F624" s="65"/>
      <c r="G624" s="65"/>
      <c r="H624" s="65"/>
      <c r="I624" s="65">
        <f>+E624*C624</f>
        <v>85714.28571428571</v>
      </c>
    </row>
    <row r="625" spans="1:9">
      <c r="A625" s="20" t="s">
        <v>190</v>
      </c>
      <c r="B625" s="39">
        <f>SUM(F625:I625)</f>
        <v>2885714.2857142859</v>
      </c>
      <c r="C625" s="346"/>
      <c r="D625" s="243"/>
      <c r="E625" s="65"/>
      <c r="F625" s="65">
        <f>+SUM(F623:F624)</f>
        <v>0</v>
      </c>
      <c r="G625" s="65">
        <f>+SUM(G623:G624)</f>
        <v>2800000</v>
      </c>
      <c r="H625" s="65">
        <f>+SUM(H623:H624)</f>
        <v>0</v>
      </c>
      <c r="I625" s="65">
        <f>+SUM(I623:I624)</f>
        <v>85714.28571428571</v>
      </c>
    </row>
    <row r="626" spans="1:9">
      <c r="A626" s="20" t="s">
        <v>191</v>
      </c>
      <c r="B626" s="39">
        <f>+B625</f>
        <v>2885714.2857142859</v>
      </c>
      <c r="C626" s="21" t="s">
        <v>363</v>
      </c>
      <c r="D626" s="178"/>
      <c r="E626" s="685"/>
      <c r="F626" s="685"/>
      <c r="G626" s="685"/>
      <c r="H626" s="685"/>
      <c r="I626" s="685"/>
    </row>
    <row r="627" spans="1:9" ht="13.2">
      <c r="A627" s="711"/>
      <c r="B627" s="727"/>
      <c r="C627" s="728"/>
      <c r="D627" s="492"/>
      <c r="E627" s="730"/>
      <c r="F627" s="730"/>
      <c r="G627" s="730"/>
      <c r="H627" s="730"/>
      <c r="I627" s="730"/>
    </row>
    <row r="628" spans="1:9">
      <c r="A628" s="724" t="e">
        <v>#REF!</v>
      </c>
      <c r="B628" s="3873" t="s">
        <v>3998</v>
      </c>
      <c r="C628" s="3873"/>
      <c r="D628" s="3873"/>
      <c r="E628" s="3873"/>
      <c r="F628" s="3873"/>
      <c r="G628" s="3873"/>
      <c r="H628" s="3873"/>
      <c r="I628" s="3873"/>
    </row>
    <row r="629" spans="1:9">
      <c r="A629" s="243"/>
      <c r="B629" s="180"/>
      <c r="C629" s="243" t="s">
        <v>140</v>
      </c>
      <c r="D629" s="243" t="s">
        <v>343</v>
      </c>
      <c r="E629" s="243" t="s">
        <v>344</v>
      </c>
      <c r="F629" s="65" t="s">
        <v>482</v>
      </c>
      <c r="G629" s="65" t="s">
        <v>483</v>
      </c>
      <c r="H629" s="65" t="s">
        <v>170</v>
      </c>
      <c r="I629" s="65" t="s">
        <v>171</v>
      </c>
    </row>
    <row r="630" spans="1:9">
      <c r="A630" s="243" t="s">
        <v>3999</v>
      </c>
      <c r="B630" s="180" t="s">
        <v>4000</v>
      </c>
      <c r="C630" s="370" t="s">
        <v>622</v>
      </c>
      <c r="D630" s="243" t="s">
        <v>363</v>
      </c>
      <c r="E630" s="65">
        <v>300000</v>
      </c>
      <c r="F630" s="65"/>
      <c r="G630" s="65">
        <f>+E630*C630</f>
        <v>300000</v>
      </c>
      <c r="H630" s="65"/>
      <c r="I630" s="65"/>
    </row>
    <row r="631" spans="1:9">
      <c r="A631" s="243" t="s">
        <v>584</v>
      </c>
      <c r="B631" s="180" t="s">
        <v>1064</v>
      </c>
      <c r="C631" s="346">
        <v>8.9999999999999993E-3</v>
      </c>
      <c r="D631" s="243" t="s">
        <v>363</v>
      </c>
      <c r="E631" s="65">
        <f>+VIAJE</f>
        <v>1200000</v>
      </c>
      <c r="F631" s="65"/>
      <c r="G631" s="65"/>
      <c r="H631" s="65"/>
      <c r="I631" s="65">
        <f>+E631*C631</f>
        <v>10800</v>
      </c>
    </row>
    <row r="632" spans="1:9">
      <c r="A632" s="20" t="s">
        <v>190</v>
      </c>
      <c r="B632" s="39">
        <f>SUM(F632:I632)</f>
        <v>310800</v>
      </c>
      <c r="C632" s="370"/>
      <c r="D632" s="243"/>
      <c r="E632" s="65"/>
      <c r="F632" s="65">
        <f>+SUM(F630:F631)</f>
        <v>0</v>
      </c>
      <c r="G632" s="65">
        <f>+SUM(G630:G631)</f>
        <v>300000</v>
      </c>
      <c r="H632" s="65">
        <f>+SUM(H630:H631)</f>
        <v>0</v>
      </c>
      <c r="I632" s="65">
        <f>+SUM(I630:I631)</f>
        <v>10800</v>
      </c>
    </row>
    <row r="633" spans="1:9">
      <c r="A633" s="20" t="s">
        <v>191</v>
      </c>
      <c r="B633" s="39">
        <f>+B632</f>
        <v>310800</v>
      </c>
      <c r="C633" s="21" t="s">
        <v>363</v>
      </c>
      <c r="D633" s="178"/>
      <c r="E633" s="685"/>
      <c r="F633" s="685"/>
      <c r="G633" s="685"/>
      <c r="H633" s="685"/>
      <c r="I633" s="685"/>
    </row>
    <row r="634" spans="1:9">
      <c r="B634" s="17"/>
      <c r="C634" s="178"/>
      <c r="D634" s="178"/>
      <c r="E634" s="685"/>
      <c r="F634" s="685"/>
      <c r="G634" s="685"/>
      <c r="H634" s="685"/>
      <c r="I634" s="685"/>
    </row>
    <row r="635" spans="1:9">
      <c r="A635" s="724" t="e">
        <v>#REF!</v>
      </c>
      <c r="B635" s="3873" t="s">
        <v>4001</v>
      </c>
      <c r="C635" s="3873"/>
      <c r="D635" s="3873"/>
      <c r="E635" s="3873"/>
      <c r="F635" s="3873"/>
      <c r="G635" s="3873"/>
      <c r="H635" s="3873"/>
      <c r="I635" s="3873"/>
    </row>
    <row r="636" spans="1:9">
      <c r="A636" s="243"/>
      <c r="B636" s="180"/>
      <c r="C636" s="243" t="s">
        <v>140</v>
      </c>
      <c r="D636" s="243" t="s">
        <v>343</v>
      </c>
      <c r="E636" s="243" t="s">
        <v>344</v>
      </c>
      <c r="F636" s="65" t="s">
        <v>482</v>
      </c>
      <c r="G636" s="65" t="s">
        <v>483</v>
      </c>
      <c r="H636" s="65" t="s">
        <v>170</v>
      </c>
      <c r="I636" s="65" t="s">
        <v>171</v>
      </c>
    </row>
    <row r="637" spans="1:9">
      <c r="A637" s="243" t="s">
        <v>3976</v>
      </c>
      <c r="B637" s="180" t="s">
        <v>4002</v>
      </c>
      <c r="C637" s="370" t="s">
        <v>622</v>
      </c>
      <c r="D637" s="243" t="s">
        <v>363</v>
      </c>
      <c r="E637" s="65">
        <v>350000</v>
      </c>
      <c r="F637" s="65"/>
      <c r="G637" s="65">
        <f>+E637*C637</f>
        <v>350000</v>
      </c>
      <c r="H637" s="65"/>
      <c r="I637" s="65"/>
    </row>
    <row r="638" spans="1:9">
      <c r="A638" s="243" t="s">
        <v>584</v>
      </c>
      <c r="B638" s="180" t="s">
        <v>1064</v>
      </c>
      <c r="C638" s="346">
        <v>8.9999999999999993E-3</v>
      </c>
      <c r="D638" s="243" t="s">
        <v>363</v>
      </c>
      <c r="E638" s="65">
        <f>+VIAJE</f>
        <v>1200000</v>
      </c>
      <c r="F638" s="65"/>
      <c r="G638" s="65"/>
      <c r="H638" s="65"/>
      <c r="I638" s="65">
        <f>+E638*C638</f>
        <v>10800</v>
      </c>
    </row>
    <row r="639" spans="1:9">
      <c r="A639" s="20" t="s">
        <v>190</v>
      </c>
      <c r="B639" s="39">
        <f>SUM(F639:I639)</f>
        <v>360800</v>
      </c>
      <c r="C639" s="370"/>
      <c r="D639" s="243"/>
      <c r="E639" s="65"/>
      <c r="F639" s="65">
        <f>+SUM(F637:F638)</f>
        <v>0</v>
      </c>
      <c r="G639" s="65">
        <f>+SUM(G637:G638)</f>
        <v>350000</v>
      </c>
      <c r="H639" s="65">
        <f>+SUM(H637:H638)</f>
        <v>0</v>
      </c>
      <c r="I639" s="65">
        <f>+SUM(I637:I638)</f>
        <v>10800</v>
      </c>
    </row>
    <row r="640" spans="1:9">
      <c r="A640" s="20" t="s">
        <v>191</v>
      </c>
      <c r="B640" s="39">
        <f>+B639</f>
        <v>360800</v>
      </c>
      <c r="C640" s="21" t="s">
        <v>363</v>
      </c>
      <c r="D640" s="178"/>
      <c r="E640" s="685"/>
      <c r="F640" s="685"/>
      <c r="G640" s="685"/>
      <c r="H640" s="685"/>
      <c r="I640" s="685"/>
    </row>
    <row r="641" spans="1:9">
      <c r="B641" s="17"/>
      <c r="C641" s="178"/>
      <c r="D641" s="178"/>
      <c r="E641" s="685"/>
      <c r="F641" s="685"/>
      <c r="G641" s="685"/>
      <c r="H641" s="685"/>
      <c r="I641" s="685"/>
    </row>
    <row r="642" spans="1:9">
      <c r="A642" s="731" t="e">
        <v>#REF!</v>
      </c>
      <c r="B642" s="3872" t="s">
        <v>4003</v>
      </c>
      <c r="C642" s="3872"/>
      <c r="D642" s="3872"/>
      <c r="E642" s="3872"/>
      <c r="F642" s="3872" t="s">
        <v>482</v>
      </c>
      <c r="G642" s="3872" t="s">
        <v>483</v>
      </c>
      <c r="H642" s="3872" t="s">
        <v>170</v>
      </c>
      <c r="I642" s="3872" t="s">
        <v>171</v>
      </c>
    </row>
    <row r="643" spans="1:9">
      <c r="B643" s="17"/>
      <c r="C643" s="243" t="s">
        <v>140</v>
      </c>
      <c r="D643" s="243" t="s">
        <v>343</v>
      </c>
      <c r="E643" s="243" t="s">
        <v>344</v>
      </c>
      <c r="F643" s="243" t="s">
        <v>482</v>
      </c>
      <c r="G643" s="243" t="s">
        <v>483</v>
      </c>
      <c r="H643" s="243" t="s">
        <v>170</v>
      </c>
      <c r="I643" s="243" t="s">
        <v>171</v>
      </c>
    </row>
    <row r="644" spans="1:9">
      <c r="A644" s="471"/>
      <c r="B644" s="3" t="s">
        <v>4004</v>
      </c>
      <c r="C644" s="370">
        <v>1</v>
      </c>
      <c r="D644" s="6" t="s">
        <v>363</v>
      </c>
      <c r="E644" s="350">
        <f>4300000*1.16</f>
        <v>4988000</v>
      </c>
      <c r="F644" s="350"/>
      <c r="G644" s="350">
        <f>+E644*C644</f>
        <v>4988000</v>
      </c>
      <c r="H644" s="350"/>
      <c r="I644" s="350"/>
    </row>
    <row r="645" spans="1:9">
      <c r="A645" s="471"/>
      <c r="B645" s="3" t="s">
        <v>4005</v>
      </c>
      <c r="C645" s="370">
        <v>4</v>
      </c>
      <c r="D645" s="6" t="s">
        <v>363</v>
      </c>
      <c r="E645" s="350">
        <f>10000*1.16</f>
        <v>11600</v>
      </c>
      <c r="F645" s="350"/>
      <c r="G645" s="350">
        <f>+E645*C645</f>
        <v>46400</v>
      </c>
      <c r="H645" s="350"/>
      <c r="I645" s="350"/>
    </row>
    <row r="646" spans="1:9">
      <c r="A646" s="587" t="s">
        <v>190</v>
      </c>
      <c r="B646" s="588">
        <f>SUM(F646:I646)</f>
        <v>5034400</v>
      </c>
      <c r="C646" s="160"/>
      <c r="D646" s="2"/>
      <c r="E646" s="350"/>
      <c r="F646" s="350"/>
      <c r="G646" s="350">
        <f>+SUM(G644:G645)</f>
        <v>5034400</v>
      </c>
      <c r="H646" s="350"/>
      <c r="I646" s="350"/>
    </row>
    <row r="647" spans="1:9">
      <c r="A647" s="587" t="s">
        <v>191</v>
      </c>
      <c r="B647" s="588">
        <f>+B646</f>
        <v>5034400</v>
      </c>
      <c r="C647" s="21" t="s">
        <v>363</v>
      </c>
      <c r="D647" s="13"/>
      <c r="E647" s="13"/>
      <c r="F647" s="13"/>
      <c r="G647" s="13"/>
      <c r="H647" s="13"/>
      <c r="I647" s="13"/>
    </row>
    <row r="648" spans="1:9">
      <c r="A648" s="73"/>
      <c r="B648" s="80"/>
      <c r="C648" s="13"/>
      <c r="D648" s="13"/>
      <c r="E648" s="13"/>
      <c r="F648" s="13"/>
      <c r="G648" s="13"/>
      <c r="H648" s="13"/>
      <c r="I648" s="13"/>
    </row>
    <row r="649" spans="1:9">
      <c r="A649" s="724" t="e">
        <v>#REF!</v>
      </c>
      <c r="B649" s="3872" t="s">
        <v>4006</v>
      </c>
      <c r="C649" s="3872"/>
      <c r="D649" s="3872"/>
      <c r="E649" s="3872"/>
      <c r="F649" s="3872" t="s">
        <v>482</v>
      </c>
      <c r="G649" s="3872" t="s">
        <v>483</v>
      </c>
      <c r="H649" s="3872" t="s">
        <v>170</v>
      </c>
      <c r="I649" s="3872" t="s">
        <v>171</v>
      </c>
    </row>
    <row r="650" spans="1:9">
      <c r="B650" s="17"/>
      <c r="C650" s="243" t="s">
        <v>140</v>
      </c>
      <c r="D650" s="243" t="s">
        <v>343</v>
      </c>
      <c r="E650" s="243" t="s">
        <v>344</v>
      </c>
      <c r="F650" s="243" t="s">
        <v>482</v>
      </c>
      <c r="G650" s="243" t="s">
        <v>483</v>
      </c>
      <c r="H650" s="243" t="s">
        <v>170</v>
      </c>
      <c r="I650" s="243" t="s">
        <v>171</v>
      </c>
    </row>
    <row r="651" spans="1:9">
      <c r="A651" s="471"/>
      <c r="B651" s="3" t="s">
        <v>4007</v>
      </c>
      <c r="C651" s="370">
        <v>1</v>
      </c>
      <c r="D651" s="6" t="s">
        <v>363</v>
      </c>
      <c r="E651" s="350">
        <f>8300*1.16</f>
        <v>9628</v>
      </c>
      <c r="F651" s="350"/>
      <c r="G651" s="350">
        <f>+E651*C651</f>
        <v>9628</v>
      </c>
      <c r="H651" s="350"/>
      <c r="I651" s="350"/>
    </row>
    <row r="652" spans="1:9">
      <c r="A652" s="587" t="s">
        <v>190</v>
      </c>
      <c r="B652" s="588">
        <f>SUM(F652:I652)</f>
        <v>9628</v>
      </c>
      <c r="C652" s="160"/>
      <c r="D652" s="2"/>
      <c r="E652" s="350"/>
      <c r="F652" s="350"/>
      <c r="G652" s="350">
        <f>+SUM(G651:G651)</f>
        <v>9628</v>
      </c>
      <c r="H652" s="350"/>
      <c r="I652" s="350"/>
    </row>
    <row r="653" spans="1:9">
      <c r="A653" s="587" t="s">
        <v>191</v>
      </c>
      <c r="B653" s="588">
        <f>+B652</f>
        <v>9628</v>
      </c>
      <c r="C653" s="21" t="s">
        <v>363</v>
      </c>
      <c r="D653" s="13"/>
      <c r="E653" s="13"/>
      <c r="F653" s="13"/>
      <c r="G653" s="13"/>
      <c r="H653" s="13"/>
      <c r="I653" s="13"/>
    </row>
    <row r="654" spans="1:9">
      <c r="A654" s="73"/>
      <c r="B654" s="80"/>
      <c r="C654" s="13"/>
      <c r="D654" s="13"/>
      <c r="E654" s="13"/>
      <c r="F654" s="13"/>
      <c r="G654" s="13"/>
      <c r="H654" s="13"/>
      <c r="I654" s="13"/>
    </row>
    <row r="655" spans="1:9">
      <c r="A655" s="724" t="e">
        <v>#REF!</v>
      </c>
      <c r="B655" s="3872" t="s">
        <v>4008</v>
      </c>
      <c r="C655" s="3872"/>
      <c r="D655" s="3872"/>
      <c r="E655" s="3872"/>
      <c r="F655" s="3872" t="s">
        <v>482</v>
      </c>
      <c r="G655" s="3872" t="s">
        <v>483</v>
      </c>
      <c r="H655" s="3872" t="s">
        <v>170</v>
      </c>
      <c r="I655" s="3872" t="s">
        <v>171</v>
      </c>
    </row>
    <row r="656" spans="1:9">
      <c r="B656" s="17"/>
      <c r="C656" s="243" t="s">
        <v>140</v>
      </c>
      <c r="D656" s="243" t="s">
        <v>343</v>
      </c>
      <c r="E656" s="243" t="s">
        <v>344</v>
      </c>
      <c r="F656" s="243" t="s">
        <v>482</v>
      </c>
      <c r="G656" s="243" t="s">
        <v>483</v>
      </c>
      <c r="H656" s="243" t="s">
        <v>170</v>
      </c>
      <c r="I656" s="243" t="s">
        <v>171</v>
      </c>
    </row>
    <row r="657" spans="1:9">
      <c r="A657" s="471"/>
      <c r="B657" s="3" t="s">
        <v>4009</v>
      </c>
      <c r="C657" s="370">
        <v>1</v>
      </c>
      <c r="D657" s="6" t="s">
        <v>363</v>
      </c>
      <c r="E657" s="350">
        <f>18800*1.16</f>
        <v>21808</v>
      </c>
      <c r="F657" s="350"/>
      <c r="G657" s="350">
        <f>+E657*C657</f>
        <v>21808</v>
      </c>
      <c r="H657" s="350"/>
      <c r="I657" s="350"/>
    </row>
    <row r="658" spans="1:9">
      <c r="A658" s="587" t="s">
        <v>190</v>
      </c>
      <c r="B658" s="588">
        <f>SUM(F658:I658)</f>
        <v>21808</v>
      </c>
      <c r="C658" s="160"/>
      <c r="D658" s="2"/>
      <c r="E658" s="350"/>
      <c r="F658" s="350"/>
      <c r="G658" s="350">
        <f>+SUM(G657:G657)</f>
        <v>21808</v>
      </c>
      <c r="H658" s="350"/>
      <c r="I658" s="350"/>
    </row>
    <row r="659" spans="1:9">
      <c r="A659" s="587" t="s">
        <v>191</v>
      </c>
      <c r="B659" s="588">
        <f>+B658</f>
        <v>21808</v>
      </c>
      <c r="C659" s="21" t="s">
        <v>363</v>
      </c>
      <c r="D659" s="13"/>
      <c r="E659" s="13"/>
      <c r="F659" s="13"/>
      <c r="G659" s="13"/>
      <c r="H659" s="13"/>
      <c r="I659" s="13"/>
    </row>
    <row r="660" spans="1:9">
      <c r="A660" s="73"/>
      <c r="B660" s="80"/>
      <c r="C660" s="13"/>
      <c r="D660" s="13"/>
      <c r="E660" s="13"/>
      <c r="F660" s="13"/>
      <c r="G660" s="13"/>
      <c r="H660" s="13"/>
      <c r="I660" s="13"/>
    </row>
    <row r="661" spans="1:9">
      <c r="A661" s="724" t="e">
        <v>#REF!</v>
      </c>
      <c r="B661" s="3872" t="s">
        <v>4010</v>
      </c>
      <c r="C661" s="3872"/>
      <c r="D661" s="3872"/>
      <c r="E661" s="3872"/>
      <c r="F661" s="3872" t="s">
        <v>482</v>
      </c>
      <c r="G661" s="3872" t="s">
        <v>483</v>
      </c>
      <c r="H661" s="3872" t="s">
        <v>170</v>
      </c>
      <c r="I661" s="3872" t="s">
        <v>171</v>
      </c>
    </row>
    <row r="662" spans="1:9">
      <c r="B662" s="17"/>
      <c r="C662" s="243" t="s">
        <v>140</v>
      </c>
      <c r="D662" s="243" t="s">
        <v>343</v>
      </c>
      <c r="E662" s="243" t="s">
        <v>344</v>
      </c>
      <c r="F662" s="243" t="s">
        <v>482</v>
      </c>
      <c r="G662" s="243" t="s">
        <v>483</v>
      </c>
      <c r="H662" s="243" t="s">
        <v>170</v>
      </c>
      <c r="I662" s="243" t="s">
        <v>171</v>
      </c>
    </row>
    <row r="663" spans="1:9" ht="33.6">
      <c r="A663" s="471"/>
      <c r="B663" s="732" t="s">
        <v>4011</v>
      </c>
      <c r="C663" s="370">
        <v>1</v>
      </c>
      <c r="D663" s="6" t="s">
        <v>363</v>
      </c>
      <c r="E663" s="350">
        <f>82600*1.16</f>
        <v>95816</v>
      </c>
      <c r="F663" s="350"/>
      <c r="G663" s="350">
        <f>+E663*C663</f>
        <v>95816</v>
      </c>
      <c r="H663" s="350"/>
      <c r="I663" s="350"/>
    </row>
    <row r="664" spans="1:9">
      <c r="A664" s="587" t="s">
        <v>190</v>
      </c>
      <c r="B664" s="588">
        <f>SUM(F664:I664)</f>
        <v>95816</v>
      </c>
      <c r="C664" s="160"/>
      <c r="D664" s="2"/>
      <c r="E664" s="350"/>
      <c r="F664" s="350"/>
      <c r="G664" s="350">
        <f>+SUM(G663:G663)</f>
        <v>95816</v>
      </c>
      <c r="H664" s="350"/>
      <c r="I664" s="350"/>
    </row>
    <row r="665" spans="1:9">
      <c r="A665" s="587" t="s">
        <v>191</v>
      </c>
      <c r="B665" s="588">
        <f>+B664</f>
        <v>95816</v>
      </c>
      <c r="C665" s="21" t="s">
        <v>363</v>
      </c>
      <c r="D665" s="13"/>
      <c r="E665" s="13"/>
      <c r="F665" s="13"/>
      <c r="G665" s="13"/>
      <c r="H665" s="13"/>
      <c r="I665" s="13"/>
    </row>
    <row r="666" spans="1:9">
      <c r="A666" s="73"/>
      <c r="B666" s="80"/>
      <c r="C666" s="13"/>
      <c r="D666" s="13"/>
      <c r="E666" s="13"/>
      <c r="F666" s="13"/>
      <c r="G666" s="13"/>
      <c r="H666" s="13"/>
      <c r="I666" s="13"/>
    </row>
    <row r="667" spans="1:9">
      <c r="A667" s="724" t="e">
        <v>#REF!</v>
      </c>
      <c r="B667" s="3872" t="s">
        <v>4012</v>
      </c>
      <c r="C667" s="3872"/>
      <c r="D667" s="3872"/>
      <c r="E667" s="3872"/>
      <c r="F667" s="3872" t="s">
        <v>482</v>
      </c>
      <c r="G667" s="3872" t="s">
        <v>483</v>
      </c>
      <c r="H667" s="3872" t="s">
        <v>170</v>
      </c>
      <c r="I667" s="3872" t="s">
        <v>171</v>
      </c>
    </row>
    <row r="668" spans="1:9">
      <c r="B668" s="17"/>
      <c r="C668" s="243" t="s">
        <v>140</v>
      </c>
      <c r="D668" s="243" t="s">
        <v>343</v>
      </c>
      <c r="E668" s="243" t="s">
        <v>344</v>
      </c>
      <c r="F668" s="243" t="s">
        <v>482</v>
      </c>
      <c r="G668" s="243" t="s">
        <v>483</v>
      </c>
      <c r="H668" s="243" t="s">
        <v>170</v>
      </c>
      <c r="I668" s="243" t="s">
        <v>171</v>
      </c>
    </row>
    <row r="669" spans="1:9">
      <c r="A669" s="471"/>
      <c r="B669" s="732" t="s">
        <v>4013</v>
      </c>
      <c r="C669" s="370">
        <v>1</v>
      </c>
      <c r="D669" s="6" t="s">
        <v>363</v>
      </c>
      <c r="E669" s="350">
        <f>27500*1.16</f>
        <v>31899.999999999996</v>
      </c>
      <c r="F669" s="350"/>
      <c r="G669" s="350">
        <f>+E669*C669</f>
        <v>31899.999999999996</v>
      </c>
      <c r="H669" s="350"/>
      <c r="I669" s="350"/>
    </row>
    <row r="670" spans="1:9">
      <c r="A670" s="587" t="s">
        <v>190</v>
      </c>
      <c r="B670" s="588">
        <f>SUM(F670:I670)</f>
        <v>31899.999999999996</v>
      </c>
      <c r="C670" s="160"/>
      <c r="D670" s="2"/>
      <c r="E670" s="350"/>
      <c r="F670" s="350"/>
      <c r="G670" s="350">
        <f>+SUM(G669:G669)</f>
        <v>31899.999999999996</v>
      </c>
      <c r="H670" s="350"/>
      <c r="I670" s="350"/>
    </row>
    <row r="671" spans="1:9">
      <c r="A671" s="587" t="s">
        <v>191</v>
      </c>
      <c r="B671" s="588">
        <f>+B670</f>
        <v>31899.999999999996</v>
      </c>
      <c r="C671" s="21" t="s">
        <v>363</v>
      </c>
      <c r="D671" s="13"/>
      <c r="E671" s="13"/>
      <c r="F671" s="13"/>
      <c r="G671" s="13"/>
      <c r="H671" s="13"/>
      <c r="I671" s="13"/>
    </row>
    <row r="672" spans="1:9">
      <c r="A672" s="73"/>
      <c r="B672" s="80"/>
      <c r="C672" s="13"/>
      <c r="D672" s="13"/>
      <c r="E672" s="13"/>
      <c r="F672" s="13"/>
      <c r="G672" s="13"/>
      <c r="H672" s="13"/>
      <c r="I672" s="13"/>
    </row>
    <row r="673" spans="1:9">
      <c r="A673" s="724" t="e">
        <v>#REF!</v>
      </c>
      <c r="B673" s="3872" t="s">
        <v>4014</v>
      </c>
      <c r="C673" s="3872"/>
      <c r="D673" s="3872"/>
      <c r="E673" s="3872"/>
      <c r="F673" s="3872" t="s">
        <v>482</v>
      </c>
      <c r="G673" s="3872" t="s">
        <v>483</v>
      </c>
      <c r="H673" s="3872" t="s">
        <v>170</v>
      </c>
      <c r="I673" s="3872" t="s">
        <v>171</v>
      </c>
    </row>
    <row r="674" spans="1:9">
      <c r="B674" s="17"/>
      <c r="C674" s="243" t="s">
        <v>140</v>
      </c>
      <c r="D674" s="243" t="s">
        <v>343</v>
      </c>
      <c r="E674" s="243" t="s">
        <v>344</v>
      </c>
      <c r="F674" s="243" t="s">
        <v>482</v>
      </c>
      <c r="G674" s="243" t="s">
        <v>483</v>
      </c>
      <c r="H674" s="243" t="s">
        <v>170</v>
      </c>
      <c r="I674" s="243" t="s">
        <v>171</v>
      </c>
    </row>
    <row r="675" spans="1:9">
      <c r="A675" s="471"/>
      <c r="B675" s="732" t="s">
        <v>4015</v>
      </c>
      <c r="C675" s="370">
        <v>1</v>
      </c>
      <c r="D675" s="6" t="s">
        <v>363</v>
      </c>
      <c r="E675" s="350">
        <f>20000*1.16</f>
        <v>23200</v>
      </c>
      <c r="F675" s="350"/>
      <c r="G675" s="350">
        <f>+E675*C675</f>
        <v>23200</v>
      </c>
      <c r="H675" s="350"/>
      <c r="I675" s="350"/>
    </row>
    <row r="676" spans="1:9">
      <c r="A676" s="587" t="s">
        <v>190</v>
      </c>
      <c r="B676" s="588">
        <f>SUM(F676:I676)</f>
        <v>23200</v>
      </c>
      <c r="C676" s="160"/>
      <c r="D676" s="2"/>
      <c r="E676" s="350"/>
      <c r="F676" s="350"/>
      <c r="G676" s="350">
        <f>+SUM(G675:G675)</f>
        <v>23200</v>
      </c>
      <c r="H676" s="350"/>
      <c r="I676" s="350"/>
    </row>
    <row r="677" spans="1:9">
      <c r="A677" s="587" t="s">
        <v>191</v>
      </c>
      <c r="B677" s="588">
        <f>+B676</f>
        <v>23200</v>
      </c>
      <c r="C677" s="21" t="s">
        <v>363</v>
      </c>
      <c r="D677" s="13"/>
      <c r="E677" s="13"/>
      <c r="F677" s="13"/>
      <c r="G677" s="13"/>
      <c r="H677" s="13"/>
      <c r="I677" s="13"/>
    </row>
    <row r="678" spans="1:9">
      <c r="A678" s="73"/>
      <c r="B678" s="80"/>
      <c r="C678" s="13"/>
      <c r="D678" s="13"/>
      <c r="E678" s="13"/>
      <c r="F678" s="13"/>
      <c r="G678" s="13"/>
      <c r="H678" s="13"/>
      <c r="I678" s="13"/>
    </row>
    <row r="679" spans="1:9">
      <c r="A679" s="724" t="e">
        <v>#REF!</v>
      </c>
      <c r="B679" s="3872" t="s">
        <v>4016</v>
      </c>
      <c r="C679" s="3872"/>
      <c r="D679" s="3872"/>
      <c r="E679" s="3872"/>
      <c r="F679" s="3872" t="s">
        <v>482</v>
      </c>
      <c r="G679" s="3872" t="s">
        <v>483</v>
      </c>
      <c r="H679" s="3872" t="s">
        <v>170</v>
      </c>
      <c r="I679" s="3872" t="s">
        <v>171</v>
      </c>
    </row>
    <row r="680" spans="1:9">
      <c r="B680" s="17"/>
      <c r="C680" s="243" t="s">
        <v>140</v>
      </c>
      <c r="D680" s="243" t="s">
        <v>343</v>
      </c>
      <c r="E680" s="243" t="s">
        <v>344</v>
      </c>
      <c r="F680" s="243" t="s">
        <v>482</v>
      </c>
      <c r="G680" s="243" t="s">
        <v>483</v>
      </c>
      <c r="H680" s="243" t="s">
        <v>170</v>
      </c>
      <c r="I680" s="243" t="s">
        <v>171</v>
      </c>
    </row>
    <row r="681" spans="1:9">
      <c r="A681" s="471"/>
      <c r="B681" s="732" t="s">
        <v>4017</v>
      </c>
      <c r="C681" s="370">
        <v>1</v>
      </c>
      <c r="D681" s="6" t="s">
        <v>363</v>
      </c>
      <c r="E681" s="350">
        <f>13000*1.16</f>
        <v>15079.999999999998</v>
      </c>
      <c r="F681" s="350"/>
      <c r="G681" s="350">
        <f>+E681*C681</f>
        <v>15079.999999999998</v>
      </c>
      <c r="H681" s="350"/>
      <c r="I681" s="350"/>
    </row>
    <row r="682" spans="1:9">
      <c r="A682" s="587" t="s">
        <v>190</v>
      </c>
      <c r="B682" s="588">
        <f>SUM(F682:I682)</f>
        <v>15079.999999999998</v>
      </c>
      <c r="C682" s="160"/>
      <c r="D682" s="2"/>
      <c r="E682" s="350"/>
      <c r="F682" s="350"/>
      <c r="G682" s="350">
        <f>+SUM(G681:G681)</f>
        <v>15079.999999999998</v>
      </c>
      <c r="H682" s="350"/>
      <c r="I682" s="350"/>
    </row>
    <row r="683" spans="1:9">
      <c r="A683" s="587" t="s">
        <v>191</v>
      </c>
      <c r="B683" s="588">
        <f>+B682</f>
        <v>15079.999999999998</v>
      </c>
      <c r="C683" s="21" t="s">
        <v>363</v>
      </c>
      <c r="D683" s="13"/>
      <c r="E683" s="13"/>
      <c r="F683" s="13"/>
      <c r="G683" s="13"/>
      <c r="H683" s="13"/>
      <c r="I683" s="13"/>
    </row>
    <row r="684" spans="1:9">
      <c r="A684" s="73"/>
      <c r="B684" s="80"/>
      <c r="C684" s="13"/>
      <c r="D684" s="13"/>
      <c r="E684" s="13"/>
      <c r="F684" s="13"/>
      <c r="G684" s="13"/>
      <c r="H684" s="13"/>
      <c r="I684" s="13"/>
    </row>
    <row r="685" spans="1:9">
      <c r="A685" s="724" t="e">
        <v>#REF!</v>
      </c>
      <c r="B685" s="3872" t="s">
        <v>4018</v>
      </c>
      <c r="C685" s="3872"/>
      <c r="D685" s="3872"/>
      <c r="E685" s="3872"/>
      <c r="F685" s="3872" t="s">
        <v>482</v>
      </c>
      <c r="G685" s="3872" t="s">
        <v>483</v>
      </c>
      <c r="H685" s="3872" t="s">
        <v>170</v>
      </c>
      <c r="I685" s="3872" t="s">
        <v>171</v>
      </c>
    </row>
    <row r="686" spans="1:9">
      <c r="B686" s="17"/>
      <c r="C686" s="243" t="s">
        <v>140</v>
      </c>
      <c r="D686" s="243" t="s">
        <v>343</v>
      </c>
      <c r="E686" s="243" t="s">
        <v>344</v>
      </c>
      <c r="F686" s="243" t="s">
        <v>482</v>
      </c>
      <c r="G686" s="243" t="s">
        <v>483</v>
      </c>
      <c r="H686" s="243" t="s">
        <v>170</v>
      </c>
      <c r="I686" s="243" t="s">
        <v>171</v>
      </c>
    </row>
    <row r="687" spans="1:9">
      <c r="A687" s="471"/>
      <c r="B687" s="732" t="s">
        <v>4019</v>
      </c>
      <c r="C687" s="370">
        <v>1</v>
      </c>
      <c r="D687" s="6" t="s">
        <v>363</v>
      </c>
      <c r="E687" s="350">
        <f>19000*1.16</f>
        <v>22040</v>
      </c>
      <c r="F687" s="350"/>
      <c r="G687" s="350">
        <f>+E687*C687</f>
        <v>22040</v>
      </c>
      <c r="H687" s="350"/>
      <c r="I687" s="350"/>
    </row>
    <row r="688" spans="1:9">
      <c r="A688" s="587" t="s">
        <v>190</v>
      </c>
      <c r="B688" s="588">
        <f>SUM(F688:I688)</f>
        <v>22040</v>
      </c>
      <c r="C688" s="160"/>
      <c r="D688" s="2"/>
      <c r="E688" s="350"/>
      <c r="F688" s="350"/>
      <c r="G688" s="350">
        <f>+SUM(G687:G687)</f>
        <v>22040</v>
      </c>
      <c r="H688" s="350"/>
      <c r="I688" s="350"/>
    </row>
    <row r="689" spans="1:9">
      <c r="A689" s="587" t="s">
        <v>191</v>
      </c>
      <c r="B689" s="588">
        <f>+B688</f>
        <v>22040</v>
      </c>
      <c r="C689" s="21" t="s">
        <v>363</v>
      </c>
      <c r="D689" s="13"/>
      <c r="E689" s="13"/>
      <c r="F689" s="13"/>
      <c r="G689" s="13"/>
      <c r="H689" s="13"/>
      <c r="I689" s="13"/>
    </row>
    <row r="690" spans="1:9">
      <c r="A690" s="73"/>
      <c r="B690" s="80"/>
      <c r="C690" s="13"/>
      <c r="D690" s="13"/>
      <c r="E690" s="13"/>
      <c r="F690" s="13"/>
      <c r="G690" s="13"/>
      <c r="H690" s="13"/>
      <c r="I690" s="13"/>
    </row>
    <row r="691" spans="1:9">
      <c r="A691" s="724" t="e">
        <v>#REF!</v>
      </c>
      <c r="B691" s="3874" t="s">
        <v>4020</v>
      </c>
      <c r="C691" s="3875"/>
      <c r="D691" s="3875"/>
      <c r="E691" s="3875"/>
      <c r="F691" s="3875" t="s">
        <v>482</v>
      </c>
      <c r="G691" s="3875" t="s">
        <v>483</v>
      </c>
      <c r="H691" s="3875" t="s">
        <v>170</v>
      </c>
      <c r="I691" s="3876" t="s">
        <v>171</v>
      </c>
    </row>
    <row r="692" spans="1:9">
      <c r="B692" s="17"/>
      <c r="C692" s="243" t="s">
        <v>140</v>
      </c>
      <c r="D692" s="243" t="s">
        <v>343</v>
      </c>
      <c r="E692" s="243" t="s">
        <v>344</v>
      </c>
      <c r="F692" s="243" t="s">
        <v>482</v>
      </c>
      <c r="G692" s="243" t="s">
        <v>483</v>
      </c>
      <c r="H692" s="243" t="s">
        <v>170</v>
      </c>
      <c r="I692" s="243" t="s">
        <v>171</v>
      </c>
    </row>
    <row r="693" spans="1:9">
      <c r="A693" s="471"/>
      <c r="B693" s="732" t="s">
        <v>4021</v>
      </c>
      <c r="C693" s="370">
        <v>1</v>
      </c>
      <c r="D693" s="6" t="s">
        <v>363</v>
      </c>
      <c r="E693" s="350">
        <f>31000*1.16</f>
        <v>35960</v>
      </c>
      <c r="F693" s="350"/>
      <c r="G693" s="350">
        <f>+E693*C693</f>
        <v>35960</v>
      </c>
      <c r="H693" s="350"/>
      <c r="I693" s="350"/>
    </row>
    <row r="694" spans="1:9">
      <c r="A694" s="587" t="s">
        <v>190</v>
      </c>
      <c r="B694" s="588">
        <f>SUM(F694:I694)</f>
        <v>35960</v>
      </c>
      <c r="C694" s="160"/>
      <c r="D694" s="2"/>
      <c r="E694" s="350"/>
      <c r="F694" s="350"/>
      <c r="G694" s="350">
        <f>+SUM(G693:G693)</f>
        <v>35960</v>
      </c>
      <c r="H694" s="350"/>
      <c r="I694" s="350"/>
    </row>
    <row r="695" spans="1:9">
      <c r="A695" s="587" t="s">
        <v>191</v>
      </c>
      <c r="B695" s="588">
        <f>+B694</f>
        <v>35960</v>
      </c>
      <c r="C695" s="21" t="s">
        <v>363</v>
      </c>
      <c r="D695" s="13"/>
      <c r="E695" s="13"/>
      <c r="F695" s="13"/>
      <c r="G695" s="13"/>
      <c r="H695" s="13"/>
      <c r="I695" s="13"/>
    </row>
    <row r="696" spans="1:9">
      <c r="A696" s="73"/>
      <c r="B696" s="80"/>
      <c r="C696" s="13"/>
      <c r="D696" s="13"/>
      <c r="E696" s="13"/>
      <c r="F696" s="13"/>
      <c r="G696" s="13"/>
      <c r="H696" s="13"/>
      <c r="I696" s="13"/>
    </row>
    <row r="697" spans="1:9">
      <c r="A697" s="724" t="e">
        <v>#REF!</v>
      </c>
      <c r="B697" s="3874" t="s">
        <v>4022</v>
      </c>
      <c r="C697" s="3875"/>
      <c r="D697" s="3875"/>
      <c r="E697" s="3875"/>
      <c r="F697" s="3875" t="s">
        <v>482</v>
      </c>
      <c r="G697" s="3875" t="s">
        <v>483</v>
      </c>
      <c r="H697" s="3875" t="s">
        <v>170</v>
      </c>
      <c r="I697" s="3876" t="s">
        <v>171</v>
      </c>
    </row>
    <row r="698" spans="1:9">
      <c r="B698" s="17"/>
      <c r="C698" s="243" t="s">
        <v>140</v>
      </c>
      <c r="D698" s="243" t="s">
        <v>343</v>
      </c>
      <c r="E698" s="243" t="s">
        <v>344</v>
      </c>
      <c r="F698" s="243" t="s">
        <v>482</v>
      </c>
      <c r="G698" s="243" t="s">
        <v>483</v>
      </c>
      <c r="H698" s="243" t="s">
        <v>170</v>
      </c>
      <c r="I698" s="243" t="s">
        <v>171</v>
      </c>
    </row>
    <row r="699" spans="1:9">
      <c r="A699" s="471"/>
      <c r="B699" s="732" t="s">
        <v>4023</v>
      </c>
      <c r="C699" s="370">
        <v>1</v>
      </c>
      <c r="D699" s="6" t="s">
        <v>363</v>
      </c>
      <c r="E699" s="350">
        <f>45000*1.16</f>
        <v>52200</v>
      </c>
      <c r="F699" s="350"/>
      <c r="G699" s="350">
        <f>+E699*C699</f>
        <v>52200</v>
      </c>
      <c r="H699" s="350"/>
      <c r="I699" s="350"/>
    </row>
    <row r="700" spans="1:9">
      <c r="A700" s="587" t="s">
        <v>190</v>
      </c>
      <c r="B700" s="588">
        <f>SUM(F700:I700)</f>
        <v>52200</v>
      </c>
      <c r="C700" s="160"/>
      <c r="D700" s="2"/>
      <c r="E700" s="350"/>
      <c r="F700" s="350"/>
      <c r="G700" s="350">
        <f>+SUM(G699:G699)</f>
        <v>52200</v>
      </c>
      <c r="H700" s="350"/>
      <c r="I700" s="350"/>
    </row>
    <row r="701" spans="1:9">
      <c r="A701" s="587" t="s">
        <v>191</v>
      </c>
      <c r="B701" s="588">
        <f>+B700</f>
        <v>52200</v>
      </c>
      <c r="C701" s="21" t="s">
        <v>363</v>
      </c>
      <c r="D701" s="13"/>
      <c r="E701" s="13"/>
      <c r="F701" s="13"/>
      <c r="G701" s="13"/>
      <c r="H701" s="13"/>
      <c r="I701" s="13"/>
    </row>
    <row r="702" spans="1:9">
      <c r="A702" s="73"/>
      <c r="B702" s="80"/>
      <c r="C702" s="13"/>
      <c r="D702" s="13"/>
      <c r="E702" s="13"/>
      <c r="F702" s="13"/>
      <c r="G702" s="13"/>
      <c r="H702" s="13"/>
      <c r="I702" s="13"/>
    </row>
    <row r="703" spans="1:9">
      <c r="A703" s="724" t="e">
        <v>#REF!</v>
      </c>
      <c r="B703" s="3874" t="s">
        <v>4024</v>
      </c>
      <c r="C703" s="3875"/>
      <c r="D703" s="3875"/>
      <c r="E703" s="3875"/>
      <c r="F703" s="3875" t="s">
        <v>482</v>
      </c>
      <c r="G703" s="3875" t="s">
        <v>483</v>
      </c>
      <c r="H703" s="3875" t="s">
        <v>170</v>
      </c>
      <c r="I703" s="3876" t="s">
        <v>171</v>
      </c>
    </row>
    <row r="704" spans="1:9">
      <c r="B704" s="17"/>
      <c r="C704" s="243" t="s">
        <v>140</v>
      </c>
      <c r="D704" s="243" t="s">
        <v>343</v>
      </c>
      <c r="E704" s="243" t="s">
        <v>344</v>
      </c>
      <c r="F704" s="243" t="s">
        <v>482</v>
      </c>
      <c r="G704" s="243" t="s">
        <v>483</v>
      </c>
      <c r="H704" s="243" t="s">
        <v>170</v>
      </c>
      <c r="I704" s="243" t="s">
        <v>171</v>
      </c>
    </row>
    <row r="705" spans="1:9">
      <c r="A705" s="471"/>
      <c r="B705" s="732" t="s">
        <v>4025</v>
      </c>
      <c r="C705" s="370">
        <v>1</v>
      </c>
      <c r="D705" s="6" t="s">
        <v>363</v>
      </c>
      <c r="E705" s="350">
        <f>82000*1.16</f>
        <v>95120</v>
      </c>
      <c r="F705" s="350"/>
      <c r="G705" s="350">
        <f>+E705*C705</f>
        <v>95120</v>
      </c>
      <c r="H705" s="350"/>
      <c r="I705" s="350"/>
    </row>
    <row r="706" spans="1:9">
      <c r="A706" s="587" t="s">
        <v>190</v>
      </c>
      <c r="B706" s="588">
        <f>SUM(F706:I706)</f>
        <v>95120</v>
      </c>
      <c r="C706" s="160"/>
      <c r="D706" s="2"/>
      <c r="E706" s="350"/>
      <c r="F706" s="350"/>
      <c r="G706" s="350">
        <f>+SUM(G705:G705)</f>
        <v>95120</v>
      </c>
      <c r="H706" s="350"/>
      <c r="I706" s="350"/>
    </row>
    <row r="707" spans="1:9">
      <c r="A707" s="587" t="s">
        <v>191</v>
      </c>
      <c r="B707" s="588">
        <f>+B706</f>
        <v>95120</v>
      </c>
      <c r="C707" s="21" t="s">
        <v>363</v>
      </c>
      <c r="D707" s="13"/>
      <c r="E707" s="13"/>
      <c r="F707" s="13"/>
      <c r="G707" s="13"/>
      <c r="H707" s="13"/>
      <c r="I707" s="13"/>
    </row>
    <row r="708" spans="1:9">
      <c r="A708" s="73"/>
      <c r="B708" s="80"/>
      <c r="C708" s="13"/>
      <c r="D708" s="13"/>
      <c r="E708" s="13"/>
      <c r="F708" s="13"/>
      <c r="G708" s="13"/>
      <c r="H708" s="13"/>
      <c r="I708" s="13"/>
    </row>
    <row r="709" spans="1:9">
      <c r="A709" s="724" t="e">
        <v>#REF!</v>
      </c>
      <c r="B709" s="3874" t="s">
        <v>4026</v>
      </c>
      <c r="C709" s="3875"/>
      <c r="D709" s="3875"/>
      <c r="E709" s="3875"/>
      <c r="F709" s="3875" t="s">
        <v>482</v>
      </c>
      <c r="G709" s="3875" t="s">
        <v>483</v>
      </c>
      <c r="H709" s="3875" t="s">
        <v>170</v>
      </c>
      <c r="I709" s="3876" t="s">
        <v>171</v>
      </c>
    </row>
    <row r="710" spans="1:9">
      <c r="B710" s="17"/>
      <c r="C710" s="243" t="s">
        <v>140</v>
      </c>
      <c r="D710" s="243" t="s">
        <v>343</v>
      </c>
      <c r="E710" s="243" t="s">
        <v>344</v>
      </c>
      <c r="F710" s="243" t="s">
        <v>482</v>
      </c>
      <c r="G710" s="243" t="s">
        <v>483</v>
      </c>
      <c r="H710" s="243" t="s">
        <v>170</v>
      </c>
      <c r="I710" s="243" t="s">
        <v>171</v>
      </c>
    </row>
    <row r="711" spans="1:9">
      <c r="A711" s="471"/>
      <c r="B711" s="732" t="s">
        <v>4027</v>
      </c>
      <c r="C711" s="370">
        <v>1</v>
      </c>
      <c r="D711" s="6" t="s">
        <v>363</v>
      </c>
      <c r="E711" s="350">
        <f>20000*1.16</f>
        <v>23200</v>
      </c>
      <c r="F711" s="350"/>
      <c r="G711" s="350">
        <f>+E711*C711</f>
        <v>23200</v>
      </c>
      <c r="H711" s="350"/>
      <c r="I711" s="350"/>
    </row>
    <row r="712" spans="1:9">
      <c r="A712" s="587" t="s">
        <v>190</v>
      </c>
      <c r="B712" s="588">
        <f>SUM(F712:I712)</f>
        <v>23200</v>
      </c>
      <c r="C712" s="160"/>
      <c r="D712" s="2"/>
      <c r="E712" s="350"/>
      <c r="F712" s="350"/>
      <c r="G712" s="350">
        <f>+SUM(G711:G711)</f>
        <v>23200</v>
      </c>
      <c r="H712" s="350"/>
      <c r="I712" s="350"/>
    </row>
    <row r="713" spans="1:9">
      <c r="A713" s="587" t="s">
        <v>191</v>
      </c>
      <c r="B713" s="588">
        <f>+B712</f>
        <v>23200</v>
      </c>
      <c r="C713" s="21" t="s">
        <v>363</v>
      </c>
      <c r="D713" s="13"/>
      <c r="E713" s="13"/>
      <c r="F713" s="13"/>
      <c r="G713" s="13"/>
      <c r="H713" s="13"/>
      <c r="I713" s="13"/>
    </row>
    <row r="714" spans="1:9">
      <c r="A714" s="73"/>
      <c r="B714" s="80"/>
      <c r="C714" s="13"/>
      <c r="D714" s="13"/>
      <c r="E714" s="13"/>
      <c r="F714" s="13"/>
      <c r="G714" s="13"/>
      <c r="H714" s="13"/>
      <c r="I714" s="13"/>
    </row>
    <row r="715" spans="1:9">
      <c r="A715" s="724" t="e">
        <v>#REF!</v>
      </c>
      <c r="B715" s="3874" t="s">
        <v>4028</v>
      </c>
      <c r="C715" s="3875"/>
      <c r="D715" s="3875"/>
      <c r="E715" s="3875"/>
      <c r="F715" s="3875" t="s">
        <v>482</v>
      </c>
      <c r="G715" s="3875" t="s">
        <v>483</v>
      </c>
      <c r="H715" s="3875" t="s">
        <v>170</v>
      </c>
      <c r="I715" s="3876" t="s">
        <v>171</v>
      </c>
    </row>
    <row r="716" spans="1:9">
      <c r="B716" s="17"/>
      <c r="C716" s="243" t="s">
        <v>140</v>
      </c>
      <c r="D716" s="243" t="s">
        <v>343</v>
      </c>
      <c r="E716" s="243" t="s">
        <v>344</v>
      </c>
      <c r="F716" s="243" t="s">
        <v>482</v>
      </c>
      <c r="G716" s="243" t="s">
        <v>483</v>
      </c>
      <c r="H716" s="243" t="s">
        <v>170</v>
      </c>
      <c r="I716" s="243" t="s">
        <v>171</v>
      </c>
    </row>
    <row r="717" spans="1:9">
      <c r="A717" s="471"/>
      <c r="B717" s="732" t="s">
        <v>4029</v>
      </c>
      <c r="C717" s="370">
        <v>1</v>
      </c>
      <c r="D717" s="6" t="s">
        <v>363</v>
      </c>
      <c r="E717" s="350">
        <f>2600000*1.16</f>
        <v>3016000</v>
      </c>
      <c r="F717" s="350"/>
      <c r="G717" s="350">
        <f>+E717*C717</f>
        <v>3016000</v>
      </c>
      <c r="H717" s="350"/>
      <c r="I717" s="350"/>
    </row>
    <row r="718" spans="1:9">
      <c r="A718" s="587" t="s">
        <v>190</v>
      </c>
      <c r="B718" s="588">
        <f>SUM(F718:I718)</f>
        <v>3016000</v>
      </c>
      <c r="C718" s="160"/>
      <c r="D718" s="2"/>
      <c r="E718" s="350"/>
      <c r="F718" s="350"/>
      <c r="G718" s="350">
        <f>+SUM(G717:G717)</f>
        <v>3016000</v>
      </c>
      <c r="H718" s="350"/>
      <c r="I718" s="350"/>
    </row>
    <row r="719" spans="1:9">
      <c r="A719" s="587" t="s">
        <v>191</v>
      </c>
      <c r="B719" s="588">
        <f>+B718</f>
        <v>3016000</v>
      </c>
      <c r="C719" s="21" t="s">
        <v>363</v>
      </c>
      <c r="D719" s="13"/>
      <c r="E719" s="13"/>
      <c r="F719" s="13"/>
      <c r="G719" s="13"/>
      <c r="H719" s="13"/>
      <c r="I719" s="13"/>
    </row>
    <row r="720" spans="1:9">
      <c r="A720" s="73"/>
      <c r="B720" s="80"/>
      <c r="C720" s="13"/>
      <c r="D720" s="13"/>
      <c r="E720" s="13"/>
      <c r="F720" s="13"/>
      <c r="G720" s="13"/>
      <c r="H720" s="13"/>
      <c r="I720" s="13"/>
    </row>
    <row r="721" spans="1:9">
      <c r="A721" s="724" t="e">
        <v>#REF!</v>
      </c>
      <c r="B721" s="3874" t="s">
        <v>4030</v>
      </c>
      <c r="C721" s="3875"/>
      <c r="D721" s="3875"/>
      <c r="E721" s="3875"/>
      <c r="F721" s="3875" t="s">
        <v>482</v>
      </c>
      <c r="G721" s="3875" t="s">
        <v>483</v>
      </c>
      <c r="H721" s="3875" t="s">
        <v>170</v>
      </c>
      <c r="I721" s="3876" t="s">
        <v>171</v>
      </c>
    </row>
    <row r="722" spans="1:9">
      <c r="B722" s="17"/>
      <c r="C722" s="243" t="s">
        <v>140</v>
      </c>
      <c r="D722" s="243" t="s">
        <v>343</v>
      </c>
      <c r="E722" s="243" t="s">
        <v>344</v>
      </c>
      <c r="F722" s="243" t="s">
        <v>482</v>
      </c>
      <c r="G722" s="243" t="s">
        <v>483</v>
      </c>
      <c r="H722" s="243" t="s">
        <v>170</v>
      </c>
      <c r="I722" s="243" t="s">
        <v>171</v>
      </c>
    </row>
    <row r="723" spans="1:9">
      <c r="A723" s="471"/>
      <c r="B723" s="732" t="s">
        <v>4031</v>
      </c>
      <c r="C723" s="346">
        <v>1E-3</v>
      </c>
      <c r="D723" s="6" t="s">
        <v>4032</v>
      </c>
      <c r="E723" s="350">
        <f>25000*1.16</f>
        <v>28999.999999999996</v>
      </c>
      <c r="F723" s="350"/>
      <c r="G723" s="350">
        <f>+E723*C723</f>
        <v>28.999999999999996</v>
      </c>
      <c r="H723" s="350"/>
      <c r="I723" s="350"/>
    </row>
    <row r="724" spans="1:9">
      <c r="A724" s="587" t="s">
        <v>190</v>
      </c>
      <c r="B724" s="588">
        <f>SUM(F724:I724)</f>
        <v>28.999999999999996</v>
      </c>
      <c r="C724" s="160"/>
      <c r="D724" s="2"/>
      <c r="E724" s="350"/>
      <c r="F724" s="350"/>
      <c r="G724" s="350">
        <f>+SUM(G723:G723)</f>
        <v>28.999999999999996</v>
      </c>
      <c r="H724" s="350"/>
      <c r="I724" s="350"/>
    </row>
    <row r="725" spans="1:9">
      <c r="A725" s="587" t="s">
        <v>191</v>
      </c>
      <c r="B725" s="588">
        <f>+B724</f>
        <v>28.999999999999996</v>
      </c>
      <c r="C725" s="21" t="s">
        <v>45</v>
      </c>
      <c r="D725" s="13"/>
      <c r="E725" s="13"/>
      <c r="F725" s="13"/>
      <c r="G725" s="13"/>
      <c r="H725" s="13"/>
      <c r="I725" s="13"/>
    </row>
    <row r="726" spans="1:9">
      <c r="A726" s="73"/>
      <c r="B726" s="80"/>
      <c r="C726" s="13"/>
      <c r="D726" s="13"/>
      <c r="E726" s="13"/>
      <c r="F726" s="13"/>
      <c r="G726" s="13"/>
      <c r="H726" s="13"/>
      <c r="I726" s="13"/>
    </row>
    <row r="727" spans="1:9">
      <c r="A727" s="724" t="e">
        <v>#REF!</v>
      </c>
      <c r="B727" s="3874" t="s">
        <v>4033</v>
      </c>
      <c r="C727" s="3875"/>
      <c r="D727" s="3875"/>
      <c r="E727" s="3875"/>
      <c r="F727" s="3875" t="s">
        <v>482</v>
      </c>
      <c r="G727" s="3875" t="s">
        <v>483</v>
      </c>
      <c r="H727" s="3875" t="s">
        <v>170</v>
      </c>
      <c r="I727" s="3876" t="s">
        <v>171</v>
      </c>
    </row>
    <row r="728" spans="1:9">
      <c r="B728" s="17"/>
      <c r="C728" s="243" t="s">
        <v>140</v>
      </c>
      <c r="D728" s="243" t="s">
        <v>343</v>
      </c>
      <c r="E728" s="243" t="s">
        <v>344</v>
      </c>
      <c r="F728" s="243" t="s">
        <v>482</v>
      </c>
      <c r="G728" s="243" t="s">
        <v>483</v>
      </c>
      <c r="H728" s="243" t="s">
        <v>170</v>
      </c>
      <c r="I728" s="243" t="s">
        <v>171</v>
      </c>
    </row>
    <row r="729" spans="1:9">
      <c r="A729" s="471"/>
      <c r="B729" s="732" t="s">
        <v>4034</v>
      </c>
      <c r="C729" s="346">
        <v>1E-3</v>
      </c>
      <c r="D729" s="6" t="s">
        <v>4032</v>
      </c>
      <c r="E729" s="350">
        <f>50000*1.16</f>
        <v>57999.999999999993</v>
      </c>
      <c r="F729" s="350"/>
      <c r="G729" s="350">
        <f>+E729*C729</f>
        <v>57.999999999999993</v>
      </c>
      <c r="H729" s="350"/>
      <c r="I729" s="350"/>
    </row>
    <row r="730" spans="1:9">
      <c r="A730" s="587" t="s">
        <v>190</v>
      </c>
      <c r="B730" s="588">
        <f>SUM(F730:I730)</f>
        <v>57.999999999999993</v>
      </c>
      <c r="C730" s="160"/>
      <c r="D730" s="2"/>
      <c r="E730" s="350"/>
      <c r="F730" s="350"/>
      <c r="G730" s="350">
        <f>+SUM(G729:G729)</f>
        <v>57.999999999999993</v>
      </c>
      <c r="H730" s="350"/>
      <c r="I730" s="350"/>
    </row>
    <row r="731" spans="1:9">
      <c r="A731" s="587" t="s">
        <v>191</v>
      </c>
      <c r="B731" s="588">
        <f>+B730</f>
        <v>57.999999999999993</v>
      </c>
      <c r="C731" s="21" t="s">
        <v>45</v>
      </c>
      <c r="D731" s="13"/>
      <c r="E731" s="13"/>
      <c r="F731" s="13"/>
      <c r="G731" s="13"/>
      <c r="H731" s="13"/>
      <c r="I731" s="13"/>
    </row>
    <row r="732" spans="1:9">
      <c r="A732" s="73"/>
      <c r="B732" s="80"/>
      <c r="C732" s="13"/>
      <c r="D732" s="13"/>
      <c r="E732" s="13"/>
      <c r="F732" s="13"/>
      <c r="G732" s="13"/>
      <c r="H732" s="13"/>
      <c r="I732" s="13"/>
    </row>
    <row r="733" spans="1:9">
      <c r="A733" s="724" t="e">
        <v>#REF!</v>
      </c>
      <c r="B733" s="3874" t="s">
        <v>4035</v>
      </c>
      <c r="C733" s="3875"/>
      <c r="D733" s="3875"/>
      <c r="E733" s="3875"/>
      <c r="F733" s="3875" t="s">
        <v>482</v>
      </c>
      <c r="G733" s="3875" t="s">
        <v>483</v>
      </c>
      <c r="H733" s="3875" t="s">
        <v>170</v>
      </c>
      <c r="I733" s="3876" t="s">
        <v>171</v>
      </c>
    </row>
    <row r="734" spans="1:9">
      <c r="B734" s="17"/>
      <c r="C734" s="243" t="s">
        <v>140</v>
      </c>
      <c r="D734" s="243" t="s">
        <v>343</v>
      </c>
      <c r="E734" s="243" t="s">
        <v>344</v>
      </c>
      <c r="F734" s="243" t="s">
        <v>482</v>
      </c>
      <c r="G734" s="243" t="s">
        <v>483</v>
      </c>
      <c r="H734" s="243" t="s">
        <v>170</v>
      </c>
      <c r="I734" s="243" t="s">
        <v>171</v>
      </c>
    </row>
    <row r="735" spans="1:9">
      <c r="A735" s="471"/>
      <c r="B735" s="732" t="s">
        <v>4036</v>
      </c>
      <c r="C735" s="346">
        <v>1E-3</v>
      </c>
      <c r="D735" s="6" t="s">
        <v>4032</v>
      </c>
      <c r="E735" s="350">
        <f>37000*1.16</f>
        <v>42920</v>
      </c>
      <c r="F735" s="350"/>
      <c r="G735" s="350">
        <f>+E735*C735</f>
        <v>42.92</v>
      </c>
      <c r="H735" s="350"/>
      <c r="I735" s="350"/>
    </row>
    <row r="736" spans="1:9">
      <c r="A736" s="587" t="s">
        <v>190</v>
      </c>
      <c r="B736" s="588">
        <f>SUM(F736:I736)</f>
        <v>42.92</v>
      </c>
      <c r="C736" s="160"/>
      <c r="D736" s="2"/>
      <c r="E736" s="350"/>
      <c r="F736" s="350"/>
      <c r="G736" s="350">
        <f>+SUM(G735:G735)</f>
        <v>42.92</v>
      </c>
      <c r="H736" s="350"/>
      <c r="I736" s="350"/>
    </row>
    <row r="737" spans="1:9">
      <c r="A737" s="587" t="s">
        <v>191</v>
      </c>
      <c r="B737" s="588">
        <f>+B736</f>
        <v>42.92</v>
      </c>
      <c r="C737" s="21" t="s">
        <v>45</v>
      </c>
      <c r="D737" s="13"/>
      <c r="E737" s="13"/>
      <c r="F737" s="13"/>
      <c r="G737" s="13"/>
      <c r="H737" s="13"/>
      <c r="I737" s="13"/>
    </row>
    <row r="738" spans="1:9">
      <c r="A738" s="73"/>
      <c r="B738" s="80"/>
      <c r="C738" s="13"/>
      <c r="D738" s="13"/>
      <c r="E738" s="13"/>
      <c r="F738" s="13"/>
      <c r="G738" s="13"/>
      <c r="H738" s="13"/>
      <c r="I738" s="13"/>
    </row>
    <row r="739" spans="1:9">
      <c r="A739" s="724" t="e">
        <v>#REF!</v>
      </c>
      <c r="B739" s="3874" t="s">
        <v>4037</v>
      </c>
      <c r="C739" s="3875"/>
      <c r="D739" s="3875"/>
      <c r="E739" s="3875"/>
      <c r="F739" s="3875" t="s">
        <v>482</v>
      </c>
      <c r="G739" s="3875" t="s">
        <v>483</v>
      </c>
      <c r="H739" s="3875" t="s">
        <v>170</v>
      </c>
      <c r="I739" s="3876" t="s">
        <v>171</v>
      </c>
    </row>
    <row r="740" spans="1:9">
      <c r="B740" s="17"/>
      <c r="C740" s="243" t="s">
        <v>140</v>
      </c>
      <c r="D740" s="243" t="s">
        <v>343</v>
      </c>
      <c r="E740" s="243" t="s">
        <v>344</v>
      </c>
      <c r="F740" s="243" t="s">
        <v>482</v>
      </c>
      <c r="G740" s="243" t="s">
        <v>483</v>
      </c>
      <c r="H740" s="243" t="s">
        <v>170</v>
      </c>
      <c r="I740" s="243" t="s">
        <v>171</v>
      </c>
    </row>
    <row r="741" spans="1:9">
      <c r="A741" s="471"/>
      <c r="B741" s="732" t="s">
        <v>4038</v>
      </c>
      <c r="C741" s="346">
        <v>1E-3</v>
      </c>
      <c r="D741" s="6" t="s">
        <v>4032</v>
      </c>
      <c r="E741" s="350">
        <f>270000*1.16</f>
        <v>313200</v>
      </c>
      <c r="F741" s="350"/>
      <c r="G741" s="350">
        <f>+E741*C741</f>
        <v>313.2</v>
      </c>
      <c r="H741" s="350"/>
      <c r="I741" s="350"/>
    </row>
    <row r="742" spans="1:9">
      <c r="A742" s="587" t="s">
        <v>190</v>
      </c>
      <c r="B742" s="588">
        <f>SUM(F742:I742)</f>
        <v>313.2</v>
      </c>
      <c r="C742" s="160"/>
      <c r="D742" s="2"/>
      <c r="E742" s="350"/>
      <c r="F742" s="350"/>
      <c r="G742" s="350">
        <f>+SUM(G741:G741)</f>
        <v>313.2</v>
      </c>
      <c r="H742" s="350"/>
      <c r="I742" s="350"/>
    </row>
    <row r="743" spans="1:9">
      <c r="A743" s="587" t="s">
        <v>191</v>
      </c>
      <c r="B743" s="588">
        <f>+B742</f>
        <v>313.2</v>
      </c>
      <c r="C743" s="21" t="s">
        <v>45</v>
      </c>
      <c r="D743" s="13"/>
      <c r="E743" s="13"/>
      <c r="F743" s="13"/>
      <c r="G743" s="13"/>
      <c r="H743" s="13"/>
      <c r="I743" s="13"/>
    </row>
    <row r="744" spans="1:9">
      <c r="A744" s="73"/>
      <c r="B744" s="80"/>
      <c r="C744" s="13"/>
      <c r="D744" s="13"/>
      <c r="E744" s="13"/>
      <c r="F744" s="13"/>
      <c r="G744" s="13"/>
      <c r="H744" s="13"/>
      <c r="I744" s="13"/>
    </row>
    <row r="745" spans="1:9">
      <c r="A745" s="724" t="e">
        <v>#REF!</v>
      </c>
      <c r="B745" s="3874" t="s">
        <v>4039</v>
      </c>
      <c r="C745" s="3875"/>
      <c r="D745" s="3875"/>
      <c r="E745" s="3875"/>
      <c r="F745" s="3875"/>
      <c r="G745" s="3875"/>
      <c r="H745" s="3875"/>
      <c r="I745" s="3876"/>
    </row>
    <row r="746" spans="1:9">
      <c r="B746" s="17"/>
      <c r="C746" s="243" t="s">
        <v>140</v>
      </c>
      <c r="D746" s="243" t="s">
        <v>343</v>
      </c>
      <c r="E746" s="243" t="s">
        <v>344</v>
      </c>
      <c r="F746" s="243" t="s">
        <v>482</v>
      </c>
      <c r="G746" s="243" t="s">
        <v>483</v>
      </c>
      <c r="H746" s="243" t="s">
        <v>170</v>
      </c>
      <c r="I746" s="243" t="s">
        <v>171</v>
      </c>
    </row>
    <row r="747" spans="1:9">
      <c r="A747" s="471"/>
      <c r="B747" s="732" t="s">
        <v>4040</v>
      </c>
      <c r="C747" s="346">
        <v>1E-3</v>
      </c>
      <c r="D747" s="6" t="s">
        <v>4032</v>
      </c>
      <c r="E747" s="350">
        <f>37500*1.16</f>
        <v>43500</v>
      </c>
      <c r="F747" s="350"/>
      <c r="G747" s="350">
        <f>+E747*C747</f>
        <v>43.5</v>
      </c>
      <c r="H747" s="350"/>
      <c r="I747" s="350"/>
    </row>
    <row r="748" spans="1:9">
      <c r="A748" s="587" t="s">
        <v>190</v>
      </c>
      <c r="B748" s="588">
        <f>SUM(F748:I748)</f>
        <v>43.5</v>
      </c>
      <c r="C748" s="160"/>
      <c r="D748" s="2"/>
      <c r="E748" s="350"/>
      <c r="F748" s="350"/>
      <c r="G748" s="350">
        <f>+SUM(G747:G747)</f>
        <v>43.5</v>
      </c>
      <c r="H748" s="350"/>
      <c r="I748" s="350"/>
    </row>
    <row r="749" spans="1:9">
      <c r="A749" s="587" t="s">
        <v>191</v>
      </c>
      <c r="B749" s="588">
        <f>+B748</f>
        <v>43.5</v>
      </c>
      <c r="C749" s="21" t="s">
        <v>45</v>
      </c>
      <c r="D749" s="13"/>
      <c r="E749" s="13"/>
      <c r="F749" s="13"/>
      <c r="G749" s="13"/>
      <c r="H749" s="13"/>
      <c r="I749" s="13"/>
    </row>
    <row r="750" spans="1:9">
      <c r="A750" s="73"/>
      <c r="B750" s="80"/>
      <c r="C750" s="13"/>
      <c r="D750" s="13"/>
      <c r="E750" s="13"/>
      <c r="F750" s="13"/>
      <c r="G750" s="13"/>
      <c r="H750" s="13"/>
      <c r="I750" s="13"/>
    </row>
    <row r="751" spans="1:9">
      <c r="A751" s="724" t="e">
        <v>#REF!</v>
      </c>
      <c r="B751" s="3872" t="s">
        <v>4041</v>
      </c>
      <c r="C751" s="3872"/>
      <c r="D751" s="3872"/>
      <c r="E751" s="3872"/>
      <c r="F751" s="3872" t="s">
        <v>482</v>
      </c>
      <c r="G751" s="3872" t="s">
        <v>483</v>
      </c>
      <c r="H751" s="3872" t="s">
        <v>170</v>
      </c>
      <c r="I751" s="3872" t="s">
        <v>171</v>
      </c>
    </row>
    <row r="752" spans="1:9">
      <c r="B752" s="17"/>
      <c r="C752" s="243" t="s">
        <v>140</v>
      </c>
      <c r="D752" s="243" t="s">
        <v>343</v>
      </c>
      <c r="E752" s="243" t="s">
        <v>344</v>
      </c>
      <c r="F752" s="243" t="s">
        <v>482</v>
      </c>
      <c r="G752" s="243" t="s">
        <v>483</v>
      </c>
      <c r="H752" s="243" t="s">
        <v>170</v>
      </c>
      <c r="I752" s="243" t="s">
        <v>171</v>
      </c>
    </row>
    <row r="753" spans="1:9">
      <c r="A753" s="471"/>
      <c r="B753" s="732" t="s">
        <v>4042</v>
      </c>
      <c r="C753" s="346">
        <v>1E-3</v>
      </c>
      <c r="D753" s="6" t="s">
        <v>4032</v>
      </c>
      <c r="E753" s="350">
        <f>100000*1.16</f>
        <v>115999.99999999999</v>
      </c>
      <c r="F753" s="350"/>
      <c r="G753" s="350">
        <f>+E753*C753</f>
        <v>115.99999999999999</v>
      </c>
      <c r="H753" s="350"/>
      <c r="I753" s="350"/>
    </row>
    <row r="754" spans="1:9">
      <c r="A754" s="587" t="s">
        <v>190</v>
      </c>
      <c r="B754" s="588">
        <f>SUM(F754:I754)</f>
        <v>115.99999999999999</v>
      </c>
      <c r="C754" s="160"/>
      <c r="D754" s="2"/>
      <c r="E754" s="350"/>
      <c r="F754" s="350"/>
      <c r="G754" s="350">
        <f>+SUM(G753:G753)</f>
        <v>115.99999999999999</v>
      </c>
      <c r="H754" s="350"/>
      <c r="I754" s="350"/>
    </row>
    <row r="755" spans="1:9">
      <c r="A755" s="587" t="s">
        <v>191</v>
      </c>
      <c r="B755" s="588">
        <f>+B754</f>
        <v>115.99999999999999</v>
      </c>
      <c r="C755" s="21" t="s">
        <v>45</v>
      </c>
      <c r="D755" s="13"/>
      <c r="E755" s="13"/>
      <c r="F755" s="13"/>
      <c r="G755" s="13"/>
      <c r="H755" s="13"/>
      <c r="I755" s="13"/>
    </row>
    <row r="756" spans="1:9">
      <c r="A756" s="73"/>
      <c r="B756" s="80"/>
      <c r="C756" s="13"/>
      <c r="D756" s="13"/>
      <c r="E756" s="13"/>
      <c r="F756" s="13"/>
      <c r="G756" s="13"/>
      <c r="H756" s="13"/>
      <c r="I756" s="13"/>
    </row>
    <row r="757" spans="1:9">
      <c r="A757" s="594" t="s">
        <v>4043</v>
      </c>
      <c r="B757" s="3558" t="s">
        <v>4042</v>
      </c>
      <c r="C757" s="3558"/>
      <c r="D757" s="3558"/>
      <c r="E757" s="3558"/>
      <c r="F757" s="3558" t="s">
        <v>482</v>
      </c>
      <c r="G757" s="3558" t="s">
        <v>483</v>
      </c>
      <c r="H757" s="3558" t="s">
        <v>170</v>
      </c>
      <c r="I757" s="3558" t="s">
        <v>171</v>
      </c>
    </row>
    <row r="758" spans="1:9">
      <c r="B758" s="17"/>
      <c r="C758" s="243" t="s">
        <v>140</v>
      </c>
      <c r="D758" s="243" t="s">
        <v>343</v>
      </c>
      <c r="E758" s="243" t="s">
        <v>344</v>
      </c>
      <c r="F758" s="243" t="s">
        <v>482</v>
      </c>
      <c r="G758" s="243" t="s">
        <v>483</v>
      </c>
      <c r="H758" s="243" t="s">
        <v>170</v>
      </c>
      <c r="I758" s="243" t="s">
        <v>171</v>
      </c>
    </row>
    <row r="759" spans="1:9">
      <c r="A759" s="471"/>
      <c r="B759" s="732" t="s">
        <v>4042</v>
      </c>
      <c r="C759" s="346">
        <v>1E-3</v>
      </c>
      <c r="D759" s="6" t="s">
        <v>4032</v>
      </c>
      <c r="E759" s="350">
        <f>100000*1.16</f>
        <v>115999.99999999999</v>
      </c>
      <c r="F759" s="350"/>
      <c r="G759" s="350">
        <f>+E759*C759</f>
        <v>115.99999999999999</v>
      </c>
      <c r="H759" s="350"/>
      <c r="I759" s="350"/>
    </row>
    <row r="760" spans="1:9">
      <c r="A760" s="587" t="s">
        <v>190</v>
      </c>
      <c r="B760" s="588">
        <f>SUM(F760:I760)</f>
        <v>115.99999999999999</v>
      </c>
      <c r="C760" s="160"/>
      <c r="D760" s="2"/>
      <c r="E760" s="350"/>
      <c r="F760" s="350"/>
      <c r="G760" s="350">
        <f>+SUM(G759:G759)</f>
        <v>115.99999999999999</v>
      </c>
      <c r="H760" s="350"/>
      <c r="I760" s="350"/>
    </row>
    <row r="761" spans="1:9">
      <c r="A761" s="21" t="str">
        <f>IF(AIU&gt;0,"+"&amp;""&amp;AIU*100&amp;"% AIU:",0)</f>
        <v>+29,572249606751% AIU:</v>
      </c>
      <c r="B761" s="39">
        <f>+B760*AIU</f>
        <v>34.303809543831143</v>
      </c>
      <c r="C761" s="733"/>
      <c r="D761" s="13"/>
      <c r="E761" s="13"/>
      <c r="F761" s="13"/>
      <c r="G761" s="13"/>
      <c r="H761" s="13"/>
      <c r="I761" s="13"/>
    </row>
    <row r="762" spans="1:9">
      <c r="A762" s="587" t="s">
        <v>191</v>
      </c>
      <c r="B762" s="588">
        <f>+B760+B761</f>
        <v>150.30380954383114</v>
      </c>
      <c r="C762" s="21" t="s">
        <v>45</v>
      </c>
      <c r="D762" s="13"/>
      <c r="E762" s="13"/>
      <c r="F762" s="13"/>
      <c r="G762" s="13"/>
      <c r="H762" s="13"/>
      <c r="I762" s="13"/>
    </row>
    <row r="763" spans="1:9">
      <c r="A763" s="73"/>
      <c r="B763" s="80"/>
      <c r="C763" s="13"/>
      <c r="D763" s="13"/>
      <c r="E763" s="13"/>
      <c r="F763" s="13"/>
      <c r="G763" s="13"/>
      <c r="H763" s="13"/>
      <c r="I763" s="13"/>
    </row>
    <row r="764" spans="1:9">
      <c r="A764" s="724" t="e">
        <v>#REF!</v>
      </c>
      <c r="B764" s="3872" t="s">
        <v>4044</v>
      </c>
      <c r="C764" s="3872"/>
      <c r="D764" s="3872"/>
      <c r="E764" s="3872"/>
      <c r="F764" s="3872" t="s">
        <v>482</v>
      </c>
      <c r="G764" s="3872" t="s">
        <v>483</v>
      </c>
      <c r="H764" s="3872" t="s">
        <v>170</v>
      </c>
      <c r="I764" s="3872" t="s">
        <v>171</v>
      </c>
    </row>
    <row r="765" spans="1:9">
      <c r="B765" s="17"/>
      <c r="C765" s="243" t="s">
        <v>140</v>
      </c>
      <c r="D765" s="243" t="s">
        <v>343</v>
      </c>
      <c r="E765" s="243" t="s">
        <v>344</v>
      </c>
      <c r="F765" s="243" t="s">
        <v>482</v>
      </c>
      <c r="G765" s="243" t="s">
        <v>483</v>
      </c>
      <c r="H765" s="243" t="s">
        <v>170</v>
      </c>
      <c r="I765" s="243" t="s">
        <v>171</v>
      </c>
    </row>
    <row r="766" spans="1:9">
      <c r="A766" s="471"/>
      <c r="B766" s="732" t="s">
        <v>4045</v>
      </c>
      <c r="C766" s="346">
        <v>1E-3</v>
      </c>
      <c r="D766" s="6" t="s">
        <v>4032</v>
      </c>
      <c r="E766" s="350">
        <f>62000*1.16</f>
        <v>71920</v>
      </c>
      <c r="F766" s="350"/>
      <c r="G766" s="350">
        <f>+E766*C766</f>
        <v>71.92</v>
      </c>
      <c r="H766" s="350"/>
      <c r="I766" s="350"/>
    </row>
    <row r="767" spans="1:9">
      <c r="A767" s="587" t="s">
        <v>190</v>
      </c>
      <c r="B767" s="588">
        <f>SUM(F767:I767)</f>
        <v>71.92</v>
      </c>
      <c r="C767" s="160"/>
      <c r="D767" s="2"/>
      <c r="E767" s="350"/>
      <c r="F767" s="350"/>
      <c r="G767" s="350">
        <f>+SUM(G766:G766)</f>
        <v>71.92</v>
      </c>
      <c r="H767" s="350"/>
      <c r="I767" s="350"/>
    </row>
    <row r="768" spans="1:9">
      <c r="A768" s="587" t="s">
        <v>191</v>
      </c>
      <c r="B768" s="588">
        <f>+B767</f>
        <v>71.92</v>
      </c>
      <c r="C768" s="21" t="s">
        <v>45</v>
      </c>
      <c r="D768" s="13"/>
      <c r="E768" s="13"/>
      <c r="F768" s="13"/>
      <c r="G768" s="13"/>
      <c r="H768" s="13"/>
      <c r="I768" s="13"/>
    </row>
    <row r="770" spans="1:9">
      <c r="A770" s="3694" t="s">
        <v>4046</v>
      </c>
      <c r="B770" s="3695"/>
      <c r="C770" s="3695"/>
      <c r="D770" s="3695"/>
      <c r="E770" s="3695"/>
      <c r="F770" s="3695"/>
      <c r="G770" s="3695"/>
      <c r="H770" s="3695"/>
      <c r="I770" s="3895"/>
    </row>
    <row r="772" spans="1:9">
      <c r="A772" s="582" t="s">
        <v>5199</v>
      </c>
      <c r="B772" s="3855" t="s">
        <v>3867</v>
      </c>
      <c r="C772" s="3856"/>
      <c r="D772" s="3856"/>
      <c r="E772" s="3856"/>
      <c r="F772" s="3856"/>
      <c r="G772" s="3856"/>
      <c r="H772" s="3856"/>
      <c r="I772" s="3857"/>
    </row>
    <row r="773" spans="1:9">
      <c r="A773" s="470"/>
      <c r="B773" s="670"/>
      <c r="C773" s="34" t="s">
        <v>140</v>
      </c>
      <c r="D773" s="2" t="s">
        <v>343</v>
      </c>
      <c r="E773" s="32" t="s">
        <v>344</v>
      </c>
      <c r="F773" s="32" t="s">
        <v>482</v>
      </c>
      <c r="G773" s="32" t="s">
        <v>483</v>
      </c>
      <c r="H773" s="32" t="s">
        <v>232</v>
      </c>
      <c r="I773" s="32" t="s">
        <v>171</v>
      </c>
    </row>
    <row r="774" spans="1:9" ht="18">
      <c r="A774" s="470" t="s">
        <v>736</v>
      </c>
      <c r="B774" s="167" t="s">
        <v>737</v>
      </c>
      <c r="C774" s="182">
        <f>1/6.2</f>
        <v>0.16129032258064516</v>
      </c>
      <c r="D774" s="470" t="s">
        <v>735</v>
      </c>
      <c r="E774" s="677">
        <f>+RETRO</f>
        <v>150000</v>
      </c>
      <c r="F774" s="677">
        <f>+E774*C774</f>
        <v>24193.548387096773</v>
      </c>
      <c r="G774" s="677"/>
      <c r="H774" s="677"/>
      <c r="I774" s="677"/>
    </row>
    <row r="775" spans="1:9">
      <c r="A775" s="470" t="s">
        <v>172</v>
      </c>
      <c r="B775" s="167" t="s">
        <v>189</v>
      </c>
      <c r="C775" s="168">
        <v>1</v>
      </c>
      <c r="D775" s="470" t="s">
        <v>583</v>
      </c>
      <c r="E775" s="677">
        <f>+H777*0.05</f>
        <v>50.299765840000006</v>
      </c>
      <c r="F775" s="677"/>
      <c r="G775" s="677"/>
      <c r="H775" s="677"/>
      <c r="I775" s="677">
        <f>+E775*C775</f>
        <v>50.299765840000006</v>
      </c>
    </row>
    <row r="776" spans="1:9" ht="18">
      <c r="A776" s="470" t="s">
        <v>348</v>
      </c>
      <c r="B776" s="167" t="str">
        <f>IF(PRESTA&gt;0,"AYUD. RASO (INCLUYE "&amp;""&amp;PRESTA*100&amp;"% PRESTACIONES)",0)</f>
        <v>AYUD. RASO (INCLUYE 82,22% PRESTACIONES)</v>
      </c>
      <c r="C776" s="182">
        <f>1/50</f>
        <v>0.02</v>
      </c>
      <c r="D776" s="470" t="s">
        <v>346</v>
      </c>
      <c r="E776" s="677">
        <f>+AYUDR</f>
        <v>50299.76584</v>
      </c>
      <c r="F776" s="677"/>
      <c r="G776" s="677"/>
      <c r="H776" s="677">
        <f>+E776*C776</f>
        <v>1005.9953168000001</v>
      </c>
      <c r="I776" s="677"/>
    </row>
    <row r="777" spans="1:9">
      <c r="A777" s="587" t="s">
        <v>190</v>
      </c>
      <c r="B777" s="588">
        <f>ROUND(SUM(F777:I777),0)</f>
        <v>25250</v>
      </c>
      <c r="C777" s="168"/>
      <c r="D777" s="470"/>
      <c r="E777" s="677"/>
      <c r="F777" s="677">
        <f>+SUM(F774:F776)</f>
        <v>24193.548387096773</v>
      </c>
      <c r="G777" s="677">
        <f>+SUM(G774:G776)</f>
        <v>0</v>
      </c>
      <c r="H777" s="677">
        <f>+SUM(H774:H776)</f>
        <v>1005.9953168000001</v>
      </c>
      <c r="I777" s="677">
        <f>+SUM(I774:I776)</f>
        <v>50.299765840000006</v>
      </c>
    </row>
    <row r="778" spans="1:9">
      <c r="A778" s="587" t="s">
        <v>191</v>
      </c>
      <c r="B778" s="39">
        <f>+B777</f>
        <v>25250</v>
      </c>
      <c r="C778" s="681" t="s">
        <v>356</v>
      </c>
      <c r="D778" s="479"/>
      <c r="E778" s="682"/>
      <c r="F778" s="682"/>
      <c r="G778" s="682"/>
      <c r="H778" s="682"/>
      <c r="I778" s="682"/>
    </row>
    <row r="779" spans="1:9">
      <c r="A779" s="479"/>
      <c r="B779" s="675"/>
      <c r="C779" s="676"/>
      <c r="D779" s="178"/>
      <c r="E779" s="377"/>
      <c r="F779" s="377"/>
      <c r="G779" s="377"/>
      <c r="H779" s="377"/>
      <c r="I779" s="377"/>
    </row>
    <row r="780" spans="1:9">
      <c r="A780" s="582" t="s">
        <v>8633</v>
      </c>
      <c r="B780" s="3855" t="s">
        <v>1392</v>
      </c>
      <c r="C780" s="3856"/>
      <c r="D780" s="3856"/>
      <c r="E780" s="3856"/>
      <c r="F780" s="3856"/>
      <c r="G780" s="3856"/>
      <c r="H780" s="3856"/>
      <c r="I780" s="3857"/>
    </row>
    <row r="781" spans="1:9">
      <c r="A781" s="470"/>
      <c r="B781" s="670"/>
      <c r="C781" s="34" t="s">
        <v>140</v>
      </c>
      <c r="D781" s="2" t="s">
        <v>343</v>
      </c>
      <c r="E781" s="585" t="s">
        <v>344</v>
      </c>
      <c r="F781" s="585" t="s">
        <v>482</v>
      </c>
      <c r="G781" s="585" t="s">
        <v>483</v>
      </c>
      <c r="H781" s="585" t="s">
        <v>232</v>
      </c>
      <c r="I781" s="585" t="s">
        <v>171</v>
      </c>
    </row>
    <row r="782" spans="1:9" ht="18">
      <c r="A782" s="470" t="s">
        <v>738</v>
      </c>
      <c r="B782" s="670" t="s">
        <v>93</v>
      </c>
      <c r="C782" s="182">
        <v>0.67</v>
      </c>
      <c r="D782" s="243" t="s">
        <v>735</v>
      </c>
      <c r="E782" s="65">
        <f>+CANGU</f>
        <v>11625</v>
      </c>
      <c r="F782" s="65">
        <f>+E782*C782</f>
        <v>7788.7500000000009</v>
      </c>
      <c r="G782" s="65"/>
      <c r="H782" s="65"/>
      <c r="I782" s="65"/>
    </row>
    <row r="783" spans="1:9" ht="18">
      <c r="A783" s="470" t="s">
        <v>172</v>
      </c>
      <c r="B783" s="670" t="s">
        <v>189</v>
      </c>
      <c r="C783" s="687">
        <v>1</v>
      </c>
      <c r="D783" s="243" t="s">
        <v>583</v>
      </c>
      <c r="E783" s="65">
        <f>+H786*0.05</f>
        <v>402.39812672000005</v>
      </c>
      <c r="F783" s="65"/>
      <c r="G783" s="65"/>
      <c r="H783" s="65"/>
      <c r="I783" s="65">
        <f>+E783*C783</f>
        <v>402.39812672000005</v>
      </c>
    </row>
    <row r="784" spans="1:9" ht="18">
      <c r="A784" s="470" t="s">
        <v>348</v>
      </c>
      <c r="B784" s="670" t="str">
        <f>IF(PRESTA&gt;0,"AYUD. RASO (INCLUYE "&amp;""&amp;PRESTA*100&amp;"% PRESTACIONES)",0)</f>
        <v>AYUD. RASO (INCLUYE 82,22% PRESTACIONES)</v>
      </c>
      <c r="C784" s="182">
        <v>0.16</v>
      </c>
      <c r="D784" s="243" t="s">
        <v>346</v>
      </c>
      <c r="E784" s="65">
        <f>+AYUDR</f>
        <v>50299.76584</v>
      </c>
      <c r="F784" s="65"/>
      <c r="G784" s="65"/>
      <c r="H784" s="65">
        <f>+E784*C784</f>
        <v>8047.9625344000005</v>
      </c>
      <c r="I784" s="65"/>
    </row>
    <row r="785" spans="1:9" ht="18">
      <c r="A785" s="470" t="s">
        <v>458</v>
      </c>
      <c r="B785" s="670" t="s">
        <v>459</v>
      </c>
      <c r="C785" s="687">
        <v>1</v>
      </c>
      <c r="D785" s="34" t="s">
        <v>356</v>
      </c>
      <c r="E785" s="65">
        <v>2000</v>
      </c>
      <c r="F785" s="65"/>
      <c r="G785" s="65"/>
      <c r="H785" s="65"/>
      <c r="I785" s="65">
        <f>+E785*C785</f>
        <v>2000</v>
      </c>
    </row>
    <row r="786" spans="1:9">
      <c r="A786" s="20" t="s">
        <v>190</v>
      </c>
      <c r="B786" s="39">
        <f>SUM(F786:I786)</f>
        <v>18239.110661120001</v>
      </c>
      <c r="C786" s="370"/>
      <c r="D786" s="243"/>
      <c r="E786" s="65"/>
      <c r="F786" s="65">
        <f>+SUM(F782:F784)</f>
        <v>7788.7500000000009</v>
      </c>
      <c r="G786" s="65">
        <f>+SUM(G782:G784)</f>
        <v>0</v>
      </c>
      <c r="H786" s="65">
        <f>+SUM(H782:H784)</f>
        <v>8047.9625344000005</v>
      </c>
      <c r="I786" s="65">
        <f>+SUM(I782:I785)</f>
        <v>2402.3981267200002</v>
      </c>
    </row>
    <row r="787" spans="1:9">
      <c r="A787" s="20" t="s">
        <v>191</v>
      </c>
      <c r="B787" s="39">
        <f>+B786</f>
        <v>18239.110661120001</v>
      </c>
      <c r="C787" s="21" t="s">
        <v>356</v>
      </c>
      <c r="D787" s="178"/>
      <c r="E787" s="685"/>
      <c r="F787" s="685"/>
      <c r="G787" s="685"/>
      <c r="H787" s="685"/>
      <c r="I787" s="685"/>
    </row>
    <row r="788" spans="1:9">
      <c r="A788" s="734"/>
      <c r="B788" s="3898"/>
      <c r="C788" s="3898"/>
      <c r="D788" s="3898"/>
      <c r="E788" s="3898"/>
      <c r="F788" s="3898"/>
      <c r="G788" s="3898"/>
      <c r="H788" s="3898"/>
      <c r="I788" s="3898"/>
    </row>
    <row r="789" spans="1:9">
      <c r="A789" s="594" t="s">
        <v>8634</v>
      </c>
      <c r="B789" s="3871" t="s">
        <v>1457</v>
      </c>
      <c r="C789" s="3871"/>
      <c r="D789" s="3871"/>
      <c r="E789" s="3871"/>
      <c r="F789" s="3871"/>
      <c r="G789" s="3871"/>
      <c r="H789" s="3871"/>
      <c r="I789" s="3871"/>
    </row>
    <row r="790" spans="1:9">
      <c r="A790" s="243"/>
      <c r="B790" s="180"/>
      <c r="C790" s="243" t="s">
        <v>140</v>
      </c>
      <c r="D790" s="243" t="s">
        <v>343</v>
      </c>
      <c r="E790" s="65" t="s">
        <v>344</v>
      </c>
      <c r="F790" s="65" t="s">
        <v>482</v>
      </c>
      <c r="G790" s="65" t="s">
        <v>483</v>
      </c>
      <c r="H790" s="65" t="s">
        <v>232</v>
      </c>
      <c r="I790" s="65" t="s">
        <v>171</v>
      </c>
    </row>
    <row r="791" spans="1:9">
      <c r="A791" s="243" t="s">
        <v>736</v>
      </c>
      <c r="B791" s="180" t="s">
        <v>737</v>
      </c>
      <c r="C791" s="346">
        <f>1/10</f>
        <v>0.1</v>
      </c>
      <c r="D791" s="160" t="s">
        <v>735</v>
      </c>
      <c r="E791" s="65">
        <f>+RETRO</f>
        <v>150000</v>
      </c>
      <c r="F791" s="65">
        <f>+E791*C791</f>
        <v>15000</v>
      </c>
      <c r="G791" s="65"/>
      <c r="H791" s="65"/>
      <c r="I791" s="65"/>
    </row>
    <row r="792" spans="1:9">
      <c r="A792" s="470" t="s">
        <v>348</v>
      </c>
      <c r="B792" s="670" t="str">
        <f>IF(PRESTA&gt;0,"AYUD. RASO (INCLUYE "&amp;""&amp;PRESTA*100&amp;"% PRESTACIONES)",0)</f>
        <v>AYUD. RASO (INCLUYE 82,22% PRESTACIONES)</v>
      </c>
      <c r="C792" s="370">
        <f>1/10</f>
        <v>0.1</v>
      </c>
      <c r="D792" s="243" t="s">
        <v>346</v>
      </c>
      <c r="E792" s="65">
        <f>+AYUDR</f>
        <v>50299.76584</v>
      </c>
      <c r="F792" s="65"/>
      <c r="G792" s="65"/>
      <c r="H792" s="65">
        <f>+E792*C792</f>
        <v>5029.976584</v>
      </c>
      <c r="I792" s="65"/>
    </row>
    <row r="793" spans="1:9">
      <c r="A793" s="470" t="s">
        <v>172</v>
      </c>
      <c r="B793" s="670" t="s">
        <v>189</v>
      </c>
      <c r="C793" s="370">
        <v>1</v>
      </c>
      <c r="D793" s="243" t="s">
        <v>583</v>
      </c>
      <c r="E793" s="65">
        <f>+H794*0.05</f>
        <v>251.49882920000002</v>
      </c>
      <c r="F793" s="65"/>
      <c r="G793" s="65"/>
      <c r="H793" s="65"/>
      <c r="I793" s="65">
        <f>+E793*C793</f>
        <v>251.49882920000002</v>
      </c>
    </row>
    <row r="794" spans="1:9">
      <c r="A794" s="20" t="s">
        <v>190</v>
      </c>
      <c r="B794" s="39">
        <f>SUM(F794:I794)</f>
        <v>20281.475413200002</v>
      </c>
      <c r="C794" s="6"/>
      <c r="D794" s="169"/>
      <c r="E794" s="65"/>
      <c r="F794" s="65">
        <f>SUM(F789:F792)</f>
        <v>15000</v>
      </c>
      <c r="G794" s="65">
        <f>SUM(G789:G792)</f>
        <v>0</v>
      </c>
      <c r="H794" s="65">
        <f>SUM(H789:H792)</f>
        <v>5029.976584</v>
      </c>
      <c r="I794" s="65">
        <f>SUM(I789:I793)</f>
        <v>251.49882920000002</v>
      </c>
    </row>
    <row r="795" spans="1:9">
      <c r="A795" s="20" t="s">
        <v>191</v>
      </c>
      <c r="B795" s="39">
        <f>+B794</f>
        <v>20281.475413200002</v>
      </c>
      <c r="C795" s="20" t="s">
        <v>356</v>
      </c>
      <c r="D795" s="13"/>
      <c r="E795" s="170"/>
      <c r="F795" s="170"/>
      <c r="G795" s="170"/>
      <c r="H795" s="170"/>
      <c r="I795" s="170"/>
    </row>
    <row r="796" spans="1:9">
      <c r="A796" s="596"/>
    </row>
    <row r="797" spans="1:9">
      <c r="A797" s="582" t="s">
        <v>1171</v>
      </c>
      <c r="B797" s="3558" t="s">
        <v>1394</v>
      </c>
      <c r="C797" s="3558"/>
      <c r="D797" s="3558"/>
      <c r="E797" s="3558"/>
      <c r="F797" s="3558"/>
      <c r="G797" s="3558"/>
      <c r="H797" s="3558"/>
      <c r="I797" s="3558"/>
    </row>
    <row r="798" spans="1:9">
      <c r="A798" s="470"/>
      <c r="B798" s="689"/>
      <c r="C798" s="34" t="s">
        <v>140</v>
      </c>
      <c r="D798" s="2" t="s">
        <v>343</v>
      </c>
      <c r="E798" s="585" t="s">
        <v>344</v>
      </c>
      <c r="F798" s="585" t="s">
        <v>482</v>
      </c>
      <c r="G798" s="585" t="s">
        <v>483</v>
      </c>
      <c r="H798" s="585" t="s">
        <v>232</v>
      </c>
      <c r="I798" s="585" t="s">
        <v>171</v>
      </c>
    </row>
    <row r="799" spans="1:9">
      <c r="A799" s="470" t="s">
        <v>172</v>
      </c>
      <c r="B799" s="689" t="s">
        <v>189</v>
      </c>
      <c r="C799" s="370">
        <v>1</v>
      </c>
      <c r="D799" s="243" t="s">
        <v>583</v>
      </c>
      <c r="E799" s="65">
        <f>+H804*0.05</f>
        <v>1823.3665117</v>
      </c>
      <c r="F799" s="65"/>
      <c r="G799" s="65"/>
      <c r="H799" s="65"/>
      <c r="I799" s="65">
        <f>+E799*C799</f>
        <v>1823.3665117</v>
      </c>
    </row>
    <row r="800" spans="1:9">
      <c r="A800" s="470" t="s">
        <v>464</v>
      </c>
      <c r="B800" s="689" t="s">
        <v>582</v>
      </c>
      <c r="C800" s="370">
        <v>11</v>
      </c>
      <c r="D800" s="243" t="s">
        <v>583</v>
      </c>
      <c r="E800" s="65">
        <f>+TRANS</f>
        <v>1350</v>
      </c>
      <c r="F800" s="65"/>
      <c r="G800" s="65"/>
      <c r="H800" s="65"/>
      <c r="I800" s="65">
        <f>+E800*C800</f>
        <v>14850</v>
      </c>
    </row>
    <row r="801" spans="1:9">
      <c r="A801" s="470" t="s">
        <v>345</v>
      </c>
      <c r="B801" s="689" t="str">
        <f>IF(PRESTA&gt;0,"OFICIAL (INCLUYE "&amp;""&amp;PRESTA*100&amp;"% PRESTACIONES)",0)</f>
        <v>OFICIAL (INCLUYE 82,22% PRESTACIONES)</v>
      </c>
      <c r="C801" s="370">
        <v>0.25</v>
      </c>
      <c r="D801" s="243" t="s">
        <v>346</v>
      </c>
      <c r="E801" s="65">
        <f>+OFICI</f>
        <v>80479.625344</v>
      </c>
      <c r="F801" s="65"/>
      <c r="G801" s="65"/>
      <c r="H801" s="65">
        <f>+E801*C801</f>
        <v>20119.906336</v>
      </c>
      <c r="I801" s="65"/>
    </row>
    <row r="802" spans="1:9">
      <c r="A802" s="470" t="s">
        <v>347</v>
      </c>
      <c r="B802" s="689" t="str">
        <f>IF(PRESTA&gt;0,"AYUD. ENTENDIDO (INCLUYE "&amp;""&amp;PRESTA*100&amp;"% PRESTACIONES)",0)</f>
        <v>AYUD. ENTENDIDO (INCLUYE 82,22% PRESTACIONES)</v>
      </c>
      <c r="C802" s="370">
        <v>0.25</v>
      </c>
      <c r="D802" s="243" t="s">
        <v>346</v>
      </c>
      <c r="E802" s="65">
        <f>+AYUDA</f>
        <v>65389.695592000004</v>
      </c>
      <c r="F802" s="65"/>
      <c r="G802" s="65"/>
      <c r="H802" s="65">
        <f>+E802*C802</f>
        <v>16347.423898000001</v>
      </c>
      <c r="I802" s="65"/>
    </row>
    <row r="803" spans="1:9">
      <c r="A803" s="470" t="s">
        <v>307</v>
      </c>
      <c r="B803" s="689" t="s">
        <v>3870</v>
      </c>
      <c r="C803" s="370">
        <v>1.1000000000000001</v>
      </c>
      <c r="D803" s="243" t="s">
        <v>356</v>
      </c>
      <c r="E803" s="65">
        <f>+CT140KG</f>
        <v>364500.62422489998</v>
      </c>
      <c r="F803" s="65"/>
      <c r="G803" s="65">
        <f>+E803*C803</f>
        <v>400950.68664739002</v>
      </c>
      <c r="H803" s="65"/>
    </row>
    <row r="804" spans="1:9">
      <c r="A804" s="20" t="s">
        <v>190</v>
      </c>
      <c r="B804" s="39">
        <f>SUM(F804:I804)</f>
        <v>454091.38339308999</v>
      </c>
      <c r="C804" s="370"/>
      <c r="D804" s="243"/>
      <c r="E804" s="65"/>
      <c r="F804" s="65">
        <f>+SUM(F799:F803)</f>
        <v>0</v>
      </c>
      <c r="G804" s="65">
        <f>+SUM(G799:G803)</f>
        <v>400950.68664739002</v>
      </c>
      <c r="H804" s="65">
        <f>+SUM(H799:H803)</f>
        <v>36467.330234000001</v>
      </c>
      <c r="I804" s="65">
        <f>+SUM(I799:I803)</f>
        <v>16673.366511699998</v>
      </c>
    </row>
    <row r="805" spans="1:9">
      <c r="A805" s="20" t="s">
        <v>191</v>
      </c>
      <c r="B805" s="39">
        <f>+B804</f>
        <v>454091.38339308999</v>
      </c>
      <c r="C805" s="21" t="s">
        <v>356</v>
      </c>
      <c r="D805" s="31"/>
      <c r="E805" s="590"/>
      <c r="F805" s="590"/>
      <c r="G805" s="590"/>
      <c r="H805" s="590"/>
      <c r="I805" s="590"/>
    </row>
    <row r="806" spans="1:9">
      <c r="A806" s="702"/>
      <c r="B806" s="703"/>
      <c r="C806" s="252"/>
      <c r="D806" s="13"/>
      <c r="E806" s="170"/>
      <c r="F806" s="170"/>
      <c r="G806" s="3887"/>
      <c r="H806" s="3887"/>
      <c r="I806" s="170"/>
    </row>
    <row r="807" spans="1:9">
      <c r="A807" s="594" t="s">
        <v>1172</v>
      </c>
      <c r="B807" s="3871" t="s">
        <v>3871</v>
      </c>
      <c r="C807" s="3871"/>
      <c r="D807" s="3871"/>
      <c r="E807" s="3871"/>
      <c r="F807" s="3871"/>
      <c r="G807" s="3871"/>
      <c r="H807" s="3871"/>
      <c r="I807" s="3871"/>
    </row>
    <row r="808" spans="1:9">
      <c r="A808" s="243"/>
      <c r="B808" s="696"/>
      <c r="C808" s="34" t="s">
        <v>140</v>
      </c>
      <c r="D808" s="2" t="s">
        <v>343</v>
      </c>
      <c r="E808" s="585" t="s">
        <v>344</v>
      </c>
      <c r="F808" s="585" t="s">
        <v>482</v>
      </c>
      <c r="G808" s="585" t="s">
        <v>483</v>
      </c>
      <c r="H808" s="585" t="s">
        <v>232</v>
      </c>
      <c r="I808" s="585" t="s">
        <v>171</v>
      </c>
    </row>
    <row r="809" spans="1:9">
      <c r="A809" s="243" t="s">
        <v>246</v>
      </c>
      <c r="B809" s="696" t="s">
        <v>247</v>
      </c>
      <c r="C809" s="370">
        <v>0.125</v>
      </c>
      <c r="D809" s="243" t="s">
        <v>717</v>
      </c>
      <c r="E809" s="65">
        <f>+VIBGA</f>
        <v>47000</v>
      </c>
      <c r="F809" s="65">
        <f>+E809*C809</f>
        <v>5875</v>
      </c>
      <c r="G809" s="65"/>
      <c r="H809" s="65"/>
      <c r="I809" s="65"/>
    </row>
    <row r="810" spans="1:9">
      <c r="A810" s="243" t="s">
        <v>172</v>
      </c>
      <c r="B810" s="696" t="s">
        <v>189</v>
      </c>
      <c r="C810" s="370">
        <v>1</v>
      </c>
      <c r="D810" s="243" t="s">
        <v>583</v>
      </c>
      <c r="E810" s="65">
        <f>+H820*0.05</f>
        <v>5985.6721349600011</v>
      </c>
      <c r="F810" s="65"/>
      <c r="G810" s="65"/>
      <c r="H810" s="65"/>
      <c r="I810" s="65">
        <f>+E810*C810</f>
        <v>5985.6721349600011</v>
      </c>
    </row>
    <row r="811" spans="1:9">
      <c r="A811" s="2" t="s">
        <v>245</v>
      </c>
      <c r="B811" s="697" t="s">
        <v>146</v>
      </c>
      <c r="C811" s="698">
        <v>2</v>
      </c>
      <c r="D811" s="615" t="s">
        <v>363</v>
      </c>
      <c r="E811" s="699">
        <f>+TABLA</f>
        <v>2958</v>
      </c>
      <c r="F811" s="699"/>
      <c r="G811" s="699">
        <f>+E811*C811</f>
        <v>5916</v>
      </c>
      <c r="H811" s="699"/>
      <c r="I811" s="700"/>
    </row>
    <row r="812" spans="1:9">
      <c r="A812" s="2" t="s">
        <v>261</v>
      </c>
      <c r="B812" s="18" t="s">
        <v>262</v>
      </c>
      <c r="C812" s="698">
        <v>1</v>
      </c>
      <c r="D812" s="701" t="s">
        <v>363</v>
      </c>
      <c r="E812" s="699">
        <f>+TACOR</f>
        <v>3366</v>
      </c>
      <c r="F812" s="699"/>
      <c r="G812" s="699">
        <f>+E812*C812</f>
        <v>3366</v>
      </c>
      <c r="H812" s="699"/>
      <c r="I812" s="700"/>
    </row>
    <row r="813" spans="1:9">
      <c r="A813" s="2" t="s">
        <v>372</v>
      </c>
      <c r="B813" s="75" t="s">
        <v>373</v>
      </c>
      <c r="C813" s="698">
        <v>0.1</v>
      </c>
      <c r="D813" s="50" t="s">
        <v>374</v>
      </c>
      <c r="E813" s="699">
        <f>+CLAVO</f>
        <v>2300</v>
      </c>
      <c r="F813" s="699"/>
      <c r="G813" s="699">
        <f>+E813*C813</f>
        <v>230</v>
      </c>
      <c r="H813" s="699"/>
      <c r="I813" s="700"/>
    </row>
    <row r="814" spans="1:9">
      <c r="A814" s="243" t="s">
        <v>345</v>
      </c>
      <c r="B814" s="696" t="str">
        <f>IF(PRESTA&gt;0,"OFICIAL (INCLUYE "&amp;""&amp;PRESTA*100&amp;"% PRESTACIONES)",0)</f>
        <v>OFICIAL (INCLUYE 82,22% PRESTACIONES)</v>
      </c>
      <c r="C814" s="370">
        <v>0.3</v>
      </c>
      <c r="D814" s="243" t="s">
        <v>346</v>
      </c>
      <c r="E814" s="65">
        <f>+OFICI</f>
        <v>80479.625344</v>
      </c>
      <c r="F814" s="65"/>
      <c r="G814" s="65"/>
      <c r="H814" s="65">
        <f>+E814*C814</f>
        <v>24143.887603200001</v>
      </c>
      <c r="I814" s="65"/>
    </row>
    <row r="815" spans="1:9">
      <c r="A815" s="243" t="s">
        <v>347</v>
      </c>
      <c r="B815" s="696" t="str">
        <f>IF(PRESTA&gt;0,"AYUD. ENTENDIDO (INCLUYE "&amp;""&amp;PRESTA*100&amp;"% PRESTACIONES)",0)</f>
        <v>AYUD. ENTENDIDO (INCLUYE 82,22% PRESTACIONES)</v>
      </c>
      <c r="C815" s="370">
        <v>0.5</v>
      </c>
      <c r="D815" s="243" t="s">
        <v>346</v>
      </c>
      <c r="E815" s="65">
        <f>+AYUDA</f>
        <v>65389.695592000004</v>
      </c>
      <c r="F815" s="65"/>
      <c r="G815" s="65"/>
      <c r="H815" s="65">
        <f>+E815*C815</f>
        <v>32694.847796000002</v>
      </c>
      <c r="I815" s="65"/>
    </row>
    <row r="816" spans="1:9">
      <c r="A816" s="243" t="s">
        <v>348</v>
      </c>
      <c r="B816" s="696" t="str">
        <f>IF(PRESTA&gt;0,"AYUD. RASO (INCLUYE "&amp;""&amp;PRESTA*100&amp;"% PRESTACIONES)",0)</f>
        <v>AYUD. RASO (INCLUYE 82,22% PRESTACIONES)</v>
      </c>
      <c r="C816" s="370">
        <v>1.25</v>
      </c>
      <c r="D816" s="243" t="s">
        <v>346</v>
      </c>
      <c r="E816" s="65">
        <f>+AYUDR</f>
        <v>50299.76584</v>
      </c>
      <c r="F816" s="65"/>
      <c r="G816" s="65"/>
      <c r="H816" s="65">
        <f>+E816*C816</f>
        <v>62874.707300000002</v>
      </c>
      <c r="I816" s="65"/>
    </row>
    <row r="817" spans="1:9">
      <c r="A817" s="243" t="s">
        <v>302</v>
      </c>
      <c r="B817" s="696" t="s">
        <v>3872</v>
      </c>
      <c r="C817" s="370">
        <v>1.1000000000000001</v>
      </c>
      <c r="D817" s="243" t="s">
        <v>1292</v>
      </c>
      <c r="E817" s="65">
        <f>+CT245KG</f>
        <v>469469.49922490004</v>
      </c>
      <c r="F817" s="65"/>
      <c r="G817" s="65">
        <f>+E817*C817</f>
        <v>516416.44914739009</v>
      </c>
      <c r="H817" s="65"/>
      <c r="I817" s="5"/>
    </row>
    <row r="818" spans="1:9">
      <c r="A818" s="243" t="s">
        <v>464</v>
      </c>
      <c r="B818" s="696" t="s">
        <v>582</v>
      </c>
      <c r="C818" s="370">
        <v>15</v>
      </c>
      <c r="D818" s="243" t="s">
        <v>583</v>
      </c>
      <c r="E818" s="65">
        <f>+TRANS</f>
        <v>1350</v>
      </c>
      <c r="F818" s="65"/>
      <c r="G818" s="65"/>
      <c r="H818" s="65"/>
      <c r="I818" s="65">
        <f>+E818*C818</f>
        <v>20250</v>
      </c>
    </row>
    <row r="819" spans="1:9">
      <c r="A819" s="243" t="s">
        <v>250</v>
      </c>
      <c r="B819" s="696" t="s">
        <v>251</v>
      </c>
      <c r="C819" s="370">
        <v>2</v>
      </c>
      <c r="D819" s="243" t="s">
        <v>647</v>
      </c>
      <c r="E819" s="65">
        <f>+PLAST</f>
        <v>8896</v>
      </c>
      <c r="F819" s="65"/>
      <c r="G819" s="65">
        <f>+E819*C819</f>
        <v>17792</v>
      </c>
      <c r="H819" s="65"/>
      <c r="I819" s="65"/>
    </row>
    <row r="820" spans="1:9">
      <c r="A820" s="20" t="s">
        <v>190</v>
      </c>
      <c r="B820" s="39">
        <f>SUM(F820:I820)</f>
        <v>695544.56398155005</v>
      </c>
      <c r="C820" s="34"/>
      <c r="D820" s="243"/>
      <c r="E820" s="65"/>
      <c r="F820" s="65">
        <f>+SUM(F809:F819)</f>
        <v>5875</v>
      </c>
      <c r="G820" s="65">
        <f>+SUM(G809:G819)</f>
        <v>543720.44914739009</v>
      </c>
      <c r="H820" s="65">
        <f>+SUM(H809:H819)</f>
        <v>119713.44269920001</v>
      </c>
      <c r="I820" s="65">
        <f>+SUM(I809:I819)</f>
        <v>26235.672134960001</v>
      </c>
    </row>
    <row r="821" spans="1:9">
      <c r="A821" s="20" t="s">
        <v>191</v>
      </c>
      <c r="B821" s="39">
        <f>+B820</f>
        <v>695544.56398155005</v>
      </c>
      <c r="C821" s="21" t="s">
        <v>356</v>
      </c>
      <c r="D821" s="178"/>
      <c r="E821" s="685"/>
      <c r="F821" s="685"/>
      <c r="G821" s="685"/>
      <c r="H821" s="685"/>
      <c r="I821" s="685"/>
    </row>
    <row r="822" spans="1:9">
      <c r="A822" s="702"/>
      <c r="B822" s="703"/>
      <c r="C822" s="252"/>
      <c r="D822" s="13"/>
      <c r="E822" s="170"/>
      <c r="F822" s="170"/>
      <c r="G822" s="3887"/>
      <c r="H822" s="3887"/>
      <c r="I822" s="170"/>
    </row>
    <row r="823" spans="1:9">
      <c r="A823" s="582" t="s">
        <v>1173</v>
      </c>
      <c r="B823" s="3558" t="s">
        <v>3873</v>
      </c>
      <c r="C823" s="3558"/>
      <c r="D823" s="3558"/>
      <c r="E823" s="3558"/>
      <c r="F823" s="3558"/>
      <c r="G823" s="3558"/>
      <c r="H823" s="3558"/>
      <c r="I823" s="3558"/>
    </row>
    <row r="824" spans="1:9">
      <c r="A824" s="470"/>
      <c r="B824" s="670"/>
      <c r="C824" s="34" t="s">
        <v>140</v>
      </c>
      <c r="D824" s="2" t="s">
        <v>343</v>
      </c>
      <c r="E824" s="585" t="s">
        <v>344</v>
      </c>
      <c r="F824" s="585" t="s">
        <v>482</v>
      </c>
      <c r="G824" s="585" t="s">
        <v>483</v>
      </c>
      <c r="H824" s="585" t="s">
        <v>232</v>
      </c>
      <c r="I824" s="585" t="s">
        <v>171</v>
      </c>
    </row>
    <row r="825" spans="1:9">
      <c r="A825" s="470" t="s">
        <v>256</v>
      </c>
      <c r="B825" s="670" t="s">
        <v>257</v>
      </c>
      <c r="C825" s="370">
        <v>36</v>
      </c>
      <c r="D825" s="243" t="s">
        <v>346</v>
      </c>
      <c r="E825" s="65">
        <f>+TACOM</f>
        <v>538</v>
      </c>
      <c r="F825" s="65">
        <f>+E825*C825</f>
        <v>19368</v>
      </c>
      <c r="G825" s="65"/>
      <c r="H825" s="65"/>
      <c r="I825" s="65"/>
    </row>
    <row r="826" spans="1:9">
      <c r="A826" s="470" t="s">
        <v>258</v>
      </c>
      <c r="B826" s="670" t="s">
        <v>259</v>
      </c>
      <c r="C826" s="370">
        <v>0.125</v>
      </c>
      <c r="D826" s="243" t="s">
        <v>717</v>
      </c>
      <c r="E826" s="65">
        <f>+VIBRE</f>
        <v>25520</v>
      </c>
      <c r="F826" s="65">
        <f>+E826*C826</f>
        <v>3190</v>
      </c>
      <c r="G826" s="65"/>
      <c r="H826" s="65"/>
      <c r="I826" s="65"/>
    </row>
    <row r="827" spans="1:9">
      <c r="A827" s="470" t="s">
        <v>172</v>
      </c>
      <c r="B827" s="670" t="s">
        <v>189</v>
      </c>
      <c r="C827" s="370">
        <v>1</v>
      </c>
      <c r="D827" s="243" t="s">
        <v>583</v>
      </c>
      <c r="E827" s="65">
        <f>+H837*0.05</f>
        <v>6205.7336105100003</v>
      </c>
      <c r="F827" s="65"/>
      <c r="G827" s="65"/>
      <c r="H827" s="65"/>
      <c r="I827" s="65">
        <f>+E827*C827</f>
        <v>6205.7336105100003</v>
      </c>
    </row>
    <row r="828" spans="1:9">
      <c r="A828" s="470" t="s">
        <v>248</v>
      </c>
      <c r="B828" s="670" t="s">
        <v>249</v>
      </c>
      <c r="C828" s="370">
        <v>0.8</v>
      </c>
      <c r="D828" s="243" t="s">
        <v>363</v>
      </c>
      <c r="E828" s="65">
        <f>+TELEP</f>
        <v>15000</v>
      </c>
      <c r="F828" s="65">
        <f>+E828*C828</f>
        <v>12000</v>
      </c>
      <c r="G828" s="65"/>
      <c r="H828" s="65"/>
      <c r="I828" s="65"/>
    </row>
    <row r="829" spans="1:9">
      <c r="A829" s="470" t="s">
        <v>250</v>
      </c>
      <c r="B829" s="670" t="s">
        <v>251</v>
      </c>
      <c r="C829" s="370">
        <v>2</v>
      </c>
      <c r="D829" s="243" t="s">
        <v>647</v>
      </c>
      <c r="E829" s="65">
        <f>+PLAST</f>
        <v>8896</v>
      </c>
      <c r="F829" s="65"/>
      <c r="G829" s="65">
        <f>+E829*C829</f>
        <v>17792</v>
      </c>
      <c r="H829" s="65"/>
      <c r="I829" s="65"/>
    </row>
    <row r="830" spans="1:9">
      <c r="A830" s="470" t="s">
        <v>261</v>
      </c>
      <c r="B830" s="670" t="s">
        <v>262</v>
      </c>
      <c r="C830" s="370">
        <v>4</v>
      </c>
      <c r="D830" s="243" t="s">
        <v>363</v>
      </c>
      <c r="E830" s="65">
        <f>+TACOR</f>
        <v>3366</v>
      </c>
      <c r="F830" s="65"/>
      <c r="G830" s="65">
        <f>+E830*C830</f>
        <v>13464</v>
      </c>
      <c r="H830" s="65"/>
      <c r="I830" s="65"/>
    </row>
    <row r="831" spans="1:9">
      <c r="A831" s="470" t="s">
        <v>263</v>
      </c>
      <c r="B831" s="670" t="s">
        <v>264</v>
      </c>
      <c r="C831" s="370">
        <v>3</v>
      </c>
      <c r="D831" s="243" t="s">
        <v>374</v>
      </c>
      <c r="E831" s="65">
        <f>+PUNTI</f>
        <v>1632</v>
      </c>
      <c r="F831" s="65"/>
      <c r="G831" s="65">
        <f>+E831*C831</f>
        <v>4896</v>
      </c>
      <c r="H831" s="65"/>
      <c r="I831" s="65"/>
    </row>
    <row r="832" spans="1:9">
      <c r="A832" s="470" t="s">
        <v>464</v>
      </c>
      <c r="B832" s="670" t="s">
        <v>582</v>
      </c>
      <c r="C832" s="370">
        <v>15</v>
      </c>
      <c r="D832" s="243" t="s">
        <v>583</v>
      </c>
      <c r="E832" s="65">
        <f>+TRANS</f>
        <v>1350</v>
      </c>
      <c r="F832" s="65"/>
      <c r="G832" s="65"/>
      <c r="H832" s="65"/>
      <c r="I832" s="65">
        <f>+E832*C832</f>
        <v>20250</v>
      </c>
    </row>
    <row r="833" spans="1:9">
      <c r="A833" s="470" t="s">
        <v>345</v>
      </c>
      <c r="B833" s="670" t="str">
        <f>IF(PRESTA&gt;0,"OFICIAL (INCLUYE "&amp;""&amp;PRESTA*100&amp;"% PRESTACIONES)",0)</f>
        <v>OFICIAL (INCLUYE 82,22% PRESTACIONES)</v>
      </c>
      <c r="C833" s="370">
        <v>0.3</v>
      </c>
      <c r="D833" s="243" t="s">
        <v>346</v>
      </c>
      <c r="E833" s="65">
        <f>+OFICI</f>
        <v>80479.625344</v>
      </c>
      <c r="F833" s="65"/>
      <c r="G833" s="65"/>
      <c r="H833" s="65">
        <f>+E833*C833</f>
        <v>24143.887603200001</v>
      </c>
      <c r="I833" s="65"/>
    </row>
    <row r="834" spans="1:9">
      <c r="A834" s="470" t="s">
        <v>347</v>
      </c>
      <c r="B834" s="670" t="str">
        <f>IF(PRESTA&gt;0,"AYUD. ENTENDIDO (INCLUYE "&amp;""&amp;PRESTA*100&amp;"% PRESTACIONES)",0)</f>
        <v>AYUD. ENTENDIDO (INCLUYE 82,22% PRESTACIONES)</v>
      </c>
      <c r="C834" s="370">
        <v>0.375</v>
      </c>
      <c r="D834" s="243" t="s">
        <v>346</v>
      </c>
      <c r="E834" s="65">
        <f>+AYUDA</f>
        <v>65389.695592000004</v>
      </c>
      <c r="F834" s="65"/>
      <c r="G834" s="65"/>
      <c r="H834" s="65">
        <f>+E834*C834</f>
        <v>24521.135847000001</v>
      </c>
      <c r="I834" s="65"/>
    </row>
    <row r="835" spans="1:9">
      <c r="A835" s="470" t="s">
        <v>348</v>
      </c>
      <c r="B835" s="670" t="str">
        <f>IF(PRESTA&gt;0,"AYUD. RASO (INCLUYE "&amp;""&amp;PRESTA*100&amp;"% PRESTACIONES)",0)</f>
        <v>AYUD. RASO (INCLUYE 82,22% PRESTACIONES)</v>
      </c>
      <c r="C835" s="370">
        <v>1.5</v>
      </c>
      <c r="D835" s="243" t="s">
        <v>346</v>
      </c>
      <c r="E835" s="65">
        <f>+AYUDR</f>
        <v>50299.76584</v>
      </c>
      <c r="F835" s="65"/>
      <c r="G835" s="65"/>
      <c r="H835" s="65">
        <f>+E835*C835</f>
        <v>75449.648759999996</v>
      </c>
      <c r="I835" s="65"/>
    </row>
    <row r="836" spans="1:9">
      <c r="A836" s="470" t="s">
        <v>302</v>
      </c>
      <c r="B836" s="670" t="s">
        <v>3872</v>
      </c>
      <c r="C836" s="370">
        <v>1.02</v>
      </c>
      <c r="D836" s="243" t="s">
        <v>1292</v>
      </c>
      <c r="E836" s="65">
        <f>+CT245KG</f>
        <v>469469.49922490004</v>
      </c>
      <c r="F836" s="65"/>
      <c r="G836" s="65">
        <f>+E836*C836</f>
        <v>478858.88920939807</v>
      </c>
      <c r="H836" s="65"/>
      <c r="I836" s="704"/>
    </row>
    <row r="837" spans="1:9">
      <c r="A837" s="20" t="s">
        <v>190</v>
      </c>
      <c r="B837" s="39">
        <f>SUM(F837:I837)</f>
        <v>700139.29503010807</v>
      </c>
      <c r="C837" s="370"/>
      <c r="D837" s="243"/>
      <c r="E837" s="65"/>
      <c r="F837" s="65">
        <f>SUM(F825:F836)</f>
        <v>34558</v>
      </c>
      <c r="G837" s="65">
        <f>SUM(G825:G836)</f>
        <v>515010.88920939807</v>
      </c>
      <c r="H837" s="65">
        <f>SUM(H825:H836)</f>
        <v>124114.67221019999</v>
      </c>
      <c r="I837" s="65">
        <f>SUM(I825:I836)</f>
        <v>26455.73361051</v>
      </c>
    </row>
    <row r="838" spans="1:9">
      <c r="A838" s="20" t="s">
        <v>191</v>
      </c>
      <c r="B838" s="39">
        <f>+B837</f>
        <v>700139.29503010807</v>
      </c>
      <c r="C838" s="21" t="s">
        <v>356</v>
      </c>
      <c r="D838" s="178"/>
      <c r="E838" s="685"/>
      <c r="F838" s="685"/>
      <c r="G838" s="685"/>
      <c r="H838" s="685"/>
      <c r="I838" s="685"/>
    </row>
    <row r="839" spans="1:9">
      <c r="A839" s="596"/>
      <c r="B839" s="717"/>
      <c r="C839" s="718"/>
      <c r="D839" s="19"/>
      <c r="E839" s="580"/>
      <c r="F839" s="580"/>
      <c r="G839" s="580"/>
      <c r="H839" s="580"/>
      <c r="I839" s="580"/>
    </row>
    <row r="840" spans="1:9">
      <c r="A840" s="594" t="s">
        <v>1174</v>
      </c>
      <c r="B840" s="3871" t="s">
        <v>3874</v>
      </c>
      <c r="C840" s="3871"/>
      <c r="D840" s="3871"/>
      <c r="E840" s="3871"/>
      <c r="F840" s="3871"/>
      <c r="G840" s="3871"/>
      <c r="H840" s="3871"/>
      <c r="I840" s="3871"/>
    </row>
    <row r="841" spans="1:9">
      <c r="A841" s="705"/>
      <c r="B841" s="706"/>
      <c r="C841" s="705" t="s">
        <v>140</v>
      </c>
      <c r="D841" s="705" t="s">
        <v>343</v>
      </c>
      <c r="E841" s="707" t="s">
        <v>344</v>
      </c>
      <c r="F841" s="707" t="s">
        <v>482</v>
      </c>
      <c r="G841" s="707" t="s">
        <v>483</v>
      </c>
      <c r="H841" s="707" t="s">
        <v>232</v>
      </c>
      <c r="I841" s="707" t="s">
        <v>171</v>
      </c>
    </row>
    <row r="842" spans="1:9">
      <c r="A842" s="243" t="s">
        <v>172</v>
      </c>
      <c r="B842" s="696" t="s">
        <v>189</v>
      </c>
      <c r="C842" s="346">
        <v>1</v>
      </c>
      <c r="D842" s="160" t="s">
        <v>583</v>
      </c>
      <c r="E842" s="65">
        <f>+H850*0.05</f>
        <v>4149.7306817999997</v>
      </c>
      <c r="F842" s="65"/>
      <c r="G842" s="65"/>
      <c r="H842" s="65"/>
      <c r="I842" s="65">
        <f>+E842*C842</f>
        <v>4149.7306817999997</v>
      </c>
    </row>
    <row r="843" spans="1:9">
      <c r="A843" s="243" t="s">
        <v>669</v>
      </c>
      <c r="B843" s="696" t="s">
        <v>670</v>
      </c>
      <c r="C843" s="346">
        <v>8</v>
      </c>
      <c r="D843" s="160" t="s">
        <v>45</v>
      </c>
      <c r="E843" s="65">
        <f>+FORMA</f>
        <v>2222.2222222222222</v>
      </c>
      <c r="F843" s="65"/>
      <c r="G843" s="65">
        <f>+E843*C843</f>
        <v>17777.777777777777</v>
      </c>
      <c r="H843" s="65"/>
      <c r="I843" s="65"/>
    </row>
    <row r="844" spans="1:9">
      <c r="A844" s="470" t="s">
        <v>258</v>
      </c>
      <c r="B844" s="670" t="s">
        <v>259</v>
      </c>
      <c r="C844" s="370">
        <v>0.125</v>
      </c>
      <c r="D844" s="243" t="s">
        <v>717</v>
      </c>
      <c r="E844" s="65">
        <f>+VIBRE</f>
        <v>25520</v>
      </c>
      <c r="F844" s="65">
        <f>+E844*C844</f>
        <v>3190</v>
      </c>
      <c r="G844" s="65"/>
      <c r="H844" s="65"/>
      <c r="I844" s="65"/>
    </row>
    <row r="845" spans="1:9">
      <c r="A845" s="243" t="s">
        <v>345</v>
      </c>
      <c r="B845" s="696" t="s">
        <v>3875</v>
      </c>
      <c r="C845" s="346">
        <v>0.5</v>
      </c>
      <c r="D845" s="160" t="s">
        <v>346</v>
      </c>
      <c r="E845" s="65">
        <f>+OFICI</f>
        <v>80479.625344</v>
      </c>
      <c r="F845" s="65"/>
      <c r="G845" s="65"/>
      <c r="H845" s="65">
        <f>+E845*C845</f>
        <v>40239.812672</v>
      </c>
      <c r="I845" s="65"/>
    </row>
    <row r="846" spans="1:9">
      <c r="A846" s="243" t="s">
        <v>347</v>
      </c>
      <c r="B846" s="696" t="s">
        <v>3876</v>
      </c>
      <c r="C846" s="346">
        <v>0.5</v>
      </c>
      <c r="D846" s="160" t="s">
        <v>346</v>
      </c>
      <c r="E846" s="65">
        <f>+AYUDA</f>
        <v>65389.695592000004</v>
      </c>
      <c r="F846" s="65"/>
      <c r="G846" s="65"/>
      <c r="H846" s="65">
        <f>+E846*C846</f>
        <v>32694.847796000002</v>
      </c>
      <c r="I846" s="65"/>
    </row>
    <row r="847" spans="1:9">
      <c r="A847" s="243" t="s">
        <v>348</v>
      </c>
      <c r="B847" s="696" t="s">
        <v>3877</v>
      </c>
      <c r="C847" s="346">
        <v>0.2</v>
      </c>
      <c r="D847" s="160" t="s">
        <v>346</v>
      </c>
      <c r="E847" s="65">
        <f>+AYUDR</f>
        <v>50299.76584</v>
      </c>
      <c r="F847" s="65"/>
      <c r="G847" s="65"/>
      <c r="H847" s="65">
        <f>+E847*C847</f>
        <v>10059.953168</v>
      </c>
      <c r="I847" s="65"/>
    </row>
    <row r="848" spans="1:9">
      <c r="A848" s="243" t="s">
        <v>302</v>
      </c>
      <c r="B848" s="179" t="s">
        <v>16</v>
      </c>
      <c r="C848" s="370">
        <v>1.1000000000000001</v>
      </c>
      <c r="D848" s="243" t="s">
        <v>356</v>
      </c>
      <c r="E848" s="65">
        <f>+CT245KG</f>
        <v>469469.49922490004</v>
      </c>
      <c r="F848" s="65"/>
      <c r="G848" s="65">
        <f>+E848*C848</f>
        <v>516416.44914739009</v>
      </c>
      <c r="H848" s="65"/>
      <c r="I848" s="65"/>
    </row>
    <row r="849" spans="1:9">
      <c r="A849" s="243" t="s">
        <v>464</v>
      </c>
      <c r="B849" s="696" t="s">
        <v>582</v>
      </c>
      <c r="C849" s="346">
        <v>15</v>
      </c>
      <c r="D849" s="160" t="s">
        <v>583</v>
      </c>
      <c r="E849" s="65">
        <f>+TRANS</f>
        <v>1350</v>
      </c>
      <c r="F849" s="65"/>
      <c r="G849" s="65"/>
      <c r="H849" s="65"/>
      <c r="I849" s="65">
        <f>+E849*C849</f>
        <v>20250</v>
      </c>
    </row>
    <row r="850" spans="1:9">
      <c r="A850" s="20" t="s">
        <v>190</v>
      </c>
      <c r="B850" s="39">
        <f>SUM(F850:I850)</f>
        <v>644778.57124296785</v>
      </c>
      <c r="C850" s="34"/>
      <c r="D850" s="169"/>
      <c r="E850" s="65"/>
      <c r="F850" s="65">
        <f>SUM(F841:F849)</f>
        <v>3190</v>
      </c>
      <c r="G850" s="65">
        <f>SUM(G841:G849)</f>
        <v>534194.22692516784</v>
      </c>
      <c r="H850" s="65">
        <f>SUM(H841:H849)</f>
        <v>82994.613635999995</v>
      </c>
      <c r="I850" s="65">
        <f>SUM(I841:I849)</f>
        <v>24399.7306818</v>
      </c>
    </row>
    <row r="851" spans="1:9">
      <c r="A851" s="20" t="s">
        <v>191</v>
      </c>
      <c r="B851" s="39">
        <f>+B850</f>
        <v>644778.57124296785</v>
      </c>
      <c r="C851" s="21" t="s">
        <v>356</v>
      </c>
      <c r="D851" s="13"/>
      <c r="E851" s="170"/>
      <c r="F851" s="170"/>
      <c r="G851" s="170"/>
      <c r="H851" s="170"/>
      <c r="I851" s="170"/>
    </row>
    <row r="852" spans="1:9">
      <c r="C852" s="178"/>
      <c r="D852" s="178"/>
      <c r="E852" s="685"/>
      <c r="F852" s="685"/>
      <c r="G852" s="685"/>
      <c r="H852" s="685"/>
      <c r="I852" s="685"/>
    </row>
    <row r="853" spans="1:9">
      <c r="A853" s="582" t="s">
        <v>1159</v>
      </c>
      <c r="B853" s="3558" t="s">
        <v>1464</v>
      </c>
      <c r="C853" s="3558"/>
      <c r="D853" s="3558"/>
      <c r="E853" s="3558"/>
      <c r="F853" s="3558"/>
      <c r="G853" s="3558"/>
      <c r="H853" s="3558"/>
      <c r="I853" s="3558"/>
    </row>
    <row r="854" spans="1:9">
      <c r="A854" s="470"/>
      <c r="B854" s="670"/>
      <c r="C854" s="34" t="s">
        <v>140</v>
      </c>
      <c r="D854" s="2" t="s">
        <v>343</v>
      </c>
      <c r="E854" s="585" t="s">
        <v>344</v>
      </c>
      <c r="F854" s="585" t="s">
        <v>482</v>
      </c>
      <c r="G854" s="585" t="s">
        <v>483</v>
      </c>
      <c r="H854" s="585" t="s">
        <v>232</v>
      </c>
      <c r="I854" s="585" t="s">
        <v>171</v>
      </c>
    </row>
    <row r="855" spans="1:9">
      <c r="A855" s="470" t="s">
        <v>172</v>
      </c>
      <c r="B855" s="670" t="s">
        <v>189</v>
      </c>
      <c r="C855" s="370">
        <v>1</v>
      </c>
      <c r="D855" s="243" t="s">
        <v>583</v>
      </c>
      <c r="E855" s="65">
        <f>+H861*0.05</f>
        <v>59.25941163025</v>
      </c>
      <c r="F855" s="65"/>
      <c r="G855" s="65"/>
      <c r="H855" s="65"/>
      <c r="I855" s="65">
        <f>+E855*C855</f>
        <v>59.25941163025</v>
      </c>
    </row>
    <row r="856" spans="1:9">
      <c r="A856" s="470" t="s">
        <v>865</v>
      </c>
      <c r="B856" s="670" t="s">
        <v>866</v>
      </c>
      <c r="C856" s="370">
        <v>0.04</v>
      </c>
      <c r="D856" s="243" t="s">
        <v>647</v>
      </c>
      <c r="E856" s="65">
        <f>+ALANR</f>
        <v>3000</v>
      </c>
      <c r="F856" s="65"/>
      <c r="G856" s="65">
        <f>+E856*C856</f>
        <v>120</v>
      </c>
      <c r="H856" s="65"/>
      <c r="I856" s="65"/>
    </row>
    <row r="857" spans="1:9">
      <c r="A857" s="470" t="s">
        <v>867</v>
      </c>
      <c r="B857" s="670" t="s">
        <v>96</v>
      </c>
      <c r="C857" s="370">
        <v>1</v>
      </c>
      <c r="D857" s="243" t="s">
        <v>647</v>
      </c>
      <c r="E857" s="65">
        <f>+A60FI</f>
        <v>3200</v>
      </c>
      <c r="F857" s="65"/>
      <c r="G857" s="65">
        <f>+E857*C857</f>
        <v>3200</v>
      </c>
      <c r="H857" s="65"/>
      <c r="I857" s="65"/>
    </row>
    <row r="858" spans="1:9">
      <c r="A858" s="243" t="s">
        <v>345</v>
      </c>
      <c r="B858" s="696" t="str">
        <f>IF(PRESTA&gt;0,"OFICIAL (INCLUYE "&amp;""&amp;PRESTA*100&amp;"% PRESTACIONES)",0)</f>
        <v>OFICIAL (INCLUYE 82,22% PRESTACIONES)</v>
      </c>
      <c r="C858" s="370">
        <f>0.065/8</f>
        <v>8.1250000000000003E-3</v>
      </c>
      <c r="D858" s="243" t="s">
        <v>346</v>
      </c>
      <c r="E858" s="65">
        <f>+OFICI</f>
        <v>80479.625344</v>
      </c>
      <c r="F858" s="65"/>
      <c r="G858" s="65"/>
      <c r="H858" s="65">
        <f>+E858*C858</f>
        <v>653.89695591999998</v>
      </c>
      <c r="I858" s="65"/>
    </row>
    <row r="859" spans="1:9">
      <c r="A859" s="243" t="s">
        <v>347</v>
      </c>
      <c r="B859" s="696" t="str">
        <f>IF(PRESTA&gt;0,"AYUD. ENTENDIDO (INCLUYE "&amp;""&amp;PRESTA*100&amp;"% PRESTACIONES)",0)</f>
        <v>AYUD. ENTENDIDO (INCLUYE 82,22% PRESTACIONES)</v>
      </c>
      <c r="C859" s="370">
        <f>0.065/8</f>
        <v>8.1250000000000003E-3</v>
      </c>
      <c r="D859" s="243" t="s">
        <v>346</v>
      </c>
      <c r="E859" s="65">
        <f>+AYUDA</f>
        <v>65389.695592000004</v>
      </c>
      <c r="F859" s="65"/>
      <c r="G859" s="65"/>
      <c r="H859" s="65">
        <f>+E859*C859</f>
        <v>531.29127668500007</v>
      </c>
      <c r="I859" s="65"/>
    </row>
    <row r="860" spans="1:9">
      <c r="A860" s="470" t="s">
        <v>584</v>
      </c>
      <c r="B860" s="670" t="s">
        <v>134</v>
      </c>
      <c r="C860" s="708">
        <v>2.5000000000000001E-4</v>
      </c>
      <c r="D860" s="243" t="s">
        <v>583</v>
      </c>
      <c r="E860" s="65">
        <f>+VIAJE</f>
        <v>1200000</v>
      </c>
      <c r="F860" s="65"/>
      <c r="G860" s="65"/>
      <c r="H860" s="65"/>
      <c r="I860" s="65">
        <f>+E860*C860</f>
        <v>300</v>
      </c>
    </row>
    <row r="861" spans="1:9">
      <c r="A861" s="20" t="s">
        <v>190</v>
      </c>
      <c r="B861" s="39">
        <f>SUM(F861:I861)</f>
        <v>4864.4476442352498</v>
      </c>
      <c r="C861" s="34"/>
      <c r="D861" s="243"/>
      <c r="E861" s="65"/>
      <c r="F861" s="65">
        <f>+SUM(F855:F860)</f>
        <v>0</v>
      </c>
      <c r="G861" s="65">
        <f>+SUM(G855:G860)</f>
        <v>3320</v>
      </c>
      <c r="H861" s="65">
        <f>+SUM(H855:H860)</f>
        <v>1185.1882326049999</v>
      </c>
      <c r="I861" s="65">
        <f>+SUM(I855:I860)</f>
        <v>359.25941163024999</v>
      </c>
    </row>
    <row r="862" spans="1:9">
      <c r="A862" s="20" t="s">
        <v>191</v>
      </c>
      <c r="B862" s="39">
        <f>+B861</f>
        <v>4864.4476442352498</v>
      </c>
      <c r="C862" s="21" t="s">
        <v>647</v>
      </c>
      <c r="D862" s="178"/>
      <c r="E862" s="685"/>
      <c r="F862" s="685"/>
      <c r="G862" s="685"/>
      <c r="H862" s="685"/>
      <c r="I862" s="685"/>
    </row>
    <row r="865" spans="1:9">
      <c r="A865" s="683">
        <v>5.6</v>
      </c>
      <c r="B865" s="3871" t="s">
        <v>1395</v>
      </c>
      <c r="C865" s="3871"/>
      <c r="D865" s="3871"/>
      <c r="E865" s="3871"/>
      <c r="F865" s="3871"/>
      <c r="G865" s="3871"/>
      <c r="H865" s="3871"/>
      <c r="I865" s="3871"/>
    </row>
    <row r="866" spans="1:9">
      <c r="A866" s="2"/>
      <c r="B866" s="5"/>
      <c r="C866" s="2" t="s">
        <v>140</v>
      </c>
      <c r="D866" s="2" t="s">
        <v>343</v>
      </c>
      <c r="E866" s="585" t="s">
        <v>344</v>
      </c>
      <c r="F866" s="585" t="s">
        <v>482</v>
      </c>
      <c r="G866" s="585" t="s">
        <v>483</v>
      </c>
      <c r="H866" s="585" t="s">
        <v>232</v>
      </c>
      <c r="I866" s="585" t="s">
        <v>171</v>
      </c>
    </row>
    <row r="867" spans="1:9">
      <c r="A867" s="2" t="s">
        <v>172</v>
      </c>
      <c r="B867" s="5" t="s">
        <v>189</v>
      </c>
      <c r="C867" s="684">
        <v>1</v>
      </c>
      <c r="D867" s="6" t="s">
        <v>583</v>
      </c>
      <c r="E867" s="585">
        <f>+H873*0.05</f>
        <v>1961.6908677600002</v>
      </c>
      <c r="F867" s="585"/>
      <c r="G867" s="585"/>
      <c r="H867" s="585"/>
      <c r="I867" s="585">
        <f>+E867*C867</f>
        <v>1961.6908677600002</v>
      </c>
    </row>
    <row r="868" spans="1:9">
      <c r="A868" s="2" t="s">
        <v>335</v>
      </c>
      <c r="B868" s="3" t="s">
        <v>728</v>
      </c>
      <c r="C868" s="684">
        <v>1.05</v>
      </c>
      <c r="D868" s="6" t="s">
        <v>356</v>
      </c>
      <c r="E868" s="585">
        <v>385000</v>
      </c>
      <c r="F868" s="585"/>
      <c r="G868" s="585">
        <f>+E868*C868</f>
        <v>404250</v>
      </c>
      <c r="H868" s="585"/>
      <c r="I868" s="585"/>
    </row>
    <row r="869" spans="1:9">
      <c r="A869" s="2" t="s">
        <v>137</v>
      </c>
      <c r="B869" s="5" t="s">
        <v>138</v>
      </c>
      <c r="C869" s="684">
        <v>1.05</v>
      </c>
      <c r="D869" s="6" t="s">
        <v>356</v>
      </c>
      <c r="E869" s="585">
        <f>+TRANAG</f>
        <v>30600</v>
      </c>
      <c r="F869" s="585"/>
      <c r="G869" s="585"/>
      <c r="H869" s="585"/>
      <c r="I869" s="585">
        <f>+E869*C869</f>
        <v>32130</v>
      </c>
    </row>
    <row r="870" spans="1:9">
      <c r="A870" s="471" t="s">
        <v>345</v>
      </c>
      <c r="B870" s="3" t="str">
        <f>IF(PRESTA&gt;0,"OFICIAL (INCLUYE "&amp;""&amp;PRESTA*100&amp;"% PRESTACIONES)",0)</f>
        <v>OFICIAL (INCLUYE 82,22% PRESTACIONES)</v>
      </c>
      <c r="C870" s="346">
        <v>0.2</v>
      </c>
      <c r="D870" s="160" t="s">
        <v>346</v>
      </c>
      <c r="E870" s="710">
        <f>+OFICI</f>
        <v>80479.625344</v>
      </c>
      <c r="F870" s="585"/>
      <c r="G870" s="585"/>
      <c r="H870" s="585">
        <f>+E870*C870</f>
        <v>16095.925068800001</v>
      </c>
      <c r="I870" s="585"/>
    </row>
    <row r="871" spans="1:9">
      <c r="A871" s="2" t="s">
        <v>347</v>
      </c>
      <c r="B871" s="5" t="str">
        <f>IF(PRESTA&gt;0,"AYUD. ENTENDIDO (INCLUYE "&amp;""&amp;PRESTA*100&amp;"% PRESTACIONES)",0)</f>
        <v>AYUD. ENTENDIDO (INCLUYE 82,22% PRESTACIONES)</v>
      </c>
      <c r="C871" s="684">
        <v>0.2</v>
      </c>
      <c r="D871" s="6" t="s">
        <v>346</v>
      </c>
      <c r="E871" s="585">
        <f>+AYUDA</f>
        <v>65389.695592000004</v>
      </c>
      <c r="F871" s="585"/>
      <c r="G871" s="585"/>
      <c r="H871" s="585">
        <f>+E871*C871</f>
        <v>13077.939118400001</v>
      </c>
      <c r="I871" s="585"/>
    </row>
    <row r="872" spans="1:9">
      <c r="A872" s="2" t="s">
        <v>348</v>
      </c>
      <c r="B872" s="5" t="str">
        <f>IF(PRESTA&gt;0,"AYUD. RASO (INCLUYE "&amp;""&amp;PRESTA*100&amp;"% PRESTACIONES)",0)</f>
        <v>AYUD. RASO (INCLUYE 82,22% PRESTACIONES)</v>
      </c>
      <c r="C872" s="684">
        <v>0.2</v>
      </c>
      <c r="D872" s="6" t="s">
        <v>346</v>
      </c>
      <c r="E872" s="585">
        <f>+AYUDR</f>
        <v>50299.76584</v>
      </c>
      <c r="F872" s="585"/>
      <c r="G872" s="585"/>
      <c r="H872" s="585">
        <f>+E872*C872</f>
        <v>10059.953168</v>
      </c>
      <c r="I872" s="585"/>
    </row>
    <row r="873" spans="1:9">
      <c r="A873" s="587" t="s">
        <v>190</v>
      </c>
      <c r="B873" s="39">
        <f>SUM(F873:I873)</f>
        <v>477575.50822295999</v>
      </c>
      <c r="C873" s="34"/>
      <c r="D873" s="735"/>
      <c r="E873" s="585"/>
      <c r="F873" s="736">
        <f>SUM(F867:F872)</f>
        <v>0</v>
      </c>
      <c r="G873" s="585">
        <f>SUM(G867:G872)</f>
        <v>404250</v>
      </c>
      <c r="H873" s="736">
        <f>SUM(H865:H872)</f>
        <v>39233.817355200001</v>
      </c>
      <c r="I873" s="585">
        <f>SUM(I865:I872)</f>
        <v>34091.69086776</v>
      </c>
    </row>
    <row r="874" spans="1:9">
      <c r="A874" s="587" t="s">
        <v>191</v>
      </c>
      <c r="B874" s="39">
        <f>+B873</f>
        <v>477575.50822295999</v>
      </c>
      <c r="C874" s="688" t="s">
        <v>356</v>
      </c>
      <c r="D874" s="737"/>
      <c r="E874" s="170"/>
      <c r="F874" s="738"/>
      <c r="G874" s="170"/>
      <c r="H874" s="738"/>
      <c r="I874" s="170"/>
    </row>
    <row r="875" spans="1:9">
      <c r="A875" s="31"/>
    </row>
    <row r="876" spans="1:9">
      <c r="A876" s="594">
        <v>5.7</v>
      </c>
      <c r="B876" s="3558" t="s">
        <v>1396</v>
      </c>
      <c r="C876" s="3558"/>
      <c r="D876" s="3558"/>
      <c r="E876" s="3558"/>
      <c r="F876" s="3558"/>
      <c r="G876" s="3558"/>
      <c r="H876" s="3558"/>
      <c r="I876" s="3558"/>
    </row>
    <row r="877" spans="1:9">
      <c r="A877" s="2"/>
      <c r="B877" s="5"/>
      <c r="C877" s="2" t="s">
        <v>140</v>
      </c>
      <c r="D877" s="2" t="s">
        <v>343</v>
      </c>
      <c r="E877" s="585" t="s">
        <v>344</v>
      </c>
      <c r="F877" s="585" t="s">
        <v>482</v>
      </c>
      <c r="G877" s="585" t="s">
        <v>483</v>
      </c>
      <c r="H877" s="585" t="s">
        <v>232</v>
      </c>
      <c r="I877" s="585" t="s">
        <v>171</v>
      </c>
    </row>
    <row r="878" spans="1:9">
      <c r="A878" s="2" t="s">
        <v>172</v>
      </c>
      <c r="B878" s="5" t="s">
        <v>189</v>
      </c>
      <c r="C878" s="684">
        <v>1</v>
      </c>
      <c r="D878" s="6" t="s">
        <v>583</v>
      </c>
      <c r="E878" s="585">
        <f>+H883*0.05</f>
        <v>1446.1182679000003</v>
      </c>
      <c r="F878" s="585"/>
      <c r="G878" s="585"/>
      <c r="H878" s="585"/>
      <c r="I878" s="585">
        <f>+E878*C878</f>
        <v>1446.1182679000003</v>
      </c>
    </row>
    <row r="879" spans="1:9">
      <c r="A879" s="2" t="s">
        <v>986</v>
      </c>
      <c r="B879" s="3" t="s">
        <v>987</v>
      </c>
      <c r="C879" s="684">
        <v>1.1499999999999999</v>
      </c>
      <c r="D879" s="6" t="s">
        <v>356</v>
      </c>
      <c r="E879" s="585">
        <v>45700</v>
      </c>
      <c r="F879" s="585"/>
      <c r="G879" s="585">
        <f>+E879*C879</f>
        <v>52554.999999999993</v>
      </c>
      <c r="H879" s="585"/>
      <c r="I879" s="585"/>
    </row>
    <row r="880" spans="1:9">
      <c r="A880" s="2" t="s">
        <v>137</v>
      </c>
      <c r="B880" s="5" t="s">
        <v>138</v>
      </c>
      <c r="C880" s="684">
        <v>1</v>
      </c>
      <c r="D880" s="6" t="s">
        <v>356</v>
      </c>
      <c r="E880" s="585">
        <f>+TRANAG</f>
        <v>30600</v>
      </c>
      <c r="F880" s="585"/>
      <c r="G880" s="585"/>
      <c r="H880" s="585"/>
      <c r="I880" s="585">
        <f>+E880*C880</f>
        <v>30600</v>
      </c>
    </row>
    <row r="881" spans="1:9">
      <c r="A881" s="2" t="s">
        <v>347</v>
      </c>
      <c r="B881" s="5" t="str">
        <f>IF(PRESTA&gt;0,"AYUD. ENTENDIDO (INCLUYE "&amp;""&amp;PRESTA*100&amp;"% PRESTACIONES)",0)</f>
        <v>AYUD. ENTENDIDO (INCLUYE 82,22% PRESTACIONES)</v>
      </c>
      <c r="C881" s="684">
        <f>2/8</f>
        <v>0.25</v>
      </c>
      <c r="D881" s="6" t="s">
        <v>346</v>
      </c>
      <c r="E881" s="585">
        <f>+AYUDA</f>
        <v>65389.695592000004</v>
      </c>
      <c r="F881" s="585"/>
      <c r="G881" s="585"/>
      <c r="H881" s="585">
        <f>+E881*C881</f>
        <v>16347.423898000001</v>
      </c>
      <c r="I881" s="585"/>
    </row>
    <row r="882" spans="1:9">
      <c r="A882" s="2" t="s">
        <v>348</v>
      </c>
      <c r="B882" s="5" t="str">
        <f>IF(PRESTA&gt;0,"AYUD. RASO (INCLUYE "&amp;""&amp;PRESTA*100&amp;"% PRESTACIONES)",0)</f>
        <v>AYUD. RASO (INCLUYE 82,22% PRESTACIONES)</v>
      </c>
      <c r="C882" s="684">
        <f>2/8</f>
        <v>0.25</v>
      </c>
      <c r="D882" s="6" t="s">
        <v>346</v>
      </c>
      <c r="E882" s="585">
        <f>+AYUDR</f>
        <v>50299.76584</v>
      </c>
      <c r="F882" s="585"/>
      <c r="G882" s="585"/>
      <c r="H882" s="585">
        <f>+E882*C882</f>
        <v>12574.94146</v>
      </c>
      <c r="I882" s="585"/>
    </row>
    <row r="883" spans="1:9">
      <c r="A883" s="20" t="s">
        <v>190</v>
      </c>
      <c r="B883" s="39">
        <f>SUM(F883:I883)</f>
        <v>113523.4836259</v>
      </c>
      <c r="C883" s="34"/>
      <c r="D883" s="739"/>
      <c r="E883" s="585"/>
      <c r="F883" s="736">
        <f>SUM(F878:F882)</f>
        <v>0</v>
      </c>
      <c r="G883" s="585">
        <f>SUM(G878:G882)</f>
        <v>52554.999999999993</v>
      </c>
      <c r="H883" s="736">
        <f>SUM(H878:H882)</f>
        <v>28922.365358000003</v>
      </c>
      <c r="I883" s="585">
        <f>SUM(I878:I882)</f>
        <v>32046.118267900001</v>
      </c>
    </row>
    <row r="884" spans="1:9">
      <c r="A884" s="20" t="s">
        <v>191</v>
      </c>
      <c r="B884" s="39">
        <f>+B883</f>
        <v>113523.4836259</v>
      </c>
      <c r="C884" s="688" t="s">
        <v>356</v>
      </c>
      <c r="D884" s="740"/>
      <c r="E884" s="170"/>
      <c r="F884" s="738"/>
      <c r="G884" s="170"/>
      <c r="H884" s="738"/>
      <c r="I884" s="170"/>
    </row>
    <row r="885" spans="1:9">
      <c r="A885" s="13"/>
      <c r="B885" s="22"/>
      <c r="C885" s="13"/>
      <c r="D885" s="13"/>
      <c r="E885" s="170"/>
      <c r="F885" s="170"/>
      <c r="G885" s="170"/>
      <c r="H885" s="170"/>
      <c r="I885" s="170"/>
    </row>
    <row r="886" spans="1:9">
      <c r="A886" s="594">
        <v>5.8</v>
      </c>
      <c r="B886" s="3558" t="s">
        <v>1397</v>
      </c>
      <c r="C886" s="3558"/>
      <c r="D886" s="3558"/>
      <c r="E886" s="3558"/>
      <c r="F886" s="3558"/>
      <c r="G886" s="3558"/>
      <c r="H886" s="3558"/>
      <c r="I886" s="3558"/>
    </row>
    <row r="887" spans="1:9">
      <c r="A887" s="2"/>
      <c r="B887" s="5"/>
      <c r="C887" s="2" t="s">
        <v>140</v>
      </c>
      <c r="D887" s="2" t="s">
        <v>343</v>
      </c>
      <c r="E887" s="585" t="s">
        <v>344</v>
      </c>
      <c r="F887" s="585" t="s">
        <v>482</v>
      </c>
      <c r="G887" s="585" t="s">
        <v>483</v>
      </c>
      <c r="H887" s="585" t="s">
        <v>232</v>
      </c>
      <c r="I887" s="585" t="s">
        <v>171</v>
      </c>
    </row>
    <row r="888" spans="1:9">
      <c r="A888" s="2" t="s">
        <v>4047</v>
      </c>
      <c r="B888" s="5" t="s">
        <v>4048</v>
      </c>
      <c r="C888" s="346">
        <v>15</v>
      </c>
      <c r="D888" s="6" t="s">
        <v>426</v>
      </c>
      <c r="E888" s="65">
        <v>3086</v>
      </c>
      <c r="F888" s="65"/>
      <c r="G888" s="65">
        <f>+E888*C888</f>
        <v>46290</v>
      </c>
      <c r="H888" s="65"/>
      <c r="I888" s="65"/>
    </row>
    <row r="889" spans="1:9">
      <c r="A889" s="2" t="s">
        <v>988</v>
      </c>
      <c r="B889" s="5" t="s">
        <v>989</v>
      </c>
      <c r="C889" s="346">
        <v>0.25</v>
      </c>
      <c r="D889" s="6" t="s">
        <v>363</v>
      </c>
      <c r="E889" s="65">
        <f>+TEJAJ</f>
        <v>185640</v>
      </c>
      <c r="F889" s="65"/>
      <c r="G889" s="65">
        <f>+E889*C889</f>
        <v>46410</v>
      </c>
      <c r="H889" s="65"/>
      <c r="I889" s="65"/>
    </row>
    <row r="890" spans="1:9">
      <c r="A890" s="2" t="s">
        <v>149</v>
      </c>
      <c r="B890" s="5" t="s">
        <v>4049</v>
      </c>
      <c r="C890" s="684">
        <v>0.33</v>
      </c>
      <c r="D890" s="6" t="s">
        <v>363</v>
      </c>
      <c r="E890" s="585">
        <f>+CABAL</f>
        <v>57283.200000000012</v>
      </c>
      <c r="F890" s="585"/>
      <c r="G890" s="585">
        <f>+E890*C890</f>
        <v>18903.456000000006</v>
      </c>
      <c r="H890" s="585"/>
      <c r="I890" s="585"/>
    </row>
    <row r="891" spans="1:9">
      <c r="A891" s="2" t="s">
        <v>345</v>
      </c>
      <c r="B891" s="18" t="str">
        <f>IF(PRESTA&gt;0,"OFICIAL (INCLUYE "&amp;""&amp;PRESTA*100&amp;"% PRESTACIONES)",0)</f>
        <v>OFICIAL (INCLUYE 82,22% PRESTACIONES)</v>
      </c>
      <c r="C891" s="684">
        <v>0.25</v>
      </c>
      <c r="D891" s="6" t="s">
        <v>346</v>
      </c>
      <c r="E891" s="585">
        <f>+OFICI</f>
        <v>80479.625344</v>
      </c>
      <c r="F891" s="585"/>
      <c r="G891" s="585"/>
      <c r="H891" s="585">
        <f>+E891*C891</f>
        <v>20119.906336</v>
      </c>
      <c r="I891" s="585"/>
    </row>
    <row r="892" spans="1:9">
      <c r="A892" s="2" t="s">
        <v>347</v>
      </c>
      <c r="B892" s="5" t="str">
        <f>IF(PRESTA&gt;0,"AYUD. ENTENDIDO (INCLUYE "&amp;""&amp;PRESTA*100&amp;"% PRESTACIONES)",0)</f>
        <v>AYUD. ENTENDIDO (INCLUYE 82,22% PRESTACIONES)</v>
      </c>
      <c r="C892" s="684">
        <f>+C891</f>
        <v>0.25</v>
      </c>
      <c r="D892" s="6" t="s">
        <v>346</v>
      </c>
      <c r="E892" s="585">
        <f>+AYUDA</f>
        <v>65389.695592000004</v>
      </c>
      <c r="F892" s="585"/>
      <c r="G892" s="585"/>
      <c r="H892" s="585">
        <f>+E892*C892</f>
        <v>16347.423898000001</v>
      </c>
      <c r="I892" s="585"/>
    </row>
    <row r="893" spans="1:9">
      <c r="A893" s="2" t="s">
        <v>172</v>
      </c>
      <c r="B893" s="5" t="s">
        <v>189</v>
      </c>
      <c r="C893" s="346">
        <v>1</v>
      </c>
      <c r="D893" s="6" t="s">
        <v>583</v>
      </c>
      <c r="E893" s="65">
        <f>+H894*0.05</f>
        <v>1823.3665117</v>
      </c>
      <c r="F893" s="65"/>
      <c r="G893" s="65"/>
      <c r="H893" s="65"/>
      <c r="I893" s="65">
        <f>+E893*C893</f>
        <v>1823.3665117</v>
      </c>
    </row>
    <row r="894" spans="1:9">
      <c r="A894" s="587" t="s">
        <v>190</v>
      </c>
      <c r="B894" s="588">
        <f>SUM(F894:I894)</f>
        <v>149894.1527457</v>
      </c>
      <c r="C894" s="160"/>
      <c r="D894" s="739"/>
      <c r="E894" s="65"/>
      <c r="F894" s="65">
        <f>SUM(F888:F893)</f>
        <v>0</v>
      </c>
      <c r="G894" s="65">
        <f>SUM(G888:G893)</f>
        <v>111603.45600000001</v>
      </c>
      <c r="H894" s="65">
        <f>SUM(H888:H893)</f>
        <v>36467.330234000001</v>
      </c>
      <c r="I894" s="65">
        <f>SUM(I888:I893)</f>
        <v>1823.3665117</v>
      </c>
    </row>
    <row r="895" spans="1:9" ht="17.399999999999999">
      <c r="A895" s="587" t="s">
        <v>191</v>
      </c>
      <c r="B895" s="39">
        <f>+B894</f>
        <v>149894.1527457</v>
      </c>
      <c r="C895" s="688" t="s">
        <v>1125</v>
      </c>
      <c r="D895" s="740"/>
      <c r="E895" s="170"/>
      <c r="F895" s="738"/>
      <c r="G895" s="170"/>
      <c r="H895" s="738"/>
      <c r="I895" s="170"/>
    </row>
    <row r="896" spans="1:9">
      <c r="B896" s="686"/>
      <c r="C896" s="178"/>
      <c r="D896" s="178"/>
      <c r="E896" s="685"/>
      <c r="F896" s="685"/>
      <c r="G896" s="685"/>
      <c r="H896" s="685"/>
      <c r="I896" s="685"/>
    </row>
    <row r="897" spans="1:9">
      <c r="A897" s="594">
        <v>5.9</v>
      </c>
      <c r="B897" s="3896" t="s">
        <v>4050</v>
      </c>
      <c r="C897" s="3897"/>
      <c r="D897" s="3897"/>
      <c r="E897" s="3897"/>
      <c r="F897" s="3897"/>
      <c r="G897" s="3897"/>
      <c r="H897" s="3897"/>
      <c r="I897" s="3897"/>
    </row>
    <row r="898" spans="1:9">
      <c r="A898" s="243"/>
      <c r="B898" s="741"/>
      <c r="C898" s="243" t="s">
        <v>140</v>
      </c>
      <c r="D898" s="243" t="s">
        <v>343</v>
      </c>
      <c r="E898" s="65" t="s">
        <v>344</v>
      </c>
      <c r="F898" s="65" t="s">
        <v>482</v>
      </c>
      <c r="G898" s="65" t="s">
        <v>483</v>
      </c>
      <c r="H898" s="65" t="s">
        <v>232</v>
      </c>
      <c r="I898" s="742" t="s">
        <v>171</v>
      </c>
    </row>
    <row r="899" spans="1:9" ht="33.6">
      <c r="A899" s="243" t="s">
        <v>321</v>
      </c>
      <c r="B899" s="741" t="s">
        <v>4051</v>
      </c>
      <c r="C899" s="346">
        <v>1</v>
      </c>
      <c r="D899" s="160" t="s">
        <v>363</v>
      </c>
      <c r="E899" s="65">
        <v>116530</v>
      </c>
      <c r="F899" s="65"/>
      <c r="G899" s="65">
        <f>+E899*C899</f>
        <v>116530</v>
      </c>
      <c r="H899" s="65"/>
      <c r="I899" s="65"/>
    </row>
    <row r="900" spans="1:9">
      <c r="A900" s="243" t="s">
        <v>172</v>
      </c>
      <c r="B900" s="741" t="s">
        <v>189</v>
      </c>
      <c r="C900" s="346">
        <v>1</v>
      </c>
      <c r="D900" s="160" t="s">
        <v>583</v>
      </c>
      <c r="E900" s="65">
        <f>+H903*0.05</f>
        <v>1307.7939118400002</v>
      </c>
      <c r="F900" s="65"/>
      <c r="G900" s="65"/>
      <c r="H900" s="65"/>
      <c r="I900" s="65">
        <f>+E900*C900</f>
        <v>1307.7939118400002</v>
      </c>
    </row>
    <row r="901" spans="1:9">
      <c r="A901" s="243" t="s">
        <v>345</v>
      </c>
      <c r="B901" s="741" t="str">
        <f>IF(PRESTA&gt;0,"OFICIAL (INCLUYE "&amp;""&amp;PRESTA*100&amp;"% PRESTACIONES)",0)</f>
        <v>OFICIAL (INCLUYE 82,22% PRESTACIONES)</v>
      </c>
      <c r="C901" s="346">
        <v>0.2</v>
      </c>
      <c r="D901" s="160" t="s">
        <v>346</v>
      </c>
      <c r="E901" s="65">
        <f>+OFICI</f>
        <v>80479.625344</v>
      </c>
      <c r="F901" s="65"/>
      <c r="G901" s="65"/>
      <c r="H901" s="65">
        <f>+E901*C901</f>
        <v>16095.925068800001</v>
      </c>
      <c r="I901" s="65"/>
    </row>
    <row r="902" spans="1:9">
      <c r="A902" s="243" t="s">
        <v>348</v>
      </c>
      <c r="B902" s="741" t="str">
        <f>IF(PRESTA&gt;0,"AYUD. RASO (INCLUYE "&amp;""&amp;PRESTA*100&amp;"% PRESTACIONES)",0)</f>
        <v>AYUD. RASO (INCLUYE 82,22% PRESTACIONES)</v>
      </c>
      <c r="C902" s="346">
        <v>0.2</v>
      </c>
      <c r="D902" s="160" t="s">
        <v>346</v>
      </c>
      <c r="E902" s="65">
        <f>+AYUDR</f>
        <v>50299.76584</v>
      </c>
      <c r="F902" s="65"/>
      <c r="G902" s="65"/>
      <c r="H902" s="65">
        <f>+E902*C902</f>
        <v>10059.953168</v>
      </c>
      <c r="I902" s="65"/>
    </row>
    <row r="903" spans="1:9">
      <c r="A903" s="20" t="s">
        <v>190</v>
      </c>
      <c r="B903" s="39">
        <f>SUM(F903:I903)</f>
        <v>143993.67214864001</v>
      </c>
      <c r="C903" s="34"/>
      <c r="D903" s="169"/>
      <c r="E903" s="65"/>
      <c r="F903" s="65">
        <f>SUM(F897:F902)</f>
        <v>0</v>
      </c>
      <c r="G903" s="65">
        <f>SUM(G897:G902)</f>
        <v>116530</v>
      </c>
      <c r="H903" s="65">
        <f>SUM(H897:H902)</f>
        <v>26155.878236800003</v>
      </c>
      <c r="I903" s="65">
        <f>SUM(I897:I902)</f>
        <v>1307.7939118400002</v>
      </c>
    </row>
    <row r="904" spans="1:9">
      <c r="A904" s="20" t="s">
        <v>191</v>
      </c>
      <c r="B904" s="39">
        <f>+B903</f>
        <v>143993.67214864001</v>
      </c>
      <c r="C904" s="21" t="s">
        <v>363</v>
      </c>
      <c r="D904" s="13"/>
      <c r="E904" s="170"/>
      <c r="F904" s="170"/>
      <c r="G904" s="170"/>
      <c r="H904" s="170"/>
      <c r="I904" s="170"/>
    </row>
    <row r="905" spans="1:9">
      <c r="A905" s="596"/>
      <c r="B905" s="717"/>
      <c r="C905" s="718"/>
      <c r="D905" s="19"/>
      <c r="E905" s="580"/>
      <c r="F905" s="580"/>
      <c r="G905" s="580"/>
      <c r="H905" s="580"/>
      <c r="I905" s="580"/>
    </row>
    <row r="906" spans="1:9">
      <c r="A906" s="715">
        <v>5.0999999999999996</v>
      </c>
      <c r="B906" s="3558" t="s">
        <v>4052</v>
      </c>
      <c r="C906" s="3558"/>
      <c r="D906" s="3558"/>
      <c r="E906" s="3558"/>
      <c r="F906" s="3558"/>
      <c r="G906" s="3558"/>
      <c r="H906" s="3558"/>
      <c r="I906" s="3558"/>
    </row>
    <row r="907" spans="1:9">
      <c r="A907" s="470"/>
      <c r="B907" s="696"/>
      <c r="C907" s="34" t="s">
        <v>140</v>
      </c>
      <c r="D907" s="2" t="s">
        <v>343</v>
      </c>
      <c r="E907" s="585" t="s">
        <v>344</v>
      </c>
      <c r="F907" s="585" t="s">
        <v>482</v>
      </c>
      <c r="G907" s="585" t="s">
        <v>483</v>
      </c>
      <c r="H907" s="585" t="s">
        <v>232</v>
      </c>
      <c r="I907" s="585" t="s">
        <v>171</v>
      </c>
    </row>
    <row r="908" spans="1:9">
      <c r="A908" s="471" t="s">
        <v>172</v>
      </c>
      <c r="B908" s="41" t="s">
        <v>189</v>
      </c>
      <c r="C908" s="346">
        <v>1</v>
      </c>
      <c r="D908" s="160" t="s">
        <v>583</v>
      </c>
      <c r="E908" s="65">
        <f>+H915*0.05</f>
        <v>2917.3864187200002</v>
      </c>
      <c r="F908" s="65"/>
      <c r="G908" s="65"/>
      <c r="H908" s="65"/>
      <c r="I908" s="65">
        <f>+E908*C908</f>
        <v>2917.3864187200002</v>
      </c>
    </row>
    <row r="909" spans="1:9">
      <c r="A909" s="471" t="s">
        <v>630</v>
      </c>
      <c r="B909" s="41" t="s">
        <v>309</v>
      </c>
      <c r="C909" s="346">
        <f>0.85*4</f>
        <v>3.4</v>
      </c>
      <c r="D909" s="160" t="s">
        <v>45</v>
      </c>
      <c r="E909" s="65">
        <f>+PA14X</f>
        <v>12525.6</v>
      </c>
      <c r="F909" s="65"/>
      <c r="G909" s="65">
        <f>+E909*C909</f>
        <v>42587.040000000001</v>
      </c>
      <c r="H909" s="65"/>
      <c r="I909" s="65"/>
    </row>
    <row r="910" spans="1:9">
      <c r="A910" s="471" t="s">
        <v>172</v>
      </c>
      <c r="B910" s="41" t="s">
        <v>4053</v>
      </c>
      <c r="C910" s="346">
        <v>1</v>
      </c>
      <c r="D910" s="160" t="s">
        <v>133</v>
      </c>
      <c r="E910" s="65">
        <v>55000</v>
      </c>
      <c r="F910" s="65"/>
      <c r="G910" s="65">
        <f>+E910*C910</f>
        <v>55000</v>
      </c>
      <c r="H910" s="65"/>
      <c r="I910" s="65"/>
    </row>
    <row r="911" spans="1:9">
      <c r="A911" s="471" t="s">
        <v>584</v>
      </c>
      <c r="B911" s="41" t="s">
        <v>134</v>
      </c>
      <c r="C911" s="346">
        <v>0.01</v>
      </c>
      <c r="D911" s="160" t="s">
        <v>583</v>
      </c>
      <c r="E911" s="65">
        <f>+VIAJE</f>
        <v>1200000</v>
      </c>
      <c r="F911" s="65"/>
      <c r="G911" s="65"/>
      <c r="H911" s="65"/>
      <c r="I911" s="65">
        <f>+E911*C911</f>
        <v>12000</v>
      </c>
    </row>
    <row r="912" spans="1:9">
      <c r="A912" s="471" t="s">
        <v>347</v>
      </c>
      <c r="B912" s="41" t="str">
        <f>IF(PRESTA&gt;0,"AYUD. ENTENDIDO (INCLUYE "&amp;""&amp;PRESTA*100&amp;"% PRESTACIONES)",0)</f>
        <v>AYUD. ENTENDIDO (INCLUYE 82,22% PRESTACIONES)</v>
      </c>
      <c r="C912" s="346">
        <v>0.4</v>
      </c>
      <c r="D912" s="160" t="s">
        <v>346</v>
      </c>
      <c r="E912" s="65">
        <f>+AYUDA</f>
        <v>65389.695592000004</v>
      </c>
      <c r="F912" s="65"/>
      <c r="G912" s="65"/>
      <c r="H912" s="65">
        <f>+E912*C912</f>
        <v>26155.878236800003</v>
      </c>
      <c r="I912" s="65"/>
    </row>
    <row r="913" spans="1:9">
      <c r="A913" s="471" t="s">
        <v>345</v>
      </c>
      <c r="B913" s="41" t="str">
        <f>IF(PRESTA&gt;0,"OFICIAL (INCLUYE "&amp;""&amp;PRESTA*100&amp;"% PRESTACIONES)",0)</f>
        <v>OFICIAL (INCLUYE 82,22% PRESTACIONES)</v>
      </c>
      <c r="C913" s="346">
        <f>+C912</f>
        <v>0.4</v>
      </c>
      <c r="D913" s="160" t="s">
        <v>346</v>
      </c>
      <c r="E913" s="65">
        <f>+OFICI</f>
        <v>80479.625344</v>
      </c>
      <c r="F913" s="65"/>
      <c r="G913" s="65"/>
      <c r="H913" s="65">
        <f>+E913*C913</f>
        <v>32191.850137600002</v>
      </c>
      <c r="I913" s="65"/>
    </row>
    <row r="914" spans="1:9">
      <c r="A914" s="243" t="s">
        <v>302</v>
      </c>
      <c r="B914" s="696" t="s">
        <v>3872</v>
      </c>
      <c r="C914" s="346">
        <f>(0.6*0.6*0.07)*1.15</f>
        <v>2.8979999999999999E-2</v>
      </c>
      <c r="D914" s="160" t="s">
        <v>356</v>
      </c>
      <c r="E914" s="65">
        <f>+CT245KG</f>
        <v>469469.49922490004</v>
      </c>
      <c r="F914" s="65"/>
      <c r="G914" s="65">
        <f>+E914*C914</f>
        <v>13605.226087537603</v>
      </c>
      <c r="H914" s="65"/>
      <c r="I914" s="65"/>
    </row>
    <row r="915" spans="1:9">
      <c r="A915" s="20" t="s">
        <v>190</v>
      </c>
      <c r="B915" s="39">
        <f>SUM(F915:I915)</f>
        <v>184457.38088065764</v>
      </c>
      <c r="C915" s="34"/>
      <c r="D915" s="169"/>
      <c r="E915" s="65"/>
      <c r="F915" s="65">
        <f>SUM(F908:F914)</f>
        <v>0</v>
      </c>
      <c r="G915" s="65">
        <f>SUM(G908:G914)</f>
        <v>111192.26608753762</v>
      </c>
      <c r="H915" s="65">
        <f>SUM(H908:H914)</f>
        <v>58347.728374400001</v>
      </c>
      <c r="I915" s="65">
        <f>SUM(I908:I914)</f>
        <v>14917.38641872</v>
      </c>
    </row>
    <row r="916" spans="1:9">
      <c r="A916" s="20" t="s">
        <v>191</v>
      </c>
      <c r="B916" s="39">
        <f>+B915</f>
        <v>184457.38088065764</v>
      </c>
      <c r="C916" s="21" t="s">
        <v>363</v>
      </c>
      <c r="D916" s="13"/>
      <c r="E916" s="170"/>
      <c r="F916" s="170"/>
      <c r="G916" s="170"/>
      <c r="H916" s="170"/>
      <c r="I916" s="170"/>
    </row>
    <row r="918" spans="1:9">
      <c r="A918" s="683" t="s">
        <v>8635</v>
      </c>
      <c r="B918" s="3855" t="s">
        <v>4054</v>
      </c>
      <c r="C918" s="3856"/>
      <c r="D918" s="3856"/>
      <c r="E918" s="3856"/>
      <c r="F918" s="3856"/>
      <c r="G918" s="3856"/>
      <c r="H918" s="3856"/>
      <c r="I918" s="3857"/>
    </row>
    <row r="919" spans="1:9">
      <c r="A919" s="243"/>
      <c r="B919" s="696"/>
      <c r="C919" s="243" t="s">
        <v>140</v>
      </c>
      <c r="D919" s="243" t="s">
        <v>343</v>
      </c>
      <c r="E919" s="674" t="s">
        <v>344</v>
      </c>
      <c r="F919" s="674" t="s">
        <v>482</v>
      </c>
      <c r="G919" s="674" t="s">
        <v>483</v>
      </c>
      <c r="H919" s="674" t="s">
        <v>232</v>
      </c>
      <c r="I919" s="674" t="s">
        <v>171</v>
      </c>
    </row>
    <row r="920" spans="1:9">
      <c r="A920" s="2" t="s">
        <v>345</v>
      </c>
      <c r="B920" s="41" t="str">
        <f>IF(PRESTA&gt;0,"OFICIAL (INCLUYE "&amp;""&amp;PRESTA*100&amp;"% PRESTACIONES)",0)</f>
        <v>OFICIAL (INCLUYE 82,22% PRESTACIONES)</v>
      </c>
      <c r="C920" s="346">
        <v>0.02</v>
      </c>
      <c r="D920" s="160" t="s">
        <v>346</v>
      </c>
      <c r="E920" s="32">
        <f>+OFICI</f>
        <v>80479.625344</v>
      </c>
      <c r="F920" s="32"/>
      <c r="G920" s="32"/>
      <c r="H920" s="32">
        <f>+E920*C920</f>
        <v>1609.59250688</v>
      </c>
      <c r="I920" s="674"/>
    </row>
    <row r="921" spans="1:9">
      <c r="A921" s="2" t="s">
        <v>347</v>
      </c>
      <c r="B921" s="41" t="str">
        <f>IF(PRESTA&gt;0,"AYUD. ENTENDIDO (INCLUYE "&amp;""&amp;PRESTA*100&amp;"% PRESTACIONES)",0)</f>
        <v>AYUD. ENTENDIDO (INCLUYE 82,22% PRESTACIONES)</v>
      </c>
      <c r="C921" s="346">
        <v>0.02</v>
      </c>
      <c r="D921" s="160" t="s">
        <v>346</v>
      </c>
      <c r="E921" s="32">
        <f>+AYUDA</f>
        <v>65389.695592000004</v>
      </c>
      <c r="F921" s="32"/>
      <c r="G921" s="32"/>
      <c r="H921" s="32">
        <f>+E921*C921</f>
        <v>1307.7939118400002</v>
      </c>
      <c r="I921" s="674"/>
    </row>
    <row r="922" spans="1:9">
      <c r="A922" s="2" t="s">
        <v>172</v>
      </c>
      <c r="B922" s="41" t="s">
        <v>189</v>
      </c>
      <c r="C922" s="346">
        <v>1</v>
      </c>
      <c r="D922" s="160" t="s">
        <v>583</v>
      </c>
      <c r="E922" s="32">
        <f>23937*0.05</f>
        <v>1196.8500000000001</v>
      </c>
      <c r="F922" s="32"/>
      <c r="G922" s="32"/>
      <c r="H922" s="32"/>
      <c r="I922" s="674">
        <f>+E922*C922</f>
        <v>1196.8500000000001</v>
      </c>
    </row>
    <row r="923" spans="1:9">
      <c r="A923" s="2" t="s">
        <v>375</v>
      </c>
      <c r="B923" s="41" t="s">
        <v>43</v>
      </c>
      <c r="C923" s="346">
        <v>0.04</v>
      </c>
      <c r="D923" s="160" t="s">
        <v>860</v>
      </c>
      <c r="E923" s="674">
        <f>+LUPVC</f>
        <v>13275</v>
      </c>
      <c r="F923" s="674"/>
      <c r="G923" s="674">
        <f>+E923*C923</f>
        <v>531</v>
      </c>
      <c r="H923" s="674"/>
      <c r="I923" s="704"/>
    </row>
    <row r="924" spans="1:9">
      <c r="A924" s="587" t="s">
        <v>190</v>
      </c>
      <c r="B924" s="588">
        <f>SUM(F924:I924)</f>
        <v>4645.2364187200001</v>
      </c>
      <c r="C924" s="370"/>
      <c r="D924" s="169"/>
      <c r="E924" s="32"/>
      <c r="F924" s="32">
        <f>SUM(F920:F923)</f>
        <v>0</v>
      </c>
      <c r="G924" s="32">
        <f>SUM(G920:G923)</f>
        <v>531</v>
      </c>
      <c r="H924" s="32">
        <f>SUM(H920:H923)</f>
        <v>2917.3864187200002</v>
      </c>
      <c r="I924" s="674">
        <f>SUM(I920:I923)</f>
        <v>1196.8500000000001</v>
      </c>
    </row>
    <row r="925" spans="1:9">
      <c r="A925" s="587" t="s">
        <v>191</v>
      </c>
      <c r="B925" s="39">
        <f>+B924</f>
        <v>4645.2364187200001</v>
      </c>
      <c r="C925" s="688" t="s">
        <v>94</v>
      </c>
      <c r="D925" s="13"/>
      <c r="E925" s="673"/>
      <c r="F925" s="673"/>
      <c r="G925" s="673"/>
      <c r="H925" s="673"/>
      <c r="I925" s="673"/>
    </row>
    <row r="927" spans="1:9">
      <c r="A927" s="714" t="s">
        <v>8636</v>
      </c>
      <c r="B927" s="3883" t="s">
        <v>4055</v>
      </c>
      <c r="C927" s="3884"/>
      <c r="D927" s="3884"/>
      <c r="E927" s="3884"/>
      <c r="F927" s="3884"/>
      <c r="G927" s="3884"/>
      <c r="H927" s="3884"/>
      <c r="I927" s="3885"/>
    </row>
    <row r="928" spans="1:9">
      <c r="A928" s="243"/>
      <c r="B928" s="696"/>
      <c r="C928" s="243" t="s">
        <v>140</v>
      </c>
      <c r="D928" s="243" t="s">
        <v>343</v>
      </c>
      <c r="E928" s="674" t="s">
        <v>344</v>
      </c>
      <c r="F928" s="674" t="s">
        <v>482</v>
      </c>
      <c r="G928" s="674" t="s">
        <v>483</v>
      </c>
      <c r="H928" s="674" t="s">
        <v>232</v>
      </c>
      <c r="I928" s="674" t="s">
        <v>171</v>
      </c>
    </row>
    <row r="929" spans="1:9">
      <c r="A929" s="2" t="s">
        <v>116</v>
      </c>
      <c r="B929" s="41" t="s">
        <v>4056</v>
      </c>
      <c r="C929" s="346">
        <v>1</v>
      </c>
      <c r="D929" s="160" t="s">
        <v>94</v>
      </c>
      <c r="E929" s="674">
        <f>+TZ214_</f>
        <v>38527.5</v>
      </c>
      <c r="F929" s="674"/>
      <c r="G929" s="674">
        <f>+E929*C929</f>
        <v>38527.5</v>
      </c>
      <c r="H929" s="674"/>
      <c r="I929" s="674"/>
    </row>
    <row r="930" spans="1:9">
      <c r="A930" s="2" t="s">
        <v>584</v>
      </c>
      <c r="B930" s="41" t="s">
        <v>134</v>
      </c>
      <c r="C930" s="346">
        <v>4.0000000000000001E-3</v>
      </c>
      <c r="D930" s="160" t="s">
        <v>583</v>
      </c>
      <c r="E930" s="674">
        <f>+VIAJE</f>
        <v>1200000</v>
      </c>
      <c r="F930" s="674"/>
      <c r="G930" s="674"/>
      <c r="H930" s="674"/>
      <c r="I930" s="674">
        <f>+E930*C930</f>
        <v>4800</v>
      </c>
    </row>
    <row r="931" spans="1:9">
      <c r="A931" s="587" t="s">
        <v>190</v>
      </c>
      <c r="B931" s="588">
        <f>SUM(F931:I931)</f>
        <v>43327.5</v>
      </c>
      <c r="C931" s="370"/>
      <c r="D931" s="169"/>
      <c r="E931" s="32"/>
      <c r="F931" s="32">
        <f>SUM(F929:F930)</f>
        <v>0</v>
      </c>
      <c r="G931" s="32">
        <f>SUM(G929:G930)</f>
        <v>38527.5</v>
      </c>
      <c r="H931" s="32">
        <f>SUM(H929:H930)</f>
        <v>0</v>
      </c>
      <c r="I931" s="674">
        <f>SUM(I929:I930)</f>
        <v>4800</v>
      </c>
    </row>
    <row r="932" spans="1:9">
      <c r="A932" s="587" t="s">
        <v>191</v>
      </c>
      <c r="B932" s="39">
        <f>+B931</f>
        <v>43327.5</v>
      </c>
      <c r="C932" s="688" t="s">
        <v>94</v>
      </c>
      <c r="D932" s="13"/>
      <c r="E932" s="673"/>
      <c r="F932" s="673"/>
      <c r="G932" s="673"/>
      <c r="H932" s="673"/>
      <c r="I932" s="673"/>
    </row>
    <row r="934" spans="1:9">
      <c r="A934" s="594" t="s">
        <v>8637</v>
      </c>
      <c r="B934" s="3558" t="s">
        <v>4057</v>
      </c>
      <c r="C934" s="3558"/>
      <c r="D934" s="3558"/>
      <c r="E934" s="3558"/>
      <c r="F934" s="3558"/>
      <c r="G934" s="3558"/>
      <c r="H934" s="3558"/>
      <c r="I934" s="3558"/>
    </row>
    <row r="935" spans="1:9">
      <c r="A935" s="470"/>
      <c r="B935" s="180"/>
      <c r="C935" s="243" t="s">
        <v>140</v>
      </c>
      <c r="D935" s="243" t="s">
        <v>343</v>
      </c>
      <c r="E935" s="243" t="s">
        <v>344</v>
      </c>
      <c r="F935" s="243" t="s">
        <v>482</v>
      </c>
      <c r="G935" s="243" t="s">
        <v>483</v>
      </c>
      <c r="H935" s="243" t="s">
        <v>232</v>
      </c>
      <c r="I935" s="243" t="s">
        <v>171</v>
      </c>
    </row>
    <row r="936" spans="1:9">
      <c r="A936" s="471" t="s">
        <v>345</v>
      </c>
      <c r="B936" s="3" t="str">
        <f>IF(PRESTA&gt;0,"OFICIAL (INCLUYE "&amp;""&amp;PRESTA*100&amp;"% PRESTACIONES)",0)</f>
        <v>OFICIAL (INCLUYE 82,22% PRESTACIONES)</v>
      </c>
      <c r="C936" s="346">
        <v>8.3333333333333329E-2</v>
      </c>
      <c r="D936" s="160" t="s">
        <v>346</v>
      </c>
      <c r="E936" s="350">
        <f>+OFICI</f>
        <v>80479.625344</v>
      </c>
      <c r="F936" s="350"/>
      <c r="G936" s="350"/>
      <c r="H936" s="350">
        <f>+E936*C936</f>
        <v>6706.6354453333333</v>
      </c>
      <c r="I936" s="350"/>
    </row>
    <row r="937" spans="1:9">
      <c r="A937" s="471" t="s">
        <v>347</v>
      </c>
      <c r="B937" s="3" t="str">
        <f>IF(PRESTA&gt;0,"AYUD. ENTENDIDO (INCLUYE "&amp;""&amp;PRESTA*100&amp;"% PRESTACIONES)",0)</f>
        <v>AYUD. ENTENDIDO (INCLUYE 82,22% PRESTACIONES)</v>
      </c>
      <c r="C937" s="346">
        <v>8.3333333333333329E-2</v>
      </c>
      <c r="D937" s="160" t="s">
        <v>346</v>
      </c>
      <c r="E937" s="350">
        <f>+AYUDA</f>
        <v>65389.695592000004</v>
      </c>
      <c r="F937" s="350"/>
      <c r="G937" s="350"/>
      <c r="H937" s="350">
        <f>+E937*C937</f>
        <v>5449.1412993333333</v>
      </c>
      <c r="I937" s="350"/>
    </row>
    <row r="938" spans="1:9">
      <c r="A938" s="471" t="s">
        <v>172</v>
      </c>
      <c r="B938" s="3" t="s">
        <v>189</v>
      </c>
      <c r="C938" s="346">
        <v>1</v>
      </c>
      <c r="D938" s="160" t="s">
        <v>583</v>
      </c>
      <c r="E938" s="350">
        <f>+H939*0.05</f>
        <v>607.78883723333331</v>
      </c>
      <c r="F938" s="350"/>
      <c r="G938" s="350"/>
      <c r="H938" s="350"/>
      <c r="I938" s="350">
        <f>+E938*C938</f>
        <v>607.78883723333331</v>
      </c>
    </row>
    <row r="939" spans="1:9">
      <c r="A939" s="587" t="s">
        <v>190</v>
      </c>
      <c r="B939" s="588">
        <f>SUM(F939:I939)</f>
        <v>12763.565581899999</v>
      </c>
      <c r="C939" s="160"/>
      <c r="D939" s="169"/>
      <c r="E939" s="350"/>
      <c r="F939" s="350">
        <f>SUM(F935:F938)</f>
        <v>0</v>
      </c>
      <c r="G939" s="350">
        <f>SUM(G935:G938)</f>
        <v>0</v>
      </c>
      <c r="H939" s="350">
        <f>SUM(H935:H938)</f>
        <v>12155.776744666666</v>
      </c>
      <c r="I939" s="350">
        <f>SUM(I935:I938)</f>
        <v>607.78883723333331</v>
      </c>
    </row>
    <row r="940" spans="1:9">
      <c r="A940" s="587" t="s">
        <v>191</v>
      </c>
      <c r="B940" s="39">
        <f>+B939</f>
        <v>12763.565581899999</v>
      </c>
      <c r="C940" s="688" t="s">
        <v>363</v>
      </c>
      <c r="D940" s="13"/>
      <c r="E940" s="13"/>
      <c r="F940" s="13"/>
      <c r="G940" s="743"/>
      <c r="H940" s="13"/>
      <c r="I940" s="13"/>
    </row>
    <row r="942" spans="1:9">
      <c r="A942" s="724" t="s">
        <v>8638</v>
      </c>
      <c r="B942" s="3872" t="s">
        <v>4058</v>
      </c>
      <c r="C942" s="3872"/>
      <c r="D942" s="3872"/>
      <c r="E942" s="3872"/>
      <c r="F942" s="3872"/>
      <c r="G942" s="3872"/>
      <c r="H942" s="3872"/>
      <c r="I942" s="3872"/>
    </row>
    <row r="943" spans="1:9">
      <c r="A943" s="470"/>
      <c r="B943" s="180"/>
      <c r="C943" s="243" t="s">
        <v>140</v>
      </c>
      <c r="D943" s="243" t="s">
        <v>343</v>
      </c>
      <c r="E943" s="243" t="s">
        <v>344</v>
      </c>
      <c r="F943" s="243" t="s">
        <v>482</v>
      </c>
      <c r="G943" s="243" t="s">
        <v>483</v>
      </c>
      <c r="H943" s="243" t="s">
        <v>232</v>
      </c>
      <c r="I943" s="243" t="s">
        <v>171</v>
      </c>
    </row>
    <row r="944" spans="1:9">
      <c r="A944" s="471" t="s">
        <v>656</v>
      </c>
      <c r="B944" s="3" t="s">
        <v>655</v>
      </c>
      <c r="C944" s="346">
        <v>1</v>
      </c>
      <c r="D944" s="160" t="s">
        <v>363</v>
      </c>
      <c r="E944" s="350">
        <v>8792.359199999999</v>
      </c>
      <c r="F944" s="350"/>
      <c r="G944" s="350">
        <f>+E944*C944</f>
        <v>8792.359199999999</v>
      </c>
      <c r="H944" s="350"/>
      <c r="I944" s="350"/>
    </row>
    <row r="945" spans="1:9">
      <c r="A945" s="471" t="s">
        <v>584</v>
      </c>
      <c r="B945" s="3" t="s">
        <v>134</v>
      </c>
      <c r="C945" s="346">
        <v>2E-3</v>
      </c>
      <c r="D945" s="160" t="s">
        <v>583</v>
      </c>
      <c r="E945" s="350">
        <f>+VIAJE</f>
        <v>1200000</v>
      </c>
      <c r="F945" s="350"/>
      <c r="G945" s="350"/>
      <c r="H945" s="350"/>
      <c r="I945" s="350">
        <f>+E945*C945</f>
        <v>2400</v>
      </c>
    </row>
    <row r="946" spans="1:9">
      <c r="A946" s="587" t="s">
        <v>190</v>
      </c>
      <c r="B946" s="588">
        <f>SUM(F946:I946)</f>
        <v>11192.359199999999</v>
      </c>
      <c r="C946" s="160"/>
      <c r="D946" s="169"/>
      <c r="E946" s="350"/>
      <c r="F946" s="350">
        <f>SUM(F943:F945)</f>
        <v>0</v>
      </c>
      <c r="G946" s="350">
        <f>SUM(G943:G945)</f>
        <v>8792.359199999999</v>
      </c>
      <c r="H946" s="350">
        <f>SUM(H943:H945)</f>
        <v>0</v>
      </c>
      <c r="I946" s="350">
        <f>SUM(I943:I945)</f>
        <v>2400</v>
      </c>
    </row>
    <row r="947" spans="1:9">
      <c r="A947" s="587" t="s">
        <v>191</v>
      </c>
      <c r="B947" s="39">
        <f>+B946</f>
        <v>11192.359199999999</v>
      </c>
      <c r="C947" s="688" t="s">
        <v>363</v>
      </c>
      <c r="D947" s="13"/>
      <c r="E947" s="13"/>
      <c r="F947" s="13"/>
      <c r="G947" s="743"/>
      <c r="H947" s="13"/>
      <c r="I947" s="13"/>
    </row>
    <row r="949" spans="1:9">
      <c r="A949" s="594" t="s">
        <v>8639</v>
      </c>
      <c r="B949" s="3871" t="s">
        <v>4059</v>
      </c>
      <c r="C949" s="3871"/>
      <c r="D949" s="3871"/>
      <c r="E949" s="3871"/>
      <c r="F949" s="3871"/>
      <c r="G949" s="3871"/>
      <c r="H949" s="3871"/>
      <c r="I949" s="3871"/>
    </row>
    <row r="950" spans="1:9">
      <c r="A950" s="243"/>
      <c r="B950" s="180"/>
      <c r="C950" s="243" t="s">
        <v>140</v>
      </c>
      <c r="D950" s="243" t="s">
        <v>343</v>
      </c>
      <c r="E950" s="65" t="s">
        <v>344</v>
      </c>
      <c r="F950" s="65" t="s">
        <v>482</v>
      </c>
      <c r="G950" s="65" t="s">
        <v>483</v>
      </c>
      <c r="H950" s="65" t="s">
        <v>232</v>
      </c>
      <c r="I950" s="65" t="s">
        <v>171</v>
      </c>
    </row>
    <row r="951" spans="1:9">
      <c r="A951" s="2" t="s">
        <v>172</v>
      </c>
      <c r="B951" s="3" t="s">
        <v>189</v>
      </c>
      <c r="C951" s="684">
        <v>1</v>
      </c>
      <c r="D951" s="6" t="s">
        <v>583</v>
      </c>
      <c r="E951" s="585">
        <f>+H956*0.05</f>
        <v>2552.71311638</v>
      </c>
      <c r="F951" s="585"/>
      <c r="G951" s="585"/>
      <c r="H951" s="585"/>
      <c r="I951" s="585">
        <f>+E951*C951</f>
        <v>2552.71311638</v>
      </c>
    </row>
    <row r="952" spans="1:9">
      <c r="A952" s="2" t="s">
        <v>464</v>
      </c>
      <c r="B952" s="3" t="s">
        <v>4060</v>
      </c>
      <c r="C952" s="684">
        <v>2</v>
      </c>
      <c r="D952" s="6" t="s">
        <v>583</v>
      </c>
      <c r="E952" s="585">
        <f>+TRANS</f>
        <v>1350</v>
      </c>
      <c r="F952" s="585"/>
      <c r="G952" s="585"/>
      <c r="H952" s="585"/>
      <c r="I952" s="585">
        <f>+E952*C952</f>
        <v>2700</v>
      </c>
    </row>
    <row r="953" spans="1:9">
      <c r="A953" s="2"/>
      <c r="B953" s="5" t="s">
        <v>4061</v>
      </c>
      <c r="C953" s="684">
        <v>2</v>
      </c>
      <c r="D953" s="601" t="s">
        <v>363</v>
      </c>
      <c r="E953" s="585">
        <v>13513.3272</v>
      </c>
      <c r="F953" s="585"/>
      <c r="G953" s="585">
        <f>+E953*C953</f>
        <v>27026.654399999999</v>
      </c>
      <c r="H953" s="585"/>
      <c r="I953" s="585"/>
    </row>
    <row r="954" spans="1:9">
      <c r="A954" s="2" t="s">
        <v>345</v>
      </c>
      <c r="B954" s="3" t="str">
        <f>IF(PRESTA&gt;0,"OFICIAL (INCLUYE "&amp;""&amp;PRESTA*100&amp;"% PRESTACIONES)",0)</f>
        <v>OFICIAL (INCLUYE 82,22% PRESTACIONES)</v>
      </c>
      <c r="C954" s="684">
        <v>0.35</v>
      </c>
      <c r="D954" s="6" t="s">
        <v>346</v>
      </c>
      <c r="E954" s="585">
        <f>+OFICI</f>
        <v>80479.625344</v>
      </c>
      <c r="F954" s="585"/>
      <c r="G954" s="585"/>
      <c r="H954" s="585">
        <f>+E954*C954</f>
        <v>28167.868870399998</v>
      </c>
      <c r="I954" s="585"/>
    </row>
    <row r="955" spans="1:9">
      <c r="A955" s="2" t="s">
        <v>347</v>
      </c>
      <c r="B955" s="3" t="str">
        <f>IF(PRESTA&gt;0,"AYUD. ENTENDIDO (INCLUYE "&amp;""&amp;PRESTA*100&amp;"% PRESTACIONES)",0)</f>
        <v>AYUD. ENTENDIDO (INCLUYE 82,22% PRESTACIONES)</v>
      </c>
      <c r="C955" s="684">
        <f>+C954</f>
        <v>0.35</v>
      </c>
      <c r="D955" s="6" t="s">
        <v>346</v>
      </c>
      <c r="E955" s="585">
        <f>+AYUDA</f>
        <v>65389.695592000004</v>
      </c>
      <c r="F955" s="585"/>
      <c r="G955" s="585"/>
      <c r="H955" s="585">
        <f>+E955*C955</f>
        <v>22886.3934572</v>
      </c>
      <c r="I955" s="585"/>
    </row>
    <row r="956" spans="1:9">
      <c r="A956" s="20" t="s">
        <v>190</v>
      </c>
      <c r="B956" s="39">
        <f>SUM(F956:I956)</f>
        <v>83333.629843979987</v>
      </c>
      <c r="C956" s="34"/>
      <c r="D956" s="601"/>
      <c r="E956" s="585"/>
      <c r="F956" s="585">
        <f>SUM(F951:F955)</f>
        <v>0</v>
      </c>
      <c r="G956" s="585">
        <f>SUM(G951:G955)</f>
        <v>27026.654399999999</v>
      </c>
      <c r="H956" s="585">
        <f>SUM(H951:H955)</f>
        <v>51054.262327599994</v>
      </c>
      <c r="I956" s="585">
        <f>SUM(I951:I955)</f>
        <v>5252.7131163800004</v>
      </c>
    </row>
    <row r="957" spans="1:9">
      <c r="A957" s="20" t="s">
        <v>191</v>
      </c>
      <c r="B957" s="39">
        <f>+B956</f>
        <v>83333.629843979987</v>
      </c>
      <c r="C957" s="21" t="s">
        <v>363</v>
      </c>
      <c r="D957" s="13"/>
      <c r="E957" s="170"/>
      <c r="F957" s="170"/>
      <c r="G957" s="170"/>
      <c r="H957" s="170"/>
      <c r="I957" s="170"/>
    </row>
    <row r="959" spans="1:9">
      <c r="A959" s="724" t="s">
        <v>8640</v>
      </c>
      <c r="B959" s="3873" t="s">
        <v>4062</v>
      </c>
      <c r="C959" s="3873"/>
      <c r="D959" s="3873"/>
      <c r="E959" s="3873"/>
      <c r="F959" s="3873"/>
      <c r="G959" s="3873"/>
      <c r="H959" s="3873"/>
      <c r="I959" s="3873"/>
    </row>
    <row r="960" spans="1:9">
      <c r="A960" s="243"/>
      <c r="B960" s="180"/>
      <c r="C960" s="243" t="s">
        <v>140</v>
      </c>
      <c r="D960" s="243" t="s">
        <v>343</v>
      </c>
      <c r="E960" s="65" t="s">
        <v>344</v>
      </c>
      <c r="F960" s="65" t="s">
        <v>482</v>
      </c>
      <c r="G960" s="65" t="s">
        <v>483</v>
      </c>
      <c r="H960" s="65" t="s">
        <v>232</v>
      </c>
      <c r="I960" s="65" t="s">
        <v>171</v>
      </c>
    </row>
    <row r="961" spans="1:9">
      <c r="A961" s="2" t="s">
        <v>4063</v>
      </c>
      <c r="B961" s="3" t="s">
        <v>4064</v>
      </c>
      <c r="C961" s="684">
        <v>1</v>
      </c>
      <c r="D961" s="6" t="s">
        <v>363</v>
      </c>
      <c r="E961" s="585">
        <v>725000</v>
      </c>
      <c r="F961" s="585"/>
      <c r="G961" s="585">
        <f>+E961*C961</f>
        <v>725000</v>
      </c>
      <c r="H961" s="585"/>
      <c r="I961" s="585"/>
    </row>
    <row r="962" spans="1:9">
      <c r="A962" s="2" t="s">
        <v>584</v>
      </c>
      <c r="B962" s="744" t="s">
        <v>134</v>
      </c>
      <c r="C962" s="684">
        <v>1.4999999999999999E-2</v>
      </c>
      <c r="D962" s="6" t="s">
        <v>583</v>
      </c>
      <c r="E962" s="745">
        <f>+VIAJE</f>
        <v>1200000</v>
      </c>
      <c r="F962" s="745"/>
      <c r="G962" s="745"/>
      <c r="H962" s="745"/>
      <c r="I962" s="745">
        <f>+E962*C962</f>
        <v>18000</v>
      </c>
    </row>
    <row r="963" spans="1:9">
      <c r="A963" s="20" t="s">
        <v>190</v>
      </c>
      <c r="B963" s="39">
        <f>SUM(F963:I963)</f>
        <v>743000</v>
      </c>
      <c r="C963" s="34"/>
      <c r="D963" s="601"/>
      <c r="E963" s="585"/>
      <c r="F963" s="585">
        <f>SUM(F961:F962)</f>
        <v>0</v>
      </c>
      <c r="G963" s="585">
        <f>SUM(G961:G962)</f>
        <v>725000</v>
      </c>
      <c r="H963" s="585">
        <f>SUM(H961:H962)</f>
        <v>0</v>
      </c>
      <c r="I963" s="585">
        <f>SUM(I961:I962)</f>
        <v>18000</v>
      </c>
    </row>
    <row r="964" spans="1:9">
      <c r="A964" s="20" t="s">
        <v>191</v>
      </c>
      <c r="B964" s="39">
        <f>+B963</f>
        <v>743000</v>
      </c>
      <c r="C964" s="21" t="s">
        <v>363</v>
      </c>
      <c r="D964" s="13"/>
      <c r="E964" s="170"/>
      <c r="F964" s="170"/>
      <c r="G964" s="170"/>
      <c r="H964" s="170"/>
      <c r="I964" s="170"/>
    </row>
    <row r="966" spans="1:9">
      <c r="A966" s="594" t="s">
        <v>8641</v>
      </c>
      <c r="B966" s="3880" t="s">
        <v>4065</v>
      </c>
      <c r="C966" s="3881"/>
      <c r="D966" s="3881"/>
      <c r="E966" s="3881"/>
      <c r="F966" s="3881"/>
      <c r="G966" s="3881"/>
      <c r="H966" s="3881"/>
      <c r="I966" s="3882"/>
    </row>
    <row r="967" spans="1:9">
      <c r="A967" s="470"/>
      <c r="B967" s="180"/>
      <c r="C967" s="243" t="s">
        <v>140</v>
      </c>
      <c r="D967" s="243" t="s">
        <v>343</v>
      </c>
      <c r="E967" s="243" t="s">
        <v>344</v>
      </c>
      <c r="F967" s="701" t="s">
        <v>482</v>
      </c>
      <c r="G967" s="243" t="s">
        <v>483</v>
      </c>
      <c r="H967" s="243" t="s">
        <v>232</v>
      </c>
      <c r="I967" s="243" t="s">
        <v>171</v>
      </c>
    </row>
    <row r="968" spans="1:9">
      <c r="A968" s="471" t="s">
        <v>345</v>
      </c>
      <c r="B968" s="3" t="str">
        <f>IF(PRESTA&gt;0,"OFICIAL (INCLUYE "&amp;""&amp;PRESTA*100&amp;"% PRESTACIONES)",0)</f>
        <v>OFICIAL (INCLUYE 82,22% PRESTACIONES)</v>
      </c>
      <c r="C968" s="346">
        <v>1.3100000000000001E-2</v>
      </c>
      <c r="D968" s="160" t="s">
        <v>346</v>
      </c>
      <c r="E968" s="710">
        <f>+OFICI</f>
        <v>80479.625344</v>
      </c>
      <c r="F968" s="746"/>
      <c r="G968" s="710"/>
      <c r="H968" s="710">
        <f>+E968*C968</f>
        <v>1054.2830920064</v>
      </c>
      <c r="I968" s="710"/>
    </row>
    <row r="969" spans="1:9">
      <c r="A969" s="471" t="s">
        <v>347</v>
      </c>
      <c r="B969" s="3" t="str">
        <f>IF(PRESTA&gt;0,"AYUD. ENTENDIDO (INCLUYE "&amp;""&amp;PRESTA*100&amp;"% PRESTACIONES)",0)</f>
        <v>AYUD. ENTENDIDO (INCLUYE 82,22% PRESTACIONES)</v>
      </c>
      <c r="C969" s="346">
        <v>1.3100000000000001E-2</v>
      </c>
      <c r="D969" s="160" t="s">
        <v>346</v>
      </c>
      <c r="E969" s="710">
        <f>+AYUDA</f>
        <v>65389.695592000004</v>
      </c>
      <c r="F969" s="746"/>
      <c r="G969" s="710"/>
      <c r="H969" s="710">
        <f>+E969*C969</f>
        <v>856.60501225520011</v>
      </c>
      <c r="I969" s="710"/>
    </row>
    <row r="970" spans="1:9">
      <c r="A970" s="471" t="s">
        <v>172</v>
      </c>
      <c r="B970" s="3" t="s">
        <v>189</v>
      </c>
      <c r="C970" s="346">
        <v>1</v>
      </c>
      <c r="D970" s="160" t="s">
        <v>583</v>
      </c>
      <c r="E970" s="710">
        <f>+H973*0.05</f>
        <v>95.544405213080012</v>
      </c>
      <c r="F970" s="746"/>
      <c r="G970" s="710"/>
      <c r="H970" s="710"/>
      <c r="I970" s="710">
        <f>+E970*C970</f>
        <v>95.544405213080012</v>
      </c>
    </row>
    <row r="971" spans="1:9">
      <c r="A971" s="471" t="s">
        <v>419</v>
      </c>
      <c r="B971" s="3" t="s">
        <v>420</v>
      </c>
      <c r="C971" s="346">
        <v>1E-3</v>
      </c>
      <c r="D971" s="160" t="s">
        <v>44</v>
      </c>
      <c r="E971" s="710">
        <f>+LIMP</f>
        <v>15264.4632</v>
      </c>
      <c r="F971" s="746"/>
      <c r="G971" s="710">
        <f>+E971*C971</f>
        <v>15.2644632</v>
      </c>
      <c r="H971" s="710"/>
      <c r="I971" s="710"/>
    </row>
    <row r="972" spans="1:9">
      <c r="A972" s="471" t="s">
        <v>418</v>
      </c>
      <c r="B972" s="3" t="s">
        <v>421</v>
      </c>
      <c r="C972" s="346">
        <v>1E-3</v>
      </c>
      <c r="D972" s="160" t="s">
        <v>238</v>
      </c>
      <c r="E972" s="710">
        <f>+SOLPVC</f>
        <v>18605.82</v>
      </c>
      <c r="F972" s="746"/>
      <c r="G972" s="710">
        <f>+E972*C972</f>
        <v>18.605820000000001</v>
      </c>
      <c r="H972" s="710"/>
      <c r="I972" s="710"/>
    </row>
    <row r="973" spans="1:9">
      <c r="A973" s="587" t="s">
        <v>190</v>
      </c>
      <c r="B973" s="588">
        <f>ROUND(SUM(F973:I973),0)</f>
        <v>2006</v>
      </c>
      <c r="C973" s="160"/>
      <c r="D973" s="169"/>
      <c r="E973" s="710"/>
      <c r="F973" s="746">
        <f>SUM(F968:F970)</f>
        <v>0</v>
      </c>
      <c r="G973" s="710">
        <f>SUM(G968:G970)</f>
        <v>0</v>
      </c>
      <c r="H973" s="710">
        <f>SUM(H968:H970)</f>
        <v>1910.8881042616001</v>
      </c>
      <c r="I973" s="710">
        <f>SUM(I968:I970)</f>
        <v>95.544405213080012</v>
      </c>
    </row>
    <row r="974" spans="1:9">
      <c r="A974" s="587" t="s">
        <v>191</v>
      </c>
      <c r="B974" s="39">
        <f>+B973</f>
        <v>2006</v>
      </c>
      <c r="C974" s="688" t="s">
        <v>363</v>
      </c>
      <c r="D974" s="13"/>
      <c r="E974" s="13"/>
      <c r="F974" s="13"/>
      <c r="G974" s="13"/>
      <c r="H974" s="13"/>
      <c r="I974" s="13"/>
    </row>
    <row r="975" spans="1:9">
      <c r="A975" s="747"/>
      <c r="B975" s="247"/>
      <c r="C975" s="247"/>
      <c r="D975" s="247"/>
      <c r="E975" s="247"/>
      <c r="F975" s="247"/>
      <c r="G975" s="247"/>
      <c r="H975" s="247"/>
      <c r="I975" s="247"/>
    </row>
    <row r="976" spans="1:9">
      <c r="A976" s="724" t="s">
        <v>8642</v>
      </c>
      <c r="B976" s="3877" t="s">
        <v>4066</v>
      </c>
      <c r="C976" s="3878"/>
      <c r="D976" s="3878"/>
      <c r="E976" s="3878"/>
      <c r="F976" s="3878"/>
      <c r="G976" s="3878"/>
      <c r="H976" s="3878"/>
      <c r="I976" s="3879"/>
    </row>
    <row r="977" spans="1:9">
      <c r="A977" s="470"/>
      <c r="B977" s="180"/>
      <c r="C977" s="243" t="s">
        <v>140</v>
      </c>
      <c r="D977" s="243" t="s">
        <v>343</v>
      </c>
      <c r="E977" s="243" t="s">
        <v>344</v>
      </c>
      <c r="F977" s="701" t="s">
        <v>482</v>
      </c>
      <c r="G977" s="243" t="s">
        <v>483</v>
      </c>
      <c r="H977" s="243" t="s">
        <v>232</v>
      </c>
      <c r="I977" s="243" t="s">
        <v>171</v>
      </c>
    </row>
    <row r="978" spans="1:9">
      <c r="A978" s="471" t="s">
        <v>169</v>
      </c>
      <c r="B978" s="3" t="s">
        <v>4067</v>
      </c>
      <c r="C978" s="346">
        <v>1</v>
      </c>
      <c r="D978" s="160" t="s">
        <v>363</v>
      </c>
      <c r="E978" s="710">
        <f>+CP904L</f>
        <v>85473.96</v>
      </c>
      <c r="F978" s="746"/>
      <c r="G978" s="710">
        <f>+E978*C978</f>
        <v>85473.96</v>
      </c>
      <c r="H978" s="710"/>
      <c r="I978" s="710"/>
    </row>
    <row r="979" spans="1:9">
      <c r="A979" s="471" t="s">
        <v>584</v>
      </c>
      <c r="B979" s="3" t="s">
        <v>134</v>
      </c>
      <c r="C979" s="346">
        <v>1E-3</v>
      </c>
      <c r="D979" s="160" t="s">
        <v>583</v>
      </c>
      <c r="E979" s="710">
        <f>+VIAJE</f>
        <v>1200000</v>
      </c>
      <c r="F979" s="746"/>
      <c r="G979" s="710"/>
      <c r="H979" s="710"/>
      <c r="I979" s="710">
        <f>+E979*C979</f>
        <v>1200</v>
      </c>
    </row>
    <row r="980" spans="1:9">
      <c r="A980" s="587" t="s">
        <v>190</v>
      </c>
      <c r="B980" s="588">
        <f>ROUND(SUM(F980:I980),0)</f>
        <v>86674</v>
      </c>
      <c r="C980" s="160"/>
      <c r="D980" s="169"/>
      <c r="E980" s="710"/>
      <c r="F980" s="746">
        <f>SUM(F978:F979)</f>
        <v>0</v>
      </c>
      <c r="G980" s="710">
        <f>SUM(G978:G979)</f>
        <v>85473.96</v>
      </c>
      <c r="H980" s="710">
        <f>SUM(H978:H979)</f>
        <v>0</v>
      </c>
      <c r="I980" s="710">
        <f>SUM(I978:I979)</f>
        <v>1200</v>
      </c>
    </row>
    <row r="981" spans="1:9">
      <c r="A981" s="587" t="s">
        <v>191</v>
      </c>
      <c r="B981" s="39">
        <f>+B980</f>
        <v>86674</v>
      </c>
      <c r="C981" s="688" t="s">
        <v>363</v>
      </c>
      <c r="D981" s="13"/>
      <c r="E981" s="13"/>
      <c r="F981" s="13"/>
      <c r="G981" s="13"/>
      <c r="H981" s="13"/>
      <c r="I981" s="13"/>
    </row>
    <row r="983" spans="1:9">
      <c r="A983" s="3694" t="s">
        <v>1398</v>
      </c>
      <c r="B983" s="3695"/>
      <c r="C983" s="3695"/>
      <c r="D983" s="3695"/>
      <c r="E983" s="3695"/>
      <c r="F983" s="3695"/>
      <c r="G983" s="3695"/>
      <c r="H983" s="3695"/>
      <c r="I983" s="3895"/>
    </row>
    <row r="985" spans="1:9">
      <c r="A985" s="594">
        <v>7.1</v>
      </c>
      <c r="B985" s="3558" t="s">
        <v>4068</v>
      </c>
      <c r="C985" s="3558"/>
      <c r="D985" s="3558"/>
      <c r="E985" s="3558"/>
      <c r="F985" s="3558"/>
      <c r="G985" s="3558"/>
      <c r="H985" s="3558"/>
      <c r="I985" s="3558"/>
    </row>
    <row r="986" spans="1:9">
      <c r="A986" s="243"/>
      <c r="B986" s="179"/>
      <c r="C986" s="243" t="s">
        <v>140</v>
      </c>
      <c r="D986" s="243" t="s">
        <v>343</v>
      </c>
      <c r="E986" s="65" t="s">
        <v>344</v>
      </c>
      <c r="F986" s="65" t="s">
        <v>482</v>
      </c>
      <c r="G986" s="65" t="s">
        <v>483</v>
      </c>
      <c r="H986" s="65" t="s">
        <v>232</v>
      </c>
      <c r="I986" s="65" t="s">
        <v>171</v>
      </c>
    </row>
    <row r="987" spans="1:9">
      <c r="A987" s="243" t="s">
        <v>1526</v>
      </c>
      <c r="B987" s="179" t="s">
        <v>4069</v>
      </c>
      <c r="C987" s="346">
        <v>1</v>
      </c>
      <c r="D987" s="160" t="s">
        <v>363</v>
      </c>
      <c r="E987" s="65">
        <v>5100000</v>
      </c>
      <c r="F987" s="65"/>
      <c r="G987" s="65">
        <f>+E987*C987</f>
        <v>5100000</v>
      </c>
      <c r="H987" s="65"/>
      <c r="I987" s="65"/>
    </row>
    <row r="988" spans="1:9">
      <c r="A988" s="243" t="s">
        <v>345</v>
      </c>
      <c r="B988" s="592" t="str">
        <f>IF(PRESTA&gt;0,"OFICIAL (INCLUYE "&amp;""&amp;PRESTA*100&amp;"% PRESTACIONES)",0)</f>
        <v>OFICIAL (INCLUYE 82,22% PRESTACIONES)</v>
      </c>
      <c r="C988" s="346">
        <v>2</v>
      </c>
      <c r="D988" s="243" t="s">
        <v>346</v>
      </c>
      <c r="E988" s="65">
        <f>+OFICI</f>
        <v>80479.625344</v>
      </c>
      <c r="F988" s="65"/>
      <c r="G988" s="65"/>
      <c r="H988" s="65">
        <f>+E988*C988</f>
        <v>160959.250688</v>
      </c>
      <c r="I988" s="65"/>
    </row>
    <row r="989" spans="1:9">
      <c r="A989" s="243" t="s">
        <v>347</v>
      </c>
      <c r="B989" s="592" t="str">
        <f>IF(PRESTA&gt;0,"AYUD. ENTENDIDO (INCLUYE "&amp;""&amp;PRESTA*100&amp;"% PRESTACIONES)",0)</f>
        <v>AYUD. ENTENDIDO (INCLUYE 82,22% PRESTACIONES)</v>
      </c>
      <c r="C989" s="346">
        <v>2</v>
      </c>
      <c r="D989" s="243" t="s">
        <v>346</v>
      </c>
      <c r="E989" s="65">
        <f>+AYUDA</f>
        <v>65389.695592000004</v>
      </c>
      <c r="F989" s="65"/>
      <c r="G989" s="65"/>
      <c r="H989" s="65">
        <f>+E989*C989</f>
        <v>130779.39118400001</v>
      </c>
      <c r="I989" s="65"/>
    </row>
    <row r="990" spans="1:9">
      <c r="A990" s="243" t="s">
        <v>348</v>
      </c>
      <c r="B990" s="179" t="str">
        <f>IF(PRESTA&gt;0,"AYUD. RASO (INCLUYE "&amp;""&amp;PRESTA*100&amp;"% PRESTACIONES)",0)</f>
        <v>AYUD. RASO (INCLUYE 82,22% PRESTACIONES)</v>
      </c>
      <c r="C990" s="346">
        <v>2</v>
      </c>
      <c r="D990" s="160" t="s">
        <v>346</v>
      </c>
      <c r="E990" s="65">
        <f>+AYUDR</f>
        <v>50299.76584</v>
      </c>
      <c r="F990" s="65"/>
      <c r="G990" s="65"/>
      <c r="H990" s="65">
        <f>+E990*C990</f>
        <v>100599.53168</v>
      </c>
      <c r="I990" s="65"/>
    </row>
    <row r="991" spans="1:9">
      <c r="A991" s="243" t="s">
        <v>584</v>
      </c>
      <c r="B991" s="180" t="s">
        <v>134</v>
      </c>
      <c r="C991" s="346">
        <v>0.41610714285714284</v>
      </c>
      <c r="D991" s="243" t="s">
        <v>583</v>
      </c>
      <c r="E991" s="65">
        <f>+VIAJE</f>
        <v>1200000</v>
      </c>
      <c r="F991" s="65"/>
      <c r="G991" s="65"/>
      <c r="H991" s="65"/>
      <c r="I991" s="65">
        <f>+E991*C991</f>
        <v>499328.57142857142</v>
      </c>
    </row>
    <row r="992" spans="1:9">
      <c r="A992" s="243" t="s">
        <v>172</v>
      </c>
      <c r="B992" s="179" t="s">
        <v>189</v>
      </c>
      <c r="C992" s="346">
        <v>1</v>
      </c>
      <c r="D992" s="160" t="s">
        <v>583</v>
      </c>
      <c r="E992" s="65">
        <f>+H993*0.05</f>
        <v>19616.9086776</v>
      </c>
      <c r="F992" s="65"/>
      <c r="G992" s="65"/>
      <c r="H992" s="65"/>
      <c r="I992" s="65">
        <f>+E992*C992</f>
        <v>19616.9086776</v>
      </c>
    </row>
    <row r="993" spans="1:9">
      <c r="A993" s="587" t="s">
        <v>190</v>
      </c>
      <c r="B993" s="588">
        <f>SUM(F993:I993)</f>
        <v>6011283.6536581712</v>
      </c>
      <c r="C993" s="160"/>
      <c r="D993" s="169"/>
      <c r="E993" s="65"/>
      <c r="F993" s="65">
        <f>SUM(F987:F992)</f>
        <v>0</v>
      </c>
      <c r="G993" s="65">
        <f>SUM(G987:G992)</f>
        <v>5100000</v>
      </c>
      <c r="H993" s="65">
        <f>SUM(H987:H992)</f>
        <v>392338.17355200002</v>
      </c>
      <c r="I993" s="65">
        <f>SUM(I987:I992)</f>
        <v>518945.4801061714</v>
      </c>
    </row>
    <row r="994" spans="1:9">
      <c r="A994" s="587" t="s">
        <v>191</v>
      </c>
      <c r="B994" s="39">
        <f>+B993</f>
        <v>6011283.6536581712</v>
      </c>
      <c r="C994" s="688" t="s">
        <v>363</v>
      </c>
      <c r="D994" s="13"/>
      <c r="E994" s="590"/>
      <c r="F994" s="170"/>
      <c r="G994" s="170"/>
      <c r="H994" s="170"/>
      <c r="I994" s="170"/>
    </row>
    <row r="996" spans="1:9">
      <c r="A996" s="594">
        <v>7.2</v>
      </c>
      <c r="B996" s="3558" t="s">
        <v>4070</v>
      </c>
      <c r="C996" s="3558"/>
      <c r="D996" s="3558"/>
      <c r="E996" s="3558"/>
      <c r="F996" s="3558"/>
      <c r="G996" s="3558"/>
      <c r="H996" s="3558"/>
      <c r="I996" s="3558"/>
    </row>
    <row r="997" spans="1:9">
      <c r="A997" s="243"/>
      <c r="B997" s="179"/>
      <c r="C997" s="243" t="s">
        <v>140</v>
      </c>
      <c r="D997" s="243" t="s">
        <v>343</v>
      </c>
      <c r="E997" s="65" t="s">
        <v>344</v>
      </c>
      <c r="F997" s="65" t="s">
        <v>482</v>
      </c>
      <c r="G997" s="65" t="s">
        <v>483</v>
      </c>
      <c r="H997" s="65" t="s">
        <v>232</v>
      </c>
      <c r="I997" s="65" t="s">
        <v>171</v>
      </c>
    </row>
    <row r="998" spans="1:9">
      <c r="A998" s="243" t="s">
        <v>1526</v>
      </c>
      <c r="B998" s="179" t="s">
        <v>2061</v>
      </c>
      <c r="C998" s="346">
        <v>1</v>
      </c>
      <c r="D998" s="160" t="s">
        <v>363</v>
      </c>
      <c r="E998" s="65">
        <f>750000*1.2</f>
        <v>900000</v>
      </c>
      <c r="F998" s="65"/>
      <c r="G998" s="65">
        <f>+E998*C998</f>
        <v>900000</v>
      </c>
      <c r="H998" s="65"/>
      <c r="I998" s="65"/>
    </row>
    <row r="999" spans="1:9">
      <c r="A999" s="243" t="s">
        <v>345</v>
      </c>
      <c r="B999" s="592" t="str">
        <f>IF(PRESTA&gt;0,"OFICIAL (INCLUYE "&amp;""&amp;PRESTA*100&amp;"% PRESTACIONES)",0)</f>
        <v>OFICIAL (INCLUYE 82,22% PRESTACIONES)</v>
      </c>
      <c r="C999" s="346">
        <v>1</v>
      </c>
      <c r="D999" s="243" t="s">
        <v>346</v>
      </c>
      <c r="E999" s="65">
        <f>+OFICI</f>
        <v>80479.625344</v>
      </c>
      <c r="F999" s="65"/>
      <c r="G999" s="65"/>
      <c r="H999" s="65">
        <f>+E999*C999</f>
        <v>80479.625344</v>
      </c>
      <c r="I999" s="65"/>
    </row>
    <row r="1000" spans="1:9">
      <c r="A1000" s="243" t="s">
        <v>347</v>
      </c>
      <c r="B1000" s="592" t="str">
        <f>IF(PRESTA&gt;0,"AYUD. ENTENDIDO (INCLUYE "&amp;""&amp;PRESTA*100&amp;"% PRESTACIONES)",0)</f>
        <v>AYUD. ENTENDIDO (INCLUYE 82,22% PRESTACIONES)</v>
      </c>
      <c r="C1000" s="346">
        <f>+C999</f>
        <v>1</v>
      </c>
      <c r="D1000" s="243" t="s">
        <v>346</v>
      </c>
      <c r="E1000" s="65">
        <f>+AYUDA</f>
        <v>65389.695592000004</v>
      </c>
      <c r="F1000" s="65"/>
      <c r="G1000" s="65"/>
      <c r="H1000" s="65">
        <f>+E1000*C1000</f>
        <v>65389.695592000004</v>
      </c>
      <c r="I1000" s="65"/>
    </row>
    <row r="1001" spans="1:9">
      <c r="A1001" s="243" t="s">
        <v>348</v>
      </c>
      <c r="B1001" s="179" t="str">
        <f>IF(PRESTA&gt;0,"AYUD. RASO (INCLUYE "&amp;""&amp;PRESTA*100&amp;"% PRESTACIONES)",0)</f>
        <v>AYUD. RASO (INCLUYE 82,22% PRESTACIONES)</v>
      </c>
      <c r="C1001" s="346">
        <f>+C1000</f>
        <v>1</v>
      </c>
      <c r="D1001" s="160" t="s">
        <v>346</v>
      </c>
      <c r="E1001" s="65">
        <f>+AYUDR</f>
        <v>50299.76584</v>
      </c>
      <c r="F1001" s="65"/>
      <c r="G1001" s="65"/>
      <c r="H1001" s="65">
        <f>+E1001*C1001</f>
        <v>50299.76584</v>
      </c>
      <c r="I1001" s="65"/>
    </row>
    <row r="1002" spans="1:9">
      <c r="A1002" s="243" t="s">
        <v>584</v>
      </c>
      <c r="B1002" s="180" t="s">
        <v>134</v>
      </c>
      <c r="C1002" s="346">
        <v>0.8</v>
      </c>
      <c r="D1002" s="243" t="s">
        <v>583</v>
      </c>
      <c r="E1002" s="65">
        <f>+VIAJE</f>
        <v>1200000</v>
      </c>
      <c r="F1002" s="65"/>
      <c r="G1002" s="65"/>
      <c r="H1002" s="65"/>
      <c r="I1002" s="65">
        <f>+E1002*C1002</f>
        <v>960000</v>
      </c>
    </row>
    <row r="1003" spans="1:9">
      <c r="A1003" s="243" t="s">
        <v>172</v>
      </c>
      <c r="B1003" s="179" t="s">
        <v>189</v>
      </c>
      <c r="C1003" s="346">
        <v>1</v>
      </c>
      <c r="D1003" s="160" t="s">
        <v>583</v>
      </c>
      <c r="E1003" s="65">
        <f>+H1004*0.05</f>
        <v>9808.4543388000002</v>
      </c>
      <c r="F1003" s="65"/>
      <c r="G1003" s="65"/>
      <c r="H1003" s="65"/>
      <c r="I1003" s="65">
        <f>+E1003*C1003</f>
        <v>9808.4543388000002</v>
      </c>
    </row>
    <row r="1004" spans="1:9">
      <c r="A1004" s="587" t="s">
        <v>190</v>
      </c>
      <c r="B1004" s="588">
        <f>SUM(F1004:I1004)</f>
        <v>2065977.5411148001</v>
      </c>
      <c r="C1004" s="160"/>
      <c r="D1004" s="169"/>
      <c r="E1004" s="65"/>
      <c r="F1004" s="65">
        <f>SUM(F998:F1003)</f>
        <v>0</v>
      </c>
      <c r="G1004" s="65">
        <f>SUM(G998:G1003)</f>
        <v>900000</v>
      </c>
      <c r="H1004" s="65">
        <f>SUM(H998:H1003)</f>
        <v>196169.08677600001</v>
      </c>
      <c r="I1004" s="65">
        <f>SUM(I998:I1003)</f>
        <v>969808.45433880005</v>
      </c>
    </row>
    <row r="1005" spans="1:9">
      <c r="A1005" s="587" t="s">
        <v>191</v>
      </c>
      <c r="B1005" s="39">
        <f>+B1004</f>
        <v>2065977.5411148001</v>
      </c>
      <c r="C1005" s="688" t="s">
        <v>363</v>
      </c>
      <c r="D1005" s="13"/>
      <c r="E1005" s="590"/>
      <c r="F1005" s="170"/>
      <c r="G1005" s="170"/>
      <c r="H1005" s="170"/>
      <c r="I1005" s="170"/>
    </row>
    <row r="1007" spans="1:9">
      <c r="A1007" s="594">
        <v>7.3</v>
      </c>
      <c r="B1007" s="3558" t="s">
        <v>4071</v>
      </c>
      <c r="C1007" s="3558"/>
      <c r="D1007" s="3558"/>
      <c r="E1007" s="3558"/>
      <c r="F1007" s="3558"/>
      <c r="G1007" s="3558"/>
      <c r="H1007" s="3558"/>
      <c r="I1007" s="3558"/>
    </row>
    <row r="1008" spans="1:9">
      <c r="A1008" s="243"/>
      <c r="B1008" s="179"/>
      <c r="C1008" s="243" t="s">
        <v>140</v>
      </c>
      <c r="D1008" s="243" t="s">
        <v>343</v>
      </c>
      <c r="E1008" s="65" t="s">
        <v>344</v>
      </c>
      <c r="F1008" s="65" t="s">
        <v>482</v>
      </c>
      <c r="G1008" s="65" t="s">
        <v>483</v>
      </c>
      <c r="H1008" s="65" t="s">
        <v>232</v>
      </c>
      <c r="I1008" s="65" t="s">
        <v>171</v>
      </c>
    </row>
    <row r="1009" spans="1:9">
      <c r="A1009" s="243" t="s">
        <v>1526</v>
      </c>
      <c r="B1009" s="179" t="s">
        <v>2063</v>
      </c>
      <c r="C1009" s="346">
        <v>1</v>
      </c>
      <c r="D1009" s="160" t="s">
        <v>363</v>
      </c>
      <c r="E1009" s="65">
        <f>500000*1.15</f>
        <v>575000</v>
      </c>
      <c r="F1009" s="65"/>
      <c r="G1009" s="65">
        <f>+E1009*C1009</f>
        <v>575000</v>
      </c>
      <c r="H1009" s="65"/>
      <c r="I1009" s="65"/>
    </row>
    <row r="1010" spans="1:9">
      <c r="A1010" s="243" t="s">
        <v>345</v>
      </c>
      <c r="B1010" s="592" t="str">
        <f>IF(PRESTA&gt;0,"OFICIAL (INCLUYE "&amp;""&amp;PRESTA*100&amp;"% PRESTACIONES)",0)</f>
        <v>OFICIAL (INCLUYE 82,22% PRESTACIONES)</v>
      </c>
      <c r="C1010" s="346">
        <v>0.7</v>
      </c>
      <c r="D1010" s="243" t="s">
        <v>346</v>
      </c>
      <c r="E1010" s="65">
        <f>+OFICI</f>
        <v>80479.625344</v>
      </c>
      <c r="F1010" s="65"/>
      <c r="G1010" s="65"/>
      <c r="H1010" s="65">
        <f>+E1010*C1010</f>
        <v>56335.737740799996</v>
      </c>
      <c r="I1010" s="65"/>
    </row>
    <row r="1011" spans="1:9">
      <c r="A1011" s="243" t="s">
        <v>347</v>
      </c>
      <c r="B1011" s="592" t="str">
        <f>IF(PRESTA&gt;0,"AYUD. ENTENDIDO (INCLUYE "&amp;""&amp;PRESTA*100&amp;"% PRESTACIONES)",0)</f>
        <v>AYUD. ENTENDIDO (INCLUYE 82,22% PRESTACIONES)</v>
      </c>
      <c r="C1011" s="346">
        <f>+C1010</f>
        <v>0.7</v>
      </c>
      <c r="D1011" s="243" t="s">
        <v>346</v>
      </c>
      <c r="E1011" s="65">
        <f>+AYUDA</f>
        <v>65389.695592000004</v>
      </c>
      <c r="F1011" s="65"/>
      <c r="G1011" s="65"/>
      <c r="H1011" s="65">
        <f>+E1011*C1011</f>
        <v>45772.7869144</v>
      </c>
      <c r="I1011" s="65"/>
    </row>
    <row r="1012" spans="1:9">
      <c r="A1012" s="243" t="s">
        <v>348</v>
      </c>
      <c r="B1012" s="179" t="str">
        <f>IF(PRESTA&gt;0,"AYUD. RASO (INCLUYE "&amp;""&amp;PRESTA*100&amp;"% PRESTACIONES)",0)</f>
        <v>AYUD. RASO (INCLUYE 82,22% PRESTACIONES)</v>
      </c>
      <c r="C1012" s="346">
        <f>+C1011</f>
        <v>0.7</v>
      </c>
      <c r="D1012" s="160" t="s">
        <v>346</v>
      </c>
      <c r="E1012" s="65">
        <f>+AYUDR</f>
        <v>50299.76584</v>
      </c>
      <c r="F1012" s="65"/>
      <c r="G1012" s="65"/>
      <c r="H1012" s="65">
        <f>+E1012*C1012</f>
        <v>35209.836087999996</v>
      </c>
      <c r="I1012" s="65"/>
    </row>
    <row r="1013" spans="1:9">
      <c r="A1013" s="243" t="s">
        <v>584</v>
      </c>
      <c r="B1013" s="180" t="s">
        <v>134</v>
      </c>
      <c r="C1013" s="346">
        <v>0.65</v>
      </c>
      <c r="D1013" s="243" t="s">
        <v>583</v>
      </c>
      <c r="E1013" s="65">
        <f>+VIAJE</f>
        <v>1200000</v>
      </c>
      <c r="F1013" s="65"/>
      <c r="G1013" s="65"/>
      <c r="H1013" s="65"/>
      <c r="I1013" s="65">
        <f>+E1013*C1013</f>
        <v>780000</v>
      </c>
    </row>
    <row r="1014" spans="1:9">
      <c r="A1014" s="243" t="s">
        <v>172</v>
      </c>
      <c r="B1014" s="179" t="s">
        <v>189</v>
      </c>
      <c r="C1014" s="346">
        <v>1</v>
      </c>
      <c r="D1014" s="160" t="s">
        <v>583</v>
      </c>
      <c r="E1014" s="65">
        <f>+H1015*0.05</f>
        <v>6865.9180371600005</v>
      </c>
      <c r="F1014" s="65"/>
      <c r="G1014" s="65"/>
      <c r="H1014" s="65"/>
      <c r="I1014" s="65">
        <f>+E1014*C1014</f>
        <v>6865.9180371600005</v>
      </c>
    </row>
    <row r="1015" spans="1:9">
      <c r="A1015" s="587" t="s">
        <v>190</v>
      </c>
      <c r="B1015" s="588">
        <f>SUM(F1015:I1015)</f>
        <v>1499184.2787803598</v>
      </c>
      <c r="C1015" s="160"/>
      <c r="D1015" s="169"/>
      <c r="E1015" s="65"/>
      <c r="F1015" s="65">
        <f>SUM(F1009:F1014)</f>
        <v>0</v>
      </c>
      <c r="G1015" s="65">
        <f>SUM(G1009:G1014)</f>
        <v>575000</v>
      </c>
      <c r="H1015" s="65">
        <f>SUM(H1009:H1014)</f>
        <v>137318.3607432</v>
      </c>
      <c r="I1015" s="65">
        <f>SUM(I1009:I1014)</f>
        <v>786865.91803715995</v>
      </c>
    </row>
    <row r="1016" spans="1:9">
      <c r="A1016" s="587" t="s">
        <v>191</v>
      </c>
      <c r="B1016" s="39">
        <f>+B1015</f>
        <v>1499184.2787803598</v>
      </c>
      <c r="C1016" s="688" t="s">
        <v>363</v>
      </c>
      <c r="D1016" s="13"/>
      <c r="E1016" s="590"/>
      <c r="F1016" s="170"/>
      <c r="G1016" s="170"/>
      <c r="H1016" s="170"/>
      <c r="I1016" s="170"/>
    </row>
    <row r="1018" spans="1:9">
      <c r="A1018" s="594" t="s">
        <v>4072</v>
      </c>
      <c r="B1018" s="3558" t="s">
        <v>4073</v>
      </c>
      <c r="C1018" s="3558"/>
      <c r="D1018" s="3558"/>
      <c r="E1018" s="3558"/>
      <c r="F1018" s="3558"/>
      <c r="G1018" s="3558"/>
      <c r="H1018" s="3558"/>
      <c r="I1018" s="3558"/>
    </row>
    <row r="1019" spans="1:9">
      <c r="A1019" s="243"/>
      <c r="B1019" s="179"/>
      <c r="C1019" s="243" t="s">
        <v>140</v>
      </c>
      <c r="D1019" s="243" t="s">
        <v>343</v>
      </c>
      <c r="E1019" s="65" t="s">
        <v>344</v>
      </c>
      <c r="F1019" s="65" t="s">
        <v>482</v>
      </c>
      <c r="G1019" s="65" t="s">
        <v>483</v>
      </c>
      <c r="H1019" s="65" t="s">
        <v>232</v>
      </c>
      <c r="I1019" s="65" t="s">
        <v>171</v>
      </c>
    </row>
    <row r="1020" spans="1:9">
      <c r="A1020" s="243" t="s">
        <v>1526</v>
      </c>
      <c r="B1020" s="179" t="s">
        <v>4074</v>
      </c>
      <c r="C1020" s="346">
        <v>1</v>
      </c>
      <c r="D1020" s="160" t="s">
        <v>94</v>
      </c>
      <c r="E1020" s="65">
        <v>16000</v>
      </c>
      <c r="F1020" s="65"/>
      <c r="G1020" s="65">
        <f>+E1020*C1020</f>
        <v>16000</v>
      </c>
      <c r="H1020" s="65"/>
      <c r="I1020" s="65"/>
    </row>
    <row r="1021" spans="1:9">
      <c r="A1021" s="243" t="s">
        <v>345</v>
      </c>
      <c r="B1021" s="592" t="str">
        <f>IF(PRESTA&gt;0,"OFICIAL (INCLUYE "&amp;""&amp;PRESTA*100&amp;"% PRESTACIONES)",0)</f>
        <v>OFICIAL (INCLUYE 82,22% PRESTACIONES)</v>
      </c>
      <c r="C1021" s="346">
        <v>2.6143790849673249E-2</v>
      </c>
      <c r="D1021" s="243" t="s">
        <v>346</v>
      </c>
      <c r="E1021" s="65">
        <f>+OFICI</f>
        <v>80479.625344</v>
      </c>
      <c r="F1021" s="65"/>
      <c r="G1021" s="65"/>
      <c r="H1021" s="65">
        <f>+E1021*C1021</f>
        <v>2104.0424926535984</v>
      </c>
      <c r="I1021" s="65"/>
    </row>
    <row r="1022" spans="1:9">
      <c r="A1022" s="243" t="s">
        <v>347</v>
      </c>
      <c r="B1022" s="592" t="str">
        <f>IF(PRESTA&gt;0,"AYUD. ENTENDIDO (INCLUYE "&amp;""&amp;PRESTA*100&amp;"% PRESTACIONES)",0)</f>
        <v>AYUD. ENTENDIDO (INCLUYE 82,22% PRESTACIONES)</v>
      </c>
      <c r="C1022" s="346">
        <f>+C1021</f>
        <v>2.6143790849673249E-2</v>
      </c>
      <c r="D1022" s="243" t="s">
        <v>346</v>
      </c>
      <c r="E1022" s="65">
        <f>+AYUDA</f>
        <v>65389.695592000004</v>
      </c>
      <c r="F1022" s="65"/>
      <c r="G1022" s="65"/>
      <c r="H1022" s="65">
        <f>+E1022*C1022</f>
        <v>1709.5345252810489</v>
      </c>
      <c r="I1022" s="65"/>
    </row>
    <row r="1023" spans="1:9">
      <c r="A1023" s="243" t="s">
        <v>584</v>
      </c>
      <c r="B1023" s="180" t="s">
        <v>134</v>
      </c>
      <c r="C1023" s="346">
        <v>1.0714285714285704E-3</v>
      </c>
      <c r="D1023" s="243" t="s">
        <v>583</v>
      </c>
      <c r="E1023" s="65">
        <f>+VIAJE</f>
        <v>1200000</v>
      </c>
      <c r="F1023" s="65"/>
      <c r="G1023" s="65"/>
      <c r="H1023" s="65"/>
      <c r="I1023" s="65">
        <f>+E1023*C1023</f>
        <v>1285.7142857142844</v>
      </c>
    </row>
    <row r="1024" spans="1:9">
      <c r="A1024" s="243" t="s">
        <v>172</v>
      </c>
      <c r="B1024" s="179" t="s">
        <v>189</v>
      </c>
      <c r="C1024" s="346">
        <v>1</v>
      </c>
      <c r="D1024" s="160" t="s">
        <v>583</v>
      </c>
      <c r="E1024" s="65">
        <f>+H1025*0.05</f>
        <v>190.67885089673237</v>
      </c>
      <c r="F1024" s="65"/>
      <c r="G1024" s="65"/>
      <c r="H1024" s="65"/>
      <c r="I1024" s="65">
        <f>+E1024*C1024</f>
        <v>190.67885089673237</v>
      </c>
    </row>
    <row r="1025" spans="1:9">
      <c r="A1025" s="587" t="s">
        <v>190</v>
      </c>
      <c r="B1025" s="588">
        <f>SUM(F1025:I1025)</f>
        <v>21289.970154545663</v>
      </c>
      <c r="C1025" s="160"/>
      <c r="D1025" s="169"/>
      <c r="E1025" s="65"/>
      <c r="F1025" s="65">
        <f>SUM(F1020:F1024)</f>
        <v>0</v>
      </c>
      <c r="G1025" s="65">
        <f>SUM(G1020:G1024)</f>
        <v>16000</v>
      </c>
      <c r="H1025" s="65">
        <f>SUM(H1020:H1024)</f>
        <v>3813.5770179346473</v>
      </c>
      <c r="I1025" s="65">
        <f>SUM(I1020:I1024)</f>
        <v>1476.3931366110169</v>
      </c>
    </row>
    <row r="1026" spans="1:9">
      <c r="A1026" s="587" t="s">
        <v>191</v>
      </c>
      <c r="B1026" s="39">
        <f>+B1025</f>
        <v>21289.970154545663</v>
      </c>
      <c r="C1026" s="688" t="s">
        <v>94</v>
      </c>
      <c r="D1026" s="13"/>
      <c r="E1026" s="590"/>
      <c r="F1026" s="170"/>
      <c r="G1026" s="170"/>
      <c r="H1026" s="170"/>
      <c r="I1026" s="170"/>
    </row>
    <row r="1027" spans="1:9">
      <c r="A1027" s="596"/>
      <c r="B1027" s="597"/>
      <c r="C1027" s="596"/>
      <c r="D1027" s="596"/>
      <c r="E1027" s="599"/>
      <c r="F1027" s="599"/>
      <c r="G1027" s="599"/>
      <c r="H1027" s="599"/>
      <c r="I1027" s="599"/>
    </row>
    <row r="1028" spans="1:9">
      <c r="A1028" s="594">
        <v>7.5</v>
      </c>
      <c r="B1028" s="3558" t="s">
        <v>4075</v>
      </c>
      <c r="C1028" s="3558"/>
      <c r="D1028" s="3558"/>
      <c r="E1028" s="3558"/>
      <c r="F1028" s="3558"/>
      <c r="G1028" s="3558"/>
      <c r="H1028" s="3558"/>
      <c r="I1028" s="3558"/>
    </row>
    <row r="1029" spans="1:9">
      <c r="A1029" s="243"/>
      <c r="B1029" s="179"/>
      <c r="C1029" s="243" t="s">
        <v>140</v>
      </c>
      <c r="D1029" s="243" t="s">
        <v>343</v>
      </c>
      <c r="E1029" s="65" t="s">
        <v>344</v>
      </c>
      <c r="F1029" s="65" t="s">
        <v>482</v>
      </c>
      <c r="G1029" s="65" t="s">
        <v>483</v>
      </c>
      <c r="H1029" s="65" t="s">
        <v>232</v>
      </c>
      <c r="I1029" s="65" t="s">
        <v>171</v>
      </c>
    </row>
    <row r="1030" spans="1:9">
      <c r="A1030" s="243" t="s">
        <v>1526</v>
      </c>
      <c r="B1030" s="179" t="s">
        <v>4076</v>
      </c>
      <c r="C1030" s="346">
        <v>1</v>
      </c>
      <c r="D1030" s="160" t="s">
        <v>363</v>
      </c>
      <c r="E1030" s="65">
        <v>62000</v>
      </c>
      <c r="F1030" s="65"/>
      <c r="G1030" s="65">
        <f>+E1030*C1030</f>
        <v>62000</v>
      </c>
      <c r="H1030" s="65"/>
      <c r="I1030" s="65"/>
    </row>
    <row r="1031" spans="1:9">
      <c r="A1031" s="243" t="s">
        <v>345</v>
      </c>
      <c r="B1031" s="592" t="str">
        <f>IF(PRESTA&gt;0,"OFICIAL (INCLUYE "&amp;""&amp;PRESTA*100&amp;"% PRESTACIONES)",0)</f>
        <v>OFICIAL (INCLUYE 82,22% PRESTACIONES)</v>
      </c>
      <c r="C1031" s="346">
        <v>0.35</v>
      </c>
      <c r="D1031" s="243" t="s">
        <v>346</v>
      </c>
      <c r="E1031" s="65">
        <f>+OFICI</f>
        <v>80479.625344</v>
      </c>
      <c r="F1031" s="65"/>
      <c r="G1031" s="65"/>
      <c r="H1031" s="65">
        <f>+E1031*C1031</f>
        <v>28167.868870399998</v>
      </c>
      <c r="I1031" s="65"/>
    </row>
    <row r="1032" spans="1:9">
      <c r="A1032" s="243" t="s">
        <v>347</v>
      </c>
      <c r="B1032" s="592" t="str">
        <f>IF(PRESTA&gt;0,"AYUD. ENTENDIDO (INCLUYE "&amp;""&amp;PRESTA*100&amp;"% PRESTACIONES)",0)</f>
        <v>AYUD. ENTENDIDO (INCLUYE 82,22% PRESTACIONES)</v>
      </c>
      <c r="C1032" s="346">
        <f>+C1031</f>
        <v>0.35</v>
      </c>
      <c r="D1032" s="243" t="s">
        <v>346</v>
      </c>
      <c r="E1032" s="65">
        <f>+AYUDA</f>
        <v>65389.695592000004</v>
      </c>
      <c r="F1032" s="65"/>
      <c r="G1032" s="65"/>
      <c r="H1032" s="65">
        <f>+E1032*C1032</f>
        <v>22886.3934572</v>
      </c>
      <c r="I1032" s="65"/>
    </row>
    <row r="1033" spans="1:9">
      <c r="A1033" s="243" t="s">
        <v>584</v>
      </c>
      <c r="B1033" s="180" t="s">
        <v>134</v>
      </c>
      <c r="C1033" s="346">
        <v>1.0714285714285704E-2</v>
      </c>
      <c r="D1033" s="243" t="s">
        <v>583</v>
      </c>
      <c r="E1033" s="65">
        <f>+VIAJE</f>
        <v>1200000</v>
      </c>
      <c r="F1033" s="65"/>
      <c r="G1033" s="65"/>
      <c r="H1033" s="65"/>
      <c r="I1033" s="65">
        <f>+E1033*C1033</f>
        <v>12857.142857142844</v>
      </c>
    </row>
    <row r="1034" spans="1:9">
      <c r="A1034" s="243" t="s">
        <v>172</v>
      </c>
      <c r="B1034" s="179" t="s">
        <v>189</v>
      </c>
      <c r="C1034" s="346">
        <v>1</v>
      </c>
      <c r="D1034" s="160" t="s">
        <v>583</v>
      </c>
      <c r="E1034" s="65">
        <f>+H1035*0.05</f>
        <v>2552.71311638</v>
      </c>
      <c r="F1034" s="65"/>
      <c r="G1034" s="65"/>
      <c r="H1034" s="65"/>
      <c r="I1034" s="65">
        <f>+E1034*C1034</f>
        <v>2552.71311638</v>
      </c>
    </row>
    <row r="1035" spans="1:9">
      <c r="A1035" s="587" t="s">
        <v>190</v>
      </c>
      <c r="B1035" s="588">
        <f>SUM(F1035:I1035)</f>
        <v>128464.11830112284</v>
      </c>
      <c r="C1035" s="160"/>
      <c r="D1035" s="169"/>
      <c r="E1035" s="65"/>
      <c r="F1035" s="65">
        <f>SUM(F1030:F1034)</f>
        <v>0</v>
      </c>
      <c r="G1035" s="65">
        <f>SUM(G1030:G1034)</f>
        <v>62000</v>
      </c>
      <c r="H1035" s="65">
        <f>SUM(H1030:H1034)</f>
        <v>51054.262327599994</v>
      </c>
      <c r="I1035" s="65">
        <f>SUM(I1030:I1034)</f>
        <v>15409.855973522845</v>
      </c>
    </row>
    <row r="1036" spans="1:9">
      <c r="A1036" s="587" t="s">
        <v>191</v>
      </c>
      <c r="B1036" s="39">
        <f>+B1035</f>
        <v>128464.11830112284</v>
      </c>
      <c r="C1036" s="688" t="s">
        <v>363</v>
      </c>
      <c r="D1036" s="13"/>
      <c r="E1036" s="590"/>
      <c r="F1036" s="170"/>
      <c r="G1036" s="170"/>
      <c r="H1036" s="170"/>
      <c r="I1036" s="170"/>
    </row>
    <row r="1037" spans="1:9">
      <c r="A1037" s="596"/>
      <c r="B1037" s="597"/>
      <c r="C1037" s="596"/>
      <c r="D1037" s="596"/>
      <c r="E1037" s="599"/>
      <c r="F1037" s="599"/>
      <c r="G1037" s="599"/>
      <c r="H1037" s="599"/>
      <c r="I1037" s="599"/>
    </row>
    <row r="1038" spans="1:9">
      <c r="A1038" s="594">
        <v>7.6</v>
      </c>
      <c r="B1038" s="3558" t="s">
        <v>4077</v>
      </c>
      <c r="C1038" s="3558"/>
      <c r="D1038" s="3558"/>
      <c r="E1038" s="3558"/>
      <c r="F1038" s="3558"/>
      <c r="G1038" s="3558"/>
      <c r="H1038" s="3558"/>
      <c r="I1038" s="3558"/>
    </row>
    <row r="1039" spans="1:9">
      <c r="A1039" s="243"/>
      <c r="B1039" s="179"/>
      <c r="C1039" s="243" t="s">
        <v>140</v>
      </c>
      <c r="D1039" s="243" t="s">
        <v>343</v>
      </c>
      <c r="E1039" s="65" t="s">
        <v>344</v>
      </c>
      <c r="F1039" s="65" t="s">
        <v>482</v>
      </c>
      <c r="G1039" s="65" t="s">
        <v>483</v>
      </c>
      <c r="H1039" s="65" t="s">
        <v>232</v>
      </c>
      <c r="I1039" s="65" t="s">
        <v>171</v>
      </c>
    </row>
    <row r="1040" spans="1:9">
      <c r="A1040" s="243" t="s">
        <v>1526</v>
      </c>
      <c r="B1040" s="179" t="s">
        <v>4078</v>
      </c>
      <c r="C1040" s="346">
        <v>1</v>
      </c>
      <c r="D1040" s="160" t="s">
        <v>363</v>
      </c>
      <c r="E1040" s="65">
        <v>110000</v>
      </c>
      <c r="F1040" s="65"/>
      <c r="G1040" s="65">
        <f>+E1040*C1040</f>
        <v>110000</v>
      </c>
      <c r="H1040" s="65"/>
      <c r="I1040" s="65"/>
    </row>
    <row r="1041" spans="1:9">
      <c r="A1041" s="243" t="s">
        <v>345</v>
      </c>
      <c r="B1041" s="592" t="str">
        <f>IF(PRESTA&gt;0,"OFICIAL (INCLUYE "&amp;""&amp;PRESTA*100&amp;"% PRESTACIONES)",0)</f>
        <v>OFICIAL (INCLUYE 82,22% PRESTACIONES)</v>
      </c>
      <c r="C1041" s="346">
        <v>0.6</v>
      </c>
      <c r="D1041" s="243" t="s">
        <v>346</v>
      </c>
      <c r="E1041" s="65">
        <f>+OFICI</f>
        <v>80479.625344</v>
      </c>
      <c r="F1041" s="65"/>
      <c r="G1041" s="65"/>
      <c r="H1041" s="65">
        <f>+E1041*C1041</f>
        <v>48287.775206400001</v>
      </c>
      <c r="I1041" s="65"/>
    </row>
    <row r="1042" spans="1:9">
      <c r="A1042" s="243" t="s">
        <v>347</v>
      </c>
      <c r="B1042" s="592" t="str">
        <f>IF(PRESTA&gt;0,"AYUD. ENTENDIDO (INCLUYE "&amp;""&amp;PRESTA*100&amp;"% PRESTACIONES)",0)</f>
        <v>AYUD. ENTENDIDO (INCLUYE 82,22% PRESTACIONES)</v>
      </c>
      <c r="C1042" s="346">
        <f>+C1041</f>
        <v>0.6</v>
      </c>
      <c r="D1042" s="243" t="s">
        <v>346</v>
      </c>
      <c r="E1042" s="65">
        <f>+AYUDA</f>
        <v>65389.695592000004</v>
      </c>
      <c r="F1042" s="65"/>
      <c r="G1042" s="65"/>
      <c r="H1042" s="65">
        <f>+E1042*C1042</f>
        <v>39233.817355200001</v>
      </c>
      <c r="I1042" s="65"/>
    </row>
    <row r="1043" spans="1:9">
      <c r="A1043" s="243" t="s">
        <v>584</v>
      </c>
      <c r="B1043" s="180" t="s">
        <v>134</v>
      </c>
      <c r="C1043" s="346">
        <v>7.857142857142849E-3</v>
      </c>
      <c r="D1043" s="243" t="s">
        <v>583</v>
      </c>
      <c r="E1043" s="65">
        <f>+VIAJE</f>
        <v>1200000</v>
      </c>
      <c r="F1043" s="65"/>
      <c r="G1043" s="65"/>
      <c r="H1043" s="65"/>
      <c r="I1043" s="65">
        <f>+E1043*C1043</f>
        <v>9428.5714285714184</v>
      </c>
    </row>
    <row r="1044" spans="1:9">
      <c r="A1044" s="243" t="s">
        <v>172</v>
      </c>
      <c r="B1044" s="179" t="s">
        <v>189</v>
      </c>
      <c r="C1044" s="346">
        <v>1</v>
      </c>
      <c r="D1044" s="160" t="s">
        <v>583</v>
      </c>
      <c r="E1044" s="65">
        <f>+H1045*0.05</f>
        <v>4376.0796280800005</v>
      </c>
      <c r="F1044" s="65"/>
      <c r="G1044" s="65"/>
      <c r="H1044" s="65"/>
      <c r="I1044" s="65">
        <f>+E1044*C1044</f>
        <v>4376.0796280800005</v>
      </c>
    </row>
    <row r="1045" spans="1:9">
      <c r="A1045" s="587" t="s">
        <v>190</v>
      </c>
      <c r="B1045" s="588">
        <f>SUM(F1045:I1045)</f>
        <v>211326.24361825141</v>
      </c>
      <c r="C1045" s="160"/>
      <c r="D1045" s="169"/>
      <c r="E1045" s="65"/>
      <c r="F1045" s="65">
        <f>SUM(F1040:F1044)</f>
        <v>0</v>
      </c>
      <c r="G1045" s="65">
        <f>SUM(G1040:G1044)</f>
        <v>110000</v>
      </c>
      <c r="H1045" s="65">
        <f>SUM(H1040:H1044)</f>
        <v>87521.592561600002</v>
      </c>
      <c r="I1045" s="65">
        <f>SUM(I1040:I1044)</f>
        <v>13804.651056651419</v>
      </c>
    </row>
    <row r="1046" spans="1:9">
      <c r="A1046" s="587" t="s">
        <v>191</v>
      </c>
      <c r="B1046" s="39">
        <f>+B1045</f>
        <v>211326.24361825141</v>
      </c>
      <c r="C1046" s="688" t="s">
        <v>363</v>
      </c>
      <c r="D1046" s="13"/>
      <c r="E1046" s="590"/>
      <c r="F1046" s="170"/>
      <c r="G1046" s="170"/>
      <c r="H1046" s="170"/>
      <c r="I1046" s="170"/>
    </row>
    <row r="1047" spans="1:9">
      <c r="A1047" s="596"/>
      <c r="B1047" s="597"/>
      <c r="C1047" s="596"/>
      <c r="D1047" s="596"/>
      <c r="E1047" s="599"/>
      <c r="F1047" s="599"/>
      <c r="G1047" s="599"/>
      <c r="H1047" s="599"/>
      <c r="I1047" s="599"/>
    </row>
    <row r="1048" spans="1:9">
      <c r="A1048" s="594">
        <v>7.7</v>
      </c>
      <c r="B1048" s="3558" t="s">
        <v>4079</v>
      </c>
      <c r="C1048" s="3558"/>
      <c r="D1048" s="3558"/>
      <c r="E1048" s="3558"/>
      <c r="F1048" s="3558"/>
      <c r="G1048" s="3558"/>
      <c r="H1048" s="3558"/>
      <c r="I1048" s="3558"/>
    </row>
    <row r="1049" spans="1:9">
      <c r="A1049" s="243"/>
      <c r="B1049" s="179"/>
      <c r="C1049" s="243" t="s">
        <v>140</v>
      </c>
      <c r="D1049" s="243" t="s">
        <v>343</v>
      </c>
      <c r="E1049" s="65" t="s">
        <v>344</v>
      </c>
      <c r="F1049" s="65" t="s">
        <v>482</v>
      </c>
      <c r="G1049" s="65" t="s">
        <v>483</v>
      </c>
      <c r="H1049" s="65" t="s">
        <v>232</v>
      </c>
      <c r="I1049" s="65" t="s">
        <v>171</v>
      </c>
    </row>
    <row r="1050" spans="1:9">
      <c r="A1050" s="243" t="s">
        <v>1526</v>
      </c>
      <c r="B1050" s="179" t="s">
        <v>4080</v>
      </c>
      <c r="C1050" s="346">
        <v>1</v>
      </c>
      <c r="D1050" s="160" t="s">
        <v>363</v>
      </c>
      <c r="E1050" s="65">
        <v>380000</v>
      </c>
      <c r="F1050" s="65"/>
      <c r="G1050" s="65">
        <f>+E1050*C1050</f>
        <v>380000</v>
      </c>
      <c r="H1050" s="65"/>
      <c r="I1050" s="65"/>
    </row>
    <row r="1051" spans="1:9">
      <c r="A1051" s="243" t="s">
        <v>345</v>
      </c>
      <c r="B1051" s="592" t="str">
        <f>IF(PRESTA&gt;0,"OFICIAL (INCLUYE "&amp;""&amp;PRESTA*100&amp;"% PRESTACIONES)",0)</f>
        <v>OFICIAL (INCLUYE 82,22% PRESTACIONES)</v>
      </c>
      <c r="C1051" s="346">
        <v>0.55000000000000004</v>
      </c>
      <c r="D1051" s="243" t="s">
        <v>346</v>
      </c>
      <c r="E1051" s="65">
        <f>+OFICI</f>
        <v>80479.625344</v>
      </c>
      <c r="F1051" s="65"/>
      <c r="G1051" s="65"/>
      <c r="H1051" s="65">
        <f>+E1051*C1051</f>
        <v>44263.793939200004</v>
      </c>
      <c r="I1051" s="65"/>
    </row>
    <row r="1052" spans="1:9">
      <c r="A1052" s="243" t="s">
        <v>347</v>
      </c>
      <c r="B1052" s="592" t="str">
        <f>IF(PRESTA&gt;0,"AYUD. ENTENDIDO (INCLUYE "&amp;""&amp;PRESTA*100&amp;"% PRESTACIONES)",0)</f>
        <v>AYUD. ENTENDIDO (INCLUYE 82,22% PRESTACIONES)</v>
      </c>
      <c r="C1052" s="346">
        <f>+C1051</f>
        <v>0.55000000000000004</v>
      </c>
      <c r="D1052" s="243" t="s">
        <v>346</v>
      </c>
      <c r="E1052" s="65">
        <f>+AYUDA</f>
        <v>65389.695592000004</v>
      </c>
      <c r="F1052" s="65"/>
      <c r="G1052" s="65"/>
      <c r="H1052" s="65">
        <f>+E1052*C1052</f>
        <v>35964.332575600005</v>
      </c>
      <c r="I1052" s="65"/>
    </row>
    <row r="1053" spans="1:9">
      <c r="A1053" s="243" t="s">
        <v>584</v>
      </c>
      <c r="B1053" s="180" t="s">
        <v>134</v>
      </c>
      <c r="C1053" s="346">
        <v>7.857142857142849E-3</v>
      </c>
      <c r="D1053" s="243" t="s">
        <v>583</v>
      </c>
      <c r="E1053" s="65">
        <f>+VIAJE</f>
        <v>1200000</v>
      </c>
      <c r="F1053" s="65"/>
      <c r="G1053" s="65"/>
      <c r="H1053" s="65"/>
      <c r="I1053" s="65">
        <f>+E1053*C1053</f>
        <v>9428.5714285714184</v>
      </c>
    </row>
    <row r="1054" spans="1:9">
      <c r="A1054" s="243" t="s">
        <v>172</v>
      </c>
      <c r="B1054" s="179" t="s">
        <v>189</v>
      </c>
      <c r="C1054" s="346">
        <v>1</v>
      </c>
      <c r="D1054" s="160" t="s">
        <v>583</v>
      </c>
      <c r="E1054" s="65">
        <f>+H1055*0.05</f>
        <v>4011.4063257400007</v>
      </c>
      <c r="F1054" s="65"/>
      <c r="G1054" s="65"/>
      <c r="H1054" s="65"/>
      <c r="I1054" s="65">
        <f>+E1054*C1054</f>
        <v>4011.4063257400007</v>
      </c>
    </row>
    <row r="1055" spans="1:9">
      <c r="A1055" s="587" t="s">
        <v>190</v>
      </c>
      <c r="B1055" s="588">
        <f>SUM(F1055:I1055)</f>
        <v>473668.10426911141</v>
      </c>
      <c r="C1055" s="160"/>
      <c r="D1055" s="169"/>
      <c r="E1055" s="65"/>
      <c r="F1055" s="65">
        <f>SUM(F1050:F1054)</f>
        <v>0</v>
      </c>
      <c r="G1055" s="65">
        <f>SUM(G1050:G1054)</f>
        <v>380000</v>
      </c>
      <c r="H1055" s="65">
        <f>SUM(H1050:H1054)</f>
        <v>80228.126514800009</v>
      </c>
      <c r="I1055" s="65">
        <f>SUM(I1050:I1054)</f>
        <v>13439.97775431142</v>
      </c>
    </row>
    <row r="1056" spans="1:9">
      <c r="A1056" s="587" t="s">
        <v>191</v>
      </c>
      <c r="B1056" s="39">
        <f>+B1055</f>
        <v>473668.10426911141</v>
      </c>
      <c r="C1056" s="688" t="s">
        <v>363</v>
      </c>
      <c r="D1056" s="13"/>
      <c r="E1056" s="590"/>
      <c r="F1056" s="170"/>
      <c r="G1056" s="170"/>
      <c r="H1056" s="170"/>
      <c r="I1056" s="170"/>
    </row>
    <row r="1057" spans="1:9">
      <c r="A1057" s="596"/>
      <c r="B1057" s="597"/>
      <c r="C1057" s="596"/>
      <c r="D1057" s="596"/>
      <c r="E1057" s="599"/>
      <c r="F1057" s="599"/>
      <c r="G1057" s="599"/>
      <c r="H1057" s="599"/>
      <c r="I1057" s="599"/>
    </row>
    <row r="1058" spans="1:9">
      <c r="A1058" s="594">
        <v>7.8</v>
      </c>
      <c r="B1058" s="3558" t="s">
        <v>4081</v>
      </c>
      <c r="C1058" s="3558"/>
      <c r="D1058" s="3558"/>
      <c r="E1058" s="3558"/>
      <c r="F1058" s="3558"/>
      <c r="G1058" s="3558"/>
      <c r="H1058" s="3558"/>
      <c r="I1058" s="3558"/>
    </row>
    <row r="1059" spans="1:9">
      <c r="A1059" s="243"/>
      <c r="B1059" s="179"/>
      <c r="C1059" s="243" t="s">
        <v>140</v>
      </c>
      <c r="D1059" s="243" t="s">
        <v>343</v>
      </c>
      <c r="E1059" s="65" t="s">
        <v>344</v>
      </c>
      <c r="F1059" s="65" t="s">
        <v>482</v>
      </c>
      <c r="G1059" s="65" t="s">
        <v>483</v>
      </c>
      <c r="H1059" s="65" t="s">
        <v>232</v>
      </c>
      <c r="I1059" s="65" t="s">
        <v>171</v>
      </c>
    </row>
    <row r="1060" spans="1:9">
      <c r="A1060" s="243" t="s">
        <v>1526</v>
      </c>
      <c r="B1060" s="179" t="s">
        <v>4082</v>
      </c>
      <c r="C1060" s="346">
        <v>1</v>
      </c>
      <c r="D1060" s="160" t="s">
        <v>363</v>
      </c>
      <c r="E1060" s="65">
        <f>359340*1.19</f>
        <v>427614.6</v>
      </c>
      <c r="F1060" s="65"/>
      <c r="G1060" s="65">
        <f>+E1060*C1060</f>
        <v>427614.6</v>
      </c>
      <c r="H1060" s="65"/>
      <c r="I1060" s="65"/>
    </row>
    <row r="1061" spans="1:9">
      <c r="A1061" s="243" t="s">
        <v>345</v>
      </c>
      <c r="B1061" s="592" t="str">
        <f>IF(PRESTA&gt;0,"OFICIAL (INCLUYE "&amp;""&amp;PRESTA*100&amp;"% PRESTACIONES)",0)</f>
        <v>OFICIAL (INCLUYE 82,22% PRESTACIONES)</v>
      </c>
      <c r="C1061" s="346">
        <v>0.4</v>
      </c>
      <c r="D1061" s="243" t="s">
        <v>346</v>
      </c>
      <c r="E1061" s="65">
        <f>+OFICI</f>
        <v>80479.625344</v>
      </c>
      <c r="F1061" s="65"/>
      <c r="G1061" s="65"/>
      <c r="H1061" s="65">
        <f>+E1061*C1061</f>
        <v>32191.850137600002</v>
      </c>
      <c r="I1061" s="65"/>
    </row>
    <row r="1062" spans="1:9">
      <c r="A1062" s="243" t="s">
        <v>347</v>
      </c>
      <c r="B1062" s="592" t="str">
        <f>IF(PRESTA&gt;0,"AYUD. ENTENDIDO (INCLUYE "&amp;""&amp;PRESTA*100&amp;"% PRESTACIONES)",0)</f>
        <v>AYUD. ENTENDIDO (INCLUYE 82,22% PRESTACIONES)</v>
      </c>
      <c r="C1062" s="346">
        <f>+C1061</f>
        <v>0.4</v>
      </c>
      <c r="D1062" s="243" t="s">
        <v>346</v>
      </c>
      <c r="E1062" s="65">
        <f>+AYUDA</f>
        <v>65389.695592000004</v>
      </c>
      <c r="F1062" s="65"/>
      <c r="G1062" s="65"/>
      <c r="H1062" s="65">
        <f>+E1062*C1062</f>
        <v>26155.878236800003</v>
      </c>
      <c r="I1062" s="65"/>
    </row>
    <row r="1063" spans="1:9">
      <c r="A1063" s="243" t="s">
        <v>584</v>
      </c>
      <c r="B1063" s="180" t="s">
        <v>134</v>
      </c>
      <c r="C1063" s="346">
        <v>2.4285714285714258E-2</v>
      </c>
      <c r="D1063" s="243" t="s">
        <v>583</v>
      </c>
      <c r="E1063" s="65">
        <f>+VIAJE</f>
        <v>1200000</v>
      </c>
      <c r="F1063" s="65"/>
      <c r="G1063" s="65"/>
      <c r="H1063" s="65"/>
      <c r="I1063" s="65">
        <f>+E1063*C1063</f>
        <v>29142.857142857109</v>
      </c>
    </row>
    <row r="1064" spans="1:9">
      <c r="A1064" s="243" t="s">
        <v>172</v>
      </c>
      <c r="B1064" s="179" t="s">
        <v>189</v>
      </c>
      <c r="C1064" s="346">
        <v>1</v>
      </c>
      <c r="D1064" s="160" t="s">
        <v>583</v>
      </c>
      <c r="E1064" s="65">
        <f>+H1065*0.05</f>
        <v>2917.3864187200002</v>
      </c>
      <c r="F1064" s="65"/>
      <c r="G1064" s="65"/>
      <c r="H1064" s="65"/>
      <c r="I1064" s="65">
        <f>+E1064*C1064</f>
        <v>2917.3864187200002</v>
      </c>
    </row>
    <row r="1065" spans="1:9">
      <c r="A1065" s="587" t="s">
        <v>190</v>
      </c>
      <c r="B1065" s="588">
        <f>SUM(F1065:I1065)</f>
        <v>518022.57193597709</v>
      </c>
      <c r="C1065" s="160"/>
      <c r="D1065" s="169"/>
      <c r="E1065" s="65"/>
      <c r="F1065" s="65">
        <f>SUM(F1060:F1064)</f>
        <v>0</v>
      </c>
      <c r="G1065" s="65">
        <f>SUM(G1060:G1064)</f>
        <v>427614.6</v>
      </c>
      <c r="H1065" s="65">
        <f>SUM(H1060:H1064)</f>
        <v>58347.728374400001</v>
      </c>
      <c r="I1065" s="65">
        <f>SUM(I1060:I1064)</f>
        <v>32060.24356157711</v>
      </c>
    </row>
    <row r="1066" spans="1:9">
      <c r="A1066" s="587" t="s">
        <v>191</v>
      </c>
      <c r="B1066" s="39">
        <f>+B1065</f>
        <v>518022.57193597709</v>
      </c>
      <c r="C1066" s="688" t="s">
        <v>363</v>
      </c>
      <c r="D1066" s="13"/>
      <c r="E1066" s="590"/>
      <c r="F1066" s="170"/>
      <c r="G1066" s="170"/>
      <c r="H1066" s="170"/>
      <c r="I1066" s="170"/>
    </row>
    <row r="1067" spans="1:9">
      <c r="A1067" s="596"/>
      <c r="B1067" s="597"/>
      <c r="C1067" s="596"/>
      <c r="D1067" s="596"/>
      <c r="E1067" s="599"/>
      <c r="F1067" s="599"/>
      <c r="G1067" s="599"/>
      <c r="H1067" s="599"/>
      <c r="I1067" s="599"/>
    </row>
    <row r="1068" spans="1:9">
      <c r="A1068" s="594">
        <v>7.9</v>
      </c>
      <c r="B1068" s="3558" t="s">
        <v>4083</v>
      </c>
      <c r="C1068" s="3558"/>
      <c r="D1068" s="3558"/>
      <c r="E1068" s="3558"/>
      <c r="F1068" s="3558"/>
      <c r="G1068" s="3558"/>
      <c r="H1068" s="3558"/>
      <c r="I1068" s="3558"/>
    </row>
    <row r="1069" spans="1:9">
      <c r="A1069" s="243"/>
      <c r="B1069" s="179"/>
      <c r="C1069" s="243" t="s">
        <v>140</v>
      </c>
      <c r="D1069" s="243" t="s">
        <v>343</v>
      </c>
      <c r="E1069" s="65" t="s">
        <v>344</v>
      </c>
      <c r="F1069" s="65" t="s">
        <v>482</v>
      </c>
      <c r="G1069" s="65" t="s">
        <v>483</v>
      </c>
      <c r="H1069" s="65" t="s">
        <v>232</v>
      </c>
      <c r="I1069" s="65" t="s">
        <v>171</v>
      </c>
    </row>
    <row r="1070" spans="1:9">
      <c r="A1070" s="243" t="s">
        <v>1526</v>
      </c>
      <c r="B1070" s="179" t="s">
        <v>4084</v>
      </c>
      <c r="C1070" s="346">
        <v>1</v>
      </c>
      <c r="D1070" s="160" t="s">
        <v>94</v>
      </c>
      <c r="E1070" s="65">
        <v>15700</v>
      </c>
      <c r="F1070" s="65"/>
      <c r="G1070" s="65">
        <f>+E1070*C1070</f>
        <v>15700</v>
      </c>
      <c r="H1070" s="65"/>
      <c r="I1070" s="65"/>
    </row>
    <row r="1071" spans="1:9">
      <c r="A1071" s="243" t="s">
        <v>4085</v>
      </c>
      <c r="B1071" s="179" t="s">
        <v>4086</v>
      </c>
      <c r="C1071" s="346">
        <v>1</v>
      </c>
      <c r="D1071" s="160" t="s">
        <v>94</v>
      </c>
      <c r="E1071" s="65">
        <v>2100</v>
      </c>
      <c r="F1071" s="65"/>
      <c r="G1071" s="65">
        <f>+E1071*C1071</f>
        <v>2100</v>
      </c>
      <c r="H1071" s="65"/>
      <c r="I1071" s="65"/>
    </row>
    <row r="1072" spans="1:9">
      <c r="A1072" s="243" t="s">
        <v>347</v>
      </c>
      <c r="B1072" s="592" t="str">
        <f>IF(PRESTA&gt;0,"AYUD. ENTENDIDO (INCLUYE "&amp;""&amp;PRESTA*100&amp;"% PRESTACIONES)",0)</f>
        <v>AYUD. ENTENDIDO (INCLUYE 82,22% PRESTACIONES)</v>
      </c>
      <c r="C1072" s="346">
        <f>+C1071</f>
        <v>1</v>
      </c>
      <c r="D1072" s="243" t="s">
        <v>346</v>
      </c>
      <c r="E1072" s="65">
        <f>+AYUDA</f>
        <v>65389.695592000004</v>
      </c>
      <c r="F1072" s="65"/>
      <c r="G1072" s="65"/>
      <c r="H1072" s="65">
        <f>+E1072*C1072</f>
        <v>65389.695592000004</v>
      </c>
      <c r="I1072" s="65"/>
    </row>
    <row r="1073" spans="1:9">
      <c r="A1073" s="243" t="s">
        <v>584</v>
      </c>
      <c r="B1073" s="180" t="s">
        <v>134</v>
      </c>
      <c r="C1073" s="346">
        <v>7.1428571428571092E-4</v>
      </c>
      <c r="D1073" s="243" t="s">
        <v>583</v>
      </c>
      <c r="E1073" s="65">
        <f>+VIAJE</f>
        <v>1200000</v>
      </c>
      <c r="F1073" s="65"/>
      <c r="G1073" s="65"/>
      <c r="H1073" s="65"/>
      <c r="I1073" s="65">
        <f>+E1073*C1073</f>
        <v>857.14285714285313</v>
      </c>
    </row>
    <row r="1074" spans="1:9">
      <c r="A1074" s="243" t="s">
        <v>172</v>
      </c>
      <c r="B1074" s="179" t="s">
        <v>189</v>
      </c>
      <c r="C1074" s="346">
        <v>1</v>
      </c>
      <c r="D1074" s="160" t="s">
        <v>583</v>
      </c>
      <c r="E1074" s="65">
        <f>+H1075*0.05</f>
        <v>3269.4847796000004</v>
      </c>
      <c r="F1074" s="65"/>
      <c r="G1074" s="65"/>
      <c r="H1074" s="65"/>
      <c r="I1074" s="65">
        <f>+E1074*C1074</f>
        <v>3269.4847796000004</v>
      </c>
    </row>
    <row r="1075" spans="1:9">
      <c r="A1075" s="587" t="s">
        <v>190</v>
      </c>
      <c r="B1075" s="588">
        <f>SUM(F1075:I1075)</f>
        <v>87316.323228742855</v>
      </c>
      <c r="C1075" s="160"/>
      <c r="D1075" s="169"/>
      <c r="E1075" s="65"/>
      <c r="F1075" s="65">
        <f>SUM(F1070:F1074)</f>
        <v>0</v>
      </c>
      <c r="G1075" s="65">
        <f>SUM(G1070:G1074)</f>
        <v>17800</v>
      </c>
      <c r="H1075" s="65">
        <f>SUM(H1070:H1074)</f>
        <v>65389.695592000004</v>
      </c>
      <c r="I1075" s="65">
        <f>SUM(I1070:I1074)</f>
        <v>4126.6276367428536</v>
      </c>
    </row>
    <row r="1076" spans="1:9">
      <c r="A1076" s="587" t="s">
        <v>191</v>
      </c>
      <c r="B1076" s="39">
        <f>+B1075</f>
        <v>87316.323228742855</v>
      </c>
      <c r="C1076" s="688" t="s">
        <v>94</v>
      </c>
      <c r="D1076" s="13"/>
      <c r="E1076" s="590"/>
      <c r="F1076" s="170"/>
      <c r="G1076" s="170"/>
      <c r="H1076" s="170"/>
      <c r="I1076" s="170"/>
    </row>
    <row r="1077" spans="1:9">
      <c r="A1077" s="596"/>
      <c r="B1077" s="597"/>
      <c r="C1077" s="596"/>
      <c r="D1077" s="596"/>
      <c r="E1077" s="599"/>
      <c r="F1077" s="599"/>
      <c r="G1077" s="599"/>
      <c r="H1077" s="599"/>
      <c r="I1077" s="599"/>
    </row>
    <row r="1078" spans="1:9">
      <c r="A1078" s="594">
        <v>7.1</v>
      </c>
      <c r="B1078" s="3558" t="s">
        <v>4087</v>
      </c>
      <c r="C1078" s="3558"/>
      <c r="D1078" s="3558"/>
      <c r="E1078" s="3558"/>
      <c r="F1078" s="3558"/>
      <c r="G1078" s="3558"/>
      <c r="H1078" s="3558"/>
      <c r="I1078" s="3558"/>
    </row>
    <row r="1079" spans="1:9">
      <c r="A1079" s="243"/>
      <c r="B1079" s="179"/>
      <c r="C1079" s="243" t="s">
        <v>140</v>
      </c>
      <c r="D1079" s="243" t="s">
        <v>343</v>
      </c>
      <c r="E1079" s="65" t="s">
        <v>344</v>
      </c>
      <c r="F1079" s="65" t="s">
        <v>482</v>
      </c>
      <c r="G1079" s="65" t="s">
        <v>483</v>
      </c>
      <c r="H1079" s="65" t="s">
        <v>232</v>
      </c>
      <c r="I1079" s="65" t="s">
        <v>171</v>
      </c>
    </row>
    <row r="1080" spans="1:9">
      <c r="A1080" s="243" t="s">
        <v>1526</v>
      </c>
      <c r="B1080" s="179" t="s">
        <v>4088</v>
      </c>
      <c r="C1080" s="346">
        <v>1</v>
      </c>
      <c r="D1080" s="160" t="s">
        <v>94</v>
      </c>
      <c r="E1080" s="65">
        <v>16700</v>
      </c>
      <c r="F1080" s="65"/>
      <c r="G1080" s="65">
        <f>+E1080*C1080</f>
        <v>16700</v>
      </c>
      <c r="H1080" s="65"/>
      <c r="I1080" s="65"/>
    </row>
    <row r="1081" spans="1:9">
      <c r="A1081" s="243" t="s">
        <v>4089</v>
      </c>
      <c r="B1081" s="179" t="s">
        <v>4090</v>
      </c>
      <c r="C1081" s="346">
        <v>0.6</v>
      </c>
      <c r="D1081" s="160" t="s">
        <v>94</v>
      </c>
      <c r="E1081" s="65">
        <f>42900/6*1.08</f>
        <v>7722.0000000000009</v>
      </c>
      <c r="F1081" s="65"/>
      <c r="G1081" s="65">
        <f>+E1081*C1081</f>
        <v>4633.2000000000007</v>
      </c>
      <c r="H1081" s="65"/>
      <c r="I1081" s="65"/>
    </row>
    <row r="1082" spans="1:9">
      <c r="A1082" s="243" t="s">
        <v>4091</v>
      </c>
      <c r="B1082" s="179" t="s">
        <v>4092</v>
      </c>
      <c r="C1082" s="346">
        <v>1</v>
      </c>
      <c r="D1082" s="160" t="s">
        <v>94</v>
      </c>
      <c r="E1082" s="65">
        <v>1200</v>
      </c>
      <c r="F1082" s="65"/>
      <c r="G1082" s="65">
        <f>+E1082*C1082</f>
        <v>1200</v>
      </c>
      <c r="H1082" s="65"/>
      <c r="I1082" s="65"/>
    </row>
    <row r="1083" spans="1:9">
      <c r="A1083" s="243" t="s">
        <v>345</v>
      </c>
      <c r="B1083" s="592" t="str">
        <f>IF(PRESTA&gt;0,"OFICIAL (INCLUYE "&amp;""&amp;PRESTA*100&amp;"% PRESTACIONES)",0)</f>
        <v>OFICIAL (INCLUYE 82,22% PRESTACIONES)</v>
      </c>
      <c r="C1083" s="346">
        <v>2.0915032679738557E-2</v>
      </c>
      <c r="D1083" s="243" t="s">
        <v>346</v>
      </c>
      <c r="E1083" s="65">
        <f>+OFICI</f>
        <v>80479.625344</v>
      </c>
      <c r="F1083" s="65"/>
      <c r="G1083" s="65"/>
      <c r="H1083" s="65">
        <f>+E1083*C1083</f>
        <v>1683.2339941228754</v>
      </c>
      <c r="I1083" s="65"/>
    </row>
    <row r="1084" spans="1:9">
      <c r="A1084" s="243" t="s">
        <v>347</v>
      </c>
      <c r="B1084" s="592" t="str">
        <f>IF(PRESTA&gt;0,"AYUD. ENTENDIDO (INCLUYE "&amp;""&amp;PRESTA*100&amp;"% PRESTACIONES)",0)</f>
        <v>AYUD. ENTENDIDO (INCLUYE 82,22% PRESTACIONES)</v>
      </c>
      <c r="C1084" s="346">
        <f>+C1083</f>
        <v>2.0915032679738557E-2</v>
      </c>
      <c r="D1084" s="243" t="s">
        <v>346</v>
      </c>
      <c r="E1084" s="65">
        <f>+AYUDA</f>
        <v>65389.695592000004</v>
      </c>
      <c r="F1084" s="65"/>
      <c r="G1084" s="65"/>
      <c r="H1084" s="65">
        <f>+E1084*C1084</f>
        <v>1367.6276202248364</v>
      </c>
      <c r="I1084" s="65"/>
    </row>
    <row r="1085" spans="1:9">
      <c r="A1085" s="243" t="s">
        <v>584</v>
      </c>
      <c r="B1085" s="180" t="s">
        <v>134</v>
      </c>
      <c r="C1085" s="346">
        <v>2.5714285714285696E-3</v>
      </c>
      <c r="D1085" s="243" t="s">
        <v>583</v>
      </c>
      <c r="E1085" s="65">
        <f>+VIAJE</f>
        <v>1200000</v>
      </c>
      <c r="F1085" s="65"/>
      <c r="G1085" s="65"/>
      <c r="H1085" s="65"/>
      <c r="I1085" s="65">
        <f>+E1085*C1085</f>
        <v>3085.7142857142835</v>
      </c>
    </row>
    <row r="1086" spans="1:9">
      <c r="A1086" s="243" t="s">
        <v>172</v>
      </c>
      <c r="B1086" s="179" t="s">
        <v>189</v>
      </c>
      <c r="C1086" s="346">
        <v>1</v>
      </c>
      <c r="D1086" s="160" t="s">
        <v>583</v>
      </c>
      <c r="E1086" s="65">
        <f>+H1087*0.05</f>
        <v>152.54308071738561</v>
      </c>
      <c r="F1086" s="65"/>
      <c r="G1086" s="65"/>
      <c r="H1086" s="65"/>
      <c r="I1086" s="65">
        <f>+E1086*C1086</f>
        <v>152.54308071738561</v>
      </c>
    </row>
    <row r="1087" spans="1:9">
      <c r="A1087" s="587" t="s">
        <v>190</v>
      </c>
      <c r="B1087" s="588">
        <f>SUM(F1087:I1087)</f>
        <v>28822.318980779382</v>
      </c>
      <c r="C1087" s="160"/>
      <c r="D1087" s="169"/>
      <c r="E1087" s="65"/>
      <c r="F1087" s="65">
        <f>SUM(F1080:F1086)</f>
        <v>0</v>
      </c>
      <c r="G1087" s="65">
        <f>SUM(G1080:G1086)</f>
        <v>22533.200000000001</v>
      </c>
      <c r="H1087" s="65">
        <f>SUM(H1080:H1086)</f>
        <v>3050.861614347712</v>
      </c>
      <c r="I1087" s="65">
        <f>SUM(I1080:I1086)</f>
        <v>3238.2573664316692</v>
      </c>
    </row>
    <row r="1088" spans="1:9">
      <c r="A1088" s="587" t="s">
        <v>191</v>
      </c>
      <c r="B1088" s="39">
        <f>+B1087</f>
        <v>28822.318980779382</v>
      </c>
      <c r="C1088" s="688" t="s">
        <v>94</v>
      </c>
      <c r="D1088" s="13"/>
      <c r="E1088" s="590"/>
      <c r="F1088" s="170"/>
      <c r="G1088" s="170"/>
      <c r="H1088" s="170"/>
      <c r="I1088" s="170"/>
    </row>
    <row r="1089" spans="1:9">
      <c r="A1089" s="596"/>
      <c r="B1089" s="597"/>
      <c r="C1089" s="596"/>
      <c r="D1089" s="596"/>
      <c r="E1089" s="599"/>
      <c r="F1089" s="599"/>
      <c r="G1089" s="599"/>
      <c r="H1089" s="599"/>
      <c r="I1089" s="599"/>
    </row>
    <row r="1090" spans="1:9">
      <c r="A1090" s="594">
        <v>7.11</v>
      </c>
      <c r="B1090" s="3558" t="s">
        <v>4093</v>
      </c>
      <c r="C1090" s="3558"/>
      <c r="D1090" s="3558"/>
      <c r="E1090" s="3558"/>
      <c r="F1090" s="3558"/>
      <c r="G1090" s="3558"/>
      <c r="H1090" s="3558"/>
      <c r="I1090" s="3558"/>
    </row>
    <row r="1091" spans="1:9">
      <c r="A1091" s="243"/>
      <c r="B1091" s="179"/>
      <c r="C1091" s="243" t="s">
        <v>140</v>
      </c>
      <c r="D1091" s="243" t="s">
        <v>343</v>
      </c>
      <c r="E1091" s="65" t="s">
        <v>344</v>
      </c>
      <c r="F1091" s="65" t="s">
        <v>482</v>
      </c>
      <c r="G1091" s="65" t="s">
        <v>483</v>
      </c>
      <c r="H1091" s="65" t="s">
        <v>232</v>
      </c>
      <c r="I1091" s="65" t="s">
        <v>171</v>
      </c>
    </row>
    <row r="1092" spans="1:9">
      <c r="A1092" s="243" t="s">
        <v>1526</v>
      </c>
      <c r="B1092" s="179" t="s">
        <v>4094</v>
      </c>
      <c r="C1092" s="346">
        <v>1</v>
      </c>
      <c r="D1092" s="160" t="s">
        <v>363</v>
      </c>
      <c r="E1092" s="65">
        <v>180000</v>
      </c>
      <c r="F1092" s="65"/>
      <c r="G1092" s="65">
        <f>+E1092*C1092</f>
        <v>180000</v>
      </c>
      <c r="H1092" s="65"/>
      <c r="I1092" s="65"/>
    </row>
    <row r="1093" spans="1:9">
      <c r="A1093" s="243" t="s">
        <v>345</v>
      </c>
      <c r="B1093" s="592" t="str">
        <f>IF(PRESTA&gt;0,"OFICIAL (INCLUYE "&amp;""&amp;PRESTA*100&amp;"% PRESTACIONES)",0)</f>
        <v>OFICIAL (INCLUYE 82,22% PRESTACIONES)</v>
      </c>
      <c r="C1093" s="346">
        <v>0.36601307189542487</v>
      </c>
      <c r="D1093" s="243" t="s">
        <v>346</v>
      </c>
      <c r="E1093" s="65">
        <f>+OFICI</f>
        <v>80479.625344</v>
      </c>
      <c r="F1093" s="65"/>
      <c r="G1093" s="65"/>
      <c r="H1093" s="65">
        <f>+E1093*C1093</f>
        <v>29456.594897150328</v>
      </c>
      <c r="I1093" s="65"/>
    </row>
    <row r="1094" spans="1:9">
      <c r="A1094" s="243" t="s">
        <v>347</v>
      </c>
      <c r="B1094" s="592" t="str">
        <f>IF(PRESTA&gt;0,"AYUD. ENTENDIDO (INCLUYE "&amp;""&amp;PRESTA*100&amp;"% PRESTACIONES)",0)</f>
        <v>AYUD. ENTENDIDO (INCLUYE 82,22% PRESTACIONES)</v>
      </c>
      <c r="C1094" s="346">
        <f>+C1093</f>
        <v>0.36601307189542487</v>
      </c>
      <c r="D1094" s="243" t="s">
        <v>346</v>
      </c>
      <c r="E1094" s="65">
        <f>+AYUDA</f>
        <v>65389.695592000004</v>
      </c>
      <c r="F1094" s="65"/>
      <c r="G1094" s="65"/>
      <c r="H1094" s="65">
        <f>+E1094*C1094</f>
        <v>23933.483353934644</v>
      </c>
      <c r="I1094" s="65"/>
    </row>
    <row r="1095" spans="1:9">
      <c r="A1095" s="243" t="s">
        <v>584</v>
      </c>
      <c r="B1095" s="180" t="s">
        <v>134</v>
      </c>
      <c r="C1095" s="346">
        <v>9.2857142857142791E-3</v>
      </c>
      <c r="D1095" s="243" t="s">
        <v>583</v>
      </c>
      <c r="E1095" s="65">
        <f>+VIAJE</f>
        <v>1200000</v>
      </c>
      <c r="F1095" s="65"/>
      <c r="G1095" s="65"/>
      <c r="H1095" s="65"/>
      <c r="I1095" s="65">
        <f>+E1095*C1095</f>
        <v>11142.857142857134</v>
      </c>
    </row>
    <row r="1096" spans="1:9">
      <c r="A1096" s="243" t="s">
        <v>172</v>
      </c>
      <c r="B1096" s="179" t="s">
        <v>189</v>
      </c>
      <c r="C1096" s="346">
        <v>1</v>
      </c>
      <c r="D1096" s="160" t="s">
        <v>583</v>
      </c>
      <c r="E1096" s="65">
        <f>+H1097*0.05</f>
        <v>2669.5039125542485</v>
      </c>
      <c r="F1096" s="65"/>
      <c r="G1096" s="65"/>
      <c r="H1096" s="65"/>
      <c r="I1096" s="65">
        <f>+E1096*C1096</f>
        <v>2669.5039125542485</v>
      </c>
    </row>
    <row r="1097" spans="1:9">
      <c r="A1097" s="587" t="s">
        <v>190</v>
      </c>
      <c r="B1097" s="588">
        <f>SUM(F1097:I1097)</f>
        <v>247202.43930649632</v>
      </c>
      <c r="C1097" s="160"/>
      <c r="D1097" s="169"/>
      <c r="E1097" s="65"/>
      <c r="F1097" s="65">
        <f>SUM(F1092:F1096)</f>
        <v>0</v>
      </c>
      <c r="G1097" s="65">
        <f>SUM(G1092:G1096)</f>
        <v>180000</v>
      </c>
      <c r="H1097" s="65">
        <f>SUM(H1092:H1096)</f>
        <v>53390.078251084968</v>
      </c>
      <c r="I1097" s="65">
        <f>SUM(I1092:I1096)</f>
        <v>13812.361055411382</v>
      </c>
    </row>
    <row r="1098" spans="1:9">
      <c r="A1098" s="587" t="s">
        <v>191</v>
      </c>
      <c r="B1098" s="39">
        <f>+B1097</f>
        <v>247202.43930649632</v>
      </c>
      <c r="C1098" s="688" t="s">
        <v>363</v>
      </c>
      <c r="D1098" s="13"/>
      <c r="E1098" s="590"/>
      <c r="F1098" s="170"/>
      <c r="G1098" s="170"/>
      <c r="H1098" s="170"/>
      <c r="I1098" s="170"/>
    </row>
    <row r="1099" spans="1:9">
      <c r="A1099" s="596"/>
      <c r="B1099" s="597"/>
      <c r="C1099" s="596"/>
      <c r="D1099" s="596"/>
      <c r="E1099" s="599"/>
      <c r="F1099" s="599"/>
      <c r="G1099" s="599"/>
      <c r="H1099" s="599"/>
      <c r="I1099" s="599"/>
    </row>
    <row r="1100" spans="1:9">
      <c r="A1100" s="594">
        <v>7.12</v>
      </c>
      <c r="B1100" s="3558" t="s">
        <v>4095</v>
      </c>
      <c r="C1100" s="3558"/>
      <c r="D1100" s="3558"/>
      <c r="E1100" s="3558"/>
      <c r="F1100" s="3558"/>
      <c r="G1100" s="3558"/>
      <c r="H1100" s="3558"/>
      <c r="I1100" s="3558"/>
    </row>
    <row r="1101" spans="1:9">
      <c r="A1101" s="243"/>
      <c r="B1101" s="179"/>
      <c r="C1101" s="346" t="s">
        <v>140</v>
      </c>
      <c r="D1101" s="160" t="s">
        <v>343</v>
      </c>
      <c r="E1101" s="65" t="s">
        <v>344</v>
      </c>
      <c r="F1101" s="65" t="s">
        <v>482</v>
      </c>
      <c r="G1101" s="65" t="s">
        <v>483</v>
      </c>
      <c r="H1101" s="65" t="s">
        <v>232</v>
      </c>
      <c r="I1101" s="65" t="s">
        <v>171</v>
      </c>
    </row>
    <row r="1102" spans="1:9">
      <c r="A1102" s="243" t="s">
        <v>1526</v>
      </c>
      <c r="B1102" s="179" t="s">
        <v>4096</v>
      </c>
      <c r="C1102" s="346">
        <v>1</v>
      </c>
      <c r="D1102" s="160" t="s">
        <v>363</v>
      </c>
      <c r="E1102" s="65">
        <v>250000</v>
      </c>
      <c r="F1102" s="65"/>
      <c r="G1102" s="65">
        <f>+E1102*C1102</f>
        <v>250000</v>
      </c>
      <c r="H1102" s="65"/>
      <c r="I1102" s="65"/>
    </row>
    <row r="1103" spans="1:9">
      <c r="A1103" s="243" t="s">
        <v>345</v>
      </c>
      <c r="B1103" s="592" t="str">
        <f>IF(PRESTA&gt;0,"OFICIAL (INCLUYE "&amp;""&amp;PRESTA*100&amp;"% PRESTACIONES)",0)</f>
        <v>OFICIAL (INCLUYE 82,22% PRESTACIONES)</v>
      </c>
      <c r="C1103" s="346">
        <v>1.4939309056956118</v>
      </c>
      <c r="D1103" s="243" t="s">
        <v>346</v>
      </c>
      <c r="E1103" s="65">
        <f>+OFICI</f>
        <v>80479.625344</v>
      </c>
      <c r="F1103" s="65"/>
      <c r="G1103" s="65"/>
      <c r="H1103" s="65">
        <f>+E1103*C1103</f>
        <v>120230.99958020543</v>
      </c>
      <c r="I1103" s="65"/>
    </row>
    <row r="1104" spans="1:9">
      <c r="A1104" s="243" t="s">
        <v>347</v>
      </c>
      <c r="B1104" s="592" t="str">
        <f>IF(PRESTA&gt;0,"AYUD. ENTENDIDO (INCLUYE "&amp;""&amp;PRESTA*100&amp;"% PRESTACIONES)",0)</f>
        <v>AYUD. ENTENDIDO (INCLUYE 82,22% PRESTACIONES)</v>
      </c>
      <c r="C1104" s="346">
        <f>+C1103</f>
        <v>1.4939309056956118</v>
      </c>
      <c r="D1104" s="243" t="s">
        <v>346</v>
      </c>
      <c r="E1104" s="65">
        <f>+AYUDA</f>
        <v>65389.695592000004</v>
      </c>
      <c r="F1104" s="65"/>
      <c r="G1104" s="65"/>
      <c r="H1104" s="65">
        <f>+E1104*C1104</f>
        <v>97687.687158916917</v>
      </c>
      <c r="I1104" s="65"/>
    </row>
    <row r="1105" spans="1:9">
      <c r="A1105" s="243" t="s">
        <v>584</v>
      </c>
      <c r="B1105" s="180" t="s">
        <v>134</v>
      </c>
      <c r="C1105" s="346">
        <v>2.8571428571428558E-3</v>
      </c>
      <c r="D1105" s="243" t="s">
        <v>583</v>
      </c>
      <c r="E1105" s="65">
        <f>+VIAJE</f>
        <v>1200000</v>
      </c>
      <c r="F1105" s="65"/>
      <c r="G1105" s="65"/>
      <c r="H1105" s="65"/>
      <c r="I1105" s="65">
        <f>+E1105*C1105</f>
        <v>3428.5714285714271</v>
      </c>
    </row>
    <row r="1106" spans="1:9">
      <c r="A1106" s="243" t="s">
        <v>172</v>
      </c>
      <c r="B1106" s="179" t="s">
        <v>189</v>
      </c>
      <c r="C1106" s="346">
        <v>1</v>
      </c>
      <c r="D1106" s="160" t="s">
        <v>583</v>
      </c>
      <c r="E1106" s="65">
        <f>+H1107*0.05</f>
        <v>10895.934336956117</v>
      </c>
      <c r="F1106" s="65"/>
      <c r="G1106" s="65"/>
      <c r="H1106" s="65"/>
      <c r="I1106" s="65">
        <f>+E1106*C1106</f>
        <v>10895.934336956117</v>
      </c>
    </row>
    <row r="1107" spans="1:9">
      <c r="A1107" s="587" t="s">
        <v>190</v>
      </c>
      <c r="B1107" s="588">
        <f>SUM(F1107:I1107)</f>
        <v>482243.19250464992</v>
      </c>
      <c r="C1107" s="160"/>
      <c r="D1107" s="169"/>
      <c r="E1107" s="65"/>
      <c r="F1107" s="65">
        <f>SUM(F1102:F1106)</f>
        <v>0</v>
      </c>
      <c r="G1107" s="65">
        <f>SUM(G1102:G1106)</f>
        <v>250000</v>
      </c>
      <c r="H1107" s="65">
        <f>SUM(H1102:H1106)</f>
        <v>217918.68673912235</v>
      </c>
      <c r="I1107" s="65">
        <f>SUM(I1102:I1106)</f>
        <v>14324.505765527545</v>
      </c>
    </row>
    <row r="1108" spans="1:9">
      <c r="A1108" s="587" t="s">
        <v>191</v>
      </c>
      <c r="B1108" s="39">
        <f>+B1107</f>
        <v>482243.19250464992</v>
      </c>
      <c r="C1108" s="688" t="s">
        <v>363</v>
      </c>
      <c r="D1108" s="13"/>
      <c r="E1108" s="590"/>
      <c r="F1108" s="170"/>
      <c r="G1108" s="170"/>
      <c r="H1108" s="170"/>
      <c r="I1108" s="170"/>
    </row>
    <row r="1109" spans="1:9">
      <c r="A1109" s="596"/>
      <c r="B1109" s="597"/>
      <c r="C1109" s="596"/>
      <c r="D1109" s="596"/>
      <c r="E1109" s="599"/>
      <c r="F1109" s="599"/>
      <c r="G1109" s="599"/>
      <c r="H1109" s="599"/>
      <c r="I1109" s="599"/>
    </row>
    <row r="1110" spans="1:9">
      <c r="A1110" s="594">
        <v>7.13</v>
      </c>
      <c r="B1110" s="3558" t="s">
        <v>4097</v>
      </c>
      <c r="C1110" s="3558"/>
      <c r="D1110" s="3558"/>
      <c r="E1110" s="3558"/>
      <c r="F1110" s="3558"/>
      <c r="G1110" s="3558"/>
      <c r="H1110" s="3558"/>
      <c r="I1110" s="3558"/>
    </row>
    <row r="1111" spans="1:9">
      <c r="A1111" s="243"/>
      <c r="B1111" s="179"/>
      <c r="C1111" s="346" t="s">
        <v>140</v>
      </c>
      <c r="D1111" s="160" t="s">
        <v>343</v>
      </c>
      <c r="E1111" s="65" t="s">
        <v>344</v>
      </c>
      <c r="F1111" s="65" t="s">
        <v>482</v>
      </c>
      <c r="G1111" s="65" t="s">
        <v>483</v>
      </c>
      <c r="H1111" s="65" t="s">
        <v>232</v>
      </c>
      <c r="I1111" s="65" t="s">
        <v>171</v>
      </c>
    </row>
    <row r="1112" spans="1:9">
      <c r="A1112" s="243" t="s">
        <v>1526</v>
      </c>
      <c r="B1112" s="179" t="s">
        <v>4098</v>
      </c>
      <c r="C1112" s="346">
        <v>1</v>
      </c>
      <c r="D1112" s="160" t="s">
        <v>363</v>
      </c>
      <c r="E1112" s="65">
        <v>28000</v>
      </c>
      <c r="F1112" s="65"/>
      <c r="G1112" s="65">
        <f>+E1112*C1112</f>
        <v>28000</v>
      </c>
      <c r="H1112" s="65"/>
      <c r="I1112" s="65"/>
    </row>
    <row r="1113" spans="1:9">
      <c r="A1113" s="243" t="s">
        <v>345</v>
      </c>
      <c r="B1113" s="592" t="str">
        <f>IF(PRESTA&gt;0,"OFICIAL (INCLUYE "&amp;""&amp;PRESTA*100&amp;"% PRESTACIONES)",0)</f>
        <v>OFICIAL (INCLUYE 82,22% PRESTACIONES)</v>
      </c>
      <c r="C1113" s="346">
        <v>8.9635854341736654E-2</v>
      </c>
      <c r="D1113" s="243" t="s">
        <v>346</v>
      </c>
      <c r="E1113" s="65">
        <f>+OFICI</f>
        <v>80479.625344</v>
      </c>
      <c r="F1113" s="65"/>
      <c r="G1113" s="65"/>
      <c r="H1113" s="65">
        <f>+E1113*C1113</f>
        <v>7213.8599748123215</v>
      </c>
      <c r="I1113" s="65"/>
    </row>
    <row r="1114" spans="1:9">
      <c r="A1114" s="243" t="s">
        <v>347</v>
      </c>
      <c r="B1114" s="592" t="str">
        <f>IF(PRESTA&gt;0,"AYUD. ENTENDIDO (INCLUYE "&amp;""&amp;PRESTA*100&amp;"% PRESTACIONES)",0)</f>
        <v>AYUD. ENTENDIDO (INCLUYE 82,22% PRESTACIONES)</v>
      </c>
      <c r="C1114" s="346">
        <f>+C1113</f>
        <v>8.9635854341736654E-2</v>
      </c>
      <c r="D1114" s="243" t="s">
        <v>346</v>
      </c>
      <c r="E1114" s="65">
        <f>+AYUDA</f>
        <v>65389.695592000004</v>
      </c>
      <c r="F1114" s="65"/>
      <c r="G1114" s="65"/>
      <c r="H1114" s="65">
        <f>+E1114*C1114</f>
        <v>5861.2612295350118</v>
      </c>
      <c r="I1114" s="65"/>
    </row>
    <row r="1115" spans="1:9">
      <c r="A1115" s="243" t="s">
        <v>584</v>
      </c>
      <c r="B1115" s="180" t="s">
        <v>134</v>
      </c>
      <c r="C1115" s="346">
        <v>2.2857142857143058E-3</v>
      </c>
      <c r="D1115" s="243" t="s">
        <v>583</v>
      </c>
      <c r="E1115" s="65">
        <f>+VIAJE</f>
        <v>1200000</v>
      </c>
      <c r="F1115" s="65"/>
      <c r="G1115" s="65"/>
      <c r="H1115" s="65"/>
      <c r="I1115" s="65">
        <f>+E1115*C1115</f>
        <v>2742.8571428571672</v>
      </c>
    </row>
    <row r="1116" spans="1:9">
      <c r="A1116" s="243" t="s">
        <v>172</v>
      </c>
      <c r="B1116" s="179" t="s">
        <v>189</v>
      </c>
      <c r="C1116" s="346">
        <v>1</v>
      </c>
      <c r="D1116" s="160" t="s">
        <v>583</v>
      </c>
      <c r="E1116" s="65">
        <f>+H1117*0.05</f>
        <v>653.75606021736667</v>
      </c>
      <c r="F1116" s="65"/>
      <c r="G1116" s="65"/>
      <c r="H1116" s="65"/>
      <c r="I1116" s="65">
        <f>+E1116*C1116</f>
        <v>653.75606021736667</v>
      </c>
    </row>
    <row r="1117" spans="1:9">
      <c r="A1117" s="587" t="s">
        <v>190</v>
      </c>
      <c r="B1117" s="588">
        <f>SUM(F1117:I1117)</f>
        <v>44471.734407421871</v>
      </c>
      <c r="C1117" s="160"/>
      <c r="D1117" s="169"/>
      <c r="E1117" s="65"/>
      <c r="F1117" s="65">
        <f>SUM(F1112:F1116)</f>
        <v>0</v>
      </c>
      <c r="G1117" s="65">
        <f>SUM(G1112:G1116)</f>
        <v>28000</v>
      </c>
      <c r="H1117" s="65">
        <f>SUM(H1112:H1116)</f>
        <v>13075.121204347333</v>
      </c>
      <c r="I1117" s="65">
        <f>SUM(I1112:I1116)</f>
        <v>3396.6132030745339</v>
      </c>
    </row>
    <row r="1118" spans="1:9">
      <c r="A1118" s="587" t="s">
        <v>191</v>
      </c>
      <c r="B1118" s="39">
        <f>+B1117</f>
        <v>44471.734407421871</v>
      </c>
      <c r="C1118" s="688" t="s">
        <v>363</v>
      </c>
      <c r="D1118" s="13"/>
      <c r="E1118" s="590"/>
      <c r="F1118" s="170"/>
      <c r="G1118" s="170"/>
      <c r="H1118" s="170"/>
      <c r="I1118" s="170"/>
    </row>
    <row r="1119" spans="1:9">
      <c r="A1119" s="596"/>
      <c r="B1119" s="597"/>
      <c r="C1119" s="596"/>
      <c r="D1119" s="596"/>
      <c r="E1119" s="599"/>
      <c r="F1119" s="599"/>
      <c r="G1119" s="599"/>
      <c r="H1119" s="599"/>
      <c r="I1119" s="599"/>
    </row>
    <row r="1120" spans="1:9">
      <c r="A1120" s="582">
        <v>7.14</v>
      </c>
      <c r="B1120" s="3558" t="s">
        <v>4099</v>
      </c>
      <c r="C1120" s="3558"/>
      <c r="D1120" s="3558"/>
      <c r="E1120" s="3558"/>
      <c r="F1120" s="3558"/>
      <c r="G1120" s="3558"/>
      <c r="H1120" s="3558"/>
      <c r="I1120" s="3558"/>
    </row>
    <row r="1121" spans="1:9">
      <c r="A1121" s="243"/>
      <c r="B1121" s="179"/>
      <c r="C1121" s="346" t="s">
        <v>140</v>
      </c>
      <c r="D1121" s="160" t="s">
        <v>343</v>
      </c>
      <c r="E1121" s="65" t="s">
        <v>344</v>
      </c>
      <c r="F1121" s="65" t="s">
        <v>482</v>
      </c>
      <c r="G1121" s="65" t="s">
        <v>483</v>
      </c>
      <c r="H1121" s="65" t="s">
        <v>232</v>
      </c>
      <c r="I1121" s="65" t="s">
        <v>171</v>
      </c>
    </row>
    <row r="1122" spans="1:9">
      <c r="A1122" s="243" t="s">
        <v>1526</v>
      </c>
      <c r="B1122" s="179" t="s">
        <v>4100</v>
      </c>
      <c r="C1122" s="346">
        <v>1</v>
      </c>
      <c r="D1122" s="160" t="s">
        <v>363</v>
      </c>
      <c r="E1122" s="65">
        <v>280000</v>
      </c>
      <c r="F1122" s="65"/>
      <c r="G1122" s="65">
        <f>+E1122*C1122</f>
        <v>280000</v>
      </c>
      <c r="H1122" s="65"/>
      <c r="I1122" s="65"/>
    </row>
    <row r="1123" spans="1:9">
      <c r="A1123" s="243" t="s">
        <v>345</v>
      </c>
      <c r="B1123" s="592" t="str">
        <f>IF(PRESTA&gt;0,"OFICIAL (INCLUYE "&amp;""&amp;PRESTA*100&amp;"% PRESTACIONES)",0)</f>
        <v>OFICIAL (INCLUYE 82,22% PRESTACIONES)</v>
      </c>
      <c r="C1123" s="346">
        <v>0.39838157485216308</v>
      </c>
      <c r="D1123" s="243" t="s">
        <v>346</v>
      </c>
      <c r="E1123" s="65">
        <f>+OFICI</f>
        <v>80479.625344</v>
      </c>
      <c r="F1123" s="65"/>
      <c r="G1123" s="65"/>
      <c r="H1123" s="65">
        <f>+E1123*C1123</f>
        <v>32061.599888054778</v>
      </c>
      <c r="I1123" s="65"/>
    </row>
    <row r="1124" spans="1:9">
      <c r="A1124" s="243" t="s">
        <v>347</v>
      </c>
      <c r="B1124" s="592" t="str">
        <f>IF(PRESTA&gt;0,"AYUD. ENTENDIDO (INCLUYE "&amp;""&amp;PRESTA*100&amp;"% PRESTACIONES)",0)</f>
        <v>AYUD. ENTENDIDO (INCLUYE 82,22% PRESTACIONES)</v>
      </c>
      <c r="C1124" s="346">
        <f>+C1123</f>
        <v>0.39838157485216308</v>
      </c>
      <c r="D1124" s="243" t="s">
        <v>346</v>
      </c>
      <c r="E1124" s="65">
        <f>+AYUDA</f>
        <v>65389.695592000004</v>
      </c>
      <c r="F1124" s="65"/>
      <c r="G1124" s="65"/>
      <c r="H1124" s="65">
        <f>+E1124*C1124</f>
        <v>26050.049909044508</v>
      </c>
      <c r="I1124" s="65"/>
    </row>
    <row r="1125" spans="1:9">
      <c r="A1125" s="243" t="s">
        <v>584</v>
      </c>
      <c r="B1125" s="180" t="s">
        <v>134</v>
      </c>
      <c r="C1125" s="346">
        <v>5.7142857142857148E-2</v>
      </c>
      <c r="D1125" s="243" t="s">
        <v>583</v>
      </c>
      <c r="E1125" s="65">
        <f>+VIAJE</f>
        <v>1200000</v>
      </c>
      <c r="F1125" s="65"/>
      <c r="G1125" s="65"/>
      <c r="H1125" s="65"/>
      <c r="I1125" s="65">
        <f>+E1125*C1125</f>
        <v>68571.42857142858</v>
      </c>
    </row>
    <row r="1126" spans="1:9">
      <c r="A1126" s="243" t="s">
        <v>172</v>
      </c>
      <c r="B1126" s="179" t="s">
        <v>189</v>
      </c>
      <c r="C1126" s="346">
        <v>1</v>
      </c>
      <c r="D1126" s="160" t="s">
        <v>583</v>
      </c>
      <c r="E1126" s="65">
        <f>+H1127*0.05</f>
        <v>2905.5824898549645</v>
      </c>
      <c r="F1126" s="65"/>
      <c r="G1126" s="65"/>
      <c r="H1126" s="65"/>
      <c r="I1126" s="65">
        <f>+E1126*C1126</f>
        <v>2905.5824898549645</v>
      </c>
    </row>
    <row r="1127" spans="1:9">
      <c r="A1127" s="587" t="s">
        <v>190</v>
      </c>
      <c r="B1127" s="588">
        <f>SUM(F1127:I1127)</f>
        <v>409588.66085838282</v>
      </c>
      <c r="C1127" s="160"/>
      <c r="D1127" s="169"/>
      <c r="E1127" s="65"/>
      <c r="F1127" s="65">
        <f>SUM(F1122:F1126)</f>
        <v>0</v>
      </c>
      <c r="G1127" s="65">
        <f>SUM(G1122:G1126)</f>
        <v>280000</v>
      </c>
      <c r="H1127" s="65">
        <f>SUM(H1122:H1126)</f>
        <v>58111.649797099286</v>
      </c>
      <c r="I1127" s="65">
        <f>SUM(I1122:I1126)</f>
        <v>71477.011061283541</v>
      </c>
    </row>
    <row r="1128" spans="1:9">
      <c r="A1128" s="587" t="s">
        <v>191</v>
      </c>
      <c r="B1128" s="39">
        <f>+B1127</f>
        <v>409588.66085838282</v>
      </c>
      <c r="C1128" s="688" t="s">
        <v>363</v>
      </c>
      <c r="D1128" s="13"/>
      <c r="E1128" s="590"/>
      <c r="F1128" s="170"/>
      <c r="G1128" s="170"/>
      <c r="H1128" s="170"/>
      <c r="I1128" s="170"/>
    </row>
    <row r="1129" spans="1:9">
      <c r="A1129" s="596"/>
      <c r="B1129" s="597"/>
      <c r="C1129" s="596"/>
      <c r="D1129" s="596"/>
      <c r="E1129" s="599"/>
      <c r="F1129" s="599"/>
      <c r="G1129" s="599"/>
      <c r="H1129" s="599"/>
      <c r="I1129" s="599"/>
    </row>
    <row r="1130" spans="1:9">
      <c r="A1130" s="594">
        <v>7.15</v>
      </c>
      <c r="B1130" s="3558" t="s">
        <v>4101</v>
      </c>
      <c r="C1130" s="3558"/>
      <c r="D1130" s="3558"/>
      <c r="E1130" s="3558"/>
      <c r="F1130" s="3558"/>
      <c r="G1130" s="3558"/>
      <c r="H1130" s="3558"/>
      <c r="I1130" s="3558"/>
    </row>
    <row r="1131" spans="1:9">
      <c r="A1131" s="243"/>
      <c r="B1131" s="179"/>
      <c r="C1131" s="243" t="s">
        <v>140</v>
      </c>
      <c r="D1131" s="243" t="s">
        <v>343</v>
      </c>
      <c r="E1131" s="65" t="s">
        <v>344</v>
      </c>
      <c r="F1131" s="65" t="s">
        <v>482</v>
      </c>
      <c r="G1131" s="65" t="s">
        <v>483</v>
      </c>
      <c r="H1131" s="65" t="s">
        <v>232</v>
      </c>
      <c r="I1131" s="65" t="s">
        <v>171</v>
      </c>
    </row>
    <row r="1132" spans="1:9">
      <c r="A1132" s="243" t="s">
        <v>1526</v>
      </c>
      <c r="B1132" s="179" t="s">
        <v>4102</v>
      </c>
      <c r="C1132" s="346">
        <v>1</v>
      </c>
      <c r="D1132" s="160" t="s">
        <v>363</v>
      </c>
      <c r="E1132" s="65">
        <v>80000</v>
      </c>
      <c r="F1132" s="65"/>
      <c r="G1132" s="65">
        <f>+E1132*C1132</f>
        <v>80000</v>
      </c>
      <c r="H1132" s="65"/>
      <c r="I1132" s="65"/>
    </row>
    <row r="1133" spans="1:9">
      <c r="A1133" s="243" t="s">
        <v>345</v>
      </c>
      <c r="B1133" s="592" t="str">
        <f>IF(PRESTA&gt;0,"OFICIAL (INCLUYE "&amp;""&amp;PRESTA*100&amp;"% PRESTACIONES)",0)</f>
        <v>OFICIAL (INCLUYE 82,22% PRESTACIONES)</v>
      </c>
      <c r="C1133" s="346">
        <v>0.14939309056956118</v>
      </c>
      <c r="D1133" s="243" t="s">
        <v>346</v>
      </c>
      <c r="E1133" s="65">
        <f>+OFICI</f>
        <v>80479.625344</v>
      </c>
      <c r="F1133" s="65"/>
      <c r="G1133" s="65"/>
      <c r="H1133" s="65">
        <f>+E1133*C1133</f>
        <v>12023.099958020544</v>
      </c>
      <c r="I1133" s="65"/>
    </row>
    <row r="1134" spans="1:9">
      <c r="A1134" s="243" t="s">
        <v>347</v>
      </c>
      <c r="B1134" s="592" t="str">
        <f>IF(PRESTA&gt;0,"AYUD. ENTENDIDO (INCLUYE "&amp;""&amp;PRESTA*100&amp;"% PRESTACIONES)",0)</f>
        <v>AYUD. ENTENDIDO (INCLUYE 82,22% PRESTACIONES)</v>
      </c>
      <c r="C1134" s="346">
        <f>+C1133</f>
        <v>0.14939309056956118</v>
      </c>
      <c r="D1134" s="243" t="s">
        <v>346</v>
      </c>
      <c r="E1134" s="65">
        <f>+AYUDA</f>
        <v>65389.695592000004</v>
      </c>
      <c r="F1134" s="65"/>
      <c r="G1134" s="65"/>
      <c r="H1134" s="65">
        <f>+E1134*C1134</f>
        <v>9768.7687158916924</v>
      </c>
      <c r="I1134" s="65"/>
    </row>
    <row r="1135" spans="1:9">
      <c r="A1135" s="243" t="s">
        <v>584</v>
      </c>
      <c r="B1135" s="180" t="s">
        <v>134</v>
      </c>
      <c r="C1135" s="346">
        <v>1.4285714285714284E-2</v>
      </c>
      <c r="D1135" s="243" t="s">
        <v>583</v>
      </c>
      <c r="E1135" s="65">
        <f>+VIAJE</f>
        <v>1200000</v>
      </c>
      <c r="F1135" s="65"/>
      <c r="G1135" s="65"/>
      <c r="H1135" s="65"/>
      <c r="I1135" s="65">
        <f>+E1135*C1135</f>
        <v>17142.857142857141</v>
      </c>
    </row>
    <row r="1136" spans="1:9">
      <c r="A1136" s="243" t="s">
        <v>172</v>
      </c>
      <c r="B1136" s="179" t="s">
        <v>189</v>
      </c>
      <c r="C1136" s="346">
        <v>1</v>
      </c>
      <c r="D1136" s="160" t="s">
        <v>583</v>
      </c>
      <c r="E1136" s="65">
        <f>+H1137*0.05</f>
        <v>1089.5934336956118</v>
      </c>
      <c r="F1136" s="65"/>
      <c r="G1136" s="65"/>
      <c r="H1136" s="65"/>
      <c r="I1136" s="65">
        <f>+E1136*C1136</f>
        <v>1089.5934336956118</v>
      </c>
    </row>
    <row r="1137" spans="1:9">
      <c r="A1137" s="587" t="s">
        <v>190</v>
      </c>
      <c r="B1137" s="588">
        <f>SUM(F1137:I1137)</f>
        <v>120024.31925046499</v>
      </c>
      <c r="C1137" s="160"/>
      <c r="D1137" s="169"/>
      <c r="E1137" s="65"/>
      <c r="F1137" s="65">
        <f>SUM(F1132:F1136)</f>
        <v>0</v>
      </c>
      <c r="G1137" s="65">
        <f>SUM(G1132:G1136)</f>
        <v>80000</v>
      </c>
      <c r="H1137" s="65">
        <f>SUM(H1132:H1136)</f>
        <v>21791.868673912235</v>
      </c>
      <c r="I1137" s="65">
        <f>SUM(I1132:I1136)</f>
        <v>18232.450576552754</v>
      </c>
    </row>
    <row r="1138" spans="1:9">
      <c r="A1138" s="587" t="s">
        <v>191</v>
      </c>
      <c r="B1138" s="39">
        <f>+B1137</f>
        <v>120024.31925046499</v>
      </c>
      <c r="C1138" s="688" t="s">
        <v>363</v>
      </c>
      <c r="D1138" s="13"/>
      <c r="E1138" s="590"/>
      <c r="F1138" s="170"/>
      <c r="G1138" s="170"/>
      <c r="H1138" s="170"/>
      <c r="I1138" s="170"/>
    </row>
    <row r="1139" spans="1:9">
      <c r="A1139" s="596"/>
      <c r="B1139" s="597"/>
      <c r="C1139" s="596"/>
      <c r="D1139" s="596"/>
      <c r="E1139" s="599"/>
      <c r="F1139" s="599"/>
      <c r="G1139" s="599"/>
      <c r="H1139" s="599"/>
      <c r="I1139" s="599"/>
    </row>
    <row r="1140" spans="1:9">
      <c r="A1140" s="594">
        <v>7.16</v>
      </c>
      <c r="B1140" s="3558" t="s">
        <v>4103</v>
      </c>
      <c r="C1140" s="3558"/>
      <c r="D1140" s="3558"/>
      <c r="E1140" s="3558"/>
      <c r="F1140" s="3558"/>
      <c r="G1140" s="3558"/>
      <c r="H1140" s="3558"/>
      <c r="I1140" s="3558"/>
    </row>
    <row r="1141" spans="1:9">
      <c r="A1141" s="243"/>
      <c r="B1141" s="179"/>
      <c r="C1141" s="243" t="s">
        <v>140</v>
      </c>
      <c r="D1141" s="243" t="s">
        <v>343</v>
      </c>
      <c r="E1141" s="65" t="s">
        <v>344</v>
      </c>
      <c r="F1141" s="65" t="s">
        <v>482</v>
      </c>
      <c r="G1141" s="65" t="s">
        <v>483</v>
      </c>
      <c r="H1141" s="65" t="s">
        <v>232</v>
      </c>
      <c r="I1141" s="65" t="s">
        <v>171</v>
      </c>
    </row>
    <row r="1142" spans="1:9">
      <c r="A1142" s="243" t="s">
        <v>1526</v>
      </c>
      <c r="B1142" s="179" t="s">
        <v>4104</v>
      </c>
      <c r="C1142" s="346">
        <v>20</v>
      </c>
      <c r="D1142" s="160" t="s">
        <v>94</v>
      </c>
      <c r="E1142" s="65">
        <v>8700</v>
      </c>
      <c r="F1142" s="65"/>
      <c r="G1142" s="65">
        <f>+E1142*C1142</f>
        <v>174000</v>
      </c>
      <c r="H1142" s="65"/>
      <c r="I1142" s="65"/>
    </row>
    <row r="1143" spans="1:9">
      <c r="A1143" s="243" t="s">
        <v>4085</v>
      </c>
      <c r="B1143" s="179" t="s">
        <v>4086</v>
      </c>
      <c r="C1143" s="346">
        <f>+C1142</f>
        <v>20</v>
      </c>
      <c r="D1143" s="160" t="s">
        <v>94</v>
      </c>
      <c r="E1143" s="65">
        <v>2100</v>
      </c>
      <c r="F1143" s="65"/>
      <c r="G1143" s="65">
        <f>+E1143*C1143</f>
        <v>42000</v>
      </c>
      <c r="H1143" s="65"/>
      <c r="I1143" s="65"/>
    </row>
    <row r="1144" spans="1:9">
      <c r="A1144" s="243" t="s">
        <v>4105</v>
      </c>
      <c r="B1144" s="179" t="s">
        <v>4106</v>
      </c>
      <c r="C1144" s="346">
        <v>3</v>
      </c>
      <c r="D1144" s="160" t="s">
        <v>363</v>
      </c>
      <c r="E1144" s="65">
        <f>3400*1.08</f>
        <v>3672.0000000000005</v>
      </c>
      <c r="F1144" s="65"/>
      <c r="G1144" s="65">
        <f>+E1144*C1144</f>
        <v>11016.000000000002</v>
      </c>
      <c r="H1144" s="65"/>
      <c r="I1144" s="65"/>
    </row>
    <row r="1145" spans="1:9">
      <c r="A1145" s="243" t="s">
        <v>4107</v>
      </c>
      <c r="B1145" s="179" t="s">
        <v>4108</v>
      </c>
      <c r="C1145" s="346">
        <v>3</v>
      </c>
      <c r="D1145" s="160" t="s">
        <v>363</v>
      </c>
      <c r="E1145" s="65">
        <f>5700*1.108</f>
        <v>6315.6</v>
      </c>
      <c r="F1145" s="65"/>
      <c r="G1145" s="65">
        <f>+E1145*C1145</f>
        <v>18946.800000000003</v>
      </c>
      <c r="H1145" s="65"/>
      <c r="I1145" s="65"/>
    </row>
    <row r="1146" spans="1:9">
      <c r="A1146" s="243" t="s">
        <v>345</v>
      </c>
      <c r="B1146" s="592" t="str">
        <f>IF(PRESTA&gt;0,"OFICIAL (INCLUYE "&amp;""&amp;PRESTA*100&amp;"% PRESTACIONES)",0)</f>
        <v>OFICIAL (INCLUYE 82,22% PRESTACIONES)</v>
      </c>
      <c r="C1146" s="346">
        <v>4.9797696856520413E-2</v>
      </c>
      <c r="D1146" s="243" t="s">
        <v>346</v>
      </c>
      <c r="E1146" s="65">
        <f>+OFICI</f>
        <v>80479.625344</v>
      </c>
      <c r="F1146" s="65"/>
      <c r="G1146" s="65"/>
      <c r="H1146" s="65">
        <f>+E1146*C1146</f>
        <v>4007.6999860068495</v>
      </c>
      <c r="I1146" s="65"/>
    </row>
    <row r="1147" spans="1:9">
      <c r="A1147" s="243" t="s">
        <v>347</v>
      </c>
      <c r="B1147" s="592" t="str">
        <f>IF(PRESTA&gt;0,"AYUD. ENTENDIDO (INCLUYE "&amp;""&amp;PRESTA*100&amp;"% PRESTACIONES)",0)</f>
        <v>AYUD. ENTENDIDO (INCLUYE 82,22% PRESTACIONES)</v>
      </c>
      <c r="C1147" s="346">
        <f>+C1146</f>
        <v>4.9797696856520413E-2</v>
      </c>
      <c r="D1147" s="243" t="s">
        <v>346</v>
      </c>
      <c r="E1147" s="65">
        <f>+AYUDA</f>
        <v>65389.695592000004</v>
      </c>
      <c r="F1147" s="65"/>
      <c r="G1147" s="65"/>
      <c r="H1147" s="65">
        <f>+E1147*C1147</f>
        <v>3256.2562386305653</v>
      </c>
      <c r="I1147" s="65"/>
    </row>
    <row r="1148" spans="1:9">
      <c r="A1148" s="243" t="s">
        <v>584</v>
      </c>
      <c r="B1148" s="180" t="s">
        <v>134</v>
      </c>
      <c r="C1148" s="346">
        <v>2.2857142857142855E-3</v>
      </c>
      <c r="D1148" s="243" t="s">
        <v>583</v>
      </c>
      <c r="E1148" s="65">
        <f>+VIAJE</f>
        <v>1200000</v>
      </c>
      <c r="F1148" s="65"/>
      <c r="G1148" s="65"/>
      <c r="H1148" s="65"/>
      <c r="I1148" s="65">
        <f>+E1148*C1148</f>
        <v>2742.8571428571427</v>
      </c>
    </row>
    <row r="1149" spans="1:9">
      <c r="A1149" s="243" t="s">
        <v>172</v>
      </c>
      <c r="B1149" s="179" t="s">
        <v>189</v>
      </c>
      <c r="C1149" s="346">
        <v>1</v>
      </c>
      <c r="D1149" s="160" t="s">
        <v>583</v>
      </c>
      <c r="E1149" s="65">
        <f>+H1150*0.05</f>
        <v>363.19781123187079</v>
      </c>
      <c r="F1149" s="65"/>
      <c r="G1149" s="65"/>
      <c r="H1149" s="65"/>
      <c r="I1149" s="65">
        <f>+E1149*C1149</f>
        <v>363.19781123187079</v>
      </c>
    </row>
    <row r="1150" spans="1:9">
      <c r="A1150" s="587" t="s">
        <v>190</v>
      </c>
      <c r="B1150" s="588">
        <f>SUM(F1150:I1150)</f>
        <v>256332.81117872644</v>
      </c>
      <c r="C1150" s="160"/>
      <c r="D1150" s="169"/>
      <c r="E1150" s="65"/>
      <c r="F1150" s="65">
        <f>SUM(F1142:F1149)</f>
        <v>0</v>
      </c>
      <c r="G1150" s="65">
        <f>SUM(G1142:G1149)</f>
        <v>245962.8</v>
      </c>
      <c r="H1150" s="65">
        <f>SUM(H1142:H1149)</f>
        <v>7263.9562246374153</v>
      </c>
      <c r="I1150" s="65">
        <f>SUM(I1142:I1149)</f>
        <v>3106.0549540890133</v>
      </c>
    </row>
    <row r="1151" spans="1:9">
      <c r="A1151" s="587" t="s">
        <v>191</v>
      </c>
      <c r="B1151" s="39">
        <f>+B1150</f>
        <v>256332.81117872644</v>
      </c>
      <c r="C1151" s="688" t="s">
        <v>363</v>
      </c>
      <c r="D1151" s="13"/>
      <c r="E1151" s="590"/>
      <c r="F1151" s="170"/>
      <c r="G1151" s="170"/>
      <c r="H1151" s="170"/>
      <c r="I1151" s="170"/>
    </row>
    <row r="1152" spans="1:9">
      <c r="A1152" s="596"/>
      <c r="B1152" s="597"/>
      <c r="C1152" s="596"/>
      <c r="D1152" s="596"/>
      <c r="E1152" s="599"/>
      <c r="F1152" s="599"/>
      <c r="G1152" s="599"/>
      <c r="H1152" s="599"/>
      <c r="I1152" s="599"/>
    </row>
    <row r="1153" spans="1:9">
      <c r="A1153" s="594">
        <v>7.17</v>
      </c>
      <c r="B1153" s="3558" t="s">
        <v>4109</v>
      </c>
      <c r="C1153" s="3558"/>
      <c r="D1153" s="3558"/>
      <c r="E1153" s="3558"/>
      <c r="F1153" s="3558"/>
      <c r="G1153" s="3558"/>
      <c r="H1153" s="3558"/>
      <c r="I1153" s="3558"/>
    </row>
    <row r="1154" spans="1:9">
      <c r="A1154" s="243"/>
      <c r="B1154" s="179"/>
      <c r="C1154" s="243" t="s">
        <v>140</v>
      </c>
      <c r="D1154" s="243" t="s">
        <v>343</v>
      </c>
      <c r="E1154" s="65" t="s">
        <v>344</v>
      </c>
      <c r="F1154" s="65" t="s">
        <v>482</v>
      </c>
      <c r="G1154" s="65" t="s">
        <v>483</v>
      </c>
      <c r="H1154" s="65" t="s">
        <v>232</v>
      </c>
      <c r="I1154" s="65" t="s">
        <v>171</v>
      </c>
    </row>
    <row r="1155" spans="1:9">
      <c r="A1155" s="243" t="s">
        <v>1526</v>
      </c>
      <c r="B1155" s="179" t="s">
        <v>1921</v>
      </c>
      <c r="C1155" s="346">
        <v>1</v>
      </c>
      <c r="D1155" s="160" t="s">
        <v>363</v>
      </c>
      <c r="E1155" s="65">
        <v>100000</v>
      </c>
      <c r="F1155" s="65"/>
      <c r="G1155" s="65">
        <f>+E1155*C1155</f>
        <v>100000</v>
      </c>
      <c r="H1155" s="65"/>
      <c r="I1155" s="65"/>
    </row>
    <row r="1156" spans="1:9">
      <c r="A1156" s="243" t="s">
        <v>345</v>
      </c>
      <c r="B1156" s="592" t="str">
        <f>IF(PRESTA&gt;0,"OFICIAL (INCLUYE "&amp;""&amp;PRESTA*100&amp;"% PRESTACIONES)",0)</f>
        <v>OFICIAL (INCLUYE 82,22% PRESTACIONES)</v>
      </c>
      <c r="C1156" s="346">
        <v>0.17927170868347339</v>
      </c>
      <c r="D1156" s="243" t="s">
        <v>346</v>
      </c>
      <c r="E1156" s="65">
        <f>+OFICI</f>
        <v>80479.625344</v>
      </c>
      <c r="F1156" s="65"/>
      <c r="G1156" s="65"/>
      <c r="H1156" s="65">
        <f>+E1156*C1156</f>
        <v>14427.71994962465</v>
      </c>
      <c r="I1156" s="65"/>
    </row>
    <row r="1157" spans="1:9">
      <c r="A1157" s="243" t="s">
        <v>347</v>
      </c>
      <c r="B1157" s="592" t="str">
        <f>IF(PRESTA&gt;0,"AYUD. ENTENDIDO (INCLUYE "&amp;""&amp;PRESTA*100&amp;"% PRESTACIONES)",0)</f>
        <v>AYUD. ENTENDIDO (INCLUYE 82,22% PRESTACIONES)</v>
      </c>
      <c r="C1157" s="346">
        <f>+C1156</f>
        <v>0.17927170868347339</v>
      </c>
      <c r="D1157" s="243" t="s">
        <v>346</v>
      </c>
      <c r="E1157" s="65">
        <f>+AYUDA</f>
        <v>65389.695592000004</v>
      </c>
      <c r="F1157" s="65"/>
      <c r="G1157" s="65"/>
      <c r="H1157" s="65">
        <f>+E1157*C1157</f>
        <v>11722.522459070029</v>
      </c>
      <c r="I1157" s="65"/>
    </row>
    <row r="1158" spans="1:9">
      <c r="A1158" s="243" t="s">
        <v>584</v>
      </c>
      <c r="B1158" s="180" t="s">
        <v>134</v>
      </c>
      <c r="C1158" s="346">
        <v>4.2857142857142859E-3</v>
      </c>
      <c r="D1158" s="243" t="s">
        <v>583</v>
      </c>
      <c r="E1158" s="65">
        <f>+VIAJE</f>
        <v>1200000</v>
      </c>
      <c r="F1158" s="65"/>
      <c r="G1158" s="65"/>
      <c r="H1158" s="65"/>
      <c r="I1158" s="65">
        <f>+E1158*C1158</f>
        <v>5142.8571428571431</v>
      </c>
    </row>
    <row r="1159" spans="1:9">
      <c r="A1159" s="243" t="s">
        <v>172</v>
      </c>
      <c r="B1159" s="179" t="s">
        <v>189</v>
      </c>
      <c r="C1159" s="346">
        <v>1</v>
      </c>
      <c r="D1159" s="160" t="s">
        <v>583</v>
      </c>
      <c r="E1159" s="65">
        <f>+H1160*0.05</f>
        <v>1307.512120434734</v>
      </c>
      <c r="F1159" s="65"/>
      <c r="G1159" s="65"/>
      <c r="H1159" s="65"/>
      <c r="I1159" s="65">
        <f>+E1159*C1159</f>
        <v>1307.512120434734</v>
      </c>
    </row>
    <row r="1160" spans="1:9">
      <c r="A1160" s="587" t="s">
        <v>190</v>
      </c>
      <c r="B1160" s="588">
        <f>SUM(F1160:I1160)</f>
        <v>132600.61167198655</v>
      </c>
      <c r="C1160" s="160"/>
      <c r="D1160" s="169"/>
      <c r="E1160" s="65"/>
      <c r="F1160" s="65">
        <f>SUM(F1155:F1159)</f>
        <v>0</v>
      </c>
      <c r="G1160" s="65">
        <f>SUM(G1155:G1159)</f>
        <v>100000</v>
      </c>
      <c r="H1160" s="65">
        <f>SUM(H1155:H1159)</f>
        <v>26150.242408694678</v>
      </c>
      <c r="I1160" s="65">
        <f>SUM(I1155:I1159)</f>
        <v>6450.3692632918774</v>
      </c>
    </row>
    <row r="1161" spans="1:9">
      <c r="A1161" s="587" t="s">
        <v>191</v>
      </c>
      <c r="B1161" s="39">
        <f>+B1160</f>
        <v>132600.61167198655</v>
      </c>
      <c r="C1161" s="688" t="s">
        <v>363</v>
      </c>
      <c r="D1161" s="13"/>
      <c r="E1161" s="590"/>
      <c r="F1161" s="170"/>
      <c r="G1161" s="170"/>
      <c r="H1161" s="170"/>
      <c r="I1161" s="170"/>
    </row>
    <row r="1162" spans="1:9">
      <c r="A1162" s="596"/>
      <c r="B1162" s="597"/>
      <c r="C1162" s="596"/>
      <c r="D1162" s="596"/>
      <c r="E1162" s="599"/>
      <c r="F1162" s="599"/>
      <c r="G1162" s="599"/>
      <c r="H1162" s="599"/>
      <c r="I1162" s="599"/>
    </row>
    <row r="1163" spans="1:9">
      <c r="A1163" s="594">
        <v>7.18</v>
      </c>
      <c r="B1163" s="3558" t="s">
        <v>4110</v>
      </c>
      <c r="C1163" s="3558"/>
      <c r="D1163" s="3558"/>
      <c r="E1163" s="3558"/>
      <c r="F1163" s="3558"/>
      <c r="G1163" s="3558"/>
      <c r="H1163" s="3558"/>
      <c r="I1163" s="3558"/>
    </row>
    <row r="1164" spans="1:9">
      <c r="A1164" s="243"/>
      <c r="B1164" s="179"/>
      <c r="C1164" s="243" t="s">
        <v>140</v>
      </c>
      <c r="D1164" s="243" t="s">
        <v>343</v>
      </c>
      <c r="E1164" s="65" t="s">
        <v>344</v>
      </c>
      <c r="F1164" s="65" t="s">
        <v>482</v>
      </c>
      <c r="G1164" s="65" t="s">
        <v>483</v>
      </c>
      <c r="H1164" s="65" t="s">
        <v>232</v>
      </c>
      <c r="I1164" s="65" t="s">
        <v>171</v>
      </c>
    </row>
    <row r="1165" spans="1:9">
      <c r="A1165" s="243" t="s">
        <v>1526</v>
      </c>
      <c r="B1165" s="179" t="s">
        <v>4111</v>
      </c>
      <c r="C1165" s="346">
        <v>1</v>
      </c>
      <c r="D1165" s="160" t="s">
        <v>94</v>
      </c>
      <c r="E1165" s="65">
        <v>5500</v>
      </c>
      <c r="F1165" s="65"/>
      <c r="G1165" s="65">
        <f>+E1165*C1165</f>
        <v>5500</v>
      </c>
      <c r="H1165" s="65"/>
      <c r="I1165" s="65"/>
    </row>
    <row r="1166" spans="1:9">
      <c r="A1166" s="243" t="s">
        <v>4085</v>
      </c>
      <c r="B1166" s="179" t="s">
        <v>4086</v>
      </c>
      <c r="C1166" s="346">
        <v>1</v>
      </c>
      <c r="D1166" s="160" t="s">
        <v>94</v>
      </c>
      <c r="E1166" s="65">
        <v>2100</v>
      </c>
      <c r="F1166" s="65"/>
      <c r="G1166" s="65">
        <f>+E1166*C1166</f>
        <v>2100</v>
      </c>
      <c r="H1166" s="65"/>
      <c r="I1166" s="65"/>
    </row>
    <row r="1167" spans="1:9">
      <c r="A1167" s="243" t="s">
        <v>345</v>
      </c>
      <c r="B1167" s="592" t="str">
        <f>IF(PRESTA&gt;0,"OFICIAL (INCLUYE "&amp;""&amp;PRESTA*100&amp;"% PRESTACIONES)",0)</f>
        <v>OFICIAL (INCLUYE 82,22% PRESTACIONES)</v>
      </c>
      <c r="C1167" s="346">
        <v>9.9595393713040672E-3</v>
      </c>
      <c r="D1167" s="243" t="s">
        <v>346</v>
      </c>
      <c r="E1167" s="65">
        <f>+OFICI</f>
        <v>80479.625344</v>
      </c>
      <c r="F1167" s="65"/>
      <c r="G1167" s="65"/>
      <c r="H1167" s="65">
        <f>+E1167*C1167</f>
        <v>801.53999720136869</v>
      </c>
      <c r="I1167" s="65"/>
    </row>
    <row r="1168" spans="1:9">
      <c r="A1168" s="243" t="s">
        <v>347</v>
      </c>
      <c r="B1168" s="592" t="str">
        <f>IF(PRESTA&gt;0,"AYUD. ENTENDIDO (INCLUYE "&amp;""&amp;PRESTA*100&amp;"% PRESTACIONES)",0)</f>
        <v>AYUD. ENTENDIDO (INCLUYE 82,22% PRESTACIONES)</v>
      </c>
      <c r="C1168" s="346">
        <f>+C1167</f>
        <v>9.9595393713040672E-3</v>
      </c>
      <c r="D1168" s="243" t="s">
        <v>346</v>
      </c>
      <c r="E1168" s="65">
        <f>+AYUDA</f>
        <v>65389.695592000004</v>
      </c>
      <c r="F1168" s="65"/>
      <c r="G1168" s="65"/>
      <c r="H1168" s="65">
        <f>+E1168*C1168</f>
        <v>651.25124772611207</v>
      </c>
      <c r="I1168" s="65"/>
    </row>
    <row r="1169" spans="1:9">
      <c r="A1169" s="243" t="s">
        <v>584</v>
      </c>
      <c r="B1169" s="180" t="s">
        <v>134</v>
      </c>
      <c r="C1169" s="346">
        <v>2.2857142857142859E-3</v>
      </c>
      <c r="D1169" s="243" t="s">
        <v>583</v>
      </c>
      <c r="E1169" s="65">
        <f>+VIAJE</f>
        <v>1200000</v>
      </c>
      <c r="F1169" s="65"/>
      <c r="G1169" s="65"/>
      <c r="H1169" s="65"/>
      <c r="I1169" s="65">
        <f>+E1169*C1169</f>
        <v>2742.8571428571431</v>
      </c>
    </row>
    <row r="1170" spans="1:9">
      <c r="A1170" s="243" t="s">
        <v>172</v>
      </c>
      <c r="B1170" s="179" t="s">
        <v>189</v>
      </c>
      <c r="C1170" s="346">
        <v>1</v>
      </c>
      <c r="D1170" s="160" t="s">
        <v>583</v>
      </c>
      <c r="E1170" s="65">
        <f>+H1171*0.05</f>
        <v>72.639562246374041</v>
      </c>
      <c r="F1170" s="65"/>
      <c r="G1170" s="65"/>
      <c r="H1170" s="65"/>
      <c r="I1170" s="65">
        <f>+E1170*C1170</f>
        <v>72.639562246374041</v>
      </c>
    </row>
    <row r="1171" spans="1:9">
      <c r="A1171" s="587" t="s">
        <v>190</v>
      </c>
      <c r="B1171" s="588">
        <f>SUM(F1171:I1171)</f>
        <v>11868.287950030997</v>
      </c>
      <c r="C1171" s="160"/>
      <c r="D1171" s="169"/>
      <c r="E1171" s="65"/>
      <c r="F1171" s="65">
        <f>SUM(F1165:F1170)</f>
        <v>0</v>
      </c>
      <c r="G1171" s="65">
        <f>SUM(G1165:G1170)</f>
        <v>7600</v>
      </c>
      <c r="H1171" s="65">
        <f>SUM(H1165:H1170)</f>
        <v>1452.7912449274809</v>
      </c>
      <c r="I1171" s="65">
        <f>SUM(I1165:I1170)</f>
        <v>2815.4967051035173</v>
      </c>
    </row>
    <row r="1172" spans="1:9">
      <c r="A1172" s="587" t="s">
        <v>191</v>
      </c>
      <c r="B1172" s="39">
        <f>+B1171</f>
        <v>11868.287950030997</v>
      </c>
      <c r="C1172" s="688" t="s">
        <v>94</v>
      </c>
      <c r="D1172" s="13"/>
      <c r="E1172" s="590"/>
      <c r="F1172" s="170"/>
      <c r="G1172" s="170"/>
      <c r="H1172" s="170"/>
      <c r="I1172" s="170"/>
    </row>
    <row r="1173" spans="1:9">
      <c r="A1173" s="596"/>
      <c r="B1173" s="597"/>
      <c r="C1173" s="596"/>
      <c r="D1173" s="596"/>
      <c r="E1173" s="599"/>
      <c r="F1173" s="599"/>
      <c r="G1173" s="599"/>
      <c r="H1173" s="599"/>
      <c r="I1173" s="599"/>
    </row>
    <row r="1174" spans="1:9">
      <c r="A1174" s="594">
        <v>7.19</v>
      </c>
      <c r="B1174" s="3558" t="s">
        <v>4112</v>
      </c>
      <c r="C1174" s="3558"/>
      <c r="D1174" s="3558"/>
      <c r="E1174" s="3558"/>
      <c r="F1174" s="3558"/>
      <c r="G1174" s="3558"/>
      <c r="H1174" s="3558"/>
      <c r="I1174" s="3558"/>
    </row>
    <row r="1175" spans="1:9">
      <c r="A1175" s="243"/>
      <c r="B1175" s="179"/>
      <c r="C1175" s="243" t="s">
        <v>140</v>
      </c>
      <c r="D1175" s="243" t="s">
        <v>343</v>
      </c>
      <c r="E1175" s="65" t="s">
        <v>344</v>
      </c>
      <c r="F1175" s="65" t="s">
        <v>482</v>
      </c>
      <c r="G1175" s="65" t="s">
        <v>483</v>
      </c>
      <c r="H1175" s="65" t="s">
        <v>232</v>
      </c>
      <c r="I1175" s="65" t="s">
        <v>171</v>
      </c>
    </row>
    <row r="1176" spans="1:9">
      <c r="A1176" s="243" t="s">
        <v>1526</v>
      </c>
      <c r="B1176" s="179" t="s">
        <v>2089</v>
      </c>
      <c r="C1176" s="346">
        <v>10</v>
      </c>
      <c r="D1176" s="160" t="s">
        <v>94</v>
      </c>
      <c r="E1176" s="65">
        <v>25000</v>
      </c>
      <c r="F1176" s="65"/>
      <c r="G1176" s="65">
        <f>+E1176*C1176</f>
        <v>250000</v>
      </c>
      <c r="H1176" s="65"/>
      <c r="I1176" s="65"/>
    </row>
    <row r="1177" spans="1:9">
      <c r="A1177" s="243" t="s">
        <v>4085</v>
      </c>
      <c r="B1177" s="179" t="s">
        <v>4086</v>
      </c>
      <c r="C1177" s="346">
        <f>+C1176</f>
        <v>10</v>
      </c>
      <c r="D1177" s="160" t="s">
        <v>94</v>
      </c>
      <c r="E1177" s="65">
        <v>2100</v>
      </c>
      <c r="F1177" s="65"/>
      <c r="G1177" s="65">
        <f>+E1177*C1177</f>
        <v>21000</v>
      </c>
      <c r="H1177" s="65"/>
      <c r="I1177" s="65"/>
    </row>
    <row r="1178" spans="1:9">
      <c r="A1178" s="243" t="s">
        <v>345</v>
      </c>
      <c r="B1178" s="592" t="str">
        <f>IF(PRESTA&gt;0,"OFICIAL (INCLUYE "&amp;""&amp;PRESTA*100&amp;"% PRESTACIONES)",0)</f>
        <v>OFICIAL (INCLUYE 82,22% PRESTACIONES)</v>
      </c>
      <c r="C1178" s="346">
        <v>8.9635854341736709E-2</v>
      </c>
      <c r="D1178" s="243" t="s">
        <v>346</v>
      </c>
      <c r="E1178" s="65">
        <f>+OFICI</f>
        <v>80479.625344</v>
      </c>
      <c r="F1178" s="65"/>
      <c r="G1178" s="65"/>
      <c r="H1178" s="65">
        <f>+E1178*C1178</f>
        <v>7213.8599748123261</v>
      </c>
      <c r="I1178" s="65"/>
    </row>
    <row r="1179" spans="1:9">
      <c r="A1179" s="243" t="s">
        <v>347</v>
      </c>
      <c r="B1179" s="592" t="str">
        <f>IF(PRESTA&gt;0,"AYUD. ENTENDIDO (INCLUYE "&amp;""&amp;PRESTA*100&amp;"% PRESTACIONES)",0)</f>
        <v>AYUD. ENTENDIDO (INCLUYE 82,22% PRESTACIONES)</v>
      </c>
      <c r="C1179" s="346">
        <f>+C1178</f>
        <v>8.9635854341736709E-2</v>
      </c>
      <c r="D1179" s="243" t="s">
        <v>346</v>
      </c>
      <c r="E1179" s="65">
        <f>+AYUDA</f>
        <v>65389.695592000004</v>
      </c>
      <c r="F1179" s="65"/>
      <c r="G1179" s="65"/>
      <c r="H1179" s="65">
        <f>+E1179*C1179</f>
        <v>5861.2612295350154</v>
      </c>
      <c r="I1179" s="65"/>
    </row>
    <row r="1180" spans="1:9">
      <c r="A1180" s="243" t="s">
        <v>584</v>
      </c>
      <c r="B1180" s="180" t="s">
        <v>134</v>
      </c>
      <c r="C1180" s="346">
        <v>2.2857142857142859E-3</v>
      </c>
      <c r="D1180" s="243" t="s">
        <v>583</v>
      </c>
      <c r="E1180" s="65">
        <f>+VIAJE</f>
        <v>1200000</v>
      </c>
      <c r="F1180" s="65"/>
      <c r="G1180" s="65"/>
      <c r="H1180" s="65"/>
      <c r="I1180" s="65">
        <f>+E1180*C1180</f>
        <v>2742.8571428571431</v>
      </c>
    </row>
    <row r="1181" spans="1:9">
      <c r="A1181" s="243" t="s">
        <v>172</v>
      </c>
      <c r="B1181" s="179" t="s">
        <v>189</v>
      </c>
      <c r="C1181" s="346">
        <v>1</v>
      </c>
      <c r="D1181" s="160" t="s">
        <v>583</v>
      </c>
      <c r="E1181" s="65">
        <f>+H1182*0.05</f>
        <v>653.75606021736712</v>
      </c>
      <c r="F1181" s="65"/>
      <c r="G1181" s="65"/>
      <c r="H1181" s="65"/>
      <c r="I1181" s="65">
        <f>+E1181*C1181</f>
        <v>653.75606021736712</v>
      </c>
    </row>
    <row r="1182" spans="1:9">
      <c r="A1182" s="587" t="s">
        <v>190</v>
      </c>
      <c r="B1182" s="588">
        <f>SUM(F1182:I1182)</f>
        <v>287471.73440742184</v>
      </c>
      <c r="C1182" s="160"/>
      <c r="D1182" s="169"/>
      <c r="E1182" s="65"/>
      <c r="F1182" s="65">
        <f>SUM(F1176:F1181)</f>
        <v>0</v>
      </c>
      <c r="G1182" s="65">
        <f>SUM(G1176:G1181)</f>
        <v>271000</v>
      </c>
      <c r="H1182" s="65">
        <f>SUM(H1176:H1181)</f>
        <v>13075.121204347342</v>
      </c>
      <c r="I1182" s="65">
        <f>SUM(I1176:I1181)</f>
        <v>3396.6132030745102</v>
      </c>
    </row>
    <row r="1183" spans="1:9">
      <c r="A1183" s="587" t="s">
        <v>191</v>
      </c>
      <c r="B1183" s="39">
        <f>+B1182</f>
        <v>287471.73440742184</v>
      </c>
      <c r="C1183" s="688" t="s">
        <v>133</v>
      </c>
      <c r="D1183" s="13"/>
      <c r="E1183" s="590"/>
      <c r="F1183" s="170"/>
      <c r="G1183" s="170"/>
      <c r="H1183" s="170"/>
      <c r="I1183" s="170"/>
    </row>
    <row r="1184" spans="1:9">
      <c r="A1184" s="596"/>
      <c r="B1184" s="597"/>
      <c r="C1184" s="596"/>
      <c r="D1184" s="596"/>
      <c r="E1184" s="599"/>
      <c r="F1184" s="599"/>
      <c r="G1184" s="599"/>
      <c r="H1184" s="599"/>
      <c r="I1184" s="599"/>
    </row>
    <row r="1185" spans="1:9">
      <c r="A1185" s="3892" t="s">
        <v>1418</v>
      </c>
      <c r="B1185" s="3893"/>
      <c r="C1185" s="3893"/>
      <c r="D1185" s="3893"/>
      <c r="E1185" s="3893"/>
      <c r="F1185" s="3893"/>
      <c r="G1185" s="3893"/>
      <c r="H1185" s="3893"/>
      <c r="I1185" s="3894"/>
    </row>
    <row r="1186" spans="1:9">
      <c r="A1186" s="748"/>
      <c r="B1186" s="749"/>
      <c r="C1186" s="749"/>
      <c r="D1186" s="749"/>
      <c r="E1186" s="749"/>
      <c r="F1186" s="749"/>
      <c r="G1186" s="749"/>
      <c r="H1186" s="749"/>
      <c r="I1186" s="750"/>
    </row>
    <row r="1187" spans="1:9">
      <c r="A1187" s="582" t="s">
        <v>8643</v>
      </c>
      <c r="B1187" s="3889" t="s">
        <v>4113</v>
      </c>
      <c r="C1187" s="3890"/>
      <c r="D1187" s="3890"/>
      <c r="E1187" s="3890"/>
      <c r="F1187" s="3890"/>
      <c r="G1187" s="3890"/>
      <c r="H1187" s="3890"/>
      <c r="I1187" s="3891"/>
    </row>
    <row r="1188" spans="1:9">
      <c r="A1188" s="470"/>
      <c r="B1188" s="167"/>
      <c r="C1188" s="477" t="s">
        <v>140</v>
      </c>
      <c r="D1188" s="471" t="s">
        <v>343</v>
      </c>
      <c r="E1188" s="751" t="s">
        <v>344</v>
      </c>
      <c r="F1188" s="751" t="s">
        <v>482</v>
      </c>
      <c r="G1188" s="751" t="s">
        <v>483</v>
      </c>
      <c r="H1188" s="751" t="s">
        <v>232</v>
      </c>
      <c r="I1188" s="751" t="s">
        <v>171</v>
      </c>
    </row>
    <row r="1189" spans="1:9" ht="18">
      <c r="A1189" s="470" t="s">
        <v>736</v>
      </c>
      <c r="B1189" s="167" t="s">
        <v>737</v>
      </c>
      <c r="C1189" s="182">
        <f>1/6.2</f>
        <v>0.16129032258064516</v>
      </c>
      <c r="D1189" s="470" t="s">
        <v>735</v>
      </c>
      <c r="E1189" s="677">
        <f>+RETRO</f>
        <v>150000</v>
      </c>
      <c r="F1189" s="677">
        <f>+E1189*C1189</f>
        <v>24193.548387096773</v>
      </c>
      <c r="G1189" s="677"/>
      <c r="H1189" s="677"/>
      <c r="I1189" s="677"/>
    </row>
    <row r="1190" spans="1:9">
      <c r="A1190" s="470" t="s">
        <v>172</v>
      </c>
      <c r="B1190" s="167" t="s">
        <v>189</v>
      </c>
      <c r="C1190" s="168">
        <v>1</v>
      </c>
      <c r="D1190" s="470" t="s">
        <v>583</v>
      </c>
      <c r="E1190" s="677">
        <f>+H1192*0.05</f>
        <v>50.299765840000006</v>
      </c>
      <c r="F1190" s="677"/>
      <c r="G1190" s="677"/>
      <c r="H1190" s="677"/>
      <c r="I1190" s="677">
        <f>+E1190*C1190</f>
        <v>50.299765840000006</v>
      </c>
    </row>
    <row r="1191" spans="1:9" ht="18">
      <c r="A1191" s="470" t="s">
        <v>348</v>
      </c>
      <c r="B1191" s="167" t="str">
        <f>IF(PRESTA&gt;0,"AYUD. RASO (INCLUYE "&amp;""&amp;PRESTA*100&amp;"% PRESTACIONES)",0)</f>
        <v>AYUD. RASO (INCLUYE 82,22% PRESTACIONES)</v>
      </c>
      <c r="C1191" s="182">
        <f>1/50</f>
        <v>0.02</v>
      </c>
      <c r="D1191" s="470" t="s">
        <v>346</v>
      </c>
      <c r="E1191" s="677">
        <f>+AYUDR</f>
        <v>50299.76584</v>
      </c>
      <c r="F1191" s="677"/>
      <c r="G1191" s="677"/>
      <c r="H1191" s="677">
        <f>+E1191*C1191</f>
        <v>1005.9953168000001</v>
      </c>
      <c r="I1191" s="677"/>
    </row>
    <row r="1192" spans="1:9">
      <c r="A1192" s="587" t="s">
        <v>190</v>
      </c>
      <c r="B1192" s="588">
        <f>ROUND(SUM(F1192:I1192),0)</f>
        <v>25250</v>
      </c>
      <c r="C1192" s="168"/>
      <c r="D1192" s="470"/>
      <c r="E1192" s="677"/>
      <c r="F1192" s="677">
        <f>+SUM(F1189:F1191)</f>
        <v>24193.548387096773</v>
      </c>
      <c r="G1192" s="677">
        <f>+SUM(G1189:G1191)</f>
        <v>0</v>
      </c>
      <c r="H1192" s="677">
        <f>+SUM(H1189:H1191)</f>
        <v>1005.9953168000001</v>
      </c>
      <c r="I1192" s="677">
        <f>+SUM(I1189:I1191)</f>
        <v>50.299765840000006</v>
      </c>
    </row>
    <row r="1193" spans="1:9">
      <c r="A1193" s="587" t="s">
        <v>191</v>
      </c>
      <c r="B1193" s="39">
        <f>+B1192</f>
        <v>25250</v>
      </c>
      <c r="C1193" s="681" t="s">
        <v>356</v>
      </c>
      <c r="D1193" s="479"/>
      <c r="E1193" s="682"/>
      <c r="F1193" s="682"/>
      <c r="G1193" s="682"/>
      <c r="H1193" s="682"/>
      <c r="I1193" s="682"/>
    </row>
    <row r="1194" spans="1:9">
      <c r="A1194" s="479"/>
      <c r="B1194" s="389"/>
      <c r="C1194" s="389"/>
      <c r="D1194" s="389"/>
      <c r="E1194" s="389"/>
      <c r="F1194" s="389"/>
      <c r="G1194" s="389"/>
      <c r="H1194" s="389"/>
      <c r="I1194" s="389"/>
    </row>
    <row r="1195" spans="1:9">
      <c r="A1195" s="582" t="s">
        <v>8644</v>
      </c>
      <c r="B1195" s="3888" t="s">
        <v>59</v>
      </c>
      <c r="C1195" s="3888"/>
      <c r="D1195" s="3888"/>
      <c r="E1195" s="3888"/>
      <c r="F1195" s="3888"/>
      <c r="G1195" s="3888"/>
      <c r="H1195" s="3888"/>
      <c r="I1195" s="3888"/>
    </row>
    <row r="1196" spans="1:9">
      <c r="A1196" s="471"/>
      <c r="B1196" s="486"/>
      <c r="C1196" s="471" t="s">
        <v>140</v>
      </c>
      <c r="D1196" s="471" t="s">
        <v>343</v>
      </c>
      <c r="E1196" s="368" t="s">
        <v>344</v>
      </c>
      <c r="F1196" s="368" t="s">
        <v>482</v>
      </c>
      <c r="G1196" s="368" t="s">
        <v>483</v>
      </c>
      <c r="H1196" s="368" t="s">
        <v>232</v>
      </c>
      <c r="I1196" s="368" t="s">
        <v>171</v>
      </c>
    </row>
    <row r="1197" spans="1:9">
      <c r="A1197" s="470" t="s">
        <v>736</v>
      </c>
      <c r="B1197" s="167" t="s">
        <v>737</v>
      </c>
      <c r="C1197" s="168">
        <v>0.12121212121212122</v>
      </c>
      <c r="D1197" s="470" t="s">
        <v>735</v>
      </c>
      <c r="E1197" s="369">
        <f>RETRO</f>
        <v>150000</v>
      </c>
      <c r="F1197" s="369">
        <f>+E1197*C1197</f>
        <v>18181.818181818184</v>
      </c>
      <c r="G1197" s="369"/>
      <c r="H1197" s="369"/>
      <c r="I1197" s="369"/>
    </row>
    <row r="1198" spans="1:9">
      <c r="A1198" s="471" t="s">
        <v>719</v>
      </c>
      <c r="B1198" s="486" t="s">
        <v>720</v>
      </c>
      <c r="C1198" s="475">
        <v>1</v>
      </c>
      <c r="D1198" s="352" t="s">
        <v>356</v>
      </c>
      <c r="E1198" s="369">
        <f>BOTAD</f>
        <v>22000</v>
      </c>
      <c r="F1198" s="368"/>
      <c r="G1198" s="368"/>
      <c r="H1198" s="368"/>
      <c r="I1198" s="368">
        <f>+E1198*C1198</f>
        <v>22000</v>
      </c>
    </row>
    <row r="1199" spans="1:9">
      <c r="A1199" s="587" t="s">
        <v>190</v>
      </c>
      <c r="B1199" s="752">
        <f>ROUND(SUM(F1199:I1199),0)</f>
        <v>40182</v>
      </c>
      <c r="C1199" s="352"/>
      <c r="D1199" s="352"/>
      <c r="E1199" s="368"/>
      <c r="F1199" s="368">
        <f>SUM(F1197:F1198)</f>
        <v>18181.818181818184</v>
      </c>
      <c r="G1199" s="368">
        <f>SUM(G1197:G1198)</f>
        <v>0</v>
      </c>
      <c r="H1199" s="368">
        <f>SUM(H1197:H1198)</f>
        <v>0</v>
      </c>
      <c r="I1199" s="368">
        <f>SUM(I1197:I1198)</f>
        <v>22000</v>
      </c>
    </row>
    <row r="1200" spans="1:9">
      <c r="A1200" s="587" t="s">
        <v>191</v>
      </c>
      <c r="B1200" s="752">
        <f>+B1199</f>
        <v>40182</v>
      </c>
      <c r="C1200" s="753" t="s">
        <v>356</v>
      </c>
      <c r="D1200" s="754"/>
      <c r="E1200" s="374"/>
      <c r="F1200" s="755"/>
      <c r="G1200" s="374"/>
      <c r="H1200" s="374"/>
      <c r="I1200" s="374"/>
    </row>
    <row r="1201" spans="1:9" ht="13.2">
      <c r="A1201" s="756"/>
      <c r="B1201" s="757"/>
      <c r="C1201" s="757"/>
      <c r="D1201" s="757"/>
      <c r="E1201" s="757"/>
      <c r="F1201" s="757"/>
      <c r="G1201" s="757"/>
      <c r="H1201" s="757"/>
      <c r="I1201" s="757"/>
    </row>
    <row r="1202" spans="1:9">
      <c r="A1202" s="582" t="s">
        <v>8645</v>
      </c>
      <c r="B1202" s="3889" t="s">
        <v>1419</v>
      </c>
      <c r="C1202" s="3890"/>
      <c r="D1202" s="3890"/>
      <c r="E1202" s="3890"/>
      <c r="F1202" s="3890"/>
      <c r="G1202" s="3890"/>
      <c r="H1202" s="3890"/>
      <c r="I1202" s="3891"/>
    </row>
    <row r="1203" spans="1:9">
      <c r="A1203" s="470"/>
      <c r="B1203" s="167"/>
      <c r="C1203" s="477" t="s">
        <v>140</v>
      </c>
      <c r="D1203" s="471" t="s">
        <v>343</v>
      </c>
      <c r="E1203" s="368" t="s">
        <v>344</v>
      </c>
      <c r="F1203" s="368" t="s">
        <v>482</v>
      </c>
      <c r="G1203" s="368" t="s">
        <v>483</v>
      </c>
      <c r="H1203" s="368" t="s">
        <v>232</v>
      </c>
      <c r="I1203" s="368" t="s">
        <v>171</v>
      </c>
    </row>
    <row r="1204" spans="1:9" ht="18">
      <c r="A1204" s="470" t="s">
        <v>738</v>
      </c>
      <c r="B1204" s="167" t="s">
        <v>93</v>
      </c>
      <c r="C1204" s="182">
        <v>0.67</v>
      </c>
      <c r="D1204" s="470" t="s">
        <v>735</v>
      </c>
      <c r="E1204" s="65">
        <f>+CANGU</f>
        <v>11625</v>
      </c>
      <c r="F1204" s="369">
        <f>+E1204*C1204</f>
        <v>7788.7500000000009</v>
      </c>
      <c r="G1204" s="369"/>
      <c r="H1204" s="369"/>
      <c r="I1204" s="369"/>
    </row>
    <row r="1205" spans="1:9" ht="18">
      <c r="A1205" s="470" t="s">
        <v>172</v>
      </c>
      <c r="B1205" s="167" t="s">
        <v>189</v>
      </c>
      <c r="C1205" s="687">
        <v>1</v>
      </c>
      <c r="D1205" s="470" t="s">
        <v>583</v>
      </c>
      <c r="E1205" s="65">
        <f>+H1208*0.05</f>
        <v>402.39812672000005</v>
      </c>
      <c r="F1205" s="369"/>
      <c r="G1205" s="369"/>
      <c r="H1205" s="369"/>
      <c r="I1205" s="369">
        <f>+E1205*C1205</f>
        <v>402.39812672000005</v>
      </c>
    </row>
    <row r="1206" spans="1:9" ht="18">
      <c r="A1206" s="470" t="s">
        <v>348</v>
      </c>
      <c r="B1206" s="167" t="s">
        <v>3877</v>
      </c>
      <c r="C1206" s="182">
        <v>0.16</v>
      </c>
      <c r="D1206" s="470" t="s">
        <v>346</v>
      </c>
      <c r="E1206" s="65">
        <f>+AYUDR</f>
        <v>50299.76584</v>
      </c>
      <c r="F1206" s="369"/>
      <c r="G1206" s="369"/>
      <c r="H1206" s="369">
        <f>+E1206*C1206</f>
        <v>8047.9625344000005</v>
      </c>
      <c r="I1206" s="369"/>
    </row>
    <row r="1207" spans="1:9" ht="18">
      <c r="A1207" s="470" t="s">
        <v>458</v>
      </c>
      <c r="B1207" s="670" t="s">
        <v>459</v>
      </c>
      <c r="C1207" s="687">
        <v>1</v>
      </c>
      <c r="D1207" s="6" t="s">
        <v>356</v>
      </c>
      <c r="E1207" s="65">
        <v>2000</v>
      </c>
      <c r="F1207" s="65"/>
      <c r="G1207" s="65"/>
      <c r="H1207" s="65"/>
      <c r="I1207" s="65">
        <f>+E1207*C1207</f>
        <v>2000</v>
      </c>
    </row>
    <row r="1208" spans="1:9">
      <c r="A1208" s="587" t="s">
        <v>190</v>
      </c>
      <c r="B1208" s="588">
        <f>ROUND(SUM(F1208:I1208),0)</f>
        <v>18239</v>
      </c>
      <c r="C1208" s="168"/>
      <c r="D1208" s="470"/>
      <c r="E1208" s="369"/>
      <c r="F1208" s="369">
        <f>+SUM(F1204:F1207)</f>
        <v>7788.7500000000009</v>
      </c>
      <c r="G1208" s="369">
        <f>+SUM(G1204:G1207)</f>
        <v>0</v>
      </c>
      <c r="H1208" s="369">
        <f>+SUM(H1204:H1207)</f>
        <v>8047.9625344000005</v>
      </c>
      <c r="I1208" s="369">
        <f>+SUM(I1204:I1207)</f>
        <v>2402.3981267200002</v>
      </c>
    </row>
    <row r="1209" spans="1:9">
      <c r="A1209" s="587" t="s">
        <v>191</v>
      </c>
      <c r="B1209" s="39">
        <f>+B1208</f>
        <v>18239</v>
      </c>
      <c r="C1209" s="681" t="s">
        <v>356</v>
      </c>
      <c r="D1209" s="479"/>
      <c r="E1209" s="481"/>
      <c r="F1209" s="481"/>
      <c r="G1209" s="481"/>
      <c r="H1209" s="481"/>
      <c r="I1209" s="481"/>
    </row>
    <row r="1210" spans="1:9">
      <c r="A1210" s="479"/>
      <c r="B1210" s="389"/>
      <c r="C1210" s="389"/>
      <c r="D1210" s="389"/>
      <c r="E1210" s="389"/>
      <c r="F1210" s="389"/>
      <c r="G1210" s="389"/>
      <c r="H1210" s="389"/>
      <c r="I1210" s="389"/>
    </row>
    <row r="1211" spans="1:9">
      <c r="A1211" s="668" t="s">
        <v>8646</v>
      </c>
      <c r="B1211" s="3855" t="s">
        <v>1420</v>
      </c>
      <c r="C1211" s="3856"/>
      <c r="D1211" s="3856"/>
      <c r="E1211" s="3856"/>
      <c r="F1211" s="3856"/>
      <c r="G1211" s="3856"/>
      <c r="H1211" s="3856"/>
      <c r="I1211" s="3857"/>
    </row>
    <row r="1212" spans="1:9">
      <c r="A1212" s="758"/>
      <c r="B1212" s="759"/>
      <c r="C1212" s="2" t="s">
        <v>140</v>
      </c>
      <c r="D1212" s="2" t="s">
        <v>343</v>
      </c>
      <c r="E1212" s="585" t="s">
        <v>344</v>
      </c>
      <c r="F1212" s="585" t="s">
        <v>482</v>
      </c>
      <c r="G1212" s="585" t="s">
        <v>483</v>
      </c>
      <c r="H1212" s="585" t="s">
        <v>170</v>
      </c>
      <c r="I1212" s="585" t="s">
        <v>171</v>
      </c>
    </row>
    <row r="1213" spans="1:9">
      <c r="A1213" s="2" t="s">
        <v>738</v>
      </c>
      <c r="B1213" s="41" t="s">
        <v>739</v>
      </c>
      <c r="C1213" s="684">
        <v>0.6</v>
      </c>
      <c r="D1213" s="6" t="s">
        <v>735</v>
      </c>
      <c r="E1213" s="65">
        <f>+CANGU</f>
        <v>11625</v>
      </c>
      <c r="F1213" s="585">
        <f>+E1213*C1213</f>
        <v>6975</v>
      </c>
      <c r="G1213" s="585"/>
      <c r="H1213" s="585"/>
      <c r="I1213" s="585"/>
    </row>
    <row r="1214" spans="1:9">
      <c r="A1214" s="2" t="s">
        <v>172</v>
      </c>
      <c r="B1214" s="760" t="s">
        <v>189</v>
      </c>
      <c r="C1214" s="761">
        <v>1</v>
      </c>
      <c r="D1214" s="6" t="s">
        <v>583</v>
      </c>
      <c r="E1214" s="65">
        <f>+H1218*0.05</f>
        <v>898.61789167306006</v>
      </c>
      <c r="F1214" s="762"/>
      <c r="G1214" s="762"/>
      <c r="H1214" s="762"/>
      <c r="I1214" s="762">
        <f>+E1214*C1214</f>
        <v>898.61789167306006</v>
      </c>
    </row>
    <row r="1215" spans="1:9">
      <c r="A1215" s="2" t="s">
        <v>354</v>
      </c>
      <c r="B1215" s="41" t="s">
        <v>355</v>
      </c>
      <c r="C1215" s="684">
        <v>1.1000000000000001</v>
      </c>
      <c r="D1215" s="6" t="s">
        <v>356</v>
      </c>
      <c r="E1215" s="65">
        <f>+MATPR</f>
        <v>35000</v>
      </c>
      <c r="F1215" s="585"/>
      <c r="G1215" s="585">
        <f>+E1215*C1215</f>
        <v>38500</v>
      </c>
      <c r="H1215" s="585"/>
      <c r="I1215" s="585"/>
    </row>
    <row r="1216" spans="1:9">
      <c r="A1216" s="2" t="s">
        <v>721</v>
      </c>
      <c r="B1216" s="41" t="s">
        <v>463</v>
      </c>
      <c r="C1216" s="684">
        <v>1.1000000000000001</v>
      </c>
      <c r="D1216" s="6" t="s">
        <v>356</v>
      </c>
      <c r="E1216" s="65">
        <f>+TRANAR</f>
        <v>36200</v>
      </c>
      <c r="F1216" s="585"/>
      <c r="G1216" s="585"/>
      <c r="H1216" s="585"/>
      <c r="I1216" s="585">
        <f>+E1216*C1216</f>
        <v>39820</v>
      </c>
    </row>
    <row r="1217" spans="1:9">
      <c r="A1217" s="2" t="s">
        <v>347</v>
      </c>
      <c r="B1217" s="41" t="str">
        <f>IF(PRESTA&gt;0,"AYUD. ENTENDIDO (INCLUYE "&amp;""&amp;PRESTA*100&amp;"% PRESTACIONES)",0)</f>
        <v>AYUD. ENTENDIDO (INCLUYE 82,22% PRESTACIONES)</v>
      </c>
      <c r="C1217" s="684">
        <v>0.27484999999999998</v>
      </c>
      <c r="D1217" s="6" t="s">
        <v>346</v>
      </c>
      <c r="E1217" s="585">
        <f>+AYUDA</f>
        <v>65389.695592000004</v>
      </c>
      <c r="F1217" s="585"/>
      <c r="G1217" s="585"/>
      <c r="H1217" s="585">
        <f>+E1217*C1217</f>
        <v>17972.357833461199</v>
      </c>
      <c r="I1217" s="585"/>
    </row>
    <row r="1218" spans="1:9">
      <c r="A1218" s="20" t="s">
        <v>190</v>
      </c>
      <c r="B1218" s="39">
        <f>SUM(F1218:I1218)</f>
        <v>104165.97572513425</v>
      </c>
      <c r="C1218" s="2"/>
      <c r="D1218" s="739"/>
      <c r="E1218" s="585"/>
      <c r="F1218" s="736">
        <f>SUM(F1213:F1217)</f>
        <v>6975</v>
      </c>
      <c r="G1218" s="585">
        <f>SUM(G1213:G1217)</f>
        <v>38500</v>
      </c>
      <c r="H1218" s="736">
        <f>SUM(H1213:H1217)</f>
        <v>17972.357833461199</v>
      </c>
      <c r="I1218" s="585">
        <f>SUM(I1213:I1217)</f>
        <v>40718.617891673057</v>
      </c>
    </row>
    <row r="1219" spans="1:9">
      <c r="A1219" s="20" t="s">
        <v>191</v>
      </c>
      <c r="B1219" s="39">
        <f>+B1218</f>
        <v>104165.97572513425</v>
      </c>
      <c r="C1219" s="763" t="s">
        <v>356</v>
      </c>
      <c r="D1219" s="740"/>
      <c r="E1219" s="170"/>
      <c r="F1219" s="738"/>
      <c r="G1219" s="170"/>
      <c r="H1219" s="738"/>
      <c r="I1219" s="170"/>
    </row>
    <row r="1220" spans="1:9">
      <c r="A1220" s="13"/>
      <c r="B1220" s="679"/>
      <c r="C1220" s="13"/>
      <c r="D1220" s="13"/>
      <c r="E1220" s="170"/>
      <c r="F1220" s="170"/>
      <c r="G1220" s="170"/>
      <c r="H1220" s="170"/>
      <c r="I1220" s="170"/>
    </row>
    <row r="1221" spans="1:9">
      <c r="A1221" s="594" t="s">
        <v>8647</v>
      </c>
      <c r="B1221" s="3558" t="s">
        <v>1421</v>
      </c>
      <c r="C1221" s="3558"/>
      <c r="D1221" s="3558"/>
      <c r="E1221" s="3558"/>
      <c r="F1221" s="3558"/>
      <c r="G1221" s="3558"/>
      <c r="H1221" s="3558"/>
      <c r="I1221" s="3558"/>
    </row>
    <row r="1222" spans="1:9">
      <c r="A1222" s="243"/>
      <c r="B1222" s="592"/>
      <c r="C1222" s="243" t="s">
        <v>140</v>
      </c>
      <c r="D1222" s="243" t="s">
        <v>343</v>
      </c>
      <c r="E1222" s="65" t="s">
        <v>344</v>
      </c>
      <c r="F1222" s="65" t="s">
        <v>482</v>
      </c>
      <c r="G1222" s="65" t="s">
        <v>483</v>
      </c>
      <c r="H1222" s="65" t="s">
        <v>232</v>
      </c>
      <c r="I1222" s="65" t="s">
        <v>171</v>
      </c>
    </row>
    <row r="1223" spans="1:9">
      <c r="A1223" s="243" t="s">
        <v>172</v>
      </c>
      <c r="B1223" s="592" t="s">
        <v>189</v>
      </c>
      <c r="C1223" s="346">
        <v>1</v>
      </c>
      <c r="D1223" s="243" t="s">
        <v>583</v>
      </c>
      <c r="E1223" s="65">
        <f>+H1226*0.05</f>
        <v>228.63529927272731</v>
      </c>
      <c r="F1223" s="65"/>
      <c r="G1223" s="65"/>
      <c r="H1223" s="65"/>
      <c r="I1223" s="65">
        <f>+E1223*C1223</f>
        <v>228.63529927272731</v>
      </c>
    </row>
    <row r="1224" spans="1:9">
      <c r="A1224" s="243" t="s">
        <v>439</v>
      </c>
      <c r="B1224" s="592" t="s">
        <v>4114</v>
      </c>
      <c r="C1224" s="709">
        <v>6</v>
      </c>
      <c r="D1224" s="243" t="s">
        <v>650</v>
      </c>
      <c r="E1224" s="65">
        <v>54000</v>
      </c>
      <c r="F1224" s="65"/>
      <c r="G1224" s="65">
        <f>+E1224/C1224</f>
        <v>9000</v>
      </c>
      <c r="H1224" s="65"/>
      <c r="I1224" s="65"/>
    </row>
    <row r="1225" spans="1:9">
      <c r="A1225" s="243" t="s">
        <v>348</v>
      </c>
      <c r="B1225" s="592" t="str">
        <f>IF(PRESTA&gt;0,"AYUD. RASO (INCLUYE "&amp;""&amp;PRESTA*100&amp;"% PRESTACIONES)",0)</f>
        <v>AYUD. RASO (INCLUYE 82,22% PRESTACIONES)</v>
      </c>
      <c r="C1225" s="346">
        <v>9.0909090909090912E-2</v>
      </c>
      <c r="D1225" s="243" t="s">
        <v>346</v>
      </c>
      <c r="E1225" s="65">
        <f>+AYUDR</f>
        <v>50299.76584</v>
      </c>
      <c r="F1225" s="65"/>
      <c r="G1225" s="65"/>
      <c r="H1225" s="65">
        <f>+E1225*C1225</f>
        <v>4572.705985454546</v>
      </c>
      <c r="I1225" s="65"/>
    </row>
    <row r="1226" spans="1:9">
      <c r="A1226" s="587" t="s">
        <v>190</v>
      </c>
      <c r="B1226" s="588">
        <f>SUM(F1226:I1226)</f>
        <v>13801.341284727274</v>
      </c>
      <c r="C1226" s="160"/>
      <c r="D1226" s="243"/>
      <c r="E1226" s="65"/>
      <c r="F1226" s="65">
        <f>+SUM(F1223:F1225)</f>
        <v>0</v>
      </c>
      <c r="G1226" s="65">
        <f>+SUM(G1223:G1225)</f>
        <v>9000</v>
      </c>
      <c r="H1226" s="65">
        <f>+SUM(H1223:H1225)</f>
        <v>4572.705985454546</v>
      </c>
      <c r="I1226" s="65">
        <f>+SUM(I1223:I1225)</f>
        <v>228.63529927272731</v>
      </c>
    </row>
    <row r="1227" spans="1:9">
      <c r="A1227" s="587" t="s">
        <v>191</v>
      </c>
      <c r="B1227" s="39">
        <f>+B1226</f>
        <v>13801.341284727274</v>
      </c>
      <c r="C1227" s="688" t="s">
        <v>1002</v>
      </c>
      <c r="D1227" s="178"/>
      <c r="E1227" s="685"/>
      <c r="F1227" s="685"/>
      <c r="G1227" s="685"/>
      <c r="H1227" s="685"/>
      <c r="I1227" s="685"/>
    </row>
    <row r="1228" spans="1:9">
      <c r="A1228" s="73"/>
      <c r="B1228" s="764"/>
      <c r="C1228" s="765"/>
      <c r="D1228" s="13"/>
      <c r="E1228" s="673"/>
      <c r="F1228" s="673"/>
      <c r="G1228" s="673"/>
      <c r="H1228" s="673"/>
      <c r="I1228" s="673"/>
    </row>
    <row r="1229" spans="1:9">
      <c r="A1229" s="594" t="s">
        <v>8648</v>
      </c>
      <c r="B1229" s="3558" t="s">
        <v>4115</v>
      </c>
      <c r="C1229" s="3558"/>
      <c r="D1229" s="3558"/>
      <c r="E1229" s="3558"/>
      <c r="F1229" s="3558"/>
      <c r="G1229" s="3558"/>
      <c r="H1229" s="3558"/>
      <c r="I1229" s="3558"/>
    </row>
    <row r="1230" spans="1:9">
      <c r="A1230" s="470"/>
      <c r="B1230" s="689"/>
      <c r="C1230" s="34" t="s">
        <v>140</v>
      </c>
      <c r="D1230" s="2" t="s">
        <v>343</v>
      </c>
      <c r="E1230" s="585" t="s">
        <v>344</v>
      </c>
      <c r="F1230" s="585" t="s">
        <v>482</v>
      </c>
      <c r="G1230" s="585" t="s">
        <v>483</v>
      </c>
      <c r="H1230" s="585" t="s">
        <v>232</v>
      </c>
      <c r="I1230" s="585" t="s">
        <v>171</v>
      </c>
    </row>
    <row r="1231" spans="1:9">
      <c r="A1231" s="470" t="s">
        <v>172</v>
      </c>
      <c r="B1231" s="670" t="s">
        <v>189</v>
      </c>
      <c r="C1231" s="370">
        <v>1</v>
      </c>
      <c r="D1231" s="243" t="s">
        <v>583</v>
      </c>
      <c r="E1231" s="65">
        <f>+H1236*0.05</f>
        <v>1823.3665117</v>
      </c>
      <c r="F1231" s="65"/>
      <c r="G1231" s="65"/>
      <c r="H1231" s="65"/>
      <c r="I1231" s="65">
        <f>+E1231*C1231</f>
        <v>1823.3665117</v>
      </c>
    </row>
    <row r="1232" spans="1:9">
      <c r="A1232" s="470" t="s">
        <v>464</v>
      </c>
      <c r="B1232" s="670" t="s">
        <v>582</v>
      </c>
      <c r="C1232" s="370">
        <v>11</v>
      </c>
      <c r="D1232" s="243" t="s">
        <v>583</v>
      </c>
      <c r="E1232" s="65">
        <f>+TRANS</f>
        <v>1350</v>
      </c>
      <c r="F1232" s="65"/>
      <c r="G1232" s="65"/>
      <c r="H1232" s="65"/>
      <c r="I1232" s="65">
        <f>+E1232*C1232</f>
        <v>14850</v>
      </c>
    </row>
    <row r="1233" spans="1:9">
      <c r="A1233" s="470" t="s">
        <v>345</v>
      </c>
      <c r="B1233" s="670" t="str">
        <f>IF(PRESTA&gt;0,"OFICIAL (INCLUYE "&amp;""&amp;PRESTA*100&amp;"% PRESTACIONES)",0)</f>
        <v>OFICIAL (INCLUYE 82,22% PRESTACIONES)</v>
      </c>
      <c r="C1233" s="370">
        <v>0.25</v>
      </c>
      <c r="D1233" s="243" t="s">
        <v>346</v>
      </c>
      <c r="E1233" s="65">
        <f>+OFICI</f>
        <v>80479.625344</v>
      </c>
      <c r="F1233" s="65"/>
      <c r="G1233" s="65"/>
      <c r="H1233" s="65">
        <f>+E1233*C1233</f>
        <v>20119.906336</v>
      </c>
      <c r="I1233" s="65"/>
    </row>
    <row r="1234" spans="1:9">
      <c r="A1234" s="470" t="s">
        <v>347</v>
      </c>
      <c r="B1234" s="670" t="str">
        <f>IF(PRESTA&gt;0,"AYUD. ENTENDIDO (INCLUYE "&amp;""&amp;PRESTA*100&amp;"% PRESTACIONES)",0)</f>
        <v>AYUD. ENTENDIDO (INCLUYE 82,22% PRESTACIONES)</v>
      </c>
      <c r="C1234" s="370">
        <v>0.25</v>
      </c>
      <c r="D1234" s="243" t="s">
        <v>346</v>
      </c>
      <c r="E1234" s="65">
        <f>+AYUDA</f>
        <v>65389.695592000004</v>
      </c>
      <c r="F1234" s="65"/>
      <c r="G1234" s="65"/>
      <c r="H1234" s="65">
        <f>+E1234*C1234</f>
        <v>16347.423898000001</v>
      </c>
      <c r="I1234" s="65"/>
    </row>
    <row r="1235" spans="1:9">
      <c r="A1235" s="470" t="s">
        <v>91</v>
      </c>
      <c r="B1235" s="670" t="s">
        <v>3870</v>
      </c>
      <c r="C1235" s="370">
        <v>1.1000000000000001</v>
      </c>
      <c r="D1235" s="243" t="s">
        <v>356</v>
      </c>
      <c r="E1235" s="65">
        <f>+CT140KG</f>
        <v>364500.62422489998</v>
      </c>
      <c r="F1235" s="65"/>
      <c r="G1235" s="65">
        <f>+E1235*C1235</f>
        <v>400950.68664739002</v>
      </c>
      <c r="H1235" s="65"/>
      <c r="I1235" s="65"/>
    </row>
    <row r="1236" spans="1:9">
      <c r="A1236" s="20" t="s">
        <v>190</v>
      </c>
      <c r="B1236" s="39">
        <f>SUM(F1236:I1236)</f>
        <v>454091.38339308999</v>
      </c>
      <c r="C1236" s="370"/>
      <c r="D1236" s="243"/>
      <c r="E1236" s="65"/>
      <c r="F1236" s="65">
        <f>+SUM(F1231:F1235)</f>
        <v>0</v>
      </c>
      <c r="G1236" s="65">
        <f>+SUM(G1231:G1235)</f>
        <v>400950.68664739002</v>
      </c>
      <c r="H1236" s="65">
        <f>+SUM(H1231:H1235)</f>
        <v>36467.330234000001</v>
      </c>
      <c r="I1236" s="65">
        <f>+SUM(I1231:I1235)</f>
        <v>16673.366511699998</v>
      </c>
    </row>
    <row r="1237" spans="1:9">
      <c r="A1237" s="20" t="s">
        <v>191</v>
      </c>
      <c r="B1237" s="39">
        <f>+B1236</f>
        <v>454091.38339308999</v>
      </c>
      <c r="C1237" s="21" t="s">
        <v>356</v>
      </c>
      <c r="D1237" s="31"/>
      <c r="E1237" s="590"/>
      <c r="F1237" s="590"/>
      <c r="G1237" s="590"/>
      <c r="H1237" s="590"/>
      <c r="I1237" s="590"/>
    </row>
    <row r="1238" spans="1:9">
      <c r="B1238" s="178"/>
      <c r="C1238" s="178"/>
      <c r="D1238" s="178"/>
      <c r="E1238" s="178"/>
      <c r="F1238" s="178"/>
      <c r="G1238" s="178"/>
      <c r="H1238" s="178"/>
      <c r="I1238" s="178"/>
    </row>
    <row r="1239" spans="1:9">
      <c r="A1239" s="594" t="s">
        <v>8649</v>
      </c>
      <c r="B1239" s="3547" t="s">
        <v>1422</v>
      </c>
      <c r="C1239" s="3548"/>
      <c r="D1239" s="3548"/>
      <c r="E1239" s="3548"/>
      <c r="F1239" s="3548"/>
      <c r="G1239" s="3548"/>
      <c r="H1239" s="3548"/>
      <c r="I1239" s="3549"/>
    </row>
    <row r="1240" spans="1:9">
      <c r="A1240" s="470"/>
      <c r="B1240" s="670"/>
      <c r="C1240" s="34" t="s">
        <v>140</v>
      </c>
      <c r="D1240" s="2" t="s">
        <v>343</v>
      </c>
      <c r="E1240" s="585" t="s">
        <v>344</v>
      </c>
      <c r="F1240" s="585" t="s">
        <v>482</v>
      </c>
      <c r="G1240" s="585" t="s">
        <v>483</v>
      </c>
      <c r="H1240" s="585" t="s">
        <v>232</v>
      </c>
      <c r="I1240" s="585" t="s">
        <v>171</v>
      </c>
    </row>
    <row r="1241" spans="1:9">
      <c r="A1241" s="470" t="s">
        <v>256</v>
      </c>
      <c r="B1241" s="670" t="s">
        <v>257</v>
      </c>
      <c r="C1241" s="370">
        <v>36</v>
      </c>
      <c r="D1241" s="243" t="s">
        <v>346</v>
      </c>
      <c r="E1241" s="65">
        <f>+TACOM</f>
        <v>538</v>
      </c>
      <c r="F1241" s="65">
        <f>+E1241*C1241</f>
        <v>19368</v>
      </c>
      <c r="G1241" s="65"/>
      <c r="H1241" s="65"/>
      <c r="I1241" s="65"/>
    </row>
    <row r="1242" spans="1:9">
      <c r="A1242" s="470" t="s">
        <v>258</v>
      </c>
      <c r="B1242" s="670" t="s">
        <v>259</v>
      </c>
      <c r="C1242" s="370">
        <v>0.125</v>
      </c>
      <c r="D1242" s="243" t="s">
        <v>717</v>
      </c>
      <c r="E1242" s="65">
        <f>+VIBRE</f>
        <v>25520</v>
      </c>
      <c r="F1242" s="65">
        <f>+E1242*C1242</f>
        <v>3190</v>
      </c>
      <c r="G1242" s="65"/>
      <c r="H1242" s="65"/>
      <c r="I1242" s="65"/>
    </row>
    <row r="1243" spans="1:9">
      <c r="A1243" s="470" t="s">
        <v>172</v>
      </c>
      <c r="B1243" s="670" t="s">
        <v>189</v>
      </c>
      <c r="C1243" s="370">
        <v>1</v>
      </c>
      <c r="D1243" s="243" t="s">
        <v>583</v>
      </c>
      <c r="E1243" s="65">
        <f>+H1253*0.05</f>
        <v>6004.5345471500004</v>
      </c>
      <c r="F1243" s="65"/>
      <c r="G1243" s="65"/>
      <c r="H1243" s="65"/>
      <c r="I1243" s="65">
        <f>+E1243*C1243</f>
        <v>6004.5345471500004</v>
      </c>
    </row>
    <row r="1244" spans="1:9">
      <c r="A1244" s="470" t="s">
        <v>248</v>
      </c>
      <c r="B1244" s="670" t="s">
        <v>249</v>
      </c>
      <c r="C1244" s="370">
        <v>0.8</v>
      </c>
      <c r="D1244" s="243" t="s">
        <v>363</v>
      </c>
      <c r="E1244" s="65">
        <f>+TELEP</f>
        <v>15000</v>
      </c>
      <c r="F1244" s="65">
        <f>+E1244*C1244</f>
        <v>12000</v>
      </c>
      <c r="G1244" s="65"/>
      <c r="H1244" s="65"/>
      <c r="I1244" s="65"/>
    </row>
    <row r="1245" spans="1:9">
      <c r="A1245" s="470" t="s">
        <v>250</v>
      </c>
      <c r="B1245" s="670" t="s">
        <v>251</v>
      </c>
      <c r="C1245" s="370">
        <v>2</v>
      </c>
      <c r="D1245" s="243" t="s">
        <v>647</v>
      </c>
      <c r="E1245" s="65">
        <f>+PLAST</f>
        <v>8896</v>
      </c>
      <c r="F1245" s="65"/>
      <c r="G1245" s="65">
        <f>+E1245*C1245</f>
        <v>17792</v>
      </c>
      <c r="H1245" s="65"/>
      <c r="I1245" s="65"/>
    </row>
    <row r="1246" spans="1:9">
      <c r="A1246" s="470" t="s">
        <v>261</v>
      </c>
      <c r="B1246" s="670" t="s">
        <v>262</v>
      </c>
      <c r="C1246" s="370">
        <v>4</v>
      </c>
      <c r="D1246" s="243" t="s">
        <v>363</v>
      </c>
      <c r="E1246" s="65">
        <f>+TACOR</f>
        <v>3366</v>
      </c>
      <c r="F1246" s="65"/>
      <c r="G1246" s="65">
        <f>+E1246*C1246</f>
        <v>13464</v>
      </c>
      <c r="H1246" s="65"/>
      <c r="I1246" s="65"/>
    </row>
    <row r="1247" spans="1:9">
      <c r="A1247" s="470" t="s">
        <v>263</v>
      </c>
      <c r="B1247" s="670" t="s">
        <v>264</v>
      </c>
      <c r="C1247" s="370">
        <v>3</v>
      </c>
      <c r="D1247" s="243" t="s">
        <v>374</v>
      </c>
      <c r="E1247" s="65">
        <f>+PUNTI</f>
        <v>1632</v>
      </c>
      <c r="F1247" s="65"/>
      <c r="G1247" s="65">
        <f>+E1247*C1247</f>
        <v>4896</v>
      </c>
      <c r="H1247" s="65"/>
      <c r="I1247" s="65"/>
    </row>
    <row r="1248" spans="1:9">
      <c r="A1248" s="470" t="s">
        <v>464</v>
      </c>
      <c r="B1248" s="670" t="s">
        <v>582</v>
      </c>
      <c r="C1248" s="370">
        <v>13</v>
      </c>
      <c r="D1248" s="243" t="s">
        <v>583</v>
      </c>
      <c r="E1248" s="65">
        <f>+TRANS</f>
        <v>1350</v>
      </c>
      <c r="F1248" s="65"/>
      <c r="G1248" s="65"/>
      <c r="H1248" s="65"/>
      <c r="I1248" s="65">
        <f>+E1248*C1248</f>
        <v>17550</v>
      </c>
    </row>
    <row r="1249" spans="1:9">
      <c r="A1249" s="470" t="s">
        <v>345</v>
      </c>
      <c r="B1249" s="670" t="str">
        <f>IF(PRESTA&gt;0,"OFICIAL (INCLUYE "&amp;""&amp;PRESTA*100&amp;"% PRESTACIONES)",0)</f>
        <v>OFICIAL (INCLUYE 82,22% PRESTACIONES)</v>
      </c>
      <c r="C1249" s="370">
        <v>0.25</v>
      </c>
      <c r="D1249" s="243" t="s">
        <v>346</v>
      </c>
      <c r="E1249" s="65">
        <f>+OFICI</f>
        <v>80479.625344</v>
      </c>
      <c r="F1249" s="65"/>
      <c r="G1249" s="65"/>
      <c r="H1249" s="65">
        <f>+E1249*C1249</f>
        <v>20119.906336</v>
      </c>
      <c r="I1249" s="65"/>
    </row>
    <row r="1250" spans="1:9">
      <c r="A1250" s="470" t="s">
        <v>347</v>
      </c>
      <c r="B1250" s="670" t="str">
        <f>IF(PRESTA&gt;0,"AYUD. ENTENDIDO (INCLUYE "&amp;""&amp;PRESTA*100&amp;"% PRESTACIONES)",0)</f>
        <v>AYUD. ENTENDIDO (INCLUYE 82,22% PRESTACIONES)</v>
      </c>
      <c r="C1250" s="370">
        <v>0.375</v>
      </c>
      <c r="D1250" s="243" t="s">
        <v>346</v>
      </c>
      <c r="E1250" s="65">
        <f>+AYUDA</f>
        <v>65389.695592000004</v>
      </c>
      <c r="F1250" s="65"/>
      <c r="G1250" s="65"/>
      <c r="H1250" s="65">
        <f>+E1250*C1250</f>
        <v>24521.135847000001</v>
      </c>
      <c r="I1250" s="65"/>
    </row>
    <row r="1251" spans="1:9">
      <c r="A1251" s="470" t="s">
        <v>348</v>
      </c>
      <c r="B1251" s="670" t="str">
        <f>IF(PRESTA&gt;0,"AYUD. RASO (INCLUYE "&amp;""&amp;PRESTA*100&amp;"% PRESTACIONES)",0)</f>
        <v>AYUD. RASO (INCLUYE 82,22% PRESTACIONES)</v>
      </c>
      <c r="C1251" s="370">
        <v>1.5</v>
      </c>
      <c r="D1251" s="243" t="s">
        <v>346</v>
      </c>
      <c r="E1251" s="65">
        <f>+AYUDR</f>
        <v>50299.76584</v>
      </c>
      <c r="F1251" s="65"/>
      <c r="G1251" s="65"/>
      <c r="H1251" s="65">
        <f>+E1251*C1251</f>
        <v>75449.648759999996</v>
      </c>
      <c r="I1251" s="65"/>
    </row>
    <row r="1252" spans="1:9">
      <c r="A1252" s="470" t="s">
        <v>302</v>
      </c>
      <c r="B1252" s="670" t="s">
        <v>3872</v>
      </c>
      <c r="C1252" s="370">
        <v>1.1000000000000001</v>
      </c>
      <c r="D1252" s="2" t="s">
        <v>356</v>
      </c>
      <c r="E1252" s="65">
        <f>+CT245KG</f>
        <v>469469.49922490004</v>
      </c>
      <c r="F1252" s="65"/>
      <c r="G1252" s="65">
        <f>+E1252*C1252</f>
        <v>516416.44914739009</v>
      </c>
      <c r="H1252" s="65"/>
      <c r="I1252" s="65"/>
    </row>
    <row r="1253" spans="1:9">
      <c r="A1253" s="20" t="s">
        <v>190</v>
      </c>
      <c r="B1253" s="39">
        <f>SUM(F1253:I1253)</f>
        <v>730771.67463754013</v>
      </c>
      <c r="C1253" s="370"/>
      <c r="D1253" s="243"/>
      <c r="E1253" s="65"/>
      <c r="F1253" s="65">
        <f>SUM(F1241:F1252)</f>
        <v>34558</v>
      </c>
      <c r="G1253" s="65">
        <f>SUM(G1241:G1252)</f>
        <v>552568.44914739009</v>
      </c>
      <c r="H1253" s="65">
        <f>SUM(H1241:H1252)</f>
        <v>120090.69094299999</v>
      </c>
      <c r="I1253" s="65">
        <f>SUM(I1241:I1252)</f>
        <v>23554.53454715</v>
      </c>
    </row>
    <row r="1254" spans="1:9">
      <c r="A1254" s="587" t="s">
        <v>191</v>
      </c>
      <c r="B1254" s="752">
        <f>+B1253</f>
        <v>730771.67463754013</v>
      </c>
      <c r="C1254" s="681" t="s">
        <v>356</v>
      </c>
      <c r="D1254" s="766"/>
      <c r="E1254" s="767"/>
      <c r="F1254" s="767"/>
      <c r="G1254" s="767"/>
      <c r="H1254" s="767"/>
      <c r="I1254" s="767"/>
    </row>
    <row r="1255" spans="1:9">
      <c r="A1255" s="702"/>
      <c r="B1255" s="703"/>
      <c r="C1255" s="252"/>
      <c r="D1255" s="13"/>
      <c r="E1255" s="170"/>
      <c r="F1255" s="170"/>
      <c r="G1255" s="3886"/>
      <c r="H1255" s="3886"/>
      <c r="I1255" s="170"/>
    </row>
    <row r="1256" spans="1:9">
      <c r="A1256" s="594" t="s">
        <v>8650</v>
      </c>
      <c r="B1256" s="3547" t="s">
        <v>1423</v>
      </c>
      <c r="C1256" s="3548"/>
      <c r="D1256" s="3548"/>
      <c r="E1256" s="3548"/>
      <c r="F1256" s="3548"/>
      <c r="G1256" s="3548"/>
      <c r="H1256" s="3548"/>
      <c r="I1256" s="3549"/>
    </row>
    <row r="1257" spans="1:9">
      <c r="A1257" s="470"/>
      <c r="B1257" s="670"/>
      <c r="C1257" s="34" t="s">
        <v>140</v>
      </c>
      <c r="D1257" s="2" t="s">
        <v>343</v>
      </c>
      <c r="E1257" s="585" t="s">
        <v>344</v>
      </c>
      <c r="F1257" s="585" t="s">
        <v>482</v>
      </c>
      <c r="G1257" s="585" t="s">
        <v>483</v>
      </c>
      <c r="H1257" s="585" t="s">
        <v>232</v>
      </c>
      <c r="I1257" s="585" t="s">
        <v>171</v>
      </c>
    </row>
    <row r="1258" spans="1:9">
      <c r="A1258" s="470" t="s">
        <v>256</v>
      </c>
      <c r="B1258" s="670" t="s">
        <v>257</v>
      </c>
      <c r="C1258" s="370">
        <v>36</v>
      </c>
      <c r="D1258" s="243" t="s">
        <v>346</v>
      </c>
      <c r="E1258" s="65">
        <f>+TACOM</f>
        <v>538</v>
      </c>
      <c r="F1258" s="65">
        <f>+E1258*C1258</f>
        <v>19368</v>
      </c>
      <c r="G1258" s="65"/>
      <c r="H1258" s="65"/>
      <c r="I1258" s="65"/>
    </row>
    <row r="1259" spans="1:9">
      <c r="A1259" s="470" t="s">
        <v>258</v>
      </c>
      <c r="B1259" s="670" t="s">
        <v>259</v>
      </c>
      <c r="C1259" s="370">
        <v>0.125</v>
      </c>
      <c r="D1259" s="243" t="s">
        <v>717</v>
      </c>
      <c r="E1259" s="65">
        <f>+VIBRE</f>
        <v>25520</v>
      </c>
      <c r="F1259" s="65">
        <f>+E1259*C1259</f>
        <v>3190</v>
      </c>
      <c r="G1259" s="65"/>
      <c r="H1259" s="65"/>
      <c r="I1259" s="65"/>
    </row>
    <row r="1260" spans="1:9">
      <c r="A1260" s="470" t="s">
        <v>172</v>
      </c>
      <c r="B1260" s="670" t="s">
        <v>189</v>
      </c>
      <c r="C1260" s="370">
        <v>1</v>
      </c>
      <c r="D1260" s="243" t="s">
        <v>583</v>
      </c>
      <c r="E1260" s="65">
        <f>+H1270*0.05</f>
        <v>6865.9180371600005</v>
      </c>
      <c r="F1260" s="65"/>
      <c r="G1260" s="65"/>
      <c r="H1260" s="65"/>
      <c r="I1260" s="65">
        <f>+E1260*C1260</f>
        <v>6865.9180371600005</v>
      </c>
    </row>
    <row r="1261" spans="1:9">
      <c r="A1261" s="470" t="s">
        <v>248</v>
      </c>
      <c r="B1261" s="670" t="s">
        <v>249</v>
      </c>
      <c r="C1261" s="370">
        <v>0.8</v>
      </c>
      <c r="D1261" s="243" t="s">
        <v>363</v>
      </c>
      <c r="E1261" s="65">
        <f>+TELEP</f>
        <v>15000</v>
      </c>
      <c r="F1261" s="65">
        <f>+E1261*C1261</f>
        <v>12000</v>
      </c>
      <c r="G1261" s="65"/>
      <c r="H1261" s="65"/>
      <c r="I1261" s="65"/>
    </row>
    <row r="1262" spans="1:9">
      <c r="A1262" s="470" t="s">
        <v>250</v>
      </c>
      <c r="B1262" s="670" t="s">
        <v>251</v>
      </c>
      <c r="C1262" s="370">
        <v>2</v>
      </c>
      <c r="D1262" s="243" t="s">
        <v>647</v>
      </c>
      <c r="E1262" s="65">
        <f>+PLAST</f>
        <v>8896</v>
      </c>
      <c r="F1262" s="65"/>
      <c r="G1262" s="65">
        <f>+E1262*C1262</f>
        <v>17792</v>
      </c>
      <c r="H1262" s="65"/>
      <c r="I1262" s="65"/>
    </row>
    <row r="1263" spans="1:9">
      <c r="A1263" s="470" t="s">
        <v>261</v>
      </c>
      <c r="B1263" s="670" t="s">
        <v>262</v>
      </c>
      <c r="C1263" s="370">
        <v>4</v>
      </c>
      <c r="D1263" s="243" t="s">
        <v>363</v>
      </c>
      <c r="E1263" s="65">
        <f>+TACOR</f>
        <v>3366</v>
      </c>
      <c r="F1263" s="65"/>
      <c r="G1263" s="65">
        <f>+E1263*C1263</f>
        <v>13464</v>
      </c>
      <c r="H1263" s="65"/>
      <c r="I1263" s="65"/>
    </row>
    <row r="1264" spans="1:9">
      <c r="A1264" s="470" t="s">
        <v>263</v>
      </c>
      <c r="B1264" s="670" t="s">
        <v>264</v>
      </c>
      <c r="C1264" s="370">
        <v>3</v>
      </c>
      <c r="D1264" s="243" t="s">
        <v>374</v>
      </c>
      <c r="E1264" s="65">
        <f>+PUNTI</f>
        <v>1632</v>
      </c>
      <c r="F1264" s="65"/>
      <c r="G1264" s="65">
        <f>+E1264*C1264</f>
        <v>4896</v>
      </c>
      <c r="H1264" s="65"/>
      <c r="I1264" s="65"/>
    </row>
    <row r="1265" spans="1:9">
      <c r="A1265" s="470" t="s">
        <v>464</v>
      </c>
      <c r="B1265" s="670" t="s">
        <v>582</v>
      </c>
      <c r="C1265" s="370">
        <v>11</v>
      </c>
      <c r="D1265" s="243" t="s">
        <v>583</v>
      </c>
      <c r="E1265" s="65">
        <f>+TRANS</f>
        <v>1350</v>
      </c>
      <c r="F1265" s="65"/>
      <c r="G1265" s="65"/>
      <c r="H1265" s="65"/>
      <c r="I1265" s="65">
        <f>+E1265*C1265</f>
        <v>14850</v>
      </c>
    </row>
    <row r="1266" spans="1:9">
      <c r="A1266" s="470" t="s">
        <v>345</v>
      </c>
      <c r="B1266" s="670" t="str">
        <f>IF(PRESTA&gt;0,"OFICIAL (INCLUYE "&amp;""&amp;PRESTA*100&amp;"% PRESTACIONES)",0)</f>
        <v>OFICIAL (INCLUYE 82,22% PRESTACIONES)</v>
      </c>
      <c r="C1266" s="370">
        <v>0.7</v>
      </c>
      <c r="D1266" s="243" t="s">
        <v>346</v>
      </c>
      <c r="E1266" s="65">
        <f>+OFICI</f>
        <v>80479.625344</v>
      </c>
      <c r="F1266" s="65"/>
      <c r="G1266" s="65"/>
      <c r="H1266" s="65">
        <f>+E1266*C1266</f>
        <v>56335.737740799996</v>
      </c>
      <c r="I1266" s="65"/>
    </row>
    <row r="1267" spans="1:9">
      <c r="A1267" s="470" t="s">
        <v>347</v>
      </c>
      <c r="B1267" s="670" t="str">
        <f>IF(PRESTA&gt;0,"AYUD. ENTENDIDO (INCLUYE "&amp;""&amp;PRESTA*100&amp;"% PRESTACIONES)",0)</f>
        <v>AYUD. ENTENDIDO (INCLUYE 82,22% PRESTACIONES)</v>
      </c>
      <c r="C1267" s="370">
        <f>+C1266</f>
        <v>0.7</v>
      </c>
      <c r="D1267" s="243" t="s">
        <v>346</v>
      </c>
      <c r="E1267" s="65">
        <f>+AYUDA</f>
        <v>65389.695592000004</v>
      </c>
      <c r="F1267" s="65"/>
      <c r="G1267" s="65"/>
      <c r="H1267" s="65">
        <f>+E1267*C1267</f>
        <v>45772.7869144</v>
      </c>
      <c r="I1267" s="65"/>
    </row>
    <row r="1268" spans="1:9">
      <c r="A1268" s="470" t="s">
        <v>348</v>
      </c>
      <c r="B1268" s="670" t="str">
        <f>IF(PRESTA&gt;0,"AYUD. RASO (INCLUYE "&amp;""&amp;PRESTA*100&amp;"% PRESTACIONES)",0)</f>
        <v>AYUD. RASO (INCLUYE 82,22% PRESTACIONES)</v>
      </c>
      <c r="C1268" s="370">
        <f>+C1267</f>
        <v>0.7</v>
      </c>
      <c r="D1268" s="243" t="s">
        <v>346</v>
      </c>
      <c r="E1268" s="65">
        <f>+AYUDR</f>
        <v>50299.76584</v>
      </c>
      <c r="F1268" s="65"/>
      <c r="G1268" s="65"/>
      <c r="H1268" s="65">
        <f>+E1268*C1268</f>
        <v>35209.836087999996</v>
      </c>
      <c r="I1268" s="65"/>
    </row>
    <row r="1269" spans="1:9">
      <c r="A1269" s="470" t="s">
        <v>302</v>
      </c>
      <c r="B1269" s="670" t="s">
        <v>3872</v>
      </c>
      <c r="C1269" s="370">
        <v>1.1000000000000001</v>
      </c>
      <c r="D1269" s="2" t="s">
        <v>356</v>
      </c>
      <c r="E1269" s="65">
        <f>+CT245KG</f>
        <v>469469.49922490004</v>
      </c>
      <c r="F1269" s="65"/>
      <c r="G1269" s="65">
        <f>+E1269*C1269</f>
        <v>516416.44914739009</v>
      </c>
      <c r="H1269" s="65"/>
      <c r="I1269" s="65"/>
    </row>
    <row r="1270" spans="1:9">
      <c r="A1270" s="20" t="s">
        <v>190</v>
      </c>
      <c r="B1270" s="39">
        <f>SUM(F1270:I1270)</f>
        <v>746160.72792775009</v>
      </c>
      <c r="C1270" s="370"/>
      <c r="D1270" s="243"/>
      <c r="E1270" s="65"/>
      <c r="F1270" s="65">
        <f>SUM(F1258:F1269)</f>
        <v>34558</v>
      </c>
      <c r="G1270" s="65">
        <f>SUM(G1258:G1269)</f>
        <v>552568.44914739009</v>
      </c>
      <c r="H1270" s="65">
        <f>SUM(H1258:H1269)</f>
        <v>137318.3607432</v>
      </c>
      <c r="I1270" s="65">
        <f>SUM(I1258:I1269)</f>
        <v>21715.918037160001</v>
      </c>
    </row>
    <row r="1271" spans="1:9">
      <c r="A1271" s="587" t="s">
        <v>191</v>
      </c>
      <c r="B1271" s="752">
        <f>+B1270</f>
        <v>746160.72792775009</v>
      </c>
      <c r="C1271" s="681" t="s">
        <v>356</v>
      </c>
      <c r="D1271" s="766"/>
      <c r="E1271" s="767"/>
      <c r="F1271" s="767"/>
      <c r="G1271" s="767"/>
      <c r="H1271" s="767"/>
      <c r="I1271" s="767"/>
    </row>
    <row r="1272" spans="1:9">
      <c r="A1272" s="702"/>
      <c r="B1272" s="703"/>
      <c r="C1272" s="252"/>
      <c r="D1272" s="13"/>
      <c r="E1272" s="170"/>
      <c r="F1272" s="170"/>
      <c r="G1272" s="3887"/>
      <c r="H1272" s="3887"/>
      <c r="I1272" s="170"/>
    </row>
    <row r="1273" spans="1:9">
      <c r="A1273" s="680" t="s">
        <v>8651</v>
      </c>
      <c r="B1273" s="3888" t="s">
        <v>4116</v>
      </c>
      <c r="C1273" s="3888"/>
      <c r="D1273" s="3888"/>
      <c r="E1273" s="3888"/>
      <c r="F1273" s="3888"/>
      <c r="G1273" s="3888"/>
      <c r="H1273" s="3888"/>
      <c r="I1273" s="3888"/>
    </row>
    <row r="1274" spans="1:9">
      <c r="A1274" s="470"/>
      <c r="B1274" s="670"/>
      <c r="C1274" s="34" t="s">
        <v>140</v>
      </c>
      <c r="D1274" s="2" t="s">
        <v>343</v>
      </c>
      <c r="E1274" s="585" t="s">
        <v>344</v>
      </c>
      <c r="F1274" s="585" t="s">
        <v>482</v>
      </c>
      <c r="G1274" s="585" t="s">
        <v>483</v>
      </c>
      <c r="H1274" s="585" t="s">
        <v>232</v>
      </c>
      <c r="I1274" s="585" t="s">
        <v>171</v>
      </c>
    </row>
    <row r="1275" spans="1:9">
      <c r="A1275" s="470" t="s">
        <v>172</v>
      </c>
      <c r="B1275" s="670" t="s">
        <v>189</v>
      </c>
      <c r="C1275" s="370">
        <v>1</v>
      </c>
      <c r="D1275" s="243" t="s">
        <v>583</v>
      </c>
      <c r="E1275" s="65">
        <f>+H1281*0.05</f>
        <v>59.25941163025</v>
      </c>
      <c r="F1275" s="65"/>
      <c r="G1275" s="65"/>
      <c r="H1275" s="65"/>
      <c r="I1275" s="65">
        <f>+E1275*C1275</f>
        <v>59.25941163025</v>
      </c>
    </row>
    <row r="1276" spans="1:9">
      <c r="A1276" s="470" t="s">
        <v>865</v>
      </c>
      <c r="B1276" s="670" t="s">
        <v>866</v>
      </c>
      <c r="C1276" s="370">
        <v>0.04</v>
      </c>
      <c r="D1276" s="243" t="s">
        <v>647</v>
      </c>
      <c r="E1276" s="65">
        <f>+ALANR</f>
        <v>3000</v>
      </c>
      <c r="F1276" s="65"/>
      <c r="G1276" s="65">
        <f>+E1276*C1276</f>
        <v>120</v>
      </c>
      <c r="H1276" s="65"/>
      <c r="I1276" s="65"/>
    </row>
    <row r="1277" spans="1:9">
      <c r="A1277" s="470" t="s">
        <v>867</v>
      </c>
      <c r="B1277" s="670" t="s">
        <v>96</v>
      </c>
      <c r="C1277" s="370">
        <v>1</v>
      </c>
      <c r="D1277" s="243" t="s">
        <v>647</v>
      </c>
      <c r="E1277" s="65">
        <f>+A60FI</f>
        <v>3200</v>
      </c>
      <c r="F1277" s="65"/>
      <c r="G1277" s="65">
        <f>+E1277*C1277</f>
        <v>3200</v>
      </c>
      <c r="H1277" s="65"/>
      <c r="I1277" s="65"/>
    </row>
    <row r="1278" spans="1:9">
      <c r="A1278" s="243" t="s">
        <v>345</v>
      </c>
      <c r="B1278" s="696" t="str">
        <f>IF(PRESTA&gt;0,"OFICIAL (INCLUYE "&amp;""&amp;PRESTA*100&amp;"% PRESTACIONES)",0)</f>
        <v>OFICIAL (INCLUYE 82,22% PRESTACIONES)</v>
      </c>
      <c r="C1278" s="370">
        <f>0.065/8</f>
        <v>8.1250000000000003E-3</v>
      </c>
      <c r="D1278" s="243" t="s">
        <v>346</v>
      </c>
      <c r="E1278" s="65">
        <f>+OFICI</f>
        <v>80479.625344</v>
      </c>
      <c r="F1278" s="65"/>
      <c r="G1278" s="65"/>
      <c r="H1278" s="65">
        <f>+E1278*C1278</f>
        <v>653.89695591999998</v>
      </c>
      <c r="I1278" s="65"/>
    </row>
    <row r="1279" spans="1:9">
      <c r="A1279" s="243" t="s">
        <v>347</v>
      </c>
      <c r="B1279" s="355" t="s">
        <v>754</v>
      </c>
      <c r="C1279" s="370">
        <f>0.065/8</f>
        <v>8.1250000000000003E-3</v>
      </c>
      <c r="D1279" s="243" t="s">
        <v>346</v>
      </c>
      <c r="E1279" s="65">
        <f>+AYUDA</f>
        <v>65389.695592000004</v>
      </c>
      <c r="F1279" s="65"/>
      <c r="G1279" s="65"/>
      <c r="H1279" s="65">
        <f>+E1279*C1279</f>
        <v>531.29127668500007</v>
      </c>
      <c r="I1279" s="65"/>
    </row>
    <row r="1280" spans="1:9">
      <c r="A1280" s="470" t="s">
        <v>584</v>
      </c>
      <c r="B1280" s="670" t="s">
        <v>134</v>
      </c>
      <c r="C1280" s="708">
        <v>2.5000000000000001E-4</v>
      </c>
      <c r="D1280" s="243" t="s">
        <v>583</v>
      </c>
      <c r="E1280" s="65">
        <f>+VIAJE</f>
        <v>1200000</v>
      </c>
      <c r="F1280" s="65"/>
      <c r="G1280" s="65"/>
      <c r="H1280" s="65"/>
      <c r="I1280" s="65">
        <f>+E1280*C1280</f>
        <v>300</v>
      </c>
    </row>
    <row r="1281" spans="1:9">
      <c r="A1281" s="20" t="s">
        <v>190</v>
      </c>
      <c r="B1281" s="39">
        <f>SUM(F1281:I1281)</f>
        <v>4864.4476442352498</v>
      </c>
      <c r="C1281" s="34"/>
      <c r="D1281" s="243"/>
      <c r="E1281" s="65"/>
      <c r="F1281" s="65">
        <f>+SUM(F1275:F1280)</f>
        <v>0</v>
      </c>
      <c r="G1281" s="65">
        <f>+SUM(G1275:G1280)</f>
        <v>3320</v>
      </c>
      <c r="H1281" s="65">
        <f>+SUM(H1275:H1280)</f>
        <v>1185.1882326049999</v>
      </c>
      <c r="I1281" s="65">
        <f>+SUM(I1275:I1280)</f>
        <v>359.25941163024999</v>
      </c>
    </row>
    <row r="1282" spans="1:9">
      <c r="A1282" s="20" t="s">
        <v>191</v>
      </c>
      <c r="B1282" s="752">
        <f>+B1281</f>
        <v>4864.4476442352498</v>
      </c>
      <c r="C1282" s="21" t="s">
        <v>647</v>
      </c>
      <c r="D1282" s="178"/>
      <c r="E1282" s="685"/>
      <c r="F1282" s="685"/>
      <c r="G1282" s="685"/>
      <c r="H1282" s="685"/>
      <c r="I1282" s="685"/>
    </row>
    <row r="1283" spans="1:9">
      <c r="A1283" s="73"/>
      <c r="B1283" s="399"/>
      <c r="C1283" s="317"/>
      <c r="D1283" s="73"/>
      <c r="E1283" s="73"/>
      <c r="F1283" s="73"/>
      <c r="G1283" s="73"/>
      <c r="H1283" s="73"/>
      <c r="I1283" s="73"/>
    </row>
    <row r="1284" spans="1:9">
      <c r="A1284" s="594" t="s">
        <v>8652</v>
      </c>
      <c r="B1284" s="3558" t="s">
        <v>4117</v>
      </c>
      <c r="C1284" s="3558"/>
      <c r="D1284" s="3558"/>
      <c r="E1284" s="3558"/>
      <c r="F1284" s="3558"/>
      <c r="G1284" s="3558"/>
      <c r="H1284" s="3558"/>
      <c r="I1284" s="3558"/>
    </row>
    <row r="1285" spans="1:9">
      <c r="A1285" s="243"/>
      <c r="B1285" s="179"/>
      <c r="C1285" s="243" t="s">
        <v>140</v>
      </c>
      <c r="D1285" s="243" t="s">
        <v>343</v>
      </c>
      <c r="E1285" s="65" t="s">
        <v>344</v>
      </c>
      <c r="F1285" s="65" t="s">
        <v>482</v>
      </c>
      <c r="G1285" s="65" t="s">
        <v>483</v>
      </c>
      <c r="H1285" s="65" t="s">
        <v>170</v>
      </c>
      <c r="I1285" s="65" t="s">
        <v>171</v>
      </c>
    </row>
    <row r="1286" spans="1:9">
      <c r="A1286" s="243" t="s">
        <v>971</v>
      </c>
      <c r="B1286" s="741" t="s">
        <v>973</v>
      </c>
      <c r="C1286" s="243">
        <v>1</v>
      </c>
      <c r="D1286" s="243" t="s">
        <v>94</v>
      </c>
      <c r="E1286" s="65">
        <f>+TNOV6</f>
        <v>26532</v>
      </c>
      <c r="F1286" s="65"/>
      <c r="G1286" s="65">
        <f>+E1286*C1286</f>
        <v>26532</v>
      </c>
      <c r="H1286" s="65"/>
      <c r="I1286" s="65"/>
    </row>
    <row r="1287" spans="1:9" ht="17.399999999999999">
      <c r="A1287" s="243"/>
      <c r="B1287" s="741" t="s">
        <v>332</v>
      </c>
      <c r="C1287" s="243">
        <v>2</v>
      </c>
      <c r="D1287" s="243" t="s">
        <v>1125</v>
      </c>
      <c r="E1287" s="65">
        <v>6005</v>
      </c>
      <c r="F1287" s="65"/>
      <c r="G1287" s="65">
        <f>+C1287*E1287</f>
        <v>12010</v>
      </c>
      <c r="H1287" s="65"/>
      <c r="I1287" s="65"/>
    </row>
    <row r="1288" spans="1:9">
      <c r="A1288" s="243" t="s">
        <v>172</v>
      </c>
      <c r="B1288" s="179" t="s">
        <v>189</v>
      </c>
      <c r="C1288" s="709">
        <v>1</v>
      </c>
      <c r="D1288" s="243" t="s">
        <v>583</v>
      </c>
      <c r="E1288" s="65">
        <f>+H1294*0.05</f>
        <v>817.37119489999998</v>
      </c>
      <c r="F1288" s="65"/>
      <c r="G1288" s="65"/>
      <c r="H1288" s="65"/>
      <c r="I1288" s="65">
        <f>+E1288*C1288</f>
        <v>817.37119489999998</v>
      </c>
    </row>
    <row r="1289" spans="1:9">
      <c r="A1289" s="243" t="s">
        <v>366</v>
      </c>
      <c r="B1289" s="179" t="s">
        <v>367</v>
      </c>
      <c r="C1289" s="709">
        <v>0.2</v>
      </c>
      <c r="D1289" s="243" t="s">
        <v>356</v>
      </c>
      <c r="E1289" s="65">
        <f>+TRITU</f>
        <v>85000</v>
      </c>
      <c r="F1289" s="65"/>
      <c r="G1289" s="65">
        <f>+E1289*C1289</f>
        <v>17000</v>
      </c>
      <c r="H1289" s="65"/>
      <c r="I1289" s="65"/>
    </row>
    <row r="1290" spans="1:9">
      <c r="A1290" s="243" t="s">
        <v>137</v>
      </c>
      <c r="B1290" s="179" t="s">
        <v>582</v>
      </c>
      <c r="C1290" s="346">
        <v>0.6</v>
      </c>
      <c r="D1290" s="243" t="s">
        <v>583</v>
      </c>
      <c r="E1290" s="65">
        <f>+TRANAG</f>
        <v>30600</v>
      </c>
      <c r="F1290" s="65"/>
      <c r="G1290" s="65"/>
      <c r="H1290" s="65"/>
      <c r="I1290" s="65">
        <f>+E1290*C1290</f>
        <v>18360</v>
      </c>
    </row>
    <row r="1291" spans="1:9">
      <c r="A1291" s="243" t="s">
        <v>345</v>
      </c>
      <c r="B1291" s="696" t="str">
        <f>IF(PRESTA&gt;0,"OFICIAL (INCLUYE "&amp;""&amp;PRESTA*100&amp;"% PRESTACIONES)",0)</f>
        <v>OFICIAL (INCLUYE 82,22% PRESTACIONES)</v>
      </c>
      <c r="C1291" s="346">
        <v>8.3333333333333329E-2</v>
      </c>
      <c r="D1291" s="243" t="s">
        <v>346</v>
      </c>
      <c r="E1291" s="65">
        <f>+OFICI</f>
        <v>80479.625344</v>
      </c>
      <c r="F1291" s="65"/>
      <c r="G1291" s="65"/>
      <c r="H1291" s="65">
        <f>+E1291*C1291</f>
        <v>6706.6354453333333</v>
      </c>
      <c r="I1291" s="65"/>
    </row>
    <row r="1292" spans="1:9">
      <c r="A1292" s="243" t="s">
        <v>347</v>
      </c>
      <c r="B1292" s="179" t="str">
        <f>IF(PRESTA&gt;0,"AYUD. ENTENDIDO (INCLUYE "&amp;""&amp;PRESTA*100&amp;"% PRESTACIONES)",0)</f>
        <v>AYUD. ENTENDIDO (INCLUYE 82,22% PRESTACIONES)</v>
      </c>
      <c r="C1292" s="346">
        <v>8.3333333333333329E-2</v>
      </c>
      <c r="D1292" s="243" t="s">
        <v>346</v>
      </c>
      <c r="E1292" s="65">
        <f>+AYUDA</f>
        <v>65389.695592000004</v>
      </c>
      <c r="F1292" s="65"/>
      <c r="G1292" s="65"/>
      <c r="H1292" s="65">
        <f>+E1292*C1292</f>
        <v>5449.1412993333333</v>
      </c>
      <c r="I1292" s="65"/>
    </row>
    <row r="1293" spans="1:9">
      <c r="A1293" s="243" t="s">
        <v>348</v>
      </c>
      <c r="B1293" s="179" t="str">
        <f>IF(PRESTA&gt;0,"AYUD. RASO (INCLUYE "&amp;""&amp;PRESTA*100&amp;"% PRESTACIONES)",0)</f>
        <v>AYUD. RASO (INCLUYE 82,22% PRESTACIONES)</v>
      </c>
      <c r="C1293" s="346">
        <v>8.3333333333333329E-2</v>
      </c>
      <c r="D1293" s="243" t="s">
        <v>346</v>
      </c>
      <c r="E1293" s="65">
        <f>+AYUDR</f>
        <v>50299.76584</v>
      </c>
      <c r="F1293" s="65"/>
      <c r="G1293" s="65"/>
      <c r="H1293" s="65">
        <f>+E1293*C1293</f>
        <v>4191.6471533333333</v>
      </c>
      <c r="I1293" s="65"/>
    </row>
    <row r="1294" spans="1:9">
      <c r="A1294" s="587" t="s">
        <v>190</v>
      </c>
      <c r="B1294" s="588">
        <f>SUM(F1294:I1294)</f>
        <v>91066.795092899993</v>
      </c>
      <c r="C1294" s="160"/>
      <c r="D1294" s="243"/>
      <c r="E1294" s="65"/>
      <c r="F1294" s="65">
        <f>+SUM(F1288:F1293)</f>
        <v>0</v>
      </c>
      <c r="G1294" s="65">
        <f>+SUM(G1286:G1293)</f>
        <v>55542</v>
      </c>
      <c r="H1294" s="65">
        <f>+SUM(H1286:H1293)</f>
        <v>16347.423897999999</v>
      </c>
      <c r="I1294" s="65">
        <f>+SUM(I1286:I1293)</f>
        <v>19177.371194899999</v>
      </c>
    </row>
    <row r="1295" spans="1:9">
      <c r="A1295" s="587" t="s">
        <v>191</v>
      </c>
      <c r="B1295" s="39">
        <f>+B1294</f>
        <v>91066.795092899993</v>
      </c>
      <c r="C1295" s="688" t="s">
        <v>94</v>
      </c>
      <c r="D1295" s="178"/>
      <c r="E1295" s="685"/>
      <c r="F1295" s="685"/>
      <c r="G1295" s="685"/>
      <c r="H1295" s="685"/>
      <c r="I1295" s="685"/>
    </row>
    <row r="1296" spans="1:9">
      <c r="A1296" s="31"/>
      <c r="B1296" s="768"/>
      <c r="C1296" s="31"/>
      <c r="D1296" s="31"/>
      <c r="E1296" s="590"/>
      <c r="F1296" s="590"/>
      <c r="G1296" s="590"/>
      <c r="H1296" s="590"/>
      <c r="I1296" s="590"/>
    </row>
    <row r="1297" spans="1:9">
      <c r="A1297" s="680" t="s">
        <v>8653</v>
      </c>
      <c r="B1297" s="3880" t="s">
        <v>4118</v>
      </c>
      <c r="C1297" s="3881"/>
      <c r="D1297" s="3881"/>
      <c r="E1297" s="3881"/>
      <c r="F1297" s="3881"/>
      <c r="G1297" s="3881"/>
      <c r="H1297" s="3881"/>
      <c r="I1297" s="3882"/>
    </row>
    <row r="1298" spans="1:9">
      <c r="A1298" s="470"/>
      <c r="B1298" s="355"/>
      <c r="C1298" s="470"/>
      <c r="D1298" s="470"/>
      <c r="E1298" s="470"/>
      <c r="F1298" s="470" t="s">
        <v>482</v>
      </c>
      <c r="G1298" s="470" t="s">
        <v>483</v>
      </c>
      <c r="H1298" s="470" t="s">
        <v>232</v>
      </c>
      <c r="I1298" s="470" t="s">
        <v>171</v>
      </c>
    </row>
    <row r="1299" spans="1:9">
      <c r="A1299" s="470" t="s">
        <v>172</v>
      </c>
      <c r="B1299" s="355" t="s">
        <v>189</v>
      </c>
      <c r="C1299" s="451">
        <v>1</v>
      </c>
      <c r="D1299" s="470" t="s">
        <v>583</v>
      </c>
      <c r="E1299" s="677">
        <f>+H1303*0.05</f>
        <v>486.23106978666675</v>
      </c>
      <c r="F1299" s="677"/>
      <c r="G1299" s="677"/>
      <c r="H1299" s="677"/>
      <c r="I1299" s="677">
        <f>+E1299*C1299</f>
        <v>486.23106978666675</v>
      </c>
    </row>
    <row r="1300" spans="1:9">
      <c r="A1300" s="470" t="s">
        <v>464</v>
      </c>
      <c r="B1300" s="355" t="s">
        <v>4060</v>
      </c>
      <c r="C1300" s="451">
        <v>0.1</v>
      </c>
      <c r="D1300" s="470" t="s">
        <v>583</v>
      </c>
      <c r="E1300" s="677">
        <f>+TRANS</f>
        <v>1350</v>
      </c>
      <c r="F1300" s="677"/>
      <c r="G1300" s="677"/>
      <c r="H1300" s="677"/>
      <c r="I1300" s="677">
        <f>+E1300*C1300</f>
        <v>135</v>
      </c>
    </row>
    <row r="1301" spans="1:9">
      <c r="A1301" s="470" t="s">
        <v>345</v>
      </c>
      <c r="B1301" s="355" t="s">
        <v>4119</v>
      </c>
      <c r="C1301" s="451">
        <v>6.6666666666666666E-2</v>
      </c>
      <c r="D1301" s="470" t="s">
        <v>346</v>
      </c>
      <c r="E1301" s="677">
        <f>+OFICI</f>
        <v>80479.625344</v>
      </c>
      <c r="F1301" s="677"/>
      <c r="G1301" s="677"/>
      <c r="H1301" s="677">
        <f>+E1301*C1301</f>
        <v>5365.308356266667</v>
      </c>
      <c r="I1301" s="677"/>
    </row>
    <row r="1302" spans="1:9">
      <c r="A1302" s="470" t="s">
        <v>347</v>
      </c>
      <c r="B1302" s="179" t="s">
        <v>4120</v>
      </c>
      <c r="C1302" s="451">
        <v>6.6666666666666666E-2</v>
      </c>
      <c r="D1302" s="470" t="s">
        <v>346</v>
      </c>
      <c r="E1302" s="677">
        <f>+AYUDA</f>
        <v>65389.695592000004</v>
      </c>
      <c r="F1302" s="677"/>
      <c r="G1302" s="677"/>
      <c r="H1302" s="677">
        <f>+E1302*C1302</f>
        <v>4359.3130394666669</v>
      </c>
      <c r="I1302" s="677"/>
    </row>
    <row r="1303" spans="1:9">
      <c r="A1303" s="587" t="s">
        <v>190</v>
      </c>
      <c r="B1303" s="769">
        <f>SUM(F1303:I1303)</f>
        <v>10345.852465520002</v>
      </c>
      <c r="C1303" s="487"/>
      <c r="D1303" s="470"/>
      <c r="E1303" s="677"/>
      <c r="F1303" s="677">
        <f>+SUM(F1299:F1302)</f>
        <v>0</v>
      </c>
      <c r="G1303" s="677">
        <f>+SUM(G1299:G1302)</f>
        <v>0</v>
      </c>
      <c r="H1303" s="677">
        <f>+SUM(H1299:H1302)</f>
        <v>9724.6213957333348</v>
      </c>
      <c r="I1303" s="677">
        <f>+SUM(I1299:I1302)</f>
        <v>621.23106978666669</v>
      </c>
    </row>
    <row r="1304" spans="1:9">
      <c r="A1304" s="587" t="s">
        <v>191</v>
      </c>
      <c r="B1304" s="752">
        <f>+B1303</f>
        <v>10345.852465520002</v>
      </c>
      <c r="C1304" s="770" t="s">
        <v>94</v>
      </c>
      <c r="D1304" s="479"/>
      <c r="E1304" s="479"/>
      <c r="F1304" s="479"/>
      <c r="G1304" s="479"/>
      <c r="H1304" s="479"/>
      <c r="I1304" s="479"/>
    </row>
    <row r="1305" spans="1:9">
      <c r="A1305" s="73"/>
      <c r="B1305" s="771"/>
      <c r="C1305" s="772"/>
      <c r="D1305" s="73"/>
      <c r="E1305" s="311"/>
      <c r="F1305" s="311"/>
      <c r="G1305" s="311"/>
      <c r="H1305" s="311"/>
      <c r="I1305" s="311"/>
    </row>
    <row r="1306" spans="1:9">
      <c r="A1306" s="508" t="s">
        <v>8654</v>
      </c>
      <c r="B1306" s="3877" t="s">
        <v>4121</v>
      </c>
      <c r="C1306" s="3878"/>
      <c r="D1306" s="3878"/>
      <c r="E1306" s="3878"/>
      <c r="F1306" s="3878"/>
      <c r="G1306" s="3878"/>
      <c r="H1306" s="3878"/>
      <c r="I1306" s="3879"/>
    </row>
    <row r="1307" spans="1:9">
      <c r="A1307" s="470"/>
      <c r="B1307" s="355"/>
      <c r="C1307" s="470"/>
      <c r="D1307" s="470"/>
      <c r="E1307" s="470"/>
      <c r="F1307" s="470" t="s">
        <v>482</v>
      </c>
      <c r="G1307" s="470" t="s">
        <v>483</v>
      </c>
      <c r="H1307" s="470" t="s">
        <v>232</v>
      </c>
      <c r="I1307" s="470" t="s">
        <v>171</v>
      </c>
    </row>
    <row r="1308" spans="1:9">
      <c r="A1308" s="470" t="s">
        <v>182</v>
      </c>
      <c r="B1308" s="355" t="s">
        <v>4122</v>
      </c>
      <c r="C1308" s="451">
        <v>1</v>
      </c>
      <c r="D1308" s="470" t="s">
        <v>45</v>
      </c>
      <c r="E1308" s="677">
        <f>+TUBS4</f>
        <v>19372</v>
      </c>
      <c r="F1308" s="677"/>
      <c r="G1308" s="677">
        <f>+E1308*C1308</f>
        <v>19372</v>
      </c>
      <c r="H1308" s="677"/>
      <c r="I1308" s="677"/>
    </row>
    <row r="1309" spans="1:9">
      <c r="A1309" s="470" t="s">
        <v>584</v>
      </c>
      <c r="B1309" s="355" t="s">
        <v>134</v>
      </c>
      <c r="C1309" s="451">
        <v>8.0000000000000004E-4</v>
      </c>
      <c r="D1309" s="470" t="s">
        <v>583</v>
      </c>
      <c r="E1309" s="677">
        <f>+VIAJE</f>
        <v>1200000</v>
      </c>
      <c r="F1309" s="677"/>
      <c r="G1309" s="677"/>
      <c r="H1309" s="677"/>
      <c r="I1309" s="677">
        <f>+E1309*C1309</f>
        <v>960</v>
      </c>
    </row>
    <row r="1310" spans="1:9">
      <c r="A1310" s="587" t="s">
        <v>190</v>
      </c>
      <c r="B1310" s="769">
        <f>SUM(F1310:I1310)</f>
        <v>20332</v>
      </c>
      <c r="C1310" s="487"/>
      <c r="D1310" s="470"/>
      <c r="E1310" s="677"/>
      <c r="F1310" s="677">
        <f>+SUM(F1308:F1309)</f>
        <v>0</v>
      </c>
      <c r="G1310" s="677">
        <f>+SUM(G1308:G1309)</f>
        <v>19372</v>
      </c>
      <c r="H1310" s="677">
        <f>+SUM(H1308:H1309)</f>
        <v>0</v>
      </c>
      <c r="I1310" s="677">
        <f>+SUM(I1308:I1309)</f>
        <v>960</v>
      </c>
    </row>
    <row r="1311" spans="1:9">
      <c r="A1311" s="587" t="s">
        <v>191</v>
      </c>
      <c r="B1311" s="752">
        <f>+B1310</f>
        <v>20332</v>
      </c>
      <c r="C1311" s="770" t="s">
        <v>94</v>
      </c>
      <c r="D1311" s="479"/>
      <c r="E1311" s="479"/>
      <c r="F1311" s="479"/>
      <c r="G1311" s="479"/>
      <c r="H1311" s="479"/>
      <c r="I1311" s="479"/>
    </row>
    <row r="1312" spans="1:9">
      <c r="A1312" s="73"/>
      <c r="B1312" s="771"/>
      <c r="C1312" s="772"/>
      <c r="D1312" s="73"/>
      <c r="E1312" s="311"/>
      <c r="F1312" s="311"/>
      <c r="G1312" s="311"/>
      <c r="H1312" s="311"/>
      <c r="I1312" s="311"/>
    </row>
    <row r="1313" spans="1:9">
      <c r="A1313" s="594" t="s">
        <v>8655</v>
      </c>
      <c r="B1313" s="3558" t="s">
        <v>4123</v>
      </c>
      <c r="C1313" s="3558"/>
      <c r="D1313" s="3558"/>
      <c r="E1313" s="3558"/>
      <c r="F1313" s="3558"/>
      <c r="G1313" s="3558"/>
      <c r="H1313" s="3558"/>
      <c r="I1313" s="3558"/>
    </row>
    <row r="1314" spans="1:9">
      <c r="A1314" s="470"/>
      <c r="B1314" s="180"/>
      <c r="C1314" s="243" t="s">
        <v>140</v>
      </c>
      <c r="D1314" s="243" t="s">
        <v>343</v>
      </c>
      <c r="E1314" s="243" t="s">
        <v>344</v>
      </c>
      <c r="F1314" s="243" t="s">
        <v>482</v>
      </c>
      <c r="G1314" s="243" t="s">
        <v>483</v>
      </c>
      <c r="H1314" s="243" t="s">
        <v>170</v>
      </c>
      <c r="I1314" s="243" t="s">
        <v>171</v>
      </c>
    </row>
    <row r="1315" spans="1:9">
      <c r="A1315" s="471" t="s">
        <v>172</v>
      </c>
      <c r="B1315" s="3" t="s">
        <v>189</v>
      </c>
      <c r="C1315" s="346">
        <v>1</v>
      </c>
      <c r="D1315" s="160" t="s">
        <v>583</v>
      </c>
      <c r="E1315" s="350">
        <f>+H1319*0.05</f>
        <v>145.86932093600001</v>
      </c>
      <c r="F1315" s="350"/>
      <c r="G1315" s="350"/>
      <c r="H1315" s="350"/>
      <c r="I1315" s="350">
        <f>+E1315*C1315</f>
        <v>145.86932093600001</v>
      </c>
    </row>
    <row r="1316" spans="1:9">
      <c r="A1316" s="471" t="s">
        <v>464</v>
      </c>
      <c r="B1316" s="3" t="s">
        <v>4060</v>
      </c>
      <c r="C1316" s="346">
        <v>0.25</v>
      </c>
      <c r="D1316" s="160" t="s">
        <v>583</v>
      </c>
      <c r="E1316" s="350">
        <f>+TRANS</f>
        <v>1350</v>
      </c>
      <c r="F1316" s="350"/>
      <c r="G1316" s="350"/>
      <c r="H1316" s="350"/>
      <c r="I1316" s="350">
        <f>+E1316*C1316</f>
        <v>337.5</v>
      </c>
    </row>
    <row r="1317" spans="1:9">
      <c r="A1317" s="471" t="s">
        <v>345</v>
      </c>
      <c r="B1317" s="3" t="str">
        <f>IF(PRESTA&gt;0,"OFICIAL (INCLUYE "&amp;""&amp;PRESTA*100&amp;"% PRESTACIONES)",0)</f>
        <v>OFICIAL (INCLUYE 82,22% PRESTACIONES)</v>
      </c>
      <c r="C1317" s="346">
        <v>0.02</v>
      </c>
      <c r="D1317" s="160" t="s">
        <v>346</v>
      </c>
      <c r="E1317" s="350">
        <f>+OFICI</f>
        <v>80479.625344</v>
      </c>
      <c r="F1317" s="350"/>
      <c r="G1317" s="350"/>
      <c r="H1317" s="350">
        <f>+E1317*C1317</f>
        <v>1609.59250688</v>
      </c>
      <c r="I1317" s="350"/>
    </row>
    <row r="1318" spans="1:9">
      <c r="A1318" s="471" t="s">
        <v>347</v>
      </c>
      <c r="B1318" s="3" t="str">
        <f>IF(PRESTA&gt;0,"AYUD. ENTENDIDO (INCLUYE "&amp;""&amp;PRESTA*100&amp;"% PRESTACIONES)",0)</f>
        <v>AYUD. ENTENDIDO (INCLUYE 82,22% PRESTACIONES)</v>
      </c>
      <c r="C1318" s="346">
        <v>0.02</v>
      </c>
      <c r="D1318" s="160" t="s">
        <v>346</v>
      </c>
      <c r="E1318" s="350">
        <f>+AYUDA</f>
        <v>65389.695592000004</v>
      </c>
      <c r="F1318" s="350"/>
      <c r="G1318" s="350"/>
      <c r="H1318" s="350">
        <f>+E1318*C1318</f>
        <v>1307.7939118400002</v>
      </c>
      <c r="I1318" s="350"/>
    </row>
    <row r="1319" spans="1:9">
      <c r="A1319" s="587" t="s">
        <v>190</v>
      </c>
      <c r="B1319" s="588">
        <f>SUM(F1319:I1319)</f>
        <v>3400.7557396560001</v>
      </c>
      <c r="C1319" s="160"/>
      <c r="D1319" s="169"/>
      <c r="E1319" s="350"/>
      <c r="F1319" s="350">
        <f>SUM(F1315:F1318)</f>
        <v>0</v>
      </c>
      <c r="G1319" s="350">
        <f>SUM(G1315:G1318)</f>
        <v>0</v>
      </c>
      <c r="H1319" s="350">
        <f>SUM(H1315:H1318)</f>
        <v>2917.3864187200002</v>
      </c>
      <c r="I1319" s="350">
        <f>SUM(I1315:I1318)</f>
        <v>483.36932093600001</v>
      </c>
    </row>
    <row r="1320" spans="1:9">
      <c r="A1320" s="587" t="s">
        <v>191</v>
      </c>
      <c r="B1320" s="39">
        <f>+B1319</f>
        <v>3400.7557396560001</v>
      </c>
      <c r="C1320" s="688" t="s">
        <v>94</v>
      </c>
      <c r="D1320" s="13"/>
      <c r="E1320" s="13"/>
      <c r="F1320" s="13"/>
      <c r="G1320" s="13"/>
      <c r="H1320" s="13"/>
      <c r="I1320" s="13"/>
    </row>
    <row r="1321" spans="1:9">
      <c r="A1321" s="73"/>
      <c r="B1321" s="80"/>
      <c r="C1321" s="14"/>
      <c r="D1321" s="14"/>
      <c r="E1321" s="13"/>
      <c r="F1321" s="13"/>
      <c r="G1321" s="13"/>
      <c r="H1321" s="13"/>
      <c r="I1321" s="13"/>
    </row>
    <row r="1322" spans="1:9">
      <c r="A1322" s="724" t="s">
        <v>8656</v>
      </c>
      <c r="B1322" s="3872" t="s">
        <v>4124</v>
      </c>
      <c r="C1322" s="3872"/>
      <c r="D1322" s="3872"/>
      <c r="E1322" s="3872"/>
      <c r="F1322" s="3872"/>
      <c r="G1322" s="3872"/>
      <c r="H1322" s="3872"/>
      <c r="I1322" s="3872"/>
    </row>
    <row r="1323" spans="1:9">
      <c r="A1323" s="470"/>
      <c r="B1323" s="180"/>
      <c r="C1323" s="243" t="s">
        <v>140</v>
      </c>
      <c r="D1323" s="243" t="s">
        <v>343</v>
      </c>
      <c r="E1323" s="243" t="s">
        <v>344</v>
      </c>
      <c r="F1323" s="243" t="s">
        <v>482</v>
      </c>
      <c r="G1323" s="243" t="s">
        <v>483</v>
      </c>
      <c r="H1323" s="243" t="s">
        <v>170</v>
      </c>
      <c r="I1323" s="243" t="s">
        <v>171</v>
      </c>
    </row>
    <row r="1324" spans="1:9">
      <c r="A1324" s="471" t="s">
        <v>181</v>
      </c>
      <c r="B1324" s="3" t="s">
        <v>4125</v>
      </c>
      <c r="C1324" s="346">
        <v>1</v>
      </c>
      <c r="D1324" s="160" t="s">
        <v>45</v>
      </c>
      <c r="E1324" s="350">
        <f>+TUBS3</f>
        <v>13901</v>
      </c>
      <c r="F1324" s="350"/>
      <c r="G1324" s="350">
        <f>+E1324*C1324</f>
        <v>13901</v>
      </c>
      <c r="H1324" s="350"/>
      <c r="I1324" s="350"/>
    </row>
    <row r="1325" spans="1:9">
      <c r="A1325" s="471" t="s">
        <v>584</v>
      </c>
      <c r="B1325" s="3" t="s">
        <v>134</v>
      </c>
      <c r="C1325" s="684">
        <v>1.5E-3</v>
      </c>
      <c r="D1325" s="6" t="s">
        <v>583</v>
      </c>
      <c r="E1325" s="710">
        <f>+VIAJE</f>
        <v>1200000</v>
      </c>
      <c r="F1325" s="710"/>
      <c r="G1325" s="710"/>
      <c r="H1325" s="710"/>
      <c r="I1325" s="710">
        <f>+E1325*C1325</f>
        <v>1800</v>
      </c>
    </row>
    <row r="1326" spans="1:9">
      <c r="A1326" s="587" t="s">
        <v>190</v>
      </c>
      <c r="B1326" s="588">
        <f>SUM(F1326:I1326)</f>
        <v>15701</v>
      </c>
      <c r="C1326" s="160"/>
      <c r="D1326" s="169"/>
      <c r="E1326" s="350"/>
      <c r="F1326" s="350">
        <f>SUM(F1324:F1325)</f>
        <v>0</v>
      </c>
      <c r="G1326" s="350">
        <f>SUM(G1324:G1325)</f>
        <v>13901</v>
      </c>
      <c r="H1326" s="350">
        <f>SUM(H1324:H1325)</f>
        <v>0</v>
      </c>
      <c r="I1326" s="350">
        <f>SUM(I1324:I1325)</f>
        <v>1800</v>
      </c>
    </row>
    <row r="1327" spans="1:9">
      <c r="A1327" s="587" t="s">
        <v>191</v>
      </c>
      <c r="B1327" s="39">
        <f>+B1326</f>
        <v>15701</v>
      </c>
      <c r="C1327" s="688" t="s">
        <v>94</v>
      </c>
      <c r="D1327" s="13"/>
      <c r="E1327" s="13"/>
      <c r="F1327" s="13"/>
      <c r="G1327" s="13"/>
      <c r="H1327" s="13"/>
      <c r="I1327" s="13"/>
    </row>
    <row r="1328" spans="1:9">
      <c r="A1328" s="73"/>
      <c r="B1328" s="80"/>
      <c r="C1328" s="14"/>
      <c r="D1328" s="14"/>
      <c r="E1328" s="13"/>
      <c r="F1328" s="13"/>
      <c r="G1328" s="13"/>
      <c r="H1328" s="13"/>
      <c r="I1328" s="13"/>
    </row>
    <row r="1329" spans="1:9">
      <c r="A1329" s="594" t="s">
        <v>8657</v>
      </c>
      <c r="B1329" s="3855" t="s">
        <v>4126</v>
      </c>
      <c r="C1329" s="3856"/>
      <c r="D1329" s="3856"/>
      <c r="E1329" s="3856"/>
      <c r="F1329" s="3856"/>
      <c r="G1329" s="3856"/>
      <c r="H1329" s="3856"/>
      <c r="I1329" s="3857"/>
    </row>
    <row r="1330" spans="1:9">
      <c r="A1330" s="243"/>
      <c r="B1330" s="696"/>
      <c r="C1330" s="243" t="s">
        <v>140</v>
      </c>
      <c r="D1330" s="243" t="s">
        <v>343</v>
      </c>
      <c r="E1330" s="674" t="s">
        <v>344</v>
      </c>
      <c r="F1330" s="674" t="s">
        <v>482</v>
      </c>
      <c r="G1330" s="674" t="s">
        <v>483</v>
      </c>
      <c r="H1330" s="674" t="s">
        <v>170</v>
      </c>
      <c r="I1330" s="674" t="s">
        <v>171</v>
      </c>
    </row>
    <row r="1331" spans="1:9">
      <c r="A1331" s="2" t="s">
        <v>345</v>
      </c>
      <c r="B1331" s="41" t="str">
        <f>IF(PRESTA&gt;0,"OFICIAL (INCLUYE "&amp;""&amp;PRESTA*100&amp;"% PRESTACIONES)",0)</f>
        <v>OFICIAL (INCLUYE 82,22% PRESTACIONES)</v>
      </c>
      <c r="C1331" s="346">
        <v>0.02</v>
      </c>
      <c r="D1331" s="160" t="s">
        <v>346</v>
      </c>
      <c r="E1331" s="32">
        <f>OFICI</f>
        <v>80479.625344</v>
      </c>
      <c r="F1331" s="32"/>
      <c r="G1331" s="32"/>
      <c r="H1331" s="32">
        <f>+E1331*C1331</f>
        <v>1609.59250688</v>
      </c>
      <c r="I1331" s="674"/>
    </row>
    <row r="1332" spans="1:9">
      <c r="A1332" s="2" t="s">
        <v>347</v>
      </c>
      <c r="B1332" s="41" t="str">
        <f>IF(PRESTA&gt;0,"AYUD. ENTENDIDO (INCLUYE "&amp;""&amp;PRESTA*100&amp;"% PRESTACIONES)",0)</f>
        <v>AYUD. ENTENDIDO (INCLUYE 82,22% PRESTACIONES)</v>
      </c>
      <c r="C1332" s="346">
        <v>0.02</v>
      </c>
      <c r="D1332" s="160" t="s">
        <v>346</v>
      </c>
      <c r="E1332" s="32">
        <f>AYUDA</f>
        <v>65389.695592000004</v>
      </c>
      <c r="F1332" s="32"/>
      <c r="G1332" s="32"/>
      <c r="H1332" s="32">
        <f>+E1332*C1332</f>
        <v>1307.7939118400002</v>
      </c>
      <c r="I1332" s="674"/>
    </row>
    <row r="1333" spans="1:9">
      <c r="A1333" s="2" t="s">
        <v>172</v>
      </c>
      <c r="B1333" s="41" t="s">
        <v>189</v>
      </c>
      <c r="C1333" s="346">
        <v>1</v>
      </c>
      <c r="D1333" s="160" t="s">
        <v>583</v>
      </c>
      <c r="E1333" s="32">
        <f>23937*0.05</f>
        <v>1196.8500000000001</v>
      </c>
      <c r="F1333" s="32"/>
      <c r="G1333" s="32"/>
      <c r="H1333" s="32"/>
      <c r="I1333" s="674">
        <f>+E1333*C1333</f>
        <v>1196.8500000000001</v>
      </c>
    </row>
    <row r="1334" spans="1:9">
      <c r="A1334" s="2" t="s">
        <v>375</v>
      </c>
      <c r="B1334" s="41" t="s">
        <v>43</v>
      </c>
      <c r="C1334" s="346">
        <v>0.1</v>
      </c>
      <c r="D1334" s="160" t="s">
        <v>44</v>
      </c>
      <c r="E1334" s="32">
        <f>+LUPVC</f>
        <v>13275</v>
      </c>
      <c r="F1334" s="32"/>
      <c r="G1334" s="32">
        <f>+E1334*C1334</f>
        <v>1327.5</v>
      </c>
      <c r="H1334" s="32"/>
      <c r="I1334" s="674"/>
    </row>
    <row r="1335" spans="1:9">
      <c r="A1335" s="587" t="s">
        <v>190</v>
      </c>
      <c r="B1335" s="588">
        <f>SUM(F1335:I1335)</f>
        <v>5441.7364187200001</v>
      </c>
      <c r="C1335" s="370"/>
      <c r="D1335" s="169"/>
      <c r="E1335" s="32"/>
      <c r="F1335" s="32">
        <f>SUM(F1331:F1334)</f>
        <v>0</v>
      </c>
      <c r="G1335" s="32">
        <f>SUM(G1331:G1334)</f>
        <v>1327.5</v>
      </c>
      <c r="H1335" s="32">
        <f>SUM(H1331:H1334)</f>
        <v>2917.3864187200002</v>
      </c>
      <c r="I1335" s="674">
        <f>SUM(I1331:I1334)</f>
        <v>1196.8500000000001</v>
      </c>
    </row>
    <row r="1336" spans="1:9">
      <c r="A1336" s="587" t="s">
        <v>191</v>
      </c>
      <c r="B1336" s="39">
        <f>+B1335</f>
        <v>5441.7364187200001</v>
      </c>
      <c r="C1336" s="688" t="s">
        <v>94</v>
      </c>
      <c r="D1336" s="13"/>
      <c r="E1336" s="673"/>
      <c r="F1336" s="673"/>
      <c r="G1336" s="673"/>
      <c r="H1336" s="673"/>
      <c r="I1336" s="673"/>
    </row>
    <row r="1337" spans="1:9">
      <c r="A1337" s="73"/>
      <c r="B1337" s="764"/>
      <c r="C1337" s="765"/>
      <c r="D1337" s="13"/>
      <c r="E1337" s="673"/>
      <c r="F1337" s="673"/>
      <c r="G1337" s="673"/>
      <c r="H1337" s="673"/>
      <c r="I1337" s="673"/>
    </row>
    <row r="1338" spans="1:9">
      <c r="A1338" s="73"/>
      <c r="B1338" s="80"/>
      <c r="C1338" s="14"/>
      <c r="D1338" s="14"/>
      <c r="E1338" s="13"/>
      <c r="F1338" s="13"/>
      <c r="G1338" s="13"/>
      <c r="H1338" s="13"/>
      <c r="I1338" s="13"/>
    </row>
    <row r="1339" spans="1:9">
      <c r="A1339" s="724" t="s">
        <v>8658</v>
      </c>
      <c r="B1339" s="3883" t="s">
        <v>4127</v>
      </c>
      <c r="C1339" s="3884"/>
      <c r="D1339" s="3884"/>
      <c r="E1339" s="3884"/>
      <c r="F1339" s="3884"/>
      <c r="G1339" s="3884"/>
      <c r="H1339" s="3884"/>
      <c r="I1339" s="3885"/>
    </row>
    <row r="1340" spans="1:9">
      <c r="A1340" s="243"/>
      <c r="B1340" s="696"/>
      <c r="C1340" s="243" t="s">
        <v>140</v>
      </c>
      <c r="D1340" s="243" t="s">
        <v>343</v>
      </c>
      <c r="E1340" s="674" t="s">
        <v>344</v>
      </c>
      <c r="F1340" s="674" t="s">
        <v>482</v>
      </c>
      <c r="G1340" s="674" t="s">
        <v>483</v>
      </c>
      <c r="H1340" s="674" t="s">
        <v>170</v>
      </c>
      <c r="I1340" s="674" t="s">
        <v>171</v>
      </c>
    </row>
    <row r="1341" spans="1:9">
      <c r="A1341" s="2" t="s">
        <v>115</v>
      </c>
      <c r="B1341" s="41" t="s">
        <v>4128</v>
      </c>
      <c r="C1341" s="346">
        <v>1</v>
      </c>
      <c r="D1341" s="160" t="s">
        <v>45</v>
      </c>
      <c r="E1341" s="674">
        <f>+TZ213_</f>
        <v>23351.25</v>
      </c>
      <c r="F1341" s="674"/>
      <c r="G1341" s="674">
        <f>+E1341*C1341</f>
        <v>23351.25</v>
      </c>
      <c r="H1341" s="674"/>
      <c r="I1341" s="674"/>
    </row>
    <row r="1342" spans="1:9">
      <c r="A1342" s="2" t="s">
        <v>584</v>
      </c>
      <c r="B1342" s="41" t="s">
        <v>134</v>
      </c>
      <c r="C1342" s="346">
        <v>1E-3</v>
      </c>
      <c r="D1342" s="160" t="s">
        <v>583</v>
      </c>
      <c r="E1342" s="674">
        <f>+VIAJE</f>
        <v>1200000</v>
      </c>
      <c r="F1342" s="674"/>
      <c r="G1342" s="674"/>
      <c r="H1342" s="674"/>
      <c r="I1342" s="674">
        <f>+E1342*C1342</f>
        <v>1200</v>
      </c>
    </row>
    <row r="1343" spans="1:9">
      <c r="A1343" s="587" t="s">
        <v>190</v>
      </c>
      <c r="B1343" s="588">
        <f>SUM(F1343:I1343)</f>
        <v>24551.25</v>
      </c>
      <c r="C1343" s="370"/>
      <c r="D1343" s="169"/>
      <c r="E1343" s="32"/>
      <c r="F1343" s="32">
        <f>SUM(F1341:F1342)</f>
        <v>0</v>
      </c>
      <c r="G1343" s="32">
        <f>SUM(G1341:G1342)</f>
        <v>23351.25</v>
      </c>
      <c r="H1343" s="32">
        <f>SUM(H1341:H1342)</f>
        <v>0</v>
      </c>
      <c r="I1343" s="674">
        <f>SUM(I1341:I1342)</f>
        <v>1200</v>
      </c>
    </row>
    <row r="1344" spans="1:9">
      <c r="A1344" s="587" t="s">
        <v>191</v>
      </c>
      <c r="B1344" s="39">
        <f>+B1343</f>
        <v>24551.25</v>
      </c>
      <c r="C1344" s="688" t="s">
        <v>94</v>
      </c>
      <c r="D1344" s="13"/>
      <c r="E1344" s="673"/>
      <c r="F1344" s="673"/>
      <c r="G1344" s="673"/>
      <c r="H1344" s="673"/>
      <c r="I1344" s="673"/>
    </row>
    <row r="1345" spans="1:9">
      <c r="A1345" s="73"/>
      <c r="B1345" s="764"/>
      <c r="C1345" s="765"/>
      <c r="D1345" s="13"/>
      <c r="E1345" s="673"/>
      <c r="F1345" s="673"/>
      <c r="G1345" s="673"/>
      <c r="H1345" s="673"/>
      <c r="I1345" s="673"/>
    </row>
    <row r="1346" spans="1:9">
      <c r="A1346" s="594" t="s">
        <v>8659</v>
      </c>
      <c r="B1346" s="3855" t="s">
        <v>4129</v>
      </c>
      <c r="C1346" s="3856"/>
      <c r="D1346" s="3856"/>
      <c r="E1346" s="3856"/>
      <c r="F1346" s="3856"/>
      <c r="G1346" s="3856"/>
      <c r="H1346" s="3856"/>
      <c r="I1346" s="3857"/>
    </row>
    <row r="1347" spans="1:9">
      <c r="A1347" s="243"/>
      <c r="B1347" s="696"/>
      <c r="C1347" s="243" t="s">
        <v>140</v>
      </c>
      <c r="D1347" s="243" t="s">
        <v>343</v>
      </c>
      <c r="E1347" s="674" t="s">
        <v>344</v>
      </c>
      <c r="F1347" s="674" t="s">
        <v>482</v>
      </c>
      <c r="G1347" s="674" t="s">
        <v>483</v>
      </c>
      <c r="H1347" s="674" t="s">
        <v>170</v>
      </c>
      <c r="I1347" s="674" t="s">
        <v>171</v>
      </c>
    </row>
    <row r="1348" spans="1:9">
      <c r="A1348" s="2" t="s">
        <v>345</v>
      </c>
      <c r="B1348" s="41" t="str">
        <f>IF(PRESTA&gt;0,"OFICIAL (INCLUYE "&amp;""&amp;PRESTA*100&amp;"% PRESTACIONES)",0)</f>
        <v>OFICIAL (INCLUYE 82,22% PRESTACIONES)</v>
      </c>
      <c r="C1348" s="346">
        <v>0.3</v>
      </c>
      <c r="D1348" s="160" t="s">
        <v>346</v>
      </c>
      <c r="E1348" s="32">
        <f>OFICI</f>
        <v>80479.625344</v>
      </c>
      <c r="F1348" s="32"/>
      <c r="G1348" s="32"/>
      <c r="H1348" s="32">
        <f>+E1348*C1348</f>
        <v>24143.887603200001</v>
      </c>
      <c r="I1348" s="674"/>
    </row>
    <row r="1349" spans="1:9">
      <c r="A1349" s="2" t="s">
        <v>347</v>
      </c>
      <c r="B1349" s="41" t="str">
        <f>IF(PRESTA&gt;0,"AYUD. ENTENDIDO (INCLUYE "&amp;""&amp;PRESTA*100&amp;"% PRESTACIONES)",0)</f>
        <v>AYUD. ENTENDIDO (INCLUYE 82,22% PRESTACIONES)</v>
      </c>
      <c r="C1349" s="346">
        <v>0.3</v>
      </c>
      <c r="D1349" s="160" t="s">
        <v>346</v>
      </c>
      <c r="E1349" s="32">
        <f>AYUDA</f>
        <v>65389.695592000004</v>
      </c>
      <c r="F1349" s="32"/>
      <c r="G1349" s="32"/>
      <c r="H1349" s="32">
        <f>+E1349*C1349</f>
        <v>19616.9086776</v>
      </c>
      <c r="I1349" s="674"/>
    </row>
    <row r="1350" spans="1:9">
      <c r="A1350" s="2" t="s">
        <v>172</v>
      </c>
      <c r="B1350" s="41" t="s">
        <v>189</v>
      </c>
      <c r="C1350" s="346">
        <v>1</v>
      </c>
      <c r="D1350" s="160" t="s">
        <v>583</v>
      </c>
      <c r="E1350" s="32">
        <f>23937*0.05</f>
        <v>1196.8500000000001</v>
      </c>
      <c r="F1350" s="32"/>
      <c r="G1350" s="32"/>
      <c r="H1350" s="32"/>
      <c r="I1350" s="674">
        <f>+E1350*C1350</f>
        <v>1196.8500000000001</v>
      </c>
    </row>
    <row r="1351" spans="1:9">
      <c r="A1351" s="587" t="s">
        <v>190</v>
      </c>
      <c r="B1351" s="588">
        <f>SUM(F1351:I1351)</f>
        <v>44957.6462808</v>
      </c>
      <c r="C1351" s="370"/>
      <c r="D1351" s="169"/>
      <c r="E1351" s="32"/>
      <c r="F1351" s="32">
        <f>SUM(F1348:F1350)</f>
        <v>0</v>
      </c>
      <c r="G1351" s="32">
        <f>SUM(G1348:G1350)</f>
        <v>0</v>
      </c>
      <c r="H1351" s="32">
        <f>SUM(H1348:H1350)</f>
        <v>43760.796280800001</v>
      </c>
      <c r="I1351" s="674">
        <f>SUM(I1348:I1350)</f>
        <v>1196.8500000000001</v>
      </c>
    </row>
    <row r="1352" spans="1:9">
      <c r="A1352" s="587" t="s">
        <v>191</v>
      </c>
      <c r="B1352" s="39">
        <f>+B1351</f>
        <v>44957.6462808</v>
      </c>
      <c r="C1352" s="688" t="s">
        <v>94</v>
      </c>
      <c r="D1352" s="13"/>
      <c r="E1352" s="673"/>
      <c r="F1352" s="673"/>
      <c r="G1352" s="673"/>
      <c r="H1352" s="673"/>
      <c r="I1352" s="673"/>
    </row>
    <row r="1353" spans="1:9">
      <c r="A1353" s="73"/>
      <c r="B1353" s="764"/>
      <c r="C1353" s="765"/>
      <c r="D1353" s="13"/>
      <c r="E1353" s="673"/>
      <c r="F1353" s="673"/>
      <c r="G1353" s="673"/>
      <c r="H1353" s="673"/>
      <c r="I1353" s="673"/>
    </row>
    <row r="1354" spans="1:9">
      <c r="A1354" s="724" t="s">
        <v>8660</v>
      </c>
      <c r="B1354" s="3883" t="s">
        <v>4130</v>
      </c>
      <c r="C1354" s="3884"/>
      <c r="D1354" s="3884"/>
      <c r="E1354" s="3884"/>
      <c r="F1354" s="3884"/>
      <c r="G1354" s="3884"/>
      <c r="H1354" s="3884"/>
      <c r="I1354" s="3885"/>
    </row>
    <row r="1355" spans="1:9">
      <c r="A1355" s="243"/>
      <c r="B1355" s="696"/>
      <c r="C1355" s="243" t="s">
        <v>140</v>
      </c>
      <c r="D1355" s="243" t="s">
        <v>343</v>
      </c>
      <c r="E1355" s="674" t="s">
        <v>344</v>
      </c>
      <c r="F1355" s="674" t="s">
        <v>482</v>
      </c>
      <c r="G1355" s="674" t="s">
        <v>483</v>
      </c>
      <c r="H1355" s="674" t="s">
        <v>170</v>
      </c>
      <c r="I1355" s="674" t="s">
        <v>171</v>
      </c>
    </row>
    <row r="1356" spans="1:9">
      <c r="A1356" s="2" t="s">
        <v>4131</v>
      </c>
      <c r="B1356" s="773" t="s">
        <v>1425</v>
      </c>
      <c r="C1356" s="346">
        <v>1</v>
      </c>
      <c r="D1356" s="160" t="s">
        <v>363</v>
      </c>
      <c r="E1356" s="674">
        <v>135000</v>
      </c>
      <c r="F1356" s="674"/>
      <c r="G1356" s="674">
        <f>+E1356*C1356</f>
        <v>135000</v>
      </c>
      <c r="H1356" s="674"/>
      <c r="I1356" s="674"/>
    </row>
    <row r="1357" spans="1:9">
      <c r="A1357" s="2" t="s">
        <v>584</v>
      </c>
      <c r="B1357" s="41" t="s">
        <v>134</v>
      </c>
      <c r="C1357" s="346">
        <v>3.0000000000000001E-3</v>
      </c>
      <c r="D1357" s="160" t="s">
        <v>583</v>
      </c>
      <c r="E1357" s="674">
        <f>+VIAJE</f>
        <v>1200000</v>
      </c>
      <c r="F1357" s="674"/>
      <c r="G1357" s="674"/>
      <c r="H1357" s="674"/>
      <c r="I1357" s="674">
        <f>+E1357*C1357</f>
        <v>3600</v>
      </c>
    </row>
    <row r="1358" spans="1:9">
      <c r="A1358" s="587" t="s">
        <v>190</v>
      </c>
      <c r="B1358" s="588">
        <f>SUM(F1358:I1358)</f>
        <v>138600</v>
      </c>
      <c r="C1358" s="370"/>
      <c r="D1358" s="169"/>
      <c r="E1358" s="32"/>
      <c r="F1358" s="32">
        <f>SUM(F1356:F1357)</f>
        <v>0</v>
      </c>
      <c r="G1358" s="32">
        <f>SUM(G1356:G1357)</f>
        <v>135000</v>
      </c>
      <c r="H1358" s="32">
        <f>SUM(H1356:H1357)</f>
        <v>0</v>
      </c>
      <c r="I1358" s="674">
        <f>SUM(I1356:I1357)</f>
        <v>3600</v>
      </c>
    </row>
    <row r="1359" spans="1:9">
      <c r="A1359" s="587" t="s">
        <v>191</v>
      </c>
      <c r="B1359" s="39">
        <f>+B1358</f>
        <v>138600</v>
      </c>
      <c r="C1359" s="688" t="s">
        <v>94</v>
      </c>
      <c r="D1359" s="13"/>
      <c r="E1359" s="673"/>
      <c r="F1359" s="673"/>
      <c r="G1359" s="673"/>
      <c r="H1359" s="673"/>
      <c r="I1359" s="673"/>
    </row>
    <row r="1360" spans="1:9">
      <c r="A1360" s="73"/>
      <c r="B1360" s="764"/>
      <c r="C1360" s="765"/>
      <c r="D1360" s="13"/>
      <c r="E1360" s="673"/>
      <c r="F1360" s="673"/>
      <c r="G1360" s="673"/>
      <c r="H1360" s="673"/>
      <c r="I1360" s="673"/>
    </row>
    <row r="1361" spans="1:9">
      <c r="A1361" s="594" t="s">
        <v>8661</v>
      </c>
      <c r="B1361" s="3871" t="s">
        <v>4132</v>
      </c>
      <c r="C1361" s="3871"/>
      <c r="D1361" s="3871"/>
      <c r="E1361" s="3871"/>
      <c r="F1361" s="3871"/>
      <c r="G1361" s="3871"/>
      <c r="H1361" s="3871"/>
      <c r="I1361" s="3871"/>
    </row>
    <row r="1362" spans="1:9">
      <c r="A1362" s="470"/>
      <c r="B1362" s="712"/>
      <c r="C1362" s="243" t="s">
        <v>140</v>
      </c>
      <c r="D1362" s="243" t="s">
        <v>343</v>
      </c>
      <c r="E1362" s="65" t="s">
        <v>344</v>
      </c>
      <c r="F1362" s="65" t="s">
        <v>482</v>
      </c>
      <c r="G1362" s="65" t="s">
        <v>483</v>
      </c>
      <c r="H1362" s="65" t="s">
        <v>170</v>
      </c>
      <c r="I1362" s="65" t="s">
        <v>171</v>
      </c>
    </row>
    <row r="1363" spans="1:9">
      <c r="A1363" s="471" t="s">
        <v>172</v>
      </c>
      <c r="B1363" s="41" t="s">
        <v>189</v>
      </c>
      <c r="C1363" s="346">
        <v>1</v>
      </c>
      <c r="D1363" s="160" t="s">
        <v>583</v>
      </c>
      <c r="E1363" s="585">
        <f>+H1367*0.05</f>
        <v>2188.0398140400002</v>
      </c>
      <c r="F1363" s="65"/>
      <c r="G1363" s="65"/>
      <c r="H1363" s="65"/>
      <c r="I1363" s="65">
        <f>+E1363*C1363</f>
        <v>2188.0398140400002</v>
      </c>
    </row>
    <row r="1364" spans="1:9">
      <c r="A1364" s="471" t="s">
        <v>345</v>
      </c>
      <c r="B1364" s="41" t="str">
        <f>IF(PRESTA&gt;0,"OFICIAL (INCLUYE "&amp;""&amp;PRESTA*100&amp;"% PRESTACIONES)",0)</f>
        <v>OFICIAL (INCLUYE 82,22% PRESTACIONES)</v>
      </c>
      <c r="C1364" s="684">
        <v>0.3</v>
      </c>
      <c r="D1364" s="6" t="s">
        <v>346</v>
      </c>
      <c r="E1364" s="585">
        <f>+OFICI</f>
        <v>80479.625344</v>
      </c>
      <c r="F1364" s="585"/>
      <c r="G1364" s="585"/>
      <c r="H1364" s="585">
        <f>+E1364*C1364</f>
        <v>24143.887603200001</v>
      </c>
      <c r="I1364" s="585"/>
    </row>
    <row r="1365" spans="1:9">
      <c r="A1365" s="471" t="s">
        <v>347</v>
      </c>
      <c r="B1365" s="41" t="str">
        <f>IF(PRESTA&gt;0,"AYUD. ENTENDIDO (INCLUYE "&amp;""&amp;PRESTA*100&amp;"% PRESTACIONES)",0)</f>
        <v>AYUD. ENTENDIDO (INCLUYE 82,22% PRESTACIONES)</v>
      </c>
      <c r="C1365" s="346">
        <v>0.3</v>
      </c>
      <c r="D1365" s="160" t="s">
        <v>346</v>
      </c>
      <c r="E1365" s="585">
        <f>+AYUDA</f>
        <v>65389.695592000004</v>
      </c>
      <c r="F1365" s="65"/>
      <c r="G1365" s="65"/>
      <c r="H1365" s="65">
        <f>+E1365*C1365</f>
        <v>19616.9086776</v>
      </c>
      <c r="I1365" s="65"/>
    </row>
    <row r="1366" spans="1:9">
      <c r="A1366" s="471" t="s">
        <v>770</v>
      </c>
      <c r="B1366" s="41" t="s">
        <v>771</v>
      </c>
      <c r="C1366" s="346">
        <v>1</v>
      </c>
      <c r="D1366" s="160" t="s">
        <v>133</v>
      </c>
      <c r="E1366" s="585">
        <f>+LUBRI</f>
        <v>12500.1</v>
      </c>
      <c r="F1366" s="65"/>
      <c r="G1366" s="65">
        <f>+E1366*C1366</f>
        <v>12500.1</v>
      </c>
      <c r="H1366" s="65"/>
      <c r="I1366" s="65"/>
    </row>
    <row r="1367" spans="1:9">
      <c r="A1367" s="587" t="s">
        <v>190</v>
      </c>
      <c r="B1367" s="588">
        <f>SUM(F1367:I1367)</f>
        <v>58448.936094839999</v>
      </c>
      <c r="C1367" s="160"/>
      <c r="D1367" s="169"/>
      <c r="E1367" s="585"/>
      <c r="F1367" s="585">
        <f>SUM(F1363:F1366)</f>
        <v>0</v>
      </c>
      <c r="G1367" s="585">
        <f>SUM(G1363:G1366)</f>
        <v>12500.1</v>
      </c>
      <c r="H1367" s="585">
        <f>SUM(H1363:H1366)</f>
        <v>43760.796280800001</v>
      </c>
      <c r="I1367" s="585">
        <f>SUM(I1363:I1366)</f>
        <v>2188.0398140400002</v>
      </c>
    </row>
    <row r="1368" spans="1:9">
      <c r="A1368" s="587" t="s">
        <v>191</v>
      </c>
      <c r="B1368" s="39">
        <f>+B1367</f>
        <v>58448.936094839999</v>
      </c>
      <c r="C1368" s="20" t="s">
        <v>363</v>
      </c>
      <c r="D1368" s="13"/>
      <c r="E1368" s="170"/>
      <c r="F1368" s="170"/>
      <c r="G1368" s="170"/>
      <c r="H1368" s="170"/>
      <c r="I1368" s="170"/>
    </row>
    <row r="1369" spans="1:9">
      <c r="A1369" s="73"/>
      <c r="B1369" s="764"/>
      <c r="C1369" s="13"/>
      <c r="D1369" s="13"/>
      <c r="E1369" s="170"/>
      <c r="F1369" s="170"/>
      <c r="G1369" s="170"/>
      <c r="H1369" s="170"/>
      <c r="I1369" s="170"/>
    </row>
    <row r="1370" spans="1:9">
      <c r="A1370" s="724" t="s">
        <v>8662</v>
      </c>
      <c r="B1370" s="3873" t="s">
        <v>4133</v>
      </c>
      <c r="C1370" s="3873"/>
      <c r="D1370" s="3873"/>
      <c r="E1370" s="3873"/>
      <c r="F1370" s="3873"/>
      <c r="G1370" s="3873"/>
      <c r="H1370" s="3873"/>
      <c r="I1370" s="3873"/>
    </row>
    <row r="1371" spans="1:9">
      <c r="A1371" s="470"/>
      <c r="B1371" s="712"/>
      <c r="C1371" s="243" t="s">
        <v>140</v>
      </c>
      <c r="D1371" s="243" t="s">
        <v>343</v>
      </c>
      <c r="E1371" s="65" t="s">
        <v>344</v>
      </c>
      <c r="F1371" s="65" t="s">
        <v>482</v>
      </c>
      <c r="G1371" s="65" t="s">
        <v>483</v>
      </c>
      <c r="H1371" s="65" t="s">
        <v>170</v>
      </c>
      <c r="I1371" s="65" t="s">
        <v>171</v>
      </c>
    </row>
    <row r="1372" spans="1:9">
      <c r="A1372" s="471" t="s">
        <v>1021</v>
      </c>
      <c r="B1372" s="41" t="s">
        <v>700</v>
      </c>
      <c r="C1372" s="346">
        <v>1</v>
      </c>
      <c r="D1372" s="160" t="s">
        <v>363</v>
      </c>
      <c r="E1372" s="669">
        <f>+VCEL3</f>
        <v>740000</v>
      </c>
      <c r="F1372" s="65"/>
      <c r="G1372" s="65">
        <f>+E1372*C1372</f>
        <v>740000</v>
      </c>
      <c r="H1372" s="65"/>
      <c r="I1372" s="65"/>
    </row>
    <row r="1373" spans="1:9">
      <c r="A1373" s="471" t="s">
        <v>584</v>
      </c>
      <c r="B1373" s="41" t="s">
        <v>134</v>
      </c>
      <c r="C1373" s="346">
        <v>0.02</v>
      </c>
      <c r="D1373" s="160" t="s">
        <v>583</v>
      </c>
      <c r="E1373" s="585">
        <f>+VIAJE</f>
        <v>1200000</v>
      </c>
      <c r="F1373" s="65"/>
      <c r="G1373" s="65"/>
      <c r="H1373" s="65"/>
      <c r="I1373" s="65">
        <f>+E1373*C1373</f>
        <v>24000</v>
      </c>
    </row>
    <row r="1374" spans="1:9">
      <c r="A1374" s="587" t="s">
        <v>190</v>
      </c>
      <c r="B1374" s="588">
        <f>SUM(F1374:I1374)</f>
        <v>764000</v>
      </c>
      <c r="C1374" s="160"/>
      <c r="D1374" s="169"/>
      <c r="E1374" s="585"/>
      <c r="F1374" s="585">
        <f>SUM(F1372:F1373)</f>
        <v>0</v>
      </c>
      <c r="G1374" s="585">
        <f>SUM(G1372:G1373)</f>
        <v>740000</v>
      </c>
      <c r="H1374" s="585">
        <f>SUM(H1372:H1373)</f>
        <v>0</v>
      </c>
      <c r="I1374" s="585">
        <f>SUM(I1372:I1373)</f>
        <v>24000</v>
      </c>
    </row>
    <row r="1375" spans="1:9">
      <c r="A1375" s="587" t="s">
        <v>191</v>
      </c>
      <c r="B1375" s="39">
        <f>+B1374</f>
        <v>764000</v>
      </c>
      <c r="C1375" s="20" t="s">
        <v>363</v>
      </c>
      <c r="D1375" s="13"/>
      <c r="E1375" s="170"/>
      <c r="F1375" s="170"/>
      <c r="G1375" s="170"/>
      <c r="H1375" s="170"/>
      <c r="I1375" s="170"/>
    </row>
    <row r="1376" spans="1:9">
      <c r="A1376" s="73"/>
      <c r="B1376" s="764"/>
      <c r="C1376" s="13"/>
      <c r="D1376" s="13"/>
      <c r="E1376" s="170"/>
      <c r="F1376" s="170"/>
      <c r="G1376" s="170"/>
      <c r="H1376" s="170"/>
      <c r="I1376" s="170"/>
    </row>
    <row r="1377" spans="1:9">
      <c r="A1377" s="683" t="s">
        <v>8663</v>
      </c>
      <c r="B1377" s="3871" t="s">
        <v>4134</v>
      </c>
      <c r="C1377" s="3871"/>
      <c r="D1377" s="3871"/>
      <c r="E1377" s="3871"/>
      <c r="F1377" s="3871"/>
      <c r="G1377" s="3871"/>
      <c r="H1377" s="3871"/>
      <c r="I1377" s="3871"/>
    </row>
    <row r="1378" spans="1:9">
      <c r="A1378" s="470"/>
      <c r="B1378" s="696"/>
      <c r="C1378" s="243" t="s">
        <v>140</v>
      </c>
      <c r="D1378" s="243" t="s">
        <v>343</v>
      </c>
      <c r="E1378" s="674" t="s">
        <v>344</v>
      </c>
      <c r="F1378" s="674" t="s">
        <v>482</v>
      </c>
      <c r="G1378" s="674" t="s">
        <v>483</v>
      </c>
      <c r="H1378" s="674" t="s">
        <v>170</v>
      </c>
      <c r="I1378" s="674" t="s">
        <v>171</v>
      </c>
    </row>
    <row r="1379" spans="1:9">
      <c r="A1379" s="471" t="s">
        <v>345</v>
      </c>
      <c r="B1379" s="41" t="str">
        <f>IF(PRESTA&gt;0,"OFICIAL (INCLUYE "&amp;""&amp;PRESTA*100&amp;"% PRESTACIONES)",0)</f>
        <v>OFICIAL (INCLUYE 82,22% PRESTACIONES)</v>
      </c>
      <c r="C1379" s="346">
        <v>0.1</v>
      </c>
      <c r="D1379" s="160" t="s">
        <v>346</v>
      </c>
      <c r="E1379" s="674">
        <f>+OFICI</f>
        <v>80479.625344</v>
      </c>
      <c r="F1379" s="674"/>
      <c r="G1379" s="674"/>
      <c r="H1379" s="674">
        <f>+E1379*C1379</f>
        <v>8047.9625344000005</v>
      </c>
      <c r="I1379" s="674"/>
    </row>
    <row r="1380" spans="1:9">
      <c r="A1380" s="471" t="s">
        <v>347</v>
      </c>
      <c r="B1380" s="41" t="str">
        <f>IF(PRESTA&gt;0,"AYUD. ENTENDIDO (INCLUYE "&amp;""&amp;PRESTA*100&amp;"% PRESTACIONES)",0)</f>
        <v>AYUD. ENTENDIDO (INCLUYE 82,22% PRESTACIONES)</v>
      </c>
      <c r="C1380" s="346">
        <v>0.1</v>
      </c>
      <c r="D1380" s="160" t="s">
        <v>346</v>
      </c>
      <c r="E1380" s="674">
        <f>+AYUDA</f>
        <v>65389.695592000004</v>
      </c>
      <c r="F1380" s="674"/>
      <c r="G1380" s="674"/>
      <c r="H1380" s="674">
        <f>+E1380*C1380</f>
        <v>6538.9695592000007</v>
      </c>
      <c r="I1380" s="674"/>
    </row>
    <row r="1381" spans="1:9">
      <c r="A1381" s="471" t="s">
        <v>172</v>
      </c>
      <c r="B1381" s="41" t="s">
        <v>189</v>
      </c>
      <c r="C1381" s="346">
        <v>1</v>
      </c>
      <c r="D1381" s="160" t="s">
        <v>583</v>
      </c>
      <c r="E1381" s="674">
        <f>+H1382*0.05</f>
        <v>729.34660468000004</v>
      </c>
      <c r="F1381" s="674"/>
      <c r="G1381" s="674"/>
      <c r="H1381" s="674"/>
      <c r="I1381" s="674">
        <f>+E1381*C1381</f>
        <v>729.34660468000004</v>
      </c>
    </row>
    <row r="1382" spans="1:9">
      <c r="A1382" s="587" t="s">
        <v>190</v>
      </c>
      <c r="B1382" s="588">
        <f>SUM(F1382:I1382)</f>
        <v>15316.278698280001</v>
      </c>
      <c r="C1382" s="160"/>
      <c r="D1382" s="169"/>
      <c r="E1382" s="674"/>
      <c r="F1382" s="674">
        <f>SUM(F1378:F1381)</f>
        <v>0</v>
      </c>
      <c r="G1382" s="674">
        <f>SUM(G1378:G1381)</f>
        <v>0</v>
      </c>
      <c r="H1382" s="674">
        <f>SUM(H1378:H1381)</f>
        <v>14586.9320936</v>
      </c>
      <c r="I1382" s="674">
        <f>SUM(I1378:I1381)</f>
        <v>729.34660468000004</v>
      </c>
    </row>
    <row r="1383" spans="1:9">
      <c r="A1383" s="587" t="s">
        <v>191</v>
      </c>
      <c r="B1383" s="39">
        <f>+B1382</f>
        <v>15316.278698280001</v>
      </c>
      <c r="C1383" s="20" t="s">
        <v>363</v>
      </c>
      <c r="D1383" s="13"/>
      <c r="E1383" s="673"/>
      <c r="F1383" s="673"/>
      <c r="G1383" s="673"/>
      <c r="H1383" s="673"/>
      <c r="I1383" s="673"/>
    </row>
    <row r="1384" spans="1:9">
      <c r="A1384" s="73"/>
      <c r="B1384" s="764"/>
      <c r="C1384" s="765"/>
      <c r="D1384" s="13"/>
      <c r="E1384" s="673"/>
      <c r="F1384" s="673"/>
      <c r="G1384" s="673"/>
      <c r="H1384" s="673"/>
      <c r="I1384" s="673"/>
    </row>
    <row r="1385" spans="1:9">
      <c r="A1385" s="714" t="s">
        <v>8664</v>
      </c>
      <c r="B1385" s="3873" t="s">
        <v>4135</v>
      </c>
      <c r="C1385" s="3873"/>
      <c r="D1385" s="3873"/>
      <c r="E1385" s="3873"/>
      <c r="F1385" s="3873"/>
      <c r="G1385" s="3873"/>
      <c r="H1385" s="3873"/>
      <c r="I1385" s="3873"/>
    </row>
    <row r="1386" spans="1:9">
      <c r="A1386" s="470"/>
      <c r="B1386" s="696"/>
      <c r="C1386" s="243" t="s">
        <v>140</v>
      </c>
      <c r="D1386" s="243" t="s">
        <v>343</v>
      </c>
      <c r="E1386" s="674" t="s">
        <v>344</v>
      </c>
      <c r="F1386" s="674" t="s">
        <v>482</v>
      </c>
      <c r="G1386" s="674" t="s">
        <v>483</v>
      </c>
      <c r="H1386" s="674" t="s">
        <v>170</v>
      </c>
      <c r="I1386" s="674" t="s">
        <v>171</v>
      </c>
    </row>
    <row r="1387" spans="1:9">
      <c r="A1387" s="471" t="s">
        <v>213</v>
      </c>
      <c r="B1387" s="41" t="s">
        <v>4136</v>
      </c>
      <c r="C1387" s="346">
        <v>1</v>
      </c>
      <c r="D1387" s="160" t="s">
        <v>363</v>
      </c>
      <c r="E1387" s="674">
        <f>210000*1.16</f>
        <v>243599.99999999997</v>
      </c>
      <c r="F1387" s="674"/>
      <c r="G1387" s="674">
        <f>+E1387*C1387</f>
        <v>243599.99999999997</v>
      </c>
      <c r="H1387" s="674"/>
      <c r="I1387" s="674"/>
    </row>
    <row r="1388" spans="1:9">
      <c r="A1388" s="471" t="s">
        <v>584</v>
      </c>
      <c r="B1388" s="41" t="s">
        <v>134</v>
      </c>
      <c r="C1388" s="684">
        <v>1.5E-3</v>
      </c>
      <c r="D1388" s="6" t="s">
        <v>583</v>
      </c>
      <c r="E1388" s="32">
        <f>+VIAJE</f>
        <v>1200000</v>
      </c>
      <c r="F1388" s="674"/>
      <c r="G1388" s="674"/>
      <c r="H1388" s="674"/>
      <c r="I1388" s="674">
        <f>+E1388*C1388</f>
        <v>1800</v>
      </c>
    </row>
    <row r="1389" spans="1:9">
      <c r="A1389" s="587" t="s">
        <v>190</v>
      </c>
      <c r="B1389" s="588">
        <f>SUM(F1389:I1389)</f>
        <v>245399.99999999997</v>
      </c>
      <c r="C1389" s="160"/>
      <c r="D1389" s="169"/>
      <c r="E1389" s="674"/>
      <c r="F1389" s="674">
        <f>SUM(F1386:F1388)</f>
        <v>0</v>
      </c>
      <c r="G1389" s="674">
        <f>SUM(G1386:G1388)</f>
        <v>243599.99999999997</v>
      </c>
      <c r="H1389" s="674">
        <f>SUM(H1386:H1388)</f>
        <v>0</v>
      </c>
      <c r="I1389" s="674">
        <f>SUM(I1386:I1388)</f>
        <v>1800</v>
      </c>
    </row>
    <row r="1390" spans="1:9">
      <c r="A1390" s="587" t="s">
        <v>191</v>
      </c>
      <c r="B1390" s="39">
        <f>+B1389</f>
        <v>245399.99999999997</v>
      </c>
      <c r="C1390" s="20" t="s">
        <v>363</v>
      </c>
      <c r="D1390" s="13"/>
      <c r="E1390" s="673"/>
      <c r="F1390" s="673"/>
      <c r="G1390" s="673"/>
      <c r="H1390" s="673"/>
      <c r="I1390" s="673"/>
    </row>
    <row r="1391" spans="1:9">
      <c r="A1391" s="73"/>
      <c r="B1391" s="764"/>
      <c r="C1391" s="765"/>
      <c r="D1391" s="13"/>
      <c r="E1391" s="673"/>
      <c r="F1391" s="673"/>
      <c r="G1391" s="673"/>
      <c r="H1391" s="673"/>
      <c r="I1391" s="673"/>
    </row>
    <row r="1392" spans="1:9">
      <c r="A1392" s="594" t="s">
        <v>8665</v>
      </c>
      <c r="B1392" s="3871" t="s">
        <v>4137</v>
      </c>
      <c r="C1392" s="3871"/>
      <c r="D1392" s="3871"/>
      <c r="E1392" s="3871"/>
      <c r="F1392" s="3871"/>
      <c r="G1392" s="3871"/>
      <c r="H1392" s="3871"/>
      <c r="I1392" s="3871"/>
    </row>
    <row r="1393" spans="1:9">
      <c r="A1393" s="243"/>
      <c r="B1393" s="696"/>
      <c r="C1393" s="243" t="s">
        <v>140</v>
      </c>
      <c r="D1393" s="243" t="s">
        <v>343</v>
      </c>
      <c r="E1393" s="65" t="s">
        <v>344</v>
      </c>
      <c r="F1393" s="65" t="s">
        <v>482</v>
      </c>
      <c r="G1393" s="65" t="s">
        <v>483</v>
      </c>
      <c r="H1393" s="65" t="s">
        <v>170</v>
      </c>
      <c r="I1393" s="65" t="s">
        <v>171</v>
      </c>
    </row>
    <row r="1394" spans="1:9">
      <c r="A1394" s="243" t="s">
        <v>172</v>
      </c>
      <c r="B1394" s="696" t="s">
        <v>189</v>
      </c>
      <c r="C1394" s="370">
        <v>1</v>
      </c>
      <c r="D1394" s="243" t="s">
        <v>583</v>
      </c>
      <c r="E1394" s="65">
        <f>+H1397*0.05</f>
        <v>729.34660468000004</v>
      </c>
      <c r="F1394" s="65"/>
      <c r="G1394" s="65"/>
      <c r="H1394" s="65"/>
      <c r="I1394" s="65">
        <f>+E1394*C1394</f>
        <v>729.34660468000004</v>
      </c>
    </row>
    <row r="1395" spans="1:9">
      <c r="A1395" s="243" t="s">
        <v>345</v>
      </c>
      <c r="B1395" s="696" t="str">
        <f>IF(PRESTA&gt;0,"OFICIAL (INCLUYE "&amp;""&amp;PRESTA*100&amp;"% PRESTACIONES)",0)</f>
        <v>OFICIAL (INCLUYE 82,22% PRESTACIONES)</v>
      </c>
      <c r="C1395" s="370">
        <v>0.1</v>
      </c>
      <c r="D1395" s="243" t="s">
        <v>346</v>
      </c>
      <c r="E1395" s="65">
        <f>+OFICI</f>
        <v>80479.625344</v>
      </c>
      <c r="F1395" s="65"/>
      <c r="G1395" s="65"/>
      <c r="H1395" s="65">
        <f>+E1395*C1395</f>
        <v>8047.9625344000005</v>
      </c>
      <c r="I1395" s="65"/>
    </row>
    <row r="1396" spans="1:9">
      <c r="A1396" s="243" t="s">
        <v>347</v>
      </c>
      <c r="B1396" s="696" t="str">
        <f>IF(PRESTA&gt;0,"AYUD. ENTENDIDO (INCLUYE "&amp;""&amp;PRESTA*100&amp;"% PRESTACIONES)",0)</f>
        <v>AYUD. ENTENDIDO (INCLUYE 82,22% PRESTACIONES)</v>
      </c>
      <c r="C1396" s="370">
        <v>0.1</v>
      </c>
      <c r="D1396" s="243" t="s">
        <v>346</v>
      </c>
      <c r="E1396" s="65">
        <f>+AYUDA</f>
        <v>65389.695592000004</v>
      </c>
      <c r="F1396" s="65"/>
      <c r="G1396" s="65"/>
      <c r="H1396" s="65">
        <f>+E1396*C1396</f>
        <v>6538.9695592000007</v>
      </c>
      <c r="I1396" s="65"/>
    </row>
    <row r="1397" spans="1:9">
      <c r="A1397" s="20" t="s">
        <v>190</v>
      </c>
      <c r="B1397" s="39">
        <f>SUM(F1397:I1397)</f>
        <v>15316.278698280001</v>
      </c>
      <c r="C1397" s="34"/>
      <c r="D1397" s="243"/>
      <c r="E1397" s="65"/>
      <c r="F1397" s="65">
        <f>+SUM(F1394:F1396)</f>
        <v>0</v>
      </c>
      <c r="G1397" s="65">
        <f>+SUM(G1394:G1396)</f>
        <v>0</v>
      </c>
      <c r="H1397" s="65">
        <f>+SUM(H1394:H1396)</f>
        <v>14586.9320936</v>
      </c>
      <c r="I1397" s="65">
        <f>+SUM(I1394:I1396)</f>
        <v>729.34660468000004</v>
      </c>
    </row>
    <row r="1398" spans="1:9">
      <c r="A1398" s="20" t="s">
        <v>191</v>
      </c>
      <c r="B1398" s="39">
        <f>+B1397</f>
        <v>15316.278698280001</v>
      </c>
      <c r="C1398" s="21" t="s">
        <v>363</v>
      </c>
      <c r="D1398" s="492"/>
      <c r="E1398" s="730"/>
      <c r="F1398" s="730"/>
      <c r="G1398" s="730"/>
      <c r="H1398" s="730"/>
      <c r="I1398" s="730"/>
    </row>
    <row r="1399" spans="1:9" ht="13.2">
      <c r="A1399" s="711"/>
      <c r="B1399" s="492"/>
      <c r="C1399" s="728"/>
      <c r="D1399" s="492"/>
      <c r="E1399" s="730"/>
      <c r="F1399" s="730"/>
      <c r="G1399" s="730"/>
      <c r="H1399" s="730"/>
      <c r="I1399" s="730"/>
    </row>
    <row r="1400" spans="1:9">
      <c r="A1400" s="724" t="s">
        <v>8666</v>
      </c>
      <c r="B1400" s="3873" t="s">
        <v>4138</v>
      </c>
      <c r="C1400" s="3873"/>
      <c r="D1400" s="3873"/>
      <c r="E1400" s="3873"/>
      <c r="F1400" s="3873"/>
      <c r="G1400" s="3873"/>
      <c r="H1400" s="3873"/>
      <c r="I1400" s="3873"/>
    </row>
    <row r="1401" spans="1:9">
      <c r="A1401" s="243"/>
      <c r="B1401" s="696"/>
      <c r="C1401" s="243" t="s">
        <v>140</v>
      </c>
      <c r="D1401" s="243" t="s">
        <v>343</v>
      </c>
      <c r="E1401" s="65" t="s">
        <v>344</v>
      </c>
      <c r="F1401" s="65" t="s">
        <v>482</v>
      </c>
      <c r="G1401" s="65" t="s">
        <v>483</v>
      </c>
      <c r="H1401" s="65" t="s">
        <v>170</v>
      </c>
      <c r="I1401" s="65" t="s">
        <v>171</v>
      </c>
    </row>
    <row r="1402" spans="1:9">
      <c r="A1402" s="243"/>
      <c r="B1402" s="696" t="s">
        <v>1426</v>
      </c>
      <c r="C1402" s="370">
        <v>1</v>
      </c>
      <c r="D1402" s="243" t="s">
        <v>363</v>
      </c>
      <c r="E1402" s="65">
        <v>60000</v>
      </c>
      <c r="F1402" s="65"/>
      <c r="G1402" s="65">
        <f>+E1402*C1402</f>
        <v>60000</v>
      </c>
      <c r="H1402" s="65"/>
      <c r="I1402" s="65"/>
    </row>
    <row r="1403" spans="1:9">
      <c r="A1403" s="243" t="s">
        <v>584</v>
      </c>
      <c r="B1403" s="696" t="s">
        <v>134</v>
      </c>
      <c r="C1403" s="370">
        <v>1E-3</v>
      </c>
      <c r="D1403" s="243" t="s">
        <v>583</v>
      </c>
      <c r="E1403" s="65">
        <f>+VIAJE</f>
        <v>1200000</v>
      </c>
      <c r="F1403" s="65"/>
      <c r="G1403" s="65"/>
      <c r="H1403" s="65"/>
      <c r="I1403" s="65">
        <f>+E1403*C1403</f>
        <v>1200</v>
      </c>
    </row>
    <row r="1404" spans="1:9">
      <c r="A1404" s="20" t="s">
        <v>190</v>
      </c>
      <c r="B1404" s="39">
        <f>SUM(F1404:I1404)</f>
        <v>61200</v>
      </c>
      <c r="C1404" s="34"/>
      <c r="D1404" s="243"/>
      <c r="E1404" s="65"/>
      <c r="F1404" s="65">
        <f>+SUM(F1402:F1403)</f>
        <v>0</v>
      </c>
      <c r="G1404" s="65">
        <f>+SUM(G1402:G1403)</f>
        <v>60000</v>
      </c>
      <c r="H1404" s="65">
        <f>+SUM(H1402:H1403)</f>
        <v>0</v>
      </c>
      <c r="I1404" s="65">
        <f>+SUM(I1402:I1403)</f>
        <v>1200</v>
      </c>
    </row>
    <row r="1405" spans="1:9">
      <c r="A1405" s="20" t="s">
        <v>191</v>
      </c>
      <c r="B1405" s="39">
        <f>+B1404</f>
        <v>61200</v>
      </c>
      <c r="C1405" s="21" t="s">
        <v>363</v>
      </c>
      <c r="D1405" s="492"/>
      <c r="E1405" s="730"/>
      <c r="F1405" s="730"/>
      <c r="G1405" s="730"/>
      <c r="H1405" s="730"/>
      <c r="I1405" s="730"/>
    </row>
    <row r="1406" spans="1:9" ht="13.2">
      <c r="A1406" s="711"/>
      <c r="B1406" s="492"/>
      <c r="C1406" s="728"/>
      <c r="D1406" s="492"/>
      <c r="E1406" s="730"/>
      <c r="F1406" s="730"/>
      <c r="G1406" s="730"/>
      <c r="H1406" s="730"/>
      <c r="I1406" s="730"/>
    </row>
    <row r="1407" spans="1:9">
      <c r="A1407" s="668" t="s">
        <v>8667</v>
      </c>
      <c r="B1407" s="3855" t="s">
        <v>4139</v>
      </c>
      <c r="C1407" s="3856"/>
      <c r="D1407" s="3856"/>
      <c r="E1407" s="3856"/>
      <c r="F1407" s="3856"/>
      <c r="G1407" s="3856"/>
      <c r="H1407" s="3856"/>
      <c r="I1407" s="3857"/>
    </row>
    <row r="1408" spans="1:9">
      <c r="A1408" s="243"/>
      <c r="B1408" s="696"/>
      <c r="C1408" s="243" t="s">
        <v>140</v>
      </c>
      <c r="D1408" s="243" t="s">
        <v>343</v>
      </c>
      <c r="E1408" s="674" t="s">
        <v>344</v>
      </c>
      <c r="F1408" s="674" t="s">
        <v>482</v>
      </c>
      <c r="G1408" s="674" t="s">
        <v>483</v>
      </c>
      <c r="H1408" s="674" t="s">
        <v>170</v>
      </c>
      <c r="I1408" s="674" t="s">
        <v>171</v>
      </c>
    </row>
    <row r="1409" spans="1:9">
      <c r="A1409" s="2" t="s">
        <v>345</v>
      </c>
      <c r="B1409" s="41" t="str">
        <f>IF(PRESTA&gt;0,"OFICIAL (INCLUYE "&amp;""&amp;PRESTA*100&amp;"% PRESTACIONES)",0)</f>
        <v>OFICIAL (INCLUYE 82,22% PRESTACIONES)</v>
      </c>
      <c r="C1409" s="346">
        <v>0.04</v>
      </c>
      <c r="D1409" s="160" t="s">
        <v>346</v>
      </c>
      <c r="E1409" s="674">
        <f>+OFICI</f>
        <v>80479.625344</v>
      </c>
      <c r="F1409" s="674"/>
      <c r="G1409" s="674"/>
      <c r="H1409" s="674">
        <f>+E1409*C1409</f>
        <v>3219.1850137599999</v>
      </c>
      <c r="I1409" s="674"/>
    </row>
    <row r="1410" spans="1:9">
      <c r="A1410" s="2" t="s">
        <v>347</v>
      </c>
      <c r="B1410" s="41" t="str">
        <f>IF(PRESTA&gt;0,"AYUD. ENTENDIDO (INCLUYE "&amp;""&amp;PRESTA*100&amp;"% PRESTACIONES)",0)</f>
        <v>AYUD. ENTENDIDO (INCLUYE 82,22% PRESTACIONES)</v>
      </c>
      <c r="C1410" s="346">
        <v>0.04</v>
      </c>
      <c r="D1410" s="160" t="s">
        <v>346</v>
      </c>
      <c r="E1410" s="674">
        <f>AYUDA</f>
        <v>65389.695592000004</v>
      </c>
      <c r="F1410" s="674"/>
      <c r="G1410" s="674"/>
      <c r="H1410" s="674">
        <f>+E1410*C1410</f>
        <v>2615.5878236800004</v>
      </c>
      <c r="I1410" s="674"/>
    </row>
    <row r="1411" spans="1:9">
      <c r="A1411" s="2" t="s">
        <v>172</v>
      </c>
      <c r="B1411" s="41" t="s">
        <v>189</v>
      </c>
      <c r="C1411" s="346">
        <v>1</v>
      </c>
      <c r="D1411" s="160" t="s">
        <v>583</v>
      </c>
      <c r="E1411" s="674">
        <f>+H1412*0.05</f>
        <v>291.73864187200002</v>
      </c>
      <c r="F1411" s="674"/>
      <c r="G1411" s="674"/>
      <c r="H1411" s="674"/>
      <c r="I1411" s="674">
        <f>+E1411*C1411</f>
        <v>291.73864187200002</v>
      </c>
    </row>
    <row r="1412" spans="1:9">
      <c r="A1412" s="587" t="s">
        <v>190</v>
      </c>
      <c r="B1412" s="588">
        <f>SUM(F1412:I1412)</f>
        <v>6126.5114793120001</v>
      </c>
      <c r="C1412" s="160"/>
      <c r="D1412" s="169"/>
      <c r="E1412" s="674"/>
      <c r="F1412" s="674">
        <f>SUM(F1407:F1411)</f>
        <v>0</v>
      </c>
      <c r="G1412" s="674">
        <f>SUM(G1407:G1411)</f>
        <v>0</v>
      </c>
      <c r="H1412" s="674">
        <f>SUM(H1407:H1411)</f>
        <v>5834.7728374400003</v>
      </c>
      <c r="I1412" s="674">
        <f>SUM(I1407:I1411)</f>
        <v>291.73864187200002</v>
      </c>
    </row>
    <row r="1413" spans="1:9">
      <c r="A1413" s="587" t="s">
        <v>191</v>
      </c>
      <c r="B1413" s="39">
        <f>+B1412</f>
        <v>6126.5114793120001</v>
      </c>
      <c r="C1413" s="688" t="s">
        <v>94</v>
      </c>
      <c r="D1413" s="13"/>
      <c r="E1413" s="673"/>
      <c r="F1413" s="673"/>
      <c r="G1413" s="673"/>
      <c r="H1413" s="673"/>
      <c r="I1413" s="673"/>
    </row>
    <row r="1414" spans="1:9">
      <c r="A1414" s="73"/>
      <c r="B1414" s="764"/>
      <c r="C1414" s="765"/>
      <c r="D1414" s="13"/>
      <c r="E1414" s="673"/>
      <c r="F1414" s="673"/>
      <c r="G1414" s="673"/>
      <c r="H1414" s="673"/>
      <c r="I1414" s="673"/>
    </row>
    <row r="1415" spans="1:9">
      <c r="A1415" s="387" t="s">
        <v>8668</v>
      </c>
      <c r="B1415" s="3883" t="s">
        <v>4140</v>
      </c>
      <c r="C1415" s="3884"/>
      <c r="D1415" s="3884"/>
      <c r="E1415" s="3884"/>
      <c r="F1415" s="3884"/>
      <c r="G1415" s="3884"/>
      <c r="H1415" s="3884"/>
      <c r="I1415" s="3885"/>
    </row>
    <row r="1416" spans="1:9">
      <c r="A1416" s="243"/>
      <c r="B1416" s="696"/>
      <c r="C1416" s="243" t="s">
        <v>140</v>
      </c>
      <c r="D1416" s="243" t="s">
        <v>343</v>
      </c>
      <c r="E1416" s="674" t="s">
        <v>344</v>
      </c>
      <c r="F1416" s="674" t="s">
        <v>482</v>
      </c>
      <c r="G1416" s="674" t="s">
        <v>483</v>
      </c>
      <c r="H1416" s="674" t="s">
        <v>170</v>
      </c>
      <c r="I1416" s="674" t="s">
        <v>171</v>
      </c>
    </row>
    <row r="1417" spans="1:9">
      <c r="A1417" s="2" t="s">
        <v>467</v>
      </c>
      <c r="B1417" s="41" t="s">
        <v>4141</v>
      </c>
      <c r="C1417" s="346">
        <v>1</v>
      </c>
      <c r="D1417" s="160" t="s">
        <v>45</v>
      </c>
      <c r="E1417" s="674">
        <f>24425*1.16</f>
        <v>28332.999999999996</v>
      </c>
      <c r="F1417" s="674"/>
      <c r="G1417" s="674">
        <f>+E1417*C1417</f>
        <v>28332.999999999996</v>
      </c>
      <c r="H1417" s="674"/>
      <c r="I1417" s="674"/>
    </row>
    <row r="1418" spans="1:9">
      <c r="A1418" s="2" t="s">
        <v>584</v>
      </c>
      <c r="B1418" s="41" t="s">
        <v>134</v>
      </c>
      <c r="C1418" s="346">
        <v>1E-3</v>
      </c>
      <c r="D1418" s="160" t="s">
        <v>583</v>
      </c>
      <c r="E1418" s="674">
        <f>+VIAJE</f>
        <v>1200000</v>
      </c>
      <c r="F1418" s="674"/>
      <c r="G1418" s="674"/>
      <c r="H1418" s="674"/>
      <c r="I1418" s="674">
        <f>+E1418*C1418</f>
        <v>1200</v>
      </c>
    </row>
    <row r="1419" spans="1:9">
      <c r="A1419" s="587" t="s">
        <v>190</v>
      </c>
      <c r="B1419" s="588">
        <f>SUM(F1419:I1419)</f>
        <v>29532.999999999996</v>
      </c>
      <c r="C1419" s="160"/>
      <c r="D1419" s="169"/>
      <c r="E1419" s="674"/>
      <c r="F1419" s="674">
        <f>SUM(F1415:F1418)</f>
        <v>0</v>
      </c>
      <c r="G1419" s="674">
        <f>SUM(G1415:G1418)</f>
        <v>28332.999999999996</v>
      </c>
      <c r="H1419" s="674">
        <f>SUM(H1415:H1418)</f>
        <v>0</v>
      </c>
      <c r="I1419" s="674">
        <f>SUM(I1415:I1418)</f>
        <v>1200</v>
      </c>
    </row>
    <row r="1420" spans="1:9">
      <c r="A1420" s="587" t="s">
        <v>191</v>
      </c>
      <c r="B1420" s="39">
        <f>+B1419</f>
        <v>29532.999999999996</v>
      </c>
      <c r="C1420" s="688" t="s">
        <v>94</v>
      </c>
      <c r="D1420" s="13"/>
      <c r="E1420" s="673"/>
      <c r="F1420" s="673"/>
      <c r="G1420" s="673"/>
      <c r="H1420" s="673"/>
      <c r="I1420" s="673"/>
    </row>
    <row r="1421" spans="1:9">
      <c r="A1421" s="73"/>
      <c r="B1421" s="764"/>
      <c r="C1421" s="765"/>
      <c r="D1421" s="13"/>
      <c r="E1421" s="673"/>
      <c r="F1421" s="673"/>
      <c r="G1421" s="673"/>
      <c r="H1421" s="673"/>
      <c r="I1421" s="673"/>
    </row>
    <row r="1422" spans="1:9">
      <c r="A1422" s="594" t="s">
        <v>8669</v>
      </c>
      <c r="B1422" s="3871" t="s">
        <v>4137</v>
      </c>
      <c r="C1422" s="3871"/>
      <c r="D1422" s="3871"/>
      <c r="E1422" s="3871"/>
      <c r="F1422" s="3871"/>
      <c r="G1422" s="3871"/>
      <c r="H1422" s="3871"/>
      <c r="I1422" s="3871"/>
    </row>
    <row r="1423" spans="1:9">
      <c r="A1423" s="243"/>
      <c r="B1423" s="696"/>
      <c r="C1423" s="243" t="s">
        <v>140</v>
      </c>
      <c r="D1423" s="243" t="s">
        <v>343</v>
      </c>
      <c r="E1423" s="65" t="s">
        <v>344</v>
      </c>
      <c r="F1423" s="65" t="s">
        <v>482</v>
      </c>
      <c r="G1423" s="65" t="s">
        <v>483</v>
      </c>
      <c r="H1423" s="65" t="s">
        <v>170</v>
      </c>
      <c r="I1423" s="65" t="s">
        <v>171</v>
      </c>
    </row>
    <row r="1424" spans="1:9">
      <c r="A1424" s="243" t="s">
        <v>172</v>
      </c>
      <c r="B1424" s="696" t="s">
        <v>189</v>
      </c>
      <c r="C1424" s="370">
        <v>1</v>
      </c>
      <c r="D1424" s="243" t="s">
        <v>583</v>
      </c>
      <c r="E1424" s="65">
        <f>+H1427*0.05</f>
        <v>729.34660468000004</v>
      </c>
      <c r="F1424" s="65"/>
      <c r="G1424" s="65"/>
      <c r="H1424" s="65"/>
      <c r="I1424" s="65">
        <f>+E1424*C1424</f>
        <v>729.34660468000004</v>
      </c>
    </row>
    <row r="1425" spans="1:9">
      <c r="A1425" s="243" t="s">
        <v>345</v>
      </c>
      <c r="B1425" s="696" t="str">
        <f>IF(PRESTA&gt;0,"OFICIAL (INCLUYE "&amp;""&amp;PRESTA*100&amp;"% PRESTACIONES)",0)</f>
        <v>OFICIAL (INCLUYE 82,22% PRESTACIONES)</v>
      </c>
      <c r="C1425" s="370">
        <v>0.1</v>
      </c>
      <c r="D1425" s="243" t="s">
        <v>346</v>
      </c>
      <c r="E1425" s="65">
        <f>+OFICI</f>
        <v>80479.625344</v>
      </c>
      <c r="F1425" s="65"/>
      <c r="G1425" s="65"/>
      <c r="H1425" s="65">
        <f>+E1425*C1425</f>
        <v>8047.9625344000005</v>
      </c>
      <c r="I1425" s="65"/>
    </row>
    <row r="1426" spans="1:9">
      <c r="A1426" s="243" t="s">
        <v>347</v>
      </c>
      <c r="B1426" s="696" t="str">
        <f>IF(PRESTA&gt;0,"AYUD. ENTENDIDO (INCLUYE "&amp;""&amp;PRESTA*100&amp;"% PRESTACIONES)",0)</f>
        <v>AYUD. ENTENDIDO (INCLUYE 82,22% PRESTACIONES)</v>
      </c>
      <c r="C1426" s="370">
        <v>0.1</v>
      </c>
      <c r="D1426" s="243" t="s">
        <v>346</v>
      </c>
      <c r="E1426" s="65">
        <f>+AYUDA</f>
        <v>65389.695592000004</v>
      </c>
      <c r="F1426" s="65"/>
      <c r="G1426" s="65"/>
      <c r="H1426" s="65">
        <f>+E1426*C1426</f>
        <v>6538.9695592000007</v>
      </c>
      <c r="I1426" s="65"/>
    </row>
    <row r="1427" spans="1:9">
      <c r="A1427" s="20" t="s">
        <v>190</v>
      </c>
      <c r="B1427" s="39">
        <f>SUM(F1427:I1427)</f>
        <v>15316.278698280001</v>
      </c>
      <c r="C1427" s="34"/>
      <c r="D1427" s="243"/>
      <c r="E1427" s="65"/>
      <c r="F1427" s="65">
        <f>+SUM(F1424:F1426)</f>
        <v>0</v>
      </c>
      <c r="G1427" s="65">
        <f>+SUM(G1424:G1426)</f>
        <v>0</v>
      </c>
      <c r="H1427" s="65">
        <f>+SUM(H1424:H1426)</f>
        <v>14586.9320936</v>
      </c>
      <c r="I1427" s="65">
        <f>+SUM(I1424:I1426)</f>
        <v>729.34660468000004</v>
      </c>
    </row>
    <row r="1428" spans="1:9">
      <c r="A1428" s="20" t="s">
        <v>191</v>
      </c>
      <c r="B1428" s="39">
        <f>+B1427</f>
        <v>15316.278698280001</v>
      </c>
      <c r="C1428" s="21" t="s">
        <v>363</v>
      </c>
      <c r="D1428" s="492"/>
      <c r="E1428" s="730"/>
      <c r="F1428" s="730"/>
      <c r="G1428" s="730"/>
      <c r="H1428" s="730"/>
      <c r="I1428" s="730"/>
    </row>
    <row r="1429" spans="1:9">
      <c r="A1429" s="13"/>
      <c r="B1429" s="679"/>
      <c r="C1429" s="13"/>
      <c r="D1429" s="13"/>
      <c r="E1429" s="673"/>
      <c r="F1429" s="673"/>
      <c r="G1429" s="673"/>
      <c r="H1429" s="673"/>
      <c r="I1429" s="673"/>
    </row>
    <row r="1430" spans="1:9">
      <c r="A1430" s="724" t="s">
        <v>8670</v>
      </c>
      <c r="B1430" s="3873" t="s">
        <v>4138</v>
      </c>
      <c r="C1430" s="3873"/>
      <c r="D1430" s="3873"/>
      <c r="E1430" s="3873"/>
      <c r="F1430" s="3873"/>
      <c r="G1430" s="3873"/>
      <c r="H1430" s="3873"/>
      <c r="I1430" s="3873"/>
    </row>
    <row r="1431" spans="1:9">
      <c r="A1431" s="243"/>
      <c r="B1431" s="696"/>
      <c r="C1431" s="243" t="s">
        <v>140</v>
      </c>
      <c r="D1431" s="243" t="s">
        <v>343</v>
      </c>
      <c r="E1431" s="65" t="s">
        <v>344</v>
      </c>
      <c r="F1431" s="65" t="s">
        <v>482</v>
      </c>
      <c r="G1431" s="65" t="s">
        <v>483</v>
      </c>
      <c r="H1431" s="65" t="s">
        <v>170</v>
      </c>
      <c r="I1431" s="65" t="s">
        <v>171</v>
      </c>
    </row>
    <row r="1432" spans="1:9">
      <c r="A1432" s="243"/>
      <c r="B1432" s="696" t="s">
        <v>1426</v>
      </c>
      <c r="C1432" s="370">
        <v>1</v>
      </c>
      <c r="D1432" s="243" t="s">
        <v>363</v>
      </c>
      <c r="E1432" s="65">
        <v>49630</v>
      </c>
      <c r="F1432" s="65"/>
      <c r="G1432" s="65">
        <f>+E1432*C1432</f>
        <v>49630</v>
      </c>
      <c r="H1432" s="65"/>
      <c r="I1432" s="65"/>
    </row>
    <row r="1433" spans="1:9">
      <c r="A1433" s="243" t="s">
        <v>584</v>
      </c>
      <c r="B1433" s="696" t="s">
        <v>134</v>
      </c>
      <c r="C1433" s="370">
        <v>1E-3</v>
      </c>
      <c r="D1433" s="243" t="s">
        <v>583</v>
      </c>
      <c r="E1433" s="65">
        <f>+VIAJE</f>
        <v>1200000</v>
      </c>
      <c r="F1433" s="65"/>
      <c r="G1433" s="65"/>
      <c r="H1433" s="65"/>
      <c r="I1433" s="65">
        <f>+E1433*C1433</f>
        <v>1200</v>
      </c>
    </row>
    <row r="1434" spans="1:9">
      <c r="A1434" s="20" t="s">
        <v>190</v>
      </c>
      <c r="B1434" s="39">
        <f>SUM(F1434:I1434)</f>
        <v>50830</v>
      </c>
      <c r="C1434" s="34"/>
      <c r="D1434" s="243"/>
      <c r="E1434" s="65"/>
      <c r="F1434" s="65">
        <f>+SUM(F1432:F1433)</f>
        <v>0</v>
      </c>
      <c r="G1434" s="65">
        <f>+SUM(G1432:G1433)</f>
        <v>49630</v>
      </c>
      <c r="H1434" s="65">
        <f>+SUM(H1432:H1433)</f>
        <v>0</v>
      </c>
      <c r="I1434" s="65">
        <f>+SUM(I1432:I1433)</f>
        <v>1200</v>
      </c>
    </row>
    <row r="1435" spans="1:9">
      <c r="A1435" s="20" t="s">
        <v>191</v>
      </c>
      <c r="B1435" s="39">
        <f>+B1434</f>
        <v>50830</v>
      </c>
      <c r="C1435" s="21" t="s">
        <v>363</v>
      </c>
      <c r="D1435" s="492"/>
      <c r="E1435" s="730"/>
      <c r="F1435" s="730"/>
      <c r="G1435" s="730"/>
      <c r="H1435" s="730"/>
      <c r="I1435" s="730"/>
    </row>
    <row r="1436" spans="1:9">
      <c r="A1436" s="13"/>
      <c r="B1436" s="679"/>
      <c r="C1436" s="13"/>
      <c r="D1436" s="13"/>
      <c r="E1436" s="673"/>
      <c r="F1436" s="673"/>
      <c r="G1436" s="673"/>
      <c r="H1436" s="673"/>
      <c r="I1436" s="673"/>
    </row>
    <row r="1437" spans="1:9">
      <c r="A1437" s="683" t="s">
        <v>8671</v>
      </c>
      <c r="B1437" s="3871" t="s">
        <v>4142</v>
      </c>
      <c r="C1437" s="3871"/>
      <c r="D1437" s="3871"/>
      <c r="E1437" s="3871"/>
      <c r="F1437" s="3871"/>
      <c r="G1437" s="3871"/>
      <c r="H1437" s="3871"/>
      <c r="I1437" s="3871"/>
    </row>
    <row r="1438" spans="1:9">
      <c r="A1438" s="470"/>
      <c r="B1438" s="696"/>
      <c r="C1438" s="243" t="s">
        <v>140</v>
      </c>
      <c r="D1438" s="243" t="s">
        <v>343</v>
      </c>
      <c r="E1438" s="674" t="s">
        <v>344</v>
      </c>
      <c r="F1438" s="674" t="s">
        <v>482</v>
      </c>
      <c r="G1438" s="674" t="s">
        <v>483</v>
      </c>
      <c r="H1438" s="674" t="s">
        <v>170</v>
      </c>
      <c r="I1438" s="674" t="s">
        <v>171</v>
      </c>
    </row>
    <row r="1439" spans="1:9">
      <c r="A1439" s="471" t="s">
        <v>345</v>
      </c>
      <c r="B1439" s="41" t="str">
        <f>IF(PRESTA&gt;0,"OFICIAL (INCLUYE "&amp;""&amp;PRESTA*100&amp;"% PRESTACIONES)",0)</f>
        <v>OFICIAL (INCLUYE 82,22% PRESTACIONES)</v>
      </c>
      <c r="C1439" s="346">
        <v>0.1</v>
      </c>
      <c r="D1439" s="160" t="s">
        <v>346</v>
      </c>
      <c r="E1439" s="674">
        <f>+OFICI</f>
        <v>80479.625344</v>
      </c>
      <c r="F1439" s="674"/>
      <c r="G1439" s="674"/>
      <c r="H1439" s="674">
        <f>+E1439*C1439</f>
        <v>8047.9625344000005</v>
      </c>
      <c r="I1439" s="674"/>
    </row>
    <row r="1440" spans="1:9">
      <c r="A1440" s="471" t="s">
        <v>347</v>
      </c>
      <c r="B1440" s="41" t="str">
        <f>IF(PRESTA&gt;0,"AYUD. ENTENDIDO (INCLUYE "&amp;""&amp;PRESTA*100&amp;"% PRESTACIONES)",0)</f>
        <v>AYUD. ENTENDIDO (INCLUYE 82,22% PRESTACIONES)</v>
      </c>
      <c r="C1440" s="346">
        <v>0.1</v>
      </c>
      <c r="D1440" s="160" t="s">
        <v>346</v>
      </c>
      <c r="E1440" s="674">
        <f>+AYUDA</f>
        <v>65389.695592000004</v>
      </c>
      <c r="F1440" s="674"/>
      <c r="G1440" s="674"/>
      <c r="H1440" s="674">
        <f>+E1440*C1440</f>
        <v>6538.9695592000007</v>
      </c>
      <c r="I1440" s="674"/>
    </row>
    <row r="1441" spans="1:9">
      <c r="A1441" s="471" t="s">
        <v>172</v>
      </c>
      <c r="B1441" s="41" t="s">
        <v>189</v>
      </c>
      <c r="C1441" s="346">
        <v>1</v>
      </c>
      <c r="D1441" s="160" t="s">
        <v>583</v>
      </c>
      <c r="E1441" s="674">
        <f>+H1442*0.05</f>
        <v>729.34660468000004</v>
      </c>
      <c r="F1441" s="674"/>
      <c r="G1441" s="674"/>
      <c r="H1441" s="674"/>
      <c r="I1441" s="674">
        <f>+E1441*C1441</f>
        <v>729.34660468000004</v>
      </c>
    </row>
    <row r="1442" spans="1:9">
      <c r="A1442" s="587" t="s">
        <v>190</v>
      </c>
      <c r="B1442" s="588">
        <f>SUM(F1442:I1442)</f>
        <v>15316.278698280001</v>
      </c>
      <c r="C1442" s="160"/>
      <c r="D1442" s="169"/>
      <c r="E1442" s="674"/>
      <c r="F1442" s="674">
        <f>SUM(F1438:F1441)</f>
        <v>0</v>
      </c>
      <c r="G1442" s="674">
        <f>SUM(G1438:G1441)</f>
        <v>0</v>
      </c>
      <c r="H1442" s="674">
        <f>SUM(H1438:H1441)</f>
        <v>14586.9320936</v>
      </c>
      <c r="I1442" s="674">
        <f>SUM(I1438:I1441)</f>
        <v>729.34660468000004</v>
      </c>
    </row>
    <row r="1443" spans="1:9">
      <c r="A1443" s="587" t="s">
        <v>191</v>
      </c>
      <c r="B1443" s="39">
        <f>+B1442</f>
        <v>15316.278698280001</v>
      </c>
      <c r="C1443" s="20" t="s">
        <v>363</v>
      </c>
      <c r="D1443" s="13"/>
      <c r="E1443" s="673"/>
      <c r="F1443" s="673"/>
      <c r="G1443" s="673"/>
      <c r="H1443" s="673"/>
      <c r="I1443" s="673"/>
    </row>
    <row r="1444" spans="1:9">
      <c r="A1444" s="73"/>
      <c r="B1444" s="764"/>
      <c r="C1444" s="765"/>
      <c r="D1444" s="13"/>
      <c r="E1444" s="673"/>
      <c r="F1444" s="673"/>
      <c r="G1444" s="673"/>
      <c r="H1444" s="673"/>
      <c r="I1444" s="673"/>
    </row>
    <row r="1445" spans="1:9">
      <c r="A1445" s="714" t="s">
        <v>8672</v>
      </c>
      <c r="B1445" s="3873" t="s">
        <v>4143</v>
      </c>
      <c r="C1445" s="3873"/>
      <c r="D1445" s="3873"/>
      <c r="E1445" s="3873"/>
      <c r="F1445" s="3873"/>
      <c r="G1445" s="3873"/>
      <c r="H1445" s="3873"/>
      <c r="I1445" s="3873"/>
    </row>
    <row r="1446" spans="1:9">
      <c r="A1446" s="470"/>
      <c r="B1446" s="696"/>
      <c r="C1446" s="243" t="s">
        <v>140</v>
      </c>
      <c r="D1446" s="243" t="s">
        <v>343</v>
      </c>
      <c r="E1446" s="674" t="s">
        <v>344</v>
      </c>
      <c r="F1446" s="674" t="s">
        <v>482</v>
      </c>
      <c r="G1446" s="674" t="s">
        <v>483</v>
      </c>
      <c r="H1446" s="674" t="s">
        <v>170</v>
      </c>
      <c r="I1446" s="674" t="s">
        <v>171</v>
      </c>
    </row>
    <row r="1447" spans="1:9">
      <c r="A1447" s="471" t="s">
        <v>928</v>
      </c>
      <c r="B1447" s="41" t="s">
        <v>929</v>
      </c>
      <c r="C1447" s="684">
        <v>1</v>
      </c>
      <c r="D1447" s="6" t="s">
        <v>363</v>
      </c>
      <c r="E1447" s="32" t="str">
        <f>+____R32JH</f>
        <v>m³</v>
      </c>
      <c r="F1447" s="32"/>
      <c r="G1447" s="32" t="e">
        <f>+E1447*C1447</f>
        <v>#VALUE!</v>
      </c>
      <c r="H1447" s="32"/>
      <c r="I1447" s="32"/>
    </row>
    <row r="1448" spans="1:9">
      <c r="A1448" s="471" t="s">
        <v>584</v>
      </c>
      <c r="B1448" s="41" t="s">
        <v>134</v>
      </c>
      <c r="C1448" s="684">
        <v>5.0000000000000001E-3</v>
      </c>
      <c r="D1448" s="6" t="s">
        <v>583</v>
      </c>
      <c r="E1448" s="32">
        <f>+VIAJE</f>
        <v>1200000</v>
      </c>
      <c r="F1448" s="674"/>
      <c r="G1448" s="674"/>
      <c r="H1448" s="674"/>
      <c r="I1448" s="674">
        <f>+E1448*C1448</f>
        <v>6000</v>
      </c>
    </row>
    <row r="1449" spans="1:9">
      <c r="A1449" s="587" t="s">
        <v>190</v>
      </c>
      <c r="B1449" s="588" t="e">
        <f>SUM(F1449:I1449)</f>
        <v>#VALUE!</v>
      </c>
      <c r="C1449" s="160"/>
      <c r="D1449" s="169"/>
      <c r="E1449" s="674"/>
      <c r="F1449" s="674">
        <f>SUM(F1446:F1448)</f>
        <v>0</v>
      </c>
      <c r="G1449" s="674" t="e">
        <f>SUM(G1446:G1448)</f>
        <v>#VALUE!</v>
      </c>
      <c r="H1449" s="674">
        <f>SUM(H1446:H1448)</f>
        <v>0</v>
      </c>
      <c r="I1449" s="674">
        <f>SUM(I1446:I1448)</f>
        <v>6000</v>
      </c>
    </row>
    <row r="1450" spans="1:9">
      <c r="A1450" s="587" t="s">
        <v>191</v>
      </c>
      <c r="B1450" s="39" t="e">
        <f>+B1449</f>
        <v>#VALUE!</v>
      </c>
      <c r="C1450" s="20" t="s">
        <v>363</v>
      </c>
      <c r="D1450" s="13"/>
      <c r="E1450" s="673"/>
      <c r="F1450" s="673"/>
      <c r="G1450" s="673"/>
      <c r="H1450" s="673"/>
      <c r="I1450" s="673"/>
    </row>
    <row r="1451" spans="1:9">
      <c r="A1451" s="73"/>
      <c r="B1451" s="764"/>
      <c r="C1451" s="765"/>
      <c r="D1451" s="13"/>
      <c r="E1451" s="673"/>
      <c r="F1451" s="673"/>
      <c r="G1451" s="673"/>
      <c r="H1451" s="673"/>
      <c r="I1451" s="673"/>
    </row>
    <row r="1452" spans="1:9">
      <c r="A1452" s="594" t="s">
        <v>8673</v>
      </c>
      <c r="B1452" s="3871" t="s">
        <v>4144</v>
      </c>
      <c r="C1452" s="3871"/>
      <c r="D1452" s="3871"/>
      <c r="E1452" s="3871"/>
      <c r="F1452" s="3871"/>
      <c r="G1452" s="3871"/>
      <c r="H1452" s="3871"/>
      <c r="I1452" s="3871"/>
    </row>
    <row r="1453" spans="1:9">
      <c r="A1453" s="470"/>
      <c r="B1453" s="712"/>
      <c r="C1453" s="243" t="s">
        <v>140</v>
      </c>
      <c r="D1453" s="243" t="s">
        <v>343</v>
      </c>
      <c r="E1453" s="65" t="s">
        <v>344</v>
      </c>
      <c r="F1453" s="65" t="s">
        <v>482</v>
      </c>
      <c r="G1453" s="65" t="s">
        <v>483</v>
      </c>
      <c r="H1453" s="65" t="s">
        <v>170</v>
      </c>
      <c r="I1453" s="65" t="s">
        <v>171</v>
      </c>
    </row>
    <row r="1454" spans="1:9">
      <c r="A1454" s="471" t="s">
        <v>172</v>
      </c>
      <c r="B1454" s="41" t="s">
        <v>189</v>
      </c>
      <c r="C1454" s="346">
        <v>1</v>
      </c>
      <c r="D1454" s="160" t="s">
        <v>583</v>
      </c>
      <c r="E1454" s="585">
        <f>+H1458*0.05</f>
        <v>1458.6932093600001</v>
      </c>
      <c r="F1454" s="65"/>
      <c r="G1454" s="65"/>
      <c r="H1454" s="65"/>
      <c r="I1454" s="65">
        <f>+E1454*C1454</f>
        <v>1458.6932093600001</v>
      </c>
    </row>
    <row r="1455" spans="1:9">
      <c r="A1455" s="471" t="s">
        <v>345</v>
      </c>
      <c r="B1455" s="41" t="str">
        <f>IF(PRESTA&gt;0,"OFICIAL (INCLUYE "&amp;""&amp;PRESTA*100&amp;"% PRESTACIONES)",0)</f>
        <v>OFICIAL (INCLUYE 82,22% PRESTACIONES)</v>
      </c>
      <c r="C1455" s="684">
        <v>0.2</v>
      </c>
      <c r="D1455" s="6" t="s">
        <v>346</v>
      </c>
      <c r="E1455" s="585">
        <f>+OFICI</f>
        <v>80479.625344</v>
      </c>
      <c r="F1455" s="585"/>
      <c r="G1455" s="585"/>
      <c r="H1455" s="585">
        <f>+E1455*C1455</f>
        <v>16095.925068800001</v>
      </c>
      <c r="I1455" s="585"/>
    </row>
    <row r="1456" spans="1:9">
      <c r="A1456" s="471" t="s">
        <v>347</v>
      </c>
      <c r="B1456" s="41" t="str">
        <f>IF(PRESTA&gt;0,"AYUD. ENTENDIDO (INCLUYE "&amp;""&amp;PRESTA*100&amp;"% PRESTACIONES)",0)</f>
        <v>AYUD. ENTENDIDO (INCLUYE 82,22% PRESTACIONES)</v>
      </c>
      <c r="C1456" s="346">
        <v>0.2</v>
      </c>
      <c r="D1456" s="160" t="s">
        <v>346</v>
      </c>
      <c r="E1456" s="585">
        <f>+AYUDA</f>
        <v>65389.695592000004</v>
      </c>
      <c r="F1456" s="65"/>
      <c r="G1456" s="65"/>
      <c r="H1456" s="65">
        <f>+E1456*C1456</f>
        <v>13077.939118400001</v>
      </c>
      <c r="I1456" s="65"/>
    </row>
    <row r="1457" spans="1:9">
      <c r="A1457" s="471" t="s">
        <v>770</v>
      </c>
      <c r="B1457" s="41" t="s">
        <v>771</v>
      </c>
      <c r="C1457" s="346">
        <v>0.2</v>
      </c>
      <c r="D1457" s="160" t="s">
        <v>133</v>
      </c>
      <c r="E1457" s="585">
        <f>+LUBRI</f>
        <v>12500.1</v>
      </c>
      <c r="F1457" s="65"/>
      <c r="G1457" s="65">
        <f>+E1457*C1457</f>
        <v>2500.0200000000004</v>
      </c>
      <c r="H1457" s="65"/>
      <c r="I1457" s="65"/>
    </row>
    <row r="1458" spans="1:9">
      <c r="A1458" s="587" t="s">
        <v>190</v>
      </c>
      <c r="B1458" s="588">
        <f>SUM(F1458:I1458)</f>
        <v>33132.577396560002</v>
      </c>
      <c r="C1458" s="160"/>
      <c r="D1458" s="169"/>
      <c r="E1458" s="585"/>
      <c r="F1458" s="585">
        <f>SUM(F1454:F1457)</f>
        <v>0</v>
      </c>
      <c r="G1458" s="585">
        <f>SUM(G1454:G1457)</f>
        <v>2500.0200000000004</v>
      </c>
      <c r="H1458" s="585">
        <f>SUM(H1454:H1457)</f>
        <v>29173.864187200001</v>
      </c>
      <c r="I1458" s="585">
        <f>SUM(I1454:I1457)</f>
        <v>1458.6932093600001</v>
      </c>
    </row>
    <row r="1459" spans="1:9">
      <c r="A1459" s="587" t="s">
        <v>191</v>
      </c>
      <c r="B1459" s="39">
        <f>+B1458</f>
        <v>33132.577396560002</v>
      </c>
      <c r="C1459" s="20" t="s">
        <v>363</v>
      </c>
      <c r="D1459" s="13"/>
      <c r="E1459" s="170"/>
      <c r="F1459" s="170"/>
      <c r="G1459" s="170"/>
      <c r="H1459" s="170"/>
      <c r="I1459" s="170"/>
    </row>
    <row r="1460" spans="1:9">
      <c r="A1460" s="73"/>
      <c r="B1460" s="764"/>
      <c r="C1460" s="13"/>
      <c r="D1460" s="13"/>
      <c r="E1460" s="170"/>
      <c r="F1460" s="170"/>
      <c r="G1460" s="170"/>
      <c r="H1460" s="170"/>
      <c r="I1460" s="170"/>
    </row>
    <row r="1461" spans="1:9">
      <c r="A1461" s="724" t="s">
        <v>8674</v>
      </c>
      <c r="B1461" s="3873" t="s">
        <v>4145</v>
      </c>
      <c r="C1461" s="3873"/>
      <c r="D1461" s="3873"/>
      <c r="E1461" s="3873"/>
      <c r="F1461" s="3873"/>
      <c r="G1461" s="3873"/>
      <c r="H1461" s="3873"/>
      <c r="I1461" s="3873"/>
    </row>
    <row r="1462" spans="1:9">
      <c r="A1462" s="470"/>
      <c r="B1462" s="712"/>
      <c r="C1462" s="243" t="s">
        <v>140</v>
      </c>
      <c r="D1462" s="243" t="s">
        <v>343</v>
      </c>
      <c r="E1462" s="65" t="s">
        <v>344</v>
      </c>
      <c r="F1462" s="65" t="s">
        <v>482</v>
      </c>
      <c r="G1462" s="65" t="s">
        <v>483</v>
      </c>
      <c r="H1462" s="65" t="s">
        <v>170</v>
      </c>
      <c r="I1462" s="65" t="s">
        <v>171</v>
      </c>
    </row>
    <row r="1463" spans="1:9">
      <c r="A1463" s="471" t="s">
        <v>1021</v>
      </c>
      <c r="B1463" s="41" t="s">
        <v>1427</v>
      </c>
      <c r="C1463" s="346">
        <v>1</v>
      </c>
      <c r="D1463" s="160" t="s">
        <v>363</v>
      </c>
      <c r="E1463" s="669">
        <f>376000</f>
        <v>376000</v>
      </c>
      <c r="F1463" s="65"/>
      <c r="G1463" s="65">
        <f>+E1463*C1463</f>
        <v>376000</v>
      </c>
      <c r="H1463" s="65"/>
      <c r="I1463" s="65"/>
    </row>
    <row r="1464" spans="1:9">
      <c r="A1464" s="471" t="s">
        <v>584</v>
      </c>
      <c r="B1464" s="41" t="s">
        <v>134</v>
      </c>
      <c r="C1464" s="346">
        <v>0.1</v>
      </c>
      <c r="D1464" s="160" t="s">
        <v>583</v>
      </c>
      <c r="E1464" s="585">
        <f>+VIAJE</f>
        <v>1200000</v>
      </c>
      <c r="F1464" s="65"/>
      <c r="G1464" s="65"/>
      <c r="H1464" s="65"/>
      <c r="I1464" s="65">
        <f>+E1464*C1464</f>
        <v>120000</v>
      </c>
    </row>
    <row r="1465" spans="1:9">
      <c r="A1465" s="587" t="s">
        <v>190</v>
      </c>
      <c r="B1465" s="588">
        <f>SUM(F1465:I1465)</f>
        <v>496000</v>
      </c>
      <c r="C1465" s="160"/>
      <c r="D1465" s="169"/>
      <c r="E1465" s="585"/>
      <c r="F1465" s="585">
        <f>SUM(F1463:F1464)</f>
        <v>0</v>
      </c>
      <c r="G1465" s="585">
        <f>SUM(G1463:G1464)</f>
        <v>376000</v>
      </c>
      <c r="H1465" s="585">
        <f>SUM(H1463:H1464)</f>
        <v>0</v>
      </c>
      <c r="I1465" s="585">
        <f>SUM(I1463:I1464)</f>
        <v>120000</v>
      </c>
    </row>
    <row r="1466" spans="1:9">
      <c r="A1466" s="587" t="s">
        <v>191</v>
      </c>
      <c r="B1466" s="39">
        <f>+B1465</f>
        <v>496000</v>
      </c>
      <c r="C1466" s="20" t="s">
        <v>363</v>
      </c>
      <c r="D1466" s="13"/>
      <c r="E1466" s="170"/>
      <c r="F1466" s="170"/>
      <c r="G1466" s="170"/>
      <c r="H1466" s="170"/>
      <c r="I1466" s="170"/>
    </row>
    <row r="1467" spans="1:9">
      <c r="A1467" s="73"/>
      <c r="B1467" s="764"/>
      <c r="C1467" s="13"/>
      <c r="D1467" s="13"/>
      <c r="E1467" s="170"/>
      <c r="F1467" s="170"/>
      <c r="G1467" s="170"/>
      <c r="H1467" s="170"/>
      <c r="I1467" s="170"/>
    </row>
    <row r="1468" spans="1:9">
      <c r="A1468" s="668" t="s">
        <v>8675</v>
      </c>
      <c r="B1468" s="3855" t="s">
        <v>4146</v>
      </c>
      <c r="C1468" s="3856"/>
      <c r="D1468" s="3856"/>
      <c r="E1468" s="3856"/>
      <c r="F1468" s="3856"/>
      <c r="G1468" s="3856"/>
      <c r="H1468" s="3856"/>
      <c r="I1468" s="3857"/>
    </row>
    <row r="1469" spans="1:9">
      <c r="A1469" s="243"/>
      <c r="B1469" s="696"/>
      <c r="C1469" s="243" t="s">
        <v>140</v>
      </c>
      <c r="D1469" s="243" t="s">
        <v>343</v>
      </c>
      <c r="E1469" s="674" t="s">
        <v>344</v>
      </c>
      <c r="F1469" s="674" t="s">
        <v>482</v>
      </c>
      <c r="G1469" s="674" t="s">
        <v>483</v>
      </c>
      <c r="H1469" s="674" t="s">
        <v>170</v>
      </c>
      <c r="I1469" s="674" t="s">
        <v>171</v>
      </c>
    </row>
    <row r="1470" spans="1:9">
      <c r="A1470" s="2" t="s">
        <v>345</v>
      </c>
      <c r="B1470" s="41" t="str">
        <f>IF(PRESTA&gt;0,"OFICIAL (INCLUYE "&amp;""&amp;PRESTA*100&amp;"% PRESTACIONES)",0)</f>
        <v>OFICIAL (INCLUYE 82,22% PRESTACIONES)</v>
      </c>
      <c r="C1470" s="346">
        <v>1.3333333333333334E-2</v>
      </c>
      <c r="D1470" s="160" t="s">
        <v>346</v>
      </c>
      <c r="E1470" s="674">
        <f>+OFICI</f>
        <v>80479.625344</v>
      </c>
      <c r="F1470" s="674"/>
      <c r="G1470" s="674"/>
      <c r="H1470" s="674">
        <f>+E1470*C1470</f>
        <v>1073.0616712533333</v>
      </c>
      <c r="I1470" s="674"/>
    </row>
    <row r="1471" spans="1:9">
      <c r="A1471" s="2" t="s">
        <v>347</v>
      </c>
      <c r="B1471" s="41" t="str">
        <f>IF(PRESTA&gt;0,"AYUD. ENTENDIDO (INCLUYE "&amp;""&amp;PRESTA*100&amp;"% PRESTACIONES)",0)</f>
        <v>AYUD. ENTENDIDO (INCLUYE 82,22% PRESTACIONES)</v>
      </c>
      <c r="C1471" s="346">
        <v>1.3333333333333334E-2</v>
      </c>
      <c r="D1471" s="160" t="s">
        <v>346</v>
      </c>
      <c r="E1471" s="674">
        <f>AYUDA</f>
        <v>65389.695592000004</v>
      </c>
      <c r="F1471" s="674"/>
      <c r="G1471" s="674"/>
      <c r="H1471" s="674">
        <f>+E1471*C1471</f>
        <v>871.86260789333346</v>
      </c>
      <c r="I1471" s="674"/>
    </row>
    <row r="1472" spans="1:9">
      <c r="A1472" s="2" t="s">
        <v>172</v>
      </c>
      <c r="B1472" s="41" t="s">
        <v>189</v>
      </c>
      <c r="C1472" s="346">
        <v>1</v>
      </c>
      <c r="D1472" s="160" t="s">
        <v>583</v>
      </c>
      <c r="E1472" s="674">
        <f>+H1474*0.05</f>
        <v>97.246213957333339</v>
      </c>
      <c r="F1472" s="674"/>
      <c r="G1472" s="674"/>
      <c r="H1472" s="674"/>
      <c r="I1472" s="674">
        <f>+E1472*C1472</f>
        <v>97.246213957333339</v>
      </c>
    </row>
    <row r="1473" spans="1:9">
      <c r="A1473" s="2" t="s">
        <v>375</v>
      </c>
      <c r="B1473" s="41" t="s">
        <v>43</v>
      </c>
      <c r="C1473" s="346">
        <v>0.05</v>
      </c>
      <c r="D1473" s="160" t="s">
        <v>44</v>
      </c>
      <c r="E1473" s="674">
        <f>+LUPVC</f>
        <v>13275</v>
      </c>
      <c r="F1473" s="674"/>
      <c r="G1473" s="674">
        <f>+E1473*C1473</f>
        <v>663.75</v>
      </c>
      <c r="H1473" s="674"/>
      <c r="I1473" s="674"/>
    </row>
    <row r="1474" spans="1:9">
      <c r="A1474" s="587" t="s">
        <v>190</v>
      </c>
      <c r="B1474" s="588">
        <f>SUM(F1474:I1474)</f>
        <v>2705.9204931040003</v>
      </c>
      <c r="C1474" s="160"/>
      <c r="D1474" s="169"/>
      <c r="E1474" s="674"/>
      <c r="F1474" s="674">
        <f>SUM(F1468:F1473)</f>
        <v>0</v>
      </c>
      <c r="G1474" s="674">
        <f>SUM(G1468:G1473)</f>
        <v>663.75</v>
      </c>
      <c r="H1474" s="674">
        <f>SUM(H1468:H1473)</f>
        <v>1944.9242791466668</v>
      </c>
      <c r="I1474" s="674">
        <f>SUM(I1468:I1473)</f>
        <v>97.246213957333339</v>
      </c>
    </row>
    <row r="1475" spans="1:9">
      <c r="A1475" s="587" t="s">
        <v>191</v>
      </c>
      <c r="B1475" s="39">
        <f>+B1474</f>
        <v>2705.9204931040003</v>
      </c>
      <c r="C1475" s="688" t="s">
        <v>94</v>
      </c>
      <c r="D1475" s="13"/>
      <c r="E1475" s="673"/>
      <c r="F1475" s="673"/>
      <c r="G1475" s="673"/>
      <c r="H1475" s="673"/>
      <c r="I1475" s="673"/>
    </row>
    <row r="1476" spans="1:9">
      <c r="A1476" s="13"/>
      <c r="B1476" s="679"/>
      <c r="C1476" s="13"/>
      <c r="D1476" s="13"/>
      <c r="E1476" s="673"/>
      <c r="F1476" s="673"/>
      <c r="G1476" s="673"/>
      <c r="H1476" s="673"/>
      <c r="I1476" s="673"/>
    </row>
    <row r="1477" spans="1:9">
      <c r="A1477" s="387" t="s">
        <v>8676</v>
      </c>
      <c r="B1477" s="3883" t="s">
        <v>4147</v>
      </c>
      <c r="C1477" s="3884"/>
      <c r="D1477" s="3884"/>
      <c r="E1477" s="3884"/>
      <c r="F1477" s="3884"/>
      <c r="G1477" s="3884"/>
      <c r="H1477" s="3884"/>
      <c r="I1477" s="3885"/>
    </row>
    <row r="1478" spans="1:9">
      <c r="A1478" s="243"/>
      <c r="B1478" s="696"/>
      <c r="C1478" s="243" t="s">
        <v>140</v>
      </c>
      <c r="D1478" s="243" t="s">
        <v>343</v>
      </c>
      <c r="E1478" s="674" t="s">
        <v>344</v>
      </c>
      <c r="F1478" s="674" t="s">
        <v>482</v>
      </c>
      <c r="G1478" s="674" t="s">
        <v>483</v>
      </c>
      <c r="H1478" s="674" t="s">
        <v>170</v>
      </c>
      <c r="I1478" s="674" t="s">
        <v>171</v>
      </c>
    </row>
    <row r="1479" spans="1:9">
      <c r="A1479" s="2" t="s">
        <v>114</v>
      </c>
      <c r="B1479" s="41" t="s">
        <v>4148</v>
      </c>
      <c r="C1479" s="346">
        <v>1</v>
      </c>
      <c r="D1479" s="160" t="s">
        <v>45</v>
      </c>
      <c r="E1479" s="674">
        <f>+TZ262_</f>
        <v>8957.5</v>
      </c>
      <c r="F1479" s="674"/>
      <c r="G1479" s="674">
        <f>+E1479*C1479</f>
        <v>8957.5</v>
      </c>
      <c r="H1479" s="674"/>
      <c r="I1479" s="674"/>
    </row>
    <row r="1480" spans="1:9">
      <c r="A1480" s="2" t="s">
        <v>584</v>
      </c>
      <c r="B1480" s="41" t="s">
        <v>134</v>
      </c>
      <c r="C1480" s="346">
        <v>1E-3</v>
      </c>
      <c r="D1480" s="160" t="s">
        <v>583</v>
      </c>
      <c r="E1480" s="674">
        <f>+VIAJE</f>
        <v>1200000</v>
      </c>
      <c r="F1480" s="674"/>
      <c r="G1480" s="674"/>
      <c r="H1480" s="674"/>
      <c r="I1480" s="674">
        <f>+E1480*C1480</f>
        <v>1200</v>
      </c>
    </row>
    <row r="1481" spans="1:9">
      <c r="A1481" s="587" t="s">
        <v>190</v>
      </c>
      <c r="B1481" s="588">
        <f>SUM(F1481:I1481)</f>
        <v>10157.5</v>
      </c>
      <c r="C1481" s="160"/>
      <c r="D1481" s="169"/>
      <c r="E1481" s="674"/>
      <c r="F1481" s="674">
        <f>SUM(F1477:F1480)</f>
        <v>0</v>
      </c>
      <c r="G1481" s="674">
        <f>SUM(G1477:G1480)</f>
        <v>8957.5</v>
      </c>
      <c r="H1481" s="674">
        <f>SUM(H1477:H1480)</f>
        <v>0</v>
      </c>
      <c r="I1481" s="674">
        <f>SUM(I1477:I1480)</f>
        <v>1200</v>
      </c>
    </row>
    <row r="1482" spans="1:9">
      <c r="A1482" s="587" t="s">
        <v>191</v>
      </c>
      <c r="B1482" s="39">
        <f>+B1481</f>
        <v>10157.5</v>
      </c>
      <c r="C1482" s="688" t="s">
        <v>94</v>
      </c>
      <c r="D1482" s="13"/>
      <c r="E1482" s="673"/>
      <c r="F1482" s="673"/>
      <c r="G1482" s="673"/>
      <c r="H1482" s="673"/>
      <c r="I1482" s="673"/>
    </row>
    <row r="1483" spans="1:9">
      <c r="A1483" s="13"/>
      <c r="B1483" s="679"/>
      <c r="C1483" s="13"/>
      <c r="D1483" s="13"/>
      <c r="E1483" s="673"/>
      <c r="F1483" s="673"/>
      <c r="G1483" s="673"/>
      <c r="H1483" s="673"/>
      <c r="I1483" s="673"/>
    </row>
    <row r="1484" spans="1:9">
      <c r="A1484" s="594" t="s">
        <v>8677</v>
      </c>
      <c r="B1484" s="3855" t="s">
        <v>4126</v>
      </c>
      <c r="C1484" s="3856"/>
      <c r="D1484" s="3856"/>
      <c r="E1484" s="3856"/>
      <c r="F1484" s="3856"/>
      <c r="G1484" s="3856"/>
      <c r="H1484" s="3856"/>
      <c r="I1484" s="3857"/>
    </row>
    <row r="1485" spans="1:9">
      <c r="A1485" s="243"/>
      <c r="B1485" s="696"/>
      <c r="C1485" s="243" t="s">
        <v>140</v>
      </c>
      <c r="D1485" s="243" t="s">
        <v>343</v>
      </c>
      <c r="E1485" s="674" t="s">
        <v>344</v>
      </c>
      <c r="F1485" s="674" t="s">
        <v>482</v>
      </c>
      <c r="G1485" s="674" t="s">
        <v>483</v>
      </c>
      <c r="H1485" s="674" t="s">
        <v>170</v>
      </c>
      <c r="I1485" s="674" t="s">
        <v>171</v>
      </c>
    </row>
    <row r="1486" spans="1:9">
      <c r="A1486" s="2" t="s">
        <v>345</v>
      </c>
      <c r="B1486" s="41" t="str">
        <f>IF(PRESTA&gt;0,"OFICIAL (INCLUYE "&amp;""&amp;PRESTA*100&amp;"% PRESTACIONES)",0)</f>
        <v>OFICIAL (INCLUYE 82,22% PRESTACIONES)</v>
      </c>
      <c r="C1486" s="346">
        <v>0.02</v>
      </c>
      <c r="D1486" s="160" t="s">
        <v>346</v>
      </c>
      <c r="E1486" s="32">
        <f>OFICI</f>
        <v>80479.625344</v>
      </c>
      <c r="F1486" s="32"/>
      <c r="G1486" s="32"/>
      <c r="H1486" s="32">
        <f>+E1486*C1486</f>
        <v>1609.59250688</v>
      </c>
      <c r="I1486" s="674"/>
    </row>
    <row r="1487" spans="1:9">
      <c r="A1487" s="2" t="s">
        <v>347</v>
      </c>
      <c r="B1487" s="41" t="str">
        <f>IF(PRESTA&gt;0,"AYUD. ENTENDIDO (INCLUYE "&amp;""&amp;PRESTA*100&amp;"% PRESTACIONES)",0)</f>
        <v>AYUD. ENTENDIDO (INCLUYE 82,22% PRESTACIONES)</v>
      </c>
      <c r="C1487" s="346">
        <v>0.02</v>
      </c>
      <c r="D1487" s="160" t="s">
        <v>346</v>
      </c>
      <c r="E1487" s="32">
        <f>AYUDA</f>
        <v>65389.695592000004</v>
      </c>
      <c r="F1487" s="32"/>
      <c r="G1487" s="32"/>
      <c r="H1487" s="32">
        <f>+E1487*C1487</f>
        <v>1307.7939118400002</v>
      </c>
      <c r="I1487" s="674"/>
    </row>
    <row r="1488" spans="1:9">
      <c r="A1488" s="2" t="s">
        <v>172</v>
      </c>
      <c r="B1488" s="41" t="s">
        <v>189</v>
      </c>
      <c r="C1488" s="346">
        <v>1</v>
      </c>
      <c r="D1488" s="160" t="s">
        <v>583</v>
      </c>
      <c r="E1488" s="32">
        <f>23937*0.05</f>
        <v>1196.8500000000001</v>
      </c>
      <c r="F1488" s="32"/>
      <c r="G1488" s="32"/>
      <c r="H1488" s="32"/>
      <c r="I1488" s="674">
        <f>+E1488*C1488</f>
        <v>1196.8500000000001</v>
      </c>
    </row>
    <row r="1489" spans="1:9">
      <c r="A1489" s="2" t="s">
        <v>375</v>
      </c>
      <c r="B1489" s="41" t="s">
        <v>43</v>
      </c>
      <c r="C1489" s="346">
        <v>0.1</v>
      </c>
      <c r="D1489" s="160" t="s">
        <v>44</v>
      </c>
      <c r="E1489" s="32">
        <f>+LUPVC</f>
        <v>13275</v>
      </c>
      <c r="F1489" s="32"/>
      <c r="G1489" s="32">
        <f>+E1489*C1489</f>
        <v>1327.5</v>
      </c>
      <c r="H1489" s="32"/>
      <c r="I1489" s="674"/>
    </row>
    <row r="1490" spans="1:9">
      <c r="A1490" s="587" t="s">
        <v>190</v>
      </c>
      <c r="B1490" s="588">
        <f>SUM(F1490:I1490)</f>
        <v>5441.7364187200001</v>
      </c>
      <c r="C1490" s="370"/>
      <c r="D1490" s="169"/>
      <c r="E1490" s="32"/>
      <c r="F1490" s="32">
        <f>SUM(F1486:F1489)</f>
        <v>0</v>
      </c>
      <c r="G1490" s="32">
        <f>SUM(G1486:G1489)</f>
        <v>1327.5</v>
      </c>
      <c r="H1490" s="32">
        <f>SUM(H1486:H1489)</f>
        <v>2917.3864187200002</v>
      </c>
      <c r="I1490" s="674">
        <f>SUM(I1486:I1489)</f>
        <v>1196.8500000000001</v>
      </c>
    </row>
    <row r="1491" spans="1:9">
      <c r="A1491" s="587" t="s">
        <v>191</v>
      </c>
      <c r="B1491" s="39">
        <f>+B1490</f>
        <v>5441.7364187200001</v>
      </c>
      <c r="C1491" s="688" t="s">
        <v>94</v>
      </c>
      <c r="D1491" s="13"/>
      <c r="E1491" s="673"/>
      <c r="F1491" s="673"/>
      <c r="G1491" s="673"/>
      <c r="H1491" s="673"/>
      <c r="I1491" s="673"/>
    </row>
    <row r="1492" spans="1:9">
      <c r="A1492" s="73"/>
      <c r="B1492" s="764"/>
      <c r="C1492" s="765"/>
      <c r="D1492" s="13"/>
      <c r="E1492" s="673"/>
      <c r="F1492" s="673"/>
      <c r="G1492" s="673"/>
      <c r="H1492" s="673"/>
      <c r="I1492" s="673"/>
    </row>
    <row r="1493" spans="1:9">
      <c r="A1493" s="724" t="s">
        <v>8678</v>
      </c>
      <c r="B1493" s="3883" t="s">
        <v>4127</v>
      </c>
      <c r="C1493" s="3884"/>
      <c r="D1493" s="3884"/>
      <c r="E1493" s="3884"/>
      <c r="F1493" s="3884"/>
      <c r="G1493" s="3884"/>
      <c r="H1493" s="3884"/>
      <c r="I1493" s="3885"/>
    </row>
    <row r="1494" spans="1:9">
      <c r="A1494" s="243"/>
      <c r="B1494" s="696"/>
      <c r="C1494" s="243" t="s">
        <v>140</v>
      </c>
      <c r="D1494" s="243" t="s">
        <v>343</v>
      </c>
      <c r="E1494" s="674" t="s">
        <v>344</v>
      </c>
      <c r="F1494" s="674" t="s">
        <v>482</v>
      </c>
      <c r="G1494" s="674" t="s">
        <v>483</v>
      </c>
      <c r="H1494" s="674" t="s">
        <v>170</v>
      </c>
      <c r="I1494" s="674" t="s">
        <v>171</v>
      </c>
    </row>
    <row r="1495" spans="1:9">
      <c r="A1495" s="2" t="s">
        <v>115</v>
      </c>
      <c r="B1495" s="41" t="s">
        <v>4128</v>
      </c>
      <c r="C1495" s="346">
        <v>1</v>
      </c>
      <c r="D1495" s="160" t="s">
        <v>45</v>
      </c>
      <c r="E1495" s="674">
        <f>+TZ263_</f>
        <v>19478.75</v>
      </c>
      <c r="F1495" s="674"/>
      <c r="G1495" s="674">
        <f>+E1495*C1495</f>
        <v>19478.75</v>
      </c>
      <c r="H1495" s="674"/>
      <c r="I1495" s="674"/>
    </row>
    <row r="1496" spans="1:9">
      <c r="A1496" s="2" t="s">
        <v>584</v>
      </c>
      <c r="B1496" s="41" t="s">
        <v>134</v>
      </c>
      <c r="C1496" s="346">
        <v>1E-3</v>
      </c>
      <c r="D1496" s="160" t="s">
        <v>583</v>
      </c>
      <c r="E1496" s="674">
        <f>+VIAJE</f>
        <v>1200000</v>
      </c>
      <c r="F1496" s="674"/>
      <c r="G1496" s="674"/>
      <c r="H1496" s="674"/>
      <c r="I1496" s="674">
        <f>+E1496*C1496</f>
        <v>1200</v>
      </c>
    </row>
    <row r="1497" spans="1:9">
      <c r="A1497" s="587" t="s">
        <v>190</v>
      </c>
      <c r="B1497" s="588">
        <f>SUM(F1497:I1497)</f>
        <v>20678.75</v>
      </c>
      <c r="C1497" s="370"/>
      <c r="D1497" s="169"/>
      <c r="E1497" s="32"/>
      <c r="F1497" s="32">
        <f>SUM(F1495:F1496)</f>
        <v>0</v>
      </c>
      <c r="G1497" s="32">
        <f>SUM(G1495:G1496)</f>
        <v>19478.75</v>
      </c>
      <c r="H1497" s="32">
        <f>SUM(H1495:H1496)</f>
        <v>0</v>
      </c>
      <c r="I1497" s="674">
        <f>SUM(I1495:I1496)</f>
        <v>1200</v>
      </c>
    </row>
    <row r="1498" spans="1:9">
      <c r="A1498" s="587" t="s">
        <v>191</v>
      </c>
      <c r="B1498" s="39">
        <f>+B1497</f>
        <v>20678.75</v>
      </c>
      <c r="C1498" s="688" t="s">
        <v>94</v>
      </c>
      <c r="D1498" s="13"/>
      <c r="E1498" s="673"/>
      <c r="F1498" s="673"/>
      <c r="G1498" s="673"/>
      <c r="H1498" s="673"/>
      <c r="I1498" s="673"/>
    </row>
    <row r="1499" spans="1:9">
      <c r="A1499" s="73"/>
      <c r="B1499" s="764"/>
      <c r="C1499" s="765"/>
      <c r="D1499" s="13"/>
      <c r="E1499" s="673"/>
      <c r="F1499" s="673"/>
      <c r="G1499" s="673"/>
      <c r="H1499" s="673"/>
      <c r="I1499" s="673"/>
    </row>
    <row r="1500" spans="1:9">
      <c r="A1500" s="594" t="s">
        <v>8679</v>
      </c>
      <c r="B1500" s="3855" t="s">
        <v>4129</v>
      </c>
      <c r="C1500" s="3856"/>
      <c r="D1500" s="3856"/>
      <c r="E1500" s="3856"/>
      <c r="F1500" s="3856"/>
      <c r="G1500" s="3856"/>
      <c r="H1500" s="3856"/>
      <c r="I1500" s="3857"/>
    </row>
    <row r="1501" spans="1:9">
      <c r="A1501" s="243"/>
      <c r="B1501" s="696"/>
      <c r="C1501" s="243" t="s">
        <v>140</v>
      </c>
      <c r="D1501" s="243" t="s">
        <v>343</v>
      </c>
      <c r="E1501" s="674" t="s">
        <v>344</v>
      </c>
      <c r="F1501" s="674" t="s">
        <v>482</v>
      </c>
      <c r="G1501" s="674" t="s">
        <v>483</v>
      </c>
      <c r="H1501" s="674" t="s">
        <v>170</v>
      </c>
      <c r="I1501" s="674" t="s">
        <v>171</v>
      </c>
    </row>
    <row r="1502" spans="1:9">
      <c r="A1502" s="2" t="s">
        <v>345</v>
      </c>
      <c r="B1502" s="41" t="str">
        <f>IF(PRESTA&gt;0,"OFICIAL (INCLUYE "&amp;""&amp;PRESTA*100&amp;"% PRESTACIONES)",0)</f>
        <v>OFICIAL (INCLUYE 82,22% PRESTACIONES)</v>
      </c>
      <c r="C1502" s="346">
        <v>0.3</v>
      </c>
      <c r="D1502" s="160" t="s">
        <v>346</v>
      </c>
      <c r="E1502" s="32">
        <f>OFICI</f>
        <v>80479.625344</v>
      </c>
      <c r="F1502" s="32"/>
      <c r="G1502" s="32"/>
      <c r="H1502" s="32">
        <f>+E1502*C1502</f>
        <v>24143.887603200001</v>
      </c>
      <c r="I1502" s="674"/>
    </row>
    <row r="1503" spans="1:9">
      <c r="A1503" s="2" t="s">
        <v>347</v>
      </c>
      <c r="B1503" s="41" t="str">
        <f>IF(PRESTA&gt;0,"AYUD. ENTENDIDO (INCLUYE "&amp;""&amp;PRESTA*100&amp;"% PRESTACIONES)",0)</f>
        <v>AYUD. ENTENDIDO (INCLUYE 82,22% PRESTACIONES)</v>
      </c>
      <c r="C1503" s="346">
        <v>0.3</v>
      </c>
      <c r="D1503" s="160" t="s">
        <v>346</v>
      </c>
      <c r="E1503" s="32">
        <f>AYUDA</f>
        <v>65389.695592000004</v>
      </c>
      <c r="F1503" s="32"/>
      <c r="G1503" s="32"/>
      <c r="H1503" s="32">
        <f>+E1503*C1503</f>
        <v>19616.9086776</v>
      </c>
      <c r="I1503" s="674"/>
    </row>
    <row r="1504" spans="1:9">
      <c r="A1504" s="2" t="s">
        <v>172</v>
      </c>
      <c r="B1504" s="41" t="s">
        <v>189</v>
      </c>
      <c r="C1504" s="346">
        <v>1</v>
      </c>
      <c r="D1504" s="160" t="s">
        <v>583</v>
      </c>
      <c r="E1504" s="32">
        <f>23937*0.05</f>
        <v>1196.8500000000001</v>
      </c>
      <c r="F1504" s="32"/>
      <c r="G1504" s="32"/>
      <c r="H1504" s="32"/>
      <c r="I1504" s="674">
        <f>+E1504*C1504</f>
        <v>1196.8500000000001</v>
      </c>
    </row>
    <row r="1505" spans="1:9">
      <c r="A1505" s="587" t="s">
        <v>190</v>
      </c>
      <c r="B1505" s="588">
        <f>SUM(F1505:I1505)</f>
        <v>44957.6462808</v>
      </c>
      <c r="C1505" s="370"/>
      <c r="D1505" s="169"/>
      <c r="E1505" s="32"/>
      <c r="F1505" s="32">
        <f>SUM(F1502:F1504)</f>
        <v>0</v>
      </c>
      <c r="G1505" s="32">
        <f>SUM(G1502:G1504)</f>
        <v>0</v>
      </c>
      <c r="H1505" s="32">
        <f>SUM(H1502:H1504)</f>
        <v>43760.796280800001</v>
      </c>
      <c r="I1505" s="674">
        <f>SUM(I1502:I1504)</f>
        <v>1196.8500000000001</v>
      </c>
    </row>
    <row r="1506" spans="1:9">
      <c r="A1506" s="587" t="s">
        <v>191</v>
      </c>
      <c r="B1506" s="39">
        <f>+B1505</f>
        <v>44957.6462808</v>
      </c>
      <c r="C1506" s="688" t="s">
        <v>94</v>
      </c>
      <c r="D1506" s="13"/>
      <c r="E1506" s="673"/>
      <c r="F1506" s="673"/>
      <c r="G1506" s="673"/>
      <c r="H1506" s="673"/>
      <c r="I1506" s="673"/>
    </row>
    <row r="1507" spans="1:9">
      <c r="A1507" s="73"/>
      <c r="B1507" s="764"/>
      <c r="C1507" s="765"/>
      <c r="D1507" s="13"/>
      <c r="E1507" s="673"/>
      <c r="F1507" s="673"/>
      <c r="G1507" s="673"/>
      <c r="H1507" s="673"/>
      <c r="I1507" s="673"/>
    </row>
    <row r="1508" spans="1:9">
      <c r="A1508" s="724" t="s">
        <v>8680</v>
      </c>
      <c r="B1508" s="3883" t="s">
        <v>4130</v>
      </c>
      <c r="C1508" s="3884"/>
      <c r="D1508" s="3884"/>
      <c r="E1508" s="3884"/>
      <c r="F1508" s="3884"/>
      <c r="G1508" s="3884"/>
      <c r="H1508" s="3884"/>
      <c r="I1508" s="3885"/>
    </row>
    <row r="1509" spans="1:9">
      <c r="A1509" s="243"/>
      <c r="B1509" s="696"/>
      <c r="C1509" s="243" t="s">
        <v>140</v>
      </c>
      <c r="D1509" s="243" t="s">
        <v>343</v>
      </c>
      <c r="E1509" s="674" t="s">
        <v>344</v>
      </c>
      <c r="F1509" s="674" t="s">
        <v>482</v>
      </c>
      <c r="G1509" s="674" t="s">
        <v>483</v>
      </c>
      <c r="H1509" s="674" t="s">
        <v>170</v>
      </c>
      <c r="I1509" s="674" t="s">
        <v>171</v>
      </c>
    </row>
    <row r="1510" spans="1:9">
      <c r="A1510" s="2" t="s">
        <v>4131</v>
      </c>
      <c r="B1510" s="773" t="s">
        <v>1425</v>
      </c>
      <c r="C1510" s="346">
        <v>1</v>
      </c>
      <c r="D1510" s="160" t="s">
        <v>363</v>
      </c>
      <c r="E1510" s="674">
        <v>135000</v>
      </c>
      <c r="F1510" s="674"/>
      <c r="G1510" s="674">
        <f>+E1510*C1510</f>
        <v>135000</v>
      </c>
      <c r="H1510" s="674"/>
      <c r="I1510" s="674"/>
    </row>
    <row r="1511" spans="1:9">
      <c r="A1511" s="2" t="s">
        <v>584</v>
      </c>
      <c r="B1511" s="41" t="s">
        <v>134</v>
      </c>
      <c r="C1511" s="346">
        <v>3.0000000000000001E-3</v>
      </c>
      <c r="D1511" s="160" t="s">
        <v>583</v>
      </c>
      <c r="E1511" s="674">
        <f>+VIAJE</f>
        <v>1200000</v>
      </c>
      <c r="F1511" s="674"/>
      <c r="G1511" s="674"/>
      <c r="H1511" s="674"/>
      <c r="I1511" s="674">
        <f>+E1511*C1511</f>
        <v>3600</v>
      </c>
    </row>
    <row r="1512" spans="1:9">
      <c r="A1512" s="587" t="s">
        <v>190</v>
      </c>
      <c r="B1512" s="588">
        <f>SUM(F1512:I1512)</f>
        <v>138600</v>
      </c>
      <c r="C1512" s="370"/>
      <c r="D1512" s="169"/>
      <c r="E1512" s="32"/>
      <c r="F1512" s="32">
        <f>SUM(F1510:F1511)</f>
        <v>0</v>
      </c>
      <c r="G1512" s="32">
        <f>SUM(G1510:G1511)</f>
        <v>135000</v>
      </c>
      <c r="H1512" s="32">
        <f>SUM(H1510:H1511)</f>
        <v>0</v>
      </c>
      <c r="I1512" s="674">
        <f>SUM(I1510:I1511)</f>
        <v>3600</v>
      </c>
    </row>
    <row r="1513" spans="1:9">
      <c r="A1513" s="587" t="s">
        <v>191</v>
      </c>
      <c r="B1513" s="39">
        <f>+B1512</f>
        <v>138600</v>
      </c>
      <c r="C1513" s="688" t="s">
        <v>94</v>
      </c>
      <c r="D1513" s="13"/>
      <c r="E1513" s="673"/>
      <c r="F1513" s="673"/>
      <c r="G1513" s="673"/>
      <c r="H1513" s="673"/>
      <c r="I1513" s="673"/>
    </row>
    <row r="1514" spans="1:9">
      <c r="A1514" s="73"/>
      <c r="B1514" s="764"/>
      <c r="C1514" s="765"/>
      <c r="D1514" s="13"/>
      <c r="E1514" s="673"/>
      <c r="F1514" s="673"/>
      <c r="G1514" s="673"/>
      <c r="H1514" s="673"/>
      <c r="I1514" s="673"/>
    </row>
    <row r="1515" spans="1:9">
      <c r="A1515" s="594" t="s">
        <v>8681</v>
      </c>
      <c r="B1515" s="3871" t="s">
        <v>4132</v>
      </c>
      <c r="C1515" s="3871"/>
      <c r="D1515" s="3871"/>
      <c r="E1515" s="3871"/>
      <c r="F1515" s="3871"/>
      <c r="G1515" s="3871"/>
      <c r="H1515" s="3871"/>
      <c r="I1515" s="3871"/>
    </row>
    <row r="1516" spans="1:9">
      <c r="A1516" s="470"/>
      <c r="B1516" s="712"/>
      <c r="C1516" s="243" t="s">
        <v>140</v>
      </c>
      <c r="D1516" s="243" t="s">
        <v>343</v>
      </c>
      <c r="E1516" s="65" t="s">
        <v>344</v>
      </c>
      <c r="F1516" s="65" t="s">
        <v>482</v>
      </c>
      <c r="G1516" s="65" t="s">
        <v>483</v>
      </c>
      <c r="H1516" s="65" t="s">
        <v>170</v>
      </c>
      <c r="I1516" s="65" t="s">
        <v>171</v>
      </c>
    </row>
    <row r="1517" spans="1:9">
      <c r="A1517" s="471" t="s">
        <v>172</v>
      </c>
      <c r="B1517" s="41" t="s">
        <v>189</v>
      </c>
      <c r="C1517" s="346">
        <v>1</v>
      </c>
      <c r="D1517" s="160" t="s">
        <v>583</v>
      </c>
      <c r="E1517" s="585">
        <f>+H1521*0.05</f>
        <v>2188.0398140400002</v>
      </c>
      <c r="F1517" s="65"/>
      <c r="G1517" s="65"/>
      <c r="H1517" s="65"/>
      <c r="I1517" s="65">
        <f>+E1517*C1517</f>
        <v>2188.0398140400002</v>
      </c>
    </row>
    <row r="1518" spans="1:9">
      <c r="A1518" s="471" t="s">
        <v>345</v>
      </c>
      <c r="B1518" s="41" t="str">
        <f>IF(PRESTA&gt;0,"OFICIAL (INCLUYE "&amp;""&amp;PRESTA*100&amp;"% PRESTACIONES)",0)</f>
        <v>OFICIAL (INCLUYE 82,22% PRESTACIONES)</v>
      </c>
      <c r="C1518" s="684">
        <v>0.3</v>
      </c>
      <c r="D1518" s="6" t="s">
        <v>346</v>
      </c>
      <c r="E1518" s="585">
        <f>+OFICI</f>
        <v>80479.625344</v>
      </c>
      <c r="F1518" s="585"/>
      <c r="G1518" s="585"/>
      <c r="H1518" s="585">
        <f>+E1518*C1518</f>
        <v>24143.887603200001</v>
      </c>
      <c r="I1518" s="585"/>
    </row>
    <row r="1519" spans="1:9">
      <c r="A1519" s="471" t="s">
        <v>347</v>
      </c>
      <c r="B1519" s="41" t="str">
        <f>IF(PRESTA&gt;0,"AYUD. ENTENDIDO (INCLUYE "&amp;""&amp;PRESTA*100&amp;"% PRESTACIONES)",0)</f>
        <v>AYUD. ENTENDIDO (INCLUYE 82,22% PRESTACIONES)</v>
      </c>
      <c r="C1519" s="346">
        <v>0.3</v>
      </c>
      <c r="D1519" s="160" t="s">
        <v>346</v>
      </c>
      <c r="E1519" s="585">
        <f>+AYUDA</f>
        <v>65389.695592000004</v>
      </c>
      <c r="F1519" s="65"/>
      <c r="G1519" s="65"/>
      <c r="H1519" s="65">
        <f>+E1519*C1519</f>
        <v>19616.9086776</v>
      </c>
      <c r="I1519" s="65"/>
    </row>
    <row r="1520" spans="1:9">
      <c r="A1520" s="471" t="s">
        <v>770</v>
      </c>
      <c r="B1520" s="41" t="s">
        <v>771</v>
      </c>
      <c r="C1520" s="346">
        <v>1</v>
      </c>
      <c r="D1520" s="160" t="s">
        <v>133</v>
      </c>
      <c r="E1520" s="585">
        <f>+LUBRI</f>
        <v>12500.1</v>
      </c>
      <c r="F1520" s="65"/>
      <c r="G1520" s="65">
        <f>+E1520*C1520</f>
        <v>12500.1</v>
      </c>
      <c r="H1520" s="65"/>
      <c r="I1520" s="65"/>
    </row>
    <row r="1521" spans="1:9">
      <c r="A1521" s="587" t="s">
        <v>190</v>
      </c>
      <c r="B1521" s="588">
        <f>SUM(F1521:I1521)</f>
        <v>58448.936094839999</v>
      </c>
      <c r="C1521" s="160"/>
      <c r="D1521" s="169"/>
      <c r="E1521" s="585"/>
      <c r="F1521" s="585">
        <f>SUM(F1517:F1520)</f>
        <v>0</v>
      </c>
      <c r="G1521" s="585">
        <f>SUM(G1517:G1520)</f>
        <v>12500.1</v>
      </c>
      <c r="H1521" s="585">
        <f>SUM(H1517:H1520)</f>
        <v>43760.796280800001</v>
      </c>
      <c r="I1521" s="585">
        <f>SUM(I1517:I1520)</f>
        <v>2188.0398140400002</v>
      </c>
    </row>
    <row r="1522" spans="1:9">
      <c r="A1522" s="587" t="s">
        <v>191</v>
      </c>
      <c r="B1522" s="39">
        <f>+B1521</f>
        <v>58448.936094839999</v>
      </c>
      <c r="C1522" s="20" t="s">
        <v>363</v>
      </c>
      <c r="D1522" s="13"/>
      <c r="E1522" s="170"/>
      <c r="F1522" s="170"/>
      <c r="G1522" s="170"/>
      <c r="H1522" s="170"/>
      <c r="I1522" s="170"/>
    </row>
    <row r="1523" spans="1:9">
      <c r="A1523" s="170"/>
      <c r="B1523" s="170"/>
      <c r="C1523" s="170"/>
      <c r="D1523" s="13"/>
      <c r="E1523" s="170"/>
      <c r="F1523" s="170"/>
      <c r="G1523" s="170"/>
      <c r="H1523" s="170"/>
      <c r="I1523" s="170"/>
    </row>
    <row r="1524" spans="1:9">
      <c r="A1524" s="724" t="s">
        <v>8682</v>
      </c>
      <c r="B1524" s="3873" t="s">
        <v>4133</v>
      </c>
      <c r="C1524" s="3873"/>
      <c r="D1524" s="3873"/>
      <c r="E1524" s="3873"/>
      <c r="F1524" s="3873"/>
      <c r="G1524" s="3873"/>
      <c r="H1524" s="3873"/>
      <c r="I1524" s="3873"/>
    </row>
    <row r="1525" spans="1:9">
      <c r="A1525" s="470"/>
      <c r="B1525" s="712"/>
      <c r="C1525" s="243" t="s">
        <v>140</v>
      </c>
      <c r="D1525" s="243" t="s">
        <v>343</v>
      </c>
      <c r="E1525" s="65" t="s">
        <v>344</v>
      </c>
      <c r="F1525" s="65" t="s">
        <v>482</v>
      </c>
      <c r="G1525" s="65" t="s">
        <v>483</v>
      </c>
      <c r="H1525" s="65" t="s">
        <v>170</v>
      </c>
      <c r="I1525" s="65" t="s">
        <v>171</v>
      </c>
    </row>
    <row r="1526" spans="1:9">
      <c r="A1526" s="471" t="s">
        <v>1021</v>
      </c>
      <c r="B1526" s="41" t="s">
        <v>700</v>
      </c>
      <c r="C1526" s="346">
        <v>1</v>
      </c>
      <c r="D1526" s="160" t="s">
        <v>363</v>
      </c>
      <c r="E1526" s="669">
        <f>VCEL3</f>
        <v>740000</v>
      </c>
      <c r="F1526" s="65"/>
      <c r="G1526" s="65">
        <f>+E1526*C1526</f>
        <v>740000</v>
      </c>
      <c r="H1526" s="65"/>
      <c r="I1526" s="65"/>
    </row>
    <row r="1527" spans="1:9">
      <c r="A1527" s="471" t="s">
        <v>584</v>
      </c>
      <c r="B1527" s="41" t="s">
        <v>134</v>
      </c>
      <c r="C1527" s="346">
        <v>0.02</v>
      </c>
      <c r="D1527" s="160" t="s">
        <v>583</v>
      </c>
      <c r="E1527" s="585">
        <f>+VIAJE</f>
        <v>1200000</v>
      </c>
      <c r="F1527" s="65"/>
      <c r="G1527" s="65"/>
      <c r="H1527" s="65"/>
      <c r="I1527" s="65">
        <f>+E1527*C1527</f>
        <v>24000</v>
      </c>
    </row>
    <row r="1528" spans="1:9">
      <c r="A1528" s="587" t="s">
        <v>190</v>
      </c>
      <c r="B1528" s="588">
        <f>SUM(F1528:I1528)</f>
        <v>764000</v>
      </c>
      <c r="C1528" s="160"/>
      <c r="D1528" s="169"/>
      <c r="E1528" s="585"/>
      <c r="F1528" s="585">
        <f>SUM(F1526:F1527)</f>
        <v>0</v>
      </c>
      <c r="G1528" s="585">
        <f>SUM(G1526:G1527)</f>
        <v>740000</v>
      </c>
      <c r="H1528" s="585">
        <f>SUM(H1526:H1527)</f>
        <v>0</v>
      </c>
      <c r="I1528" s="585">
        <f>SUM(I1526:I1527)</f>
        <v>24000</v>
      </c>
    </row>
    <row r="1529" spans="1:9">
      <c r="A1529" s="587" t="s">
        <v>191</v>
      </c>
      <c r="B1529" s="39">
        <f>+B1528</f>
        <v>764000</v>
      </c>
      <c r="C1529" s="20" t="s">
        <v>363</v>
      </c>
      <c r="D1529" s="13"/>
      <c r="E1529" s="170"/>
      <c r="F1529" s="170"/>
      <c r="G1529" s="170"/>
      <c r="H1529" s="170"/>
      <c r="I1529" s="170"/>
    </row>
    <row r="1530" spans="1:9">
      <c r="A1530" s="170"/>
      <c r="B1530" s="170"/>
      <c r="C1530" s="170"/>
      <c r="D1530" s="13"/>
      <c r="E1530" s="170"/>
      <c r="F1530" s="170"/>
      <c r="G1530" s="170"/>
      <c r="H1530" s="170"/>
      <c r="I1530" s="170"/>
    </row>
    <row r="1531" spans="1:9">
      <c r="A1531" s="683" t="s">
        <v>8683</v>
      </c>
      <c r="B1531" s="3871" t="s">
        <v>4134</v>
      </c>
      <c r="C1531" s="3871"/>
      <c r="D1531" s="3871"/>
      <c r="E1531" s="3871"/>
      <c r="F1531" s="3871"/>
      <c r="G1531" s="3871"/>
      <c r="H1531" s="3871"/>
      <c r="I1531" s="3871"/>
    </row>
    <row r="1532" spans="1:9">
      <c r="A1532" s="470"/>
      <c r="B1532" s="696"/>
      <c r="C1532" s="243" t="s">
        <v>140</v>
      </c>
      <c r="D1532" s="243" t="s">
        <v>343</v>
      </c>
      <c r="E1532" s="674" t="s">
        <v>344</v>
      </c>
      <c r="F1532" s="674" t="s">
        <v>482</v>
      </c>
      <c r="G1532" s="674" t="s">
        <v>483</v>
      </c>
      <c r="H1532" s="674" t="s">
        <v>170</v>
      </c>
      <c r="I1532" s="674" t="s">
        <v>171</v>
      </c>
    </row>
    <row r="1533" spans="1:9">
      <c r="A1533" s="471" t="s">
        <v>345</v>
      </c>
      <c r="B1533" s="41" t="str">
        <f>IF(PRESTA&gt;0,"OFICIAL (INCLUYE "&amp;""&amp;PRESTA*100&amp;"% PRESTACIONES)",0)</f>
        <v>OFICIAL (INCLUYE 82,22% PRESTACIONES)</v>
      </c>
      <c r="C1533" s="346">
        <v>0.1</v>
      </c>
      <c r="D1533" s="160" t="s">
        <v>346</v>
      </c>
      <c r="E1533" s="674">
        <f>+OFICI</f>
        <v>80479.625344</v>
      </c>
      <c r="F1533" s="674"/>
      <c r="G1533" s="674"/>
      <c r="H1533" s="674">
        <f>+E1533*C1533</f>
        <v>8047.9625344000005</v>
      </c>
      <c r="I1533" s="674"/>
    </row>
    <row r="1534" spans="1:9">
      <c r="A1534" s="471" t="s">
        <v>347</v>
      </c>
      <c r="B1534" s="41" t="str">
        <f>IF(PRESTA&gt;0,"AYUD. ENTENDIDO (INCLUYE "&amp;""&amp;PRESTA*100&amp;"% PRESTACIONES)",0)</f>
        <v>AYUD. ENTENDIDO (INCLUYE 82,22% PRESTACIONES)</v>
      </c>
      <c r="C1534" s="346">
        <v>0.1</v>
      </c>
      <c r="D1534" s="160" t="s">
        <v>346</v>
      </c>
      <c r="E1534" s="674">
        <f>+AYUDA</f>
        <v>65389.695592000004</v>
      </c>
      <c r="F1534" s="674"/>
      <c r="G1534" s="674"/>
      <c r="H1534" s="674">
        <f>+E1534*C1534</f>
        <v>6538.9695592000007</v>
      </c>
      <c r="I1534" s="674"/>
    </row>
    <row r="1535" spans="1:9">
      <c r="A1535" s="471" t="s">
        <v>172</v>
      </c>
      <c r="B1535" s="41" t="s">
        <v>189</v>
      </c>
      <c r="C1535" s="346">
        <v>1</v>
      </c>
      <c r="D1535" s="160" t="s">
        <v>583</v>
      </c>
      <c r="E1535" s="674">
        <f>+H1536*0.05</f>
        <v>729.34660468000004</v>
      </c>
      <c r="F1535" s="674"/>
      <c r="G1535" s="674"/>
      <c r="H1535" s="674"/>
      <c r="I1535" s="674">
        <f>+E1535*C1535</f>
        <v>729.34660468000004</v>
      </c>
    </row>
    <row r="1536" spans="1:9">
      <c r="A1536" s="587" t="s">
        <v>190</v>
      </c>
      <c r="B1536" s="588">
        <f>SUM(F1536:I1536)</f>
        <v>15316.278698280001</v>
      </c>
      <c r="C1536" s="160"/>
      <c r="D1536" s="169"/>
      <c r="E1536" s="674"/>
      <c r="F1536" s="674">
        <f>SUM(F1532:F1535)</f>
        <v>0</v>
      </c>
      <c r="G1536" s="674">
        <f>SUM(G1532:G1535)</f>
        <v>0</v>
      </c>
      <c r="H1536" s="674">
        <f>SUM(H1532:H1535)</f>
        <v>14586.9320936</v>
      </c>
      <c r="I1536" s="674">
        <f>SUM(I1532:I1535)</f>
        <v>729.34660468000004</v>
      </c>
    </row>
    <row r="1537" spans="1:9">
      <c r="A1537" s="587" t="s">
        <v>191</v>
      </c>
      <c r="B1537" s="39">
        <f>+B1536</f>
        <v>15316.278698280001</v>
      </c>
      <c r="C1537" s="20" t="s">
        <v>363</v>
      </c>
      <c r="D1537" s="13"/>
      <c r="E1537" s="673"/>
      <c r="F1537" s="673"/>
      <c r="G1537" s="673"/>
      <c r="H1537" s="673"/>
      <c r="I1537" s="673"/>
    </row>
    <row r="1538" spans="1:9">
      <c r="A1538" s="73"/>
      <c r="B1538" s="764"/>
      <c r="C1538" s="765"/>
      <c r="D1538" s="13"/>
      <c r="E1538" s="673"/>
      <c r="F1538" s="673"/>
      <c r="G1538" s="673"/>
      <c r="H1538" s="673"/>
      <c r="I1538" s="673"/>
    </row>
    <row r="1539" spans="1:9">
      <c r="A1539" s="714" t="s">
        <v>8684</v>
      </c>
      <c r="B1539" s="3873" t="s">
        <v>4135</v>
      </c>
      <c r="C1539" s="3873"/>
      <c r="D1539" s="3873"/>
      <c r="E1539" s="3873"/>
      <c r="F1539" s="3873"/>
      <c r="G1539" s="3873"/>
      <c r="H1539" s="3873"/>
      <c r="I1539" s="3873"/>
    </row>
    <row r="1540" spans="1:9">
      <c r="A1540" s="470"/>
      <c r="B1540" s="696"/>
      <c r="C1540" s="243" t="s">
        <v>140</v>
      </c>
      <c r="D1540" s="243" t="s">
        <v>343</v>
      </c>
      <c r="E1540" s="674" t="s">
        <v>344</v>
      </c>
      <c r="F1540" s="674" t="s">
        <v>482</v>
      </c>
      <c r="G1540" s="674" t="s">
        <v>483</v>
      </c>
      <c r="H1540" s="674" t="s">
        <v>170</v>
      </c>
      <c r="I1540" s="674" t="s">
        <v>171</v>
      </c>
    </row>
    <row r="1541" spans="1:9">
      <c r="A1541" s="471" t="s">
        <v>213</v>
      </c>
      <c r="B1541" s="41" t="s">
        <v>4136</v>
      </c>
      <c r="C1541" s="346">
        <v>1</v>
      </c>
      <c r="D1541" s="160" t="s">
        <v>363</v>
      </c>
      <c r="E1541" s="674">
        <v>123720</v>
      </c>
      <c r="F1541" s="674"/>
      <c r="G1541" s="674">
        <f>+E1541*C1541</f>
        <v>123720</v>
      </c>
      <c r="H1541" s="674"/>
      <c r="I1541" s="674"/>
    </row>
    <row r="1542" spans="1:9">
      <c r="A1542" s="471" t="s">
        <v>584</v>
      </c>
      <c r="B1542" s="41" t="s">
        <v>134</v>
      </c>
      <c r="C1542" s="684">
        <v>1.5E-3</v>
      </c>
      <c r="D1542" s="6" t="s">
        <v>583</v>
      </c>
      <c r="E1542" s="32">
        <f>+VIAJE</f>
        <v>1200000</v>
      </c>
      <c r="F1542" s="674"/>
      <c r="G1542" s="674"/>
      <c r="H1542" s="674"/>
      <c r="I1542" s="674">
        <f>+E1542*C1542</f>
        <v>1800</v>
      </c>
    </row>
    <row r="1543" spans="1:9">
      <c r="A1543" s="587" t="s">
        <v>190</v>
      </c>
      <c r="B1543" s="588">
        <f>SUM(F1543:I1543)</f>
        <v>125520</v>
      </c>
      <c r="C1543" s="160"/>
      <c r="D1543" s="169"/>
      <c r="E1543" s="674"/>
      <c r="F1543" s="674">
        <f>SUM(F1540:F1542)</f>
        <v>0</v>
      </c>
      <c r="G1543" s="674">
        <f>SUM(G1540:G1542)</f>
        <v>123720</v>
      </c>
      <c r="H1543" s="674">
        <f>SUM(H1540:H1542)</f>
        <v>0</v>
      </c>
      <c r="I1543" s="674">
        <f>SUM(I1540:I1542)</f>
        <v>1800</v>
      </c>
    </row>
    <row r="1544" spans="1:9">
      <c r="A1544" s="587" t="s">
        <v>191</v>
      </c>
      <c r="B1544" s="39">
        <f>+B1543</f>
        <v>125520</v>
      </c>
      <c r="C1544" s="20" t="s">
        <v>363</v>
      </c>
      <c r="D1544" s="13"/>
      <c r="E1544" s="673"/>
      <c r="F1544" s="673"/>
      <c r="G1544" s="673"/>
      <c r="H1544" s="673"/>
      <c r="I1544" s="673"/>
    </row>
    <row r="1545" spans="1:9">
      <c r="A1545" s="73"/>
      <c r="B1545" s="764"/>
      <c r="C1545" s="765"/>
      <c r="D1545" s="13"/>
      <c r="E1545" s="673"/>
      <c r="F1545" s="673"/>
      <c r="G1545" s="673"/>
      <c r="H1545" s="673"/>
      <c r="I1545" s="673"/>
    </row>
    <row r="1546" spans="1:9">
      <c r="A1546" s="594" t="s">
        <v>8685</v>
      </c>
      <c r="B1546" s="3871" t="s">
        <v>4149</v>
      </c>
      <c r="C1546" s="3871"/>
      <c r="D1546" s="3871"/>
      <c r="E1546" s="3871"/>
      <c r="F1546" s="3871"/>
      <c r="G1546" s="3871"/>
      <c r="H1546" s="3871"/>
      <c r="I1546" s="3871"/>
    </row>
    <row r="1547" spans="1:9">
      <c r="A1547" s="243"/>
      <c r="B1547" s="696"/>
      <c r="C1547" s="243" t="s">
        <v>140</v>
      </c>
      <c r="D1547" s="243" t="s">
        <v>343</v>
      </c>
      <c r="E1547" s="65" t="s">
        <v>344</v>
      </c>
      <c r="F1547" s="65" t="s">
        <v>482</v>
      </c>
      <c r="G1547" s="65" t="s">
        <v>483</v>
      </c>
      <c r="H1547" s="65" t="s">
        <v>170</v>
      </c>
      <c r="I1547" s="65" t="s">
        <v>171</v>
      </c>
    </row>
    <row r="1548" spans="1:9">
      <c r="A1548" s="243" t="s">
        <v>172</v>
      </c>
      <c r="B1548" s="696" t="s">
        <v>189</v>
      </c>
      <c r="C1548" s="370">
        <v>1</v>
      </c>
      <c r="D1548" s="243" t="s">
        <v>583</v>
      </c>
      <c r="E1548" s="65">
        <f>+H1551*0.05</f>
        <v>729.34660468000004</v>
      </c>
      <c r="F1548" s="65"/>
      <c r="G1548" s="65"/>
      <c r="H1548" s="65"/>
      <c r="I1548" s="65">
        <f>+E1548*C1548</f>
        <v>729.34660468000004</v>
      </c>
    </row>
    <row r="1549" spans="1:9">
      <c r="A1549" s="243" t="s">
        <v>345</v>
      </c>
      <c r="B1549" s="696" t="str">
        <f>IF(PRESTA&gt;0,"OFICIAL (INCLUYE "&amp;""&amp;PRESTA*100&amp;"% PRESTACIONES)",0)</f>
        <v>OFICIAL (INCLUYE 82,22% PRESTACIONES)</v>
      </c>
      <c r="C1549" s="370">
        <v>0.1</v>
      </c>
      <c r="D1549" s="243" t="s">
        <v>346</v>
      </c>
      <c r="E1549" s="65">
        <f>+OFICI</f>
        <v>80479.625344</v>
      </c>
      <c r="F1549" s="65"/>
      <c r="G1549" s="65"/>
      <c r="H1549" s="65">
        <f>+E1549*C1549</f>
        <v>8047.9625344000005</v>
      </c>
      <c r="I1549" s="65"/>
    </row>
    <row r="1550" spans="1:9">
      <c r="A1550" s="243" t="s">
        <v>347</v>
      </c>
      <c r="B1550" s="696" t="str">
        <f>IF(PRESTA&gt;0,"AYUD. ENTENDIDO (INCLUYE "&amp;""&amp;PRESTA*100&amp;"% PRESTACIONES)",0)</f>
        <v>AYUD. ENTENDIDO (INCLUYE 82,22% PRESTACIONES)</v>
      </c>
      <c r="C1550" s="370">
        <v>0.1</v>
      </c>
      <c r="D1550" s="243" t="s">
        <v>346</v>
      </c>
      <c r="E1550" s="65">
        <f>+AYUDA</f>
        <v>65389.695592000004</v>
      </c>
      <c r="F1550" s="65"/>
      <c r="G1550" s="65"/>
      <c r="H1550" s="65">
        <f>+E1550*C1550</f>
        <v>6538.9695592000007</v>
      </c>
      <c r="I1550" s="65"/>
    </row>
    <row r="1551" spans="1:9">
      <c r="A1551" s="20" t="s">
        <v>190</v>
      </c>
      <c r="B1551" s="39">
        <f>SUM(F1551:I1551)</f>
        <v>15316.278698280001</v>
      </c>
      <c r="C1551" s="34"/>
      <c r="D1551" s="243"/>
      <c r="E1551" s="65"/>
      <c r="F1551" s="65">
        <f>+SUM(F1548:F1550)</f>
        <v>0</v>
      </c>
      <c r="G1551" s="65">
        <f>+SUM(G1548:G1550)</f>
        <v>0</v>
      </c>
      <c r="H1551" s="65">
        <f>+SUM(H1548:H1550)</f>
        <v>14586.9320936</v>
      </c>
      <c r="I1551" s="65">
        <f>+SUM(I1548:I1550)</f>
        <v>729.34660468000004</v>
      </c>
    </row>
    <row r="1552" spans="1:9">
      <c r="A1552" s="20" t="s">
        <v>191</v>
      </c>
      <c r="B1552" s="39">
        <f>+B1551</f>
        <v>15316.278698280001</v>
      </c>
      <c r="C1552" s="21" t="s">
        <v>363</v>
      </c>
      <c r="D1552" s="492"/>
      <c r="E1552" s="730"/>
      <c r="F1552" s="730"/>
      <c r="G1552" s="730"/>
      <c r="H1552" s="730"/>
      <c r="I1552" s="730"/>
    </row>
    <row r="1553" spans="1:9" ht="13.2">
      <c r="A1553" s="711"/>
      <c r="B1553" s="492"/>
      <c r="C1553" s="728"/>
      <c r="D1553" s="492"/>
      <c r="E1553" s="730"/>
      <c r="F1553" s="730"/>
      <c r="G1553" s="730"/>
      <c r="H1553" s="730"/>
      <c r="I1553" s="730"/>
    </row>
    <row r="1554" spans="1:9">
      <c r="A1554" s="724" t="s">
        <v>8686</v>
      </c>
      <c r="B1554" s="3873" t="s">
        <v>4150</v>
      </c>
      <c r="C1554" s="3873"/>
      <c r="D1554" s="3873"/>
      <c r="E1554" s="3873"/>
      <c r="F1554" s="3873"/>
      <c r="G1554" s="3873"/>
      <c r="H1554" s="3873"/>
      <c r="I1554" s="3873"/>
    </row>
    <row r="1555" spans="1:9">
      <c r="A1555" s="243"/>
      <c r="B1555" s="696"/>
      <c r="C1555" s="243" t="s">
        <v>140</v>
      </c>
      <c r="D1555" s="243" t="s">
        <v>343</v>
      </c>
      <c r="E1555" s="65" t="s">
        <v>344</v>
      </c>
      <c r="F1555" s="65" t="s">
        <v>482</v>
      </c>
      <c r="G1555" s="65" t="s">
        <v>483</v>
      </c>
      <c r="H1555" s="65" t="s">
        <v>170</v>
      </c>
      <c r="I1555" s="65" t="s">
        <v>171</v>
      </c>
    </row>
    <row r="1556" spans="1:9">
      <c r="A1556" s="243"/>
      <c r="B1556" s="696" t="s">
        <v>4151</v>
      </c>
      <c r="C1556" s="370">
        <v>1</v>
      </c>
      <c r="D1556" s="243" t="s">
        <v>363</v>
      </c>
      <c r="E1556" s="65">
        <v>33230</v>
      </c>
      <c r="F1556" s="65"/>
      <c r="G1556" s="65">
        <f>+E1556*C1556</f>
        <v>33230</v>
      </c>
      <c r="H1556" s="65"/>
      <c r="I1556" s="65"/>
    </row>
    <row r="1557" spans="1:9">
      <c r="A1557" s="243" t="s">
        <v>584</v>
      </c>
      <c r="B1557" s="696" t="s">
        <v>134</v>
      </c>
      <c r="C1557" s="370">
        <v>1E-3</v>
      </c>
      <c r="D1557" s="243" t="s">
        <v>583</v>
      </c>
      <c r="E1557" s="65">
        <f>+VIAJE</f>
        <v>1200000</v>
      </c>
      <c r="F1557" s="65"/>
      <c r="G1557" s="65"/>
      <c r="H1557" s="65"/>
      <c r="I1557" s="65">
        <f>+E1557*C1557</f>
        <v>1200</v>
      </c>
    </row>
    <row r="1558" spans="1:9">
      <c r="A1558" s="20" t="s">
        <v>190</v>
      </c>
      <c r="B1558" s="39">
        <f>SUM(F1558:I1558)</f>
        <v>34430</v>
      </c>
      <c r="C1558" s="34"/>
      <c r="D1558" s="243"/>
      <c r="E1558" s="65"/>
      <c r="F1558" s="65">
        <f>+SUM(F1556:F1557)</f>
        <v>0</v>
      </c>
      <c r="G1558" s="65">
        <f>+SUM(G1556:G1557)</f>
        <v>33230</v>
      </c>
      <c r="H1558" s="65">
        <f>+SUM(H1556:H1557)</f>
        <v>0</v>
      </c>
      <c r="I1558" s="65">
        <f>+SUM(I1556:I1557)</f>
        <v>1200</v>
      </c>
    </row>
    <row r="1559" spans="1:9">
      <c r="A1559" s="20" t="s">
        <v>191</v>
      </c>
      <c r="B1559" s="39">
        <f>+B1558</f>
        <v>34430</v>
      </c>
      <c r="C1559" s="21" t="s">
        <v>363</v>
      </c>
      <c r="D1559" s="492"/>
      <c r="E1559" s="730"/>
      <c r="F1559" s="730"/>
      <c r="G1559" s="730"/>
      <c r="H1559" s="730"/>
      <c r="I1559" s="730"/>
    </row>
    <row r="1560" spans="1:9" ht="13.2">
      <c r="A1560" s="711"/>
      <c r="B1560" s="492"/>
      <c r="C1560" s="728"/>
      <c r="D1560" s="492"/>
      <c r="E1560" s="730"/>
      <c r="F1560" s="730"/>
      <c r="G1560" s="730"/>
      <c r="H1560" s="730"/>
      <c r="I1560" s="730"/>
    </row>
    <row r="1561" spans="1:9">
      <c r="A1561" s="668" t="s">
        <v>8687</v>
      </c>
      <c r="B1561" s="3855" t="s">
        <v>4139</v>
      </c>
      <c r="C1561" s="3856"/>
      <c r="D1561" s="3856"/>
      <c r="E1561" s="3856"/>
      <c r="F1561" s="3856"/>
      <c r="G1561" s="3856"/>
      <c r="H1561" s="3856"/>
      <c r="I1561" s="3857"/>
    </row>
    <row r="1562" spans="1:9">
      <c r="A1562" s="243"/>
      <c r="B1562" s="696"/>
      <c r="C1562" s="243" t="s">
        <v>140</v>
      </c>
      <c r="D1562" s="243" t="s">
        <v>343</v>
      </c>
      <c r="E1562" s="674" t="s">
        <v>344</v>
      </c>
      <c r="F1562" s="674" t="s">
        <v>482</v>
      </c>
      <c r="G1562" s="674" t="s">
        <v>483</v>
      </c>
      <c r="H1562" s="674" t="s">
        <v>170</v>
      </c>
      <c r="I1562" s="674" t="s">
        <v>171</v>
      </c>
    </row>
    <row r="1563" spans="1:9">
      <c r="A1563" s="2" t="s">
        <v>345</v>
      </c>
      <c r="B1563" s="41" t="str">
        <f>IF(PRESTA&gt;0,"OFICIAL (INCLUYE "&amp;""&amp;PRESTA*100&amp;"% PRESTACIONES)",0)</f>
        <v>OFICIAL (INCLUYE 82,22% PRESTACIONES)</v>
      </c>
      <c r="C1563" s="346">
        <v>0.04</v>
      </c>
      <c r="D1563" s="160" t="s">
        <v>346</v>
      </c>
      <c r="E1563" s="674">
        <f>+OFICI</f>
        <v>80479.625344</v>
      </c>
      <c r="F1563" s="674"/>
      <c r="G1563" s="674"/>
      <c r="H1563" s="674">
        <f>+E1563*C1563</f>
        <v>3219.1850137599999</v>
      </c>
      <c r="I1563" s="674"/>
    </row>
    <row r="1564" spans="1:9">
      <c r="A1564" s="2" t="s">
        <v>347</v>
      </c>
      <c r="B1564" s="41" t="str">
        <f>IF(PRESTA&gt;0,"AYUD. ENTENDIDO (INCLUYE "&amp;""&amp;PRESTA*100&amp;"% PRESTACIONES)",0)</f>
        <v>AYUD. ENTENDIDO (INCLUYE 82,22% PRESTACIONES)</v>
      </c>
      <c r="C1564" s="346">
        <v>0.04</v>
      </c>
      <c r="D1564" s="160" t="s">
        <v>346</v>
      </c>
      <c r="E1564" s="674">
        <f>AYUDA</f>
        <v>65389.695592000004</v>
      </c>
      <c r="F1564" s="674"/>
      <c r="G1564" s="674"/>
      <c r="H1564" s="674">
        <f>+E1564*C1564</f>
        <v>2615.5878236800004</v>
      </c>
      <c r="I1564" s="674"/>
    </row>
    <row r="1565" spans="1:9">
      <c r="A1565" s="2" t="s">
        <v>172</v>
      </c>
      <c r="B1565" s="41" t="s">
        <v>189</v>
      </c>
      <c r="C1565" s="346">
        <v>1</v>
      </c>
      <c r="D1565" s="160" t="s">
        <v>583</v>
      </c>
      <c r="E1565" s="674">
        <f>+H1566*0.05</f>
        <v>291.73864187200002</v>
      </c>
      <c r="F1565" s="674"/>
      <c r="G1565" s="674"/>
      <c r="H1565" s="674"/>
      <c r="I1565" s="674">
        <f>+E1565*C1565</f>
        <v>291.73864187200002</v>
      </c>
    </row>
    <row r="1566" spans="1:9">
      <c r="A1566" s="587" t="s">
        <v>190</v>
      </c>
      <c r="B1566" s="588">
        <f>SUM(F1566:I1566)</f>
        <v>6126.5114793120001</v>
      </c>
      <c r="C1566" s="160"/>
      <c r="D1566" s="169"/>
      <c r="E1566" s="674"/>
      <c r="F1566" s="674">
        <f>SUM(F1561:F1565)</f>
        <v>0</v>
      </c>
      <c r="G1566" s="674">
        <f>SUM(G1561:G1565)</f>
        <v>0</v>
      </c>
      <c r="H1566" s="674">
        <f>SUM(H1561:H1565)</f>
        <v>5834.7728374400003</v>
      </c>
      <c r="I1566" s="674">
        <f>SUM(I1561:I1565)</f>
        <v>291.73864187200002</v>
      </c>
    </row>
    <row r="1567" spans="1:9">
      <c r="A1567" s="587" t="s">
        <v>191</v>
      </c>
      <c r="B1567" s="39">
        <f>+B1566</f>
        <v>6126.5114793120001</v>
      </c>
      <c r="C1567" s="688" t="s">
        <v>94</v>
      </c>
      <c r="D1567" s="13"/>
      <c r="E1567" s="673"/>
      <c r="F1567" s="673"/>
      <c r="G1567" s="673"/>
      <c r="H1567" s="673"/>
      <c r="I1567" s="673"/>
    </row>
    <row r="1568" spans="1:9">
      <c r="A1568" s="73"/>
      <c r="B1568" s="764"/>
      <c r="C1568" s="765"/>
      <c r="D1568" s="13"/>
      <c r="E1568" s="673"/>
      <c r="F1568" s="673"/>
      <c r="G1568" s="673"/>
      <c r="H1568" s="673"/>
      <c r="I1568" s="673"/>
    </row>
    <row r="1569" spans="1:9">
      <c r="A1569" s="387" t="s">
        <v>8688</v>
      </c>
      <c r="B1569" s="3883" t="s">
        <v>4140</v>
      </c>
      <c r="C1569" s="3884"/>
      <c r="D1569" s="3884"/>
      <c r="E1569" s="3884"/>
      <c r="F1569" s="3884"/>
      <c r="G1569" s="3884"/>
      <c r="H1569" s="3884"/>
      <c r="I1569" s="3885"/>
    </row>
    <row r="1570" spans="1:9">
      <c r="A1570" s="243"/>
      <c r="B1570" s="696"/>
      <c r="C1570" s="243" t="s">
        <v>140</v>
      </c>
      <c r="D1570" s="243" t="s">
        <v>343</v>
      </c>
      <c r="E1570" s="674" t="s">
        <v>344</v>
      </c>
      <c r="F1570" s="674" t="s">
        <v>482</v>
      </c>
      <c r="G1570" s="674" t="s">
        <v>483</v>
      </c>
      <c r="H1570" s="674" t="s">
        <v>170</v>
      </c>
      <c r="I1570" s="674" t="s">
        <v>171</v>
      </c>
    </row>
    <row r="1571" spans="1:9">
      <c r="A1571" s="2" t="s">
        <v>467</v>
      </c>
      <c r="B1571" s="41" t="s">
        <v>4141</v>
      </c>
      <c r="C1571" s="346">
        <v>1</v>
      </c>
      <c r="D1571" s="160" t="s">
        <v>45</v>
      </c>
      <c r="E1571" s="674">
        <f>24425*1.16</f>
        <v>28332.999999999996</v>
      </c>
      <c r="F1571" s="674"/>
      <c r="G1571" s="674">
        <f>+E1571*C1571</f>
        <v>28332.999999999996</v>
      </c>
      <c r="H1571" s="674"/>
      <c r="I1571" s="674"/>
    </row>
    <row r="1572" spans="1:9">
      <c r="A1572" s="2" t="s">
        <v>584</v>
      </c>
      <c r="B1572" s="41" t="s">
        <v>134</v>
      </c>
      <c r="C1572" s="346">
        <v>1E-3</v>
      </c>
      <c r="D1572" s="160" t="s">
        <v>583</v>
      </c>
      <c r="E1572" s="674">
        <f>+VIAJE</f>
        <v>1200000</v>
      </c>
      <c r="F1572" s="674"/>
      <c r="G1572" s="674"/>
      <c r="H1572" s="674"/>
      <c r="I1572" s="674">
        <f>+E1572*C1572</f>
        <v>1200</v>
      </c>
    </row>
    <row r="1573" spans="1:9">
      <c r="A1573" s="587" t="s">
        <v>190</v>
      </c>
      <c r="B1573" s="588">
        <f>SUM(F1573:I1573)</f>
        <v>29532.999999999996</v>
      </c>
      <c r="C1573" s="160"/>
      <c r="D1573" s="169"/>
      <c r="E1573" s="674"/>
      <c r="F1573" s="674">
        <f>SUM(F1569:F1572)</f>
        <v>0</v>
      </c>
      <c r="G1573" s="674">
        <f>SUM(G1569:G1572)</f>
        <v>28332.999999999996</v>
      </c>
      <c r="H1573" s="674">
        <f>SUM(H1569:H1572)</f>
        <v>0</v>
      </c>
      <c r="I1573" s="674">
        <f>SUM(I1569:I1572)</f>
        <v>1200</v>
      </c>
    </row>
    <row r="1574" spans="1:9">
      <c r="A1574" s="587" t="s">
        <v>191</v>
      </c>
      <c r="B1574" s="39">
        <f>+B1573</f>
        <v>29532.999999999996</v>
      </c>
      <c r="C1574" s="688" t="s">
        <v>94</v>
      </c>
      <c r="D1574" s="13"/>
      <c r="E1574" s="673"/>
      <c r="F1574" s="673"/>
      <c r="G1574" s="673"/>
      <c r="H1574" s="673"/>
      <c r="I1574" s="673"/>
    </row>
    <row r="1575" spans="1:9">
      <c r="A1575" s="73"/>
      <c r="B1575" s="764"/>
      <c r="C1575" s="765"/>
      <c r="D1575" s="13"/>
      <c r="E1575" s="673"/>
      <c r="F1575" s="673"/>
      <c r="G1575" s="673"/>
      <c r="H1575" s="673"/>
      <c r="I1575" s="673"/>
    </row>
    <row r="1576" spans="1:9">
      <c r="A1576" s="594" t="s">
        <v>8689</v>
      </c>
      <c r="B1576" s="3871" t="s">
        <v>4152</v>
      </c>
      <c r="C1576" s="3871"/>
      <c r="D1576" s="3871"/>
      <c r="E1576" s="3871"/>
      <c r="F1576" s="3871"/>
      <c r="G1576" s="3871"/>
      <c r="H1576" s="3871"/>
      <c r="I1576" s="3871"/>
    </row>
    <row r="1577" spans="1:9">
      <c r="A1577" s="243"/>
      <c r="B1577" s="696"/>
      <c r="C1577" s="243" t="s">
        <v>140</v>
      </c>
      <c r="D1577" s="243" t="s">
        <v>343</v>
      </c>
      <c r="E1577" s="65" t="s">
        <v>344</v>
      </c>
      <c r="F1577" s="65" t="s">
        <v>482</v>
      </c>
      <c r="G1577" s="65" t="s">
        <v>483</v>
      </c>
      <c r="H1577" s="65" t="s">
        <v>170</v>
      </c>
      <c r="I1577" s="65" t="s">
        <v>171</v>
      </c>
    </row>
    <row r="1578" spans="1:9">
      <c r="A1578" s="243" t="s">
        <v>172</v>
      </c>
      <c r="B1578" s="696" t="s">
        <v>189</v>
      </c>
      <c r="C1578" s="370">
        <v>1</v>
      </c>
      <c r="D1578" s="243" t="s">
        <v>583</v>
      </c>
      <c r="E1578" s="65">
        <f>+H1581*0.05</f>
        <v>729.34660468000004</v>
      </c>
      <c r="F1578" s="65"/>
      <c r="G1578" s="65"/>
      <c r="H1578" s="65"/>
      <c r="I1578" s="65">
        <f>+E1578*C1578</f>
        <v>729.34660468000004</v>
      </c>
    </row>
    <row r="1579" spans="1:9">
      <c r="A1579" s="243" t="s">
        <v>345</v>
      </c>
      <c r="B1579" s="696" t="str">
        <f>IF(PRESTA&gt;0,"OFICIAL (INCLUYE "&amp;""&amp;PRESTA*100&amp;"% PRESTACIONES)",0)</f>
        <v>OFICIAL (INCLUYE 82,22% PRESTACIONES)</v>
      </c>
      <c r="C1579" s="370">
        <v>0.1</v>
      </c>
      <c r="D1579" s="243" t="s">
        <v>346</v>
      </c>
      <c r="E1579" s="65">
        <f>+OFICI</f>
        <v>80479.625344</v>
      </c>
      <c r="F1579" s="65"/>
      <c r="G1579" s="65"/>
      <c r="H1579" s="65">
        <f>+E1579*C1579</f>
        <v>8047.9625344000005</v>
      </c>
      <c r="I1579" s="65"/>
    </row>
    <row r="1580" spans="1:9">
      <c r="A1580" s="243" t="s">
        <v>347</v>
      </c>
      <c r="B1580" s="696" t="str">
        <f>IF(PRESTA&gt;0,"AYUD. ENTENDIDO (INCLUYE "&amp;""&amp;PRESTA*100&amp;"% PRESTACIONES)",0)</f>
        <v>AYUD. ENTENDIDO (INCLUYE 82,22% PRESTACIONES)</v>
      </c>
      <c r="C1580" s="370">
        <v>0.1</v>
      </c>
      <c r="D1580" s="243" t="s">
        <v>346</v>
      </c>
      <c r="E1580" s="65">
        <f>+AYUDA</f>
        <v>65389.695592000004</v>
      </c>
      <c r="F1580" s="65"/>
      <c r="G1580" s="65"/>
      <c r="H1580" s="65">
        <f>+E1580*C1580</f>
        <v>6538.9695592000007</v>
      </c>
      <c r="I1580" s="65"/>
    </row>
    <row r="1581" spans="1:9">
      <c r="A1581" s="20" t="s">
        <v>190</v>
      </c>
      <c r="B1581" s="39">
        <f>SUM(F1581:I1581)</f>
        <v>15316.278698280001</v>
      </c>
      <c r="C1581" s="34"/>
      <c r="D1581" s="243"/>
      <c r="E1581" s="65"/>
      <c r="F1581" s="65">
        <f>+SUM(F1578:F1580)</f>
        <v>0</v>
      </c>
      <c r="G1581" s="65">
        <f>+SUM(G1578:G1580)</f>
        <v>0</v>
      </c>
      <c r="H1581" s="65">
        <f>+SUM(H1578:H1580)</f>
        <v>14586.9320936</v>
      </c>
      <c r="I1581" s="65">
        <f>+SUM(I1578:I1580)</f>
        <v>729.34660468000004</v>
      </c>
    </row>
    <row r="1582" spans="1:9">
      <c r="A1582" s="20" t="s">
        <v>191</v>
      </c>
      <c r="B1582" s="39">
        <f>+B1581</f>
        <v>15316.278698280001</v>
      </c>
      <c r="C1582" s="21" t="s">
        <v>363</v>
      </c>
      <c r="D1582" s="492"/>
      <c r="E1582" s="730"/>
      <c r="F1582" s="730"/>
      <c r="G1582" s="730"/>
      <c r="H1582" s="730"/>
      <c r="I1582" s="730"/>
    </row>
    <row r="1583" spans="1:9">
      <c r="A1583" s="13"/>
      <c r="B1583" s="679"/>
      <c r="C1583" s="13"/>
      <c r="D1583" s="13"/>
      <c r="E1583" s="673"/>
      <c r="F1583" s="673"/>
      <c r="G1583" s="673"/>
      <c r="H1583" s="673"/>
      <c r="I1583" s="673"/>
    </row>
    <row r="1584" spans="1:9">
      <c r="A1584" s="724" t="s">
        <v>8690</v>
      </c>
      <c r="B1584" s="3873" t="s">
        <v>4153</v>
      </c>
      <c r="C1584" s="3873"/>
      <c r="D1584" s="3873"/>
      <c r="E1584" s="3873"/>
      <c r="F1584" s="3873"/>
      <c r="G1584" s="3873"/>
      <c r="H1584" s="3873"/>
      <c r="I1584" s="3873"/>
    </row>
    <row r="1585" spans="1:9">
      <c r="A1585" s="243"/>
      <c r="B1585" s="696"/>
      <c r="C1585" s="243" t="s">
        <v>140</v>
      </c>
      <c r="D1585" s="243" t="s">
        <v>343</v>
      </c>
      <c r="E1585" s="65" t="s">
        <v>344</v>
      </c>
      <c r="F1585" s="65" t="s">
        <v>482</v>
      </c>
      <c r="G1585" s="65" t="s">
        <v>483</v>
      </c>
      <c r="H1585" s="65" t="s">
        <v>170</v>
      </c>
      <c r="I1585" s="65" t="s">
        <v>171</v>
      </c>
    </row>
    <row r="1586" spans="1:9">
      <c r="A1586" s="243"/>
      <c r="B1586" s="696" t="s">
        <v>4151</v>
      </c>
      <c r="C1586" s="370">
        <v>1</v>
      </c>
      <c r="D1586" s="243" t="s">
        <v>363</v>
      </c>
      <c r="E1586" s="65">
        <v>33230</v>
      </c>
      <c r="F1586" s="65"/>
      <c r="G1586" s="65">
        <f>+E1586*C1586</f>
        <v>33230</v>
      </c>
      <c r="H1586" s="65"/>
      <c r="I1586" s="65"/>
    </row>
    <row r="1587" spans="1:9">
      <c r="A1587" s="243" t="s">
        <v>584</v>
      </c>
      <c r="B1587" s="696" t="s">
        <v>134</v>
      </c>
      <c r="C1587" s="370">
        <v>1E-3</v>
      </c>
      <c r="D1587" s="243" t="s">
        <v>583</v>
      </c>
      <c r="E1587" s="65">
        <f>+VIAJE</f>
        <v>1200000</v>
      </c>
      <c r="F1587" s="65"/>
      <c r="G1587" s="65"/>
      <c r="H1587" s="65"/>
      <c r="I1587" s="65">
        <f>+E1587*C1587</f>
        <v>1200</v>
      </c>
    </row>
    <row r="1588" spans="1:9">
      <c r="A1588" s="20" t="s">
        <v>190</v>
      </c>
      <c r="B1588" s="39">
        <f>SUM(F1588:I1588)</f>
        <v>34430</v>
      </c>
      <c r="C1588" s="34"/>
      <c r="D1588" s="243"/>
      <c r="E1588" s="65"/>
      <c r="F1588" s="65">
        <f>+SUM(F1586:F1587)</f>
        <v>0</v>
      </c>
      <c r="G1588" s="65">
        <f>+SUM(G1586:G1587)</f>
        <v>33230</v>
      </c>
      <c r="H1588" s="65">
        <f>+SUM(H1586:H1587)</f>
        <v>0</v>
      </c>
      <c r="I1588" s="65">
        <f>+SUM(I1586:I1587)</f>
        <v>1200</v>
      </c>
    </row>
    <row r="1589" spans="1:9">
      <c r="A1589" s="20" t="s">
        <v>191</v>
      </c>
      <c r="B1589" s="39">
        <f>+B1588</f>
        <v>34430</v>
      </c>
      <c r="C1589" s="21" t="s">
        <v>363</v>
      </c>
      <c r="D1589" s="492"/>
      <c r="E1589" s="730"/>
      <c r="F1589" s="730"/>
      <c r="G1589" s="730"/>
      <c r="H1589" s="730"/>
      <c r="I1589" s="730"/>
    </row>
    <row r="1590" spans="1:9">
      <c r="A1590" s="13"/>
      <c r="B1590" s="679"/>
      <c r="C1590" s="13"/>
      <c r="D1590" s="13"/>
      <c r="E1590" s="673"/>
      <c r="F1590" s="673"/>
      <c r="G1590" s="673"/>
      <c r="H1590" s="673"/>
      <c r="I1590" s="673"/>
    </row>
    <row r="1591" spans="1:9">
      <c r="A1591" s="683" t="s">
        <v>8691</v>
      </c>
      <c r="B1591" s="3871" t="s">
        <v>4142</v>
      </c>
      <c r="C1591" s="3871"/>
      <c r="D1591" s="3871"/>
      <c r="E1591" s="3871"/>
      <c r="F1591" s="3871"/>
      <c r="G1591" s="3871"/>
      <c r="H1591" s="3871"/>
      <c r="I1591" s="3871"/>
    </row>
    <row r="1592" spans="1:9">
      <c r="A1592" s="470"/>
      <c r="B1592" s="696"/>
      <c r="C1592" s="243" t="s">
        <v>140</v>
      </c>
      <c r="D1592" s="243" t="s">
        <v>343</v>
      </c>
      <c r="E1592" s="674" t="s">
        <v>344</v>
      </c>
      <c r="F1592" s="674" t="s">
        <v>482</v>
      </c>
      <c r="G1592" s="674" t="s">
        <v>483</v>
      </c>
      <c r="H1592" s="674" t="s">
        <v>170</v>
      </c>
      <c r="I1592" s="674" t="s">
        <v>171</v>
      </c>
    </row>
    <row r="1593" spans="1:9">
      <c r="A1593" s="471" t="s">
        <v>345</v>
      </c>
      <c r="B1593" s="41" t="str">
        <f>IF(PRESTA&gt;0,"OFICIAL (INCLUYE "&amp;""&amp;PRESTA*100&amp;"% PRESTACIONES)",0)</f>
        <v>OFICIAL (INCLUYE 82,22% PRESTACIONES)</v>
      </c>
      <c r="C1593" s="346">
        <v>0.1</v>
      </c>
      <c r="D1593" s="160" t="s">
        <v>346</v>
      </c>
      <c r="E1593" s="674">
        <f>+OFICI</f>
        <v>80479.625344</v>
      </c>
      <c r="F1593" s="674"/>
      <c r="G1593" s="674"/>
      <c r="H1593" s="674">
        <f>+E1593*C1593</f>
        <v>8047.9625344000005</v>
      </c>
      <c r="I1593" s="674"/>
    </row>
    <row r="1594" spans="1:9">
      <c r="A1594" s="471" t="s">
        <v>347</v>
      </c>
      <c r="B1594" s="41" t="str">
        <f>IF(PRESTA&gt;0,"AYUD. ENTENDIDO (INCLUYE "&amp;""&amp;PRESTA*100&amp;"% PRESTACIONES)",0)</f>
        <v>AYUD. ENTENDIDO (INCLUYE 82,22% PRESTACIONES)</v>
      </c>
      <c r="C1594" s="346">
        <v>0.1</v>
      </c>
      <c r="D1594" s="160" t="s">
        <v>346</v>
      </c>
      <c r="E1594" s="674">
        <f>+AYUDA</f>
        <v>65389.695592000004</v>
      </c>
      <c r="F1594" s="674"/>
      <c r="G1594" s="674"/>
      <c r="H1594" s="674">
        <f>+E1594*C1594</f>
        <v>6538.9695592000007</v>
      </c>
      <c r="I1594" s="674"/>
    </row>
    <row r="1595" spans="1:9">
      <c r="A1595" s="471" t="s">
        <v>172</v>
      </c>
      <c r="B1595" s="41" t="s">
        <v>189</v>
      </c>
      <c r="C1595" s="346">
        <v>1</v>
      </c>
      <c r="D1595" s="160" t="s">
        <v>583</v>
      </c>
      <c r="E1595" s="674">
        <f>+H1596*0.05</f>
        <v>729.34660468000004</v>
      </c>
      <c r="F1595" s="674"/>
      <c r="G1595" s="674"/>
      <c r="H1595" s="674"/>
      <c r="I1595" s="674">
        <f>+E1595*C1595</f>
        <v>729.34660468000004</v>
      </c>
    </row>
    <row r="1596" spans="1:9">
      <c r="A1596" s="587" t="s">
        <v>190</v>
      </c>
      <c r="B1596" s="588">
        <f>SUM(F1596:I1596)</f>
        <v>15316.278698280001</v>
      </c>
      <c r="C1596" s="160"/>
      <c r="D1596" s="169"/>
      <c r="E1596" s="674"/>
      <c r="F1596" s="674">
        <f>SUM(F1592:F1595)</f>
        <v>0</v>
      </c>
      <c r="G1596" s="674">
        <f>SUM(G1592:G1595)</f>
        <v>0</v>
      </c>
      <c r="H1596" s="674">
        <f>SUM(H1592:H1595)</f>
        <v>14586.9320936</v>
      </c>
      <c r="I1596" s="674">
        <f>SUM(I1592:I1595)</f>
        <v>729.34660468000004</v>
      </c>
    </row>
    <row r="1597" spans="1:9">
      <c r="A1597" s="587" t="s">
        <v>191</v>
      </c>
      <c r="B1597" s="39">
        <f>+B1596</f>
        <v>15316.278698280001</v>
      </c>
      <c r="C1597" s="20" t="s">
        <v>363</v>
      </c>
      <c r="D1597" s="13"/>
      <c r="E1597" s="673"/>
      <c r="F1597" s="673"/>
      <c r="G1597" s="673"/>
      <c r="H1597" s="673"/>
      <c r="I1597" s="673"/>
    </row>
    <row r="1598" spans="1:9">
      <c r="A1598" s="73"/>
      <c r="B1598" s="764"/>
      <c r="C1598" s="13"/>
      <c r="D1598" s="13"/>
      <c r="E1598" s="170"/>
      <c r="F1598" s="170"/>
      <c r="G1598" s="170"/>
      <c r="H1598" s="170"/>
      <c r="I1598" s="170"/>
    </row>
    <row r="1599" spans="1:9">
      <c r="A1599" s="714" t="s">
        <v>8692</v>
      </c>
      <c r="B1599" s="3873" t="s">
        <v>4143</v>
      </c>
      <c r="C1599" s="3873"/>
      <c r="D1599" s="3873"/>
      <c r="E1599" s="3873"/>
      <c r="F1599" s="3873"/>
      <c r="G1599" s="3873"/>
      <c r="H1599" s="3873"/>
      <c r="I1599" s="3873"/>
    </row>
    <row r="1600" spans="1:9">
      <c r="A1600" s="470"/>
      <c r="B1600" s="696"/>
      <c r="C1600" s="243" t="s">
        <v>140</v>
      </c>
      <c r="D1600" s="243" t="s">
        <v>343</v>
      </c>
      <c r="E1600" s="674" t="s">
        <v>344</v>
      </c>
      <c r="F1600" s="674" t="s">
        <v>482</v>
      </c>
      <c r="G1600" s="674" t="s">
        <v>483</v>
      </c>
      <c r="H1600" s="674" t="s">
        <v>170</v>
      </c>
      <c r="I1600" s="674" t="s">
        <v>171</v>
      </c>
    </row>
    <row r="1601" spans="1:9">
      <c r="A1601" s="471" t="s">
        <v>928</v>
      </c>
      <c r="B1601" s="41" t="s">
        <v>929</v>
      </c>
      <c r="C1601" s="684">
        <v>1</v>
      </c>
      <c r="D1601" s="6" t="s">
        <v>363</v>
      </c>
      <c r="E1601" s="32" t="str">
        <f>+____R32JH</f>
        <v>m³</v>
      </c>
      <c r="F1601" s="32"/>
      <c r="G1601" s="32" t="e">
        <f>+E1601*C1601</f>
        <v>#VALUE!</v>
      </c>
      <c r="H1601" s="32"/>
      <c r="I1601" s="32"/>
    </row>
    <row r="1602" spans="1:9">
      <c r="A1602" s="471" t="s">
        <v>584</v>
      </c>
      <c r="B1602" s="41" t="s">
        <v>134</v>
      </c>
      <c r="C1602" s="684">
        <v>5.0000000000000001E-3</v>
      </c>
      <c r="D1602" s="6" t="s">
        <v>583</v>
      </c>
      <c r="E1602" s="32">
        <f>+VIAJE</f>
        <v>1200000</v>
      </c>
      <c r="F1602" s="674"/>
      <c r="G1602" s="674"/>
      <c r="H1602" s="674"/>
      <c r="I1602" s="674">
        <f>+E1602*C1602</f>
        <v>6000</v>
      </c>
    </row>
    <row r="1603" spans="1:9">
      <c r="A1603" s="587" t="s">
        <v>190</v>
      </c>
      <c r="B1603" s="588" t="e">
        <f>SUM(F1603:I1603)</f>
        <v>#VALUE!</v>
      </c>
      <c r="C1603" s="160"/>
      <c r="D1603" s="169"/>
      <c r="E1603" s="674"/>
      <c r="F1603" s="674">
        <f>SUM(F1600:F1602)</f>
        <v>0</v>
      </c>
      <c r="G1603" s="674" t="e">
        <f>SUM(G1600:G1602)</f>
        <v>#VALUE!</v>
      </c>
      <c r="H1603" s="674">
        <f>SUM(H1600:H1602)</f>
        <v>0</v>
      </c>
      <c r="I1603" s="674">
        <f>SUM(I1600:I1602)</f>
        <v>6000</v>
      </c>
    </row>
    <row r="1604" spans="1:9">
      <c r="A1604" s="587" t="s">
        <v>191</v>
      </c>
      <c r="B1604" s="39" t="e">
        <f>+B1603</f>
        <v>#VALUE!</v>
      </c>
      <c r="C1604" s="20" t="s">
        <v>363</v>
      </c>
      <c r="D1604" s="13"/>
      <c r="E1604" s="673"/>
      <c r="F1604" s="673"/>
      <c r="G1604" s="673"/>
      <c r="H1604" s="673"/>
      <c r="I1604" s="673"/>
    </row>
    <row r="1605" spans="1:9">
      <c r="A1605" s="73"/>
      <c r="B1605" s="764"/>
      <c r="C1605" s="13"/>
      <c r="D1605" s="13"/>
      <c r="E1605" s="170"/>
      <c r="F1605" s="170"/>
      <c r="G1605" s="170"/>
      <c r="H1605" s="170"/>
      <c r="I1605" s="170"/>
    </row>
    <row r="1606" spans="1:9">
      <c r="A1606" s="668" t="s">
        <v>8693</v>
      </c>
      <c r="B1606" s="3855" t="s">
        <v>4146</v>
      </c>
      <c r="C1606" s="3856"/>
      <c r="D1606" s="3856"/>
      <c r="E1606" s="3856"/>
      <c r="F1606" s="3856"/>
      <c r="G1606" s="3856"/>
      <c r="H1606" s="3856"/>
      <c r="I1606" s="3857"/>
    </row>
    <row r="1607" spans="1:9">
      <c r="A1607" s="243"/>
      <c r="B1607" s="696"/>
      <c r="C1607" s="243" t="s">
        <v>140</v>
      </c>
      <c r="D1607" s="243" t="s">
        <v>343</v>
      </c>
      <c r="E1607" s="674" t="s">
        <v>344</v>
      </c>
      <c r="F1607" s="674" t="s">
        <v>482</v>
      </c>
      <c r="G1607" s="674" t="s">
        <v>483</v>
      </c>
      <c r="H1607" s="674" t="s">
        <v>170</v>
      </c>
      <c r="I1607" s="674" t="s">
        <v>171</v>
      </c>
    </row>
    <row r="1608" spans="1:9">
      <c r="A1608" s="2" t="s">
        <v>345</v>
      </c>
      <c r="B1608" s="41" t="str">
        <f>IF(PRESTA&gt;0,"OFICIAL (INCLUYE "&amp;""&amp;PRESTA*100&amp;"% PRESTACIONES)",0)</f>
        <v>OFICIAL (INCLUYE 82,22% PRESTACIONES)</v>
      </c>
      <c r="C1608" s="346">
        <v>1.3333333333333334E-2</v>
      </c>
      <c r="D1608" s="160" t="s">
        <v>346</v>
      </c>
      <c r="E1608" s="674">
        <f>+OFICI</f>
        <v>80479.625344</v>
      </c>
      <c r="F1608" s="674"/>
      <c r="G1608" s="674"/>
      <c r="H1608" s="674">
        <f>+E1608*C1608</f>
        <v>1073.0616712533333</v>
      </c>
      <c r="I1608" s="674"/>
    </row>
    <row r="1609" spans="1:9">
      <c r="A1609" s="2" t="s">
        <v>347</v>
      </c>
      <c r="B1609" s="41" t="str">
        <f>IF(PRESTA&gt;0,"AYUD. ENTENDIDO (INCLUYE "&amp;""&amp;PRESTA*100&amp;"% PRESTACIONES)",0)</f>
        <v>AYUD. ENTENDIDO (INCLUYE 82,22% PRESTACIONES)</v>
      </c>
      <c r="C1609" s="346">
        <v>1.3333333333333334E-2</v>
      </c>
      <c r="D1609" s="160" t="s">
        <v>346</v>
      </c>
      <c r="E1609" s="674">
        <f>AYUDA</f>
        <v>65389.695592000004</v>
      </c>
      <c r="F1609" s="674"/>
      <c r="G1609" s="674"/>
      <c r="H1609" s="674">
        <f>+E1609*C1609</f>
        <v>871.86260789333346</v>
      </c>
      <c r="I1609" s="674"/>
    </row>
    <row r="1610" spans="1:9">
      <c r="A1610" s="2" t="s">
        <v>172</v>
      </c>
      <c r="B1610" s="41" t="s">
        <v>189</v>
      </c>
      <c r="C1610" s="346">
        <v>1</v>
      </c>
      <c r="D1610" s="160" t="s">
        <v>583</v>
      </c>
      <c r="E1610" s="674">
        <f>+H1612*0.05</f>
        <v>97.246213957333339</v>
      </c>
      <c r="F1610" s="674"/>
      <c r="G1610" s="674"/>
      <c r="H1610" s="674"/>
      <c r="I1610" s="674">
        <f>+E1610*C1610</f>
        <v>97.246213957333339</v>
      </c>
    </row>
    <row r="1611" spans="1:9">
      <c r="A1611" s="2" t="s">
        <v>375</v>
      </c>
      <c r="B1611" s="41" t="s">
        <v>43</v>
      </c>
      <c r="C1611" s="346">
        <v>0.05</v>
      </c>
      <c r="D1611" s="160" t="s">
        <v>44</v>
      </c>
      <c r="E1611" s="674">
        <f>+LUPVC</f>
        <v>13275</v>
      </c>
      <c r="F1611" s="674"/>
      <c r="G1611" s="674">
        <f>+E1611*C1611</f>
        <v>663.75</v>
      </c>
      <c r="H1611" s="674"/>
      <c r="I1611" s="674"/>
    </row>
    <row r="1612" spans="1:9">
      <c r="A1612" s="587" t="s">
        <v>190</v>
      </c>
      <c r="B1612" s="588">
        <f>SUM(F1612:I1612)</f>
        <v>2705.9204931040003</v>
      </c>
      <c r="C1612" s="160"/>
      <c r="D1612" s="169"/>
      <c r="E1612" s="674"/>
      <c r="F1612" s="674">
        <f>SUM(F1606:F1611)</f>
        <v>0</v>
      </c>
      <c r="G1612" s="674">
        <f>SUM(G1606:G1611)</f>
        <v>663.75</v>
      </c>
      <c r="H1612" s="674">
        <f>SUM(H1606:H1611)</f>
        <v>1944.9242791466668</v>
      </c>
      <c r="I1612" s="674">
        <f>SUM(I1606:I1611)</f>
        <v>97.246213957333339</v>
      </c>
    </row>
    <row r="1613" spans="1:9">
      <c r="A1613" s="587" t="s">
        <v>191</v>
      </c>
      <c r="B1613" s="39">
        <f>+B1612</f>
        <v>2705.9204931040003</v>
      </c>
      <c r="C1613" s="688" t="s">
        <v>94</v>
      </c>
      <c r="D1613" s="13"/>
      <c r="E1613" s="673"/>
      <c r="F1613" s="673"/>
      <c r="G1613" s="673"/>
      <c r="H1613" s="673"/>
      <c r="I1613" s="673"/>
    </row>
    <row r="1614" spans="1:9">
      <c r="A1614" s="13"/>
      <c r="B1614" s="679"/>
      <c r="C1614" s="13"/>
      <c r="D1614" s="13"/>
      <c r="E1614" s="673"/>
      <c r="F1614" s="673"/>
      <c r="G1614" s="673"/>
      <c r="H1614" s="673"/>
      <c r="I1614" s="673"/>
    </row>
    <row r="1615" spans="1:9" ht="13.2">
      <c r="A1615" s="711"/>
      <c r="B1615" s="492"/>
      <c r="C1615" s="728"/>
      <c r="D1615" s="492"/>
      <c r="E1615" s="730"/>
      <c r="F1615" s="730"/>
      <c r="G1615" s="730"/>
      <c r="H1615" s="730"/>
      <c r="I1615" s="730"/>
    </row>
    <row r="1616" spans="1:9">
      <c r="A1616" s="13"/>
      <c r="B1616" s="679"/>
      <c r="C1616" s="13"/>
      <c r="D1616" s="13"/>
      <c r="E1616" s="673"/>
      <c r="F1616" s="673"/>
      <c r="G1616" s="673"/>
      <c r="H1616" s="673"/>
      <c r="I1616" s="673"/>
    </row>
    <row r="1617" spans="1:9">
      <c r="A1617" s="387" t="s">
        <v>8694</v>
      </c>
      <c r="B1617" s="3883" t="s">
        <v>4147</v>
      </c>
      <c r="C1617" s="3884"/>
      <c r="D1617" s="3884"/>
      <c r="E1617" s="3884"/>
      <c r="F1617" s="3884"/>
      <c r="G1617" s="3884"/>
      <c r="H1617" s="3884"/>
      <c r="I1617" s="3885"/>
    </row>
    <row r="1618" spans="1:9">
      <c r="A1618" s="243"/>
      <c r="B1618" s="696"/>
      <c r="C1618" s="243" t="s">
        <v>140</v>
      </c>
      <c r="D1618" s="243" t="s">
        <v>343</v>
      </c>
      <c r="E1618" s="674" t="s">
        <v>344</v>
      </c>
      <c r="F1618" s="674" t="s">
        <v>482</v>
      </c>
      <c r="G1618" s="674" t="s">
        <v>483</v>
      </c>
      <c r="H1618" s="674" t="s">
        <v>170</v>
      </c>
      <c r="I1618" s="674" t="s">
        <v>171</v>
      </c>
    </row>
    <row r="1619" spans="1:9">
      <c r="A1619" s="2" t="s">
        <v>114</v>
      </c>
      <c r="B1619" s="41" t="s">
        <v>4148</v>
      </c>
      <c r="C1619" s="346">
        <v>1</v>
      </c>
      <c r="D1619" s="160" t="s">
        <v>45</v>
      </c>
      <c r="E1619" s="674">
        <f>+TZ2612_</f>
        <v>257197.5</v>
      </c>
      <c r="F1619" s="674"/>
      <c r="G1619" s="674">
        <f>+E1619*C1619</f>
        <v>257197.5</v>
      </c>
      <c r="H1619" s="674"/>
      <c r="I1619" s="674"/>
    </row>
    <row r="1620" spans="1:9">
      <c r="A1620" s="2" t="s">
        <v>584</v>
      </c>
      <c r="B1620" s="41" t="s">
        <v>134</v>
      </c>
      <c r="C1620" s="346">
        <v>1E-3</v>
      </c>
      <c r="D1620" s="160" t="s">
        <v>583</v>
      </c>
      <c r="E1620" s="674">
        <f>+VIAJE</f>
        <v>1200000</v>
      </c>
      <c r="F1620" s="674"/>
      <c r="G1620" s="674"/>
      <c r="H1620" s="674"/>
      <c r="I1620" s="674">
        <f>+E1620*C1620</f>
        <v>1200</v>
      </c>
    </row>
    <row r="1621" spans="1:9">
      <c r="A1621" s="587" t="s">
        <v>190</v>
      </c>
      <c r="B1621" s="588">
        <f>SUM(F1621:I1621)</f>
        <v>258397.5</v>
      </c>
      <c r="C1621" s="160"/>
      <c r="D1621" s="169"/>
      <c r="E1621" s="674"/>
      <c r="F1621" s="674">
        <f>SUM(F1617:F1620)</f>
        <v>0</v>
      </c>
      <c r="G1621" s="674">
        <f>SUM(G1617:G1620)</f>
        <v>257197.5</v>
      </c>
      <c r="H1621" s="674">
        <f>SUM(H1617:H1620)</f>
        <v>0</v>
      </c>
      <c r="I1621" s="674">
        <f>SUM(I1617:I1620)</f>
        <v>1200</v>
      </c>
    </row>
    <row r="1622" spans="1:9">
      <c r="A1622" s="587" t="s">
        <v>191</v>
      </c>
      <c r="B1622" s="39">
        <f>+B1621</f>
        <v>258397.5</v>
      </c>
      <c r="C1622" s="688" t="s">
        <v>94</v>
      </c>
      <c r="D1622" s="13"/>
      <c r="E1622" s="673"/>
      <c r="F1622" s="673"/>
      <c r="G1622" s="673"/>
      <c r="H1622" s="673"/>
      <c r="I1622" s="673"/>
    </row>
    <row r="1623" spans="1:9">
      <c r="A1623" s="13"/>
      <c r="B1623" s="679"/>
      <c r="C1623" s="13"/>
      <c r="D1623" s="13"/>
      <c r="E1623" s="673"/>
      <c r="F1623" s="673"/>
      <c r="G1623" s="673"/>
      <c r="H1623" s="673"/>
      <c r="I1623" s="673"/>
    </row>
    <row r="1624" spans="1:9">
      <c r="A1624" s="594" t="s">
        <v>8695</v>
      </c>
      <c r="B1624" s="3880" t="s">
        <v>4154</v>
      </c>
      <c r="C1624" s="3881"/>
      <c r="D1624" s="3881"/>
      <c r="E1624" s="3881"/>
      <c r="F1624" s="3881"/>
      <c r="G1624" s="3881"/>
      <c r="H1624" s="3881"/>
      <c r="I1624" s="3882"/>
    </row>
    <row r="1625" spans="1:9">
      <c r="A1625" s="470"/>
      <c r="B1625" s="180"/>
      <c r="C1625" s="243" t="s">
        <v>140</v>
      </c>
      <c r="D1625" s="243" t="s">
        <v>343</v>
      </c>
      <c r="E1625" s="243" t="s">
        <v>344</v>
      </c>
      <c r="F1625" s="243" t="s">
        <v>482</v>
      </c>
      <c r="G1625" s="243" t="s">
        <v>483</v>
      </c>
      <c r="H1625" s="243" t="s">
        <v>170</v>
      </c>
      <c r="I1625" s="243" t="s">
        <v>171</v>
      </c>
    </row>
    <row r="1626" spans="1:9">
      <c r="A1626" s="471" t="s">
        <v>345</v>
      </c>
      <c r="B1626" s="3" t="str">
        <f>IF(PRESTA&gt;0,"OFICIAL (INCLUYE "&amp;""&amp;PRESTA*100&amp;"% PRESTACIONES)",0)</f>
        <v>OFICIAL (INCLUYE 82,22% PRESTACIONES)</v>
      </c>
      <c r="C1626" s="346">
        <v>0.01</v>
      </c>
      <c r="D1626" s="160" t="s">
        <v>346</v>
      </c>
      <c r="E1626" s="710">
        <f>+OFICI</f>
        <v>80479.625344</v>
      </c>
      <c r="F1626" s="710"/>
      <c r="G1626" s="710"/>
      <c r="H1626" s="710">
        <f>+E1626*C1626</f>
        <v>804.79625343999999</v>
      </c>
      <c r="I1626" s="710"/>
    </row>
    <row r="1627" spans="1:9">
      <c r="A1627" s="471" t="s">
        <v>347</v>
      </c>
      <c r="B1627" s="3" t="str">
        <f>IF(PRESTA&gt;0,"AYUD. ENTENDIDO (INCLUYE "&amp;""&amp;PRESTA*100&amp;"% PRESTACIONES)",0)</f>
        <v>AYUD. ENTENDIDO (INCLUYE 82,22% PRESTACIONES)</v>
      </c>
      <c r="C1627" s="346">
        <v>0.01</v>
      </c>
      <c r="D1627" s="160" t="s">
        <v>346</v>
      </c>
      <c r="E1627" s="710">
        <f>+AYUDA</f>
        <v>65389.695592000004</v>
      </c>
      <c r="F1627" s="710"/>
      <c r="G1627" s="710"/>
      <c r="H1627" s="710">
        <f>+E1627*C1627</f>
        <v>653.8969559200001</v>
      </c>
      <c r="I1627" s="710"/>
    </row>
    <row r="1628" spans="1:9">
      <c r="A1628" s="471" t="s">
        <v>172</v>
      </c>
      <c r="B1628" s="3" t="s">
        <v>189</v>
      </c>
      <c r="C1628" s="346">
        <v>1</v>
      </c>
      <c r="D1628" s="160" t="s">
        <v>583</v>
      </c>
      <c r="E1628" s="710">
        <f>+H1629*0.05</f>
        <v>72.934660468000004</v>
      </c>
      <c r="F1628" s="710"/>
      <c r="G1628" s="710"/>
      <c r="H1628" s="710"/>
      <c r="I1628" s="710">
        <f>+E1628*C1628</f>
        <v>72.934660468000004</v>
      </c>
    </row>
    <row r="1629" spans="1:9">
      <c r="A1629" s="587" t="s">
        <v>190</v>
      </c>
      <c r="B1629" s="588">
        <f>SUM(F1629:I1629)</f>
        <v>1531.627869828</v>
      </c>
      <c r="C1629" s="160"/>
      <c r="D1629" s="169"/>
      <c r="E1629" s="710"/>
      <c r="F1629" s="710">
        <f>SUM(F1626:F1628)</f>
        <v>0</v>
      </c>
      <c r="G1629" s="710">
        <f>SUM(G1626:G1628)</f>
        <v>0</v>
      </c>
      <c r="H1629" s="710">
        <f>SUM(H1626:H1628)</f>
        <v>1458.6932093600001</v>
      </c>
      <c r="I1629" s="710">
        <f>SUM(I1626:I1628)</f>
        <v>72.934660468000004</v>
      </c>
    </row>
    <row r="1630" spans="1:9">
      <c r="A1630" s="587" t="s">
        <v>191</v>
      </c>
      <c r="B1630" s="39">
        <f>+B1629</f>
        <v>1531.627869828</v>
      </c>
      <c r="C1630" s="688" t="s">
        <v>363</v>
      </c>
      <c r="D1630" s="13"/>
      <c r="E1630" s="13"/>
      <c r="F1630" s="13"/>
      <c r="G1630" s="13"/>
      <c r="H1630" s="13"/>
      <c r="I1630" s="13"/>
    </row>
    <row r="1631" spans="1:9">
      <c r="A1631" s="596"/>
      <c r="B1631" s="19"/>
      <c r="C1631" s="596"/>
      <c r="D1631" s="596"/>
      <c r="E1631" s="596"/>
      <c r="F1631" s="596"/>
      <c r="G1631" s="596"/>
      <c r="H1631" s="596"/>
      <c r="I1631" s="596"/>
    </row>
    <row r="1632" spans="1:9">
      <c r="A1632" s="724" t="s">
        <v>8696</v>
      </c>
      <c r="B1632" s="3877" t="s">
        <v>4155</v>
      </c>
      <c r="C1632" s="3878"/>
      <c r="D1632" s="3878"/>
      <c r="E1632" s="3878"/>
      <c r="F1632" s="3878"/>
      <c r="G1632" s="3878"/>
      <c r="H1632" s="3878"/>
      <c r="I1632" s="3879"/>
    </row>
    <row r="1633" spans="1:9">
      <c r="A1633" s="470"/>
      <c r="B1633" s="180"/>
      <c r="C1633" s="243" t="s">
        <v>140</v>
      </c>
      <c r="D1633" s="243" t="s">
        <v>343</v>
      </c>
      <c r="E1633" s="243" t="s">
        <v>344</v>
      </c>
      <c r="F1633" s="243" t="s">
        <v>482</v>
      </c>
      <c r="G1633" s="243" t="s">
        <v>483</v>
      </c>
      <c r="H1633" s="243" t="s">
        <v>170</v>
      </c>
      <c r="I1633" s="243" t="s">
        <v>171</v>
      </c>
    </row>
    <row r="1634" spans="1:9">
      <c r="A1634" s="471" t="s">
        <v>970</v>
      </c>
      <c r="B1634" s="3" t="s">
        <v>969</v>
      </c>
      <c r="C1634" s="346">
        <v>1</v>
      </c>
      <c r="D1634" s="160" t="s">
        <v>363</v>
      </c>
      <c r="E1634" s="710">
        <v>9960</v>
      </c>
      <c r="F1634" s="710"/>
      <c r="G1634" s="710">
        <f>+E1634*C1634</f>
        <v>9960</v>
      </c>
      <c r="H1634" s="710"/>
      <c r="I1634" s="710"/>
    </row>
    <row r="1635" spans="1:9">
      <c r="A1635" s="471" t="s">
        <v>584</v>
      </c>
      <c r="B1635" s="3" t="s">
        <v>134</v>
      </c>
      <c r="C1635" s="346">
        <v>1E-4</v>
      </c>
      <c r="D1635" s="160" t="s">
        <v>583</v>
      </c>
      <c r="E1635" s="710">
        <f>+VIAJE</f>
        <v>1200000</v>
      </c>
      <c r="F1635" s="710"/>
      <c r="G1635" s="710"/>
      <c r="H1635" s="710"/>
      <c r="I1635" s="710">
        <f>+E1635*C1635</f>
        <v>120</v>
      </c>
    </row>
    <row r="1636" spans="1:9">
      <c r="A1636" s="587" t="s">
        <v>190</v>
      </c>
      <c r="B1636" s="588">
        <f>SUM(F1636:I1636)</f>
        <v>10080</v>
      </c>
      <c r="C1636" s="160"/>
      <c r="D1636" s="169"/>
      <c r="E1636" s="710"/>
      <c r="F1636" s="710">
        <f>SUM(F1634:F1635)</f>
        <v>0</v>
      </c>
      <c r="G1636" s="710">
        <f>SUM(G1634:G1635)</f>
        <v>9960</v>
      </c>
      <c r="H1636" s="710">
        <f>SUM(H1634:H1635)</f>
        <v>0</v>
      </c>
      <c r="I1636" s="710">
        <f>SUM(I1634:I1635)</f>
        <v>120</v>
      </c>
    </row>
    <row r="1637" spans="1:9">
      <c r="A1637" s="587" t="s">
        <v>191</v>
      </c>
      <c r="B1637" s="39">
        <f>+B1636</f>
        <v>10080</v>
      </c>
      <c r="C1637" s="688" t="s">
        <v>363</v>
      </c>
      <c r="D1637" s="13"/>
      <c r="E1637" s="13"/>
      <c r="F1637" s="13"/>
      <c r="G1637" s="13"/>
      <c r="H1637" s="13"/>
      <c r="I1637" s="13"/>
    </row>
    <row r="1638" spans="1:9">
      <c r="A1638" s="596"/>
      <c r="B1638" s="19"/>
      <c r="C1638" s="596"/>
      <c r="D1638" s="596"/>
      <c r="E1638" s="596"/>
      <c r="F1638" s="596"/>
      <c r="G1638" s="596"/>
      <c r="H1638" s="596"/>
      <c r="I1638" s="596"/>
    </row>
    <row r="1639" spans="1:9">
      <c r="A1639" s="594" t="s">
        <v>8697</v>
      </c>
      <c r="B1639" s="3880" t="s">
        <v>4156</v>
      </c>
      <c r="C1639" s="3881"/>
      <c r="D1639" s="3881"/>
      <c r="E1639" s="3881"/>
      <c r="F1639" s="3881"/>
      <c r="G1639" s="3881"/>
      <c r="H1639" s="3881"/>
      <c r="I1639" s="3882"/>
    </row>
    <row r="1640" spans="1:9">
      <c r="A1640" s="470"/>
      <c r="B1640" s="180"/>
      <c r="C1640" s="243" t="s">
        <v>140</v>
      </c>
      <c r="D1640" s="243" t="s">
        <v>343</v>
      </c>
      <c r="E1640" s="243" t="s">
        <v>344</v>
      </c>
      <c r="F1640" s="243" t="s">
        <v>482</v>
      </c>
      <c r="G1640" s="243" t="s">
        <v>483</v>
      </c>
      <c r="H1640" s="243" t="s">
        <v>170</v>
      </c>
      <c r="I1640" s="243" t="s">
        <v>171</v>
      </c>
    </row>
    <row r="1641" spans="1:9">
      <c r="A1641" s="471" t="s">
        <v>345</v>
      </c>
      <c r="B1641" s="3" t="str">
        <f>IF(PRESTA&gt;0,"OFICIAL (INCLUYE "&amp;""&amp;PRESTA*100&amp;"% PRESTACIONES)",0)</f>
        <v>OFICIAL (INCLUYE 82,22% PRESTACIONES)</v>
      </c>
      <c r="C1641" s="346">
        <v>0.01</v>
      </c>
      <c r="D1641" s="160" t="s">
        <v>346</v>
      </c>
      <c r="E1641" s="710">
        <f>+OFICI</f>
        <v>80479.625344</v>
      </c>
      <c r="F1641" s="710"/>
      <c r="G1641" s="710"/>
      <c r="H1641" s="710">
        <f>+E1641*C1641</f>
        <v>804.79625343999999</v>
      </c>
      <c r="I1641" s="710"/>
    </row>
    <row r="1642" spans="1:9">
      <c r="A1642" s="471" t="s">
        <v>347</v>
      </c>
      <c r="B1642" s="3" t="str">
        <f>IF(PRESTA&gt;0,"AYUD. ENTENDIDO (INCLUYE "&amp;""&amp;PRESTA*100&amp;"% PRESTACIONES)",0)</f>
        <v>AYUD. ENTENDIDO (INCLUYE 82,22% PRESTACIONES)</v>
      </c>
      <c r="C1642" s="346">
        <v>0.01</v>
      </c>
      <c r="D1642" s="160" t="s">
        <v>346</v>
      </c>
      <c r="E1642" s="710">
        <f>+AYUDA</f>
        <v>65389.695592000004</v>
      </c>
      <c r="F1642" s="710"/>
      <c r="G1642" s="710"/>
      <c r="H1642" s="710">
        <f>+E1642*C1642</f>
        <v>653.8969559200001</v>
      </c>
      <c r="I1642" s="710"/>
    </row>
    <row r="1643" spans="1:9">
      <c r="A1643" s="471" t="s">
        <v>172</v>
      </c>
      <c r="B1643" s="3" t="s">
        <v>189</v>
      </c>
      <c r="C1643" s="346">
        <v>1</v>
      </c>
      <c r="D1643" s="160" t="s">
        <v>583</v>
      </c>
      <c r="E1643" s="710">
        <f>+H1644*0.05</f>
        <v>72.934660468000004</v>
      </c>
      <c r="F1643" s="710"/>
      <c r="G1643" s="710"/>
      <c r="H1643" s="710"/>
      <c r="I1643" s="710">
        <f>+E1643*C1643</f>
        <v>72.934660468000004</v>
      </c>
    </row>
    <row r="1644" spans="1:9">
      <c r="A1644" s="587" t="s">
        <v>190</v>
      </c>
      <c r="B1644" s="588">
        <f>SUM(F1644:I1644)</f>
        <v>1531.627869828</v>
      </c>
      <c r="C1644" s="160"/>
      <c r="D1644" s="169"/>
      <c r="E1644" s="710"/>
      <c r="F1644" s="710">
        <f>SUM(F1641:F1643)</f>
        <v>0</v>
      </c>
      <c r="G1644" s="710">
        <f>SUM(G1641:G1643)</f>
        <v>0</v>
      </c>
      <c r="H1644" s="710">
        <f>SUM(H1641:H1643)</f>
        <v>1458.6932093600001</v>
      </c>
      <c r="I1644" s="710">
        <f>SUM(I1641:I1643)</f>
        <v>72.934660468000004</v>
      </c>
    </row>
    <row r="1645" spans="1:9">
      <c r="A1645" s="587" t="s">
        <v>191</v>
      </c>
      <c r="B1645" s="39">
        <f>+B1644</f>
        <v>1531.627869828</v>
      </c>
      <c r="C1645" s="688" t="s">
        <v>363</v>
      </c>
      <c r="D1645" s="13"/>
      <c r="E1645" s="13"/>
      <c r="F1645" s="13"/>
      <c r="G1645" s="13"/>
      <c r="H1645" s="13"/>
      <c r="I1645" s="13"/>
    </row>
    <row r="1646" spans="1:9">
      <c r="A1646" s="596"/>
      <c r="B1646" s="19"/>
      <c r="C1646" s="596"/>
      <c r="D1646" s="596"/>
      <c r="E1646" s="596"/>
      <c r="F1646" s="596"/>
      <c r="G1646" s="596"/>
      <c r="H1646" s="596"/>
      <c r="I1646" s="596"/>
    </row>
    <row r="1647" spans="1:9">
      <c r="A1647" s="724" t="s">
        <v>8698</v>
      </c>
      <c r="B1647" s="3877" t="s">
        <v>4157</v>
      </c>
      <c r="C1647" s="3878"/>
      <c r="D1647" s="3878"/>
      <c r="E1647" s="3878"/>
      <c r="F1647" s="3878"/>
      <c r="G1647" s="3878"/>
      <c r="H1647" s="3878"/>
      <c r="I1647" s="3879"/>
    </row>
    <row r="1648" spans="1:9">
      <c r="A1648" s="470"/>
      <c r="B1648" s="180"/>
      <c r="C1648" s="243" t="s">
        <v>140</v>
      </c>
      <c r="D1648" s="243" t="s">
        <v>343</v>
      </c>
      <c r="E1648" s="243" t="s">
        <v>344</v>
      </c>
      <c r="F1648" s="243" t="s">
        <v>482</v>
      </c>
      <c r="G1648" s="243" t="s">
        <v>483</v>
      </c>
      <c r="H1648" s="243" t="s">
        <v>170</v>
      </c>
      <c r="I1648" s="243" t="s">
        <v>171</v>
      </c>
    </row>
    <row r="1649" spans="1:9">
      <c r="A1649" s="471" t="s">
        <v>3983</v>
      </c>
      <c r="B1649" s="3" t="s">
        <v>4158</v>
      </c>
      <c r="C1649" s="346">
        <v>1</v>
      </c>
      <c r="D1649" s="160" t="s">
        <v>363</v>
      </c>
      <c r="E1649" s="710">
        <v>8759</v>
      </c>
      <c r="F1649" s="710"/>
      <c r="G1649" s="710">
        <f>+E1649*C1649</f>
        <v>8759</v>
      </c>
      <c r="H1649" s="710"/>
      <c r="I1649" s="710"/>
    </row>
    <row r="1650" spans="1:9">
      <c r="A1650" s="471" t="s">
        <v>584</v>
      </c>
      <c r="B1650" s="3" t="s">
        <v>134</v>
      </c>
      <c r="C1650" s="346">
        <v>1E-4</v>
      </c>
      <c r="D1650" s="160" t="s">
        <v>583</v>
      </c>
      <c r="E1650" s="710">
        <f>+VIAJE</f>
        <v>1200000</v>
      </c>
      <c r="F1650" s="710"/>
      <c r="G1650" s="710"/>
      <c r="H1650" s="710"/>
      <c r="I1650" s="710">
        <f>+E1650*C1650</f>
        <v>120</v>
      </c>
    </row>
    <row r="1651" spans="1:9">
      <c r="A1651" s="587" t="s">
        <v>190</v>
      </c>
      <c r="B1651" s="588">
        <f>SUM(F1651:I1651)</f>
        <v>8879</v>
      </c>
      <c r="C1651" s="160"/>
      <c r="D1651" s="169"/>
      <c r="E1651" s="710"/>
      <c r="F1651" s="710">
        <f>SUM(F1649:F1650)</f>
        <v>0</v>
      </c>
      <c r="G1651" s="710">
        <f>SUM(G1649:G1650)</f>
        <v>8759</v>
      </c>
      <c r="H1651" s="710">
        <f>SUM(H1649:H1650)</f>
        <v>0</v>
      </c>
      <c r="I1651" s="710">
        <f>SUM(I1649:I1650)</f>
        <v>120</v>
      </c>
    </row>
    <row r="1652" spans="1:9">
      <c r="A1652" s="587" t="s">
        <v>191</v>
      </c>
      <c r="B1652" s="39">
        <f>+B1651</f>
        <v>8879</v>
      </c>
      <c r="C1652" s="688" t="s">
        <v>363</v>
      </c>
      <c r="D1652" s="13"/>
      <c r="E1652" s="13"/>
      <c r="F1652" s="13"/>
      <c r="G1652" s="13"/>
      <c r="H1652" s="13"/>
      <c r="I1652" s="13"/>
    </row>
    <row r="1653" spans="1:9">
      <c r="A1653" s="596"/>
      <c r="B1653" s="19"/>
      <c r="C1653" s="596"/>
      <c r="D1653" s="596"/>
      <c r="E1653" s="596"/>
      <c r="F1653" s="596"/>
      <c r="G1653" s="596"/>
      <c r="H1653" s="596"/>
      <c r="I1653" s="596"/>
    </row>
    <row r="1654" spans="1:9">
      <c r="A1654" s="594" t="s">
        <v>8699</v>
      </c>
      <c r="B1654" s="3880" t="s">
        <v>4159</v>
      </c>
      <c r="C1654" s="3881"/>
      <c r="D1654" s="3881"/>
      <c r="E1654" s="3881"/>
      <c r="F1654" s="3881"/>
      <c r="G1654" s="3881"/>
      <c r="H1654" s="3881"/>
      <c r="I1654" s="3882"/>
    </row>
    <row r="1655" spans="1:9">
      <c r="A1655" s="470"/>
      <c r="B1655" s="180"/>
      <c r="C1655" s="243" t="s">
        <v>140</v>
      </c>
      <c r="D1655" s="243" t="s">
        <v>343</v>
      </c>
      <c r="E1655" s="243" t="s">
        <v>344</v>
      </c>
      <c r="F1655" s="243" t="s">
        <v>482</v>
      </c>
      <c r="G1655" s="243" t="s">
        <v>483</v>
      </c>
      <c r="H1655" s="243" t="s">
        <v>170</v>
      </c>
      <c r="I1655" s="243" t="s">
        <v>171</v>
      </c>
    </row>
    <row r="1656" spans="1:9">
      <c r="A1656" s="471" t="s">
        <v>347</v>
      </c>
      <c r="B1656" s="3" t="str">
        <f>IF(PRESTA&gt;0,"AYUD. ENTENDIDO (INCLUYE "&amp;""&amp;PRESTA*100&amp;"% PRESTACIONES)",0)</f>
        <v>AYUD. ENTENDIDO (INCLUYE 82,22% PRESTACIONES)</v>
      </c>
      <c r="C1656" s="346">
        <v>0.01</v>
      </c>
      <c r="D1656" s="160" t="s">
        <v>346</v>
      </c>
      <c r="E1656" s="710">
        <f>+AYUDA</f>
        <v>65389.695592000004</v>
      </c>
      <c r="F1656" s="710"/>
      <c r="G1656" s="710"/>
      <c r="H1656" s="710">
        <f>+E1656*C1656</f>
        <v>653.8969559200001</v>
      </c>
      <c r="I1656" s="710"/>
    </row>
    <row r="1657" spans="1:9">
      <c r="A1657" s="471" t="s">
        <v>172</v>
      </c>
      <c r="B1657" s="3" t="s">
        <v>189</v>
      </c>
      <c r="C1657" s="346">
        <v>1</v>
      </c>
      <c r="D1657" s="160" t="s">
        <v>583</v>
      </c>
      <c r="E1657" s="710">
        <f>+H1658*0.05</f>
        <v>32.694847796000005</v>
      </c>
      <c r="F1657" s="710"/>
      <c r="G1657" s="710"/>
      <c r="H1657" s="710"/>
      <c r="I1657" s="710">
        <f>+E1657*C1657</f>
        <v>32.694847796000005</v>
      </c>
    </row>
    <row r="1658" spans="1:9">
      <c r="A1658" s="587" t="s">
        <v>190</v>
      </c>
      <c r="B1658" s="588">
        <f>SUM(F1658:I1658)</f>
        <v>686.59180371600007</v>
      </c>
      <c r="C1658" s="160"/>
      <c r="D1658" s="169"/>
      <c r="E1658" s="710"/>
      <c r="F1658" s="710">
        <f>SUM(F1656:F1657)</f>
        <v>0</v>
      </c>
      <c r="G1658" s="710">
        <f>SUM(G1656:G1657)</f>
        <v>0</v>
      </c>
      <c r="H1658" s="710">
        <f>SUM(H1656:H1657)</f>
        <v>653.8969559200001</v>
      </c>
      <c r="I1658" s="710">
        <f>SUM(I1656:I1657)</f>
        <v>32.694847796000005</v>
      </c>
    </row>
    <row r="1659" spans="1:9">
      <c r="A1659" s="587" t="s">
        <v>191</v>
      </c>
      <c r="B1659" s="39">
        <f>+B1658</f>
        <v>686.59180371600007</v>
      </c>
      <c r="C1659" s="688" t="s">
        <v>363</v>
      </c>
      <c r="D1659" s="13"/>
      <c r="E1659" s="13"/>
      <c r="F1659" s="13"/>
      <c r="G1659" s="13"/>
      <c r="H1659" s="13"/>
      <c r="I1659" s="13"/>
    </row>
    <row r="1660" spans="1:9">
      <c r="A1660" s="596"/>
      <c r="B1660" s="19"/>
      <c r="C1660" s="596"/>
      <c r="D1660" s="596"/>
      <c r="E1660" s="596"/>
      <c r="F1660" s="596"/>
      <c r="G1660" s="596"/>
      <c r="H1660" s="596"/>
      <c r="I1660" s="596"/>
    </row>
    <row r="1661" spans="1:9">
      <c r="A1661" s="73"/>
      <c r="B1661" s="764"/>
      <c r="C1661" s="13"/>
      <c r="D1661" s="13"/>
      <c r="E1661" s="170"/>
      <c r="F1661" s="170"/>
      <c r="G1661" s="170"/>
      <c r="H1661" s="170"/>
      <c r="I1661" s="170"/>
    </row>
    <row r="1662" spans="1:9">
      <c r="A1662" s="724" t="s">
        <v>8700</v>
      </c>
      <c r="B1662" s="3877" t="s">
        <v>4160</v>
      </c>
      <c r="C1662" s="3878"/>
      <c r="D1662" s="3878"/>
      <c r="E1662" s="3878"/>
      <c r="F1662" s="3878"/>
      <c r="G1662" s="3878"/>
      <c r="H1662" s="3878"/>
      <c r="I1662" s="3879"/>
    </row>
    <row r="1663" spans="1:9">
      <c r="A1663" s="470"/>
      <c r="B1663" s="180"/>
      <c r="C1663" s="243" t="s">
        <v>140</v>
      </c>
      <c r="D1663" s="243" t="s">
        <v>343</v>
      </c>
      <c r="E1663" s="243" t="s">
        <v>344</v>
      </c>
      <c r="F1663" s="243" t="s">
        <v>482</v>
      </c>
      <c r="G1663" s="243" t="s">
        <v>483</v>
      </c>
      <c r="H1663" s="243" t="s">
        <v>170</v>
      </c>
      <c r="I1663" s="243" t="s">
        <v>171</v>
      </c>
    </row>
    <row r="1664" spans="1:9">
      <c r="A1664" s="471" t="s">
        <v>3983</v>
      </c>
      <c r="B1664" s="3" t="s">
        <v>4161</v>
      </c>
      <c r="C1664" s="346">
        <v>1</v>
      </c>
      <c r="D1664" s="160" t="s">
        <v>363</v>
      </c>
      <c r="E1664" s="710">
        <v>4876</v>
      </c>
      <c r="F1664" s="710"/>
      <c r="G1664" s="710">
        <f>+E1664*C1664</f>
        <v>4876</v>
      </c>
      <c r="H1664" s="710"/>
      <c r="I1664" s="710"/>
    </row>
    <row r="1665" spans="1:9">
      <c r="A1665" s="471" t="s">
        <v>584</v>
      </c>
      <c r="B1665" s="3" t="s">
        <v>134</v>
      </c>
      <c r="C1665" s="346">
        <v>5.0000000000000001E-4</v>
      </c>
      <c r="D1665" s="160" t="s">
        <v>583</v>
      </c>
      <c r="E1665" s="710">
        <f>+VIAJE</f>
        <v>1200000</v>
      </c>
      <c r="F1665" s="710"/>
      <c r="G1665" s="710"/>
      <c r="H1665" s="710"/>
      <c r="I1665" s="710">
        <f>+E1665*C1665</f>
        <v>600</v>
      </c>
    </row>
    <row r="1666" spans="1:9">
      <c r="A1666" s="587" t="s">
        <v>190</v>
      </c>
      <c r="B1666" s="588">
        <f>SUM(F1666:I1666)</f>
        <v>5476</v>
      </c>
      <c r="C1666" s="160"/>
      <c r="D1666" s="169"/>
      <c r="E1666" s="710"/>
      <c r="F1666" s="710">
        <f>SUM(F1664:F1665)</f>
        <v>0</v>
      </c>
      <c r="G1666" s="710">
        <f>SUM(G1664:G1665)</f>
        <v>4876</v>
      </c>
      <c r="H1666" s="710">
        <f>SUM(H1664:H1665)</f>
        <v>0</v>
      </c>
      <c r="I1666" s="710">
        <f>SUM(I1664:I1665)</f>
        <v>600</v>
      </c>
    </row>
    <row r="1667" spans="1:9">
      <c r="A1667" s="587" t="s">
        <v>191</v>
      </c>
      <c r="B1667" s="39">
        <f>+B1666</f>
        <v>5476</v>
      </c>
      <c r="C1667" s="688" t="s">
        <v>363</v>
      </c>
      <c r="D1667" s="13"/>
      <c r="E1667" s="13"/>
      <c r="F1667" s="13"/>
      <c r="G1667" s="13"/>
      <c r="H1667" s="13"/>
      <c r="I1667" s="13"/>
    </row>
    <row r="1668" spans="1:9">
      <c r="A1668" s="596"/>
      <c r="B1668" s="19"/>
      <c r="C1668" s="596"/>
      <c r="D1668" s="596"/>
      <c r="E1668" s="596"/>
      <c r="F1668" s="596"/>
      <c r="G1668" s="596"/>
      <c r="H1668" s="596"/>
      <c r="I1668" s="596"/>
    </row>
    <row r="1669" spans="1:9">
      <c r="A1669" s="594" t="s">
        <v>8701</v>
      </c>
      <c r="B1669" s="3871" t="s">
        <v>4162</v>
      </c>
      <c r="C1669" s="3871"/>
      <c r="D1669" s="3871"/>
      <c r="E1669" s="3871"/>
      <c r="F1669" s="3871"/>
      <c r="G1669" s="3871"/>
      <c r="H1669" s="3871"/>
      <c r="I1669" s="3871"/>
    </row>
    <row r="1670" spans="1:9">
      <c r="A1670" s="243"/>
      <c r="B1670" s="696"/>
      <c r="C1670" s="243" t="s">
        <v>140</v>
      </c>
      <c r="D1670" s="243" t="s">
        <v>343</v>
      </c>
      <c r="E1670" s="65" t="s">
        <v>344</v>
      </c>
      <c r="F1670" s="65" t="s">
        <v>482</v>
      </c>
      <c r="G1670" s="65" t="s">
        <v>483</v>
      </c>
      <c r="H1670" s="65" t="s">
        <v>170</v>
      </c>
      <c r="I1670" s="65" t="s">
        <v>171</v>
      </c>
    </row>
    <row r="1671" spans="1:9">
      <c r="A1671" s="243" t="s">
        <v>172</v>
      </c>
      <c r="B1671" s="696" t="s">
        <v>189</v>
      </c>
      <c r="C1671" s="370">
        <v>1</v>
      </c>
      <c r="D1671" s="243" t="s">
        <v>583</v>
      </c>
      <c r="E1671" s="65">
        <f>+H1675*0.05</f>
        <v>1458.6932093600001</v>
      </c>
      <c r="F1671" s="65"/>
      <c r="G1671" s="65"/>
      <c r="H1671" s="65"/>
      <c r="I1671" s="65">
        <f>+E1671*C1671</f>
        <v>1458.6932093600001</v>
      </c>
    </row>
    <row r="1672" spans="1:9">
      <c r="A1672" s="243" t="s">
        <v>464</v>
      </c>
      <c r="B1672" s="696" t="s">
        <v>4060</v>
      </c>
      <c r="C1672" s="370">
        <v>1</v>
      </c>
      <c r="D1672" s="243" t="s">
        <v>583</v>
      </c>
      <c r="E1672" s="65">
        <f>+TRANS</f>
        <v>1350</v>
      </c>
      <c r="F1672" s="65"/>
      <c r="G1672" s="65"/>
      <c r="H1672" s="65"/>
      <c r="I1672" s="65">
        <f>+E1672*C1672</f>
        <v>1350</v>
      </c>
    </row>
    <row r="1673" spans="1:9">
      <c r="A1673" s="243" t="s">
        <v>345</v>
      </c>
      <c r="B1673" s="696" t="str">
        <f>IF(PRESTA&gt;0,"OFICIAL (INCLUYE "&amp;""&amp;PRESTA*100&amp;"% PRESTACIONES)",0)</f>
        <v>OFICIAL (INCLUYE 82,22% PRESTACIONES)</v>
      </c>
      <c r="C1673" s="370">
        <v>0.2</v>
      </c>
      <c r="D1673" s="243" t="s">
        <v>346</v>
      </c>
      <c r="E1673" s="65">
        <f>+OFICI</f>
        <v>80479.625344</v>
      </c>
      <c r="F1673" s="65"/>
      <c r="G1673" s="65"/>
      <c r="H1673" s="65">
        <f>+E1673*C1673</f>
        <v>16095.925068800001</v>
      </c>
      <c r="I1673" s="65"/>
    </row>
    <row r="1674" spans="1:9">
      <c r="A1674" s="243" t="s">
        <v>347</v>
      </c>
      <c r="B1674" s="696" t="str">
        <f>IF(PRESTA&gt;0,"AYUD. ENTENDIDO (INCLUYE "&amp;""&amp;PRESTA*100&amp;"% PRESTACIONES)",0)</f>
        <v>AYUD. ENTENDIDO (INCLUYE 82,22% PRESTACIONES)</v>
      </c>
      <c r="C1674" s="370">
        <v>0.2</v>
      </c>
      <c r="D1674" s="243" t="s">
        <v>346</v>
      </c>
      <c r="E1674" s="65">
        <f>+AYUDA</f>
        <v>65389.695592000004</v>
      </c>
      <c r="F1674" s="65"/>
      <c r="G1674" s="65"/>
      <c r="H1674" s="65">
        <f>+E1674*C1674</f>
        <v>13077.939118400001</v>
      </c>
      <c r="I1674" s="65"/>
    </row>
    <row r="1675" spans="1:9">
      <c r="A1675" s="20" t="s">
        <v>190</v>
      </c>
      <c r="B1675" s="39">
        <f>SUM(F1675:I1675)</f>
        <v>31982.557396560002</v>
      </c>
      <c r="C1675" s="34"/>
      <c r="D1675" s="243"/>
      <c r="E1675" s="65"/>
      <c r="F1675" s="65">
        <f>+SUM(F1671:F1674)</f>
        <v>0</v>
      </c>
      <c r="G1675" s="65">
        <f>+SUM(G1671:G1674)</f>
        <v>0</v>
      </c>
      <c r="H1675" s="65">
        <f>+SUM(H1671:H1674)</f>
        <v>29173.864187200001</v>
      </c>
      <c r="I1675" s="65">
        <f>+SUM(I1671:I1674)</f>
        <v>2808.6932093599999</v>
      </c>
    </row>
    <row r="1676" spans="1:9">
      <c r="A1676" s="20" t="s">
        <v>191</v>
      </c>
      <c r="B1676" s="39">
        <f>+B1675</f>
        <v>31982.557396560002</v>
      </c>
      <c r="C1676" s="21" t="s">
        <v>363</v>
      </c>
      <c r="D1676" s="492"/>
      <c r="E1676" s="730"/>
      <c r="F1676" s="730"/>
      <c r="G1676" s="730"/>
      <c r="H1676" s="730"/>
      <c r="I1676" s="730"/>
    </row>
    <row r="1677" spans="1:9" ht="13.2">
      <c r="A1677" s="711"/>
      <c r="B1677" s="492"/>
      <c r="C1677" s="728"/>
      <c r="D1677" s="492"/>
      <c r="E1677" s="730"/>
      <c r="F1677" s="730"/>
      <c r="G1677" s="730"/>
      <c r="H1677" s="730"/>
      <c r="I1677" s="730"/>
    </row>
    <row r="1678" spans="1:9">
      <c r="A1678" s="724" t="s">
        <v>8702</v>
      </c>
      <c r="B1678" s="3873" t="s">
        <v>4163</v>
      </c>
      <c r="C1678" s="3873"/>
      <c r="D1678" s="3873"/>
      <c r="E1678" s="3873"/>
      <c r="F1678" s="3873"/>
      <c r="G1678" s="3873"/>
      <c r="H1678" s="3873"/>
      <c r="I1678" s="3873"/>
    </row>
    <row r="1679" spans="1:9">
      <c r="A1679" s="243"/>
      <c r="B1679" s="696"/>
      <c r="C1679" s="243" t="s">
        <v>140</v>
      </c>
      <c r="D1679" s="243" t="s">
        <v>343</v>
      </c>
      <c r="E1679" s="65" t="s">
        <v>344</v>
      </c>
      <c r="F1679" s="65" t="s">
        <v>482</v>
      </c>
      <c r="G1679" s="65" t="s">
        <v>483</v>
      </c>
      <c r="H1679" s="65" t="s">
        <v>170</v>
      </c>
      <c r="I1679" s="65" t="s">
        <v>171</v>
      </c>
    </row>
    <row r="1680" spans="1:9">
      <c r="A1680" s="243" t="s">
        <v>4164</v>
      </c>
      <c r="B1680" s="696" t="s">
        <v>4165</v>
      </c>
      <c r="C1680" s="370">
        <v>1</v>
      </c>
      <c r="D1680" s="243" t="s">
        <v>363</v>
      </c>
      <c r="E1680" s="65">
        <v>145000</v>
      </c>
      <c r="F1680" s="65"/>
      <c r="G1680" s="65">
        <f>+E1680*C1680</f>
        <v>145000</v>
      </c>
      <c r="H1680" s="65"/>
      <c r="I1680" s="65"/>
    </row>
    <row r="1681" spans="1:9">
      <c r="A1681" s="243" t="s">
        <v>584</v>
      </c>
      <c r="B1681" s="696" t="s">
        <v>134</v>
      </c>
      <c r="C1681" s="370">
        <v>0.01</v>
      </c>
      <c r="D1681" s="243" t="s">
        <v>583</v>
      </c>
      <c r="E1681" s="65">
        <f>+VIAJE</f>
        <v>1200000</v>
      </c>
      <c r="F1681" s="65"/>
      <c r="G1681" s="65"/>
      <c r="H1681" s="65"/>
      <c r="I1681" s="65">
        <f>+E1681*C1681</f>
        <v>12000</v>
      </c>
    </row>
    <row r="1682" spans="1:9">
      <c r="A1682" s="20" t="s">
        <v>190</v>
      </c>
      <c r="B1682" s="39">
        <f>SUM(F1682:I1682)</f>
        <v>157000</v>
      </c>
      <c r="C1682" s="34"/>
      <c r="D1682" s="243"/>
      <c r="E1682" s="65"/>
      <c r="F1682" s="65">
        <f>+SUM(F1680:F1681)</f>
        <v>0</v>
      </c>
      <c r="G1682" s="65">
        <f>+SUM(G1680:G1681)</f>
        <v>145000</v>
      </c>
      <c r="H1682" s="65">
        <f>+SUM(H1680:H1681)</f>
        <v>0</v>
      </c>
      <c r="I1682" s="65">
        <f>+SUM(I1680:I1681)</f>
        <v>12000</v>
      </c>
    </row>
    <row r="1683" spans="1:9">
      <c r="A1683" s="20" t="s">
        <v>191</v>
      </c>
      <c r="B1683" s="39">
        <f>+B1682</f>
        <v>157000</v>
      </c>
      <c r="C1683" s="21" t="s">
        <v>363</v>
      </c>
      <c r="D1683" s="492"/>
      <c r="E1683" s="730"/>
      <c r="F1683" s="730"/>
      <c r="G1683" s="730"/>
      <c r="H1683" s="730"/>
      <c r="I1683" s="730"/>
    </row>
    <row r="1684" spans="1:9" ht="13.2">
      <c r="A1684" s="711"/>
      <c r="B1684" s="492"/>
      <c r="C1684" s="728"/>
      <c r="D1684" s="492"/>
      <c r="E1684" s="730"/>
      <c r="F1684" s="730"/>
      <c r="G1684" s="730"/>
      <c r="H1684" s="730"/>
      <c r="I1684" s="730"/>
    </row>
    <row r="1685" spans="1:9">
      <c r="A1685" s="594" t="s">
        <v>8703</v>
      </c>
      <c r="B1685" s="3871" t="s">
        <v>4166</v>
      </c>
      <c r="C1685" s="3871"/>
      <c r="D1685" s="3871"/>
      <c r="E1685" s="3871"/>
      <c r="F1685" s="3871"/>
      <c r="G1685" s="3871"/>
      <c r="H1685" s="3871"/>
      <c r="I1685" s="3871"/>
    </row>
    <row r="1686" spans="1:9">
      <c r="A1686" s="243"/>
      <c r="B1686" s="536"/>
      <c r="C1686" s="243"/>
      <c r="D1686" s="243"/>
      <c r="E1686" s="243"/>
      <c r="F1686" s="243" t="s">
        <v>482</v>
      </c>
      <c r="G1686" s="243" t="s">
        <v>483</v>
      </c>
      <c r="H1686" s="243" t="s">
        <v>232</v>
      </c>
      <c r="I1686" s="243" t="s">
        <v>171</v>
      </c>
    </row>
    <row r="1687" spans="1:9">
      <c r="A1687" s="243" t="s">
        <v>347</v>
      </c>
      <c r="B1687" s="774" t="s">
        <v>4167</v>
      </c>
      <c r="C1687" s="775">
        <v>1</v>
      </c>
      <c r="D1687" s="776" t="s">
        <v>346</v>
      </c>
      <c r="E1687" s="777">
        <v>150000</v>
      </c>
      <c r="F1687" s="674"/>
      <c r="G1687" s="674"/>
      <c r="H1687" s="674">
        <f>+E1687*C1687</f>
        <v>150000</v>
      </c>
      <c r="I1687" s="674"/>
    </row>
    <row r="1688" spans="1:9">
      <c r="A1688" s="243" t="s">
        <v>172</v>
      </c>
      <c r="B1688" s="774" t="s">
        <v>189</v>
      </c>
      <c r="C1688" s="775">
        <v>1</v>
      </c>
      <c r="D1688" s="243" t="s">
        <v>583</v>
      </c>
      <c r="E1688" s="674">
        <f>+H1689*0.05</f>
        <v>7500</v>
      </c>
      <c r="F1688" s="674"/>
      <c r="G1688" s="674"/>
      <c r="H1688" s="674"/>
      <c r="I1688" s="674">
        <f>+E1688*C1688</f>
        <v>7500</v>
      </c>
    </row>
    <row r="1689" spans="1:9">
      <c r="A1689" s="20" t="s">
        <v>190</v>
      </c>
      <c r="B1689" s="778">
        <f>SUM(F1689:I1689)</f>
        <v>157500</v>
      </c>
      <c r="C1689" s="34"/>
      <c r="D1689" s="243"/>
      <c r="E1689" s="674"/>
      <c r="F1689" s="674"/>
      <c r="G1689" s="674">
        <f>SUM(G1687:G1688)</f>
        <v>0</v>
      </c>
      <c r="H1689" s="674">
        <f>SUM(H1687:H1688)</f>
        <v>150000</v>
      </c>
      <c r="I1689" s="674">
        <f>SUM(I1687:I1688)</f>
        <v>7500</v>
      </c>
    </row>
    <row r="1690" spans="1:9">
      <c r="A1690" s="20" t="s">
        <v>191</v>
      </c>
      <c r="B1690" s="778">
        <f>+B1689</f>
        <v>157500</v>
      </c>
      <c r="C1690" s="21" t="s">
        <v>363</v>
      </c>
      <c r="D1690" s="178"/>
      <c r="E1690" s="178"/>
      <c r="F1690" s="178"/>
      <c r="G1690" s="178"/>
      <c r="H1690" s="178"/>
      <c r="I1690" s="178"/>
    </row>
    <row r="1691" spans="1:9">
      <c r="B1691" s="178"/>
      <c r="C1691" s="178"/>
      <c r="D1691" s="178"/>
      <c r="E1691" s="178"/>
      <c r="F1691" s="178"/>
      <c r="G1691" s="178"/>
      <c r="H1691" s="178"/>
      <c r="I1691" s="178"/>
    </row>
    <row r="1692" spans="1:9">
      <c r="A1692" s="724" t="s">
        <v>8704</v>
      </c>
      <c r="B1692" s="3873" t="s">
        <v>4168</v>
      </c>
      <c r="C1692" s="3873"/>
      <c r="D1692" s="3873"/>
      <c r="E1692" s="3873"/>
      <c r="F1692" s="3873"/>
      <c r="G1692" s="3873"/>
      <c r="H1692" s="3873"/>
      <c r="I1692" s="3873"/>
    </row>
    <row r="1693" spans="1:9">
      <c r="A1693" s="243"/>
      <c r="B1693" s="536"/>
      <c r="C1693" s="243"/>
      <c r="D1693" s="243"/>
      <c r="E1693" s="243"/>
      <c r="F1693" s="243" t="s">
        <v>482</v>
      </c>
      <c r="G1693" s="243" t="s">
        <v>483</v>
      </c>
      <c r="H1693" s="243" t="s">
        <v>232</v>
      </c>
      <c r="I1693" s="243" t="s">
        <v>171</v>
      </c>
    </row>
    <row r="1694" spans="1:9">
      <c r="A1694" s="243" t="s">
        <v>584</v>
      </c>
      <c r="B1694" s="774" t="s">
        <v>134</v>
      </c>
      <c r="C1694" s="775">
        <v>0.01</v>
      </c>
      <c r="D1694" s="776" t="s">
        <v>583</v>
      </c>
      <c r="E1694" s="777">
        <f>+VIAJE</f>
        <v>1200000</v>
      </c>
      <c r="F1694" s="674"/>
      <c r="G1694" s="674"/>
      <c r="H1694" s="674"/>
      <c r="I1694" s="674">
        <f>+E1694*C1694</f>
        <v>12000</v>
      </c>
    </row>
    <row r="1695" spans="1:9" ht="33.6">
      <c r="A1695" s="243"/>
      <c r="B1695" s="774" t="s">
        <v>1428</v>
      </c>
      <c r="C1695" s="776">
        <v>1</v>
      </c>
      <c r="D1695" s="776" t="s">
        <v>427</v>
      </c>
      <c r="E1695" s="777">
        <f>1016000*1.19</f>
        <v>1209040</v>
      </c>
      <c r="F1695" s="17"/>
      <c r="G1695" s="674">
        <f>+C1695*E1695</f>
        <v>1209040</v>
      </c>
      <c r="H1695" s="674"/>
      <c r="I1695" s="674"/>
    </row>
    <row r="1696" spans="1:9">
      <c r="A1696" s="20" t="s">
        <v>190</v>
      </c>
      <c r="B1696" s="778">
        <f>SUM(F1696:I1696)</f>
        <v>1221040</v>
      </c>
      <c r="C1696" s="34"/>
      <c r="D1696" s="243"/>
      <c r="E1696" s="674"/>
      <c r="F1696" s="674"/>
      <c r="G1696" s="674">
        <f>SUM(G1694:G1695)</f>
        <v>1209040</v>
      </c>
      <c r="H1696" s="674">
        <f>SUM(H1694:H1695)</f>
        <v>0</v>
      </c>
      <c r="I1696" s="674">
        <f>SUM(I1694:I1695)</f>
        <v>12000</v>
      </c>
    </row>
    <row r="1697" spans="1:9">
      <c r="A1697" s="20" t="s">
        <v>191</v>
      </c>
      <c r="B1697" s="778">
        <f>+B1696</f>
        <v>1221040</v>
      </c>
      <c r="C1697" s="21" t="s">
        <v>363</v>
      </c>
      <c r="D1697" s="178"/>
      <c r="E1697" s="178"/>
      <c r="F1697" s="178"/>
      <c r="G1697" s="178"/>
      <c r="H1697" s="178"/>
      <c r="I1697" s="178"/>
    </row>
    <row r="1698" spans="1:9">
      <c r="B1698" s="178"/>
      <c r="C1698" s="178"/>
      <c r="D1698" s="178"/>
      <c r="E1698" s="178"/>
      <c r="F1698" s="178"/>
      <c r="G1698" s="178"/>
      <c r="H1698" s="178"/>
      <c r="I1698" s="178"/>
    </row>
    <row r="1699" spans="1:9">
      <c r="A1699" s="594" t="s">
        <v>8705</v>
      </c>
      <c r="B1699" s="3871" t="s">
        <v>4169</v>
      </c>
      <c r="C1699" s="3871"/>
      <c r="D1699" s="3871"/>
      <c r="E1699" s="3871"/>
      <c r="F1699" s="3871"/>
      <c r="G1699" s="3871"/>
      <c r="H1699" s="3871"/>
      <c r="I1699" s="3871"/>
    </row>
    <row r="1700" spans="1:9">
      <c r="A1700" s="243"/>
      <c r="B1700" s="536"/>
      <c r="C1700" s="243"/>
      <c r="D1700" s="243"/>
      <c r="E1700" s="243"/>
      <c r="F1700" s="243" t="s">
        <v>482</v>
      </c>
      <c r="G1700" s="243" t="s">
        <v>483</v>
      </c>
      <c r="H1700" s="243" t="s">
        <v>232</v>
      </c>
      <c r="I1700" s="243" t="s">
        <v>171</v>
      </c>
    </row>
    <row r="1701" spans="1:9">
      <c r="A1701" s="243" t="s">
        <v>347</v>
      </c>
      <c r="B1701" s="774" t="s">
        <v>4167</v>
      </c>
      <c r="C1701" s="775">
        <v>1</v>
      </c>
      <c r="D1701" s="776" t="s">
        <v>346</v>
      </c>
      <c r="E1701" s="777">
        <v>150000</v>
      </c>
      <c r="F1701" s="674"/>
      <c r="G1701" s="674"/>
      <c r="H1701" s="674">
        <f>+E1701*C1701</f>
        <v>150000</v>
      </c>
      <c r="I1701" s="674"/>
    </row>
    <row r="1702" spans="1:9">
      <c r="A1702" s="243" t="s">
        <v>172</v>
      </c>
      <c r="B1702" s="774" t="s">
        <v>189</v>
      </c>
      <c r="C1702" s="775">
        <v>1</v>
      </c>
      <c r="D1702" s="243" t="s">
        <v>583</v>
      </c>
      <c r="E1702" s="674">
        <f>+H1703*0.05</f>
        <v>7500</v>
      </c>
      <c r="F1702" s="674"/>
      <c r="G1702" s="674"/>
      <c r="H1702" s="674"/>
      <c r="I1702" s="674">
        <f>+E1702*C1702</f>
        <v>7500</v>
      </c>
    </row>
    <row r="1703" spans="1:9">
      <c r="A1703" s="20" t="s">
        <v>190</v>
      </c>
      <c r="B1703" s="778">
        <f>SUM(F1703:I1703)</f>
        <v>157500</v>
      </c>
      <c r="C1703" s="34"/>
      <c r="D1703" s="243"/>
      <c r="E1703" s="674"/>
      <c r="F1703" s="674"/>
      <c r="G1703" s="674">
        <f>SUM(G1701:G1702)</f>
        <v>0</v>
      </c>
      <c r="H1703" s="674">
        <f>SUM(H1701:H1702)</f>
        <v>150000</v>
      </c>
      <c r="I1703" s="674">
        <f>SUM(I1701:I1702)</f>
        <v>7500</v>
      </c>
    </row>
    <row r="1704" spans="1:9">
      <c r="A1704" s="20" t="s">
        <v>191</v>
      </c>
      <c r="B1704" s="778">
        <f>+B1703</f>
        <v>157500</v>
      </c>
      <c r="C1704" s="21" t="s">
        <v>363</v>
      </c>
      <c r="D1704" s="178"/>
      <c r="E1704" s="178"/>
      <c r="F1704" s="178"/>
      <c r="G1704" s="178"/>
      <c r="H1704" s="178"/>
      <c r="I1704" s="178"/>
    </row>
    <row r="1705" spans="1:9">
      <c r="B1705" s="178"/>
      <c r="C1705" s="178"/>
      <c r="D1705" s="178"/>
      <c r="E1705" s="178"/>
      <c r="F1705" s="178"/>
      <c r="G1705" s="178"/>
      <c r="H1705" s="178"/>
      <c r="I1705" s="178"/>
    </row>
    <row r="1706" spans="1:9">
      <c r="A1706" s="724" t="s">
        <v>8706</v>
      </c>
      <c r="B1706" s="3873" t="s">
        <v>4170</v>
      </c>
      <c r="C1706" s="3873"/>
      <c r="D1706" s="3873"/>
      <c r="E1706" s="3873"/>
      <c r="F1706" s="3873"/>
      <c r="G1706" s="3873"/>
      <c r="H1706" s="3873"/>
      <c r="I1706" s="3873"/>
    </row>
    <row r="1707" spans="1:9">
      <c r="A1707" s="243"/>
      <c r="B1707" s="536"/>
      <c r="C1707" s="243"/>
      <c r="D1707" s="243"/>
      <c r="E1707" s="243"/>
      <c r="F1707" s="243" t="s">
        <v>482</v>
      </c>
      <c r="G1707" s="243" t="s">
        <v>483</v>
      </c>
      <c r="H1707" s="243" t="s">
        <v>232</v>
      </c>
      <c r="I1707" s="243" t="s">
        <v>171</v>
      </c>
    </row>
    <row r="1708" spans="1:9">
      <c r="A1708" s="243" t="s">
        <v>584</v>
      </c>
      <c r="B1708" s="774" t="s">
        <v>134</v>
      </c>
      <c r="C1708" s="775">
        <v>0.01</v>
      </c>
      <c r="D1708" s="776" t="s">
        <v>583</v>
      </c>
      <c r="E1708" s="777">
        <f>+VIAJE</f>
        <v>1200000</v>
      </c>
      <c r="F1708" s="674"/>
      <c r="G1708" s="674"/>
      <c r="H1708" s="674"/>
      <c r="I1708" s="674">
        <f>+E1708*C1708</f>
        <v>12000</v>
      </c>
    </row>
    <row r="1709" spans="1:9" ht="33.6">
      <c r="A1709" s="243"/>
      <c r="B1709" s="774" t="s">
        <v>1429</v>
      </c>
      <c r="C1709" s="776">
        <v>1</v>
      </c>
      <c r="D1709" s="776" t="s">
        <v>427</v>
      </c>
      <c r="E1709" s="777">
        <v>1200000</v>
      </c>
      <c r="F1709" s="17"/>
      <c r="G1709" s="674">
        <f>+C1709*E1709</f>
        <v>1200000</v>
      </c>
      <c r="H1709" s="674"/>
      <c r="I1709" s="674"/>
    </row>
    <row r="1710" spans="1:9">
      <c r="A1710" s="20" t="s">
        <v>190</v>
      </c>
      <c r="B1710" s="778">
        <f>SUM(F1710:I1710)</f>
        <v>1212000</v>
      </c>
      <c r="C1710" s="34"/>
      <c r="D1710" s="243"/>
      <c r="E1710" s="674"/>
      <c r="F1710" s="674"/>
      <c r="G1710" s="674">
        <f>SUM(G1708:G1709)</f>
        <v>1200000</v>
      </c>
      <c r="H1710" s="674">
        <f>SUM(H1708:H1709)</f>
        <v>0</v>
      </c>
      <c r="I1710" s="674">
        <f>SUM(I1708:I1709)</f>
        <v>12000</v>
      </c>
    </row>
    <row r="1711" spans="1:9">
      <c r="A1711" s="20" t="s">
        <v>191</v>
      </c>
      <c r="B1711" s="778">
        <f>+B1710</f>
        <v>1212000</v>
      </c>
      <c r="C1711" s="21" t="s">
        <v>363</v>
      </c>
      <c r="D1711" s="178"/>
      <c r="E1711" s="178"/>
      <c r="F1711" s="178"/>
      <c r="G1711" s="178"/>
      <c r="H1711" s="178"/>
      <c r="I1711" s="178"/>
    </row>
    <row r="1712" spans="1:9">
      <c r="B1712" s="178"/>
      <c r="C1712" s="178"/>
      <c r="D1712" s="178"/>
      <c r="E1712" s="178"/>
      <c r="F1712" s="178"/>
      <c r="G1712" s="178"/>
      <c r="H1712" s="178"/>
      <c r="I1712" s="178"/>
    </row>
    <row r="1713" spans="1:9">
      <c r="A1713" s="594" t="s">
        <v>8707</v>
      </c>
      <c r="B1713" s="3871" t="s">
        <v>4171</v>
      </c>
      <c r="C1713" s="3871"/>
      <c r="D1713" s="3871"/>
      <c r="E1713" s="3871"/>
      <c r="F1713" s="3871"/>
      <c r="G1713" s="3871"/>
      <c r="H1713" s="3871"/>
      <c r="I1713" s="3871"/>
    </row>
    <row r="1714" spans="1:9">
      <c r="A1714" s="243"/>
      <c r="B1714" s="536"/>
      <c r="C1714" s="243"/>
      <c r="D1714" s="243"/>
      <c r="E1714" s="243"/>
      <c r="F1714" s="243" t="s">
        <v>482</v>
      </c>
      <c r="G1714" s="243" t="s">
        <v>483</v>
      </c>
      <c r="H1714" s="243" t="s">
        <v>232</v>
      </c>
      <c r="I1714" s="243" t="s">
        <v>171</v>
      </c>
    </row>
    <row r="1715" spans="1:9">
      <c r="A1715" s="243" t="s">
        <v>347</v>
      </c>
      <c r="B1715" s="774" t="s">
        <v>4167</v>
      </c>
      <c r="C1715" s="775">
        <v>1</v>
      </c>
      <c r="D1715" s="776" t="s">
        <v>346</v>
      </c>
      <c r="E1715" s="777">
        <v>50000</v>
      </c>
      <c r="F1715" s="674"/>
      <c r="G1715" s="674"/>
      <c r="H1715" s="674">
        <f>+E1715*C1715</f>
        <v>50000</v>
      </c>
      <c r="I1715" s="674"/>
    </row>
    <row r="1716" spans="1:9">
      <c r="A1716" s="243" t="s">
        <v>172</v>
      </c>
      <c r="B1716" s="774" t="s">
        <v>189</v>
      </c>
      <c r="C1716" s="775">
        <v>1</v>
      </c>
      <c r="D1716" s="243" t="s">
        <v>583</v>
      </c>
      <c r="E1716" s="674">
        <f>+H1717*0.05</f>
        <v>2500</v>
      </c>
      <c r="F1716" s="674"/>
      <c r="G1716" s="674"/>
      <c r="H1716" s="674"/>
      <c r="I1716" s="674">
        <f>+E1716*C1716</f>
        <v>2500</v>
      </c>
    </row>
    <row r="1717" spans="1:9">
      <c r="A1717" s="20" t="s">
        <v>190</v>
      </c>
      <c r="B1717" s="778">
        <f>SUM(F1717:I1717)</f>
        <v>52500</v>
      </c>
      <c r="C1717" s="34"/>
      <c r="D1717" s="243"/>
      <c r="E1717" s="674"/>
      <c r="F1717" s="674"/>
      <c r="G1717" s="674">
        <f>SUM(G1715:G1716)</f>
        <v>0</v>
      </c>
      <c r="H1717" s="674">
        <f>SUM(H1715:H1716)</f>
        <v>50000</v>
      </c>
      <c r="I1717" s="674">
        <f>SUM(I1715:I1716)</f>
        <v>2500</v>
      </c>
    </row>
    <row r="1718" spans="1:9">
      <c r="A1718" s="20" t="s">
        <v>191</v>
      </c>
      <c r="B1718" s="778">
        <f>+B1717</f>
        <v>52500</v>
      </c>
      <c r="C1718" s="21" t="s">
        <v>363</v>
      </c>
      <c r="D1718" s="178"/>
      <c r="E1718" s="178"/>
      <c r="F1718" s="178"/>
      <c r="G1718" s="178"/>
      <c r="H1718" s="178"/>
      <c r="I1718" s="178"/>
    </row>
    <row r="1719" spans="1:9">
      <c r="B1719" s="178"/>
      <c r="C1719" s="178"/>
      <c r="D1719" s="178"/>
      <c r="E1719" s="178"/>
      <c r="F1719" s="178"/>
      <c r="G1719" s="178"/>
      <c r="H1719" s="178"/>
      <c r="I1719" s="178"/>
    </row>
    <row r="1720" spans="1:9">
      <c r="A1720" s="724" t="s">
        <v>8708</v>
      </c>
      <c r="B1720" s="3873" t="s">
        <v>4172</v>
      </c>
      <c r="C1720" s="3873"/>
      <c r="D1720" s="3873"/>
      <c r="E1720" s="3873"/>
      <c r="F1720" s="3873"/>
      <c r="G1720" s="3873"/>
      <c r="H1720" s="3873"/>
      <c r="I1720" s="3873"/>
    </row>
    <row r="1721" spans="1:9">
      <c r="A1721" s="243"/>
      <c r="B1721" s="536"/>
      <c r="C1721" s="243"/>
      <c r="D1721" s="243"/>
      <c r="E1721" s="243"/>
      <c r="F1721" s="243" t="s">
        <v>482</v>
      </c>
      <c r="G1721" s="243" t="s">
        <v>483</v>
      </c>
      <c r="H1721" s="243" t="s">
        <v>232</v>
      </c>
      <c r="I1721" s="243" t="s">
        <v>171</v>
      </c>
    </row>
    <row r="1722" spans="1:9">
      <c r="A1722" s="243" t="s">
        <v>584</v>
      </c>
      <c r="B1722" s="774" t="s">
        <v>134</v>
      </c>
      <c r="C1722" s="775">
        <v>0.01</v>
      </c>
      <c r="D1722" s="776" t="s">
        <v>583</v>
      </c>
      <c r="E1722" s="777">
        <f>+VIAJE</f>
        <v>1200000</v>
      </c>
      <c r="F1722" s="674"/>
      <c r="G1722" s="674"/>
      <c r="H1722" s="674"/>
      <c r="I1722" s="674">
        <f>+E1722*C1722</f>
        <v>12000</v>
      </c>
    </row>
    <row r="1723" spans="1:9">
      <c r="A1723" s="243"/>
      <c r="B1723" s="774" t="s">
        <v>1430</v>
      </c>
      <c r="C1723" s="776">
        <v>1</v>
      </c>
      <c r="D1723" s="776" t="s">
        <v>427</v>
      </c>
      <c r="E1723" s="777">
        <v>720000</v>
      </c>
      <c r="F1723" s="17"/>
      <c r="G1723" s="674">
        <f>+C1723*E1723</f>
        <v>720000</v>
      </c>
      <c r="H1723" s="674"/>
      <c r="I1723" s="674"/>
    </row>
    <row r="1724" spans="1:9">
      <c r="A1724" s="20" t="s">
        <v>190</v>
      </c>
      <c r="B1724" s="778">
        <f>SUM(F1724:I1724)</f>
        <v>732000</v>
      </c>
      <c r="C1724" s="34"/>
      <c r="D1724" s="243"/>
      <c r="E1724" s="674"/>
      <c r="F1724" s="674"/>
      <c r="G1724" s="674">
        <f>SUM(G1722:G1723)</f>
        <v>720000</v>
      </c>
      <c r="H1724" s="674">
        <f>SUM(H1722:H1723)</f>
        <v>0</v>
      </c>
      <c r="I1724" s="674">
        <f>SUM(I1722:I1723)</f>
        <v>12000</v>
      </c>
    </row>
    <row r="1725" spans="1:9">
      <c r="A1725" s="20" t="s">
        <v>191</v>
      </c>
      <c r="B1725" s="778">
        <f>+B1724</f>
        <v>732000</v>
      </c>
      <c r="C1725" s="21" t="s">
        <v>363</v>
      </c>
      <c r="D1725" s="178"/>
      <c r="E1725" s="178"/>
      <c r="F1725" s="178"/>
      <c r="G1725" s="178"/>
      <c r="H1725" s="178"/>
      <c r="I1725" s="178"/>
    </row>
    <row r="1726" spans="1:9">
      <c r="B1726" s="178"/>
      <c r="C1726" s="178"/>
      <c r="D1726" s="178"/>
      <c r="E1726" s="178"/>
      <c r="F1726" s="178"/>
      <c r="G1726" s="178"/>
      <c r="H1726" s="178"/>
      <c r="I1726" s="178"/>
    </row>
    <row r="1727" spans="1:9">
      <c r="A1727" s="683" t="e">
        <v>#REF!</v>
      </c>
      <c r="B1727" s="3547" t="s">
        <v>4173</v>
      </c>
      <c r="C1727" s="3548"/>
      <c r="D1727" s="3548"/>
      <c r="E1727" s="3548"/>
      <c r="F1727" s="3548"/>
      <c r="G1727" s="3548"/>
      <c r="H1727" s="3548"/>
      <c r="I1727" s="3549"/>
    </row>
    <row r="1728" spans="1:9">
      <c r="A1728" s="243"/>
      <c r="B1728" s="179"/>
      <c r="C1728" s="243"/>
      <c r="D1728" s="243"/>
      <c r="E1728" s="243"/>
      <c r="F1728" s="243" t="s">
        <v>482</v>
      </c>
      <c r="G1728" s="243" t="s">
        <v>483</v>
      </c>
      <c r="H1728" s="243" t="s">
        <v>232</v>
      </c>
      <c r="I1728" s="243" t="s">
        <v>171</v>
      </c>
    </row>
    <row r="1729" spans="1:9">
      <c r="A1729" s="243" t="s">
        <v>172</v>
      </c>
      <c r="B1729" s="179" t="s">
        <v>189</v>
      </c>
      <c r="C1729" s="346">
        <v>1</v>
      </c>
      <c r="D1729" s="243" t="s">
        <v>583</v>
      </c>
      <c r="E1729" s="674">
        <f>+H1733*0.05</f>
        <v>486.23106978666675</v>
      </c>
      <c r="F1729" s="674"/>
      <c r="G1729" s="674"/>
      <c r="H1729" s="674"/>
      <c r="I1729" s="674">
        <f>+E1729*C1729</f>
        <v>486.23106978666675</v>
      </c>
    </row>
    <row r="1730" spans="1:9">
      <c r="A1730" s="243" t="s">
        <v>464</v>
      </c>
      <c r="B1730" s="179" t="s">
        <v>4060</v>
      </c>
      <c r="C1730" s="346">
        <v>1</v>
      </c>
      <c r="D1730" s="243" t="s">
        <v>583</v>
      </c>
      <c r="E1730" s="674">
        <f>+TRANS</f>
        <v>1350</v>
      </c>
      <c r="F1730" s="674"/>
      <c r="G1730" s="674"/>
      <c r="H1730" s="674"/>
      <c r="I1730" s="674">
        <v>100</v>
      </c>
    </row>
    <row r="1731" spans="1:9">
      <c r="A1731" s="243" t="s">
        <v>345</v>
      </c>
      <c r="B1731" s="179" t="str">
        <f>IF(PRESTA&gt;0,"OFICIAL (INCLUYE "&amp;""&amp;PRESTA*100&amp;"% PRESTACIONES)",0)</f>
        <v>OFICIAL (INCLUYE 82,22% PRESTACIONES)</v>
      </c>
      <c r="C1731" s="346">
        <v>6.6666666666666666E-2</v>
      </c>
      <c r="D1731" s="243" t="s">
        <v>346</v>
      </c>
      <c r="E1731" s="674">
        <f>+OFICI</f>
        <v>80479.625344</v>
      </c>
      <c r="F1731" s="674"/>
      <c r="G1731" s="674"/>
      <c r="H1731" s="674">
        <f>+E1731*C1731</f>
        <v>5365.308356266667</v>
      </c>
      <c r="I1731" s="674"/>
    </row>
    <row r="1732" spans="1:9">
      <c r="A1732" s="243" t="s">
        <v>347</v>
      </c>
      <c r="B1732" s="179" t="str">
        <f>IF(PRESTA&gt;0,"AYUD. ENTENDIDO (INCLUYE "&amp;""&amp;PRESTA*100&amp;"% PRESTACIONES)",0)</f>
        <v>AYUD. ENTENDIDO (INCLUYE 82,22% PRESTACIONES)</v>
      </c>
      <c r="C1732" s="346">
        <v>6.6666666666666666E-2</v>
      </c>
      <c r="D1732" s="243" t="s">
        <v>346</v>
      </c>
      <c r="E1732" s="674">
        <f>+AYUDA</f>
        <v>65389.695592000004</v>
      </c>
      <c r="F1732" s="674"/>
      <c r="G1732" s="674"/>
      <c r="H1732" s="674">
        <f>+E1732*C1732</f>
        <v>4359.3130394666669</v>
      </c>
      <c r="I1732" s="674"/>
    </row>
    <row r="1733" spans="1:9">
      <c r="A1733" s="587" t="s">
        <v>190</v>
      </c>
      <c r="B1733" s="588">
        <f>SUM(F1733:I1733)</f>
        <v>10310.852465520002</v>
      </c>
      <c r="C1733" s="160"/>
      <c r="D1733" s="243"/>
      <c r="E1733" s="674"/>
      <c r="F1733" s="674">
        <f>+SUM(F1729:F1732)</f>
        <v>0</v>
      </c>
      <c r="G1733" s="674">
        <f>+SUM(G1729:G1732)</f>
        <v>0</v>
      </c>
      <c r="H1733" s="674">
        <f>+SUM(H1729:H1732)</f>
        <v>9724.6213957333348</v>
      </c>
      <c r="I1733" s="674">
        <f>+SUM(I1729:I1732)</f>
        <v>586.23106978666669</v>
      </c>
    </row>
    <row r="1734" spans="1:9">
      <c r="A1734" s="587" t="s">
        <v>191</v>
      </c>
      <c r="B1734" s="39">
        <f>+B1733</f>
        <v>10310.852465520002</v>
      </c>
      <c r="C1734" s="688" t="s">
        <v>94</v>
      </c>
      <c r="D1734" s="178"/>
      <c r="E1734" s="178"/>
      <c r="F1734" s="178"/>
      <c r="G1734" s="178"/>
      <c r="H1734" s="178"/>
      <c r="I1734" s="178"/>
    </row>
    <row r="1736" spans="1:9">
      <c r="A1736" s="714" t="e">
        <v>#REF!</v>
      </c>
      <c r="B1736" s="3874" t="s">
        <v>4174</v>
      </c>
      <c r="C1736" s="3875"/>
      <c r="D1736" s="3875"/>
      <c r="E1736" s="3875"/>
      <c r="F1736" s="3875"/>
      <c r="G1736" s="3875"/>
      <c r="H1736" s="3875"/>
      <c r="I1736" s="3876"/>
    </row>
    <row r="1737" spans="1:9">
      <c r="A1737" s="243"/>
      <c r="B1737" s="179"/>
      <c r="C1737" s="243"/>
      <c r="D1737" s="243"/>
      <c r="E1737" s="243"/>
      <c r="F1737" s="243" t="s">
        <v>482</v>
      </c>
      <c r="G1737" s="243" t="s">
        <v>483</v>
      </c>
      <c r="H1737" s="243" t="s">
        <v>232</v>
      </c>
      <c r="I1737" s="243" t="s">
        <v>171</v>
      </c>
    </row>
    <row r="1738" spans="1:9">
      <c r="A1738" s="243" t="s">
        <v>178</v>
      </c>
      <c r="B1738" s="179" t="s">
        <v>179</v>
      </c>
      <c r="C1738" s="346">
        <v>1</v>
      </c>
      <c r="D1738" s="243" t="s">
        <v>45</v>
      </c>
      <c r="E1738" s="674">
        <f>+TUBS6</f>
        <v>41025</v>
      </c>
      <c r="F1738" s="674"/>
      <c r="G1738" s="674">
        <f>+E1738*C1738</f>
        <v>41025</v>
      </c>
      <c r="H1738" s="674"/>
      <c r="I1738" s="674"/>
    </row>
    <row r="1739" spans="1:9">
      <c r="A1739" s="243" t="s">
        <v>584</v>
      </c>
      <c r="B1739" s="179" t="s">
        <v>134</v>
      </c>
      <c r="C1739" s="346">
        <v>4.7619047619047619E-4</v>
      </c>
      <c r="D1739" s="243" t="s">
        <v>583</v>
      </c>
      <c r="E1739" s="674">
        <f>+VIAJE</f>
        <v>1200000</v>
      </c>
      <c r="F1739" s="674"/>
      <c r="G1739" s="674"/>
      <c r="H1739" s="674"/>
      <c r="I1739" s="674">
        <f>+E1739*C1739</f>
        <v>571.42857142857144</v>
      </c>
    </row>
    <row r="1740" spans="1:9">
      <c r="A1740" s="587" t="s">
        <v>190</v>
      </c>
      <c r="B1740" s="588">
        <f>SUM(F1740:I1740)</f>
        <v>41596.428571428572</v>
      </c>
      <c r="C1740" s="160"/>
      <c r="D1740" s="243"/>
      <c r="E1740" s="674"/>
      <c r="F1740" s="674">
        <f>+SUM(F1738:F1739)</f>
        <v>0</v>
      </c>
      <c r="G1740" s="674">
        <f>+SUM(G1738:G1739)</f>
        <v>41025</v>
      </c>
      <c r="H1740" s="674">
        <f>+SUM(H1738:H1739)</f>
        <v>0</v>
      </c>
      <c r="I1740" s="674">
        <f>+SUM(I1738:I1739)</f>
        <v>571.42857142857144</v>
      </c>
    </row>
    <row r="1741" spans="1:9">
      <c r="A1741" s="587" t="s">
        <v>191</v>
      </c>
      <c r="B1741" s="39">
        <f>+B1740</f>
        <v>41596.428571428572</v>
      </c>
      <c r="C1741" s="688" t="s">
        <v>94</v>
      </c>
      <c r="D1741" s="178"/>
      <c r="E1741" s="178"/>
      <c r="F1741" s="178"/>
      <c r="G1741" s="178"/>
      <c r="H1741" s="178"/>
      <c r="I1741" s="178"/>
    </row>
    <row r="1743" spans="1:9">
      <c r="A1743" s="683" t="e">
        <v>#REF!</v>
      </c>
      <c r="B1743" s="3558" t="s">
        <v>4175</v>
      </c>
      <c r="C1743" s="3558"/>
      <c r="D1743" s="3558"/>
      <c r="E1743" s="3558"/>
      <c r="F1743" s="3558"/>
      <c r="G1743" s="3558"/>
      <c r="H1743" s="3558"/>
      <c r="I1743" s="3558"/>
    </row>
    <row r="1744" spans="1:9">
      <c r="A1744" s="470"/>
      <c r="B1744" s="474"/>
      <c r="C1744" s="470" t="s">
        <v>140</v>
      </c>
      <c r="D1744" s="470" t="s">
        <v>343</v>
      </c>
      <c r="E1744" s="470" t="s">
        <v>344</v>
      </c>
      <c r="F1744" s="470" t="s">
        <v>482</v>
      </c>
      <c r="G1744" s="470" t="s">
        <v>483</v>
      </c>
      <c r="H1744" s="470" t="s">
        <v>232</v>
      </c>
      <c r="I1744" s="470" t="s">
        <v>171</v>
      </c>
    </row>
    <row r="1745" spans="1:9">
      <c r="A1745" s="470" t="s">
        <v>345</v>
      </c>
      <c r="B1745" s="779" t="str">
        <f>IF(PRESTA&gt;0,"OFICIAL (INCLUYE "&amp;""&amp;PRESTA*100&amp;"% PRESTACIONES)",0)</f>
        <v>OFICIAL (INCLUYE 82,22% PRESTACIONES)</v>
      </c>
      <c r="C1745" s="451">
        <v>2.5000000000000001E-2</v>
      </c>
      <c r="D1745" s="487" t="s">
        <v>346</v>
      </c>
      <c r="E1745" s="780">
        <f>+OFICI</f>
        <v>80479.625344</v>
      </c>
      <c r="F1745" s="780"/>
      <c r="G1745" s="780"/>
      <c r="H1745" s="780">
        <f>+E1745*C1745</f>
        <v>2011.9906336000001</v>
      </c>
      <c r="I1745" s="780"/>
    </row>
    <row r="1746" spans="1:9">
      <c r="A1746" s="470" t="s">
        <v>347</v>
      </c>
      <c r="B1746" s="779" t="str">
        <f>IF(PRESTA&gt;0,"AYUD. ENTENDIDO (INCLUYE "&amp;""&amp;PRESTA*100&amp;"% PRESTACIONES)",0)</f>
        <v>AYUD. ENTENDIDO (INCLUYE 82,22% PRESTACIONES)</v>
      </c>
      <c r="C1746" s="451">
        <v>2.5000000000000001E-2</v>
      </c>
      <c r="D1746" s="487" t="s">
        <v>346</v>
      </c>
      <c r="E1746" s="780">
        <f>+AYUDA</f>
        <v>65389.695592000004</v>
      </c>
      <c r="F1746" s="780"/>
      <c r="G1746" s="780"/>
      <c r="H1746" s="780">
        <f>+E1746*C1746</f>
        <v>1634.7423898000002</v>
      </c>
      <c r="I1746" s="780"/>
    </row>
    <row r="1747" spans="1:9">
      <c r="A1747" s="470" t="s">
        <v>172</v>
      </c>
      <c r="B1747" s="779" t="s">
        <v>189</v>
      </c>
      <c r="C1747" s="451">
        <v>1</v>
      </c>
      <c r="D1747" s="487" t="s">
        <v>583</v>
      </c>
      <c r="E1747" s="780">
        <f>+H1748*0.05</f>
        <v>182.33665117000001</v>
      </c>
      <c r="F1747" s="780"/>
      <c r="G1747" s="780"/>
      <c r="H1747" s="780"/>
      <c r="I1747" s="780">
        <f>+E1747*C1747</f>
        <v>182.33665117000001</v>
      </c>
    </row>
    <row r="1748" spans="1:9">
      <c r="A1748" s="587" t="s">
        <v>190</v>
      </c>
      <c r="B1748" s="588">
        <f>ROUND(SUM(F1748:I1748),0)</f>
        <v>3829</v>
      </c>
      <c r="C1748" s="160"/>
      <c r="D1748" s="243"/>
      <c r="E1748" s="674"/>
      <c r="F1748" s="674">
        <f>SUM(F1744:F1747)</f>
        <v>0</v>
      </c>
      <c r="G1748" s="674">
        <f>SUM(G1744:G1747)</f>
        <v>0</v>
      </c>
      <c r="H1748" s="674">
        <f>SUM(H1744:H1747)</f>
        <v>3646.7330234000001</v>
      </c>
      <c r="I1748" s="674">
        <f>SUM(I1744:I1747)</f>
        <v>182.33665117000001</v>
      </c>
    </row>
    <row r="1749" spans="1:9">
      <c r="A1749" s="587" t="s">
        <v>191</v>
      </c>
      <c r="B1749" s="39">
        <f>+B1748</f>
        <v>3829</v>
      </c>
      <c r="C1749" s="770" t="s">
        <v>94</v>
      </c>
      <c r="D1749" s="73"/>
      <c r="E1749" s="73"/>
      <c r="F1749" s="73"/>
      <c r="G1749" s="73"/>
      <c r="H1749" s="73"/>
      <c r="I1749" s="73"/>
    </row>
    <row r="1750" spans="1:9">
      <c r="A1750" s="73"/>
      <c r="B1750" s="679"/>
      <c r="C1750" s="765"/>
      <c r="D1750" s="13"/>
      <c r="E1750" s="13"/>
      <c r="F1750" s="13"/>
      <c r="G1750" s="13"/>
      <c r="H1750" s="13"/>
      <c r="I1750" s="13"/>
    </row>
    <row r="1751" spans="1:9">
      <c r="A1751" s="714" t="e">
        <v>#REF!</v>
      </c>
      <c r="B1751" s="3872" t="s">
        <v>4176</v>
      </c>
      <c r="C1751" s="3872"/>
      <c r="D1751" s="3872"/>
      <c r="E1751" s="3872"/>
      <c r="F1751" s="3872"/>
      <c r="G1751" s="3872"/>
      <c r="H1751" s="3872"/>
      <c r="I1751" s="3872"/>
    </row>
    <row r="1752" spans="1:9">
      <c r="A1752" s="470"/>
      <c r="B1752" s="474"/>
      <c r="C1752" s="470" t="s">
        <v>140</v>
      </c>
      <c r="D1752" s="470" t="s">
        <v>343</v>
      </c>
      <c r="E1752" s="470" t="s">
        <v>344</v>
      </c>
      <c r="F1752" s="470" t="s">
        <v>482</v>
      </c>
      <c r="G1752" s="470" t="s">
        <v>483</v>
      </c>
      <c r="H1752" s="470" t="s">
        <v>232</v>
      </c>
      <c r="I1752" s="470" t="s">
        <v>171</v>
      </c>
    </row>
    <row r="1753" spans="1:9">
      <c r="A1753" s="470" t="s">
        <v>972</v>
      </c>
      <c r="B1753" s="779" t="s">
        <v>4177</v>
      </c>
      <c r="C1753" s="451">
        <v>1.05</v>
      </c>
      <c r="D1753" s="487" t="s">
        <v>94</v>
      </c>
      <c r="E1753" s="780">
        <f>+TNOV8</f>
        <v>36234</v>
      </c>
      <c r="F1753" s="780"/>
      <c r="G1753" s="780">
        <f>+E1753*C1753</f>
        <v>38045.700000000004</v>
      </c>
      <c r="H1753" s="780"/>
      <c r="I1753" s="780"/>
    </row>
    <row r="1754" spans="1:9">
      <c r="A1754" s="470" t="s">
        <v>584</v>
      </c>
      <c r="B1754" s="779" t="s">
        <v>134</v>
      </c>
      <c r="C1754" s="451">
        <v>4.0000000000000001E-3</v>
      </c>
      <c r="D1754" s="487" t="s">
        <v>583</v>
      </c>
      <c r="E1754" s="780">
        <f>+VIAJE</f>
        <v>1200000</v>
      </c>
      <c r="F1754" s="780"/>
      <c r="G1754" s="780"/>
      <c r="H1754" s="780"/>
      <c r="I1754" s="780">
        <f>+E1754*C1754</f>
        <v>4800</v>
      </c>
    </row>
    <row r="1755" spans="1:9">
      <c r="A1755" s="587" t="s">
        <v>190</v>
      </c>
      <c r="B1755" s="588">
        <f>ROUND(SUM(F1755:I1755),0)</f>
        <v>42846</v>
      </c>
      <c r="C1755" s="160"/>
      <c r="D1755" s="243"/>
      <c r="E1755" s="674"/>
      <c r="F1755" s="674">
        <f>SUM(F1752:F1754)</f>
        <v>0</v>
      </c>
      <c r="G1755" s="674">
        <f>SUM(G1752:G1754)</f>
        <v>38045.700000000004</v>
      </c>
      <c r="H1755" s="674">
        <f>SUM(H1752:H1754)</f>
        <v>0</v>
      </c>
      <c r="I1755" s="674">
        <f>SUM(I1752:I1754)</f>
        <v>4800</v>
      </c>
    </row>
    <row r="1756" spans="1:9">
      <c r="A1756" s="587" t="s">
        <v>191</v>
      </c>
      <c r="B1756" s="39">
        <f>+B1755</f>
        <v>42846</v>
      </c>
      <c r="C1756" s="770" t="s">
        <v>94</v>
      </c>
      <c r="D1756" s="73"/>
      <c r="E1756" s="73"/>
      <c r="F1756" s="73"/>
      <c r="G1756" s="73"/>
      <c r="H1756" s="73"/>
      <c r="I1756" s="73"/>
    </row>
    <row r="1757" spans="1:9">
      <c r="A1757" s="73"/>
      <c r="B1757" s="679"/>
      <c r="C1757" s="765"/>
      <c r="D1757" s="13"/>
      <c r="E1757" s="13"/>
      <c r="F1757" s="13"/>
      <c r="G1757" s="13"/>
      <c r="H1757" s="13"/>
      <c r="I1757" s="13"/>
    </row>
    <row r="1758" spans="1:9">
      <c r="A1758" s="683" t="e">
        <v>#REF!</v>
      </c>
      <c r="B1758" s="3558" t="s">
        <v>4178</v>
      </c>
      <c r="C1758" s="3558"/>
      <c r="D1758" s="3558"/>
      <c r="E1758" s="3558"/>
      <c r="F1758" s="3558"/>
      <c r="G1758" s="3558"/>
      <c r="H1758" s="3558"/>
      <c r="I1758" s="3558"/>
    </row>
    <row r="1759" spans="1:9">
      <c r="A1759" s="470"/>
      <c r="B1759" s="474"/>
      <c r="C1759" s="470" t="s">
        <v>140</v>
      </c>
      <c r="D1759" s="470" t="s">
        <v>343</v>
      </c>
      <c r="E1759" s="470" t="s">
        <v>344</v>
      </c>
      <c r="F1759" s="470" t="s">
        <v>482</v>
      </c>
      <c r="G1759" s="470" t="s">
        <v>483</v>
      </c>
      <c r="H1759" s="470" t="s">
        <v>232</v>
      </c>
      <c r="I1759" s="470" t="s">
        <v>171</v>
      </c>
    </row>
    <row r="1760" spans="1:9">
      <c r="A1760" s="470" t="s">
        <v>345</v>
      </c>
      <c r="B1760" s="779" t="str">
        <f>IF(PRESTA&gt;0,"OFICIAL (INCLUYE "&amp;""&amp;PRESTA*100&amp;"% PRESTACIONES)",0)</f>
        <v>OFICIAL (INCLUYE 82,22% PRESTACIONES)</v>
      </c>
      <c r="C1760" s="451">
        <v>2.5000000000000001E-2</v>
      </c>
      <c r="D1760" s="487" t="s">
        <v>346</v>
      </c>
      <c r="E1760" s="780">
        <f>+OFICI</f>
        <v>80479.625344</v>
      </c>
      <c r="F1760" s="780"/>
      <c r="G1760" s="780"/>
      <c r="H1760" s="780">
        <f>+E1760*C1760</f>
        <v>2011.9906336000001</v>
      </c>
      <c r="I1760" s="780"/>
    </row>
    <row r="1761" spans="1:9">
      <c r="A1761" s="470" t="s">
        <v>347</v>
      </c>
      <c r="B1761" s="779" t="str">
        <f>IF(PRESTA&gt;0,"AYUD. ENTENDIDO (INCLUYE "&amp;""&amp;PRESTA*100&amp;"% PRESTACIONES)",0)</f>
        <v>AYUD. ENTENDIDO (INCLUYE 82,22% PRESTACIONES)</v>
      </c>
      <c r="C1761" s="451">
        <v>2.5000000000000001E-2</v>
      </c>
      <c r="D1761" s="487" t="s">
        <v>346</v>
      </c>
      <c r="E1761" s="780">
        <f>+AYUDA</f>
        <v>65389.695592000004</v>
      </c>
      <c r="F1761" s="780"/>
      <c r="G1761" s="780"/>
      <c r="H1761" s="780">
        <f>+E1761*C1761</f>
        <v>1634.7423898000002</v>
      </c>
      <c r="I1761" s="780"/>
    </row>
    <row r="1762" spans="1:9">
      <c r="A1762" s="470" t="s">
        <v>172</v>
      </c>
      <c r="B1762" s="779" t="s">
        <v>189</v>
      </c>
      <c r="C1762" s="451">
        <v>1</v>
      </c>
      <c r="D1762" s="487" t="s">
        <v>583</v>
      </c>
      <c r="E1762" s="780">
        <f>+H1763*0.05</f>
        <v>182.33665117000001</v>
      </c>
      <c r="F1762" s="780"/>
      <c r="G1762" s="780"/>
      <c r="H1762" s="780"/>
      <c r="I1762" s="780">
        <f>+E1762*C1762</f>
        <v>182.33665117000001</v>
      </c>
    </row>
    <row r="1763" spans="1:9">
      <c r="A1763" s="587" t="s">
        <v>190</v>
      </c>
      <c r="B1763" s="588">
        <f>ROUND(SUM(F1763:I1763),0)</f>
        <v>3829</v>
      </c>
      <c r="C1763" s="160"/>
      <c r="D1763" s="243"/>
      <c r="E1763" s="674"/>
      <c r="F1763" s="674">
        <f>SUM(F1759:F1762)</f>
        <v>0</v>
      </c>
      <c r="G1763" s="674">
        <f>SUM(G1759:G1762)</f>
        <v>0</v>
      </c>
      <c r="H1763" s="674">
        <f>SUM(H1759:H1762)</f>
        <v>3646.7330234000001</v>
      </c>
      <c r="I1763" s="674">
        <f>SUM(I1759:I1762)</f>
        <v>182.33665117000001</v>
      </c>
    </row>
    <row r="1764" spans="1:9">
      <c r="A1764" s="587" t="s">
        <v>191</v>
      </c>
      <c r="B1764" s="39">
        <f>+B1763</f>
        <v>3829</v>
      </c>
      <c r="C1764" s="770" t="s">
        <v>94</v>
      </c>
      <c r="D1764" s="73"/>
      <c r="E1764" s="73"/>
      <c r="F1764" s="73"/>
      <c r="G1764" s="73"/>
      <c r="H1764" s="73"/>
      <c r="I1764" s="73"/>
    </row>
    <row r="1765" spans="1:9">
      <c r="A1765" s="73"/>
      <c r="B1765" s="679"/>
      <c r="C1765" s="765"/>
      <c r="D1765" s="13"/>
      <c r="E1765" s="13"/>
      <c r="F1765" s="13"/>
      <c r="G1765" s="13"/>
      <c r="H1765" s="13"/>
      <c r="I1765" s="13"/>
    </row>
    <row r="1766" spans="1:9">
      <c r="A1766" s="714" t="e">
        <v>#REF!</v>
      </c>
      <c r="B1766" s="3872" t="s">
        <v>4179</v>
      </c>
      <c r="C1766" s="3872"/>
      <c r="D1766" s="3872"/>
      <c r="E1766" s="3872"/>
      <c r="F1766" s="3872"/>
      <c r="G1766" s="3872"/>
      <c r="H1766" s="3872"/>
      <c r="I1766" s="3872"/>
    </row>
    <row r="1767" spans="1:9">
      <c r="A1767" s="470"/>
      <c r="B1767" s="474"/>
      <c r="C1767" s="470" t="s">
        <v>140</v>
      </c>
      <c r="D1767" s="470" t="s">
        <v>343</v>
      </c>
      <c r="E1767" s="470" t="s">
        <v>344</v>
      </c>
      <c r="F1767" s="470" t="s">
        <v>482</v>
      </c>
      <c r="G1767" s="470" t="s">
        <v>483</v>
      </c>
      <c r="H1767" s="470" t="s">
        <v>232</v>
      </c>
      <c r="I1767" s="470" t="s">
        <v>171</v>
      </c>
    </row>
    <row r="1768" spans="1:9">
      <c r="A1768" s="470" t="s">
        <v>972</v>
      </c>
      <c r="B1768" s="779" t="s">
        <v>4180</v>
      </c>
      <c r="C1768" s="451">
        <v>1.05</v>
      </c>
      <c r="D1768" s="487" t="s">
        <v>94</v>
      </c>
      <c r="E1768" s="780">
        <f>+TNOV10</f>
        <v>52922</v>
      </c>
      <c r="F1768" s="780"/>
      <c r="G1768" s="780">
        <f>+E1768*C1768</f>
        <v>55568.100000000006</v>
      </c>
      <c r="H1768" s="780"/>
      <c r="I1768" s="780"/>
    </row>
    <row r="1769" spans="1:9">
      <c r="A1769" s="470" t="s">
        <v>584</v>
      </c>
      <c r="B1769" s="779" t="s">
        <v>134</v>
      </c>
      <c r="C1769" s="451">
        <v>4.0000000000000001E-3</v>
      </c>
      <c r="D1769" s="487" t="s">
        <v>583</v>
      </c>
      <c r="E1769" s="780">
        <f>+VIAJE</f>
        <v>1200000</v>
      </c>
      <c r="F1769" s="780"/>
      <c r="G1769" s="780"/>
      <c r="H1769" s="780"/>
      <c r="I1769" s="780">
        <f>+E1769*C1769</f>
        <v>4800</v>
      </c>
    </row>
    <row r="1770" spans="1:9">
      <c r="A1770" s="587" t="s">
        <v>190</v>
      </c>
      <c r="B1770" s="588">
        <f>ROUND(SUM(F1770:I1770),0)</f>
        <v>60368</v>
      </c>
      <c r="C1770" s="160"/>
      <c r="D1770" s="243"/>
      <c r="E1770" s="674"/>
      <c r="F1770" s="674">
        <f>SUM(F1767:F1769)</f>
        <v>0</v>
      </c>
      <c r="G1770" s="674">
        <f>SUM(G1767:G1769)</f>
        <v>55568.100000000006</v>
      </c>
      <c r="H1770" s="674">
        <f>SUM(H1767:H1769)</f>
        <v>0</v>
      </c>
      <c r="I1770" s="674">
        <f>SUM(I1767:I1769)</f>
        <v>4800</v>
      </c>
    </row>
    <row r="1771" spans="1:9">
      <c r="A1771" s="587" t="s">
        <v>191</v>
      </c>
      <c r="B1771" s="39">
        <f>+B1770</f>
        <v>60368</v>
      </c>
      <c r="C1771" s="770" t="s">
        <v>94</v>
      </c>
      <c r="D1771" s="73"/>
      <c r="E1771" s="73"/>
      <c r="F1771" s="73"/>
      <c r="G1771" s="73"/>
      <c r="H1771" s="73"/>
      <c r="I1771" s="73"/>
    </row>
    <row r="1772" spans="1:9">
      <c r="A1772" s="73"/>
      <c r="B1772" s="679"/>
      <c r="C1772" s="765"/>
      <c r="D1772" s="13"/>
      <c r="E1772" s="13"/>
      <c r="F1772" s="13"/>
      <c r="G1772" s="13"/>
      <c r="H1772" s="13"/>
      <c r="I1772" s="13"/>
    </row>
    <row r="1773" spans="1:9">
      <c r="A1773" s="73"/>
      <c r="B1773" s="679"/>
      <c r="C1773" s="765"/>
      <c r="D1773" s="13"/>
      <c r="E1773" s="13"/>
      <c r="F1773" s="13"/>
      <c r="G1773" s="13"/>
      <c r="H1773" s="13"/>
      <c r="I1773" s="13"/>
    </row>
    <row r="1774" spans="1:9">
      <c r="A1774" s="73"/>
      <c r="B1774" s="679"/>
      <c r="C1774" s="765"/>
      <c r="D1774" s="13"/>
      <c r="E1774" s="13"/>
      <c r="F1774" s="13"/>
      <c r="G1774" s="13"/>
      <c r="H1774" s="13"/>
      <c r="I1774" s="13"/>
    </row>
    <row r="1777" spans="1:2" ht="19.2">
      <c r="A1777" s="1116" t="s">
        <v>4332</v>
      </c>
      <c r="B1777" s="932" t="s">
        <v>4331</v>
      </c>
    </row>
    <row r="1778" spans="1:2" ht="19.2">
      <c r="A1778" s="932"/>
      <c r="B1778" s="932" t="s">
        <v>4330</v>
      </c>
    </row>
    <row r="1779" spans="1:2" ht="19.2">
      <c r="A1779" s="932"/>
      <c r="B1779" s="932"/>
    </row>
    <row r="1780" spans="1:2" ht="19.2">
      <c r="A1780" s="932"/>
      <c r="B1780" s="932"/>
    </row>
    <row r="1781" spans="1:2" ht="19.2">
      <c r="A1781" s="932"/>
      <c r="B1781" s="932"/>
    </row>
    <row r="1782" spans="1:2" ht="19.2">
      <c r="A1782" s="933"/>
      <c r="B1782" s="933"/>
    </row>
    <row r="1783" spans="1:2" ht="19.2">
      <c r="A1783" s="1117" t="s">
        <v>4333</v>
      </c>
      <c r="B1783" s="933" t="s">
        <v>4334</v>
      </c>
    </row>
    <row r="1784" spans="1:2" ht="19.2">
      <c r="A1784" s="933"/>
      <c r="B1784" s="933" t="s">
        <v>4335</v>
      </c>
    </row>
    <row r="1785" spans="1:2" ht="19.2">
      <c r="A1785" s="933"/>
      <c r="B1785" s="933"/>
    </row>
    <row r="1786" spans="1:2" ht="19.2">
      <c r="A1786" s="933"/>
      <c r="B1786" s="933"/>
    </row>
    <row r="1787" spans="1:2" ht="19.2">
      <c r="A1787" s="933"/>
      <c r="B1787" s="933"/>
    </row>
    <row r="1788" spans="1:2" ht="19.2">
      <c r="A1788" s="933"/>
      <c r="B1788" s="933"/>
    </row>
    <row r="1789" spans="1:2" ht="19.2">
      <c r="A1789" s="933"/>
      <c r="B1789" s="933"/>
    </row>
    <row r="1790" spans="1:2" ht="19.2">
      <c r="A1790" s="933" t="s">
        <v>4336</v>
      </c>
      <c r="B1790" s="933" t="s">
        <v>4338</v>
      </c>
    </row>
    <row r="1791" spans="1:2" ht="19.2">
      <c r="A1791" s="933"/>
      <c r="B1791" s="933" t="s">
        <v>4337</v>
      </c>
    </row>
    <row r="1792" spans="1:2">
      <c r="A1792" s="103"/>
      <c r="B1792" s="56"/>
    </row>
  </sheetData>
  <mergeCells count="229">
    <mergeCell ref="A5:I5"/>
    <mergeCell ref="B7:I7"/>
    <mergeCell ref="B15:I15"/>
    <mergeCell ref="B23:I23"/>
    <mergeCell ref="B33:I33"/>
    <mergeCell ref="B42:I42"/>
    <mergeCell ref="A1:A3"/>
    <mergeCell ref="B1:G1"/>
    <mergeCell ref="H1:I3"/>
    <mergeCell ref="B2:G2"/>
    <mergeCell ref="B3:C3"/>
    <mergeCell ref="D3:G3"/>
    <mergeCell ref="B99:I99"/>
    <mergeCell ref="B109:I109"/>
    <mergeCell ref="G124:H124"/>
    <mergeCell ref="B125:I125"/>
    <mergeCell ref="B142:I142"/>
    <mergeCell ref="B156:I156"/>
    <mergeCell ref="A51:I51"/>
    <mergeCell ref="B53:I53"/>
    <mergeCell ref="B61:I61"/>
    <mergeCell ref="B68:I68"/>
    <mergeCell ref="B80:I80"/>
    <mergeCell ref="B89:I89"/>
    <mergeCell ref="B221:I221"/>
    <mergeCell ref="B228:I228"/>
    <mergeCell ref="A235:I235"/>
    <mergeCell ref="B236:I236"/>
    <mergeCell ref="B244:I244"/>
    <mergeCell ref="B251:I251"/>
    <mergeCell ref="B167:I167"/>
    <mergeCell ref="B176:I176"/>
    <mergeCell ref="A183:I183"/>
    <mergeCell ref="B184:I184"/>
    <mergeCell ref="B196:I196"/>
    <mergeCell ref="B208:I208"/>
    <mergeCell ref="B315:I315"/>
    <mergeCell ref="B323:I323"/>
    <mergeCell ref="B332:I332"/>
    <mergeCell ref="B340:I340"/>
    <mergeCell ref="A349:I349"/>
    <mergeCell ref="B350:I350"/>
    <mergeCell ref="B259:I259"/>
    <mergeCell ref="B266:I266"/>
    <mergeCell ref="B277:I277"/>
    <mergeCell ref="B288:I288"/>
    <mergeCell ref="B299:I299"/>
    <mergeCell ref="B308:I308"/>
    <mergeCell ref="B397:I397"/>
    <mergeCell ref="B407:I407"/>
    <mergeCell ref="B414:I414"/>
    <mergeCell ref="B424:I424"/>
    <mergeCell ref="B431:I431"/>
    <mergeCell ref="B439:I439"/>
    <mergeCell ref="B359:I359"/>
    <mergeCell ref="B366:I366"/>
    <mergeCell ref="B373:I373"/>
    <mergeCell ref="A379:I379"/>
    <mergeCell ref="B381:I381"/>
    <mergeCell ref="B389:I389"/>
    <mergeCell ref="B492:I492"/>
    <mergeCell ref="B500:I500"/>
    <mergeCell ref="A507:I507"/>
    <mergeCell ref="B509:I509"/>
    <mergeCell ref="B516:I516"/>
    <mergeCell ref="B523:I523"/>
    <mergeCell ref="B446:I446"/>
    <mergeCell ref="B454:I454"/>
    <mergeCell ref="B461:I461"/>
    <mergeCell ref="B469:I469"/>
    <mergeCell ref="B477:I477"/>
    <mergeCell ref="B485:I485"/>
    <mergeCell ref="B576:I576"/>
    <mergeCell ref="B584:I584"/>
    <mergeCell ref="B591:I591"/>
    <mergeCell ref="B599:I599"/>
    <mergeCell ref="A606:I606"/>
    <mergeCell ref="B607:I607"/>
    <mergeCell ref="B531:I531"/>
    <mergeCell ref="B539:I539"/>
    <mergeCell ref="B546:I546"/>
    <mergeCell ref="B553:I553"/>
    <mergeCell ref="B560:I560"/>
    <mergeCell ref="B569:I569"/>
    <mergeCell ref="B655:I655"/>
    <mergeCell ref="B661:I661"/>
    <mergeCell ref="B667:I667"/>
    <mergeCell ref="B673:I673"/>
    <mergeCell ref="B679:I679"/>
    <mergeCell ref="B685:I685"/>
    <mergeCell ref="B614:I614"/>
    <mergeCell ref="B621:I621"/>
    <mergeCell ref="B628:I628"/>
    <mergeCell ref="B635:I635"/>
    <mergeCell ref="B642:I642"/>
    <mergeCell ref="B649:I649"/>
    <mergeCell ref="B727:I727"/>
    <mergeCell ref="B733:I733"/>
    <mergeCell ref="B739:I739"/>
    <mergeCell ref="B745:I745"/>
    <mergeCell ref="B751:I751"/>
    <mergeCell ref="B757:I757"/>
    <mergeCell ref="B691:I691"/>
    <mergeCell ref="B697:I697"/>
    <mergeCell ref="B703:I703"/>
    <mergeCell ref="B709:I709"/>
    <mergeCell ref="B715:I715"/>
    <mergeCell ref="B721:I721"/>
    <mergeCell ref="B797:I797"/>
    <mergeCell ref="G806:H806"/>
    <mergeCell ref="B807:I807"/>
    <mergeCell ref="G822:H822"/>
    <mergeCell ref="B823:I823"/>
    <mergeCell ref="B840:I840"/>
    <mergeCell ref="B764:I764"/>
    <mergeCell ref="A770:I770"/>
    <mergeCell ref="B772:I772"/>
    <mergeCell ref="B780:I780"/>
    <mergeCell ref="B788:I788"/>
    <mergeCell ref="B789:I789"/>
    <mergeCell ref="B918:I918"/>
    <mergeCell ref="B927:I927"/>
    <mergeCell ref="B934:I934"/>
    <mergeCell ref="B942:I942"/>
    <mergeCell ref="B949:I949"/>
    <mergeCell ref="B959:I959"/>
    <mergeCell ref="B853:I853"/>
    <mergeCell ref="B865:I865"/>
    <mergeCell ref="B876:I876"/>
    <mergeCell ref="B886:I886"/>
    <mergeCell ref="B897:I897"/>
    <mergeCell ref="B906:I906"/>
    <mergeCell ref="B1018:I1018"/>
    <mergeCell ref="B1028:I1028"/>
    <mergeCell ref="B1038:I1038"/>
    <mergeCell ref="B1048:I1048"/>
    <mergeCell ref="B1058:I1058"/>
    <mergeCell ref="B1068:I1068"/>
    <mergeCell ref="B966:I966"/>
    <mergeCell ref="B976:I976"/>
    <mergeCell ref="A983:I983"/>
    <mergeCell ref="B985:I985"/>
    <mergeCell ref="B996:I996"/>
    <mergeCell ref="B1007:I1007"/>
    <mergeCell ref="B1140:I1140"/>
    <mergeCell ref="B1153:I1153"/>
    <mergeCell ref="B1163:I1163"/>
    <mergeCell ref="B1174:I1174"/>
    <mergeCell ref="A1185:I1185"/>
    <mergeCell ref="B1187:I1187"/>
    <mergeCell ref="B1078:I1078"/>
    <mergeCell ref="B1090:I1090"/>
    <mergeCell ref="B1100:I1100"/>
    <mergeCell ref="B1110:I1110"/>
    <mergeCell ref="B1120:I1120"/>
    <mergeCell ref="B1130:I1130"/>
    <mergeCell ref="G1255:H1255"/>
    <mergeCell ref="B1256:I1256"/>
    <mergeCell ref="G1272:H1272"/>
    <mergeCell ref="B1273:I1273"/>
    <mergeCell ref="B1284:I1284"/>
    <mergeCell ref="B1297:I1297"/>
    <mergeCell ref="B1195:I1195"/>
    <mergeCell ref="B1202:I1202"/>
    <mergeCell ref="B1211:I1211"/>
    <mergeCell ref="B1221:I1221"/>
    <mergeCell ref="B1229:I1229"/>
    <mergeCell ref="B1239:I1239"/>
    <mergeCell ref="B1354:I1354"/>
    <mergeCell ref="B1361:I1361"/>
    <mergeCell ref="B1370:I1370"/>
    <mergeCell ref="B1377:I1377"/>
    <mergeCell ref="B1385:I1385"/>
    <mergeCell ref="B1392:I1392"/>
    <mergeCell ref="B1306:I1306"/>
    <mergeCell ref="B1313:I1313"/>
    <mergeCell ref="B1322:I1322"/>
    <mergeCell ref="B1329:I1329"/>
    <mergeCell ref="B1339:I1339"/>
    <mergeCell ref="B1346:I1346"/>
    <mergeCell ref="B1445:I1445"/>
    <mergeCell ref="B1452:I1452"/>
    <mergeCell ref="B1461:I1461"/>
    <mergeCell ref="B1468:I1468"/>
    <mergeCell ref="B1477:I1477"/>
    <mergeCell ref="B1484:I1484"/>
    <mergeCell ref="B1400:I1400"/>
    <mergeCell ref="B1407:I1407"/>
    <mergeCell ref="B1415:I1415"/>
    <mergeCell ref="B1422:I1422"/>
    <mergeCell ref="B1430:I1430"/>
    <mergeCell ref="B1437:I1437"/>
    <mergeCell ref="B1539:I1539"/>
    <mergeCell ref="B1546:I1546"/>
    <mergeCell ref="B1554:I1554"/>
    <mergeCell ref="B1561:I1561"/>
    <mergeCell ref="B1569:I1569"/>
    <mergeCell ref="B1576:I1576"/>
    <mergeCell ref="B1493:I1493"/>
    <mergeCell ref="B1500:I1500"/>
    <mergeCell ref="B1508:I1508"/>
    <mergeCell ref="B1515:I1515"/>
    <mergeCell ref="B1524:I1524"/>
    <mergeCell ref="B1531:I1531"/>
    <mergeCell ref="B1632:I1632"/>
    <mergeCell ref="B1639:I1639"/>
    <mergeCell ref="B1647:I1647"/>
    <mergeCell ref="B1654:I1654"/>
    <mergeCell ref="B1662:I1662"/>
    <mergeCell ref="B1669:I1669"/>
    <mergeCell ref="B1584:I1584"/>
    <mergeCell ref="B1591:I1591"/>
    <mergeCell ref="B1599:I1599"/>
    <mergeCell ref="B1606:I1606"/>
    <mergeCell ref="B1617:I1617"/>
    <mergeCell ref="B1624:I1624"/>
    <mergeCell ref="B1766:I1766"/>
    <mergeCell ref="B1720:I1720"/>
    <mergeCell ref="B1727:I1727"/>
    <mergeCell ref="B1736:I1736"/>
    <mergeCell ref="B1743:I1743"/>
    <mergeCell ref="B1751:I1751"/>
    <mergeCell ref="B1758:I1758"/>
    <mergeCell ref="B1678:I1678"/>
    <mergeCell ref="B1685:I1685"/>
    <mergeCell ref="B1692:I1692"/>
    <mergeCell ref="B1699:I1699"/>
    <mergeCell ref="B1706:I1706"/>
    <mergeCell ref="B1713:I1713"/>
  </mergeCells>
  <printOptions horizontalCentered="1" verticalCentered="1"/>
  <pageMargins left="0.7" right="0.7" top="0.75" bottom="0.75" header="0.3" footer="0.3"/>
  <pageSetup paperSize="9" scale="57" orientation="portrait" r:id="rId1"/>
  <headerFooter alignWithMargins="0"/>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7">
    <tabColor theme="7" tint="0.39997558519241921"/>
  </sheetPr>
  <dimension ref="A1:K501"/>
  <sheetViews>
    <sheetView view="pageBreakPreview" topLeftCell="A446" zoomScale="70" zoomScaleNormal="85" zoomScaleSheetLayoutView="70" zoomScalePageLayoutView="10" workbookViewId="0">
      <selection activeCell="E548" sqref="E548"/>
    </sheetView>
  </sheetViews>
  <sheetFormatPr baseColWidth="10" defaultColWidth="11.44140625" defaultRowHeight="18"/>
  <cols>
    <col min="1" max="1" width="10.6640625" style="1885" customWidth="1"/>
    <col min="2" max="2" width="63.33203125" style="1721" customWidth="1"/>
    <col min="3" max="3" width="10.33203125" style="1721" bestFit="1" customWidth="1"/>
    <col min="4" max="4" width="13.6640625" style="1721" customWidth="1"/>
    <col min="5" max="5" width="13.6640625" style="1721" bestFit="1" customWidth="1"/>
    <col min="6" max="6" width="20" style="1721" customWidth="1"/>
    <col min="7" max="7" width="17.6640625" style="492" bestFit="1" customWidth="1"/>
    <col min="8" max="16384" width="11.44140625" style="492"/>
  </cols>
  <sheetData>
    <row r="1" spans="1:11" ht="39" customHeight="1">
      <c r="A1" s="3317"/>
      <c r="B1" s="3927" t="s">
        <v>6313</v>
      </c>
      <c r="C1" s="3927"/>
      <c r="D1" s="3927"/>
      <c r="E1" s="3927"/>
      <c r="F1" s="3926"/>
      <c r="G1" s="2189"/>
    </row>
    <row r="2" spans="1:11" ht="16.8">
      <c r="A2" s="3317"/>
      <c r="B2" s="3925" t="s">
        <v>4264</v>
      </c>
      <c r="C2" s="3925"/>
      <c r="D2" s="3925"/>
      <c r="E2" s="3925"/>
      <c r="F2" s="3926"/>
      <c r="G2" s="2189"/>
    </row>
    <row r="3" spans="1:11" ht="16.8">
      <c r="A3" s="3317"/>
      <c r="B3" s="1577" t="s">
        <v>3859</v>
      </c>
      <c r="C3" s="3928" t="s">
        <v>8577</v>
      </c>
      <c r="D3" s="3928"/>
      <c r="E3" s="3928"/>
      <c r="F3" s="3926"/>
      <c r="G3" s="2189"/>
    </row>
    <row r="4" spans="1:11" ht="16.8">
      <c r="A4" s="578"/>
      <c r="B4" s="666"/>
      <c r="C4" s="17"/>
      <c r="D4" s="581"/>
      <c r="E4" s="581"/>
      <c r="F4" s="581"/>
      <c r="G4" s="581"/>
    </row>
    <row r="5" spans="1:11" ht="19.2">
      <c r="A5" s="3930"/>
      <c r="B5" s="3930"/>
      <c r="C5" s="3930"/>
      <c r="D5" s="3930"/>
      <c r="E5" s="3930"/>
      <c r="F5" s="3930"/>
    </row>
    <row r="6" spans="1:11" ht="16.8">
      <c r="A6" s="3734"/>
      <c r="B6" s="3734"/>
      <c r="C6" s="1880"/>
      <c r="D6" s="1880"/>
      <c r="E6" s="1880"/>
      <c r="F6" s="1880"/>
    </row>
    <row r="7" spans="1:11" s="247" customFormat="1" ht="35.25" customHeight="1">
      <c r="A7" s="244" t="s">
        <v>22</v>
      </c>
      <c r="B7" s="245" t="s">
        <v>23</v>
      </c>
      <c r="C7" s="245" t="s">
        <v>150</v>
      </c>
      <c r="D7" s="246" t="s">
        <v>539</v>
      </c>
      <c r="E7" s="245" t="s">
        <v>151</v>
      </c>
      <c r="F7" s="246" t="s">
        <v>540</v>
      </c>
      <c r="G7" s="254"/>
      <c r="H7" s="255"/>
      <c r="I7" s="255"/>
      <c r="J7" s="255"/>
      <c r="K7" s="255"/>
    </row>
    <row r="8" spans="1:11" ht="16.8">
      <c r="A8" s="1832">
        <v>1</v>
      </c>
      <c r="B8" s="3524" t="s">
        <v>1371</v>
      </c>
      <c r="C8" s="3524"/>
      <c r="D8" s="3524"/>
      <c r="E8" s="3524"/>
      <c r="F8" s="3524"/>
    </row>
    <row r="9" spans="1:11">
      <c r="A9" s="1003" t="s">
        <v>34</v>
      </c>
      <c r="B9" s="1727" t="s">
        <v>1372</v>
      </c>
      <c r="C9" s="1718"/>
      <c r="D9" s="1718"/>
      <c r="E9" s="1718"/>
      <c r="F9" s="2364">
        <f>SUM(F10:F11)</f>
        <v>436691</v>
      </c>
    </row>
    <row r="10" spans="1:11">
      <c r="A10" s="1729" t="s">
        <v>805</v>
      </c>
      <c r="B10" s="1711" t="s">
        <v>1373</v>
      </c>
      <c r="C10" s="1730" t="s">
        <v>1125</v>
      </c>
      <c r="D10" s="1576">
        <f>162.05</f>
        <v>162.05000000000001</v>
      </c>
      <c r="E10" s="1531">
        <f>+'APU LINEAS IMPULSIÓN'!B17</f>
        <v>2356</v>
      </c>
      <c r="F10" s="1531">
        <f>ROUND(D10*E10,0)</f>
        <v>381790</v>
      </c>
    </row>
    <row r="11" spans="1:11">
      <c r="A11" s="1729" t="s">
        <v>807</v>
      </c>
      <c r="B11" s="1711" t="s">
        <v>1374</v>
      </c>
      <c r="C11" s="1730" t="s">
        <v>1125</v>
      </c>
      <c r="D11" s="1576">
        <v>18.899999999999999</v>
      </c>
      <c r="E11" s="1531">
        <f>+'APU PTAP'!B31</f>
        <v>2904.8114772599997</v>
      </c>
      <c r="F11" s="1531">
        <f>ROUND(D11*E11,0)</f>
        <v>54901</v>
      </c>
    </row>
    <row r="12" spans="1:11">
      <c r="A12" s="1003" t="s">
        <v>1443</v>
      </c>
      <c r="B12" s="3348" t="s">
        <v>4756</v>
      </c>
      <c r="C12" s="3349"/>
      <c r="D12" s="3349"/>
      <c r="E12" s="3349"/>
      <c r="F12" s="2364">
        <f>+SUM(F13:F28)</f>
        <v>33797289</v>
      </c>
    </row>
    <row r="13" spans="1:11" ht="39.75" customHeight="1">
      <c r="A13" s="1729" t="s">
        <v>4224</v>
      </c>
      <c r="B13" s="1711" t="s">
        <v>6537</v>
      </c>
      <c r="C13" s="1528" t="s">
        <v>133</v>
      </c>
      <c r="D13" s="1576">
        <v>48</v>
      </c>
      <c r="E13" s="1531">
        <f>+'APU PTAP'!B45</f>
        <v>47000.186158072698</v>
      </c>
      <c r="F13" s="1531">
        <f>ROUND(+E13*D13,0)</f>
        <v>2256009</v>
      </c>
    </row>
    <row r="14" spans="1:11" ht="46.5" customHeight="1">
      <c r="A14" s="1729" t="s">
        <v>5773</v>
      </c>
      <c r="B14" s="1711" t="s">
        <v>6546</v>
      </c>
      <c r="C14" s="1528" t="s">
        <v>133</v>
      </c>
      <c r="D14" s="1576">
        <v>12</v>
      </c>
      <c r="E14" s="1531">
        <f>+'APU PTAP'!B56</f>
        <v>47799.551623591498</v>
      </c>
      <c r="F14" s="1531">
        <f t="shared" ref="F14:F28" si="0">ROUND(+E14*D14,0)</f>
        <v>573595</v>
      </c>
    </row>
    <row r="15" spans="1:11" ht="46.5" customHeight="1">
      <c r="A15" s="1729" t="s">
        <v>5774</v>
      </c>
      <c r="B15" s="1711" t="s">
        <v>6547</v>
      </c>
      <c r="C15" s="1528" t="s">
        <v>133</v>
      </c>
      <c r="D15" s="1576">
        <v>20</v>
      </c>
      <c r="E15" s="1531">
        <f>+'APU PTAP'!B67</f>
        <v>57445.357594895999</v>
      </c>
      <c r="F15" s="1531">
        <f t="shared" si="0"/>
        <v>1148907</v>
      </c>
    </row>
    <row r="16" spans="1:11" ht="43.5" customHeight="1">
      <c r="A16" s="1729" t="s">
        <v>5775</v>
      </c>
      <c r="B16" s="1711" t="s">
        <v>6548</v>
      </c>
      <c r="C16" s="1528" t="s">
        <v>133</v>
      </c>
      <c r="D16" s="1576">
        <v>24</v>
      </c>
      <c r="E16" s="1531">
        <f>+'APU PTAP'!B78</f>
        <v>77617.846541902851</v>
      </c>
      <c r="F16" s="1531">
        <f t="shared" si="0"/>
        <v>1862828</v>
      </c>
    </row>
    <row r="17" spans="1:9" ht="37.5" customHeight="1">
      <c r="A17" s="1729" t="s">
        <v>5776</v>
      </c>
      <c r="B17" s="1711" t="s">
        <v>6549</v>
      </c>
      <c r="C17" s="1528" t="s">
        <v>133</v>
      </c>
      <c r="D17" s="1576">
        <v>10</v>
      </c>
      <c r="E17" s="1531">
        <f>+'APU PTAP'!B89</f>
        <v>39012.702118149005</v>
      </c>
      <c r="F17" s="1531">
        <f t="shared" si="0"/>
        <v>390127</v>
      </c>
    </row>
    <row r="18" spans="1:9" ht="37.5" customHeight="1">
      <c r="A18" s="1729" t="s">
        <v>5777</v>
      </c>
      <c r="B18" s="1711" t="s">
        <v>6542</v>
      </c>
      <c r="C18" s="1528" t="s">
        <v>133</v>
      </c>
      <c r="D18" s="1576">
        <v>5</v>
      </c>
      <c r="E18" s="1531">
        <f>+'APU PTAP'!B100</f>
        <v>127179.15217429001</v>
      </c>
      <c r="F18" s="1531">
        <f t="shared" si="0"/>
        <v>635896</v>
      </c>
    </row>
    <row r="19" spans="1:9" ht="37.5" customHeight="1">
      <c r="A19" s="1729" t="s">
        <v>5992</v>
      </c>
      <c r="B19" s="1711" t="s">
        <v>6543</v>
      </c>
      <c r="C19" s="1528" t="s">
        <v>133</v>
      </c>
      <c r="D19" s="1576">
        <v>10</v>
      </c>
      <c r="E19" s="1531">
        <f>+'APU PTAP'!B111</f>
        <v>248214.08585633102</v>
      </c>
      <c r="F19" s="1531">
        <f t="shared" si="0"/>
        <v>2482141</v>
      </c>
    </row>
    <row r="20" spans="1:9" ht="37.5" customHeight="1">
      <c r="A20" s="1729" t="s">
        <v>5993</v>
      </c>
      <c r="B20" s="1711" t="s">
        <v>6544</v>
      </c>
      <c r="C20" s="1528" t="s">
        <v>133</v>
      </c>
      <c r="D20" s="1576">
        <v>6</v>
      </c>
      <c r="E20" s="1531">
        <f>+'APU PTAP'!B122</f>
        <v>74545.737295778337</v>
      </c>
      <c r="F20" s="1531">
        <f t="shared" si="0"/>
        <v>447274</v>
      </c>
    </row>
    <row r="21" spans="1:9" ht="37.5" customHeight="1">
      <c r="A21" s="1729" t="s">
        <v>5994</v>
      </c>
      <c r="B21" s="1711" t="s">
        <v>6545</v>
      </c>
      <c r="C21" s="1528" t="s">
        <v>133</v>
      </c>
      <c r="D21" s="1576">
        <v>6</v>
      </c>
      <c r="E21" s="1531">
        <f>+'APU PTAP'!B133</f>
        <v>80689.955788027335</v>
      </c>
      <c r="F21" s="1531">
        <f t="shared" si="0"/>
        <v>484140</v>
      </c>
    </row>
    <row r="22" spans="1:9">
      <c r="A22" s="1729" t="s">
        <v>5995</v>
      </c>
      <c r="B22" s="1711" t="s">
        <v>4689</v>
      </c>
      <c r="C22" s="1528" t="s">
        <v>1292</v>
      </c>
      <c r="D22" s="1576">
        <v>113.96647694887901</v>
      </c>
      <c r="E22" s="2257">
        <f>+'APU PTAP'!B142</f>
        <v>137814.754132</v>
      </c>
      <c r="F22" s="1531">
        <f t="shared" si="0"/>
        <v>15706262</v>
      </c>
      <c r="G22" s="2794"/>
      <c r="I22" s="2795"/>
    </row>
    <row r="23" spans="1:9" ht="33.6">
      <c r="A23" s="1729" t="s">
        <v>5996</v>
      </c>
      <c r="B23" s="1711" t="s">
        <v>4691</v>
      </c>
      <c r="C23" s="1528" t="s">
        <v>133</v>
      </c>
      <c r="D23" s="1576">
        <v>240</v>
      </c>
      <c r="E23" s="1531">
        <f>+'APU PTAP'!B150</f>
        <v>8098.2623002400005</v>
      </c>
      <c r="F23" s="1531">
        <f t="shared" si="0"/>
        <v>1943583</v>
      </c>
    </row>
    <row r="24" spans="1:9">
      <c r="A24" s="1729" t="s">
        <v>5997</v>
      </c>
      <c r="B24" s="1711" t="s">
        <v>4692</v>
      </c>
      <c r="C24" s="1528" t="s">
        <v>45</v>
      </c>
      <c r="D24" s="1576">
        <v>100</v>
      </c>
      <c r="E24" s="1531">
        <f>+'APU PTAP'!B158</f>
        <v>4320.9836088000002</v>
      </c>
      <c r="F24" s="1531">
        <f t="shared" si="0"/>
        <v>432098</v>
      </c>
    </row>
    <row r="25" spans="1:9">
      <c r="A25" s="1729" t="s">
        <v>5998</v>
      </c>
      <c r="B25" s="1711" t="s">
        <v>4694</v>
      </c>
      <c r="C25" s="1528" t="s">
        <v>133</v>
      </c>
      <c r="D25" s="1576">
        <v>20</v>
      </c>
      <c r="E25" s="1531">
        <f>+'APU PTAP'!B166</f>
        <v>32407.377066000001</v>
      </c>
      <c r="F25" s="1531">
        <f t="shared" si="0"/>
        <v>648148</v>
      </c>
    </row>
    <row r="26" spans="1:9">
      <c r="A26" s="1729" t="s">
        <v>5999</v>
      </c>
      <c r="B26" s="1711" t="s">
        <v>4695</v>
      </c>
      <c r="C26" s="1528" t="s">
        <v>1002</v>
      </c>
      <c r="D26" s="1576">
        <v>50</v>
      </c>
      <c r="E26" s="1531">
        <f>+'APU PTAP'!B174</f>
        <v>12147.393450360001</v>
      </c>
      <c r="F26" s="1531">
        <f t="shared" si="0"/>
        <v>607370</v>
      </c>
    </row>
    <row r="27" spans="1:9">
      <c r="A27" s="1729" t="s">
        <v>6000</v>
      </c>
      <c r="B27" s="1711" t="s">
        <v>4697</v>
      </c>
      <c r="C27" s="1528" t="s">
        <v>1002</v>
      </c>
      <c r="D27" s="1576">
        <v>50</v>
      </c>
      <c r="E27" s="1531">
        <f>+'APU PTAP'!B182</f>
        <v>13497.103833733332</v>
      </c>
      <c r="F27" s="1531">
        <f t="shared" si="0"/>
        <v>674855</v>
      </c>
    </row>
    <row r="28" spans="1:9">
      <c r="A28" s="1729" t="s">
        <v>6001</v>
      </c>
      <c r="B28" s="1711" t="s">
        <v>4698</v>
      </c>
      <c r="C28" s="1528" t="s">
        <v>1292</v>
      </c>
      <c r="D28" s="1576">
        <f>50*1.5</f>
        <v>75</v>
      </c>
      <c r="E28" s="1531">
        <f>+'APU PTAP'!B190</f>
        <v>46720.744039846155</v>
      </c>
      <c r="F28" s="1531">
        <f t="shared" si="0"/>
        <v>3504056</v>
      </c>
    </row>
    <row r="29" spans="1:9">
      <c r="A29" s="1003" t="s">
        <v>1444</v>
      </c>
      <c r="B29" s="1529" t="s">
        <v>4757</v>
      </c>
      <c r="C29" s="1734"/>
      <c r="D29" s="1735"/>
      <c r="E29" s="1736"/>
      <c r="F29" s="2364">
        <f>SUM(F30:F30)</f>
        <v>1298787</v>
      </c>
    </row>
    <row r="30" spans="1:9">
      <c r="A30" s="1729" t="s">
        <v>4227</v>
      </c>
      <c r="B30" s="1711" t="s">
        <v>4699</v>
      </c>
      <c r="C30" s="248" t="s">
        <v>8540</v>
      </c>
      <c r="D30" s="1576">
        <f>50.8*14</f>
        <v>711.19999999999993</v>
      </c>
      <c r="E30" s="1531">
        <f>+'APU PTAP'!B200</f>
        <v>1826.1904761904761</v>
      </c>
      <c r="F30" s="1531">
        <f>ROUND(D30*E30,0)</f>
        <v>1298787</v>
      </c>
    </row>
    <row r="31" spans="1:9">
      <c r="A31" s="1003" t="s">
        <v>1445</v>
      </c>
      <c r="B31" s="1042" t="s">
        <v>4758</v>
      </c>
      <c r="C31" s="1734"/>
      <c r="D31" s="1735"/>
      <c r="E31" s="1736"/>
      <c r="F31" s="2364">
        <f>SUM(F32:F32)</f>
        <v>200614</v>
      </c>
    </row>
    <row r="32" spans="1:9" ht="38.25" customHeight="1">
      <c r="A32" s="1882" t="s">
        <v>4235</v>
      </c>
      <c r="B32" s="1711" t="s">
        <v>6551</v>
      </c>
      <c r="C32" s="1730" t="s">
        <v>133</v>
      </c>
      <c r="D32" s="1576">
        <v>4</v>
      </c>
      <c r="E32" s="1531">
        <f>+'APU PTAP'!B214</f>
        <v>50153.434380038561</v>
      </c>
      <c r="F32" s="1531">
        <f t="shared" ref="F32:F96" si="1">ROUND(D32*E32,0)</f>
        <v>200614</v>
      </c>
    </row>
    <row r="33" spans="1:7">
      <c r="A33" s="1003" t="s">
        <v>814</v>
      </c>
      <c r="B33" s="1532" t="s">
        <v>4759</v>
      </c>
      <c r="C33" s="1738"/>
      <c r="D33" s="1735"/>
      <c r="E33" s="1736"/>
      <c r="F33" s="2364">
        <f>SUM(F34:F34)</f>
        <v>1339263</v>
      </c>
    </row>
    <row r="34" spans="1:7" ht="50.4">
      <c r="A34" s="1882" t="s">
        <v>816</v>
      </c>
      <c r="B34" s="1711" t="s">
        <v>6552</v>
      </c>
      <c r="C34" s="1730" t="s">
        <v>133</v>
      </c>
      <c r="D34" s="1576">
        <v>150</v>
      </c>
      <c r="E34" s="1531">
        <f>+'APU PTAP'!B226</f>
        <v>8928.4180371600014</v>
      </c>
      <c r="F34" s="1731">
        <f>ROUND(D34*E34,0)</f>
        <v>1339263</v>
      </c>
    </row>
    <row r="35" spans="1:7" ht="34.5" customHeight="1">
      <c r="A35" s="1003" t="s">
        <v>826</v>
      </c>
      <c r="B35" s="1533" t="s">
        <v>4760</v>
      </c>
      <c r="C35" s="1734"/>
      <c r="D35" s="1735"/>
      <c r="E35" s="1736"/>
      <c r="F35" s="2364">
        <f>SUM(F36:F36)</f>
        <v>6749569</v>
      </c>
    </row>
    <row r="36" spans="1:7">
      <c r="A36" s="1882" t="s">
        <v>827</v>
      </c>
      <c r="B36" s="1711" t="s">
        <v>4705</v>
      </c>
      <c r="C36" s="1730" t="s">
        <v>647</v>
      </c>
      <c r="D36" s="1576">
        <v>1713.7</v>
      </c>
      <c r="E36" s="1531">
        <f>+'APU LINEAS IMPULSIÓN'!B282</f>
        <v>3938.5941163025</v>
      </c>
      <c r="F36" s="1531">
        <f>ROUND(E36*D36,0)</f>
        <v>6749569</v>
      </c>
    </row>
    <row r="37" spans="1:7">
      <c r="A37" s="1003" t="s">
        <v>5722</v>
      </c>
      <c r="B37" s="1533" t="s">
        <v>852</v>
      </c>
      <c r="C37" s="1734"/>
      <c r="D37" s="1735"/>
      <c r="E37" s="1736"/>
      <c r="F37" s="2364">
        <f>SUM(F38:F45)</f>
        <v>76257178</v>
      </c>
    </row>
    <row r="38" spans="1:7" s="61" customFormat="1" ht="33.6">
      <c r="A38" s="1882" t="s">
        <v>5838</v>
      </c>
      <c r="B38" s="1711" t="s">
        <v>6553</v>
      </c>
      <c r="C38" s="1530" t="s">
        <v>1292</v>
      </c>
      <c r="D38" s="1576">
        <v>4</v>
      </c>
      <c r="E38" s="1531">
        <f>+'APU PTAP'!B253</f>
        <v>758816</v>
      </c>
      <c r="F38" s="1731">
        <f t="shared" si="1"/>
        <v>3035264</v>
      </c>
    </row>
    <row r="39" spans="1:7" s="61" customFormat="1">
      <c r="A39" s="1882" t="s">
        <v>6002</v>
      </c>
      <c r="B39" s="1711" t="s">
        <v>6571</v>
      </c>
      <c r="C39" s="1530" t="s">
        <v>1292</v>
      </c>
      <c r="D39" s="1576">
        <v>2</v>
      </c>
      <c r="E39" s="1531">
        <f>+'APU PTAP'!B269</f>
        <v>813176</v>
      </c>
      <c r="F39" s="1731">
        <f t="shared" si="1"/>
        <v>1626352</v>
      </c>
    </row>
    <row r="40" spans="1:7" s="61" customFormat="1" ht="33.6">
      <c r="A40" s="1882" t="s">
        <v>6003</v>
      </c>
      <c r="B40" s="1711" t="s">
        <v>6572</v>
      </c>
      <c r="C40" s="1530" t="s">
        <v>1292</v>
      </c>
      <c r="D40" s="1576">
        <v>48.96</v>
      </c>
      <c r="E40" s="1531">
        <f>+'APU PTAP'!B284</f>
        <v>736509</v>
      </c>
      <c r="F40" s="1731">
        <f t="shared" si="1"/>
        <v>36059481</v>
      </c>
    </row>
    <row r="41" spans="1:7">
      <c r="A41" s="1882" t="s">
        <v>6004</v>
      </c>
      <c r="B41" s="1711" t="s">
        <v>6574</v>
      </c>
      <c r="C41" s="1530" t="s">
        <v>1292</v>
      </c>
      <c r="D41" s="1576">
        <v>13.6</v>
      </c>
      <c r="E41" s="1531">
        <f>+'APU PTAP'!B299</f>
        <v>748717</v>
      </c>
      <c r="F41" s="1731">
        <f t="shared" si="1"/>
        <v>10182551</v>
      </c>
    </row>
    <row r="42" spans="1:7" ht="33.6">
      <c r="A42" s="1882" t="s">
        <v>6005</v>
      </c>
      <c r="B42" s="1711" t="s">
        <v>7104</v>
      </c>
      <c r="C42" s="1530" t="s">
        <v>45</v>
      </c>
      <c r="D42" s="1576">
        <v>36</v>
      </c>
      <c r="E42" s="1531">
        <f>+'APU PTAP'!B311</f>
        <v>243040</v>
      </c>
      <c r="F42" s="1731">
        <f t="shared" si="1"/>
        <v>8749440</v>
      </c>
    </row>
    <row r="43" spans="1:7" ht="33.6">
      <c r="A43" s="1882" t="s">
        <v>6006</v>
      </c>
      <c r="B43" s="1711" t="s">
        <v>6577</v>
      </c>
      <c r="C43" s="1530" t="s">
        <v>1292</v>
      </c>
      <c r="D43" s="1576">
        <v>17.440000000000001</v>
      </c>
      <c r="E43" s="1531">
        <f>+'APU PTAP'!B325</f>
        <v>609285</v>
      </c>
      <c r="F43" s="1731">
        <f t="shared" si="1"/>
        <v>10625930</v>
      </c>
    </row>
    <row r="44" spans="1:7">
      <c r="A44" s="1882" t="s">
        <v>6007</v>
      </c>
      <c r="B44" s="1711" t="s">
        <v>6559</v>
      </c>
      <c r="C44" s="1530" t="s">
        <v>1292</v>
      </c>
      <c r="D44" s="1576">
        <v>5</v>
      </c>
      <c r="E44" s="1531">
        <f>+'APU PTAP'!B334</f>
        <v>470352</v>
      </c>
      <c r="F44" s="1731">
        <f t="shared" si="1"/>
        <v>2351760</v>
      </c>
    </row>
    <row r="45" spans="1:7">
      <c r="A45" s="1882" t="s">
        <v>6008</v>
      </c>
      <c r="B45" s="1711" t="s">
        <v>4763</v>
      </c>
      <c r="C45" s="1530" t="s">
        <v>1002</v>
      </c>
      <c r="D45" s="1576">
        <v>120</v>
      </c>
      <c r="E45" s="1531">
        <f>+'APU PTAP'!B343</f>
        <v>30220</v>
      </c>
      <c r="F45" s="1731">
        <f t="shared" si="1"/>
        <v>3626400</v>
      </c>
    </row>
    <row r="46" spans="1:7" ht="26.25" customHeight="1">
      <c r="A46" s="1003" t="s">
        <v>3913</v>
      </c>
      <c r="B46" s="1533" t="s">
        <v>5659</v>
      </c>
      <c r="C46" s="1734"/>
      <c r="D46" s="1735"/>
      <c r="E46" s="1736"/>
      <c r="F46" s="2365">
        <f>SUM(F48:F79)</f>
        <v>24814200</v>
      </c>
      <c r="G46" s="61"/>
    </row>
    <row r="47" spans="1:7" ht="26.25" customHeight="1">
      <c r="A47" s="1740"/>
      <c r="B47" s="1533" t="s">
        <v>5673</v>
      </c>
      <c r="C47" s="1734"/>
      <c r="D47" s="1735"/>
      <c r="E47" s="1736"/>
      <c r="F47" s="1741"/>
      <c r="G47" s="61"/>
    </row>
    <row r="48" spans="1:7" ht="19.5" customHeight="1">
      <c r="A48" s="1882" t="s">
        <v>5839</v>
      </c>
      <c r="B48" s="1711" t="s">
        <v>5660</v>
      </c>
      <c r="C48" s="1710" t="s">
        <v>1002</v>
      </c>
      <c r="D48" s="2658">
        <f>3.38*3.4</f>
        <v>11.491999999999999</v>
      </c>
      <c r="E48" s="1531">
        <f>+'APU LINEAS IMPULSIÓN'!B17</f>
        <v>2356</v>
      </c>
      <c r="F48" s="1531">
        <f t="shared" si="1"/>
        <v>27075</v>
      </c>
      <c r="G48" s="61"/>
    </row>
    <row r="49" spans="1:7" ht="18" customHeight="1">
      <c r="A49" s="1882" t="s">
        <v>5840</v>
      </c>
      <c r="B49" s="1711" t="s">
        <v>1374</v>
      </c>
      <c r="C49" s="1710" t="s">
        <v>1002</v>
      </c>
      <c r="D49" s="2658">
        <f>+D48</f>
        <v>11.491999999999999</v>
      </c>
      <c r="E49" s="1531">
        <f>+'APU PTAP'!B31</f>
        <v>2904.8114772599997</v>
      </c>
      <c r="F49" s="1531">
        <f t="shared" si="1"/>
        <v>33382</v>
      </c>
      <c r="G49" s="61"/>
    </row>
    <row r="50" spans="1:7" ht="18.75" customHeight="1">
      <c r="A50" s="1882" t="s">
        <v>6009</v>
      </c>
      <c r="B50" s="1711" t="s">
        <v>5661</v>
      </c>
      <c r="C50" s="1710" t="s">
        <v>1292</v>
      </c>
      <c r="D50" s="1576">
        <v>2.1120000000000001</v>
      </c>
      <c r="E50" s="1531">
        <f>+'APU LINEAS IMPULSIÓN'!B73</f>
        <v>23473.224058666663</v>
      </c>
      <c r="F50" s="1531">
        <f t="shared" si="1"/>
        <v>49575</v>
      </c>
      <c r="G50" s="61"/>
    </row>
    <row r="51" spans="1:7" ht="29.25" customHeight="1">
      <c r="A51" s="1882" t="s">
        <v>6010</v>
      </c>
      <c r="B51" s="1711" t="s">
        <v>6578</v>
      </c>
      <c r="C51" s="1710" t="s">
        <v>45</v>
      </c>
      <c r="D51" s="1576">
        <v>13.2</v>
      </c>
      <c r="E51" s="1531">
        <f>+'APU PTAP'!B359</f>
        <v>262233</v>
      </c>
      <c r="F51" s="1531">
        <f t="shared" si="1"/>
        <v>3461476</v>
      </c>
      <c r="G51" s="61"/>
    </row>
    <row r="52" spans="1:7" ht="18.75" customHeight="1">
      <c r="A52" s="1882" t="s">
        <v>6011</v>
      </c>
      <c r="B52" s="1711" t="s">
        <v>5663</v>
      </c>
      <c r="C52" s="1710" t="s">
        <v>45</v>
      </c>
      <c r="D52" s="1576">
        <v>13.2</v>
      </c>
      <c r="E52" s="1531">
        <f>+'APU PTAP'!B369</f>
        <v>32627</v>
      </c>
      <c r="F52" s="1531">
        <f t="shared" si="1"/>
        <v>430676</v>
      </c>
      <c r="G52" s="61"/>
    </row>
    <row r="53" spans="1:7" ht="45" customHeight="1">
      <c r="A53" s="1882" t="s">
        <v>6012</v>
      </c>
      <c r="B53" s="1711" t="s">
        <v>5063</v>
      </c>
      <c r="C53" s="1710" t="s">
        <v>1292</v>
      </c>
      <c r="D53" s="1576">
        <v>5.4449999999999994</v>
      </c>
      <c r="E53" s="1531">
        <f>+'APU LINEAS IMPULSIÓN'!B97</f>
        <v>87012</v>
      </c>
      <c r="F53" s="1531">
        <f t="shared" si="1"/>
        <v>473780</v>
      </c>
      <c r="G53" s="61"/>
    </row>
    <row r="54" spans="1:7" ht="18.75" customHeight="1">
      <c r="A54" s="1882" t="s">
        <v>6013</v>
      </c>
      <c r="B54" s="1711" t="s">
        <v>5664</v>
      </c>
      <c r="C54" s="1710" t="s">
        <v>1002</v>
      </c>
      <c r="D54" s="1576">
        <v>29.36</v>
      </c>
      <c r="E54" s="1531">
        <f>+'APU PTAP'!B379</f>
        <v>45041</v>
      </c>
      <c r="F54" s="1531">
        <f t="shared" si="1"/>
        <v>1322404</v>
      </c>
      <c r="G54" s="61"/>
    </row>
    <row r="55" spans="1:7" ht="29.25" customHeight="1">
      <c r="A55" s="1882" t="s">
        <v>6014</v>
      </c>
      <c r="B55" s="1711" t="s">
        <v>5665</v>
      </c>
      <c r="C55" s="1710" t="s">
        <v>45</v>
      </c>
      <c r="D55" s="1576">
        <v>15.599999999999998</v>
      </c>
      <c r="E55" s="1531">
        <f>+'APU PTAP'!B392</f>
        <v>80176</v>
      </c>
      <c r="F55" s="1531">
        <f t="shared" si="1"/>
        <v>1250746</v>
      </c>
      <c r="G55" s="61"/>
    </row>
    <row r="56" spans="1:7" ht="30" customHeight="1">
      <c r="A56" s="1882" t="s">
        <v>6015</v>
      </c>
      <c r="B56" s="1711" t="s">
        <v>5666</v>
      </c>
      <c r="C56" s="1710" t="s">
        <v>45</v>
      </c>
      <c r="D56" s="1576">
        <v>10.92</v>
      </c>
      <c r="E56" s="1531">
        <f>+'APU PTAP'!B403</f>
        <v>99456</v>
      </c>
      <c r="F56" s="1531">
        <f t="shared" si="1"/>
        <v>1086060</v>
      </c>
      <c r="G56" s="61"/>
    </row>
    <row r="57" spans="1:7" ht="26.25" customHeight="1">
      <c r="A57" s="1882" t="s">
        <v>6016</v>
      </c>
      <c r="B57" s="1711" t="s">
        <v>5667</v>
      </c>
      <c r="C57" s="1710" t="s">
        <v>45</v>
      </c>
      <c r="D57" s="1576">
        <v>17.399999999999999</v>
      </c>
      <c r="E57" s="1531">
        <f>+'APU PTAP'!B415</f>
        <v>57021</v>
      </c>
      <c r="F57" s="1531">
        <f t="shared" si="1"/>
        <v>992165</v>
      </c>
      <c r="G57" s="61"/>
    </row>
    <row r="58" spans="1:7" ht="16.5" customHeight="1">
      <c r="A58" s="1882" t="s">
        <v>6017</v>
      </c>
      <c r="B58" s="1711" t="s">
        <v>5668</v>
      </c>
      <c r="C58" s="1710" t="s">
        <v>1002</v>
      </c>
      <c r="D58" s="1576">
        <v>72.807999999999993</v>
      </c>
      <c r="E58" s="1531">
        <f>+'APU PTAP'!B425</f>
        <v>38776</v>
      </c>
      <c r="F58" s="1531">
        <f t="shared" si="1"/>
        <v>2823203</v>
      </c>
      <c r="G58" s="61"/>
    </row>
    <row r="59" spans="1:7" ht="18" customHeight="1">
      <c r="A59" s="1882" t="s">
        <v>6018</v>
      </c>
      <c r="B59" s="1711" t="s">
        <v>5669</v>
      </c>
      <c r="C59" s="1710" t="s">
        <v>1002</v>
      </c>
      <c r="D59" s="1576">
        <v>10.4</v>
      </c>
      <c r="E59" s="1531">
        <f>+'APU PTAP'!B434</f>
        <v>45955</v>
      </c>
      <c r="F59" s="1531">
        <f t="shared" si="1"/>
        <v>477932</v>
      </c>
      <c r="G59" s="61"/>
    </row>
    <row r="60" spans="1:7" ht="20.25" customHeight="1">
      <c r="A60" s="1882" t="s">
        <v>6019</v>
      </c>
      <c r="B60" s="1711" t="s">
        <v>5670</v>
      </c>
      <c r="C60" s="1710" t="s">
        <v>1002</v>
      </c>
      <c r="D60" s="1576">
        <v>72.807999999999993</v>
      </c>
      <c r="E60" s="1531">
        <f>+'APU PTAP'!B443</f>
        <v>12603</v>
      </c>
      <c r="F60" s="1531">
        <f t="shared" si="1"/>
        <v>917599</v>
      </c>
      <c r="G60" s="61"/>
    </row>
    <row r="61" spans="1:7" ht="19.5" customHeight="1">
      <c r="A61" s="1882" t="s">
        <v>6020</v>
      </c>
      <c r="B61" s="1711" t="s">
        <v>5671</v>
      </c>
      <c r="C61" s="1710" t="s">
        <v>1002</v>
      </c>
      <c r="D61" s="1576">
        <v>36.403999999999996</v>
      </c>
      <c r="E61" s="1531">
        <f>+'APU PTAP'!B452</f>
        <v>15681</v>
      </c>
      <c r="F61" s="1531">
        <f t="shared" si="1"/>
        <v>570851</v>
      </c>
      <c r="G61" s="61"/>
    </row>
    <row r="62" spans="1:7" ht="18" customHeight="1">
      <c r="A62" s="1882" t="s">
        <v>6021</v>
      </c>
      <c r="B62" s="1711" t="s">
        <v>5672</v>
      </c>
      <c r="C62" s="1710" t="s">
        <v>1002</v>
      </c>
      <c r="D62" s="1576">
        <v>36.403999999999996</v>
      </c>
      <c r="E62" s="1531">
        <f>+'APU PTAP'!B461</f>
        <v>18718</v>
      </c>
      <c r="F62" s="1531">
        <f t="shared" si="1"/>
        <v>681410</v>
      </c>
      <c r="G62" s="61"/>
    </row>
    <row r="63" spans="1:7" ht="26.25" customHeight="1">
      <c r="A63" s="1533"/>
      <c r="B63" s="1533" t="s">
        <v>5674</v>
      </c>
      <c r="C63" s="1734"/>
      <c r="D63" s="1735"/>
      <c r="E63" s="1736"/>
      <c r="F63" s="1741"/>
      <c r="G63" s="61"/>
    </row>
    <row r="64" spans="1:7" ht="30" customHeight="1">
      <c r="A64" s="1882" t="s">
        <v>6022</v>
      </c>
      <c r="B64" s="1711" t="s">
        <v>6619</v>
      </c>
      <c r="C64" s="1710" t="s">
        <v>1292</v>
      </c>
      <c r="D64" s="1576">
        <v>1.1499999999999999</v>
      </c>
      <c r="E64" s="1531">
        <f>+'APU LINEAS IMPULSIÓN'!B73</f>
        <v>23473.224058666663</v>
      </c>
      <c r="F64" s="1531">
        <f t="shared" si="1"/>
        <v>26994</v>
      </c>
      <c r="G64" s="61"/>
    </row>
    <row r="65" spans="1:9" ht="30.75" customHeight="1">
      <c r="A65" s="1882" t="s">
        <v>6023</v>
      </c>
      <c r="B65" s="1711" t="s">
        <v>8711</v>
      </c>
      <c r="C65" s="1710" t="s">
        <v>45</v>
      </c>
      <c r="D65" s="1576">
        <v>43.4846414795961</v>
      </c>
      <c r="E65" s="1531">
        <f>+'APU LINEAS IMPULSIÓN'!$B$210</f>
        <v>41838.174079316326</v>
      </c>
      <c r="F65" s="1531">
        <f t="shared" si="1"/>
        <v>1819318</v>
      </c>
      <c r="G65" s="1883"/>
      <c r="I65" s="2794"/>
    </row>
    <row r="66" spans="1:9" ht="21.75" customHeight="1">
      <c r="A66" s="1882" t="s">
        <v>6024</v>
      </c>
      <c r="B66" s="1711" t="s">
        <v>5677</v>
      </c>
      <c r="C66" s="1710" t="s">
        <v>45</v>
      </c>
      <c r="D66" s="1576">
        <v>18.399999999999999</v>
      </c>
      <c r="E66" s="1531">
        <f>+'APU PTAP'!B484</f>
        <v>26993</v>
      </c>
      <c r="F66" s="1531">
        <f t="shared" si="1"/>
        <v>496671</v>
      </c>
      <c r="G66" s="61"/>
    </row>
    <row r="67" spans="1:9" ht="45.75" customHeight="1">
      <c r="A67" s="1882" t="s">
        <v>6025</v>
      </c>
      <c r="B67" s="1711" t="s">
        <v>6620</v>
      </c>
      <c r="C67" s="1710" t="s">
        <v>1292</v>
      </c>
      <c r="D67" s="1576">
        <v>3.7919999999999998</v>
      </c>
      <c r="E67" s="1531">
        <f>+'APU LINEAS IMPULSIÓN'!B97</f>
        <v>87012</v>
      </c>
      <c r="F67" s="1531">
        <f t="shared" si="1"/>
        <v>329950</v>
      </c>
      <c r="G67" s="61"/>
    </row>
    <row r="68" spans="1:9" ht="21.75" customHeight="1">
      <c r="A68" s="1882" t="s">
        <v>6026</v>
      </c>
      <c r="B68" s="1711" t="s">
        <v>5678</v>
      </c>
      <c r="C68" s="1710" t="s">
        <v>1002</v>
      </c>
      <c r="D68" s="1576">
        <v>9.4799999999999986</v>
      </c>
      <c r="E68" s="1531">
        <f>+'APU PTAP'!B493</f>
        <v>45955</v>
      </c>
      <c r="F68" s="1531">
        <f t="shared" si="1"/>
        <v>435653</v>
      </c>
      <c r="G68" s="61"/>
    </row>
    <row r="69" spans="1:9" ht="21.75" customHeight="1">
      <c r="A69" s="1882" t="s">
        <v>6027</v>
      </c>
      <c r="B69" s="1711" t="s">
        <v>6333</v>
      </c>
      <c r="C69" s="1710" t="s">
        <v>1292</v>
      </c>
      <c r="D69" s="1576">
        <v>4.32</v>
      </c>
      <c r="E69" s="1531">
        <f>+'APU LINEAS IMPULSIÓN'!B88</f>
        <v>1826.1904761904761</v>
      </c>
      <c r="F69" s="1531">
        <f t="shared" si="1"/>
        <v>7889</v>
      </c>
      <c r="G69" s="61"/>
    </row>
    <row r="70" spans="1:9" ht="26.25" customHeight="1">
      <c r="A70" s="1740"/>
      <c r="B70" s="1533" t="s">
        <v>5681</v>
      </c>
      <c r="C70" s="1734"/>
      <c r="D70" s="1735"/>
      <c r="E70" s="1736"/>
      <c r="F70" s="1741"/>
      <c r="G70" s="61"/>
    </row>
    <row r="71" spans="1:9" ht="33.75" customHeight="1">
      <c r="A71" s="1882" t="s">
        <v>6028</v>
      </c>
      <c r="B71" s="1711" t="s">
        <v>6622</v>
      </c>
      <c r="C71" s="1710" t="s">
        <v>45</v>
      </c>
      <c r="D71" s="1576">
        <v>26.5</v>
      </c>
      <c r="E71" s="1531">
        <f>+'APU PTAP'!B501</f>
        <v>8098</v>
      </c>
      <c r="F71" s="1531">
        <f t="shared" si="1"/>
        <v>214597</v>
      </c>
      <c r="G71" s="61"/>
    </row>
    <row r="72" spans="1:9" ht="29.25" customHeight="1">
      <c r="A72" s="1882" t="s">
        <v>6029</v>
      </c>
      <c r="B72" s="1711" t="s">
        <v>6625</v>
      </c>
      <c r="C72" s="1710" t="s">
        <v>1002</v>
      </c>
      <c r="D72" s="1576">
        <v>16.047999999999998</v>
      </c>
      <c r="E72" s="1531">
        <f>+'APU PTAP'!B516</f>
        <v>9507</v>
      </c>
      <c r="F72" s="1531">
        <f t="shared" si="1"/>
        <v>152568</v>
      </c>
      <c r="G72" s="61"/>
    </row>
    <row r="73" spans="1:9" ht="20.25" customHeight="1">
      <c r="A73" s="1882" t="s">
        <v>6030</v>
      </c>
      <c r="B73" s="1711" t="s">
        <v>6964</v>
      </c>
      <c r="C73" s="1710" t="s">
        <v>363</v>
      </c>
      <c r="D73" s="1576">
        <v>2</v>
      </c>
      <c r="E73" s="1531">
        <f>+'APU PTAP'!B531</f>
        <v>34330</v>
      </c>
      <c r="F73" s="1531">
        <f t="shared" si="1"/>
        <v>68660</v>
      </c>
      <c r="G73" s="61"/>
    </row>
    <row r="74" spans="1:9" ht="32.25" customHeight="1">
      <c r="A74" s="1882" t="s">
        <v>6031</v>
      </c>
      <c r="B74" s="1711" t="s">
        <v>6968</v>
      </c>
      <c r="C74" s="1710" t="s">
        <v>363</v>
      </c>
      <c r="D74" s="1576">
        <v>1</v>
      </c>
      <c r="E74" s="1531">
        <f>+'APU PTAP'!B548</f>
        <v>45773</v>
      </c>
      <c r="F74" s="1531">
        <f t="shared" si="1"/>
        <v>45773</v>
      </c>
      <c r="G74" s="61"/>
    </row>
    <row r="75" spans="1:9" ht="26.25" customHeight="1">
      <c r="A75" s="1740"/>
      <c r="B75" s="1533" t="s">
        <v>5680</v>
      </c>
      <c r="C75" s="1734"/>
      <c r="D75" s="1735"/>
      <c r="E75" s="1736"/>
      <c r="F75" s="1741"/>
      <c r="G75" s="61"/>
    </row>
    <row r="76" spans="1:9" ht="32.25" customHeight="1">
      <c r="A76" s="1882" t="s">
        <v>6032</v>
      </c>
      <c r="B76" s="1711" t="s">
        <v>6623</v>
      </c>
      <c r="C76" s="1710" t="s">
        <v>45</v>
      </c>
      <c r="D76" s="1576">
        <f>+D71</f>
        <v>26.5</v>
      </c>
      <c r="E76" s="1531">
        <f>+'APU PTAP'!B508</f>
        <v>76780</v>
      </c>
      <c r="F76" s="1531">
        <f t="shared" si="1"/>
        <v>2034670</v>
      </c>
      <c r="G76" s="61"/>
    </row>
    <row r="77" spans="1:9" ht="26.25" customHeight="1">
      <c r="A77" s="1882" t="s">
        <v>6033</v>
      </c>
      <c r="B77" s="1711" t="s">
        <v>6961</v>
      </c>
      <c r="C77" s="1710" t="s">
        <v>1002</v>
      </c>
      <c r="D77" s="1576">
        <f t="shared" ref="D77:D79" si="2">+D72</f>
        <v>16.047999999999998</v>
      </c>
      <c r="E77" s="1531">
        <f>+'APU PTAP'!B523</f>
        <v>120905</v>
      </c>
      <c r="F77" s="1531">
        <f t="shared" si="1"/>
        <v>1940283</v>
      </c>
      <c r="G77" s="61"/>
    </row>
    <row r="78" spans="1:9" ht="19.5" customHeight="1">
      <c r="A78" s="1882" t="s">
        <v>6034</v>
      </c>
      <c r="B78" s="1711" t="s">
        <v>6962</v>
      </c>
      <c r="C78" s="1710" t="s">
        <v>363</v>
      </c>
      <c r="D78" s="1576">
        <f t="shared" si="2"/>
        <v>2</v>
      </c>
      <c r="E78" s="1531">
        <f>+'APU PTAP'!B540</f>
        <v>442285</v>
      </c>
      <c r="F78" s="1531">
        <f t="shared" si="1"/>
        <v>884570</v>
      </c>
      <c r="G78" s="61"/>
    </row>
    <row r="79" spans="1:9" ht="29.25" customHeight="1">
      <c r="A79" s="1882" t="s">
        <v>6035</v>
      </c>
      <c r="B79" s="1711" t="s">
        <v>6965</v>
      </c>
      <c r="C79" s="1710" t="s">
        <v>363</v>
      </c>
      <c r="D79" s="1576">
        <f t="shared" si="2"/>
        <v>1</v>
      </c>
      <c r="E79" s="1531">
        <f>+'APU PTAP'!B556</f>
        <v>1758270</v>
      </c>
      <c r="F79" s="1531">
        <f>ROUND(D79*E79,0)</f>
        <v>1758270</v>
      </c>
      <c r="G79" s="61"/>
    </row>
    <row r="80" spans="1:9">
      <c r="A80" s="1003" t="s">
        <v>5841</v>
      </c>
      <c r="B80" s="1533" t="s">
        <v>4771</v>
      </c>
      <c r="C80" s="1734"/>
      <c r="D80" s="1735"/>
      <c r="E80" s="1736"/>
      <c r="F80" s="2364">
        <f>SUM(F81:F92)</f>
        <v>45821728</v>
      </c>
    </row>
    <row r="81" spans="1:6" s="61" customFormat="1" ht="33.6">
      <c r="A81" s="1882" t="s">
        <v>5842</v>
      </c>
      <c r="B81" s="1711" t="s">
        <v>7068</v>
      </c>
      <c r="C81" s="1730" t="s">
        <v>133</v>
      </c>
      <c r="D81" s="1576">
        <v>7</v>
      </c>
      <c r="E81" s="1531">
        <f>+'APU PTAP'!B568</f>
        <v>350591</v>
      </c>
      <c r="F81" s="1531">
        <f t="shared" si="1"/>
        <v>2454137</v>
      </c>
    </row>
    <row r="82" spans="1:6" s="61" customFormat="1">
      <c r="A82" s="1882" t="s">
        <v>6036</v>
      </c>
      <c r="B82" s="2258" t="s">
        <v>6674</v>
      </c>
      <c r="C82" s="2259" t="s">
        <v>133</v>
      </c>
      <c r="D82" s="2260">
        <v>2</v>
      </c>
      <c r="E82" s="2257">
        <f>+'APU PTAP'!B584</f>
        <v>90630</v>
      </c>
      <c r="F82" s="1531">
        <f t="shared" si="1"/>
        <v>181260</v>
      </c>
    </row>
    <row r="83" spans="1:6" s="61" customFormat="1" ht="50.4">
      <c r="A83" s="1882" t="s">
        <v>6037</v>
      </c>
      <c r="B83" s="2258" t="s">
        <v>4774</v>
      </c>
      <c r="C83" s="2259" t="s">
        <v>133</v>
      </c>
      <c r="D83" s="2260">
        <v>14</v>
      </c>
      <c r="E83" s="2257">
        <f>+'APU PTAP'!B600</f>
        <v>1087456</v>
      </c>
      <c r="F83" s="1531">
        <f t="shared" si="1"/>
        <v>15224384</v>
      </c>
    </row>
    <row r="84" spans="1:6" s="61" customFormat="1" ht="50.4">
      <c r="A84" s="1882" t="s">
        <v>6038</v>
      </c>
      <c r="B84" s="2258" t="s">
        <v>4775</v>
      </c>
      <c r="C84" s="2259" t="s">
        <v>133</v>
      </c>
      <c r="D84" s="2260">
        <v>3</v>
      </c>
      <c r="E84" s="2257">
        <f>+'APU PTAP'!B615</f>
        <v>1914535</v>
      </c>
      <c r="F84" s="1531">
        <f t="shared" si="1"/>
        <v>5743605</v>
      </c>
    </row>
    <row r="85" spans="1:6" s="61" customFormat="1" ht="50.4">
      <c r="A85" s="1882" t="s">
        <v>6039</v>
      </c>
      <c r="B85" s="2258" t="s">
        <v>4776</v>
      </c>
      <c r="C85" s="2259" t="s">
        <v>133</v>
      </c>
      <c r="D85" s="2260">
        <v>12</v>
      </c>
      <c r="E85" s="2257">
        <f>+'APU PTAP'!B630</f>
        <v>1087456</v>
      </c>
      <c r="F85" s="1531">
        <f t="shared" si="1"/>
        <v>13049472</v>
      </c>
    </row>
    <row r="86" spans="1:6" s="61" customFormat="1" ht="33.6">
      <c r="A86" s="1882" t="s">
        <v>6040</v>
      </c>
      <c r="B86" s="2258" t="s">
        <v>7069</v>
      </c>
      <c r="C86" s="2259" t="s">
        <v>133</v>
      </c>
      <c r="D86" s="2260">
        <v>6</v>
      </c>
      <c r="E86" s="2257">
        <f>+'APU PTAP'!B647</f>
        <v>761222</v>
      </c>
      <c r="F86" s="1531">
        <f t="shared" si="1"/>
        <v>4567332</v>
      </c>
    </row>
    <row r="87" spans="1:6" s="61" customFormat="1" ht="19.5" customHeight="1">
      <c r="A87" s="1882" t="s">
        <v>6041</v>
      </c>
      <c r="B87" s="2258" t="s">
        <v>7070</v>
      </c>
      <c r="C87" s="2259" t="s">
        <v>133</v>
      </c>
      <c r="D87" s="2260">
        <v>3</v>
      </c>
      <c r="E87" s="2257">
        <f>+'APU PTAP'!B663</f>
        <v>144184</v>
      </c>
      <c r="F87" s="1531">
        <f t="shared" si="1"/>
        <v>432552</v>
      </c>
    </row>
    <row r="88" spans="1:6" s="61" customFormat="1">
      <c r="A88" s="1882" t="s">
        <v>6042</v>
      </c>
      <c r="B88" s="2258" t="s">
        <v>6672</v>
      </c>
      <c r="C88" s="2259" t="s">
        <v>133</v>
      </c>
      <c r="D88" s="2260">
        <v>3</v>
      </c>
      <c r="E88" s="2257">
        <f>+'APU PTAP'!B679</f>
        <v>112601</v>
      </c>
      <c r="F88" s="1531">
        <f t="shared" si="1"/>
        <v>337803</v>
      </c>
    </row>
    <row r="89" spans="1:6" s="61" customFormat="1">
      <c r="A89" s="1882" t="s">
        <v>6043</v>
      </c>
      <c r="B89" s="2258" t="s">
        <v>6679</v>
      </c>
      <c r="C89" s="2259" t="s">
        <v>133</v>
      </c>
      <c r="D89" s="2260">
        <v>5</v>
      </c>
      <c r="E89" s="2257">
        <f>+'APU PTAP'!B695</f>
        <v>240307</v>
      </c>
      <c r="F89" s="1531">
        <f t="shared" si="1"/>
        <v>1201535</v>
      </c>
    </row>
    <row r="90" spans="1:6" ht="18.75" customHeight="1">
      <c r="A90" s="1882" t="s">
        <v>6044</v>
      </c>
      <c r="B90" s="1711" t="s">
        <v>7072</v>
      </c>
      <c r="C90" s="1730" t="s">
        <v>133</v>
      </c>
      <c r="D90" s="1576">
        <v>7</v>
      </c>
      <c r="E90" s="1531">
        <f>+'APU PTAP'!B711</f>
        <v>171648</v>
      </c>
      <c r="F90" s="1531">
        <f t="shared" si="1"/>
        <v>1201536</v>
      </c>
    </row>
    <row r="91" spans="1:6" ht="13.5" customHeight="1">
      <c r="A91" s="1882" t="s">
        <v>6045</v>
      </c>
      <c r="B91" s="1711" t="s">
        <v>7073</v>
      </c>
      <c r="C91" s="1730" t="s">
        <v>133</v>
      </c>
      <c r="D91" s="1576">
        <v>2</v>
      </c>
      <c r="E91" s="1531">
        <f>+'APU PTAP'!B727</f>
        <v>192246</v>
      </c>
      <c r="F91" s="1531">
        <f t="shared" si="1"/>
        <v>384492</v>
      </c>
    </row>
    <row r="92" spans="1:6" ht="17.25" customHeight="1">
      <c r="A92" s="1882" t="s">
        <v>6046</v>
      </c>
      <c r="B92" s="1711" t="s">
        <v>7071</v>
      </c>
      <c r="C92" s="1730" t="s">
        <v>133</v>
      </c>
      <c r="D92" s="1576">
        <v>4</v>
      </c>
      <c r="E92" s="1531">
        <f>+'APU PTAP'!B743</f>
        <v>260905</v>
      </c>
      <c r="F92" s="1531">
        <f t="shared" si="1"/>
        <v>1043620</v>
      </c>
    </row>
    <row r="93" spans="1:6">
      <c r="A93" s="1003" t="s">
        <v>5843</v>
      </c>
      <c r="B93" s="1533" t="s">
        <v>4802</v>
      </c>
      <c r="C93" s="1734"/>
      <c r="D93" s="1735"/>
      <c r="E93" s="1736"/>
      <c r="F93" s="2365">
        <f>+SUM(F94:F96)</f>
        <v>1181403</v>
      </c>
    </row>
    <row r="94" spans="1:6" ht="50.4">
      <c r="A94" s="1882" t="s">
        <v>5844</v>
      </c>
      <c r="B94" s="1711" t="s">
        <v>7943</v>
      </c>
      <c r="C94" s="1528" t="s">
        <v>45</v>
      </c>
      <c r="D94" s="1576">
        <v>100</v>
      </c>
      <c r="E94" s="1531">
        <f>+'APU PTAP'!B762</f>
        <v>6866</v>
      </c>
      <c r="F94" s="1531">
        <f t="shared" si="1"/>
        <v>686600</v>
      </c>
    </row>
    <row r="95" spans="1:6" ht="33.6">
      <c r="A95" s="1882" t="s">
        <v>6047</v>
      </c>
      <c r="B95" s="1711" t="s">
        <v>6980</v>
      </c>
      <c r="C95" s="1528" t="s">
        <v>133</v>
      </c>
      <c r="D95" s="1576">
        <v>8</v>
      </c>
      <c r="E95" s="1531">
        <f>+'APU PTAP'!B777</f>
        <v>60420</v>
      </c>
      <c r="F95" s="1531">
        <f t="shared" si="1"/>
        <v>483360</v>
      </c>
    </row>
    <row r="96" spans="1:6" ht="33.6">
      <c r="A96" s="1882" t="s">
        <v>6048</v>
      </c>
      <c r="B96" s="1711" t="s">
        <v>6984</v>
      </c>
      <c r="C96" s="1528" t="s">
        <v>133</v>
      </c>
      <c r="D96" s="1576">
        <v>1</v>
      </c>
      <c r="E96" s="1531">
        <f>+'APU PTAP'!B792</f>
        <v>11443</v>
      </c>
      <c r="F96" s="1531">
        <f t="shared" si="1"/>
        <v>11443</v>
      </c>
    </row>
    <row r="97" spans="1:7">
      <c r="A97" s="1003" t="s">
        <v>5845</v>
      </c>
      <c r="B97" s="1533" t="s">
        <v>8226</v>
      </c>
      <c r="C97" s="1734"/>
      <c r="D97" s="1735"/>
      <c r="E97" s="1736"/>
      <c r="F97" s="2365">
        <f>+SUM(F98:F100)</f>
        <v>45851440</v>
      </c>
    </row>
    <row r="98" spans="1:7" s="61" customFormat="1">
      <c r="A98" s="1882" t="s">
        <v>5846</v>
      </c>
      <c r="B98" s="1711" t="s">
        <v>6988</v>
      </c>
      <c r="C98" s="1528" t="s">
        <v>133</v>
      </c>
      <c r="D98" s="1576">
        <v>36</v>
      </c>
      <c r="E98" s="1531">
        <f>+'APU PTAP'!B811</f>
        <v>473748.34456403996</v>
      </c>
      <c r="F98" s="1731">
        <f>+ROUND(D98*E98,0)</f>
        <v>17054940</v>
      </c>
    </row>
    <row r="99" spans="1:7" s="61" customFormat="1" ht="33.6">
      <c r="A99" s="1882" t="s">
        <v>5847</v>
      </c>
      <c r="B99" s="1711" t="s">
        <v>5641</v>
      </c>
      <c r="C99" s="1528" t="s">
        <v>133</v>
      </c>
      <c r="D99" s="1576">
        <v>2</v>
      </c>
      <c r="E99" s="1531">
        <f>+'APU PTAP'!B828</f>
        <v>1833620.1159217199</v>
      </c>
      <c r="F99" s="1731">
        <f t="shared" ref="F99:F100" si="3">+ROUND(D99*E99,0)</f>
        <v>3667240</v>
      </c>
    </row>
    <row r="100" spans="1:7" ht="50.4">
      <c r="A100" s="1882" t="s">
        <v>5848</v>
      </c>
      <c r="B100" s="1711" t="s">
        <v>4725</v>
      </c>
      <c r="C100" s="1528" t="s">
        <v>133</v>
      </c>
      <c r="D100" s="1576">
        <v>10</v>
      </c>
      <c r="E100" s="1531">
        <f>+'APU PTAP'!B844</f>
        <v>2512926.0016005598</v>
      </c>
      <c r="F100" s="1731">
        <f t="shared" si="3"/>
        <v>25129260</v>
      </c>
    </row>
    <row r="101" spans="1:7">
      <c r="A101" s="1003" t="s">
        <v>5850</v>
      </c>
      <c r="B101" s="1533" t="s">
        <v>5096</v>
      </c>
      <c r="C101" s="1734"/>
      <c r="D101" s="1735"/>
      <c r="E101" s="1736"/>
      <c r="F101" s="2365">
        <f>+SUM(F102:F113)</f>
        <v>113271880</v>
      </c>
    </row>
    <row r="102" spans="1:7" s="61" customFormat="1" ht="33.6">
      <c r="A102" s="1882" t="s">
        <v>5851</v>
      </c>
      <c r="B102" s="1711" t="s">
        <v>6998</v>
      </c>
      <c r="C102" s="1710" t="s">
        <v>133</v>
      </c>
      <c r="D102" s="1576">
        <v>12</v>
      </c>
      <c r="E102" s="1531">
        <f>+'APU PTAP'!B862</f>
        <v>810178</v>
      </c>
      <c r="F102" s="1531">
        <f t="shared" ref="F102:F106" si="4">+ROUND(D102*E102,0)</f>
        <v>9722136</v>
      </c>
    </row>
    <row r="103" spans="1:7" s="61" customFormat="1" ht="33.6">
      <c r="A103" s="1882" t="s">
        <v>5852</v>
      </c>
      <c r="B103" s="1711" t="s">
        <v>7001</v>
      </c>
      <c r="C103" s="1710" t="s">
        <v>133</v>
      </c>
      <c r="D103" s="1576">
        <v>16</v>
      </c>
      <c r="E103" s="1531">
        <f>+'APU PTAP'!B877</f>
        <v>707190</v>
      </c>
      <c r="F103" s="1531">
        <f t="shared" si="4"/>
        <v>11315040</v>
      </c>
    </row>
    <row r="104" spans="1:7" s="61" customFormat="1" ht="33.6">
      <c r="A104" s="1882" t="s">
        <v>5853</v>
      </c>
      <c r="B104" s="1711" t="s">
        <v>7005</v>
      </c>
      <c r="C104" s="1710" t="s">
        <v>133</v>
      </c>
      <c r="D104" s="1576">
        <v>48</v>
      </c>
      <c r="E104" s="1531">
        <f>+'APU PTAP'!B892</f>
        <v>631664</v>
      </c>
      <c r="F104" s="1531">
        <f t="shared" si="4"/>
        <v>30319872</v>
      </c>
    </row>
    <row r="105" spans="1:7" s="61" customFormat="1" ht="33.6">
      <c r="A105" s="1882" t="s">
        <v>5854</v>
      </c>
      <c r="B105" s="1711" t="s">
        <v>7010</v>
      </c>
      <c r="C105" s="1710" t="s">
        <v>133</v>
      </c>
      <c r="D105" s="1576">
        <v>24</v>
      </c>
      <c r="E105" s="1531">
        <f>+'APU PTAP'!B908</f>
        <v>2100971</v>
      </c>
      <c r="F105" s="1531">
        <f t="shared" si="4"/>
        <v>50423304</v>
      </c>
    </row>
    <row r="106" spans="1:7" s="61" customFormat="1">
      <c r="A106" s="1882" t="s">
        <v>5855</v>
      </c>
      <c r="B106" s="1711" t="s">
        <v>7030</v>
      </c>
      <c r="C106" s="1710" t="s">
        <v>133</v>
      </c>
      <c r="D106" s="1576">
        <v>240</v>
      </c>
      <c r="E106" s="1531">
        <f>+'APU PTAP'!B924</f>
        <v>25848</v>
      </c>
      <c r="F106" s="1531">
        <f t="shared" si="4"/>
        <v>6203520</v>
      </c>
    </row>
    <row r="107" spans="1:7">
      <c r="A107" s="1882" t="s">
        <v>5856</v>
      </c>
      <c r="B107" s="1711" t="s">
        <v>7033</v>
      </c>
      <c r="C107" s="1710" t="s">
        <v>133</v>
      </c>
      <c r="D107" s="1576">
        <v>14</v>
      </c>
      <c r="E107" s="1531">
        <f>+'APU PTAP'!B939</f>
        <v>2746</v>
      </c>
      <c r="F107" s="1531">
        <f t="shared" ref="F107:F112" si="5">+ROUND(D107*E107,0)</f>
        <v>38444</v>
      </c>
      <c r="G107" s="61"/>
    </row>
    <row r="108" spans="1:7" ht="33.6">
      <c r="A108" s="1882" t="s">
        <v>5857</v>
      </c>
      <c r="B108" s="1711" t="s">
        <v>7035</v>
      </c>
      <c r="C108" s="1710" t="s">
        <v>1002</v>
      </c>
      <c r="D108" s="1576">
        <v>50</v>
      </c>
      <c r="E108" s="1531">
        <f>+'APU PTAP'!B955</f>
        <v>54927</v>
      </c>
      <c r="F108" s="1531">
        <f t="shared" si="5"/>
        <v>2746350</v>
      </c>
      <c r="G108" s="61"/>
    </row>
    <row r="109" spans="1:7">
      <c r="A109" s="1882" t="s">
        <v>6049</v>
      </c>
      <c r="B109" s="1711" t="s">
        <v>7015</v>
      </c>
      <c r="C109" s="1710" t="s">
        <v>1292</v>
      </c>
      <c r="D109" s="1576">
        <f>0.4*2.7*3.4*4</f>
        <v>14.688000000000001</v>
      </c>
      <c r="E109" s="1531">
        <f>+'APU PTAP'!B970</f>
        <v>17165</v>
      </c>
      <c r="F109" s="1531">
        <f t="shared" si="5"/>
        <v>252120</v>
      </c>
      <c r="G109" s="61"/>
    </row>
    <row r="110" spans="1:7">
      <c r="A110" s="1882" t="s">
        <v>6050</v>
      </c>
      <c r="B110" s="1711" t="s">
        <v>7021</v>
      </c>
      <c r="C110" s="1710" t="s">
        <v>1292</v>
      </c>
      <c r="D110" s="1576">
        <f>0.25*2.7*3.4*4</f>
        <v>9.18</v>
      </c>
      <c r="E110" s="1531">
        <f>+'APU PTAP'!B985</f>
        <v>18309</v>
      </c>
      <c r="F110" s="1531">
        <f t="shared" si="5"/>
        <v>168077</v>
      </c>
      <c r="G110" s="61"/>
    </row>
    <row r="111" spans="1:7">
      <c r="A111" s="1882" t="s">
        <v>6051</v>
      </c>
      <c r="B111" s="1711" t="s">
        <v>7027</v>
      </c>
      <c r="C111" s="1710" t="s">
        <v>1292</v>
      </c>
      <c r="D111" s="1576">
        <v>6.5</v>
      </c>
      <c r="E111" s="1531">
        <f>+'APU PTAP'!B1000</f>
        <v>19617</v>
      </c>
      <c r="F111" s="1531">
        <f t="shared" si="5"/>
        <v>127511</v>
      </c>
      <c r="G111" s="61"/>
    </row>
    <row r="112" spans="1:7" s="61" customFormat="1">
      <c r="A112" s="1882" t="s">
        <v>6052</v>
      </c>
      <c r="B112" s="1711" t="s">
        <v>4810</v>
      </c>
      <c r="C112" s="1710" t="s">
        <v>45</v>
      </c>
      <c r="D112" s="1576">
        <v>346</v>
      </c>
      <c r="E112" s="1531">
        <f>+'APU PTAP'!B1015</f>
        <v>5493</v>
      </c>
      <c r="F112" s="1531">
        <f t="shared" si="5"/>
        <v>1900578</v>
      </c>
    </row>
    <row r="113" spans="1:7">
      <c r="A113" s="1882" t="s">
        <v>6053</v>
      </c>
      <c r="B113" s="1711" t="s">
        <v>5638</v>
      </c>
      <c r="C113" s="1710" t="s">
        <v>133</v>
      </c>
      <c r="D113" s="1576">
        <v>2</v>
      </c>
      <c r="E113" s="1531">
        <f>+'APU PTAP'!B1030</f>
        <v>27464</v>
      </c>
      <c r="F113" s="1531">
        <f>+ROUND(D113*E113,0)</f>
        <v>54928</v>
      </c>
      <c r="G113" s="1883">
        <f>+F101+F97+F93+F80+F46+F37+F35+F33+F31+F29+F12+F9</f>
        <v>351020042</v>
      </c>
    </row>
    <row r="114" spans="1:7" ht="34.5" customHeight="1">
      <c r="A114" s="3846" t="s">
        <v>5045</v>
      </c>
      <c r="B114" s="3846"/>
      <c r="C114" s="3846"/>
      <c r="D114" s="3846"/>
      <c r="E114" s="3847"/>
      <c r="F114" s="994">
        <f>+SUM(F102:F113,F98:F100,F94:F96,F81:F92,F48:F79,F38:F45,F36,F34,F32,F30:F30,F13:F28,F10:F11)</f>
        <v>351020042</v>
      </c>
      <c r="G114" s="2361">
        <f>+CONSOLIDADO!G146</f>
        <v>351020042</v>
      </c>
    </row>
    <row r="115" spans="1:7">
      <c r="A115" s="3846" t="s">
        <v>5046</v>
      </c>
      <c r="B115" s="3846"/>
      <c r="C115" s="3846"/>
      <c r="D115" s="3847"/>
      <c r="E115" s="2202">
        <f>+AIU</f>
        <v>0.29572249606750989</v>
      </c>
      <c r="F115" s="994">
        <f>ROUND(+F114*E115,0)</f>
        <v>103804523</v>
      </c>
    </row>
    <row r="116" spans="1:7">
      <c r="A116" s="3846" t="s">
        <v>8713</v>
      </c>
      <c r="B116" s="3846"/>
      <c r="C116" s="3846"/>
      <c r="D116" s="3847"/>
      <c r="E116" s="2386">
        <f>+'PRESUPUESTO-INTERV'!J50</f>
        <v>0.16163254000625432</v>
      </c>
      <c r="F116" s="994">
        <f>ROUND(E116*(F115+F114),0)</f>
        <v>73514450</v>
      </c>
    </row>
    <row r="117" spans="1:7">
      <c r="A117" s="3846" t="s">
        <v>8544</v>
      </c>
      <c r="B117" s="3846"/>
      <c r="C117" s="3846"/>
      <c r="D117" s="3847"/>
      <c r="E117" s="984">
        <v>0.02</v>
      </c>
      <c r="F117" s="994">
        <f>ROUND(E117*(F114+F115),0)</f>
        <v>9096491</v>
      </c>
    </row>
    <row r="118" spans="1:7">
      <c r="A118" s="3846" t="s">
        <v>5047</v>
      </c>
      <c r="B118" s="3846"/>
      <c r="C118" s="3846"/>
      <c r="D118" s="3846"/>
      <c r="E118" s="3847"/>
      <c r="F118" s="994">
        <f>SUM(F114:F117)</f>
        <v>537435506</v>
      </c>
    </row>
    <row r="119" spans="1:7">
      <c r="A119" s="1021"/>
      <c r="B119" s="3931" t="s">
        <v>3853</v>
      </c>
      <c r="C119" s="3931"/>
      <c r="D119" s="3931"/>
      <c r="E119" s="3931"/>
      <c r="F119" s="1535"/>
    </row>
    <row r="120" spans="1:7" ht="16.8">
      <c r="A120" s="1875" t="s">
        <v>5858</v>
      </c>
      <c r="B120" s="1536" t="s">
        <v>4770</v>
      </c>
      <c r="C120" s="1772"/>
      <c r="D120" s="1773"/>
      <c r="E120" s="1774"/>
      <c r="F120" s="2248">
        <f>SUM(F121:F132)</f>
        <v>308584641</v>
      </c>
    </row>
    <row r="121" spans="1:7" s="61" customFormat="1" ht="29.25" customHeight="1">
      <c r="A121" s="1737" t="s">
        <v>5859</v>
      </c>
      <c r="B121" s="1711" t="s">
        <v>7057</v>
      </c>
      <c r="C121" s="1730" t="s">
        <v>133</v>
      </c>
      <c r="D121" s="1576">
        <f t="shared" ref="D121:D132" si="6">+D81</f>
        <v>7</v>
      </c>
      <c r="E121" s="1531">
        <f>+'APU PTAP'!B576</f>
        <v>2322007</v>
      </c>
      <c r="F121" s="1531">
        <f t="shared" ref="F121:F132" si="7">ROUND(D121*E121,0)</f>
        <v>16254049</v>
      </c>
    </row>
    <row r="122" spans="1:7" s="61" customFormat="1" ht="24.75" customHeight="1">
      <c r="A122" s="1737" t="s">
        <v>5860</v>
      </c>
      <c r="B122" s="2258" t="s">
        <v>6673</v>
      </c>
      <c r="C122" s="2259" t="s">
        <v>133</v>
      </c>
      <c r="D122" s="2260">
        <f t="shared" si="6"/>
        <v>2</v>
      </c>
      <c r="E122" s="2257">
        <f>+'APU PTAP'!B592</f>
        <v>606100</v>
      </c>
      <c r="F122" s="1531">
        <f t="shared" si="7"/>
        <v>1212200</v>
      </c>
    </row>
    <row r="123" spans="1:7" s="61" customFormat="1" ht="41.25" customHeight="1">
      <c r="A123" s="1737" t="s">
        <v>5861</v>
      </c>
      <c r="B123" s="1711" t="s">
        <v>4786</v>
      </c>
      <c r="C123" s="1730" t="s">
        <v>133</v>
      </c>
      <c r="D123" s="1576">
        <f t="shared" si="6"/>
        <v>14</v>
      </c>
      <c r="E123" s="1531">
        <f>+'APU PTAP'!B607</f>
        <v>7129440</v>
      </c>
      <c r="F123" s="1531">
        <f t="shared" si="7"/>
        <v>99812160</v>
      </c>
    </row>
    <row r="124" spans="1:7" s="61" customFormat="1" ht="42.75" customHeight="1">
      <c r="A124" s="1737" t="s">
        <v>8194</v>
      </c>
      <c r="B124" s="1711" t="s">
        <v>4787</v>
      </c>
      <c r="C124" s="1730" t="s">
        <v>133</v>
      </c>
      <c r="D124" s="1576">
        <f t="shared" si="6"/>
        <v>3</v>
      </c>
      <c r="E124" s="1531">
        <f>+'APU PTAP'!B622</f>
        <v>12724302</v>
      </c>
      <c r="F124" s="1531">
        <f t="shared" si="7"/>
        <v>38172906</v>
      </c>
    </row>
    <row r="125" spans="1:7" s="61" customFormat="1" ht="45.75" customHeight="1">
      <c r="A125" s="1737" t="s">
        <v>8195</v>
      </c>
      <c r="B125" s="1711" t="s">
        <v>4788</v>
      </c>
      <c r="C125" s="1730" t="s">
        <v>133</v>
      </c>
      <c r="D125" s="1576">
        <f t="shared" si="6"/>
        <v>12</v>
      </c>
      <c r="E125" s="1531">
        <f>+'APU PTAP'!B637</f>
        <v>7656229</v>
      </c>
      <c r="F125" s="1531">
        <f t="shared" si="7"/>
        <v>91874748</v>
      </c>
    </row>
    <row r="126" spans="1:7" s="61" customFormat="1" ht="17.25" customHeight="1">
      <c r="A126" s="1737" t="s">
        <v>8196</v>
      </c>
      <c r="B126" s="1711" t="s">
        <v>7088</v>
      </c>
      <c r="C126" s="1730" t="s">
        <v>133</v>
      </c>
      <c r="D126" s="1576">
        <f t="shared" si="6"/>
        <v>6</v>
      </c>
      <c r="E126" s="1531">
        <f>+'APU PTAP'!B655</f>
        <v>5074528</v>
      </c>
      <c r="F126" s="1531">
        <f t="shared" si="7"/>
        <v>30447168</v>
      </c>
    </row>
    <row r="127" spans="1:7" s="61" customFormat="1" ht="15.75" customHeight="1">
      <c r="A127" s="1737" t="s">
        <v>8197</v>
      </c>
      <c r="B127" s="1711" t="s">
        <v>7102</v>
      </c>
      <c r="C127" s="1730" t="s">
        <v>133</v>
      </c>
      <c r="D127" s="1576">
        <f t="shared" si="6"/>
        <v>3</v>
      </c>
      <c r="E127" s="1531">
        <f>+'APU PTAP'!B671</f>
        <v>958578</v>
      </c>
      <c r="F127" s="1531">
        <f t="shared" si="7"/>
        <v>2875734</v>
      </c>
    </row>
    <row r="128" spans="1:7" s="61" customFormat="1">
      <c r="A128" s="1737" t="s">
        <v>8198</v>
      </c>
      <c r="B128" s="2258" t="s">
        <v>6670</v>
      </c>
      <c r="C128" s="2259" t="s">
        <v>133</v>
      </c>
      <c r="D128" s="2260">
        <f t="shared" si="6"/>
        <v>3</v>
      </c>
      <c r="E128" s="2257">
        <f>+'APU PTAP'!B687</f>
        <v>748000</v>
      </c>
      <c r="F128" s="1531">
        <f t="shared" si="7"/>
        <v>2244000</v>
      </c>
    </row>
    <row r="129" spans="1:6" s="61" customFormat="1">
      <c r="A129" s="1737" t="s">
        <v>8199</v>
      </c>
      <c r="B129" s="2258" t="s">
        <v>6676</v>
      </c>
      <c r="C129" s="2259" t="s">
        <v>133</v>
      </c>
      <c r="D129" s="2260">
        <f t="shared" si="6"/>
        <v>5</v>
      </c>
      <c r="E129" s="2257">
        <f>+'APU PTAP'!B703</f>
        <v>1612400</v>
      </c>
      <c r="F129" s="1531">
        <f t="shared" si="7"/>
        <v>8062000</v>
      </c>
    </row>
    <row r="130" spans="1:6" ht="21" customHeight="1">
      <c r="A130" s="1737" t="s">
        <v>8200</v>
      </c>
      <c r="B130" s="2258" t="s">
        <v>7058</v>
      </c>
      <c r="C130" s="2259" t="s">
        <v>133</v>
      </c>
      <c r="D130" s="2260">
        <f t="shared" si="6"/>
        <v>7</v>
      </c>
      <c r="E130" s="2257">
        <f>+'APU PTAP'!B719</f>
        <v>1134698</v>
      </c>
      <c r="F130" s="1531">
        <f t="shared" si="7"/>
        <v>7942886</v>
      </c>
    </row>
    <row r="131" spans="1:6" ht="17.25" customHeight="1">
      <c r="A131" s="1737" t="s">
        <v>8201</v>
      </c>
      <c r="B131" s="1711" t="s">
        <v>7059</v>
      </c>
      <c r="C131" s="1730" t="s">
        <v>133</v>
      </c>
      <c r="D131" s="1576">
        <f t="shared" si="6"/>
        <v>2</v>
      </c>
      <c r="E131" s="1531">
        <f>+'APU PTAP'!B735</f>
        <v>1278817</v>
      </c>
      <c r="F131" s="1531">
        <f t="shared" si="7"/>
        <v>2557634</v>
      </c>
    </row>
    <row r="132" spans="1:6" ht="18" customHeight="1">
      <c r="A132" s="1737" t="s">
        <v>8202</v>
      </c>
      <c r="B132" s="1711" t="s">
        <v>7060</v>
      </c>
      <c r="C132" s="1730" t="s">
        <v>133</v>
      </c>
      <c r="D132" s="1576">
        <f t="shared" si="6"/>
        <v>4</v>
      </c>
      <c r="E132" s="1531">
        <f>+'APU PTAP'!B751</f>
        <v>1782289</v>
      </c>
      <c r="F132" s="1531">
        <f t="shared" si="7"/>
        <v>7129156</v>
      </c>
    </row>
    <row r="133" spans="1:6" ht="16.8">
      <c r="A133" s="1875" t="s">
        <v>5862</v>
      </c>
      <c r="B133" s="1536" t="s">
        <v>4803</v>
      </c>
      <c r="C133" s="1772"/>
      <c r="D133" s="1773"/>
      <c r="E133" s="1774"/>
      <c r="F133" s="2248">
        <f>SUM(F134:F136)</f>
        <v>25548180</v>
      </c>
    </row>
    <row r="134" spans="1:6" ht="49.5" customHeight="1">
      <c r="A134" s="1737" t="s">
        <v>5863</v>
      </c>
      <c r="B134" s="1711" t="s">
        <v>4812</v>
      </c>
      <c r="C134" s="1528" t="s">
        <v>45</v>
      </c>
      <c r="D134" s="1576">
        <f>+D94</f>
        <v>100</v>
      </c>
      <c r="E134" s="1531">
        <f>+'APU PTAP'!B769</f>
        <v>222650</v>
      </c>
      <c r="F134" s="1531">
        <f t="shared" ref="F134:F136" si="8">ROUND(D134*E134,0)</f>
        <v>22265000</v>
      </c>
    </row>
    <row r="135" spans="1:6" ht="27.75" customHeight="1">
      <c r="A135" s="1737" t="s">
        <v>8192</v>
      </c>
      <c r="B135" s="1711" t="s">
        <v>6977</v>
      </c>
      <c r="C135" s="1528" t="s">
        <v>133</v>
      </c>
      <c r="D135" s="1576">
        <v>8</v>
      </c>
      <c r="E135" s="1531">
        <f>+'APU PTAP'!B784</f>
        <v>401150</v>
      </c>
      <c r="F135" s="1531">
        <f t="shared" si="8"/>
        <v>3209200</v>
      </c>
    </row>
    <row r="136" spans="1:6" ht="41.25" customHeight="1">
      <c r="A136" s="1737" t="s">
        <v>8193</v>
      </c>
      <c r="B136" s="1711" t="s">
        <v>6982</v>
      </c>
      <c r="C136" s="1528" t="s">
        <v>133</v>
      </c>
      <c r="D136" s="1576">
        <v>1</v>
      </c>
      <c r="E136" s="1531">
        <f>+'APU PTAP'!B799</f>
        <v>73980</v>
      </c>
      <c r="F136" s="1531">
        <f t="shared" si="8"/>
        <v>73980</v>
      </c>
    </row>
    <row r="137" spans="1:6" ht="16.8">
      <c r="A137" s="1875" t="s">
        <v>5864</v>
      </c>
      <c r="B137" s="1536" t="s">
        <v>4804</v>
      </c>
      <c r="C137" s="1772"/>
      <c r="D137" s="1773"/>
      <c r="E137" s="1774"/>
      <c r="F137" s="1775">
        <f>+SUM(F138:F140)</f>
        <v>308506760</v>
      </c>
    </row>
    <row r="138" spans="1:6" s="61" customFormat="1" ht="25.5" customHeight="1">
      <c r="A138" s="1737" t="s">
        <v>5865</v>
      </c>
      <c r="B138" s="1711" t="s">
        <v>6985</v>
      </c>
      <c r="C138" s="1528" t="s">
        <v>133</v>
      </c>
      <c r="D138" s="1576">
        <f>+D98</f>
        <v>36</v>
      </c>
      <c r="E138" s="1531">
        <f>+'APU PTAP'!B818</f>
        <v>3157420</v>
      </c>
      <c r="F138" s="1531">
        <f t="shared" ref="F138:F139" si="9">+ROUND(D138*E138,0)</f>
        <v>113667120</v>
      </c>
    </row>
    <row r="139" spans="1:6" s="61" customFormat="1" ht="33" customHeight="1">
      <c r="A139" s="1737" t="s">
        <v>8190</v>
      </c>
      <c r="B139" s="1711" t="s">
        <v>6989</v>
      </c>
      <c r="C139" s="1528" t="s">
        <v>133</v>
      </c>
      <c r="D139" s="1576">
        <f>+D99</f>
        <v>2</v>
      </c>
      <c r="E139" s="1531">
        <f>+'APU PTAP'!B835</f>
        <v>13132000</v>
      </c>
      <c r="F139" s="1531">
        <f t="shared" si="9"/>
        <v>26264000</v>
      </c>
    </row>
    <row r="140" spans="1:6" ht="53.25" customHeight="1">
      <c r="A140" s="1737" t="s">
        <v>8191</v>
      </c>
      <c r="B140" s="1711" t="s">
        <v>6992</v>
      </c>
      <c r="C140" s="1528" t="s">
        <v>133</v>
      </c>
      <c r="D140" s="1576">
        <f>+D100</f>
        <v>10</v>
      </c>
      <c r="E140" s="1531">
        <f>+'APU PTAP'!B851</f>
        <v>16857564</v>
      </c>
      <c r="F140" s="1531">
        <f>+ROUND(D140*E140,0)</f>
        <v>168575640</v>
      </c>
    </row>
    <row r="141" spans="1:6" ht="16.8">
      <c r="A141" s="1875" t="s">
        <v>5868</v>
      </c>
      <c r="B141" s="1536" t="s">
        <v>4807</v>
      </c>
      <c r="C141" s="1772"/>
      <c r="D141" s="1773"/>
      <c r="E141" s="1774"/>
      <c r="F141" s="1775">
        <f>+SUM(F142:F153)</f>
        <v>826024741</v>
      </c>
    </row>
    <row r="142" spans="1:6" s="61" customFormat="1" ht="33.6">
      <c r="A142" s="1737" t="s">
        <v>5869</v>
      </c>
      <c r="B142" s="1711" t="s">
        <v>6996</v>
      </c>
      <c r="C142" s="1710" t="s">
        <v>133</v>
      </c>
      <c r="D142" s="1576">
        <f t="shared" ref="D142:D151" si="10">+D102</f>
        <v>12</v>
      </c>
      <c r="E142" s="1531">
        <f>+'APU PTAP'!B869</f>
        <v>5466385</v>
      </c>
      <c r="F142" s="1531">
        <f t="shared" ref="F142:F152" si="11">+ROUND(D142*E142,0)</f>
        <v>65596620</v>
      </c>
    </row>
    <row r="143" spans="1:6" s="61" customFormat="1" ht="33.6">
      <c r="A143" s="1737" t="s">
        <v>5870</v>
      </c>
      <c r="B143" s="1711" t="s">
        <v>6999</v>
      </c>
      <c r="C143" s="1710" t="s">
        <v>133</v>
      </c>
      <c r="D143" s="1576">
        <f t="shared" si="10"/>
        <v>16</v>
      </c>
      <c r="E143" s="1531">
        <f>+'APU PTAP'!B884</f>
        <v>4687530</v>
      </c>
      <c r="F143" s="1531">
        <f t="shared" si="11"/>
        <v>75000480</v>
      </c>
    </row>
    <row r="144" spans="1:6" s="61" customFormat="1" ht="33.6">
      <c r="A144" s="1737" t="s">
        <v>8180</v>
      </c>
      <c r="B144" s="1711" t="s">
        <v>7002</v>
      </c>
      <c r="C144" s="1710" t="s">
        <v>133</v>
      </c>
      <c r="D144" s="1576">
        <f t="shared" si="10"/>
        <v>48</v>
      </c>
      <c r="E144" s="1531">
        <f>+'APU PTAP'!B899</f>
        <v>4220217</v>
      </c>
      <c r="F144" s="1531">
        <f t="shared" si="11"/>
        <v>202570416</v>
      </c>
    </row>
    <row r="145" spans="1:10" s="61" customFormat="1" ht="33.6">
      <c r="A145" s="1737" t="s">
        <v>8181</v>
      </c>
      <c r="B145" s="1711" t="s">
        <v>7007</v>
      </c>
      <c r="C145" s="1710" t="s">
        <v>133</v>
      </c>
      <c r="D145" s="1576">
        <f t="shared" si="10"/>
        <v>24</v>
      </c>
      <c r="E145" s="1531">
        <f>+'APU PTAP'!B915</f>
        <v>14265840</v>
      </c>
      <c r="F145" s="1531">
        <f t="shared" si="11"/>
        <v>342380160</v>
      </c>
    </row>
    <row r="146" spans="1:10" s="61" customFormat="1">
      <c r="A146" s="1737" t="s">
        <v>8182</v>
      </c>
      <c r="B146" s="1711" t="s">
        <v>7028</v>
      </c>
      <c r="C146" s="1710" t="s">
        <v>133</v>
      </c>
      <c r="D146" s="1576">
        <f t="shared" si="10"/>
        <v>240</v>
      </c>
      <c r="E146" s="1531">
        <f>+'APU PTAP'!B931</f>
        <v>175050</v>
      </c>
      <c r="F146" s="1531">
        <f t="shared" si="11"/>
        <v>42012000</v>
      </c>
    </row>
    <row r="147" spans="1:10">
      <c r="A147" s="1737" t="s">
        <v>8183</v>
      </c>
      <c r="B147" s="1711" t="s">
        <v>7032</v>
      </c>
      <c r="C147" s="1710" t="s">
        <v>133</v>
      </c>
      <c r="D147" s="1576">
        <f t="shared" si="10"/>
        <v>14</v>
      </c>
      <c r="E147" s="1531">
        <f>+'APU PTAP'!B947</f>
        <v>17168</v>
      </c>
      <c r="F147" s="1531">
        <f t="shared" si="11"/>
        <v>240352</v>
      </c>
      <c r="G147" s="61"/>
    </row>
    <row r="148" spans="1:10" ht="40.5" customHeight="1">
      <c r="A148" s="1737" t="s">
        <v>8184</v>
      </c>
      <c r="B148" s="1711" t="s">
        <v>7036</v>
      </c>
      <c r="C148" s="1710" t="s">
        <v>1002</v>
      </c>
      <c r="D148" s="1576">
        <f t="shared" si="10"/>
        <v>50</v>
      </c>
      <c r="E148" s="1531">
        <f>+'APU PTAP'!B962</f>
        <v>666600</v>
      </c>
      <c r="F148" s="1531">
        <f t="shared" si="11"/>
        <v>33330000</v>
      </c>
      <c r="G148" s="61"/>
    </row>
    <row r="149" spans="1:10" ht="21" customHeight="1">
      <c r="A149" s="1737" t="s">
        <v>8185</v>
      </c>
      <c r="B149" s="1711" t="s">
        <v>7012</v>
      </c>
      <c r="C149" s="1710" t="s">
        <v>1292</v>
      </c>
      <c r="D149" s="1576">
        <f t="shared" si="10"/>
        <v>14.688000000000001</v>
      </c>
      <c r="E149" s="1531">
        <f>+'APU PTAP'!B977</f>
        <v>1465311.5999999999</v>
      </c>
      <c r="F149" s="1531">
        <f t="shared" si="11"/>
        <v>21522497</v>
      </c>
      <c r="G149" s="61"/>
    </row>
    <row r="150" spans="1:10" ht="21" customHeight="1">
      <c r="A150" s="1737" t="s">
        <v>8186</v>
      </c>
      <c r="B150" s="1711" t="s">
        <v>7017</v>
      </c>
      <c r="C150" s="1710" t="s">
        <v>1292</v>
      </c>
      <c r="D150" s="1576">
        <f t="shared" si="10"/>
        <v>9.18</v>
      </c>
      <c r="E150" s="1531">
        <f>+'APU PTAP'!B992</f>
        <v>1662584.4450000001</v>
      </c>
      <c r="F150" s="1531">
        <f t="shared" si="11"/>
        <v>15262525</v>
      </c>
      <c r="G150" s="61"/>
    </row>
    <row r="151" spans="1:10" ht="20.25" customHeight="1">
      <c r="A151" s="1737" t="s">
        <v>8187</v>
      </c>
      <c r="B151" s="1711" t="s">
        <v>7022</v>
      </c>
      <c r="C151" s="1710" t="s">
        <v>1292</v>
      </c>
      <c r="D151" s="1576">
        <f t="shared" si="10"/>
        <v>6.5</v>
      </c>
      <c r="E151" s="1531">
        <f>+'APU PTAP'!B1007</f>
        <v>1643811.6</v>
      </c>
      <c r="F151" s="1531">
        <f>+ROUND(D151*E151,0)</f>
        <v>10684775</v>
      </c>
      <c r="G151" s="61"/>
    </row>
    <row r="152" spans="1:10">
      <c r="A152" s="1737" t="s">
        <v>8188</v>
      </c>
      <c r="B152" s="1711" t="s">
        <v>4811</v>
      </c>
      <c r="C152" s="1710" t="s">
        <v>45</v>
      </c>
      <c r="D152" s="1576">
        <f>+D112+43.4388041962837</f>
        <v>389.43880419628368</v>
      </c>
      <c r="E152" s="1531">
        <f>+'APU PTAP'!B1022</f>
        <v>43753</v>
      </c>
      <c r="F152" s="1531">
        <f t="shared" si="11"/>
        <v>17039116</v>
      </c>
      <c r="G152" s="61"/>
      <c r="I152" s="492">
        <v>1900578</v>
      </c>
      <c r="J152" s="492">
        <v>43.438804196283698</v>
      </c>
    </row>
    <row r="153" spans="1:10">
      <c r="A153" s="1737" t="s">
        <v>8189</v>
      </c>
      <c r="B153" s="1711" t="s">
        <v>4817</v>
      </c>
      <c r="C153" s="1710" t="s">
        <v>133</v>
      </c>
      <c r="D153" s="1576">
        <f t="shared" ref="D153" si="12">+D113</f>
        <v>2</v>
      </c>
      <c r="E153" s="1531">
        <f>+'APU PTAP'!B1037</f>
        <v>192900</v>
      </c>
      <c r="F153" s="1531">
        <f>+ROUND(D153*E153,0)</f>
        <v>385800</v>
      </c>
      <c r="G153" s="2804">
        <f>+F141+F137+F133+F120</f>
        <v>1468664322</v>
      </c>
    </row>
    <row r="154" spans="1:10">
      <c r="A154" s="3754" t="s">
        <v>5048</v>
      </c>
      <c r="B154" s="3754"/>
      <c r="C154" s="3754"/>
      <c r="D154" s="3754"/>
      <c r="E154" s="3755"/>
      <c r="F154" s="995">
        <f>+SUM(F142:F153,F138:F140,F134:F136,F121:F132)</f>
        <v>1468664322</v>
      </c>
      <c r="G154" s="2368">
        <f>+F154</f>
        <v>1468664322</v>
      </c>
      <c r="H154" s="2369" t="s">
        <v>8225</v>
      </c>
    </row>
    <row r="155" spans="1:10">
      <c r="A155" s="3754" t="s">
        <v>8716</v>
      </c>
      <c r="B155" s="3754"/>
      <c r="C155" s="3754"/>
      <c r="D155" s="3755"/>
      <c r="E155" s="2217">
        <f>+AIU!H47</f>
        <v>0.18358899999999997</v>
      </c>
      <c r="F155" s="995">
        <f>+ROUND(F154*E155,0)</f>
        <v>269630614</v>
      </c>
    </row>
    <row r="156" spans="1:10">
      <c r="A156" s="3754" t="s">
        <v>8714</v>
      </c>
      <c r="B156" s="3754"/>
      <c r="C156" s="3754"/>
      <c r="D156" s="3755"/>
      <c r="E156" s="989">
        <v>0.01</v>
      </c>
      <c r="F156" s="995">
        <f>ROUND(E156*(F154+F155),0)</f>
        <v>17382949</v>
      </c>
    </row>
    <row r="157" spans="1:10">
      <c r="A157" s="3929" t="s">
        <v>8544</v>
      </c>
      <c r="B157" s="3754"/>
      <c r="C157" s="3754"/>
      <c r="D157" s="3755"/>
      <c r="E157" s="1537">
        <v>0.02</v>
      </c>
      <c r="F157" s="995">
        <f>ROUND(E157*(F154+F155),0)</f>
        <v>34765899</v>
      </c>
    </row>
    <row r="158" spans="1:10">
      <c r="A158" s="3754" t="s">
        <v>5050</v>
      </c>
      <c r="B158" s="3754"/>
      <c r="C158" s="3754"/>
      <c r="D158" s="3754"/>
      <c r="E158" s="3755"/>
      <c r="F158" s="995">
        <f>SUM(F154:F157)</f>
        <v>1790443784</v>
      </c>
    </row>
    <row r="159" spans="1:10" ht="27" customHeight="1">
      <c r="A159" s="3352"/>
      <c r="B159" s="3352"/>
      <c r="C159" s="3352"/>
      <c r="D159" s="3352"/>
      <c r="E159" s="3353"/>
      <c r="F159" s="1538">
        <f>+F118+F254</f>
        <v>1397219062</v>
      </c>
    </row>
    <row r="160" spans="1:10">
      <c r="A160" s="1028"/>
      <c r="B160" s="1539"/>
      <c r="C160" s="1540"/>
      <c r="D160" s="1541"/>
      <c r="E160" s="1542"/>
      <c r="F160" s="1543"/>
    </row>
    <row r="161" spans="1:6" ht="17.25" customHeight="1">
      <c r="A161" s="1832" t="s">
        <v>260</v>
      </c>
      <c r="B161" s="3524" t="s">
        <v>4740</v>
      </c>
      <c r="C161" s="3524"/>
      <c r="D161" s="3524"/>
      <c r="E161" s="3524"/>
      <c r="F161" s="3524"/>
    </row>
    <row r="162" spans="1:6">
      <c r="A162" s="1003" t="s">
        <v>35</v>
      </c>
      <c r="B162" s="1727" t="s">
        <v>1372</v>
      </c>
      <c r="C162" s="1718"/>
      <c r="D162" s="1718"/>
      <c r="E162" s="1718"/>
      <c r="F162" s="2364">
        <f>SUM(F163:F164)</f>
        <v>5523852</v>
      </c>
    </row>
    <row r="163" spans="1:6">
      <c r="A163" s="1729" t="s">
        <v>5786</v>
      </c>
      <c r="B163" s="1711" t="s">
        <v>1373</v>
      </c>
      <c r="C163" s="1730" t="s">
        <v>1125</v>
      </c>
      <c r="D163" s="1576">
        <v>1050</v>
      </c>
      <c r="E163" s="1531">
        <f>+'APU LINEAS IMPULSIÓN'!B17</f>
        <v>2356</v>
      </c>
      <c r="F163" s="1531">
        <f>ROUND(D163*E163,0)</f>
        <v>2473800</v>
      </c>
    </row>
    <row r="164" spans="1:6">
      <c r="A164" s="1729" t="s">
        <v>5919</v>
      </c>
      <c r="B164" s="1711" t="s">
        <v>1374</v>
      </c>
      <c r="C164" s="1730" t="s">
        <v>1125</v>
      </c>
      <c r="D164" s="1576">
        <f>+D163</f>
        <v>1050</v>
      </c>
      <c r="E164" s="1531">
        <f>+'APU PTAP'!B31</f>
        <v>2904.8114772599997</v>
      </c>
      <c r="F164" s="1531">
        <f>ROUND(D164*E164,0)</f>
        <v>3050052</v>
      </c>
    </row>
    <row r="165" spans="1:6">
      <c r="A165" s="1003" t="s">
        <v>1446</v>
      </c>
      <c r="B165" s="1873" t="s">
        <v>4988</v>
      </c>
      <c r="C165" s="1874"/>
      <c r="D165" s="2205"/>
      <c r="E165" s="2205"/>
      <c r="F165" s="2364">
        <f>SUM(F166:F167)</f>
        <v>29633480</v>
      </c>
    </row>
    <row r="166" spans="1:6" s="61" customFormat="1" ht="30.75" customHeight="1">
      <c r="A166" s="1729" t="s">
        <v>1096</v>
      </c>
      <c r="B166" s="258" t="s">
        <v>6327</v>
      </c>
      <c r="C166" s="1730" t="s">
        <v>1292</v>
      </c>
      <c r="D166" s="1576">
        <v>440</v>
      </c>
      <c r="E166" s="1531">
        <f>+'APU LINEAS IMPULSIÓN'!B66</f>
        <v>10000</v>
      </c>
      <c r="F166" s="1531">
        <f>ROUND(D166*E166,0)</f>
        <v>4400000</v>
      </c>
    </row>
    <row r="167" spans="1:6" s="61" customFormat="1" ht="41.25" customHeight="1">
      <c r="A167" s="1729" t="s">
        <v>1097</v>
      </c>
      <c r="B167" s="1415" t="s">
        <v>5063</v>
      </c>
      <c r="C167" s="1730" t="s">
        <v>1292</v>
      </c>
      <c r="D167" s="1576">
        <v>290</v>
      </c>
      <c r="E167" s="1531">
        <f>+'APU LINEAS IMPULSIÓN'!B97</f>
        <v>87012</v>
      </c>
      <c r="F167" s="1531">
        <f>ROUND(D167*E167,0)</f>
        <v>25233480</v>
      </c>
    </row>
    <row r="168" spans="1:6">
      <c r="A168" s="1003" t="s">
        <v>5540</v>
      </c>
      <c r="B168" s="1745" t="s">
        <v>852</v>
      </c>
      <c r="C168" s="1746"/>
      <c r="D168" s="1746"/>
      <c r="E168" s="1746"/>
      <c r="F168" s="2367">
        <f>+SUM(F169:F174)</f>
        <v>496273675</v>
      </c>
    </row>
    <row r="169" spans="1:6" s="61" customFormat="1" ht="33.6">
      <c r="A169" s="1729" t="s">
        <v>1139</v>
      </c>
      <c r="B169" s="1544" t="s">
        <v>5651</v>
      </c>
      <c r="C169" s="471" t="s">
        <v>1292</v>
      </c>
      <c r="D169" s="1750">
        <v>108.324</v>
      </c>
      <c r="E169" s="260">
        <f>+'APU PTAP'!B1055</f>
        <v>716404</v>
      </c>
      <c r="F169" s="1531">
        <f t="shared" ref="F169:F185" si="13">+ROUND(D169*E169,0)</f>
        <v>77603747</v>
      </c>
    </row>
    <row r="170" spans="1:6">
      <c r="A170" s="1729" t="s">
        <v>1140</v>
      </c>
      <c r="B170" s="1544" t="s">
        <v>6660</v>
      </c>
      <c r="C170" s="471" t="s">
        <v>363</v>
      </c>
      <c r="D170" s="1749">
        <v>15</v>
      </c>
      <c r="E170" s="260">
        <f>+'APU PTAP'!B1074</f>
        <v>2438617.5063487096</v>
      </c>
      <c r="F170" s="1531">
        <f t="shared" si="13"/>
        <v>36579263</v>
      </c>
    </row>
    <row r="171" spans="1:6">
      <c r="A171" s="1729" t="s">
        <v>1141</v>
      </c>
      <c r="B171" s="1544" t="s">
        <v>5652</v>
      </c>
      <c r="C171" s="471" t="s">
        <v>1292</v>
      </c>
      <c r="D171" s="1749">
        <v>163.44</v>
      </c>
      <c r="E171" s="260">
        <f>+'APU PTAP'!B1055</f>
        <v>716404</v>
      </c>
      <c r="F171" s="1531">
        <f t="shared" si="13"/>
        <v>117089070</v>
      </c>
    </row>
    <row r="172" spans="1:6">
      <c r="A172" s="1729" t="s">
        <v>1142</v>
      </c>
      <c r="B172" s="1544" t="s">
        <v>5759</v>
      </c>
      <c r="C172" s="471" t="s">
        <v>1292</v>
      </c>
      <c r="D172" s="1749">
        <v>126.4</v>
      </c>
      <c r="E172" s="260">
        <f>+'APU PTAP'!B1055</f>
        <v>716404</v>
      </c>
      <c r="F172" s="1531">
        <f t="shared" si="13"/>
        <v>90553466</v>
      </c>
    </row>
    <row r="173" spans="1:6">
      <c r="A173" s="1729" t="s">
        <v>1143</v>
      </c>
      <c r="B173" s="1544" t="s">
        <v>1383</v>
      </c>
      <c r="C173" s="471" t="s">
        <v>647</v>
      </c>
      <c r="D173" s="1749">
        <v>43456.6</v>
      </c>
      <c r="E173" s="260">
        <f>+'APU LINEAS IMPULSIÓN'!B282</f>
        <v>3938.5941163025</v>
      </c>
      <c r="F173" s="1531">
        <f t="shared" si="13"/>
        <v>171157909</v>
      </c>
    </row>
    <row r="174" spans="1:6" s="61" customFormat="1" ht="33.6">
      <c r="A174" s="1729" t="s">
        <v>1144</v>
      </c>
      <c r="B174" s="1544" t="s">
        <v>4829</v>
      </c>
      <c r="C174" s="471" t="s">
        <v>94</v>
      </c>
      <c r="D174" s="1749">
        <v>12</v>
      </c>
      <c r="E174" s="260">
        <f>+'APU PTAP'!B1091</f>
        <v>274185</v>
      </c>
      <c r="F174" s="1531">
        <f t="shared" si="13"/>
        <v>3290220</v>
      </c>
    </row>
    <row r="175" spans="1:6">
      <c r="A175" s="1003" t="s">
        <v>5541</v>
      </c>
      <c r="B175" s="1745" t="s">
        <v>4830</v>
      </c>
      <c r="C175" s="1746"/>
      <c r="D175" s="1746"/>
      <c r="E175" s="1746"/>
      <c r="F175" s="1754">
        <f>+SUM(F176:F243)</f>
        <v>23949989</v>
      </c>
    </row>
    <row r="176" spans="1:6" ht="50.4">
      <c r="A176" s="1729" t="s">
        <v>1145</v>
      </c>
      <c r="B176" s="1544" t="s">
        <v>7038</v>
      </c>
      <c r="C176" s="471" t="s">
        <v>94</v>
      </c>
      <c r="D176" s="1752">
        <f>6.2*2</f>
        <v>12.4</v>
      </c>
      <c r="E176" s="260">
        <f>+'APU PTAP'!B762</f>
        <v>6866</v>
      </c>
      <c r="F176" s="1531">
        <f t="shared" si="13"/>
        <v>85138</v>
      </c>
    </row>
    <row r="177" spans="1:6" ht="50.4">
      <c r="A177" s="1729" t="s">
        <v>1146</v>
      </c>
      <c r="B177" s="1544" t="s">
        <v>7041</v>
      </c>
      <c r="C177" s="471" t="s">
        <v>94</v>
      </c>
      <c r="D177" s="1749">
        <v>2.4</v>
      </c>
      <c r="E177" s="260">
        <f>+'APU PTAP'!B762</f>
        <v>6866</v>
      </c>
      <c r="F177" s="1531">
        <f t="shared" si="13"/>
        <v>16478</v>
      </c>
    </row>
    <row r="178" spans="1:6" ht="50.4">
      <c r="A178" s="1729" t="s">
        <v>1147</v>
      </c>
      <c r="B178" s="1544" t="s">
        <v>7075</v>
      </c>
      <c r="C178" s="471" t="s">
        <v>94</v>
      </c>
      <c r="D178" s="1749">
        <f>2+6</f>
        <v>8</v>
      </c>
      <c r="E178" s="260">
        <f>+'APU PTAP'!B762</f>
        <v>6866</v>
      </c>
      <c r="F178" s="1531">
        <f t="shared" si="13"/>
        <v>54928</v>
      </c>
    </row>
    <row r="179" spans="1:6">
      <c r="A179" s="1729" t="s">
        <v>1148</v>
      </c>
      <c r="B179" s="1544" t="s">
        <v>7074</v>
      </c>
      <c r="C179" s="471" t="s">
        <v>133</v>
      </c>
      <c r="D179" s="1749">
        <v>1</v>
      </c>
      <c r="E179" s="260">
        <f>+'APU PTAP'!B1102</f>
        <v>45315</v>
      </c>
      <c r="F179" s="1531">
        <f t="shared" si="13"/>
        <v>45315</v>
      </c>
    </row>
    <row r="180" spans="1:6">
      <c r="A180" s="1729" t="s">
        <v>1149</v>
      </c>
      <c r="B180" s="1544" t="s">
        <v>7045</v>
      </c>
      <c r="C180" s="471" t="s">
        <v>133</v>
      </c>
      <c r="D180" s="1749">
        <v>5</v>
      </c>
      <c r="E180" s="2261">
        <f>+'APU PTAP'!B1118</f>
        <v>27464</v>
      </c>
      <c r="F180" s="1531">
        <f t="shared" si="13"/>
        <v>137320</v>
      </c>
    </row>
    <row r="181" spans="1:6">
      <c r="A181" s="1729" t="s">
        <v>1150</v>
      </c>
      <c r="B181" s="1544" t="s">
        <v>7049</v>
      </c>
      <c r="C181" s="471" t="s">
        <v>133</v>
      </c>
      <c r="D181" s="1749">
        <v>2</v>
      </c>
      <c r="E181" s="2261">
        <f>+'APU PTAP'!B1133</f>
        <v>41196</v>
      </c>
      <c r="F181" s="1531">
        <f t="shared" si="13"/>
        <v>82392</v>
      </c>
    </row>
    <row r="182" spans="1:6">
      <c r="A182" s="1729" t="s">
        <v>1151</v>
      </c>
      <c r="B182" s="1544" t="s">
        <v>7051</v>
      </c>
      <c r="C182" s="471" t="s">
        <v>133</v>
      </c>
      <c r="D182" s="1576">
        <v>2</v>
      </c>
      <c r="E182" s="260">
        <f>+'APU PTAP'!B1149</f>
        <v>685905</v>
      </c>
      <c r="F182" s="1531">
        <f t="shared" si="13"/>
        <v>1371810</v>
      </c>
    </row>
    <row r="183" spans="1:6">
      <c r="A183" s="1729" t="s">
        <v>1152</v>
      </c>
      <c r="B183" s="1544" t="s">
        <v>7055</v>
      </c>
      <c r="C183" s="471" t="s">
        <v>133</v>
      </c>
      <c r="D183" s="1576">
        <v>2</v>
      </c>
      <c r="E183" s="260">
        <f>+'APU PTAP'!B1164</f>
        <v>74152</v>
      </c>
      <c r="F183" s="1531">
        <f t="shared" si="13"/>
        <v>148304</v>
      </c>
    </row>
    <row r="184" spans="1:6">
      <c r="A184" s="1729" t="s">
        <v>8060</v>
      </c>
      <c r="B184" s="2262" t="s">
        <v>6683</v>
      </c>
      <c r="C184" s="2226" t="s">
        <v>133</v>
      </c>
      <c r="D184" s="2263">
        <v>1</v>
      </c>
      <c r="E184" s="2264">
        <f>+'APU PTAP'!B1179</f>
        <v>94750</v>
      </c>
      <c r="F184" s="1531">
        <f t="shared" si="13"/>
        <v>94750</v>
      </c>
    </row>
    <row r="185" spans="1:6">
      <c r="A185" s="1729" t="s">
        <v>8061</v>
      </c>
      <c r="B185" s="2262" t="s">
        <v>6685</v>
      </c>
      <c r="C185" s="2226" t="s">
        <v>133</v>
      </c>
      <c r="D185" s="2265">
        <v>6</v>
      </c>
      <c r="E185" s="2264">
        <f>+'APU PTAP'!B1195</f>
        <v>79645</v>
      </c>
      <c r="F185" s="1531">
        <f t="shared" si="13"/>
        <v>477870</v>
      </c>
    </row>
    <row r="186" spans="1:6">
      <c r="A186" s="1729" t="s">
        <v>8062</v>
      </c>
      <c r="B186" s="2266" t="s">
        <v>6694</v>
      </c>
      <c r="C186" s="2226" t="s">
        <v>133</v>
      </c>
      <c r="D186" s="2265">
        <v>2</v>
      </c>
      <c r="E186" s="2264">
        <f>+'APU PTAP'!B1211</f>
        <v>61793</v>
      </c>
      <c r="F186" s="1531">
        <f t="shared" ref="F186:F243" si="14">ROUND(D186*E186,0)</f>
        <v>123586</v>
      </c>
    </row>
    <row r="187" spans="1:6">
      <c r="A187" s="1729" t="s">
        <v>8063</v>
      </c>
      <c r="B187" s="2267" t="s">
        <v>7077</v>
      </c>
      <c r="C187" s="2226" t="s">
        <v>133</v>
      </c>
      <c r="D187" s="2265">
        <v>2</v>
      </c>
      <c r="E187" s="2264">
        <f>+'APU PTAP'!B1229</f>
        <v>260905</v>
      </c>
      <c r="F187" s="1531">
        <f t="shared" si="14"/>
        <v>521810</v>
      </c>
    </row>
    <row r="188" spans="1:6">
      <c r="A188" s="1729" t="s">
        <v>8064</v>
      </c>
      <c r="B188" s="2267" t="s">
        <v>7118</v>
      </c>
      <c r="C188" s="2226" t="s">
        <v>133</v>
      </c>
      <c r="D188" s="2265">
        <v>2</v>
      </c>
      <c r="E188" s="2264">
        <f>+'APU PTAP'!B1245</f>
        <v>219709</v>
      </c>
      <c r="F188" s="1531">
        <f t="shared" si="14"/>
        <v>439418</v>
      </c>
    </row>
    <row r="189" spans="1:6">
      <c r="A189" s="1729" t="s">
        <v>8065</v>
      </c>
      <c r="B189" s="2266" t="s">
        <v>7056</v>
      </c>
      <c r="C189" s="2226" t="s">
        <v>133</v>
      </c>
      <c r="D189" s="2265">
        <v>2</v>
      </c>
      <c r="E189" s="2264">
        <f>+'APU PTAP'!B1261</f>
        <v>278756</v>
      </c>
      <c r="F189" s="1531">
        <f t="shared" si="14"/>
        <v>557512</v>
      </c>
    </row>
    <row r="190" spans="1:6" ht="34.200000000000003">
      <c r="A190" s="1729" t="s">
        <v>8066</v>
      </c>
      <c r="B190" s="2268" t="s">
        <v>6699</v>
      </c>
      <c r="C190" s="2226" t="s">
        <v>133</v>
      </c>
      <c r="D190" s="2265">
        <v>2</v>
      </c>
      <c r="E190" s="2264">
        <f>+'APU PTAP'!B1277</f>
        <v>157916</v>
      </c>
      <c r="F190" s="1531">
        <f t="shared" si="14"/>
        <v>315832</v>
      </c>
    </row>
    <row r="191" spans="1:6">
      <c r="A191" s="1729" t="s">
        <v>8067</v>
      </c>
      <c r="B191" s="2266" t="s">
        <v>6704</v>
      </c>
      <c r="C191" s="2226" t="s">
        <v>133</v>
      </c>
      <c r="D191" s="2265">
        <v>2</v>
      </c>
      <c r="E191" s="2264">
        <f>+'APU PTAP'!B1293</f>
        <v>96123</v>
      </c>
      <c r="F191" s="1531">
        <f t="shared" si="14"/>
        <v>192246</v>
      </c>
    </row>
    <row r="192" spans="1:6">
      <c r="A192" s="1729" t="s">
        <v>8068</v>
      </c>
      <c r="B192" s="2267" t="s">
        <v>7127</v>
      </c>
      <c r="C192" s="2226" t="s">
        <v>133</v>
      </c>
      <c r="D192" s="2265">
        <v>1</v>
      </c>
      <c r="E192" s="2264">
        <f>+'APU PTAP'!B1310</f>
        <v>212843</v>
      </c>
      <c r="F192" s="1531">
        <f t="shared" si="14"/>
        <v>212843</v>
      </c>
    </row>
    <row r="193" spans="1:6">
      <c r="A193" s="1729" t="s">
        <v>8069</v>
      </c>
      <c r="B193" s="2266" t="s">
        <v>6614</v>
      </c>
      <c r="C193" s="2226" t="s">
        <v>133</v>
      </c>
      <c r="D193" s="2265">
        <v>1</v>
      </c>
      <c r="E193" s="2264">
        <f>+'APU TANQUE PATAGONIA'!B549</f>
        <v>241997.20343282403</v>
      </c>
      <c r="F193" s="1531">
        <f t="shared" si="14"/>
        <v>241997</v>
      </c>
    </row>
    <row r="194" spans="1:6">
      <c r="A194" s="1729" t="s">
        <v>8070</v>
      </c>
      <c r="B194" s="2267" t="s">
        <v>7132</v>
      </c>
      <c r="C194" s="2226" t="s">
        <v>133</v>
      </c>
      <c r="D194" s="2265">
        <v>1</v>
      </c>
      <c r="E194" s="2264">
        <f>+'APU PTAP'!B1326</f>
        <v>151050</v>
      </c>
      <c r="F194" s="1531">
        <f t="shared" si="14"/>
        <v>151050</v>
      </c>
    </row>
    <row r="195" spans="1:6">
      <c r="A195" s="1729" t="s">
        <v>8071</v>
      </c>
      <c r="B195" s="2266" t="s">
        <v>7078</v>
      </c>
      <c r="C195" s="2226" t="s">
        <v>133</v>
      </c>
      <c r="D195" s="2265">
        <v>1</v>
      </c>
      <c r="E195" s="2264">
        <f>+'APU PTAP'!B1342</f>
        <v>178514</v>
      </c>
      <c r="F195" s="1531">
        <f t="shared" si="14"/>
        <v>178514</v>
      </c>
    </row>
    <row r="196" spans="1:6">
      <c r="A196" s="1729" t="s">
        <v>8072</v>
      </c>
      <c r="B196" s="2267" t="s">
        <v>7079</v>
      </c>
      <c r="C196" s="2226" t="s">
        <v>133</v>
      </c>
      <c r="D196" s="2265">
        <v>1</v>
      </c>
      <c r="E196" s="2264">
        <f>+'APU PTAP'!B1358</f>
        <v>144184</v>
      </c>
      <c r="F196" s="1531">
        <f t="shared" si="14"/>
        <v>144184</v>
      </c>
    </row>
    <row r="197" spans="1:6">
      <c r="A197" s="1729" t="s">
        <v>8073</v>
      </c>
      <c r="B197" s="2267" t="s">
        <v>7956</v>
      </c>
      <c r="C197" s="2226" t="s">
        <v>133</v>
      </c>
      <c r="D197" s="2265">
        <v>1</v>
      </c>
      <c r="E197" s="2264">
        <f>+'APU PTAP'!B1374</f>
        <v>185380</v>
      </c>
      <c r="F197" s="1531">
        <f t="shared" si="14"/>
        <v>185380</v>
      </c>
    </row>
    <row r="198" spans="1:6">
      <c r="A198" s="1729" t="s">
        <v>8074</v>
      </c>
      <c r="B198" s="2266" t="s">
        <v>6709</v>
      </c>
      <c r="C198" s="2226" t="s">
        <v>133</v>
      </c>
      <c r="D198" s="2265">
        <v>1</v>
      </c>
      <c r="E198" s="2264">
        <f>+'APU PTAP'!B1389</f>
        <v>68659</v>
      </c>
      <c r="F198" s="1531">
        <f t="shared" si="14"/>
        <v>68659</v>
      </c>
    </row>
    <row r="199" spans="1:6">
      <c r="A199" s="1729" t="s">
        <v>8075</v>
      </c>
      <c r="B199" s="2267" t="s">
        <v>7966</v>
      </c>
      <c r="C199" s="2226" t="s">
        <v>133</v>
      </c>
      <c r="D199" s="2265">
        <v>1</v>
      </c>
      <c r="E199" s="2264">
        <f>+'APU PTAP'!B1404</f>
        <v>171648</v>
      </c>
      <c r="F199" s="1531">
        <f t="shared" si="14"/>
        <v>171648</v>
      </c>
    </row>
    <row r="200" spans="1:6">
      <c r="A200" s="1729" t="s">
        <v>8076</v>
      </c>
      <c r="B200" s="2267" t="s">
        <v>7969</v>
      </c>
      <c r="C200" s="2226" t="s">
        <v>133</v>
      </c>
      <c r="D200" s="2265">
        <v>1</v>
      </c>
      <c r="E200" s="2264">
        <f>+'APU PTAP'!B1419</f>
        <v>82391</v>
      </c>
      <c r="F200" s="1531">
        <f t="shared" si="14"/>
        <v>82391</v>
      </c>
    </row>
    <row r="201" spans="1:6">
      <c r="A201" s="1729" t="s">
        <v>8077</v>
      </c>
      <c r="B201" s="2266" t="s">
        <v>6714</v>
      </c>
      <c r="C201" s="2226" t="s">
        <v>133</v>
      </c>
      <c r="D201" s="2265">
        <v>1</v>
      </c>
      <c r="E201" s="2264">
        <f>+'APU PTAP'!B1434</f>
        <v>68659</v>
      </c>
      <c r="F201" s="1531">
        <f t="shared" si="14"/>
        <v>68659</v>
      </c>
    </row>
    <row r="202" spans="1:6">
      <c r="A202" s="1729" t="s">
        <v>8078</v>
      </c>
      <c r="B202" s="2267" t="s">
        <v>7974</v>
      </c>
      <c r="C202" s="2226" t="s">
        <v>133</v>
      </c>
      <c r="D202" s="2265">
        <v>1</v>
      </c>
      <c r="E202" s="2264">
        <f>+'APU PTAP'!B1450</f>
        <v>350591</v>
      </c>
      <c r="F202" s="1531">
        <f t="shared" si="14"/>
        <v>350591</v>
      </c>
    </row>
    <row r="203" spans="1:6">
      <c r="A203" s="1729" t="s">
        <v>8079</v>
      </c>
      <c r="B203" s="2267" t="s">
        <v>7977</v>
      </c>
      <c r="C203" s="2226" t="s">
        <v>133</v>
      </c>
      <c r="D203" s="2265">
        <v>1</v>
      </c>
      <c r="E203" s="2264">
        <f>+'APU PTAP'!B1465</f>
        <v>134572</v>
      </c>
      <c r="F203" s="1531">
        <f t="shared" si="14"/>
        <v>134572</v>
      </c>
    </row>
    <row r="204" spans="1:6">
      <c r="A204" s="1729" t="s">
        <v>8080</v>
      </c>
      <c r="B204" s="2266" t="s">
        <v>7080</v>
      </c>
      <c r="C204" s="2226" t="s">
        <v>133</v>
      </c>
      <c r="D204" s="2265">
        <v>1</v>
      </c>
      <c r="E204" s="2264">
        <f>+'APU PTAP'!B1480</f>
        <v>43942</v>
      </c>
      <c r="F204" s="1531">
        <f t="shared" si="14"/>
        <v>43942</v>
      </c>
    </row>
    <row r="205" spans="1:6">
      <c r="A205" s="1729" t="s">
        <v>8081</v>
      </c>
      <c r="B205" s="2267" t="s">
        <v>7156</v>
      </c>
      <c r="C205" s="2226" t="s">
        <v>133</v>
      </c>
      <c r="D205" s="2265">
        <v>1</v>
      </c>
      <c r="E205" s="2264">
        <f>+'APU PTAP'!B1497</f>
        <v>590469</v>
      </c>
      <c r="F205" s="1531">
        <f t="shared" si="14"/>
        <v>590469</v>
      </c>
    </row>
    <row r="206" spans="1:6">
      <c r="A206" s="1729" t="s">
        <v>8082</v>
      </c>
      <c r="B206" s="2267" t="s">
        <v>7155</v>
      </c>
      <c r="C206" s="2226" t="s">
        <v>133</v>
      </c>
      <c r="D206" s="2265">
        <v>1</v>
      </c>
      <c r="E206" s="2264">
        <f>+'APU PTAP'!B1515</f>
        <v>384491</v>
      </c>
      <c r="F206" s="1531">
        <f t="shared" si="14"/>
        <v>384491</v>
      </c>
    </row>
    <row r="207" spans="1:6" ht="85.5" customHeight="1">
      <c r="A207" s="1729" t="s">
        <v>8083</v>
      </c>
      <c r="B207" s="2262" t="s">
        <v>5618</v>
      </c>
      <c r="C207" s="2226" t="s">
        <v>133</v>
      </c>
      <c r="D207" s="2265">
        <v>2</v>
      </c>
      <c r="E207" s="2264">
        <f>+'APU PTAP'!B1531</f>
        <v>1724930</v>
      </c>
      <c r="F207" s="1531">
        <f t="shared" si="14"/>
        <v>3449860</v>
      </c>
    </row>
    <row r="208" spans="1:6" ht="84" customHeight="1">
      <c r="A208" s="1729" t="s">
        <v>8084</v>
      </c>
      <c r="B208" s="2262" t="s">
        <v>5654</v>
      </c>
      <c r="C208" s="2226" t="s">
        <v>133</v>
      </c>
      <c r="D208" s="2265">
        <v>2</v>
      </c>
      <c r="E208" s="2264">
        <f>+'APU PTAP'!B1546</f>
        <v>2380889</v>
      </c>
      <c r="F208" s="1531">
        <f t="shared" si="14"/>
        <v>4761778</v>
      </c>
    </row>
    <row r="209" spans="1:6">
      <c r="A209" s="1729" t="s">
        <v>8085</v>
      </c>
      <c r="B209" s="2262" t="s">
        <v>7167</v>
      </c>
      <c r="C209" s="2226" t="s">
        <v>133</v>
      </c>
      <c r="D209" s="2265">
        <v>2</v>
      </c>
      <c r="E209" s="2264">
        <f>+'APU PTAP'!B1561</f>
        <v>144184</v>
      </c>
      <c r="F209" s="1531">
        <f t="shared" si="14"/>
        <v>288368</v>
      </c>
    </row>
    <row r="210" spans="1:6">
      <c r="A210" s="1729" t="s">
        <v>8086</v>
      </c>
      <c r="B210" s="2262" t="s">
        <v>6719</v>
      </c>
      <c r="C210" s="2226" t="s">
        <v>133</v>
      </c>
      <c r="D210" s="2265">
        <v>2</v>
      </c>
      <c r="E210" s="2264">
        <f>+'APU PTAP'!B1577</f>
        <v>48061</v>
      </c>
      <c r="F210" s="1531">
        <f t="shared" si="14"/>
        <v>96122</v>
      </c>
    </row>
    <row r="211" spans="1:6">
      <c r="A211" s="1729" t="s">
        <v>8087</v>
      </c>
      <c r="B211" s="2262" t="s">
        <v>7166</v>
      </c>
      <c r="C211" s="2226" t="s">
        <v>133</v>
      </c>
      <c r="D211" s="2265">
        <v>2</v>
      </c>
      <c r="E211" s="2264">
        <f>+'APU PTAP'!B1594</f>
        <v>126333</v>
      </c>
      <c r="F211" s="1531">
        <f t="shared" si="14"/>
        <v>252666</v>
      </c>
    </row>
    <row r="212" spans="1:6">
      <c r="A212" s="1729" t="s">
        <v>8088</v>
      </c>
      <c r="B212" s="2262" t="s">
        <v>7081</v>
      </c>
      <c r="C212" s="2226" t="s">
        <v>133</v>
      </c>
      <c r="D212" s="2265">
        <v>2</v>
      </c>
      <c r="E212" s="2264">
        <f>+'APU PTAP'!B1610</f>
        <v>130452</v>
      </c>
      <c r="F212" s="1531">
        <f t="shared" si="14"/>
        <v>260904</v>
      </c>
    </row>
    <row r="213" spans="1:6" ht="33.6">
      <c r="A213" s="1729" t="s">
        <v>8089</v>
      </c>
      <c r="B213" s="2262" t="s">
        <v>6724</v>
      </c>
      <c r="C213" s="2226" t="s">
        <v>133</v>
      </c>
      <c r="D213" s="2265">
        <v>2</v>
      </c>
      <c r="E213" s="2264">
        <f>+'APU PTAP'!B1626</f>
        <v>82391</v>
      </c>
      <c r="F213" s="1531">
        <f t="shared" si="14"/>
        <v>164782</v>
      </c>
    </row>
    <row r="214" spans="1:6">
      <c r="A214" s="1729" t="s">
        <v>8090</v>
      </c>
      <c r="B214" s="2262" t="s">
        <v>6729</v>
      </c>
      <c r="C214" s="2226" t="s">
        <v>133</v>
      </c>
      <c r="D214" s="2265">
        <v>2</v>
      </c>
      <c r="E214" s="2264">
        <f>+'APU PTAP'!B1642</f>
        <v>59047</v>
      </c>
      <c r="F214" s="1531">
        <f t="shared" si="14"/>
        <v>118094</v>
      </c>
    </row>
    <row r="215" spans="1:6">
      <c r="A215" s="1729" t="s">
        <v>8091</v>
      </c>
      <c r="B215" s="2262" t="s">
        <v>7082</v>
      </c>
      <c r="C215" s="2226" t="s">
        <v>133</v>
      </c>
      <c r="D215" s="2265">
        <v>2</v>
      </c>
      <c r="E215" s="2264">
        <f>+'APU PTAP'!B1659</f>
        <v>164782</v>
      </c>
      <c r="F215" s="1531">
        <f t="shared" si="14"/>
        <v>329564</v>
      </c>
    </row>
    <row r="216" spans="1:6">
      <c r="A216" s="1729" t="s">
        <v>8092</v>
      </c>
      <c r="B216" s="2262" t="s">
        <v>6734</v>
      </c>
      <c r="C216" s="2226" t="s">
        <v>133</v>
      </c>
      <c r="D216" s="2265">
        <v>1</v>
      </c>
      <c r="E216" s="2264">
        <f>+'APU PTAP'!B1675</f>
        <v>82391</v>
      </c>
      <c r="F216" s="1531">
        <f t="shared" si="14"/>
        <v>82391</v>
      </c>
    </row>
    <row r="217" spans="1:6">
      <c r="A217" s="1729" t="s">
        <v>8093</v>
      </c>
      <c r="B217" s="2262" t="s">
        <v>7180</v>
      </c>
      <c r="C217" s="2226" t="s">
        <v>133</v>
      </c>
      <c r="D217" s="2265">
        <v>1</v>
      </c>
      <c r="E217" s="2264">
        <f>+'APU PTAP'!B1691</f>
        <v>109855</v>
      </c>
      <c r="F217" s="1531">
        <f t="shared" si="14"/>
        <v>109855</v>
      </c>
    </row>
    <row r="218" spans="1:6">
      <c r="A218" s="1729" t="s">
        <v>8094</v>
      </c>
      <c r="B218" s="2269" t="s">
        <v>7083</v>
      </c>
      <c r="C218" s="2226" t="s">
        <v>133</v>
      </c>
      <c r="D218" s="2270">
        <v>1</v>
      </c>
      <c r="E218" s="2264">
        <f>+'APU PTAP'!B1707</f>
        <v>102989</v>
      </c>
      <c r="F218" s="1531">
        <f t="shared" si="14"/>
        <v>102989</v>
      </c>
    </row>
    <row r="219" spans="1:6">
      <c r="A219" s="1729" t="s">
        <v>8095</v>
      </c>
      <c r="B219" s="2271" t="s">
        <v>7190</v>
      </c>
      <c r="C219" s="2226" t="s">
        <v>133</v>
      </c>
      <c r="D219" s="2272">
        <v>1</v>
      </c>
      <c r="E219" s="2264">
        <f>+'APU PTAP'!B1722</f>
        <v>122213</v>
      </c>
      <c r="F219" s="1531">
        <f t="shared" si="14"/>
        <v>122213</v>
      </c>
    </row>
    <row r="220" spans="1:6">
      <c r="A220" s="1729" t="s">
        <v>8096</v>
      </c>
      <c r="B220" s="2271" t="s">
        <v>7084</v>
      </c>
      <c r="C220" s="2226" t="s">
        <v>133</v>
      </c>
      <c r="D220" s="2265">
        <v>2</v>
      </c>
      <c r="E220" s="2299">
        <f>+'APU PTAP'!B1739</f>
        <v>593215</v>
      </c>
      <c r="F220" s="1531">
        <f t="shared" si="14"/>
        <v>1186430</v>
      </c>
    </row>
    <row r="221" spans="1:6">
      <c r="A221" s="1729" t="s">
        <v>8097</v>
      </c>
      <c r="B221" s="2271" t="s">
        <v>6739</v>
      </c>
      <c r="C221" s="2226" t="s">
        <v>133</v>
      </c>
      <c r="D221" s="2265">
        <v>1</v>
      </c>
      <c r="E221" s="2273">
        <f>+'APU PTAP'!B1754</f>
        <v>54927</v>
      </c>
      <c r="F221" s="1531">
        <f t="shared" si="14"/>
        <v>54927</v>
      </c>
    </row>
    <row r="222" spans="1:6">
      <c r="A222" s="1729" t="s">
        <v>8098</v>
      </c>
      <c r="B222" s="2271" t="s">
        <v>6750</v>
      </c>
      <c r="C222" s="2226" t="s">
        <v>133</v>
      </c>
      <c r="D222" s="2265">
        <v>1</v>
      </c>
      <c r="E222" s="2273">
        <f>+'APU PTAP'!B1769</f>
        <v>97496</v>
      </c>
      <c r="F222" s="1531">
        <f t="shared" si="14"/>
        <v>97496</v>
      </c>
    </row>
    <row r="223" spans="1:6">
      <c r="A223" s="1729" t="s">
        <v>8099</v>
      </c>
      <c r="B223" s="2271" t="s">
        <v>6749</v>
      </c>
      <c r="C223" s="2226" t="s">
        <v>133</v>
      </c>
      <c r="D223" s="2265">
        <v>1</v>
      </c>
      <c r="E223" s="2273">
        <f>+'APU PTAP'!B1784</f>
        <v>107108</v>
      </c>
      <c r="F223" s="1531">
        <f t="shared" si="14"/>
        <v>107108</v>
      </c>
    </row>
    <row r="224" spans="1:6">
      <c r="A224" s="1729" t="s">
        <v>8100</v>
      </c>
      <c r="B224" s="2271" t="s">
        <v>6748</v>
      </c>
      <c r="C224" s="2226" t="s">
        <v>133</v>
      </c>
      <c r="D224" s="2265">
        <v>1</v>
      </c>
      <c r="E224" s="2273">
        <f>+'APU PTAP'!B1799</f>
        <v>125646</v>
      </c>
      <c r="F224" s="1531">
        <f t="shared" si="14"/>
        <v>125646</v>
      </c>
    </row>
    <row r="225" spans="1:6">
      <c r="A225" s="1729" t="s">
        <v>8101</v>
      </c>
      <c r="B225" s="2271" t="s">
        <v>6759</v>
      </c>
      <c r="C225" s="2226" t="s">
        <v>133</v>
      </c>
      <c r="D225" s="2265">
        <v>1</v>
      </c>
      <c r="E225" s="2273">
        <f>+'APU PTAP'!B1815</f>
        <v>718296</v>
      </c>
      <c r="F225" s="1531">
        <f t="shared" si="14"/>
        <v>718296</v>
      </c>
    </row>
    <row r="226" spans="1:6">
      <c r="A226" s="1729" t="s">
        <v>8102</v>
      </c>
      <c r="B226" s="2271" t="s">
        <v>6760</v>
      </c>
      <c r="C226" s="2226" t="s">
        <v>133</v>
      </c>
      <c r="D226" s="2265">
        <v>1</v>
      </c>
      <c r="E226" s="2273">
        <f>+'APU PTAP'!B1831</f>
        <v>342246</v>
      </c>
      <c r="F226" s="1531">
        <f t="shared" si="14"/>
        <v>342246</v>
      </c>
    </row>
    <row r="227" spans="1:6">
      <c r="A227" s="1729" t="s">
        <v>8103</v>
      </c>
      <c r="B227" s="2271" t="s">
        <v>6768</v>
      </c>
      <c r="C227" s="2226" t="s">
        <v>133</v>
      </c>
      <c r="D227" s="2265">
        <v>1</v>
      </c>
      <c r="E227" s="2273">
        <f>+'APU PTAP'!B1846</f>
        <v>138692</v>
      </c>
      <c r="F227" s="1531">
        <f t="shared" si="14"/>
        <v>138692</v>
      </c>
    </row>
    <row r="228" spans="1:6">
      <c r="A228" s="1729" t="s">
        <v>8104</v>
      </c>
      <c r="B228" s="2271" t="s">
        <v>4907</v>
      </c>
      <c r="C228" s="2226" t="s">
        <v>133</v>
      </c>
      <c r="D228" s="2265">
        <v>1</v>
      </c>
      <c r="E228" s="2273">
        <f>+'APU PTAP'!B1861</f>
        <v>45315</v>
      </c>
      <c r="F228" s="1531">
        <f t="shared" si="14"/>
        <v>45315</v>
      </c>
    </row>
    <row r="229" spans="1:6">
      <c r="A229" s="1729" t="s">
        <v>8105</v>
      </c>
      <c r="B229" s="2271" t="s">
        <v>4921</v>
      </c>
      <c r="C229" s="2226" t="s">
        <v>133</v>
      </c>
      <c r="D229" s="2265">
        <v>1</v>
      </c>
      <c r="E229" s="2273">
        <f>+'APU PTAP'!B1877</f>
        <v>314782</v>
      </c>
      <c r="F229" s="1531">
        <f t="shared" si="14"/>
        <v>314782</v>
      </c>
    </row>
    <row r="230" spans="1:6">
      <c r="A230" s="1729" t="s">
        <v>8106</v>
      </c>
      <c r="B230" s="2271" t="s">
        <v>6776</v>
      </c>
      <c r="C230" s="2226" t="s">
        <v>133</v>
      </c>
      <c r="D230" s="2265">
        <v>2</v>
      </c>
      <c r="E230" s="2273">
        <f>+'APU PTAP'!B1892</f>
        <v>28837</v>
      </c>
      <c r="F230" s="1531">
        <f t="shared" si="14"/>
        <v>57674</v>
      </c>
    </row>
    <row r="231" spans="1:6">
      <c r="A231" s="1729" t="s">
        <v>8107</v>
      </c>
      <c r="B231" s="2271" t="s">
        <v>6780</v>
      </c>
      <c r="C231" s="2226" t="s">
        <v>133</v>
      </c>
      <c r="D231" s="2265">
        <v>1</v>
      </c>
      <c r="E231" s="2273">
        <f>+'APU PTAP'!B1907</f>
        <v>425687</v>
      </c>
      <c r="F231" s="1531">
        <f t="shared" si="14"/>
        <v>425687</v>
      </c>
    </row>
    <row r="232" spans="1:6">
      <c r="A232" s="1729" t="s">
        <v>8108</v>
      </c>
      <c r="B232" s="2271" t="s">
        <v>6784</v>
      </c>
      <c r="C232" s="2226" t="s">
        <v>133</v>
      </c>
      <c r="D232" s="2265">
        <v>2</v>
      </c>
      <c r="E232" s="2273">
        <f>+'APU PTAP'!B1922</f>
        <v>76898</v>
      </c>
      <c r="F232" s="1531">
        <f t="shared" si="14"/>
        <v>153796</v>
      </c>
    </row>
    <row r="233" spans="1:6">
      <c r="A233" s="1729" t="s">
        <v>8109</v>
      </c>
      <c r="B233" s="2271" t="s">
        <v>4910</v>
      </c>
      <c r="C233" s="2226" t="s">
        <v>133</v>
      </c>
      <c r="D233" s="2265">
        <v>6</v>
      </c>
      <c r="E233" s="2273">
        <f>+'APU PTAP'!B1937</f>
        <v>86511</v>
      </c>
      <c r="F233" s="1531">
        <f t="shared" si="14"/>
        <v>519066</v>
      </c>
    </row>
    <row r="234" spans="1:6">
      <c r="A234" s="1729" t="s">
        <v>8110</v>
      </c>
      <c r="B234" s="2271" t="s">
        <v>4911</v>
      </c>
      <c r="C234" s="2226" t="s">
        <v>133</v>
      </c>
      <c r="D234" s="2265">
        <v>2</v>
      </c>
      <c r="E234" s="2273">
        <f>+'APU PTAP'!B1952</f>
        <v>65913</v>
      </c>
      <c r="F234" s="1531">
        <f t="shared" si="14"/>
        <v>131826</v>
      </c>
    </row>
    <row r="235" spans="1:6">
      <c r="A235" s="1729" t="s">
        <v>8111</v>
      </c>
      <c r="B235" s="2271" t="s">
        <v>4912</v>
      </c>
      <c r="C235" s="2226" t="s">
        <v>133</v>
      </c>
      <c r="D235" s="2265">
        <v>8</v>
      </c>
      <c r="E235" s="2273">
        <f>+'APU PTAP'!B1967</f>
        <v>32956</v>
      </c>
      <c r="F235" s="1531">
        <f t="shared" si="14"/>
        <v>263648</v>
      </c>
    </row>
    <row r="236" spans="1:6">
      <c r="A236" s="1729" t="s">
        <v>8112</v>
      </c>
      <c r="B236" s="2271" t="s">
        <v>6795</v>
      </c>
      <c r="C236" s="2226" t="s">
        <v>133</v>
      </c>
      <c r="D236" s="2265">
        <v>8</v>
      </c>
      <c r="E236" s="2273">
        <f>+'APU PTAP'!B1982</f>
        <v>5493</v>
      </c>
      <c r="F236" s="1531">
        <f t="shared" si="14"/>
        <v>43944</v>
      </c>
    </row>
    <row r="237" spans="1:6">
      <c r="A237" s="1729" t="s">
        <v>8113</v>
      </c>
      <c r="B237" s="2271" t="s">
        <v>6799</v>
      </c>
      <c r="C237" s="2226" t="s">
        <v>133</v>
      </c>
      <c r="D237" s="2265">
        <v>24</v>
      </c>
      <c r="E237" s="2273">
        <f>+'APU PTAP'!B1997</f>
        <v>4120</v>
      </c>
      <c r="F237" s="1531">
        <f t="shared" si="14"/>
        <v>98880</v>
      </c>
    </row>
    <row r="238" spans="1:6">
      <c r="A238" s="1729" t="s">
        <v>8114</v>
      </c>
      <c r="B238" s="2271" t="s">
        <v>4915</v>
      </c>
      <c r="C238" s="2226" t="s">
        <v>133</v>
      </c>
      <c r="D238" s="2265">
        <v>8</v>
      </c>
      <c r="E238" s="2273">
        <f>+'APU PTAP'!B2012</f>
        <v>3433</v>
      </c>
      <c r="F238" s="1531">
        <f t="shared" si="14"/>
        <v>27464</v>
      </c>
    </row>
    <row r="239" spans="1:6">
      <c r="A239" s="1729" t="s">
        <v>8115</v>
      </c>
      <c r="B239" s="2271" t="s">
        <v>6807</v>
      </c>
      <c r="C239" s="2226" t="s">
        <v>133</v>
      </c>
      <c r="D239" s="2265">
        <v>8</v>
      </c>
      <c r="E239" s="2273">
        <f>+'APU PTAP'!B2027</f>
        <v>23619</v>
      </c>
      <c r="F239" s="1531">
        <f t="shared" si="14"/>
        <v>188952</v>
      </c>
    </row>
    <row r="240" spans="1:6">
      <c r="A240" s="1729" t="s">
        <v>8116</v>
      </c>
      <c r="B240" s="2271" t="s">
        <v>7085</v>
      </c>
      <c r="C240" s="2226" t="s">
        <v>133</v>
      </c>
      <c r="D240" s="2265">
        <v>2</v>
      </c>
      <c r="E240" s="2299">
        <f>+'APU PTAP'!B2042</f>
        <v>181260</v>
      </c>
      <c r="F240" s="1531">
        <f t="shared" si="14"/>
        <v>362520</v>
      </c>
    </row>
    <row r="241" spans="1:8">
      <c r="A241" s="1729" t="s">
        <v>8117</v>
      </c>
      <c r="B241" s="2271" t="s">
        <v>6809</v>
      </c>
      <c r="C241" s="2226" t="s">
        <v>133</v>
      </c>
      <c r="D241" s="2265">
        <v>10</v>
      </c>
      <c r="E241" s="2299">
        <f>+'APU PTAP'!B2057</f>
        <v>10299</v>
      </c>
      <c r="F241" s="1531">
        <f t="shared" si="14"/>
        <v>102990</v>
      </c>
    </row>
    <row r="242" spans="1:8">
      <c r="A242" s="1729" t="s">
        <v>8118</v>
      </c>
      <c r="B242" s="2274" t="s">
        <v>7086</v>
      </c>
      <c r="C242" s="2226" t="s">
        <v>133</v>
      </c>
      <c r="D242" s="2265">
        <v>1</v>
      </c>
      <c r="E242" s="2299">
        <f>+'APU PTAP'!B2073</f>
        <v>230695</v>
      </c>
      <c r="F242" s="1531">
        <f t="shared" si="14"/>
        <v>230695</v>
      </c>
    </row>
    <row r="243" spans="1:8">
      <c r="A243" s="1729" t="s">
        <v>8119</v>
      </c>
      <c r="B243" s="2274" t="s">
        <v>7087</v>
      </c>
      <c r="C243" s="2226" t="s">
        <v>133</v>
      </c>
      <c r="D243" s="2265">
        <v>2</v>
      </c>
      <c r="E243" s="2299">
        <f>+'APU PTAP'!B2088</f>
        <v>199112</v>
      </c>
      <c r="F243" s="1531">
        <f t="shared" si="14"/>
        <v>398224</v>
      </c>
    </row>
    <row r="244" spans="1:8">
      <c r="A244" s="1003" t="s">
        <v>5542</v>
      </c>
      <c r="B244" s="1745" t="s">
        <v>5712</v>
      </c>
      <c r="C244" s="1746"/>
      <c r="D244" s="1746"/>
      <c r="E244" s="1746"/>
      <c r="F244" s="1754">
        <f>+SUM(F245:F249)</f>
        <v>6177101</v>
      </c>
    </row>
    <row r="245" spans="1:8">
      <c r="A245" s="1748"/>
      <c r="B245" s="1696" t="s">
        <v>5713</v>
      </c>
      <c r="C245" s="471"/>
      <c r="D245" s="1752"/>
      <c r="E245" s="260"/>
      <c r="F245" s="1531"/>
    </row>
    <row r="246" spans="1:8" ht="134.4">
      <c r="A246" s="1882" t="s">
        <v>5766</v>
      </c>
      <c r="B246" s="1544" t="s">
        <v>5714</v>
      </c>
      <c r="C246" s="471" t="s">
        <v>133</v>
      </c>
      <c r="D246" s="1749">
        <v>1</v>
      </c>
      <c r="E246" s="260">
        <f>+'APU PTAP ELECTRICO'!B649</f>
        <v>1021085.2465519999</v>
      </c>
      <c r="F246" s="1531">
        <f t="shared" ref="F246" si="15">ROUND(D246*E246,0)</f>
        <v>1021085</v>
      </c>
    </row>
    <row r="247" spans="1:8" ht="33.6">
      <c r="A247" s="1776"/>
      <c r="B247" s="1697" t="s">
        <v>5715</v>
      </c>
      <c r="C247" s="471"/>
      <c r="D247" s="1749"/>
      <c r="E247" s="260"/>
      <c r="F247" s="1531"/>
    </row>
    <row r="248" spans="1:8" ht="84">
      <c r="A248" s="1882" t="s">
        <v>8120</v>
      </c>
      <c r="B248" s="1544" t="s">
        <v>5239</v>
      </c>
      <c r="C248" s="471" t="s">
        <v>45</v>
      </c>
      <c r="D248" s="1749">
        <v>140</v>
      </c>
      <c r="E248" s="260">
        <f>+'APU PTAP ELECTRICO'!B677</f>
        <v>24552.459021999999</v>
      </c>
      <c r="F248" s="1531">
        <f t="shared" ref="F248:F249" si="16">ROUND(D248*E248,0)</f>
        <v>3437344</v>
      </c>
    </row>
    <row r="249" spans="1:8" ht="84">
      <c r="A249" s="1882" t="s">
        <v>8121</v>
      </c>
      <c r="B249" s="1544" t="s">
        <v>5118</v>
      </c>
      <c r="C249" s="471" t="s">
        <v>45</v>
      </c>
      <c r="D249" s="1749">
        <v>70</v>
      </c>
      <c r="E249" s="260">
        <f>+'APU PTAP ELECTRICO'!B694</f>
        <v>24552.459021999999</v>
      </c>
      <c r="F249" s="1531">
        <f t="shared" si="16"/>
        <v>1718672</v>
      </c>
    </row>
    <row r="250" spans="1:8" ht="22.5" customHeight="1">
      <c r="A250" s="3846" t="s">
        <v>5051</v>
      </c>
      <c r="B250" s="3846"/>
      <c r="C250" s="3846"/>
      <c r="D250" s="3846"/>
      <c r="E250" s="3847"/>
      <c r="F250" s="994">
        <f>+SUM(F176:F243,F169:F174,F166:F167,F163:F164,F246:F249)</f>
        <v>561558097</v>
      </c>
      <c r="G250" s="2368">
        <f>+F250</f>
        <v>561558097</v>
      </c>
      <c r="H250" s="2369" t="s">
        <v>8225</v>
      </c>
    </row>
    <row r="251" spans="1:8">
      <c r="A251" s="3846" t="s">
        <v>5046</v>
      </c>
      <c r="B251" s="3846"/>
      <c r="C251" s="3846"/>
      <c r="D251" s="3847"/>
      <c r="E251" s="2202">
        <f>+AIU</f>
        <v>0.29572249606750989</v>
      </c>
      <c r="F251" s="983">
        <f>+ROUND(E251*F250,0)</f>
        <v>166065362</v>
      </c>
    </row>
    <row r="252" spans="1:8" ht="19.5" customHeight="1">
      <c r="A252" s="3846" t="str">
        <f>+A116</f>
        <v>INTERVENTORIA OBRA CIVIL</v>
      </c>
      <c r="B252" s="3846"/>
      <c r="C252" s="3846"/>
      <c r="D252" s="3847"/>
      <c r="E252" s="2386">
        <f>+'PRESUPUESTO-INTERV'!J50</f>
        <v>0.16163254000625432</v>
      </c>
      <c r="F252" s="983">
        <f>ROUND(E252*(F251+F250),0)</f>
        <v>117607628</v>
      </c>
    </row>
    <row r="253" spans="1:8">
      <c r="A253" s="3846" t="s">
        <v>8544</v>
      </c>
      <c r="B253" s="3846"/>
      <c r="C253" s="3846"/>
      <c r="D253" s="3847"/>
      <c r="E253" s="984">
        <v>0.02</v>
      </c>
      <c r="F253" s="983">
        <f>ROUND(E253*(F250+F251),0)</f>
        <v>14552469</v>
      </c>
    </row>
    <row r="254" spans="1:8">
      <c r="A254" s="3846" t="s">
        <v>5052</v>
      </c>
      <c r="B254" s="3846"/>
      <c r="C254" s="3846"/>
      <c r="D254" s="3846"/>
      <c r="E254" s="3847"/>
      <c r="F254" s="994">
        <f>SUM(F250:F253)</f>
        <v>859783556</v>
      </c>
    </row>
    <row r="255" spans="1:8">
      <c r="A255" s="1834" t="s">
        <v>5731</v>
      </c>
      <c r="B255" s="3931" t="s">
        <v>3854</v>
      </c>
      <c r="C255" s="3931"/>
      <c r="D255" s="3931"/>
      <c r="E255" s="3931"/>
      <c r="F255" s="2249">
        <f>+SUM(F256:F323)</f>
        <v>174671885</v>
      </c>
    </row>
    <row r="256" spans="1:8" ht="50.4">
      <c r="A256" s="1882" t="s">
        <v>5767</v>
      </c>
      <c r="B256" s="2262" t="s">
        <v>7037</v>
      </c>
      <c r="C256" s="2226" t="s">
        <v>94</v>
      </c>
      <c r="D256" s="1752">
        <f>+D176</f>
        <v>12.4</v>
      </c>
      <c r="E256" s="2264">
        <f>+'APU PTAP'!B769</f>
        <v>222650</v>
      </c>
      <c r="F256" s="2264">
        <f t="shared" ref="F256:F315" si="17">+ROUND(D256*E256,0)</f>
        <v>2760860</v>
      </c>
    </row>
    <row r="257" spans="1:6" ht="50.4">
      <c r="A257" s="1882" t="s">
        <v>5768</v>
      </c>
      <c r="B257" s="2262" t="s">
        <v>7039</v>
      </c>
      <c r="C257" s="2226" t="s">
        <v>94</v>
      </c>
      <c r="D257" s="1752">
        <f>+D177</f>
        <v>2.4</v>
      </c>
      <c r="E257" s="2264">
        <f>+'APU PTAP'!B769</f>
        <v>222650</v>
      </c>
      <c r="F257" s="2264">
        <f t="shared" si="17"/>
        <v>534360</v>
      </c>
    </row>
    <row r="258" spans="1:6" ht="50.4">
      <c r="A258" s="1882" t="s">
        <v>5769</v>
      </c>
      <c r="B258" s="2262" t="s">
        <v>7040</v>
      </c>
      <c r="C258" s="2226" t="s">
        <v>94</v>
      </c>
      <c r="D258" s="1752">
        <f>+D178</f>
        <v>8</v>
      </c>
      <c r="E258" s="2264">
        <f>+'APU PTAP'!B769</f>
        <v>222650</v>
      </c>
      <c r="F258" s="2264">
        <f t="shared" si="17"/>
        <v>1781200</v>
      </c>
    </row>
    <row r="259" spans="1:6">
      <c r="A259" s="1882" t="s">
        <v>5770</v>
      </c>
      <c r="B259" s="2262" t="s">
        <v>7076</v>
      </c>
      <c r="C259" s="2226" t="s">
        <v>133</v>
      </c>
      <c r="D259" s="2265">
        <v>1</v>
      </c>
      <c r="E259" s="2336">
        <f>+'APU PTAP'!B1109</f>
        <v>300725</v>
      </c>
      <c r="F259" s="2264">
        <f t="shared" si="17"/>
        <v>300725</v>
      </c>
    </row>
    <row r="260" spans="1:6">
      <c r="A260" s="1882" t="s">
        <v>5771</v>
      </c>
      <c r="B260" s="2262" t="s">
        <v>7042</v>
      </c>
      <c r="C260" s="2226" t="s">
        <v>133</v>
      </c>
      <c r="D260" s="2265">
        <f>+D180</f>
        <v>5</v>
      </c>
      <c r="E260" s="2264">
        <f>+'APU PTAP'!B1125</f>
        <v>175050</v>
      </c>
      <c r="F260" s="2264">
        <f t="shared" si="17"/>
        <v>875250</v>
      </c>
    </row>
    <row r="261" spans="1:6">
      <c r="A261" s="1882" t="s">
        <v>5787</v>
      </c>
      <c r="B261" s="2262" t="s">
        <v>7046</v>
      </c>
      <c r="C261" s="2226" t="s">
        <v>133</v>
      </c>
      <c r="D261" s="2265">
        <f>+D181</f>
        <v>2</v>
      </c>
      <c r="E261" s="2264">
        <f>+'APU PTAP'!B1140</f>
        <v>276200</v>
      </c>
      <c r="F261" s="2264">
        <f t="shared" si="17"/>
        <v>552400</v>
      </c>
    </row>
    <row r="262" spans="1:6">
      <c r="A262" s="1882" t="s">
        <v>5788</v>
      </c>
      <c r="B262" s="2262" t="s">
        <v>7050</v>
      </c>
      <c r="C262" s="2226" t="s">
        <v>133</v>
      </c>
      <c r="D262" s="2265">
        <f>+D182</f>
        <v>2</v>
      </c>
      <c r="E262" s="2264">
        <f>+'APU PTAP'!B1156</f>
        <v>4595900</v>
      </c>
      <c r="F262" s="2264">
        <f t="shared" si="17"/>
        <v>9191800</v>
      </c>
    </row>
    <row r="263" spans="1:6">
      <c r="A263" s="1882" t="s">
        <v>5789</v>
      </c>
      <c r="B263" s="2262" t="s">
        <v>7052</v>
      </c>
      <c r="C263" s="2226" t="s">
        <v>133</v>
      </c>
      <c r="D263" s="2265">
        <f>+D183</f>
        <v>2</v>
      </c>
      <c r="E263" s="2264">
        <f>+'APU PTAP'!B1171</f>
        <v>490400</v>
      </c>
      <c r="F263" s="2264">
        <f t="shared" si="17"/>
        <v>980800</v>
      </c>
    </row>
    <row r="264" spans="1:6">
      <c r="A264" s="1882" t="s">
        <v>5790</v>
      </c>
      <c r="B264" s="2262" t="s">
        <v>6684</v>
      </c>
      <c r="C264" s="2226" t="s">
        <v>133</v>
      </c>
      <c r="D264" s="2265">
        <f>+D184</f>
        <v>1</v>
      </c>
      <c r="E264" s="2264">
        <f>+'APU PTAP'!B1187</f>
        <v>639150</v>
      </c>
      <c r="F264" s="2264">
        <f t="shared" si="17"/>
        <v>639150</v>
      </c>
    </row>
    <row r="265" spans="1:6">
      <c r="A265" s="1882" t="s">
        <v>5791</v>
      </c>
      <c r="B265" s="2262" t="s">
        <v>6686</v>
      </c>
      <c r="C265" s="2226" t="s">
        <v>133</v>
      </c>
      <c r="D265" s="2265">
        <v>6</v>
      </c>
      <c r="E265" s="2264">
        <f>+'APU PTAP'!B1203</f>
        <v>532590</v>
      </c>
      <c r="F265" s="2264">
        <f t="shared" si="17"/>
        <v>3195540</v>
      </c>
    </row>
    <row r="266" spans="1:6">
      <c r="A266" s="1882" t="s">
        <v>8122</v>
      </c>
      <c r="B266" s="2266" t="s">
        <v>6693</v>
      </c>
      <c r="C266" s="2226" t="s">
        <v>133</v>
      </c>
      <c r="D266" s="2265">
        <f t="shared" ref="D266:D304" si="18">+D186</f>
        <v>2</v>
      </c>
      <c r="E266" s="2264">
        <f>+'APU PTAP'!B1220</f>
        <v>416300</v>
      </c>
      <c r="F266" s="2264">
        <f t="shared" si="17"/>
        <v>832600</v>
      </c>
    </row>
    <row r="267" spans="1:6">
      <c r="A267" s="1882" t="s">
        <v>8123</v>
      </c>
      <c r="B267" s="2267" t="s">
        <v>7113</v>
      </c>
      <c r="C267" s="2226" t="s">
        <v>133</v>
      </c>
      <c r="D267" s="2265">
        <f t="shared" si="18"/>
        <v>2</v>
      </c>
      <c r="E267" s="2264">
        <f>+'APU PTAP'!B1237</f>
        <v>1739488</v>
      </c>
      <c r="F267" s="2264">
        <f t="shared" si="17"/>
        <v>3478976</v>
      </c>
    </row>
    <row r="268" spans="1:6">
      <c r="A268" s="1882" t="s">
        <v>8124</v>
      </c>
      <c r="B268" s="2267" t="s">
        <v>7116</v>
      </c>
      <c r="C268" s="2226" t="s">
        <v>133</v>
      </c>
      <c r="D268" s="2265">
        <f t="shared" si="18"/>
        <v>2</v>
      </c>
      <c r="E268" s="2264">
        <f>+'APU PTAP'!B1253</f>
        <v>1454983</v>
      </c>
      <c r="F268" s="2264">
        <f t="shared" si="17"/>
        <v>2909966</v>
      </c>
    </row>
    <row r="269" spans="1:6">
      <c r="A269" s="1882" t="s">
        <v>8125</v>
      </c>
      <c r="B269" s="2266" t="s">
        <v>7061</v>
      </c>
      <c r="C269" s="2226" t="s">
        <v>133</v>
      </c>
      <c r="D269" s="2265">
        <f t="shared" si="18"/>
        <v>2</v>
      </c>
      <c r="E269" s="2264">
        <f>+'APU PTAP'!B1269</f>
        <v>1855870</v>
      </c>
      <c r="F269" s="2264">
        <f t="shared" si="17"/>
        <v>3711740</v>
      </c>
    </row>
    <row r="270" spans="1:6" ht="33.6">
      <c r="A270" s="1882" t="s">
        <v>8126</v>
      </c>
      <c r="B270" s="2276" t="s">
        <v>6696</v>
      </c>
      <c r="C270" s="2226" t="s">
        <v>133</v>
      </c>
      <c r="D270" s="2265">
        <f t="shared" si="18"/>
        <v>2</v>
      </c>
      <c r="E270" s="2264">
        <f>+'APU PTAP'!B1285</f>
        <v>1063925</v>
      </c>
      <c r="F270" s="2264">
        <f t="shared" si="17"/>
        <v>2127850</v>
      </c>
    </row>
    <row r="271" spans="1:6">
      <c r="A271" s="1882" t="s">
        <v>8127</v>
      </c>
      <c r="B271" s="2266" t="s">
        <v>6700</v>
      </c>
      <c r="C271" s="2226" t="s">
        <v>133</v>
      </c>
      <c r="D271" s="2265">
        <f t="shared" si="18"/>
        <v>2</v>
      </c>
      <c r="E271" s="2264">
        <f>+'APU PTAP'!B1302</f>
        <v>639385</v>
      </c>
      <c r="F271" s="2264">
        <f t="shared" si="17"/>
        <v>1278770</v>
      </c>
    </row>
    <row r="272" spans="1:6">
      <c r="A272" s="1882" t="s">
        <v>8128</v>
      </c>
      <c r="B272" s="2267" t="s">
        <v>7122</v>
      </c>
      <c r="C272" s="2226" t="s">
        <v>133</v>
      </c>
      <c r="D272" s="2265">
        <f t="shared" si="18"/>
        <v>1</v>
      </c>
      <c r="E272" s="2264">
        <f>+'APU PTAP'!B1318</f>
        <v>1420910</v>
      </c>
      <c r="F272" s="2264">
        <f t="shared" si="17"/>
        <v>1420910</v>
      </c>
    </row>
    <row r="273" spans="1:6">
      <c r="A273" s="1882" t="s">
        <v>8129</v>
      </c>
      <c r="B273" s="2266" t="s">
        <v>6613</v>
      </c>
      <c r="C273" s="2226" t="s">
        <v>133</v>
      </c>
      <c r="D273" s="2265">
        <f t="shared" si="18"/>
        <v>1</v>
      </c>
      <c r="E273" s="2264">
        <f>+'APU TANQUE PATAGONIA'!B557</f>
        <v>1604200</v>
      </c>
      <c r="F273" s="2264">
        <f t="shared" si="17"/>
        <v>1604200</v>
      </c>
    </row>
    <row r="274" spans="1:6">
      <c r="A274" s="1882" t="s">
        <v>8130</v>
      </c>
      <c r="B274" s="2267" t="s">
        <v>7128</v>
      </c>
      <c r="C274" s="2226" t="s">
        <v>133</v>
      </c>
      <c r="D274" s="2265">
        <f t="shared" si="18"/>
        <v>1</v>
      </c>
      <c r="E274" s="2264">
        <f>+'APU PTAP'!B1334</f>
        <v>1026342</v>
      </c>
      <c r="F274" s="2264">
        <f t="shared" si="17"/>
        <v>1026342</v>
      </c>
    </row>
    <row r="275" spans="1:6">
      <c r="A275" s="1882" t="s">
        <v>8131</v>
      </c>
      <c r="B275" s="2266" t="s">
        <v>7135</v>
      </c>
      <c r="C275" s="2226" t="s">
        <v>133</v>
      </c>
      <c r="D275" s="2265">
        <f t="shared" si="18"/>
        <v>1</v>
      </c>
      <c r="E275" s="2264">
        <f>+'APU PTAP'!B1349</f>
        <v>1191310</v>
      </c>
      <c r="F275" s="2264">
        <f t="shared" si="17"/>
        <v>1191310</v>
      </c>
    </row>
    <row r="276" spans="1:6">
      <c r="A276" s="1882" t="s">
        <v>8132</v>
      </c>
      <c r="B276" s="2267" t="s">
        <v>7139</v>
      </c>
      <c r="C276" s="2226" t="s">
        <v>133</v>
      </c>
      <c r="D276" s="2265">
        <f t="shared" si="18"/>
        <v>1</v>
      </c>
      <c r="E276" s="2264">
        <f>+'APU PTAP'!B1366</f>
        <v>968150</v>
      </c>
      <c r="F276" s="2264">
        <f t="shared" si="17"/>
        <v>968150</v>
      </c>
    </row>
    <row r="277" spans="1:6">
      <c r="A277" s="1882" t="s">
        <v>8133</v>
      </c>
      <c r="B277" s="2267" t="s">
        <v>7962</v>
      </c>
      <c r="C277" s="2226" t="s">
        <v>133</v>
      </c>
      <c r="D277" s="2265">
        <f t="shared" si="18"/>
        <v>1</v>
      </c>
      <c r="E277" s="2264">
        <f>+'APU PTAP'!B1381</f>
        <v>1245077</v>
      </c>
      <c r="F277" s="2264">
        <f t="shared" si="17"/>
        <v>1245077</v>
      </c>
    </row>
    <row r="278" spans="1:6">
      <c r="A278" s="1882" t="s">
        <v>8134</v>
      </c>
      <c r="B278" s="2266" t="s">
        <v>6706</v>
      </c>
      <c r="C278" s="2226" t="s">
        <v>133</v>
      </c>
      <c r="D278" s="2265">
        <f t="shared" si="18"/>
        <v>1</v>
      </c>
      <c r="E278" s="2264">
        <f>+'APU PTAP'!B1396</f>
        <v>447560</v>
      </c>
      <c r="F278" s="2264">
        <f t="shared" si="17"/>
        <v>447560</v>
      </c>
    </row>
    <row r="279" spans="1:6">
      <c r="A279" s="1882" t="s">
        <v>8135</v>
      </c>
      <c r="B279" s="2267" t="s">
        <v>7965</v>
      </c>
      <c r="C279" s="2226" t="s">
        <v>133</v>
      </c>
      <c r="D279" s="2265">
        <f t="shared" si="18"/>
        <v>1</v>
      </c>
      <c r="E279" s="2264">
        <f>+'APU PTAP'!B1411</f>
        <v>1135755</v>
      </c>
      <c r="F279" s="2264">
        <f t="shared" si="17"/>
        <v>1135755</v>
      </c>
    </row>
    <row r="280" spans="1:6">
      <c r="A280" s="1882" t="s">
        <v>8136</v>
      </c>
      <c r="B280" s="2267" t="s">
        <v>7970</v>
      </c>
      <c r="C280" s="2226" t="s">
        <v>133</v>
      </c>
      <c r="D280" s="2265">
        <f t="shared" si="18"/>
        <v>1</v>
      </c>
      <c r="E280" s="2264">
        <f>+'APU PTAP'!B1426</f>
        <v>557411</v>
      </c>
      <c r="F280" s="2264">
        <f t="shared" si="17"/>
        <v>557411</v>
      </c>
    </row>
    <row r="281" spans="1:6">
      <c r="A281" s="1882" t="s">
        <v>8137</v>
      </c>
      <c r="B281" s="2266" t="s">
        <v>6711</v>
      </c>
      <c r="C281" s="2226" t="s">
        <v>133</v>
      </c>
      <c r="D281" s="2265">
        <f t="shared" si="18"/>
        <v>1</v>
      </c>
      <c r="E281" s="2264">
        <f>+'APU PTAP'!B1441</f>
        <v>464220</v>
      </c>
      <c r="F281" s="2264">
        <f t="shared" si="17"/>
        <v>464220</v>
      </c>
    </row>
    <row r="282" spans="1:6">
      <c r="A282" s="1882" t="s">
        <v>8138</v>
      </c>
      <c r="B282" s="2267" t="s">
        <v>7973</v>
      </c>
      <c r="C282" s="2226" t="s">
        <v>133</v>
      </c>
      <c r="D282" s="2265">
        <f t="shared" si="18"/>
        <v>1</v>
      </c>
      <c r="E282" s="2264">
        <f>+'APU PTAP'!B1457</f>
        <v>2346424</v>
      </c>
      <c r="F282" s="2264">
        <f t="shared" si="17"/>
        <v>2346424</v>
      </c>
    </row>
    <row r="283" spans="1:6">
      <c r="A283" s="1882" t="s">
        <v>8139</v>
      </c>
      <c r="B283" s="2267" t="s">
        <v>7978</v>
      </c>
      <c r="C283" s="2226" t="s">
        <v>133</v>
      </c>
      <c r="D283" s="2265">
        <f t="shared" si="18"/>
        <v>1</v>
      </c>
      <c r="E283" s="2264">
        <f>+'APU PTAP'!B1472</f>
        <v>889481</v>
      </c>
      <c r="F283" s="2264">
        <f t="shared" si="17"/>
        <v>889481</v>
      </c>
    </row>
    <row r="284" spans="1:6">
      <c r="A284" s="1882" t="s">
        <v>8140</v>
      </c>
      <c r="B284" s="2266" t="s">
        <v>7062</v>
      </c>
      <c r="C284" s="2226" t="s">
        <v>133</v>
      </c>
      <c r="D284" s="2265">
        <f t="shared" si="18"/>
        <v>1</v>
      </c>
      <c r="E284" s="2264">
        <f>+'APU PTAP'!B1487</f>
        <v>288100</v>
      </c>
      <c r="F284" s="2264">
        <f t="shared" si="17"/>
        <v>288100</v>
      </c>
    </row>
    <row r="285" spans="1:6">
      <c r="A285" s="1882" t="s">
        <v>8141</v>
      </c>
      <c r="B285" s="2267" t="s">
        <v>7150</v>
      </c>
      <c r="C285" s="2226" t="s">
        <v>133</v>
      </c>
      <c r="D285" s="2265">
        <f t="shared" si="18"/>
        <v>1</v>
      </c>
      <c r="E285" s="2264">
        <f>+'APU PTAP'!B1505</f>
        <v>3945858</v>
      </c>
      <c r="F285" s="2264">
        <f t="shared" si="17"/>
        <v>3945858</v>
      </c>
    </row>
    <row r="286" spans="1:6">
      <c r="A286" s="1882" t="s">
        <v>8142</v>
      </c>
      <c r="B286" s="2267" t="s">
        <v>7151</v>
      </c>
      <c r="C286" s="2226" t="s">
        <v>133</v>
      </c>
      <c r="D286" s="2265">
        <f t="shared" si="18"/>
        <v>1</v>
      </c>
      <c r="E286" s="2264">
        <f>+'APU PTAP'!B1523</f>
        <v>2540319</v>
      </c>
      <c r="F286" s="2264">
        <f t="shared" si="17"/>
        <v>2540319</v>
      </c>
    </row>
    <row r="287" spans="1:6" ht="89.25" customHeight="1">
      <c r="A287" s="1882" t="s">
        <v>8143</v>
      </c>
      <c r="B287" s="2275" t="s">
        <v>4923</v>
      </c>
      <c r="C287" s="2226" t="s">
        <v>133</v>
      </c>
      <c r="D287" s="2265">
        <f t="shared" si="18"/>
        <v>2</v>
      </c>
      <c r="E287" s="2264">
        <f>+'APU PTAP'!B1538</f>
        <v>12620000</v>
      </c>
      <c r="F287" s="2264">
        <f t="shared" si="17"/>
        <v>25240000</v>
      </c>
    </row>
    <row r="288" spans="1:6" ht="89.25" customHeight="1">
      <c r="A288" s="1882" t="s">
        <v>8144</v>
      </c>
      <c r="B288" s="1550" t="s">
        <v>5655</v>
      </c>
      <c r="C288" s="471" t="s">
        <v>133</v>
      </c>
      <c r="D288" s="1749">
        <f t="shared" si="18"/>
        <v>2</v>
      </c>
      <c r="E288" s="260">
        <f>+'APU PTAP'!B1553</f>
        <v>17620000</v>
      </c>
      <c r="F288" s="260">
        <f t="shared" si="17"/>
        <v>35240000</v>
      </c>
    </row>
    <row r="289" spans="1:6">
      <c r="A289" s="1882" t="s">
        <v>8145</v>
      </c>
      <c r="B289" s="1544" t="s">
        <v>7161</v>
      </c>
      <c r="C289" s="471" t="s">
        <v>133</v>
      </c>
      <c r="D289" s="1749">
        <f t="shared" si="18"/>
        <v>2</v>
      </c>
      <c r="E289" s="260">
        <f>+'APU PTAP'!B1569</f>
        <v>968747</v>
      </c>
      <c r="F289" s="260">
        <f t="shared" si="17"/>
        <v>1937494</v>
      </c>
    </row>
    <row r="290" spans="1:6">
      <c r="A290" s="1882" t="s">
        <v>8146</v>
      </c>
      <c r="B290" s="2262" t="s">
        <v>6716</v>
      </c>
      <c r="C290" s="2226" t="s">
        <v>133</v>
      </c>
      <c r="D290" s="2265">
        <f t="shared" si="18"/>
        <v>2</v>
      </c>
      <c r="E290" s="2264">
        <f>+'APU PTAP'!B1586</f>
        <v>326000</v>
      </c>
      <c r="F290" s="260">
        <f t="shared" si="17"/>
        <v>652000</v>
      </c>
    </row>
    <row r="291" spans="1:6">
      <c r="A291" s="1882" t="s">
        <v>8147</v>
      </c>
      <c r="B291" s="2262" t="s">
        <v>7162</v>
      </c>
      <c r="C291" s="2226" t="s">
        <v>133</v>
      </c>
      <c r="D291" s="2265">
        <f t="shared" si="18"/>
        <v>2</v>
      </c>
      <c r="E291" s="2264">
        <f>+'APU PTAP'!B1602</f>
        <v>843406</v>
      </c>
      <c r="F291" s="260">
        <f t="shared" si="17"/>
        <v>1686812</v>
      </c>
    </row>
    <row r="292" spans="1:6">
      <c r="A292" s="1882" t="s">
        <v>8148</v>
      </c>
      <c r="B292" s="2262" t="s">
        <v>7063</v>
      </c>
      <c r="C292" s="2226" t="s">
        <v>133</v>
      </c>
      <c r="D292" s="2265">
        <f t="shared" si="18"/>
        <v>2</v>
      </c>
      <c r="E292" s="2264">
        <f>+'APU PTAP'!B1618</f>
        <v>876488</v>
      </c>
      <c r="F292" s="260">
        <f t="shared" si="17"/>
        <v>1752976</v>
      </c>
    </row>
    <row r="293" spans="1:6" ht="33.6">
      <c r="A293" s="1882" t="s">
        <v>8149</v>
      </c>
      <c r="B293" s="2262" t="s">
        <v>6721</v>
      </c>
      <c r="C293" s="2226" t="s">
        <v>133</v>
      </c>
      <c r="D293" s="2265">
        <f t="shared" si="18"/>
        <v>2</v>
      </c>
      <c r="E293" s="2264">
        <f>+'APU PTAP'!B1634</f>
        <v>546620</v>
      </c>
      <c r="F293" s="260">
        <f t="shared" si="17"/>
        <v>1093240</v>
      </c>
    </row>
    <row r="294" spans="1:6">
      <c r="A294" s="1882" t="s">
        <v>8150</v>
      </c>
      <c r="B294" s="2262" t="s">
        <v>6726</v>
      </c>
      <c r="C294" s="2226" t="s">
        <v>133</v>
      </c>
      <c r="D294" s="2265">
        <f t="shared" si="18"/>
        <v>2</v>
      </c>
      <c r="E294" s="2264">
        <f>+'APU PTAP'!B1651</f>
        <v>388475</v>
      </c>
      <c r="F294" s="260">
        <f t="shared" si="17"/>
        <v>776950</v>
      </c>
    </row>
    <row r="295" spans="1:6">
      <c r="A295" s="1882" t="s">
        <v>8151</v>
      </c>
      <c r="B295" s="2262" t="s">
        <v>7172</v>
      </c>
      <c r="C295" s="2226" t="s">
        <v>133</v>
      </c>
      <c r="D295" s="2265">
        <f t="shared" si="18"/>
        <v>2</v>
      </c>
      <c r="E295" s="2264">
        <f>+'APU PTAP'!B1667</f>
        <v>1112239</v>
      </c>
      <c r="F295" s="260">
        <f t="shared" si="17"/>
        <v>2224478</v>
      </c>
    </row>
    <row r="296" spans="1:6">
      <c r="A296" s="1882" t="s">
        <v>8152</v>
      </c>
      <c r="B296" s="2262" t="s">
        <v>6731</v>
      </c>
      <c r="C296" s="2226" t="s">
        <v>133</v>
      </c>
      <c r="D296" s="2265">
        <f t="shared" si="18"/>
        <v>1</v>
      </c>
      <c r="E296" s="2264">
        <f>+'APU PTAP'!B1683</f>
        <v>547520</v>
      </c>
      <c r="F296" s="260">
        <f t="shared" si="17"/>
        <v>547520</v>
      </c>
    </row>
    <row r="297" spans="1:6">
      <c r="A297" s="1882" t="s">
        <v>8153</v>
      </c>
      <c r="B297" s="2262" t="s">
        <v>7176</v>
      </c>
      <c r="C297" s="2226" t="s">
        <v>133</v>
      </c>
      <c r="D297" s="2265">
        <f t="shared" si="18"/>
        <v>1</v>
      </c>
      <c r="E297" s="2264">
        <f>+'APU PTAP'!B1699</f>
        <v>731558</v>
      </c>
      <c r="F297" s="260">
        <f t="shared" si="17"/>
        <v>731558</v>
      </c>
    </row>
    <row r="298" spans="1:6">
      <c r="A298" s="1882" t="s">
        <v>8154</v>
      </c>
      <c r="B298" s="2269" t="s">
        <v>7181</v>
      </c>
      <c r="C298" s="2226" t="s">
        <v>133</v>
      </c>
      <c r="D298" s="2265">
        <f t="shared" si="18"/>
        <v>1</v>
      </c>
      <c r="E298" s="2264">
        <f>+'APU PTAP'!B1714</f>
        <v>674850</v>
      </c>
      <c r="F298" s="260">
        <f t="shared" si="17"/>
        <v>674850</v>
      </c>
    </row>
    <row r="299" spans="1:6">
      <c r="A299" s="1882" t="s">
        <v>8155</v>
      </c>
      <c r="B299" s="1549" t="s">
        <v>7186</v>
      </c>
      <c r="C299" s="471" t="s">
        <v>133</v>
      </c>
      <c r="D299" s="1749">
        <f t="shared" si="18"/>
        <v>1</v>
      </c>
      <c r="E299" s="1416">
        <f>+'APU PTAP'!B1730</f>
        <v>802688</v>
      </c>
      <c r="F299" s="260">
        <f t="shared" si="17"/>
        <v>802688</v>
      </c>
    </row>
    <row r="300" spans="1:6" ht="31.5" customHeight="1">
      <c r="A300" s="1882" t="s">
        <v>8156</v>
      </c>
      <c r="B300" s="1549" t="s">
        <v>7064</v>
      </c>
      <c r="C300" s="471" t="s">
        <v>133</v>
      </c>
      <c r="D300" s="1749">
        <f t="shared" si="18"/>
        <v>2</v>
      </c>
      <c r="E300" s="1416">
        <f>+'APU PTAP'!B1746</f>
        <v>3972102</v>
      </c>
      <c r="F300" s="260">
        <f t="shared" si="17"/>
        <v>7944204</v>
      </c>
    </row>
    <row r="301" spans="1:6">
      <c r="A301" s="1882" t="s">
        <v>8157</v>
      </c>
      <c r="B301" s="2271" t="s">
        <v>6736</v>
      </c>
      <c r="C301" s="471" t="s">
        <v>133</v>
      </c>
      <c r="D301" s="1749">
        <f t="shared" si="18"/>
        <v>1</v>
      </c>
      <c r="E301" s="2273">
        <f>+'APU PTAP'!B1761</f>
        <v>364985</v>
      </c>
      <c r="F301" s="260">
        <f t="shared" si="17"/>
        <v>364985</v>
      </c>
    </row>
    <row r="302" spans="1:6">
      <c r="A302" s="1882" t="s">
        <v>8158</v>
      </c>
      <c r="B302" s="2271" t="s">
        <v>6740</v>
      </c>
      <c r="C302" s="471" t="s">
        <v>133</v>
      </c>
      <c r="D302" s="1749">
        <f t="shared" si="18"/>
        <v>1</v>
      </c>
      <c r="E302" s="2273">
        <f>+'APU PTAP'!B1776</f>
        <v>648150</v>
      </c>
      <c r="F302" s="260">
        <f t="shared" si="17"/>
        <v>648150</v>
      </c>
    </row>
    <row r="303" spans="1:6">
      <c r="A303" s="1882" t="s">
        <v>8159</v>
      </c>
      <c r="B303" s="2271" t="s">
        <v>6744</v>
      </c>
      <c r="C303" s="471" t="s">
        <v>133</v>
      </c>
      <c r="D303" s="1749">
        <f t="shared" si="18"/>
        <v>1</v>
      </c>
      <c r="E303" s="2273">
        <f>+'APU PTAP'!B1791</f>
        <v>715570</v>
      </c>
      <c r="F303" s="260">
        <f t="shared" si="17"/>
        <v>715570</v>
      </c>
    </row>
    <row r="304" spans="1:6">
      <c r="A304" s="1882" t="s">
        <v>8160</v>
      </c>
      <c r="B304" s="2271" t="s">
        <v>6751</v>
      </c>
      <c r="C304" s="471" t="s">
        <v>133</v>
      </c>
      <c r="D304" s="1749">
        <f t="shared" si="18"/>
        <v>1</v>
      </c>
      <c r="E304" s="2273">
        <f>+'APU PTAP'!B1806</f>
        <v>836926</v>
      </c>
      <c r="F304" s="260">
        <f t="shared" si="17"/>
        <v>836926</v>
      </c>
    </row>
    <row r="305" spans="1:6">
      <c r="A305" s="1882" t="s">
        <v>8161</v>
      </c>
      <c r="B305" s="2271" t="s">
        <v>6755</v>
      </c>
      <c r="C305" s="471" t="s">
        <v>133</v>
      </c>
      <c r="D305" s="1749">
        <v>1</v>
      </c>
      <c r="E305" s="2273">
        <f>+'APU PTAP'!B1822</f>
        <v>9419674</v>
      </c>
      <c r="F305" s="260">
        <f t="shared" si="17"/>
        <v>9419674</v>
      </c>
    </row>
    <row r="306" spans="1:6">
      <c r="A306" s="1882" t="s">
        <v>8162</v>
      </c>
      <c r="B306" s="2271" t="s">
        <v>6761</v>
      </c>
      <c r="C306" s="471" t="s">
        <v>133</v>
      </c>
      <c r="D306" s="1749">
        <f t="shared" ref="D306:D321" si="19">+D226</f>
        <v>1</v>
      </c>
      <c r="E306" s="2273">
        <f>+'APU PTAP'!B1838</f>
        <v>2279718</v>
      </c>
      <c r="F306" s="260">
        <f t="shared" si="17"/>
        <v>2279718</v>
      </c>
    </row>
    <row r="307" spans="1:6">
      <c r="A307" s="1882" t="s">
        <v>8163</v>
      </c>
      <c r="B307" s="2271" t="s">
        <v>6765</v>
      </c>
      <c r="C307" s="471" t="s">
        <v>133</v>
      </c>
      <c r="D307" s="1749">
        <f t="shared" si="19"/>
        <v>1</v>
      </c>
      <c r="E307" s="2273">
        <f>+'APU PTAP'!B1853</f>
        <v>920527</v>
      </c>
      <c r="F307" s="260">
        <f t="shared" si="17"/>
        <v>920527</v>
      </c>
    </row>
    <row r="308" spans="1:6">
      <c r="A308" s="1882" t="s">
        <v>8164</v>
      </c>
      <c r="B308" s="2271" t="s">
        <v>4938</v>
      </c>
      <c r="C308" s="471" t="s">
        <v>133</v>
      </c>
      <c r="D308" s="1749">
        <f t="shared" si="19"/>
        <v>1</v>
      </c>
      <c r="E308" s="2273">
        <f>+'APU PTAP'!B1868</f>
        <v>300000</v>
      </c>
      <c r="F308" s="260">
        <f t="shared" si="17"/>
        <v>300000</v>
      </c>
    </row>
    <row r="309" spans="1:6">
      <c r="A309" s="1882" t="s">
        <v>8165</v>
      </c>
      <c r="B309" s="2271" t="s">
        <v>6769</v>
      </c>
      <c r="C309" s="471" t="s">
        <v>133</v>
      </c>
      <c r="D309" s="1749">
        <f t="shared" si="19"/>
        <v>1</v>
      </c>
      <c r="E309" s="2273">
        <f>+'APU PTAP'!B1884</f>
        <v>2225922</v>
      </c>
      <c r="F309" s="260">
        <f t="shared" si="17"/>
        <v>2225922</v>
      </c>
    </row>
    <row r="310" spans="1:6">
      <c r="A310" s="1882" t="s">
        <v>8166</v>
      </c>
      <c r="B310" s="2271" t="s">
        <v>6773</v>
      </c>
      <c r="C310" s="471" t="s">
        <v>133</v>
      </c>
      <c r="D310" s="1749">
        <f t="shared" si="19"/>
        <v>2</v>
      </c>
      <c r="E310" s="2273">
        <f>+'APU PTAP'!B1899</f>
        <v>197925</v>
      </c>
      <c r="F310" s="260">
        <f t="shared" si="17"/>
        <v>395850</v>
      </c>
    </row>
    <row r="311" spans="1:6">
      <c r="A311" s="1882" t="s">
        <v>8167</v>
      </c>
      <c r="B311" s="2271" t="s">
        <v>6778</v>
      </c>
      <c r="C311" s="471" t="s">
        <v>133</v>
      </c>
      <c r="D311" s="1749">
        <f t="shared" si="19"/>
        <v>1</v>
      </c>
      <c r="E311" s="2273">
        <f>+'APU PTAP'!B1914</f>
        <v>3185136</v>
      </c>
      <c r="F311" s="260">
        <f t="shared" si="17"/>
        <v>3185136</v>
      </c>
    </row>
    <row r="312" spans="1:6">
      <c r="A312" s="1882" t="s">
        <v>8168</v>
      </c>
      <c r="B312" s="2271" t="s">
        <v>6781</v>
      </c>
      <c r="C312" s="471" t="s">
        <v>133</v>
      </c>
      <c r="D312" s="1749">
        <f t="shared" si="19"/>
        <v>2</v>
      </c>
      <c r="E312" s="2273">
        <f>+'APU PTAP'!B1929</f>
        <v>510173</v>
      </c>
      <c r="F312" s="260">
        <f t="shared" si="17"/>
        <v>1020346</v>
      </c>
    </row>
    <row r="313" spans="1:6">
      <c r="A313" s="1882" t="s">
        <v>8169</v>
      </c>
      <c r="B313" s="2271" t="s">
        <v>4943</v>
      </c>
      <c r="C313" s="471" t="s">
        <v>133</v>
      </c>
      <c r="D313" s="1749">
        <f t="shared" si="19"/>
        <v>6</v>
      </c>
      <c r="E313" s="2273">
        <f>+'APU PTAP'!B1944</f>
        <v>585074</v>
      </c>
      <c r="F313" s="260">
        <f t="shared" si="17"/>
        <v>3510444</v>
      </c>
    </row>
    <row r="314" spans="1:6">
      <c r="A314" s="1882" t="s">
        <v>8170</v>
      </c>
      <c r="B314" s="2271" t="s">
        <v>6788</v>
      </c>
      <c r="C314" s="471" t="s">
        <v>133</v>
      </c>
      <c r="D314" s="1749">
        <f t="shared" si="19"/>
        <v>2</v>
      </c>
      <c r="E314" s="2273">
        <f>+'APU PTAP'!B1959</f>
        <v>437056</v>
      </c>
      <c r="F314" s="260">
        <f t="shared" si="17"/>
        <v>874112</v>
      </c>
    </row>
    <row r="315" spans="1:6">
      <c r="A315" s="1882" t="s">
        <v>8171</v>
      </c>
      <c r="B315" s="2271" t="s">
        <v>4945</v>
      </c>
      <c r="C315" s="471" t="s">
        <v>133</v>
      </c>
      <c r="D315" s="1749">
        <f t="shared" si="19"/>
        <v>8</v>
      </c>
      <c r="E315" s="2273">
        <f>+'APU PTAP'!B1974</f>
        <v>220746</v>
      </c>
      <c r="F315" s="260">
        <f t="shared" si="17"/>
        <v>1765968</v>
      </c>
    </row>
    <row r="316" spans="1:6">
      <c r="A316" s="1882" t="s">
        <v>8172</v>
      </c>
      <c r="B316" s="2271" t="s">
        <v>6798</v>
      </c>
      <c r="C316" s="471" t="s">
        <v>133</v>
      </c>
      <c r="D316" s="1749">
        <f t="shared" si="19"/>
        <v>8</v>
      </c>
      <c r="E316" s="2273">
        <f>+'APU PTAP'!B1989</f>
        <v>37956</v>
      </c>
      <c r="F316" s="260">
        <f t="shared" ref="F316:F323" si="20">+ROUND(D316*E316,0)</f>
        <v>303648</v>
      </c>
    </row>
    <row r="317" spans="1:6">
      <c r="A317" s="1882" t="s">
        <v>8173</v>
      </c>
      <c r="B317" s="2271" t="s">
        <v>6797</v>
      </c>
      <c r="C317" s="471" t="s">
        <v>133</v>
      </c>
      <c r="D317" s="1749">
        <f t="shared" si="19"/>
        <v>24</v>
      </c>
      <c r="E317" s="2273">
        <f>+'APU PTAP'!B2004</f>
        <v>29766</v>
      </c>
      <c r="F317" s="260">
        <f t="shared" si="20"/>
        <v>714384</v>
      </c>
    </row>
    <row r="318" spans="1:6">
      <c r="A318" s="1882" t="s">
        <v>8174</v>
      </c>
      <c r="B318" s="2271" t="s">
        <v>4948</v>
      </c>
      <c r="C318" s="471" t="s">
        <v>133</v>
      </c>
      <c r="D318" s="1749">
        <f t="shared" si="19"/>
        <v>8</v>
      </c>
      <c r="E318" s="2273">
        <f>+'APU PTAP'!B2019</f>
        <v>23246</v>
      </c>
      <c r="F318" s="260">
        <f t="shared" si="20"/>
        <v>185968</v>
      </c>
    </row>
    <row r="319" spans="1:6">
      <c r="A319" s="1882" t="s">
        <v>8175</v>
      </c>
      <c r="B319" s="2271" t="s">
        <v>6802</v>
      </c>
      <c r="C319" s="471" t="s">
        <v>133</v>
      </c>
      <c r="D319" s="1749">
        <f t="shared" si="19"/>
        <v>8</v>
      </c>
      <c r="E319" s="2273">
        <f>+'APU PTAP'!B2034</f>
        <v>153413</v>
      </c>
      <c r="F319" s="260">
        <f t="shared" si="20"/>
        <v>1227304</v>
      </c>
    </row>
    <row r="320" spans="1:6">
      <c r="A320" s="1882" t="s">
        <v>8176</v>
      </c>
      <c r="B320" s="2271" t="s">
        <v>7065</v>
      </c>
      <c r="C320" s="471" t="s">
        <v>133</v>
      </c>
      <c r="D320" s="2187">
        <f t="shared" si="19"/>
        <v>2</v>
      </c>
      <c r="E320" s="2264">
        <f>+'APU PTAP'!B2049</f>
        <v>1203567</v>
      </c>
      <c r="F320" s="260">
        <f t="shared" si="20"/>
        <v>2407134</v>
      </c>
    </row>
    <row r="321" spans="1:8">
      <c r="A321" s="1882" t="s">
        <v>8177</v>
      </c>
      <c r="B321" s="2271" t="s">
        <v>6812</v>
      </c>
      <c r="C321" s="471" t="s">
        <v>133</v>
      </c>
      <c r="D321" s="2187">
        <f t="shared" si="19"/>
        <v>10</v>
      </c>
      <c r="E321" s="2264">
        <f>+'APU PTAP'!B2065</f>
        <v>67391</v>
      </c>
      <c r="F321" s="260">
        <f t="shared" si="20"/>
        <v>673910</v>
      </c>
    </row>
    <row r="322" spans="1:8">
      <c r="A322" s="1882" t="s">
        <v>8178</v>
      </c>
      <c r="B322" s="1549" t="s">
        <v>7066</v>
      </c>
      <c r="C322" s="471" t="s">
        <v>133</v>
      </c>
      <c r="D322" s="1753">
        <v>1</v>
      </c>
      <c r="E322" s="2264">
        <f>+'APU PTAP'!B2080</f>
        <v>1533435</v>
      </c>
      <c r="F322" s="260">
        <f t="shared" si="20"/>
        <v>1533435</v>
      </c>
    </row>
    <row r="323" spans="1:8">
      <c r="A323" s="1882" t="s">
        <v>8179</v>
      </c>
      <c r="B323" s="1549" t="s">
        <v>7067</v>
      </c>
      <c r="C323" s="471" t="s">
        <v>133</v>
      </c>
      <c r="D323" s="1753">
        <v>2</v>
      </c>
      <c r="E323" s="260">
        <f>+'APU PTAP'!B2095</f>
        <v>1317450</v>
      </c>
      <c r="F323" s="260">
        <f t="shared" si="20"/>
        <v>2634900</v>
      </c>
    </row>
    <row r="324" spans="1:8">
      <c r="A324" s="1834" t="s">
        <v>5732</v>
      </c>
      <c r="B324" s="1777" t="s">
        <v>5719</v>
      </c>
      <c r="C324" s="1778"/>
      <c r="D324" s="1778"/>
      <c r="E324" s="1778"/>
      <c r="F324" s="1779">
        <f>+SUM(F325:F329)</f>
        <v>34044500</v>
      </c>
    </row>
    <row r="325" spans="1:8">
      <c r="A325" s="1748"/>
      <c r="B325" s="1696" t="s">
        <v>5713</v>
      </c>
      <c r="C325" s="471"/>
      <c r="D325" s="1752"/>
      <c r="E325" s="260"/>
      <c r="F325" s="1531"/>
    </row>
    <row r="326" spans="1:8" ht="134.4">
      <c r="A326" s="1882" t="s">
        <v>5792</v>
      </c>
      <c r="B326" s="1544" t="s">
        <v>5716</v>
      </c>
      <c r="C326" s="471" t="s">
        <v>133</v>
      </c>
      <c r="D326" s="1749">
        <v>1</v>
      </c>
      <c r="E326" s="260">
        <f>+'APU PTAP ELECTRICO'!B669</f>
        <v>25004000</v>
      </c>
      <c r="F326" s="260">
        <f t="shared" ref="F326:F329" si="21">+ROUND(D326*E326,0)</f>
        <v>25004000</v>
      </c>
    </row>
    <row r="327" spans="1:8" ht="33.6">
      <c r="A327" s="1776"/>
      <c r="B327" s="1697" t="s">
        <v>5715</v>
      </c>
      <c r="C327" s="471"/>
      <c r="D327" s="1749"/>
      <c r="E327" s="260"/>
      <c r="F327" s="1531"/>
    </row>
    <row r="328" spans="1:8" ht="84">
      <c r="A328" s="1882" t="s">
        <v>5793</v>
      </c>
      <c r="B328" s="1544" t="s">
        <v>7802</v>
      </c>
      <c r="C328" s="471" t="s">
        <v>45</v>
      </c>
      <c r="D328" s="1749">
        <v>140</v>
      </c>
      <c r="E328" s="260">
        <f>+'APU PTAP ELECTRICO'!B686</f>
        <v>45050</v>
      </c>
      <c r="F328" s="260">
        <f t="shared" si="21"/>
        <v>6307000</v>
      </c>
    </row>
    <row r="329" spans="1:8" ht="84">
      <c r="A329" s="1882" t="s">
        <v>5794</v>
      </c>
      <c r="B329" s="1544" t="s">
        <v>5119</v>
      </c>
      <c r="C329" s="471" t="s">
        <v>45</v>
      </c>
      <c r="D329" s="1749">
        <v>70</v>
      </c>
      <c r="E329" s="260">
        <f>+'APU PTAP ELECTRICO'!B703</f>
        <v>39050</v>
      </c>
      <c r="F329" s="260">
        <f t="shared" si="21"/>
        <v>2733500</v>
      </c>
    </row>
    <row r="330" spans="1:8">
      <c r="A330" s="3754" t="s">
        <v>5043</v>
      </c>
      <c r="B330" s="3754"/>
      <c r="C330" s="3754"/>
      <c r="D330" s="3754"/>
      <c r="E330" s="3755"/>
      <c r="F330" s="995">
        <f>+SUM(F256:F323,F326:F329)</f>
        <v>208716385</v>
      </c>
      <c r="G330" s="2368">
        <f>+F330</f>
        <v>208716385</v>
      </c>
      <c r="H330" s="2369" t="s">
        <v>8225</v>
      </c>
    </row>
    <row r="331" spans="1:8">
      <c r="A331" s="3754" t="str">
        <f>+A155</f>
        <v>ADMINISTRACION SUMINISTROS</v>
      </c>
      <c r="B331" s="3754"/>
      <c r="C331" s="3754"/>
      <c r="D331" s="3755"/>
      <c r="E331" s="2217">
        <f>+AIU!H47</f>
        <v>0.18358899999999997</v>
      </c>
      <c r="F331" s="988">
        <f>+ROUND(F330*E331,0)</f>
        <v>38318032</v>
      </c>
      <c r="G331" s="492" t="str">
        <f t="shared" ref="G331:G335" si="22">+LOWER(B331)</f>
        <v/>
      </c>
    </row>
    <row r="332" spans="1:8">
      <c r="A332" s="3754" t="str">
        <f>+A156</f>
        <v>INTERVENTORIA SUMINISTRO</v>
      </c>
      <c r="B332" s="3754"/>
      <c r="C332" s="3754"/>
      <c r="D332" s="3755"/>
      <c r="E332" s="989">
        <v>0.01</v>
      </c>
      <c r="F332" s="988">
        <f>ROUND(E332*(F331+F330),0)</f>
        <v>2470344</v>
      </c>
      <c r="G332" s="492" t="str">
        <f t="shared" si="22"/>
        <v/>
      </c>
    </row>
    <row r="333" spans="1:8">
      <c r="A333" s="3929" t="s">
        <v>8544</v>
      </c>
      <c r="B333" s="3754"/>
      <c r="C333" s="3754"/>
      <c r="D333" s="3755"/>
      <c r="E333" s="1537">
        <v>0.02</v>
      </c>
      <c r="F333" s="988">
        <f>ROUND(E333*(F331+F330),0)</f>
        <v>4940688</v>
      </c>
      <c r="G333" s="492" t="str">
        <f t="shared" si="22"/>
        <v/>
      </c>
    </row>
    <row r="334" spans="1:8">
      <c r="A334" s="3754" t="s">
        <v>5053</v>
      </c>
      <c r="B334" s="3754"/>
      <c r="C334" s="3754"/>
      <c r="D334" s="3754"/>
      <c r="E334" s="3755"/>
      <c r="F334" s="995">
        <f>SUM(F330:F333)</f>
        <v>254445449</v>
      </c>
      <c r="G334" s="492" t="str">
        <f t="shared" si="22"/>
        <v/>
      </c>
    </row>
    <row r="335" spans="1:8">
      <c r="A335" s="655"/>
      <c r="B335" s="1552"/>
      <c r="C335" s="270"/>
      <c r="D335" s="271"/>
      <c r="E335" s="272"/>
      <c r="F335" s="1551"/>
      <c r="G335" s="492" t="str">
        <f t="shared" si="22"/>
        <v/>
      </c>
    </row>
    <row r="336" spans="1:8">
      <c r="A336" s="1034"/>
      <c r="B336" s="3933" t="s">
        <v>3856</v>
      </c>
      <c r="C336" s="3934"/>
      <c r="D336" s="3934"/>
      <c r="E336" s="3935"/>
      <c r="F336" s="1553">
        <f>+F334+F254+F158+F118</f>
        <v>3442108295</v>
      </c>
    </row>
    <row r="337" spans="1:6">
      <c r="A337" s="655"/>
      <c r="B337" s="269"/>
      <c r="C337" s="270"/>
      <c r="D337" s="271"/>
      <c r="E337" s="272"/>
      <c r="F337" s="260"/>
    </row>
    <row r="338" spans="1:6">
      <c r="A338" s="3936"/>
      <c r="B338" s="3936"/>
      <c r="C338" s="3936"/>
      <c r="D338" s="3936"/>
      <c r="E338" s="3936"/>
      <c r="F338" s="3936"/>
    </row>
    <row r="339" spans="1:6" ht="17.25" customHeight="1">
      <c r="A339" s="1881" t="s">
        <v>1449</v>
      </c>
      <c r="B339" s="3932" t="s">
        <v>5619</v>
      </c>
      <c r="C339" s="3932"/>
      <c r="D339" s="3932"/>
      <c r="E339" s="3932"/>
      <c r="F339" s="3932"/>
    </row>
    <row r="340" spans="1:6" ht="33.6">
      <c r="A340" s="244" t="s">
        <v>22</v>
      </c>
      <c r="B340" s="245" t="s">
        <v>23</v>
      </c>
      <c r="C340" s="245" t="s">
        <v>150</v>
      </c>
      <c r="D340" s="1484" t="s">
        <v>539</v>
      </c>
      <c r="E340" s="1498" t="s">
        <v>151</v>
      </c>
      <c r="F340" s="1498" t="s">
        <v>540</v>
      </c>
    </row>
    <row r="341" spans="1:6" ht="16.8">
      <c r="A341" s="1718"/>
      <c r="B341" s="1466" t="s">
        <v>1082</v>
      </c>
      <c r="C341" s="1738"/>
      <c r="D341" s="1485"/>
      <c r="E341" s="1884"/>
      <c r="F341" s="1503"/>
    </row>
    <row r="342" spans="1:6" ht="16.8">
      <c r="A342" s="1877">
        <v>3.1</v>
      </c>
      <c r="B342" s="1467" t="s">
        <v>5190</v>
      </c>
      <c r="C342" s="1877"/>
      <c r="D342" s="1486"/>
      <c r="E342" s="1499"/>
      <c r="F342" s="1503"/>
    </row>
    <row r="343" spans="1:6" ht="33.6">
      <c r="A343" s="1420" t="s">
        <v>5802</v>
      </c>
      <c r="B343" s="258" t="s">
        <v>5222</v>
      </c>
      <c r="C343" s="471" t="s">
        <v>5191</v>
      </c>
      <c r="D343" s="1487">
        <v>1</v>
      </c>
      <c r="E343" s="1502">
        <f>+'APU PTAP ELECTRICO'!$B$12</f>
        <v>281732.37706600002</v>
      </c>
      <c r="F343" s="2370">
        <f>ROUND(E343*D343,0)</f>
        <v>281732</v>
      </c>
    </row>
    <row r="344" spans="1:6" ht="33.6">
      <c r="A344" s="1420" t="s">
        <v>714</v>
      </c>
      <c r="B344" s="258" t="s">
        <v>5223</v>
      </c>
      <c r="C344" s="471" t="s">
        <v>5191</v>
      </c>
      <c r="D344" s="1487">
        <v>2</v>
      </c>
      <c r="E344" s="1502">
        <f>+'APU PTAP ELECTRICO'!$B$31</f>
        <v>334949.64875999995</v>
      </c>
      <c r="F344" s="2370">
        <f t="shared" ref="F344:F389" si="23">ROUND(E344*D344,0)</f>
        <v>669899</v>
      </c>
    </row>
    <row r="345" spans="1:6" ht="16.8">
      <c r="A345" s="1420" t="s">
        <v>6054</v>
      </c>
      <c r="B345" s="258" t="s">
        <v>5224</v>
      </c>
      <c r="C345" s="471" t="s">
        <v>4693</v>
      </c>
      <c r="D345" s="1487">
        <v>30</v>
      </c>
      <c r="E345" s="1502">
        <f>+'APU PTAP ELECTRICO'!$B$59</f>
        <v>5536.6188533000031</v>
      </c>
      <c r="F345" s="2370">
        <f t="shared" si="23"/>
        <v>166099</v>
      </c>
    </row>
    <row r="346" spans="1:6" ht="16.8">
      <c r="A346" s="1420" t="s">
        <v>6055</v>
      </c>
      <c r="B346" s="258" t="s">
        <v>5225</v>
      </c>
      <c r="C346" s="471" t="s">
        <v>5191</v>
      </c>
      <c r="D346" s="1487">
        <v>1</v>
      </c>
      <c r="E346" s="1502">
        <f>+'APU PTAP ELECTRICO'!$B$77</f>
        <v>291830.94266499998</v>
      </c>
      <c r="F346" s="2370">
        <f t="shared" si="23"/>
        <v>291831</v>
      </c>
    </row>
    <row r="347" spans="1:6" ht="33.6">
      <c r="A347" s="1420" t="s">
        <v>6056</v>
      </c>
      <c r="B347" s="258" t="s">
        <v>5226</v>
      </c>
      <c r="C347" s="471" t="s">
        <v>5191</v>
      </c>
      <c r="D347" s="1487">
        <v>1</v>
      </c>
      <c r="E347" s="1502">
        <f>+'APU PTAP ELECTRICO'!$B$105</f>
        <v>956549.18044000003</v>
      </c>
      <c r="F347" s="2370">
        <f t="shared" si="23"/>
        <v>956549</v>
      </c>
    </row>
    <row r="348" spans="1:6" ht="16.8">
      <c r="A348" s="1420" t="s">
        <v>6057</v>
      </c>
      <c r="B348" s="258" t="s">
        <v>5227</v>
      </c>
      <c r="C348" s="471" t="s">
        <v>5192</v>
      </c>
      <c r="D348" s="1487">
        <v>1</v>
      </c>
      <c r="E348" s="1502">
        <f>+'APU PTAP ELECTRICO'!$B$137</f>
        <v>4043000</v>
      </c>
      <c r="F348" s="2370">
        <f t="shared" si="23"/>
        <v>4043000</v>
      </c>
    </row>
    <row r="349" spans="1:6" ht="16.8">
      <c r="A349" s="1877" t="s">
        <v>1451</v>
      </c>
      <c r="B349" s="1468" t="s">
        <v>5526</v>
      </c>
      <c r="C349" s="1877"/>
      <c r="D349" s="1486"/>
      <c r="E349" s="1499"/>
      <c r="F349" s="1504"/>
    </row>
    <row r="350" spans="1:6" ht="16.8">
      <c r="A350" s="1420" t="s">
        <v>5803</v>
      </c>
      <c r="B350" s="258" t="s">
        <v>5228</v>
      </c>
      <c r="C350" s="1470" t="s">
        <v>5191</v>
      </c>
      <c r="D350" s="1471">
        <v>9</v>
      </c>
      <c r="E350" s="1502">
        <f>+'APU PTAP ELECTRICO'!$B$145</f>
        <v>274636.7214864</v>
      </c>
      <c r="F350" s="2370">
        <f t="shared" si="23"/>
        <v>2471730</v>
      </c>
    </row>
    <row r="351" spans="1:6" ht="16.8">
      <c r="A351" s="1877" t="s">
        <v>5723</v>
      </c>
      <c r="B351" s="1467" t="s">
        <v>5527</v>
      </c>
      <c r="C351" s="1877"/>
      <c r="D351" s="1486"/>
      <c r="E351" s="1499"/>
      <c r="F351" s="1504"/>
    </row>
    <row r="352" spans="1:6" ht="33.6">
      <c r="A352" s="1420" t="s">
        <v>5808</v>
      </c>
      <c r="B352" s="258" t="s">
        <v>5229</v>
      </c>
      <c r="C352" s="471" t="s">
        <v>5191</v>
      </c>
      <c r="D352" s="1487">
        <v>1</v>
      </c>
      <c r="E352" s="1502">
        <f>+'APU PTAP ELECTRICO'!$B$169</f>
        <v>619934.836259</v>
      </c>
      <c r="F352" s="2370">
        <f t="shared" si="23"/>
        <v>619935</v>
      </c>
    </row>
    <row r="353" spans="1:6" ht="50.4">
      <c r="A353" s="1420" t="s">
        <v>5809</v>
      </c>
      <c r="B353" s="258" t="s">
        <v>5230</v>
      </c>
      <c r="C353" s="471" t="s">
        <v>5191</v>
      </c>
      <c r="D353" s="1487">
        <v>1</v>
      </c>
      <c r="E353" s="1502">
        <f>+'APU PTAP ELECTRICO'!$B$189</f>
        <v>549059.836259</v>
      </c>
      <c r="F353" s="2370">
        <f t="shared" si="23"/>
        <v>549060</v>
      </c>
    </row>
    <row r="354" spans="1:6" ht="33.6">
      <c r="A354" s="1877" t="s">
        <v>5724</v>
      </c>
      <c r="B354" s="1467" t="s">
        <v>5528</v>
      </c>
      <c r="C354" s="1877"/>
      <c r="D354" s="1486"/>
      <c r="E354" s="1499"/>
      <c r="F354" s="1504"/>
    </row>
    <row r="355" spans="1:6" ht="50.4">
      <c r="A355" s="1420" t="s">
        <v>5815</v>
      </c>
      <c r="B355" s="258" t="s">
        <v>5231</v>
      </c>
      <c r="C355" s="471" t="s">
        <v>4693</v>
      </c>
      <c r="D355" s="1487">
        <v>20</v>
      </c>
      <c r="E355" s="1502">
        <f>+'APU PTAP ELECTRICO'!$B$208</f>
        <v>21044.964875999998</v>
      </c>
      <c r="F355" s="2370">
        <f t="shared" si="23"/>
        <v>420899</v>
      </c>
    </row>
    <row r="356" spans="1:6" ht="33.6">
      <c r="A356" s="1877" t="s">
        <v>5725</v>
      </c>
      <c r="B356" s="1467" t="s">
        <v>5529</v>
      </c>
      <c r="C356" s="1877"/>
      <c r="D356" s="1486"/>
      <c r="E356" s="1499"/>
      <c r="F356" s="1504"/>
    </row>
    <row r="357" spans="1:6" ht="100.8">
      <c r="A357" s="1420" t="s">
        <v>5821</v>
      </c>
      <c r="B357" s="1463" t="s">
        <v>5232</v>
      </c>
      <c r="C357" s="1470" t="s">
        <v>5191</v>
      </c>
      <c r="D357" s="1472">
        <v>1</v>
      </c>
      <c r="E357" s="1502">
        <f>+'APU PTAP ELECTRICO'!$B$224</f>
        <v>2455245.9021999999</v>
      </c>
      <c r="F357" s="2370">
        <f t="shared" si="23"/>
        <v>2455246</v>
      </c>
    </row>
    <row r="358" spans="1:6" ht="33.6">
      <c r="A358" s="1877" t="s">
        <v>5726</v>
      </c>
      <c r="B358" s="1467" t="s">
        <v>5530</v>
      </c>
      <c r="C358" s="1877"/>
      <c r="D358" s="1486"/>
      <c r="E358" s="1499"/>
      <c r="F358" s="1504"/>
    </row>
    <row r="359" spans="1:6" ht="50.4">
      <c r="A359" s="1420" t="s">
        <v>5822</v>
      </c>
      <c r="B359" s="323" t="s">
        <v>5233</v>
      </c>
      <c r="C359" s="1470" t="s">
        <v>4693</v>
      </c>
      <c r="D359" s="1471">
        <v>12</v>
      </c>
      <c r="E359" s="1502">
        <f>+'APU PTAP ELECTRICO'!$B$244</f>
        <v>21044.964875999998</v>
      </c>
      <c r="F359" s="2370">
        <f t="shared" si="23"/>
        <v>252540</v>
      </c>
    </row>
    <row r="360" spans="1:6" ht="33.6">
      <c r="A360" s="1877" t="s">
        <v>5727</v>
      </c>
      <c r="B360" s="1467" t="s">
        <v>5531</v>
      </c>
      <c r="C360" s="1877"/>
      <c r="D360" s="1486"/>
      <c r="E360" s="1499"/>
      <c r="F360" s="1504"/>
    </row>
    <row r="361" spans="1:6" ht="50.4">
      <c r="A361" s="1420" t="s">
        <v>6058</v>
      </c>
      <c r="B361" s="323" t="s">
        <v>5234</v>
      </c>
      <c r="C361" s="1470" t="s">
        <v>4693</v>
      </c>
      <c r="D361" s="1471">
        <v>15</v>
      </c>
      <c r="E361" s="1502">
        <f>+'APU PTAP ELECTRICO'!$B$260</f>
        <v>21044.964875999998</v>
      </c>
      <c r="F361" s="2370">
        <f t="shared" si="23"/>
        <v>315674</v>
      </c>
    </row>
    <row r="362" spans="1:6" ht="16.8">
      <c r="A362" s="1877" t="s">
        <v>5728</v>
      </c>
      <c r="B362" s="1467" t="s">
        <v>5532</v>
      </c>
      <c r="C362" s="1877"/>
      <c r="D362" s="1486"/>
      <c r="E362" s="1499"/>
      <c r="F362" s="1504"/>
    </row>
    <row r="363" spans="1:6" ht="50.4">
      <c r="A363" s="1420" t="s">
        <v>6059</v>
      </c>
      <c r="B363" s="349" t="s">
        <v>5235</v>
      </c>
      <c r="C363" s="1470" t="s">
        <v>5191</v>
      </c>
      <c r="D363" s="1471">
        <v>1</v>
      </c>
      <c r="E363" s="1502">
        <f>+'APU PTAP ELECTRICO'!$B$277</f>
        <v>2454496.4875999996</v>
      </c>
      <c r="F363" s="2370">
        <f t="shared" si="23"/>
        <v>2454496</v>
      </c>
    </row>
    <row r="364" spans="1:6" ht="16.8">
      <c r="A364" s="1877" t="s">
        <v>5729</v>
      </c>
      <c r="B364" s="1467" t="s">
        <v>5533</v>
      </c>
      <c r="C364" s="1877"/>
      <c r="D364" s="1486"/>
      <c r="E364" s="1499"/>
      <c r="F364" s="1504"/>
    </row>
    <row r="365" spans="1:6" ht="184.8">
      <c r="A365" s="1420" t="s">
        <v>6060</v>
      </c>
      <c r="B365" s="258" t="s">
        <v>5236</v>
      </c>
      <c r="C365" s="1470" t="s">
        <v>5191</v>
      </c>
      <c r="D365" s="1472">
        <v>1</v>
      </c>
      <c r="E365" s="1502">
        <f>+'APU PTAP ELECTRICO'!$B$292</f>
        <v>2552713.11638</v>
      </c>
      <c r="F365" s="2370">
        <f t="shared" si="23"/>
        <v>2552713</v>
      </c>
    </row>
    <row r="366" spans="1:6" ht="33.6">
      <c r="A366" s="1877" t="s">
        <v>5730</v>
      </c>
      <c r="B366" s="1467" t="s">
        <v>5534</v>
      </c>
      <c r="C366" s="1877"/>
      <c r="D366" s="1486"/>
      <c r="E366" s="1499"/>
      <c r="F366" s="1504"/>
    </row>
    <row r="367" spans="1:6" ht="33.6">
      <c r="A367" s="1420" t="s">
        <v>6061</v>
      </c>
      <c r="B367" s="323" t="s">
        <v>5237</v>
      </c>
      <c r="C367" s="1470" t="s">
        <v>4693</v>
      </c>
      <c r="D367" s="1471">
        <v>10</v>
      </c>
      <c r="E367" s="1502">
        <f>+'APU PTAP ELECTRICO'!$B$331</f>
        <v>24552.459021999999</v>
      </c>
      <c r="F367" s="2370">
        <f t="shared" si="23"/>
        <v>245525</v>
      </c>
    </row>
    <row r="368" spans="1:6" ht="33.6">
      <c r="A368" s="1420" t="s">
        <v>6062</v>
      </c>
      <c r="B368" s="323" t="s">
        <v>5238</v>
      </c>
      <c r="C368" s="1470" t="s">
        <v>4693</v>
      </c>
      <c r="D368" s="1471">
        <v>30</v>
      </c>
      <c r="E368" s="1502">
        <f>+'APU PTAP ELECTRICO'!$B$347</f>
        <v>24552.459021999999</v>
      </c>
      <c r="F368" s="2370">
        <f t="shared" si="23"/>
        <v>736574</v>
      </c>
    </row>
    <row r="369" spans="1:6" ht="50.4">
      <c r="A369" s="1420" t="s">
        <v>6063</v>
      </c>
      <c r="B369" s="323" t="s">
        <v>5108</v>
      </c>
      <c r="C369" s="1470" t="s">
        <v>4693</v>
      </c>
      <c r="D369" s="1471">
        <v>56</v>
      </c>
      <c r="E369" s="1502">
        <f>+'APU PTAP ELECTRICO'!$B$363</f>
        <v>18414.3442665</v>
      </c>
      <c r="F369" s="2370">
        <f t="shared" si="23"/>
        <v>1031203</v>
      </c>
    </row>
    <row r="370" spans="1:6" ht="16.8">
      <c r="A370" s="1877" t="s">
        <v>6064</v>
      </c>
      <c r="B370" s="1467" t="s">
        <v>5535</v>
      </c>
      <c r="C370" s="1877"/>
      <c r="D370" s="1486"/>
      <c r="E370" s="1499"/>
      <c r="F370" s="1504"/>
    </row>
    <row r="371" spans="1:6" ht="50.4">
      <c r="A371" s="1420" t="s">
        <v>6065</v>
      </c>
      <c r="B371" s="323" t="s">
        <v>5122</v>
      </c>
      <c r="C371" s="1470" t="s">
        <v>5191</v>
      </c>
      <c r="D371" s="1471">
        <v>1</v>
      </c>
      <c r="E371" s="1502">
        <f>+'APU PTAP ELECTRICO'!$B$413</f>
        <v>184143.44266500001</v>
      </c>
      <c r="F371" s="2370">
        <f t="shared" si="23"/>
        <v>184143</v>
      </c>
    </row>
    <row r="372" spans="1:6" ht="50.4">
      <c r="A372" s="1420" t="s">
        <v>6066</v>
      </c>
      <c r="B372" s="323" t="s">
        <v>5128</v>
      </c>
      <c r="C372" s="1470" t="s">
        <v>5191</v>
      </c>
      <c r="D372" s="1471">
        <v>1</v>
      </c>
      <c r="E372" s="1502">
        <f>+'APU PTAP ELECTRICO'!$B$430</f>
        <v>210449.64876000001</v>
      </c>
      <c r="F372" s="2370">
        <f t="shared" si="23"/>
        <v>210450</v>
      </c>
    </row>
    <row r="373" spans="1:6" ht="33.6">
      <c r="A373" s="1420" t="s">
        <v>6067</v>
      </c>
      <c r="B373" s="1464" t="s">
        <v>5240</v>
      </c>
      <c r="C373" s="1470" t="s">
        <v>5191</v>
      </c>
      <c r="D373" s="1471">
        <v>14</v>
      </c>
      <c r="E373" s="1502">
        <f>+'APU PTAP ELECTRICO'!$B$447</f>
        <v>29462.9508264</v>
      </c>
      <c r="F373" s="2370">
        <f t="shared" si="23"/>
        <v>412481</v>
      </c>
    </row>
    <row r="374" spans="1:6" ht="33.6">
      <c r="A374" s="1420" t="s">
        <v>6068</v>
      </c>
      <c r="B374" s="1464" t="s">
        <v>5241</v>
      </c>
      <c r="C374" s="1470" t="s">
        <v>5191</v>
      </c>
      <c r="D374" s="1471">
        <v>3</v>
      </c>
      <c r="E374" s="1502">
        <f>+'APU PTAP ELECTRICO'!$B$467</f>
        <v>29462.9508264</v>
      </c>
      <c r="F374" s="2370">
        <f t="shared" si="23"/>
        <v>88389</v>
      </c>
    </row>
    <row r="375" spans="1:6" ht="33.6">
      <c r="A375" s="1420" t="s">
        <v>6069</v>
      </c>
      <c r="B375" s="1464" t="s">
        <v>5242</v>
      </c>
      <c r="C375" s="1470" t="s">
        <v>5191</v>
      </c>
      <c r="D375" s="1471">
        <v>2</v>
      </c>
      <c r="E375" s="1502">
        <f>+'APU PTAP ELECTRICO'!$B$488</f>
        <v>36828.688533</v>
      </c>
      <c r="F375" s="2370">
        <f t="shared" si="23"/>
        <v>73657</v>
      </c>
    </row>
    <row r="376" spans="1:6" ht="16.8">
      <c r="A376" s="1420" t="s">
        <v>6070</v>
      </c>
      <c r="B376" s="1464" t="s">
        <v>5160</v>
      </c>
      <c r="C376" s="1470" t="s">
        <v>5191</v>
      </c>
      <c r="D376" s="1471">
        <v>6</v>
      </c>
      <c r="E376" s="1502">
        <f>+'APU PTAP ELECTRICO'!$B$508</f>
        <v>24552.459021999999</v>
      </c>
      <c r="F376" s="2370">
        <f t="shared" si="23"/>
        <v>147315</v>
      </c>
    </row>
    <row r="377" spans="1:6" ht="16.8">
      <c r="A377" s="1420" t="s">
        <v>6071</v>
      </c>
      <c r="B377" s="1464" t="s">
        <v>5164</v>
      </c>
      <c r="C377" s="1470" t="s">
        <v>5191</v>
      </c>
      <c r="D377" s="1471">
        <v>8</v>
      </c>
      <c r="E377" s="1502">
        <f>+'APU PTAP ELECTRICO'!$B$523</f>
        <v>24552.459021999999</v>
      </c>
      <c r="F377" s="2370">
        <f t="shared" si="23"/>
        <v>196420</v>
      </c>
    </row>
    <row r="378" spans="1:6" ht="16.8">
      <c r="A378" s="1877" t="s">
        <v>6072</v>
      </c>
      <c r="B378" s="1467" t="s">
        <v>5536</v>
      </c>
      <c r="C378" s="1877"/>
      <c r="D378" s="1486"/>
      <c r="E378" s="1499"/>
      <c r="F378" s="1504"/>
    </row>
    <row r="379" spans="1:6" ht="50.4">
      <c r="A379" s="1420" t="s">
        <v>6073</v>
      </c>
      <c r="B379" s="1465" t="s">
        <v>5167</v>
      </c>
      <c r="C379" s="471" t="s">
        <v>4693</v>
      </c>
      <c r="D379" s="1473">
        <v>180</v>
      </c>
      <c r="E379" s="1502">
        <f>+'APU PTAP ELECTRICO'!$B$538</f>
        <v>14731.4754132</v>
      </c>
      <c r="F379" s="2370">
        <f t="shared" si="23"/>
        <v>2651666</v>
      </c>
    </row>
    <row r="380" spans="1:6" ht="33.6">
      <c r="A380" s="1420" t="s">
        <v>6074</v>
      </c>
      <c r="B380" s="1465" t="s">
        <v>5243</v>
      </c>
      <c r="C380" s="471" t="s">
        <v>5191</v>
      </c>
      <c r="D380" s="1473">
        <v>9</v>
      </c>
      <c r="E380" s="1502">
        <f>+'APU PTAP ELECTRICO'!$B$554</f>
        <v>147314.754132</v>
      </c>
      <c r="F380" s="2370">
        <f t="shared" si="23"/>
        <v>1325833</v>
      </c>
    </row>
    <row r="381" spans="1:6" ht="16.8">
      <c r="A381" s="1420" t="s">
        <v>6075</v>
      </c>
      <c r="B381" s="1465" t="s">
        <v>5177</v>
      </c>
      <c r="C381" s="471" t="s">
        <v>5191</v>
      </c>
      <c r="D381" s="1473">
        <v>8</v>
      </c>
      <c r="E381" s="1502">
        <f>+'APU PTAP ELECTRICO'!$B$571</f>
        <v>137318.3607432</v>
      </c>
      <c r="F381" s="2370">
        <f t="shared" si="23"/>
        <v>1098547</v>
      </c>
    </row>
    <row r="382" spans="1:6" ht="16.8">
      <c r="A382" s="1877" t="s">
        <v>6076</v>
      </c>
      <c r="B382" s="1467" t="s">
        <v>5537</v>
      </c>
      <c r="C382" s="1877"/>
      <c r="D382" s="1486"/>
      <c r="E382" s="1499"/>
      <c r="F382" s="1504"/>
    </row>
    <row r="383" spans="1:6" ht="134.4">
      <c r="A383" s="1420" t="s">
        <v>6077</v>
      </c>
      <c r="B383" s="258" t="s">
        <v>5244</v>
      </c>
      <c r="C383" s="1470" t="s">
        <v>5191</v>
      </c>
      <c r="D383" s="1471">
        <v>1</v>
      </c>
      <c r="E383" s="1502">
        <f>+'APU PTAP ELECTRICO'!$B$586</f>
        <v>1604198.9053287501</v>
      </c>
      <c r="F383" s="2370">
        <f t="shared" si="23"/>
        <v>1604199</v>
      </c>
    </row>
    <row r="384" spans="1:6" ht="16.8">
      <c r="A384" s="1877" t="s">
        <v>6078</v>
      </c>
      <c r="B384" s="1467" t="s">
        <v>5538</v>
      </c>
      <c r="C384" s="1877"/>
      <c r="D384" s="1486"/>
      <c r="E384" s="1499"/>
      <c r="F384" s="1504"/>
    </row>
    <row r="385" spans="1:9" ht="16.8">
      <c r="A385" s="1420" t="s">
        <v>6079</v>
      </c>
      <c r="B385" s="474" t="s">
        <v>5189</v>
      </c>
      <c r="C385" s="1470" t="s">
        <v>5076</v>
      </c>
      <c r="D385" s="1473">
        <v>1</v>
      </c>
      <c r="E385" s="1502">
        <f>+'APU PTAP ELECTRICO'!$B$714</f>
        <v>6810000</v>
      </c>
      <c r="F385" s="2370">
        <f t="shared" si="23"/>
        <v>6810000</v>
      </c>
    </row>
    <row r="386" spans="1:9" ht="16.8">
      <c r="A386" s="1877" t="s">
        <v>6080</v>
      </c>
      <c r="B386" s="1467" t="s">
        <v>5657</v>
      </c>
      <c r="C386" s="1877"/>
      <c r="D386" s="1486"/>
      <c r="E386" s="1499"/>
      <c r="F386" s="1513"/>
    </row>
    <row r="387" spans="1:9" s="61" customFormat="1" ht="117.6">
      <c r="A387" s="1420" t="s">
        <v>6081</v>
      </c>
      <c r="B387" s="349" t="s">
        <v>6228</v>
      </c>
      <c r="C387" s="1878" t="s">
        <v>5191</v>
      </c>
      <c r="D387" s="1897">
        <v>2</v>
      </c>
      <c r="E387" s="1509">
        <f>+'APU PTAP ELECTRICO'!B602</f>
        <v>630000</v>
      </c>
      <c r="F387" s="2370">
        <f t="shared" si="23"/>
        <v>1260000</v>
      </c>
    </row>
    <row r="388" spans="1:9" s="61" customFormat="1" ht="102.75" customHeight="1">
      <c r="A388" s="1420" t="s">
        <v>6233</v>
      </c>
      <c r="B388" s="349" t="s">
        <v>6232</v>
      </c>
      <c r="C388" s="1878" t="s">
        <v>5191</v>
      </c>
      <c r="D388" s="1878">
        <v>2</v>
      </c>
      <c r="E388" s="1509">
        <f>+'APU PTAP ELECTRICO'!B618</f>
        <v>630000</v>
      </c>
      <c r="F388" s="2370">
        <f t="shared" si="23"/>
        <v>1260000</v>
      </c>
    </row>
    <row r="389" spans="1:9" s="61" customFormat="1" ht="90.75" customHeight="1">
      <c r="A389" s="1420" t="s">
        <v>6331</v>
      </c>
      <c r="B389" s="349" t="s">
        <v>6308</v>
      </c>
      <c r="C389" s="1878" t="s">
        <v>5191</v>
      </c>
      <c r="D389" s="1878">
        <v>2</v>
      </c>
      <c r="E389" s="1509">
        <f>+'APU PTAP ELECTRICO'!B633</f>
        <v>630000</v>
      </c>
      <c r="F389" s="2370">
        <f t="shared" si="23"/>
        <v>1260000</v>
      </c>
    </row>
    <row r="390" spans="1:9" ht="33" customHeight="1">
      <c r="A390" s="3534" t="s">
        <v>5626</v>
      </c>
      <c r="B390" s="3535"/>
      <c r="C390" s="3535"/>
      <c r="D390" s="3535"/>
      <c r="E390" s="3919"/>
      <c r="F390" s="2242">
        <f>SUM(F343:F389)</f>
        <v>39097805</v>
      </c>
      <c r="G390" s="2371">
        <f>+F390</f>
        <v>39097805</v>
      </c>
      <c r="H390" s="2369" t="s">
        <v>8225</v>
      </c>
      <c r="I390" s="2243"/>
    </row>
    <row r="391" spans="1:9" ht="16.8">
      <c r="A391" s="3536" t="s">
        <v>3619</v>
      </c>
      <c r="B391" s="3537"/>
      <c r="C391" s="3537"/>
      <c r="D391" s="3538"/>
      <c r="E391" s="2254">
        <f>+AIU</f>
        <v>0.29572249606750989</v>
      </c>
      <c r="F391" s="1554">
        <f>ROUND(F390*E391,0)</f>
        <v>11562100</v>
      </c>
    </row>
    <row r="392" spans="1:9" ht="16.8">
      <c r="A392" s="3536" t="str">
        <f>+A116</f>
        <v>INTERVENTORIA OBRA CIVIL</v>
      </c>
      <c r="B392" s="3537"/>
      <c r="C392" s="3537"/>
      <c r="D392" s="3538"/>
      <c r="E392" s="2388">
        <f>+'PRESUPUESTO-INTERV'!J50</f>
        <v>0.16163254000625432</v>
      </c>
      <c r="F392" s="1554">
        <f>ROUND(E392*(F390+F391),0)</f>
        <v>8188289</v>
      </c>
    </row>
    <row r="393" spans="1:9" ht="16.8">
      <c r="A393" s="1869"/>
      <c r="B393" s="1870" t="s">
        <v>4295</v>
      </c>
      <c r="C393" s="1870"/>
      <c r="D393" s="1488"/>
      <c r="E393" s="984">
        <v>0.02</v>
      </c>
      <c r="F393" s="1554">
        <f>ROUND(E393*(F390+F391),0)</f>
        <v>1013198</v>
      </c>
    </row>
    <row r="394" spans="1:9" ht="33" customHeight="1">
      <c r="A394" s="3531" t="s">
        <v>4299</v>
      </c>
      <c r="B394" s="3532"/>
      <c r="C394" s="3532"/>
      <c r="D394" s="3532"/>
      <c r="E394" s="3920"/>
      <c r="F394" s="2242">
        <f>+SUM(F390:F393)</f>
        <v>59861392</v>
      </c>
    </row>
    <row r="395" spans="1:9" ht="16.8">
      <c r="A395" s="1875" t="s">
        <v>6082</v>
      </c>
      <c r="B395" s="1876" t="s">
        <v>5190</v>
      </c>
      <c r="C395" s="1875"/>
      <c r="D395" s="1489"/>
      <c r="E395" s="1500"/>
      <c r="F395" s="1500"/>
    </row>
    <row r="396" spans="1:9" ht="33.6">
      <c r="A396" s="1420" t="s">
        <v>6083</v>
      </c>
      <c r="B396" s="258" t="s">
        <v>5245</v>
      </c>
      <c r="C396" s="1470" t="s">
        <v>5191</v>
      </c>
      <c r="D396" s="1476">
        <v>1</v>
      </c>
      <c r="E396" s="1502">
        <f>+'APU PTAP ELECTRICO'!$B$20</f>
        <v>1994000</v>
      </c>
      <c r="F396" s="2370">
        <f>ROUND(E396*D396,0)</f>
        <v>1994000</v>
      </c>
    </row>
    <row r="397" spans="1:9" ht="33.6">
      <c r="A397" s="1420" t="s">
        <v>6084</v>
      </c>
      <c r="B397" s="258" t="s">
        <v>5246</v>
      </c>
      <c r="C397" s="1470" t="s">
        <v>5191</v>
      </c>
      <c r="D397" s="1471">
        <v>2</v>
      </c>
      <c r="E397" s="1502">
        <f>+'APU PTAP ELECTRICO'!$B$48</f>
        <v>1389200</v>
      </c>
      <c r="F397" s="2370">
        <f t="shared" ref="F397:F428" si="24">ROUND(E397*D397,0)</f>
        <v>2778400</v>
      </c>
    </row>
    <row r="398" spans="1:9" ht="16.8">
      <c r="A398" s="1420" t="s">
        <v>6085</v>
      </c>
      <c r="B398" s="258" t="s">
        <v>5247</v>
      </c>
      <c r="C398" s="1470" t="s">
        <v>4693</v>
      </c>
      <c r="D398" s="1477">
        <v>30</v>
      </c>
      <c r="E398" s="1502">
        <f>+'APU PTAP ELECTRICO'!$B$66</f>
        <v>3100</v>
      </c>
      <c r="F398" s="2370">
        <f t="shared" si="24"/>
        <v>93000</v>
      </c>
    </row>
    <row r="399" spans="1:9" ht="16.8">
      <c r="A399" s="1420" t="s">
        <v>6086</v>
      </c>
      <c r="B399" s="258" t="s">
        <v>5248</v>
      </c>
      <c r="C399" s="1470" t="s">
        <v>5191</v>
      </c>
      <c r="D399" s="1478">
        <v>1</v>
      </c>
      <c r="E399" s="1502">
        <f>+'APU PTAP ELECTRICO'!$B$94</f>
        <v>316150</v>
      </c>
      <c r="F399" s="2370">
        <f t="shared" si="24"/>
        <v>316150</v>
      </c>
    </row>
    <row r="400" spans="1:9" ht="33.6">
      <c r="A400" s="1420" t="s">
        <v>6087</v>
      </c>
      <c r="B400" s="258" t="s">
        <v>5249</v>
      </c>
      <c r="C400" s="1470" t="s">
        <v>5191</v>
      </c>
      <c r="D400" s="1471">
        <v>1</v>
      </c>
      <c r="E400" s="1502">
        <f>+'APU PTAP ELECTRICO'!$B$124</f>
        <v>13216400</v>
      </c>
      <c r="F400" s="2370">
        <f t="shared" si="24"/>
        <v>13216400</v>
      </c>
    </row>
    <row r="401" spans="1:6" ht="16.8">
      <c r="A401" s="1875" t="s">
        <v>6088</v>
      </c>
      <c r="B401" s="1876" t="s">
        <v>5526</v>
      </c>
      <c r="C401" s="1875"/>
      <c r="D401" s="1489"/>
      <c r="E401" s="1500"/>
      <c r="F401" s="1500"/>
    </row>
    <row r="402" spans="1:6" ht="16.8">
      <c r="A402" s="1420" t="s">
        <v>6089</v>
      </c>
      <c r="B402" s="258" t="s">
        <v>5250</v>
      </c>
      <c r="C402" s="1470" t="s">
        <v>5191</v>
      </c>
      <c r="D402" s="1471">
        <v>9</v>
      </c>
      <c r="E402" s="1502">
        <f>+'APU PTAP ELECTRICO'!$B$159</f>
        <v>254747.5</v>
      </c>
      <c r="F402" s="2370">
        <f t="shared" si="24"/>
        <v>2292728</v>
      </c>
    </row>
    <row r="403" spans="1:6" ht="16.8">
      <c r="A403" s="1875" t="s">
        <v>6090</v>
      </c>
      <c r="B403" s="1876" t="s">
        <v>5527</v>
      </c>
      <c r="C403" s="1875"/>
      <c r="D403" s="1489"/>
      <c r="E403" s="1500"/>
      <c r="F403" s="1500"/>
    </row>
    <row r="404" spans="1:6" ht="33.6">
      <c r="A404" s="1420" t="s">
        <v>6091</v>
      </c>
      <c r="B404" s="349" t="s">
        <v>5251</v>
      </c>
      <c r="C404" s="1878" t="s">
        <v>5191</v>
      </c>
      <c r="D404" s="1478">
        <v>1</v>
      </c>
      <c r="E404" s="1509">
        <f>+'APU PTAP ELECTRICO'!$B$179</f>
        <v>4120000</v>
      </c>
      <c r="F404" s="2370">
        <f t="shared" si="24"/>
        <v>4120000</v>
      </c>
    </row>
    <row r="405" spans="1:6" ht="50.4">
      <c r="A405" s="1420" t="s">
        <v>6092</v>
      </c>
      <c r="B405" s="875" t="s">
        <v>5252</v>
      </c>
      <c r="C405" s="1470" t="s">
        <v>5191</v>
      </c>
      <c r="D405" s="1472">
        <v>1</v>
      </c>
      <c r="E405" s="1502">
        <f>+'APU PTAP ELECTRICO'!$B$200</f>
        <v>730000</v>
      </c>
      <c r="F405" s="2370">
        <f t="shared" si="24"/>
        <v>730000</v>
      </c>
    </row>
    <row r="406" spans="1:6" ht="33.6">
      <c r="A406" s="1875" t="s">
        <v>6093</v>
      </c>
      <c r="B406" s="1876" t="s">
        <v>5528</v>
      </c>
      <c r="C406" s="1875"/>
      <c r="D406" s="1489"/>
      <c r="E406" s="1500"/>
      <c r="F406" s="1500"/>
    </row>
    <row r="407" spans="1:6" ht="50.4">
      <c r="A407" s="1420" t="s">
        <v>6094</v>
      </c>
      <c r="B407" s="1463" t="s">
        <v>5217</v>
      </c>
      <c r="C407" s="1470" t="s">
        <v>4693</v>
      </c>
      <c r="D407" s="1471">
        <v>20</v>
      </c>
      <c r="E407" s="1502">
        <f>+'APU PTAP ELECTRICO'!$B$216</f>
        <v>169000</v>
      </c>
      <c r="F407" s="2370">
        <f t="shared" si="24"/>
        <v>3380000</v>
      </c>
    </row>
    <row r="408" spans="1:6" ht="33.6">
      <c r="A408" s="1875" t="s">
        <v>6095</v>
      </c>
      <c r="B408" s="1876" t="s">
        <v>5529</v>
      </c>
      <c r="C408" s="1875"/>
      <c r="D408" s="1489"/>
      <c r="E408" s="1500"/>
      <c r="F408" s="1500"/>
    </row>
    <row r="409" spans="1:6" ht="100.8">
      <c r="A409" s="1420" t="s">
        <v>6096</v>
      </c>
      <c r="B409" s="323" t="s">
        <v>5218</v>
      </c>
      <c r="C409" s="1878" t="s">
        <v>5191</v>
      </c>
      <c r="D409" s="1478">
        <v>1</v>
      </c>
      <c r="E409" s="1509">
        <f>+'APU PTAP ELECTRICO'!$B$236</f>
        <v>17362000</v>
      </c>
      <c r="F409" s="2370">
        <f t="shared" si="24"/>
        <v>17362000</v>
      </c>
    </row>
    <row r="410" spans="1:6" ht="33.6">
      <c r="A410" s="1875" t="s">
        <v>6097</v>
      </c>
      <c r="B410" s="1876" t="s">
        <v>5530</v>
      </c>
      <c r="C410" s="1875"/>
      <c r="D410" s="1489"/>
      <c r="E410" s="1500"/>
      <c r="F410" s="1500"/>
    </row>
    <row r="411" spans="1:6" ht="50.4">
      <c r="A411" s="1420" t="s">
        <v>6098</v>
      </c>
      <c r="B411" s="1463" t="s">
        <v>5219</v>
      </c>
      <c r="C411" s="1470" t="s">
        <v>4693</v>
      </c>
      <c r="D411" s="1471">
        <v>12</v>
      </c>
      <c r="E411" s="1502">
        <f>+'APU PTAP ELECTRICO'!$B$268</f>
        <v>169000</v>
      </c>
      <c r="F411" s="2370">
        <f t="shared" si="24"/>
        <v>2028000</v>
      </c>
    </row>
    <row r="412" spans="1:6" ht="33.6">
      <c r="A412" s="1875" t="s">
        <v>6099</v>
      </c>
      <c r="B412" s="1876" t="s">
        <v>5531</v>
      </c>
      <c r="C412" s="1875"/>
      <c r="D412" s="1489"/>
      <c r="E412" s="1500"/>
      <c r="F412" s="1500"/>
    </row>
    <row r="413" spans="1:6" ht="50.4">
      <c r="A413" s="1420" t="s">
        <v>6100</v>
      </c>
      <c r="B413" s="1463" t="s">
        <v>5220</v>
      </c>
      <c r="C413" s="1470" t="s">
        <v>4693</v>
      </c>
      <c r="D413" s="1471">
        <v>15</v>
      </c>
      <c r="E413" s="1502">
        <f>+'APU PTAP ELECTRICO'!$B$268</f>
        <v>169000</v>
      </c>
      <c r="F413" s="2370">
        <f t="shared" si="24"/>
        <v>2535000</v>
      </c>
    </row>
    <row r="414" spans="1:6" ht="16.8">
      <c r="A414" s="1875" t="s">
        <v>6101</v>
      </c>
      <c r="B414" s="1876" t="s">
        <v>5532</v>
      </c>
      <c r="C414" s="1875"/>
      <c r="D414" s="1489"/>
      <c r="E414" s="1500"/>
      <c r="F414" s="1500"/>
    </row>
    <row r="415" spans="1:6" ht="50.4">
      <c r="A415" s="1420" t="s">
        <v>6102</v>
      </c>
      <c r="B415" s="450" t="s">
        <v>5254</v>
      </c>
      <c r="C415" s="1470" t="s">
        <v>5191</v>
      </c>
      <c r="D415" s="1471">
        <v>1</v>
      </c>
      <c r="E415" s="1502">
        <f>+'APU PTAP ELECTRICO'!$B$284</f>
        <v>101793972</v>
      </c>
      <c r="F415" s="2370">
        <f t="shared" si="24"/>
        <v>101793972</v>
      </c>
    </row>
    <row r="416" spans="1:6" ht="16.8">
      <c r="A416" s="1875" t="s">
        <v>6103</v>
      </c>
      <c r="B416" s="1876" t="s">
        <v>5533</v>
      </c>
      <c r="C416" s="1875"/>
      <c r="D416" s="1489"/>
      <c r="E416" s="1500"/>
      <c r="F416" s="1500"/>
    </row>
    <row r="417" spans="1:6" ht="184.8">
      <c r="A417" s="1420" t="s">
        <v>6104</v>
      </c>
      <c r="B417" s="258" t="s">
        <v>5253</v>
      </c>
      <c r="C417" s="1470" t="s">
        <v>5191</v>
      </c>
      <c r="D417" s="1472">
        <v>1</v>
      </c>
      <c r="E417" s="1502">
        <f>+'APU PTAP ELECTRICO'!$B$323</f>
        <v>114736000</v>
      </c>
      <c r="F417" s="2370">
        <f t="shared" si="24"/>
        <v>114736000</v>
      </c>
    </row>
    <row r="418" spans="1:6" ht="33.6">
      <c r="A418" s="1875" t="s">
        <v>6105</v>
      </c>
      <c r="B418" s="1876" t="s">
        <v>5534</v>
      </c>
      <c r="C418" s="1875"/>
      <c r="D418" s="1489"/>
      <c r="E418" s="1500"/>
      <c r="F418" s="1500"/>
    </row>
    <row r="419" spans="1:6" ht="33.6">
      <c r="A419" s="1420" t="s">
        <v>6106</v>
      </c>
      <c r="B419" s="1463" t="s">
        <v>5255</v>
      </c>
      <c r="C419" s="1470" t="s">
        <v>4693</v>
      </c>
      <c r="D419" s="1471">
        <v>10</v>
      </c>
      <c r="E419" s="1502">
        <f>+'APU PTAP ELECTRICO'!$B$339</f>
        <v>22050</v>
      </c>
      <c r="F419" s="2370">
        <f t="shared" si="24"/>
        <v>220500</v>
      </c>
    </row>
    <row r="420" spans="1:6" ht="33.6">
      <c r="A420" s="1420" t="s">
        <v>6107</v>
      </c>
      <c r="B420" s="1463" t="s">
        <v>5256</v>
      </c>
      <c r="C420" s="1470" t="s">
        <v>4693</v>
      </c>
      <c r="D420" s="1471">
        <v>30</v>
      </c>
      <c r="E420" s="1502">
        <f>+'APU PTAP ELECTRICO'!$B$355</f>
        <v>22050</v>
      </c>
      <c r="F420" s="2370">
        <f t="shared" si="24"/>
        <v>661500</v>
      </c>
    </row>
    <row r="421" spans="1:6" ht="50.4">
      <c r="A421" s="1420" t="s">
        <v>6108</v>
      </c>
      <c r="B421" s="1463" t="s">
        <v>5109</v>
      </c>
      <c r="C421" s="1470" t="s">
        <v>4693</v>
      </c>
      <c r="D421" s="1471">
        <v>56</v>
      </c>
      <c r="E421" s="1502">
        <f>+'APU PTAP ELECTRICO'!$B$371</f>
        <v>68550</v>
      </c>
      <c r="F421" s="2370">
        <f t="shared" si="24"/>
        <v>3838800</v>
      </c>
    </row>
    <row r="422" spans="1:6" ht="16.8">
      <c r="A422" s="1875" t="s">
        <v>6109</v>
      </c>
      <c r="B422" s="1876" t="s">
        <v>5535</v>
      </c>
      <c r="C422" s="1875"/>
      <c r="D422" s="1489"/>
      <c r="E422" s="1500"/>
      <c r="F422" s="1500"/>
    </row>
    <row r="423" spans="1:6" ht="16.8">
      <c r="A423" s="1420" t="s">
        <v>6110</v>
      </c>
      <c r="B423" s="474" t="s">
        <v>5123</v>
      </c>
      <c r="C423" s="1470" t="s">
        <v>5191</v>
      </c>
      <c r="D423" s="1471">
        <v>1</v>
      </c>
      <c r="E423" s="1502">
        <f>+'APU PTAP ELECTRICO'!$B$422</f>
        <v>284050</v>
      </c>
      <c r="F423" s="2370">
        <f t="shared" si="24"/>
        <v>284050</v>
      </c>
    </row>
    <row r="424" spans="1:6" ht="16.8">
      <c r="A424" s="1420" t="s">
        <v>6111</v>
      </c>
      <c r="B424" s="474" t="s">
        <v>5129</v>
      </c>
      <c r="C424" s="1470" t="s">
        <v>5191</v>
      </c>
      <c r="D424" s="1471">
        <v>1</v>
      </c>
      <c r="E424" s="1502">
        <f>+'APU PTAP ELECTRICO'!$B$439</f>
        <v>157050</v>
      </c>
      <c r="F424" s="2370">
        <f t="shared" si="24"/>
        <v>157050</v>
      </c>
    </row>
    <row r="425" spans="1:6" ht="33.6">
      <c r="A425" s="1420" t="s">
        <v>6112</v>
      </c>
      <c r="B425" s="1464" t="s">
        <v>5257</v>
      </c>
      <c r="C425" s="1470" t="s">
        <v>5191</v>
      </c>
      <c r="D425" s="1471">
        <v>14</v>
      </c>
      <c r="E425" s="1502">
        <f>+'APU PTAP ELECTRICO'!$B$459</f>
        <v>46200</v>
      </c>
      <c r="F425" s="2370">
        <f t="shared" si="24"/>
        <v>646800</v>
      </c>
    </row>
    <row r="426" spans="1:6" ht="33.6">
      <c r="A426" s="1420" t="s">
        <v>6113</v>
      </c>
      <c r="B426" s="1464" t="s">
        <v>5258</v>
      </c>
      <c r="C426" s="1470" t="s">
        <v>5191</v>
      </c>
      <c r="D426" s="1471">
        <v>3</v>
      </c>
      <c r="E426" s="1502">
        <f>+'APU PTAP ELECTRICO'!$B$480</f>
        <v>39400</v>
      </c>
      <c r="F426" s="2370">
        <f t="shared" si="24"/>
        <v>118200</v>
      </c>
    </row>
    <row r="427" spans="1:6" ht="33.6">
      <c r="A427" s="1420" t="s">
        <v>6114</v>
      </c>
      <c r="B427" s="1464" t="s">
        <v>5259</v>
      </c>
      <c r="C427" s="1470" t="s">
        <v>5191</v>
      </c>
      <c r="D427" s="1471">
        <v>2</v>
      </c>
      <c r="E427" s="1502">
        <f>+'APU PTAP ELECTRICO'!$B$500</f>
        <v>52100</v>
      </c>
      <c r="F427" s="2370">
        <f t="shared" si="24"/>
        <v>104200</v>
      </c>
    </row>
    <row r="428" spans="1:6" ht="16.8">
      <c r="A428" s="1420" t="s">
        <v>6115</v>
      </c>
      <c r="B428" s="1464" t="s">
        <v>5260</v>
      </c>
      <c r="C428" s="1470" t="s">
        <v>5191</v>
      </c>
      <c r="D428" s="1471">
        <v>6</v>
      </c>
      <c r="E428" s="1502">
        <f>+'APU PTAP ELECTRICO'!$B$515</f>
        <v>215200</v>
      </c>
      <c r="F428" s="2370">
        <f t="shared" si="24"/>
        <v>1291200</v>
      </c>
    </row>
    <row r="429" spans="1:6" ht="16.8">
      <c r="A429" s="1420" t="s">
        <v>6116</v>
      </c>
      <c r="B429" s="1464" t="s">
        <v>5261</v>
      </c>
      <c r="C429" s="1470" t="s">
        <v>5191</v>
      </c>
      <c r="D429" s="1471">
        <v>8</v>
      </c>
      <c r="E429" s="1502">
        <f>+'APU PTAP ELECTRICO'!$B$530</f>
        <v>70200</v>
      </c>
      <c r="F429" s="2370">
        <f>ROUND(E429*D429,0)</f>
        <v>561600</v>
      </c>
    </row>
    <row r="430" spans="1:6" ht="16.8">
      <c r="A430" s="1875" t="s">
        <v>6117</v>
      </c>
      <c r="B430" s="1876" t="s">
        <v>5536</v>
      </c>
      <c r="C430" s="1875"/>
      <c r="D430" s="1489"/>
      <c r="E430" s="1500"/>
      <c r="F430" s="1500"/>
    </row>
    <row r="431" spans="1:6" ht="50.4">
      <c r="A431" s="1420" t="s">
        <v>6118</v>
      </c>
      <c r="B431" s="1465" t="s">
        <v>5168</v>
      </c>
      <c r="C431" s="471" t="s">
        <v>4693</v>
      </c>
      <c r="D431" s="1473">
        <v>180</v>
      </c>
      <c r="E431" s="1502">
        <f>+'APU PTAP ELECTRICO'!B546</f>
        <v>12200</v>
      </c>
      <c r="F431" s="2370">
        <f>ROUND(E431*D431,0)</f>
        <v>2196000</v>
      </c>
    </row>
    <row r="432" spans="1:6" ht="33.6">
      <c r="A432" s="1420" t="s">
        <v>6119</v>
      </c>
      <c r="B432" s="1465" t="s">
        <v>5262</v>
      </c>
      <c r="C432" s="471" t="s">
        <v>5191</v>
      </c>
      <c r="D432" s="1473">
        <v>9</v>
      </c>
      <c r="E432" s="1502">
        <f>+'APU PTAP ELECTRICO'!$B$563</f>
        <v>925200</v>
      </c>
      <c r="F432" s="2370">
        <f t="shared" ref="F432:F439" si="25">ROUND(E432*D432,0)</f>
        <v>8326800</v>
      </c>
    </row>
    <row r="433" spans="1:11" ht="16.8">
      <c r="A433" s="1420" t="s">
        <v>6120</v>
      </c>
      <c r="B433" s="1465" t="s">
        <v>5263</v>
      </c>
      <c r="C433" s="471" t="s">
        <v>5191</v>
      </c>
      <c r="D433" s="1473">
        <v>8</v>
      </c>
      <c r="E433" s="1502">
        <f>+'APU PTAP ELECTRICO'!$B$578</f>
        <v>145000</v>
      </c>
      <c r="F433" s="2370">
        <f t="shared" si="25"/>
        <v>1160000</v>
      </c>
    </row>
    <row r="434" spans="1:11" ht="16.8">
      <c r="A434" s="1875" t="s">
        <v>6121</v>
      </c>
      <c r="B434" s="1876" t="s">
        <v>5221</v>
      </c>
      <c r="C434" s="1875"/>
      <c r="D434" s="1489"/>
      <c r="E434" s="1500"/>
      <c r="F434" s="1500"/>
    </row>
    <row r="435" spans="1:11" ht="134.4">
      <c r="A435" s="1420" t="s">
        <v>6122</v>
      </c>
      <c r="B435" s="258" t="s">
        <v>5264</v>
      </c>
      <c r="C435" s="1470" t="s">
        <v>5191</v>
      </c>
      <c r="D435" s="1471">
        <v>1</v>
      </c>
      <c r="E435" s="1502">
        <f>+'APU PTAP ELECTRICO'!$B$596</f>
        <v>24420000</v>
      </c>
      <c r="F435" s="2370">
        <f t="shared" si="25"/>
        <v>24420000</v>
      </c>
    </row>
    <row r="436" spans="1:11" ht="16.8">
      <c r="A436" s="1875" t="s">
        <v>6123</v>
      </c>
      <c r="B436" s="3521" t="s">
        <v>5657</v>
      </c>
      <c r="C436" s="3522"/>
      <c r="D436" s="3522"/>
      <c r="E436" s="1516"/>
      <c r="F436" s="1517"/>
    </row>
    <row r="437" spans="1:11" s="61" customFormat="1" ht="117.6">
      <c r="A437" s="1420" t="s">
        <v>6124</v>
      </c>
      <c r="B437" s="349" t="s">
        <v>6229</v>
      </c>
      <c r="C437" s="1878" t="s">
        <v>5191</v>
      </c>
      <c r="D437" s="1897">
        <v>2</v>
      </c>
      <c r="E437" s="1509">
        <f>+'APU PTAP ELECTRICO'!B611</f>
        <v>36541188</v>
      </c>
      <c r="F437" s="2370">
        <f t="shared" si="25"/>
        <v>73082376</v>
      </c>
    </row>
    <row r="438" spans="1:11" s="61" customFormat="1" ht="90.75" customHeight="1">
      <c r="A438" s="1420" t="s">
        <v>6231</v>
      </c>
      <c r="B438" s="349" t="s">
        <v>6230</v>
      </c>
      <c r="C438" s="1878" t="s">
        <v>5191</v>
      </c>
      <c r="D438" s="1878">
        <v>2</v>
      </c>
      <c r="E438" s="1509">
        <f>+'APU PTAP ELECTRICO'!B626</f>
        <v>48320998</v>
      </c>
      <c r="F438" s="2370">
        <f t="shared" si="25"/>
        <v>96641996</v>
      </c>
    </row>
    <row r="439" spans="1:11" s="61" customFormat="1" ht="90.75" customHeight="1">
      <c r="A439" s="1420" t="s">
        <v>6332</v>
      </c>
      <c r="B439" s="349" t="s">
        <v>6248</v>
      </c>
      <c r="C439" s="1878" t="s">
        <v>5191</v>
      </c>
      <c r="D439" s="1878">
        <v>2</v>
      </c>
      <c r="E439" s="1509">
        <f>+'APU PTAP ELECTRICO'!B641</f>
        <v>42560208</v>
      </c>
      <c r="F439" s="2370">
        <f t="shared" si="25"/>
        <v>85120416</v>
      </c>
    </row>
    <row r="440" spans="1:11" ht="16.8">
      <c r="A440" s="633"/>
      <c r="B440" s="1555"/>
      <c r="C440" s="1555"/>
      <c r="D440" s="1556"/>
      <c r="E440" s="1557"/>
      <c r="F440" s="1557"/>
    </row>
    <row r="441" spans="1:11" ht="30" customHeight="1">
      <c r="A441" s="3533" t="s">
        <v>5624</v>
      </c>
      <c r="B441" s="3533"/>
      <c r="C441" s="3533"/>
      <c r="D441" s="3533"/>
      <c r="E441" s="3533"/>
      <c r="F441" s="2250">
        <f>SUM(F396:F439)</f>
        <v>566207138</v>
      </c>
      <c r="G441" s="2382">
        <f>+F441</f>
        <v>566207138</v>
      </c>
      <c r="H441" s="2383" t="s">
        <v>8225</v>
      </c>
    </row>
    <row r="442" spans="1:11" ht="16.8">
      <c r="A442" s="3505" t="str">
        <f>+A155</f>
        <v>ADMINISTRACION SUMINISTROS</v>
      </c>
      <c r="B442" s="3505"/>
      <c r="C442" s="3505"/>
      <c r="D442" s="3505"/>
      <c r="E442" s="2203">
        <f>+AIU!H47</f>
        <v>0.18358899999999997</v>
      </c>
      <c r="F442" s="1558">
        <f>ROUND(+E442*F441,0)</f>
        <v>103949402</v>
      </c>
    </row>
    <row r="443" spans="1:11" ht="16.8">
      <c r="A443" s="3506" t="str">
        <f>+A156</f>
        <v>INTERVENTORIA SUMINISTRO</v>
      </c>
      <c r="B443" s="3506"/>
      <c r="C443" s="3506"/>
      <c r="D443" s="3506"/>
      <c r="E443" s="1572">
        <v>0.01</v>
      </c>
      <c r="F443" s="1559">
        <f>ROUND(E443*(F441+F442),0)</f>
        <v>6701565</v>
      </c>
    </row>
    <row r="444" spans="1:11" ht="33.6">
      <c r="A444" s="1871"/>
      <c r="B444" s="1872" t="s">
        <v>8544</v>
      </c>
      <c r="C444" s="1872"/>
      <c r="D444" s="1490"/>
      <c r="E444" s="989">
        <v>0.02</v>
      </c>
      <c r="F444" s="1508">
        <f>ROUND(E444*(F441+F442),0)</f>
        <v>13403131</v>
      </c>
    </row>
    <row r="445" spans="1:11" ht="27" customHeight="1">
      <c r="A445" s="3916" t="s">
        <v>5625</v>
      </c>
      <c r="B445" s="3917"/>
      <c r="C445" s="3917"/>
      <c r="D445" s="3918"/>
      <c r="E445" s="1500"/>
      <c r="F445" s="1559">
        <f>+SUM(F441:F444)</f>
        <v>690261236</v>
      </c>
    </row>
    <row r="446" spans="1:11" ht="35.25" customHeight="1">
      <c r="A446" s="1500"/>
      <c r="B446" s="3916" t="s">
        <v>5620</v>
      </c>
      <c r="C446" s="3917"/>
      <c r="D446" s="3917"/>
      <c r="E446" s="3918"/>
      <c r="F446" s="2252">
        <f>+F445+F394</f>
        <v>750122628</v>
      </c>
    </row>
    <row r="447" spans="1:11">
      <c r="F447" s="1886"/>
    </row>
    <row r="448" spans="1:11" s="247" customFormat="1" ht="16.8">
      <c r="A448" s="3354" t="s">
        <v>5621</v>
      </c>
      <c r="B448" s="3354"/>
      <c r="C448" s="3354"/>
      <c r="D448" s="3354"/>
      <c r="E448" s="3354"/>
      <c r="F448" s="3354"/>
      <c r="G448" s="254"/>
      <c r="H448" s="255"/>
      <c r="I448" s="255"/>
      <c r="J448" s="255"/>
      <c r="K448" s="255"/>
    </row>
    <row r="449" spans="1:11" s="247" customFormat="1" ht="16.8">
      <c r="A449" s="1877" t="s">
        <v>6125</v>
      </c>
      <c r="B449" s="981" t="s">
        <v>1127</v>
      </c>
      <c r="C449" s="982"/>
      <c r="D449" s="982"/>
      <c r="E449" s="982"/>
      <c r="F449" s="2244">
        <f>SUM(F450:F467)</f>
        <v>4222464</v>
      </c>
      <c r="G449" s="306"/>
      <c r="H449" s="2372">
        <f>+F449</f>
        <v>4222464</v>
      </c>
      <c r="I449" s="2363" t="s">
        <v>8225</v>
      </c>
      <c r="J449" s="255"/>
      <c r="K449" s="255"/>
    </row>
    <row r="450" spans="1:11" s="247" customFormat="1" ht="16.8">
      <c r="A450" s="1420" t="s">
        <v>6126</v>
      </c>
      <c r="B450" s="258" t="s">
        <v>7856</v>
      </c>
      <c r="C450" s="471" t="s">
        <v>427</v>
      </c>
      <c r="D450" s="259">
        <v>2</v>
      </c>
      <c r="E450" s="260">
        <f>+'APU PTAP'!$B$2137</f>
        <v>52180.977082416</v>
      </c>
      <c r="F450" s="272">
        <f t="shared" ref="F450:F467" si="26">ROUND((+E450*D450),0)</f>
        <v>104362</v>
      </c>
      <c r="G450" s="306"/>
      <c r="H450" s="255"/>
      <c r="I450" s="255"/>
      <c r="J450" s="255"/>
      <c r="K450" s="255"/>
    </row>
    <row r="451" spans="1:11" s="247" customFormat="1" ht="16.8">
      <c r="A451" s="1420" t="s">
        <v>6127</v>
      </c>
      <c r="B451" s="258" t="s">
        <v>7857</v>
      </c>
      <c r="C451" s="471" t="s">
        <v>427</v>
      </c>
      <c r="D451" s="259">
        <v>2</v>
      </c>
      <c r="E451" s="260">
        <f>+'APU PTAP'!$B$2152</f>
        <v>96701.948368746002</v>
      </c>
      <c r="F451" s="272">
        <f t="shared" si="26"/>
        <v>193404</v>
      </c>
      <c r="G451" s="306"/>
      <c r="H451" s="255"/>
      <c r="I451" s="255"/>
      <c r="J451" s="255"/>
      <c r="K451" s="255"/>
    </row>
    <row r="452" spans="1:11" s="247" customFormat="1" ht="16.8">
      <c r="A452" s="1420" t="s">
        <v>6128</v>
      </c>
      <c r="B452" s="2228" t="s">
        <v>6813</v>
      </c>
      <c r="C452" s="2226" t="s">
        <v>427</v>
      </c>
      <c r="D452" s="2277">
        <v>5</v>
      </c>
      <c r="E452" s="2264">
        <f>+'APU PTAP'!B1179</f>
        <v>94750</v>
      </c>
      <c r="F452" s="272">
        <f t="shared" si="26"/>
        <v>473750</v>
      </c>
      <c r="G452" s="306"/>
      <c r="H452" s="255"/>
      <c r="I452" s="255"/>
      <c r="J452" s="255"/>
      <c r="K452" s="255"/>
    </row>
    <row r="453" spans="1:11" s="247" customFormat="1" ht="16.8">
      <c r="A453" s="1420" t="s">
        <v>6129</v>
      </c>
      <c r="B453" s="2228" t="s">
        <v>7858</v>
      </c>
      <c r="C453" s="2226" t="s">
        <v>427</v>
      </c>
      <c r="D453" s="2277">
        <v>2</v>
      </c>
      <c r="E453" s="2264">
        <f>+'APU PTAP'!$B$2167</f>
        <v>97731.836074320003</v>
      </c>
      <c r="F453" s="272">
        <f t="shared" si="26"/>
        <v>195464</v>
      </c>
      <c r="G453" s="306"/>
      <c r="H453" s="255"/>
      <c r="I453" s="255"/>
      <c r="J453" s="255"/>
      <c r="K453" s="255"/>
    </row>
    <row r="454" spans="1:11" s="247" customFormat="1" ht="16.8">
      <c r="A454" s="1420" t="s">
        <v>6130</v>
      </c>
      <c r="B454" s="2228" t="s">
        <v>7859</v>
      </c>
      <c r="C454" s="2226" t="s">
        <v>427</v>
      </c>
      <c r="D454" s="2277">
        <v>2</v>
      </c>
      <c r="E454" s="2264">
        <f>+'APU PTAP'!$B$2182</f>
        <v>69463.672148639991</v>
      </c>
      <c r="F454" s="272">
        <f t="shared" si="26"/>
        <v>138927</v>
      </c>
      <c r="G454" s="306"/>
      <c r="H454" s="255"/>
      <c r="I454" s="255"/>
      <c r="J454" s="255"/>
      <c r="K454" s="255"/>
    </row>
    <row r="455" spans="1:11" s="247" customFormat="1" ht="16.8">
      <c r="A455" s="1420" t="s">
        <v>6131</v>
      </c>
      <c r="B455" s="2228" t="s">
        <v>6816</v>
      </c>
      <c r="C455" s="2226" t="s">
        <v>427</v>
      </c>
      <c r="D455" s="2277">
        <v>2</v>
      </c>
      <c r="E455" s="2264">
        <f>+'APU PTAP'!B2197</f>
        <v>102989</v>
      </c>
      <c r="F455" s="272">
        <f t="shared" si="26"/>
        <v>205978</v>
      </c>
      <c r="G455" s="306"/>
      <c r="H455" s="255"/>
      <c r="I455" s="255"/>
      <c r="J455" s="255"/>
      <c r="K455" s="255"/>
    </row>
    <row r="456" spans="1:11" s="247" customFormat="1" ht="16.8">
      <c r="A456" s="1420" t="s">
        <v>6132</v>
      </c>
      <c r="B456" s="2228" t="s">
        <v>6819</v>
      </c>
      <c r="C456" s="2226" t="s">
        <v>427</v>
      </c>
      <c r="D456" s="2277">
        <v>2</v>
      </c>
      <c r="E456" s="2264">
        <f>+'APU PTAP'!B2213</f>
        <v>98869</v>
      </c>
      <c r="F456" s="272">
        <f t="shared" si="26"/>
        <v>197738</v>
      </c>
      <c r="G456" s="306"/>
      <c r="H456" s="255"/>
      <c r="I456" s="255"/>
      <c r="J456" s="255"/>
      <c r="K456" s="255"/>
    </row>
    <row r="457" spans="1:11" s="247" customFormat="1" ht="16.8">
      <c r="A457" s="1420" t="s">
        <v>6133</v>
      </c>
      <c r="B457" s="2228" t="s">
        <v>7860</v>
      </c>
      <c r="C457" s="2226" t="s">
        <v>427</v>
      </c>
      <c r="D457" s="2277">
        <v>2</v>
      </c>
      <c r="E457" s="2264">
        <f>+'APU PTAP'!$B$2229</f>
        <v>69463.672148639991</v>
      </c>
      <c r="F457" s="272">
        <f t="shared" si="26"/>
        <v>138927</v>
      </c>
      <c r="G457" s="306"/>
      <c r="H457" s="255"/>
      <c r="I457" s="255"/>
      <c r="J457" s="255"/>
      <c r="K457" s="255"/>
    </row>
    <row r="458" spans="1:11" s="247" customFormat="1" ht="16.8">
      <c r="A458" s="1420" t="s">
        <v>6134</v>
      </c>
      <c r="B458" s="2228" t="s">
        <v>7861</v>
      </c>
      <c r="C458" s="2226" t="s">
        <v>427</v>
      </c>
      <c r="D458" s="2277">
        <v>2</v>
      </c>
      <c r="E458" s="2264">
        <f>+'APU PTAP'!$B$2244</f>
        <v>69463.672148639991</v>
      </c>
      <c r="F458" s="272">
        <f t="shared" si="26"/>
        <v>138927</v>
      </c>
      <c r="G458" s="306"/>
      <c r="H458" s="255"/>
      <c r="I458" s="255"/>
      <c r="J458" s="255"/>
      <c r="K458" s="255"/>
    </row>
    <row r="459" spans="1:11" s="247" customFormat="1" ht="16.8">
      <c r="A459" s="1420" t="s">
        <v>6135</v>
      </c>
      <c r="B459" s="2228" t="s">
        <v>7862</v>
      </c>
      <c r="C459" s="2226" t="s">
        <v>427</v>
      </c>
      <c r="D459" s="2277">
        <v>2</v>
      </c>
      <c r="E459" s="2264">
        <f>+'APU PTAP'!$B$2259</f>
        <v>74293.362334439997</v>
      </c>
      <c r="F459" s="272">
        <f t="shared" si="26"/>
        <v>148587</v>
      </c>
      <c r="G459" s="306"/>
      <c r="H459" s="255"/>
      <c r="I459" s="255"/>
      <c r="J459" s="255"/>
      <c r="K459" s="255"/>
    </row>
    <row r="460" spans="1:11" s="247" customFormat="1" ht="33.6">
      <c r="A460" s="1420" t="s">
        <v>6136</v>
      </c>
      <c r="B460" s="2228" t="s">
        <v>6822</v>
      </c>
      <c r="C460" s="2226" t="s">
        <v>427</v>
      </c>
      <c r="D460" s="2277">
        <v>2</v>
      </c>
      <c r="E460" s="2264">
        <f>+'APU PTAP'!$B$2276</f>
        <v>339718.65756071999</v>
      </c>
      <c r="F460" s="272">
        <f t="shared" si="26"/>
        <v>679437</v>
      </c>
      <c r="G460" s="306"/>
      <c r="H460" s="255"/>
      <c r="I460" s="255"/>
      <c r="J460" s="255"/>
      <c r="K460" s="255"/>
    </row>
    <row r="461" spans="1:11" s="247" customFormat="1" ht="16.8">
      <c r="A461" s="1420" t="s">
        <v>6137</v>
      </c>
      <c r="B461" s="2228" t="s">
        <v>6823</v>
      </c>
      <c r="C461" s="2226" t="s">
        <v>427</v>
      </c>
      <c r="D461" s="2277">
        <v>4</v>
      </c>
      <c r="E461" s="2264">
        <f>+'APU PTAP'!$B$2293</f>
        <v>163609.27878036001</v>
      </c>
      <c r="F461" s="272">
        <f t="shared" si="26"/>
        <v>654437</v>
      </c>
      <c r="G461" s="306"/>
      <c r="H461" s="255"/>
      <c r="I461" s="255"/>
      <c r="J461" s="255"/>
      <c r="K461" s="255"/>
    </row>
    <row r="462" spans="1:11" s="247" customFormat="1" ht="16.8">
      <c r="A462" s="1420" t="s">
        <v>6138</v>
      </c>
      <c r="B462" s="2228" t="s">
        <v>7863</v>
      </c>
      <c r="C462" s="2226" t="s">
        <v>427</v>
      </c>
      <c r="D462" s="2277">
        <v>2</v>
      </c>
      <c r="E462" s="2264">
        <f>+'APU PTAP'!$B$2308</f>
        <v>68659.180371599999</v>
      </c>
      <c r="F462" s="272">
        <f t="shared" si="26"/>
        <v>137318</v>
      </c>
      <c r="G462" s="306"/>
      <c r="H462" s="255"/>
      <c r="I462" s="255"/>
      <c r="J462" s="255"/>
      <c r="K462" s="255"/>
    </row>
    <row r="463" spans="1:11" s="247" customFormat="1" ht="16.8">
      <c r="A463" s="1420" t="s">
        <v>6139</v>
      </c>
      <c r="B463" s="2228" t="s">
        <v>7864</v>
      </c>
      <c r="C463" s="2226" t="s">
        <v>427</v>
      </c>
      <c r="D463" s="2277">
        <v>1</v>
      </c>
      <c r="E463" s="2264">
        <f>+'APU PTAP'!$B$2323</f>
        <v>64657.529522628007</v>
      </c>
      <c r="F463" s="272">
        <f t="shared" si="26"/>
        <v>64658</v>
      </c>
      <c r="G463" s="306"/>
      <c r="H463" s="255"/>
      <c r="I463" s="255"/>
      <c r="J463" s="255"/>
      <c r="K463" s="255"/>
    </row>
    <row r="464" spans="1:11" s="247" customFormat="1" ht="16.8">
      <c r="A464" s="1420" t="s">
        <v>6140</v>
      </c>
      <c r="B464" s="2228" t="s">
        <v>7865</v>
      </c>
      <c r="C464" s="2226" t="s">
        <v>427</v>
      </c>
      <c r="D464" s="2277">
        <v>5</v>
      </c>
      <c r="E464" s="2264">
        <f>+'APU PTAP'!$B$2338</f>
        <v>96701.948368746002</v>
      </c>
      <c r="F464" s="272">
        <f t="shared" si="26"/>
        <v>483510</v>
      </c>
      <c r="G464" s="306"/>
      <c r="H464" s="255"/>
      <c r="I464" s="255"/>
      <c r="J464" s="255"/>
      <c r="K464" s="255"/>
    </row>
    <row r="465" spans="1:11" s="247" customFormat="1" ht="16.8">
      <c r="A465" s="1420" t="s">
        <v>6141</v>
      </c>
      <c r="B465" s="2228" t="s">
        <v>7866</v>
      </c>
      <c r="C465" s="2226" t="s">
        <v>427</v>
      </c>
      <c r="D465" s="2277">
        <v>1</v>
      </c>
      <c r="E465" s="2264">
        <f>+'APU PTAP'!$B$2353</f>
        <v>95672.060663172</v>
      </c>
      <c r="F465" s="272">
        <f t="shared" si="26"/>
        <v>95672</v>
      </c>
      <c r="G465" s="306"/>
      <c r="H465" s="255"/>
      <c r="I465" s="255"/>
      <c r="J465" s="255"/>
      <c r="K465" s="255"/>
    </row>
    <row r="466" spans="1:11" s="247" customFormat="1" ht="16.8">
      <c r="A466" s="1420" t="s">
        <v>6142</v>
      </c>
      <c r="B466" s="2228" t="s">
        <v>6824</v>
      </c>
      <c r="C466" s="2226" t="s">
        <v>427</v>
      </c>
      <c r="D466" s="2277">
        <v>1</v>
      </c>
      <c r="E466" s="2264">
        <f>+'APU PTAP'!$B$2368</f>
        <v>129079.25909860797</v>
      </c>
      <c r="F466" s="272">
        <f t="shared" si="26"/>
        <v>129079</v>
      </c>
      <c r="G466" s="306"/>
      <c r="H466" s="255"/>
      <c r="I466" s="255"/>
      <c r="J466" s="255"/>
      <c r="K466" s="255"/>
    </row>
    <row r="467" spans="1:11" s="247" customFormat="1" ht="15.75" customHeight="1">
      <c r="A467" s="1420" t="s">
        <v>6143</v>
      </c>
      <c r="B467" s="2228" t="s">
        <v>7867</v>
      </c>
      <c r="C467" s="2226" t="s">
        <v>427</v>
      </c>
      <c r="D467" s="2277">
        <v>1</v>
      </c>
      <c r="E467" s="2264">
        <f>+'APU PTAP'!$B$2388</f>
        <v>42288.581996041408</v>
      </c>
      <c r="F467" s="272">
        <f t="shared" si="26"/>
        <v>42289</v>
      </c>
      <c r="G467" s="306"/>
      <c r="H467" s="255"/>
      <c r="I467" s="255"/>
      <c r="J467" s="255"/>
      <c r="K467" s="255"/>
    </row>
    <row r="468" spans="1:11" ht="33.75" customHeight="1">
      <c r="A468" s="3534" t="s">
        <v>5622</v>
      </c>
      <c r="B468" s="3535"/>
      <c r="C468" s="3535"/>
      <c r="D468" s="3535"/>
      <c r="E468" s="3919"/>
      <c r="F468" s="2242">
        <f>SUM(F450:F467)</f>
        <v>4222464</v>
      </c>
    </row>
    <row r="469" spans="1:11" ht="16.8">
      <c r="A469" s="3536" t="s">
        <v>3619</v>
      </c>
      <c r="B469" s="3537"/>
      <c r="C469" s="3537"/>
      <c r="D469" s="3538"/>
      <c r="E469" s="2218">
        <f>+AIU</f>
        <v>0.29572249606750989</v>
      </c>
      <c r="F469" s="1554">
        <f>ROUND(F468*E469,0)</f>
        <v>1248678</v>
      </c>
    </row>
    <row r="470" spans="1:11" ht="16.8">
      <c r="A470" s="3536" t="str">
        <f>+A116</f>
        <v>INTERVENTORIA OBRA CIVIL</v>
      </c>
      <c r="B470" s="3537"/>
      <c r="C470" s="3537"/>
      <c r="D470" s="3538"/>
      <c r="E470" s="2388">
        <f>+'PRESUPUESTO-INTERV'!J50</f>
        <v>0.16163254000625432</v>
      </c>
      <c r="F470" s="1554">
        <f>ROUND(E470*(F468+F469),0)</f>
        <v>884315</v>
      </c>
    </row>
    <row r="471" spans="1:11" ht="21" customHeight="1">
      <c r="A471" s="3528" t="s">
        <v>8544</v>
      </c>
      <c r="B471" s="3529"/>
      <c r="C471" s="3529"/>
      <c r="D471" s="3530"/>
      <c r="E471" s="984">
        <v>0.02</v>
      </c>
      <c r="F471" s="1554">
        <f>ROUND(E471*(F468+F469),0)</f>
        <v>109423</v>
      </c>
    </row>
    <row r="472" spans="1:11" ht="16.8">
      <c r="A472" s="3531" t="s">
        <v>5623</v>
      </c>
      <c r="B472" s="3532"/>
      <c r="C472" s="3532"/>
      <c r="D472" s="3532"/>
      <c r="E472" s="3920"/>
      <c r="F472" s="2242">
        <f>+SUM(F468:F471)</f>
        <v>6464880</v>
      </c>
    </row>
    <row r="473" spans="1:11" s="247" customFormat="1" ht="16.8">
      <c r="A473" s="1875" t="s">
        <v>6144</v>
      </c>
      <c r="B473" s="3500" t="s">
        <v>1128</v>
      </c>
      <c r="C473" s="3500"/>
      <c r="D473" s="3500"/>
      <c r="E473" s="1835"/>
      <c r="F473" s="2384">
        <f>+SUM(F474:F491)</f>
        <v>47061067</v>
      </c>
      <c r="G473" s="2363">
        <f>+F473</f>
        <v>47061067</v>
      </c>
      <c r="H473" s="1290" t="s">
        <v>8225</v>
      </c>
      <c r="I473" s="255"/>
      <c r="J473" s="255"/>
      <c r="K473" s="255"/>
    </row>
    <row r="474" spans="1:11" s="247" customFormat="1" ht="16.8">
      <c r="A474" s="1420" t="s">
        <v>6145</v>
      </c>
      <c r="B474" s="258" t="s">
        <v>7868</v>
      </c>
      <c r="C474" s="471" t="s">
        <v>427</v>
      </c>
      <c r="D474" s="259">
        <v>2</v>
      </c>
      <c r="E474" s="260">
        <f>+'APU PTAP'!$B$2144</f>
        <v>1899100</v>
      </c>
      <c r="F474" s="260">
        <f t="shared" ref="F474:F491" si="27">+E474*D474</f>
        <v>3798200</v>
      </c>
      <c r="G474" s="306"/>
      <c r="H474" s="255"/>
      <c r="I474" s="255"/>
      <c r="J474" s="255"/>
      <c r="K474" s="255"/>
    </row>
    <row r="475" spans="1:11" s="247" customFormat="1" ht="16.8">
      <c r="A475" s="1420" t="s">
        <v>6146</v>
      </c>
      <c r="B475" s="258" t="s">
        <v>4429</v>
      </c>
      <c r="C475" s="471" t="s">
        <v>427</v>
      </c>
      <c r="D475" s="259">
        <v>2</v>
      </c>
      <c r="E475" s="260">
        <f>+'APU PTAP'!$B$2159</f>
        <v>1123600</v>
      </c>
      <c r="F475" s="260">
        <f t="shared" si="27"/>
        <v>2247200</v>
      </c>
      <c r="G475" s="306"/>
      <c r="H475" s="255"/>
      <c r="I475" s="255"/>
      <c r="J475" s="255"/>
      <c r="K475" s="255"/>
    </row>
    <row r="476" spans="1:11" s="247" customFormat="1" ht="16.8">
      <c r="A476" s="1420" t="s">
        <v>6147</v>
      </c>
      <c r="B476" s="2228" t="s">
        <v>4430</v>
      </c>
      <c r="C476" s="2226" t="s">
        <v>427</v>
      </c>
      <c r="D476" s="2277">
        <v>5</v>
      </c>
      <c r="E476" s="2264">
        <f>+'APU PTAP'!B1187</f>
        <v>639150</v>
      </c>
      <c r="F476" s="260">
        <f t="shared" si="27"/>
        <v>3195750</v>
      </c>
      <c r="G476" s="306"/>
      <c r="H476" s="255"/>
      <c r="I476" s="255"/>
      <c r="J476" s="255"/>
      <c r="K476" s="255"/>
    </row>
    <row r="477" spans="1:11" s="247" customFormat="1" ht="16.8">
      <c r="A477" s="1420" t="s">
        <v>6148</v>
      </c>
      <c r="B477" s="2228" t="s">
        <v>4432</v>
      </c>
      <c r="C477" s="2226" t="s">
        <v>427</v>
      </c>
      <c r="D477" s="2277">
        <v>2</v>
      </c>
      <c r="E477" s="2264">
        <f>+'APU PTAP'!$B$2174</f>
        <v>1268600</v>
      </c>
      <c r="F477" s="260">
        <f t="shared" si="27"/>
        <v>2537200</v>
      </c>
      <c r="G477" s="306"/>
      <c r="H477" s="255"/>
      <c r="I477" s="255"/>
      <c r="J477" s="255"/>
      <c r="K477" s="255"/>
    </row>
    <row r="478" spans="1:11" s="247" customFormat="1" ht="16.8">
      <c r="A478" s="1420" t="s">
        <v>6149</v>
      </c>
      <c r="B478" s="2228" t="s">
        <v>4434</v>
      </c>
      <c r="C478" s="2226" t="s">
        <v>427</v>
      </c>
      <c r="D478" s="2277">
        <v>2</v>
      </c>
      <c r="E478" s="2264">
        <f>+'APU PTAP'!$B$2189</f>
        <v>750325</v>
      </c>
      <c r="F478" s="260">
        <f t="shared" si="27"/>
        <v>1500650</v>
      </c>
      <c r="G478" s="306"/>
      <c r="H478" s="255"/>
      <c r="I478" s="255"/>
      <c r="J478" s="255"/>
      <c r="K478" s="255"/>
    </row>
    <row r="479" spans="1:11" s="247" customFormat="1" ht="16.8">
      <c r="A479" s="1420" t="s">
        <v>6150</v>
      </c>
      <c r="B479" s="2228" t="s">
        <v>4435</v>
      </c>
      <c r="C479" s="2226" t="s">
        <v>427</v>
      </c>
      <c r="D479" s="2277">
        <v>2</v>
      </c>
      <c r="E479" s="2264">
        <f>+'APU PTAP'!B2205</f>
        <v>684300</v>
      </c>
      <c r="F479" s="260">
        <f t="shared" si="27"/>
        <v>1368600</v>
      </c>
      <c r="G479" s="306"/>
      <c r="H479" s="255"/>
      <c r="I479" s="255"/>
      <c r="J479" s="255"/>
      <c r="K479" s="255"/>
    </row>
    <row r="480" spans="1:11" s="247" customFormat="1" ht="16.8">
      <c r="A480" s="1420" t="s">
        <v>6151</v>
      </c>
      <c r="B480" s="2228" t="s">
        <v>4436</v>
      </c>
      <c r="C480" s="2226" t="s">
        <v>427</v>
      </c>
      <c r="D480" s="2277">
        <v>2</v>
      </c>
      <c r="E480" s="2264">
        <f>+'APU PTAP'!B2221</f>
        <v>654550</v>
      </c>
      <c r="F480" s="260">
        <f t="shared" si="27"/>
        <v>1309100</v>
      </c>
      <c r="G480" s="306"/>
      <c r="H480" s="255"/>
      <c r="I480" s="255"/>
      <c r="J480" s="255"/>
      <c r="K480" s="255"/>
    </row>
    <row r="481" spans="1:11" s="247" customFormat="1" ht="16.8">
      <c r="A481" s="1420" t="s">
        <v>6152</v>
      </c>
      <c r="B481" s="2228" t="s">
        <v>7869</v>
      </c>
      <c r="C481" s="2226" t="s">
        <v>427</v>
      </c>
      <c r="D481" s="2277">
        <v>2</v>
      </c>
      <c r="E481" s="2264">
        <f>+'APU PTAP'!$B$2236</f>
        <v>777965</v>
      </c>
      <c r="F481" s="260">
        <f t="shared" si="27"/>
        <v>1555930</v>
      </c>
      <c r="G481" s="306"/>
      <c r="H481" s="255"/>
      <c r="I481" s="255"/>
      <c r="J481" s="255"/>
      <c r="K481" s="255"/>
    </row>
    <row r="482" spans="1:11" s="247" customFormat="1" ht="16.8">
      <c r="A482" s="1420" t="s">
        <v>6153</v>
      </c>
      <c r="B482" s="2228" t="s">
        <v>4438</v>
      </c>
      <c r="C482" s="2226" t="s">
        <v>427</v>
      </c>
      <c r="D482" s="2277">
        <v>2</v>
      </c>
      <c r="E482" s="2264">
        <f>+'APU PTAP'!$B$2251</f>
        <v>693475</v>
      </c>
      <c r="F482" s="260">
        <f t="shared" si="27"/>
        <v>1386950</v>
      </c>
      <c r="G482" s="306"/>
      <c r="H482" s="255"/>
      <c r="I482" s="255"/>
      <c r="J482" s="255"/>
      <c r="K482" s="255"/>
    </row>
    <row r="483" spans="1:11" s="247" customFormat="1" ht="16.8">
      <c r="A483" s="1420" t="s">
        <v>6154</v>
      </c>
      <c r="B483" s="2228" t="s">
        <v>4440</v>
      </c>
      <c r="C483" s="2226" t="s">
        <v>427</v>
      </c>
      <c r="D483" s="2277">
        <v>2</v>
      </c>
      <c r="E483" s="2264">
        <f>+'APU PTAP'!$B$2266</f>
        <v>3338580</v>
      </c>
      <c r="F483" s="260">
        <f t="shared" si="27"/>
        <v>6677160</v>
      </c>
      <c r="G483" s="306"/>
      <c r="H483" s="255"/>
      <c r="I483" s="255"/>
      <c r="J483" s="255"/>
      <c r="K483" s="255"/>
    </row>
    <row r="484" spans="1:11" s="247" customFormat="1" ht="33.6">
      <c r="A484" s="1420" t="s">
        <v>6155</v>
      </c>
      <c r="B484" s="2228" t="s">
        <v>4442</v>
      </c>
      <c r="C484" s="2226" t="s">
        <v>427</v>
      </c>
      <c r="D484" s="2277">
        <v>2</v>
      </c>
      <c r="E484" s="2264">
        <f>+'APU PTAP'!$B$2284</f>
        <v>2229000</v>
      </c>
      <c r="F484" s="260">
        <f t="shared" si="27"/>
        <v>4458000</v>
      </c>
      <c r="G484" s="306"/>
      <c r="H484" s="255"/>
      <c r="I484" s="255"/>
      <c r="J484" s="255"/>
      <c r="K484" s="255"/>
    </row>
    <row r="485" spans="1:11" s="247" customFormat="1" ht="16.8">
      <c r="A485" s="1420" t="s">
        <v>6156</v>
      </c>
      <c r="B485" s="2228" t="s">
        <v>4444</v>
      </c>
      <c r="C485" s="2226" t="s">
        <v>427</v>
      </c>
      <c r="D485" s="2277">
        <v>4</v>
      </c>
      <c r="E485" s="2264">
        <f>+'APU PTAP'!$B$2301</f>
        <v>1086600</v>
      </c>
      <c r="F485" s="260">
        <f t="shared" si="27"/>
        <v>4346400</v>
      </c>
      <c r="G485" s="306"/>
      <c r="H485" s="255"/>
      <c r="I485" s="255"/>
      <c r="J485" s="255"/>
      <c r="K485" s="255"/>
    </row>
    <row r="486" spans="1:11" s="247" customFormat="1" ht="16.8">
      <c r="A486" s="1420" t="s">
        <v>6157</v>
      </c>
      <c r="B486" s="2228" t="s">
        <v>4446</v>
      </c>
      <c r="C486" s="2226" t="s">
        <v>427</v>
      </c>
      <c r="D486" s="2277">
        <v>2</v>
      </c>
      <c r="E486" s="2264">
        <f>+'APU PTAP'!$B$2315</f>
        <v>1212910</v>
      </c>
      <c r="F486" s="260">
        <f t="shared" si="27"/>
        <v>2425820</v>
      </c>
      <c r="G486" s="306"/>
      <c r="H486" s="255"/>
      <c r="I486" s="255"/>
      <c r="J486" s="255"/>
      <c r="K486" s="255"/>
    </row>
    <row r="487" spans="1:11" s="247" customFormat="1" ht="16.8">
      <c r="A487" s="1420" t="s">
        <v>6158</v>
      </c>
      <c r="B487" s="2228" t="s">
        <v>4448</v>
      </c>
      <c r="C487" s="2226" t="s">
        <v>427</v>
      </c>
      <c r="D487" s="2277">
        <v>1</v>
      </c>
      <c r="E487" s="2264">
        <f>+'APU PTAP'!$B$2330</f>
        <v>634300</v>
      </c>
      <c r="F487" s="260">
        <f t="shared" si="27"/>
        <v>634300</v>
      </c>
      <c r="G487" s="306"/>
      <c r="H487" s="255"/>
      <c r="I487" s="255"/>
      <c r="J487" s="255"/>
      <c r="K487" s="255"/>
    </row>
    <row r="488" spans="1:11" s="247" customFormat="1" ht="16.8">
      <c r="A488" s="1420" t="s">
        <v>6159</v>
      </c>
      <c r="B488" s="2228" t="s">
        <v>4450</v>
      </c>
      <c r="C488" s="2226" t="s">
        <v>427</v>
      </c>
      <c r="D488" s="2277">
        <v>5</v>
      </c>
      <c r="E488" s="2264">
        <f>+'APU PTAP'!$B$2345</f>
        <v>1452100</v>
      </c>
      <c r="F488" s="260">
        <f t="shared" si="27"/>
        <v>7260500</v>
      </c>
      <c r="G488" s="306"/>
      <c r="H488" s="255"/>
      <c r="I488" s="255"/>
      <c r="J488" s="255"/>
      <c r="K488" s="255"/>
    </row>
    <row r="489" spans="1:11" s="247" customFormat="1" ht="16.8">
      <c r="A489" s="1420" t="s">
        <v>6160</v>
      </c>
      <c r="B489" s="2228" t="s">
        <v>4452</v>
      </c>
      <c r="C489" s="2226" t="s">
        <v>427</v>
      </c>
      <c r="D489" s="2277">
        <v>1</v>
      </c>
      <c r="E489" s="2264">
        <f>+'APU PTAP'!$B$2360</f>
        <v>1109975</v>
      </c>
      <c r="F489" s="260">
        <f t="shared" si="27"/>
        <v>1109975</v>
      </c>
      <c r="G489" s="306"/>
      <c r="H489" s="255"/>
      <c r="I489" s="255"/>
      <c r="J489" s="255"/>
      <c r="K489" s="255"/>
    </row>
    <row r="490" spans="1:11" s="247" customFormat="1" ht="16.8">
      <c r="A490" s="1420" t="s">
        <v>6161</v>
      </c>
      <c r="B490" s="2228" t="s">
        <v>4569</v>
      </c>
      <c r="C490" s="2226" t="s">
        <v>427</v>
      </c>
      <c r="D490" s="2277">
        <v>1</v>
      </c>
      <c r="E490" s="2264">
        <f>+'APU PTAP'!$B$2376</f>
        <v>854550</v>
      </c>
      <c r="F490" s="260">
        <f t="shared" si="27"/>
        <v>854550</v>
      </c>
      <c r="G490" s="306"/>
      <c r="H490" s="255"/>
      <c r="I490" s="255"/>
      <c r="J490" s="255"/>
      <c r="K490" s="255"/>
    </row>
    <row r="491" spans="1:11" s="247" customFormat="1" ht="18.75" customHeight="1">
      <c r="A491" s="1420" t="s">
        <v>6162</v>
      </c>
      <c r="B491" s="2228" t="s">
        <v>7870</v>
      </c>
      <c r="C491" s="2226" t="s">
        <v>427</v>
      </c>
      <c r="D491" s="2277">
        <v>1</v>
      </c>
      <c r="E491" s="2264">
        <f>+'APU PTAP'!$B$2397</f>
        <v>394782</v>
      </c>
      <c r="F491" s="260">
        <f t="shared" si="27"/>
        <v>394782</v>
      </c>
      <c r="G491" s="306"/>
      <c r="H491" s="255"/>
      <c r="I491" s="255"/>
      <c r="J491" s="255"/>
      <c r="K491" s="255"/>
    </row>
    <row r="492" spans="1:11" ht="16.8">
      <c r="A492" s="3924" t="s">
        <v>4296</v>
      </c>
      <c r="B492" s="3924"/>
      <c r="C492" s="3924"/>
      <c r="D492" s="3924"/>
      <c r="E492" s="3924"/>
      <c r="F492" s="2252">
        <f>SUM(F474:F491)</f>
        <v>47061067</v>
      </c>
    </row>
    <row r="493" spans="1:11" ht="16.8">
      <c r="A493" s="3505" t="str">
        <f>+A155</f>
        <v>ADMINISTRACION SUMINISTROS</v>
      </c>
      <c r="B493" s="3505"/>
      <c r="C493" s="3505"/>
      <c r="D493" s="3505"/>
      <c r="E493" s="2203">
        <f>+AIU!H47</f>
        <v>0.18358899999999997</v>
      </c>
      <c r="F493" s="2250">
        <f>ROUNDUP(+E493*F492,0)</f>
        <v>8639895</v>
      </c>
    </row>
    <row r="494" spans="1:11" ht="16.8">
      <c r="A494" s="3506" t="str">
        <f>+A156</f>
        <v>INTERVENTORIA SUMINISTRO</v>
      </c>
      <c r="B494" s="3506"/>
      <c r="C494" s="3506"/>
      <c r="D494" s="3506"/>
      <c r="E494" s="1572">
        <v>0.01</v>
      </c>
      <c r="F494" s="2252">
        <f>ROUNDUP(E494*(F492+F493),0)</f>
        <v>557010</v>
      </c>
    </row>
    <row r="495" spans="1:11" ht="33.6">
      <c r="A495" s="1871"/>
      <c r="B495" s="1872" t="s">
        <v>8544</v>
      </c>
      <c r="C495" s="1872"/>
      <c r="D495" s="1490"/>
      <c r="E495" s="989">
        <v>0.02</v>
      </c>
      <c r="F495" s="2253">
        <f>ROUNDUP(E495*(F492+F493),0)</f>
        <v>1114020</v>
      </c>
    </row>
    <row r="496" spans="1:11" ht="16.8">
      <c r="A496" s="3504" t="s">
        <v>4297</v>
      </c>
      <c r="B496" s="3504"/>
      <c r="C496" s="3504"/>
      <c r="D496" s="3504"/>
      <c r="E496" s="1500"/>
      <c r="F496" s="2252">
        <f>ROUND(+SUM(F492:F495),0)</f>
        <v>57371992</v>
      </c>
    </row>
    <row r="497" spans="1:6" ht="19.2">
      <c r="A497" s="933"/>
    </row>
    <row r="498" spans="1:6" ht="34.5" customHeight="1">
      <c r="A498" s="3921" t="s">
        <v>7217</v>
      </c>
      <c r="B498" s="3922"/>
      <c r="C498" s="3922"/>
      <c r="D498" s="3922"/>
      <c r="E498" s="3923"/>
      <c r="F498" s="2394">
        <f>F496+F472+F445+F394+F334+F254+F158+F118</f>
        <v>4256067795</v>
      </c>
    </row>
    <row r="499" spans="1:6" ht="19.2">
      <c r="A499" s="933"/>
    </row>
    <row r="500" spans="1:6" ht="19.2">
      <c r="A500" s="933"/>
      <c r="F500" s="2402"/>
    </row>
    <row r="501" spans="1:6" ht="16.8">
      <c r="A501" s="61"/>
    </row>
  </sheetData>
  <autoFilter ref="A7:F499"/>
  <mergeCells count="58">
    <mergeCell ref="B339:F339"/>
    <mergeCell ref="B336:E336"/>
    <mergeCell ref="A338:F338"/>
    <mergeCell ref="A114:E114"/>
    <mergeCell ref="A115:D115"/>
    <mergeCell ref="A116:D116"/>
    <mergeCell ref="A156:D156"/>
    <mergeCell ref="A252:D252"/>
    <mergeCell ref="A253:D253"/>
    <mergeCell ref="A250:E250"/>
    <mergeCell ref="A251:D251"/>
    <mergeCell ref="A334:E334"/>
    <mergeCell ref="A254:E254"/>
    <mergeCell ref="A330:E330"/>
    <mergeCell ref="A331:D331"/>
    <mergeCell ref="A332:D332"/>
    <mergeCell ref="A333:D333"/>
    <mergeCell ref="A5:F5"/>
    <mergeCell ref="A6:B6"/>
    <mergeCell ref="B119:E119"/>
    <mergeCell ref="A117:D117"/>
    <mergeCell ref="A118:E118"/>
    <mergeCell ref="A154:E154"/>
    <mergeCell ref="A155:D155"/>
    <mergeCell ref="B12:E12"/>
    <mergeCell ref="A158:E158"/>
    <mergeCell ref="A159:E159"/>
    <mergeCell ref="A157:D157"/>
    <mergeCell ref="B8:F8"/>
    <mergeCell ref="B161:F161"/>
    <mergeCell ref="B255:E255"/>
    <mergeCell ref="B2:E2"/>
    <mergeCell ref="F1:F3"/>
    <mergeCell ref="A1:A3"/>
    <mergeCell ref="B1:E1"/>
    <mergeCell ref="C3:E3"/>
    <mergeCell ref="A445:D445"/>
    <mergeCell ref="A390:E390"/>
    <mergeCell ref="A391:D391"/>
    <mergeCell ref="A392:D392"/>
    <mergeCell ref="A394:E394"/>
    <mergeCell ref="B436:D436"/>
    <mergeCell ref="A441:E441"/>
    <mergeCell ref="A442:D442"/>
    <mergeCell ref="A443:D443"/>
    <mergeCell ref="A496:D496"/>
    <mergeCell ref="A448:F448"/>
    <mergeCell ref="A498:E498"/>
    <mergeCell ref="B473:D473"/>
    <mergeCell ref="A492:E492"/>
    <mergeCell ref="A493:D493"/>
    <mergeCell ref="A494:D494"/>
    <mergeCell ref="A471:D471"/>
    <mergeCell ref="B446:E446"/>
    <mergeCell ref="A468:E468"/>
    <mergeCell ref="A469:D469"/>
    <mergeCell ref="A470:D470"/>
    <mergeCell ref="A472:E472"/>
  </mergeCells>
  <printOptions horizontalCentered="1" verticalCentered="1"/>
  <pageMargins left="0.70866141732283472" right="0.70866141732283472" top="0.74803149606299213" bottom="0.74803149606299213" header="0.31496062992125984" footer="0.31496062992125984"/>
  <pageSetup scale="68" orientation="portrait" horizontalDpi="360" verticalDpi="360"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rgb="FFFFFF99"/>
  </sheetPr>
  <dimension ref="A1:Q134"/>
  <sheetViews>
    <sheetView view="pageBreakPreview" topLeftCell="A103" zoomScale="85" zoomScaleNormal="110" zoomScaleSheetLayoutView="85" workbookViewId="0">
      <selection activeCell="G121" sqref="G121"/>
    </sheetView>
  </sheetViews>
  <sheetFormatPr baseColWidth="10" defaultColWidth="10.6640625" defaultRowHeight="18"/>
  <cols>
    <col min="1" max="1" width="5.109375" style="516" customWidth="1"/>
    <col min="2" max="2" width="8.88671875" style="516" customWidth="1"/>
    <col min="3" max="3" width="69" style="516" customWidth="1"/>
    <col min="4" max="4" width="12" style="516" customWidth="1"/>
    <col min="5" max="5" width="15.33203125" style="516" customWidth="1"/>
    <col min="6" max="6" width="18.88671875" style="516" customWidth="1"/>
    <col min="7" max="7" width="24.6640625" style="516" bestFit="1" customWidth="1"/>
    <col min="8" max="8" width="17.109375" bestFit="1" customWidth="1"/>
    <col min="9" max="9" width="16.88671875" customWidth="1"/>
  </cols>
  <sheetData>
    <row r="1" spans="1:8" ht="42" customHeight="1">
      <c r="A1" s="3939"/>
      <c r="B1" s="3940"/>
      <c r="C1" s="3626" t="s">
        <v>6313</v>
      </c>
      <c r="D1" s="3627"/>
      <c r="E1" s="3627"/>
      <c r="F1" s="3627"/>
      <c r="G1" s="3945"/>
    </row>
    <row r="2" spans="1:8">
      <c r="A2" s="3941"/>
      <c r="B2" s="3942"/>
      <c r="C2" s="3948" t="s">
        <v>4260</v>
      </c>
      <c r="D2" s="3949"/>
      <c r="E2" s="3949"/>
      <c r="F2" s="3949"/>
      <c r="G2" s="3946"/>
    </row>
    <row r="3" spans="1:8" ht="18.600000000000001" thickBot="1">
      <c r="A3" s="3943"/>
      <c r="B3" s="3944"/>
      <c r="C3" s="951" t="s">
        <v>3859</v>
      </c>
      <c r="D3" s="3950" t="s">
        <v>8577</v>
      </c>
      <c r="E3" s="3951"/>
      <c r="F3" s="3952"/>
      <c r="G3" s="3947"/>
    </row>
    <row r="5" spans="1:8" ht="19.2">
      <c r="A5" s="3956" t="s">
        <v>4323</v>
      </c>
      <c r="B5" s="3956"/>
      <c r="C5" s="3956"/>
      <c r="D5" s="3956"/>
      <c r="E5" s="3956"/>
      <c r="F5" s="3956"/>
      <c r="G5" s="3956"/>
    </row>
    <row r="6" spans="1:8">
      <c r="A6" s="3957"/>
      <c r="B6" s="3957"/>
      <c r="C6" s="3957"/>
      <c r="D6" s="639"/>
      <c r="E6" s="639"/>
      <c r="F6" s="639"/>
      <c r="G6" s="639"/>
    </row>
    <row r="7" spans="1:8" ht="36">
      <c r="A7" s="2313"/>
      <c r="B7" s="640" t="s">
        <v>22</v>
      </c>
      <c r="C7" s="640" t="s">
        <v>23</v>
      </c>
      <c r="D7" s="640" t="s">
        <v>3818</v>
      </c>
      <c r="E7" s="640" t="s">
        <v>1037</v>
      </c>
      <c r="F7" s="640" t="s">
        <v>3819</v>
      </c>
      <c r="G7" s="640" t="s">
        <v>3820</v>
      </c>
    </row>
    <row r="8" spans="1:8">
      <c r="A8" s="3958" t="s">
        <v>1370</v>
      </c>
      <c r="B8" s="3735"/>
      <c r="C8" s="3735"/>
      <c r="D8" s="3735"/>
      <c r="E8" s="3735"/>
      <c r="F8" s="3735"/>
      <c r="G8" s="3736"/>
    </row>
    <row r="9" spans="1:8">
      <c r="A9" s="1037"/>
      <c r="B9" s="1002">
        <v>1</v>
      </c>
      <c r="C9" s="996" t="s">
        <v>1372</v>
      </c>
      <c r="D9" s="997"/>
      <c r="E9" s="997"/>
      <c r="F9" s="997"/>
      <c r="G9" s="2673">
        <f>SUM(G10:G14)</f>
        <v>4031477</v>
      </c>
    </row>
    <row r="10" spans="1:8" ht="19.8">
      <c r="A10" s="641">
        <v>104</v>
      </c>
      <c r="B10" s="894" t="s">
        <v>34</v>
      </c>
      <c r="C10" s="642" t="s">
        <v>1442</v>
      </c>
      <c r="D10" s="643" t="s">
        <v>3850</v>
      </c>
      <c r="E10" s="1737">
        <f>+(8.8*25.6)</f>
        <v>225.28000000000003</v>
      </c>
      <c r="F10" s="1759">
        <f>+'APU LINEAS IMPULSIÓN'!B17</f>
        <v>2356</v>
      </c>
      <c r="G10" s="895">
        <f>ROUND(E10*F10,0)</f>
        <v>530760</v>
      </c>
    </row>
    <row r="11" spans="1:8" ht="19.8">
      <c r="A11" s="641">
        <v>103</v>
      </c>
      <c r="B11" s="641" t="s">
        <v>1443</v>
      </c>
      <c r="C11" s="642" t="s">
        <v>1374</v>
      </c>
      <c r="D11" s="643" t="s">
        <v>3850</v>
      </c>
      <c r="E11" s="1737">
        <f>+E10</f>
        <v>225.28000000000003</v>
      </c>
      <c r="F11" s="1759">
        <f>+'APU PTAP'!B31</f>
        <v>2904.8114772599997</v>
      </c>
      <c r="G11" s="895">
        <f t="shared" ref="G11:G43" si="0">ROUND(E11*F11,0)</f>
        <v>654396</v>
      </c>
      <c r="H11" s="1226"/>
    </row>
    <row r="12" spans="1:8" ht="19.8">
      <c r="A12" s="641">
        <v>107.1</v>
      </c>
      <c r="B12" s="641" t="s">
        <v>1444</v>
      </c>
      <c r="C12" s="642" t="s">
        <v>1375</v>
      </c>
      <c r="D12" s="643" t="s">
        <v>3851</v>
      </c>
      <c r="E12" s="1751">
        <f>E11*0.3</f>
        <v>67.584000000000003</v>
      </c>
      <c r="F12" s="1759">
        <f>+'APU TANQUE PATAGONIA'!B25</f>
        <v>24714.739345036</v>
      </c>
      <c r="G12" s="895">
        <f t="shared" si="0"/>
        <v>1670321</v>
      </c>
    </row>
    <row r="13" spans="1:8" ht="36">
      <c r="A13" s="641">
        <v>107.1</v>
      </c>
      <c r="B13" s="641" t="s">
        <v>1445</v>
      </c>
      <c r="C13" s="642" t="s">
        <v>1376</v>
      </c>
      <c r="D13" s="643" t="s">
        <v>363</v>
      </c>
      <c r="E13" s="1751">
        <v>2</v>
      </c>
      <c r="F13" s="1759">
        <f>+'APU TANQUE PATAGONIA'!B34</f>
        <v>218000</v>
      </c>
      <c r="G13" s="895">
        <f t="shared" si="0"/>
        <v>436000</v>
      </c>
    </row>
    <row r="14" spans="1:8" ht="36">
      <c r="A14" s="641">
        <v>107.1</v>
      </c>
      <c r="B14" s="641" t="s">
        <v>814</v>
      </c>
      <c r="C14" s="642" t="s">
        <v>1377</v>
      </c>
      <c r="D14" s="643" t="s">
        <v>363</v>
      </c>
      <c r="E14" s="1751">
        <v>2</v>
      </c>
      <c r="F14" s="1759">
        <f>+'APU TANQUE PATAGONIA'!B43</f>
        <v>370000</v>
      </c>
      <c r="G14" s="895">
        <f t="shared" si="0"/>
        <v>740000</v>
      </c>
    </row>
    <row r="15" spans="1:8">
      <c r="A15" s="1000"/>
      <c r="B15" s="1038">
        <v>2</v>
      </c>
      <c r="C15" s="1039" t="s">
        <v>1379</v>
      </c>
      <c r="D15" s="997"/>
      <c r="E15" s="997"/>
      <c r="F15" s="997"/>
      <c r="G15" s="2673">
        <f>SUM(G16:G18)</f>
        <v>40703892</v>
      </c>
    </row>
    <row r="16" spans="1:8" ht="28.5" customHeight="1">
      <c r="A16" s="641">
        <v>201</v>
      </c>
      <c r="B16" s="650" t="s">
        <v>35</v>
      </c>
      <c r="C16" s="896" t="s">
        <v>6329</v>
      </c>
      <c r="D16" s="643" t="s">
        <v>3851</v>
      </c>
      <c r="E16" s="650">
        <f>1489+200</f>
        <v>1689</v>
      </c>
      <c r="F16" s="1760">
        <f>+'APU LINEAS IMPULSIÓN'!B66</f>
        <v>10000</v>
      </c>
      <c r="G16" s="895">
        <f t="shared" si="0"/>
        <v>16890000</v>
      </c>
    </row>
    <row r="17" spans="1:7">
      <c r="A17" s="641">
        <v>201</v>
      </c>
      <c r="B17" s="650" t="s">
        <v>1446</v>
      </c>
      <c r="C17" s="896" t="s">
        <v>6330</v>
      </c>
      <c r="D17" s="643" t="s">
        <v>1084</v>
      </c>
      <c r="E17" s="650">
        <f>934+120</f>
        <v>1054</v>
      </c>
      <c r="F17" s="1760">
        <f>+'APU TANQUE PATAGONIA'!$B$51</f>
        <v>15000</v>
      </c>
      <c r="G17" s="895">
        <f t="shared" si="0"/>
        <v>15810000</v>
      </c>
    </row>
    <row r="18" spans="1:7" ht="19.8">
      <c r="A18" s="641">
        <v>201</v>
      </c>
      <c r="B18" s="650" t="s">
        <v>5540</v>
      </c>
      <c r="C18" s="649" t="s">
        <v>6292</v>
      </c>
      <c r="D18" s="643" t="s">
        <v>3851</v>
      </c>
      <c r="E18" s="645">
        <f>+E17*0.1</f>
        <v>105.4</v>
      </c>
      <c r="F18" s="1759">
        <f>+'APU LINEAS IMPULSIÓN'!B81</f>
        <v>75938.251377333334</v>
      </c>
      <c r="G18" s="895">
        <f t="shared" si="0"/>
        <v>8003892</v>
      </c>
    </row>
    <row r="19" spans="1:7">
      <c r="A19" s="1040"/>
      <c r="B19" s="1041" t="s">
        <v>1449</v>
      </c>
      <c r="C19" s="1042" t="s">
        <v>1450</v>
      </c>
      <c r="D19" s="1043"/>
      <c r="E19" s="1044"/>
      <c r="F19" s="1045"/>
      <c r="G19" s="2673">
        <f>SUM(G20:G21)</f>
        <v>9489050</v>
      </c>
    </row>
    <row r="20" spans="1:7">
      <c r="A20" s="323"/>
      <c r="B20" s="650" t="s">
        <v>36</v>
      </c>
      <c r="C20" s="897" t="s">
        <v>7952</v>
      </c>
      <c r="D20" s="643" t="s">
        <v>1125</v>
      </c>
      <c r="E20" s="645">
        <v>500</v>
      </c>
      <c r="F20" s="1759">
        <f>+'APU TANQUE PATAGONIA'!$B$65</f>
        <v>18238</v>
      </c>
      <c r="G20" s="895">
        <f t="shared" si="0"/>
        <v>9119000</v>
      </c>
    </row>
    <row r="21" spans="1:7">
      <c r="A21" s="323"/>
      <c r="B21" s="650" t="s">
        <v>1451</v>
      </c>
      <c r="C21" s="897" t="s">
        <v>7953</v>
      </c>
      <c r="D21" s="643" t="s">
        <v>1125</v>
      </c>
      <c r="E21" s="645">
        <v>10</v>
      </c>
      <c r="F21" s="1759">
        <f>+'APU TANQUE PATAGONIA'!$B$77</f>
        <v>37005</v>
      </c>
      <c r="G21" s="895">
        <f t="shared" si="0"/>
        <v>370050</v>
      </c>
    </row>
    <row r="22" spans="1:7">
      <c r="A22" s="1000"/>
      <c r="B22" s="997">
        <v>4</v>
      </c>
      <c r="C22" s="1046" t="s">
        <v>1453</v>
      </c>
      <c r="D22" s="1007"/>
      <c r="E22" s="1008"/>
      <c r="F22" s="1763"/>
      <c r="G22" s="2673">
        <f>SUM(G23:G25)</f>
        <v>12126528</v>
      </c>
    </row>
    <row r="23" spans="1:7" ht="50.25" customHeight="1">
      <c r="A23" s="641">
        <v>204</v>
      </c>
      <c r="B23" s="650" t="s">
        <v>5197</v>
      </c>
      <c r="C23" s="651" t="s">
        <v>1102</v>
      </c>
      <c r="D23" s="643" t="s">
        <v>3851</v>
      </c>
      <c r="E23" s="662">
        <v>624</v>
      </c>
      <c r="F23" s="1760">
        <f>+'APU LINEAS IMPULSIÓN'!B105</f>
        <v>12212</v>
      </c>
      <c r="G23" s="895">
        <f t="shared" si="0"/>
        <v>7620288</v>
      </c>
    </row>
    <row r="24" spans="1:7" ht="36">
      <c r="A24" s="641">
        <v>204</v>
      </c>
      <c r="B24" s="645" t="s">
        <v>5543</v>
      </c>
      <c r="C24" s="649" t="s">
        <v>1454</v>
      </c>
      <c r="D24" s="643" t="s">
        <v>3851</v>
      </c>
      <c r="E24" s="645">
        <v>37.200000000000003</v>
      </c>
      <c r="F24" s="1759">
        <f>+'APU LINEAS IMPULSIÓN'!B97</f>
        <v>87012</v>
      </c>
      <c r="G24" s="895">
        <f t="shared" si="0"/>
        <v>3236846</v>
      </c>
    </row>
    <row r="25" spans="1:7" ht="19.8">
      <c r="A25" s="641">
        <v>801</v>
      </c>
      <c r="B25" s="662" t="s">
        <v>8039</v>
      </c>
      <c r="C25" s="651" t="s">
        <v>6640</v>
      </c>
      <c r="D25" s="643" t="s">
        <v>3851</v>
      </c>
      <c r="E25" s="650">
        <v>24.5</v>
      </c>
      <c r="F25" s="1760">
        <f>+'APU TANQUE PATAGONIA'!B88</f>
        <v>51812</v>
      </c>
      <c r="G25" s="895">
        <f t="shared" si="0"/>
        <v>1269394</v>
      </c>
    </row>
    <row r="26" spans="1:7">
      <c r="A26" s="1000"/>
      <c r="B26" s="997">
        <v>5</v>
      </c>
      <c r="C26" s="1032" t="s">
        <v>1456</v>
      </c>
      <c r="D26" s="1007"/>
      <c r="E26" s="1013"/>
      <c r="F26" s="1766"/>
      <c r="G26" s="2673">
        <f>SUM(G27:G27)</f>
        <v>70333900</v>
      </c>
    </row>
    <row r="27" spans="1:7">
      <c r="A27" s="641">
        <v>205</v>
      </c>
      <c r="B27" s="898" t="s">
        <v>5199</v>
      </c>
      <c r="C27" s="652" t="s">
        <v>1384</v>
      </c>
      <c r="D27" s="248" t="s">
        <v>8540</v>
      </c>
      <c r="E27" s="1737">
        <f>2751*14</f>
        <v>38514</v>
      </c>
      <c r="F27" s="1759">
        <f>+'APU LINEAS IMPULSIÓN'!B88</f>
        <v>1826.1904761904761</v>
      </c>
      <c r="G27" s="1760">
        <f t="shared" si="0"/>
        <v>70333900</v>
      </c>
    </row>
    <row r="28" spans="1:7">
      <c r="A28" s="1000"/>
      <c r="B28" s="997">
        <v>6</v>
      </c>
      <c r="C28" s="1047" t="s">
        <v>1393</v>
      </c>
      <c r="D28" s="1761"/>
      <c r="E28" s="1765"/>
      <c r="F28" s="1766"/>
      <c r="G28" s="2373">
        <f>SUM(G29:G35)</f>
        <v>300381057</v>
      </c>
    </row>
    <row r="29" spans="1:7" ht="19.8">
      <c r="A29" s="641"/>
      <c r="B29" s="650" t="s">
        <v>5201</v>
      </c>
      <c r="C29" s="651" t="s">
        <v>6641</v>
      </c>
      <c r="D29" s="1751" t="s">
        <v>5760</v>
      </c>
      <c r="E29" s="1748">
        <v>40</v>
      </c>
      <c r="F29" s="1760">
        <f>+'APU TANQUE PATAGONIA'!B99</f>
        <v>481933.30964979</v>
      </c>
      <c r="G29" s="1760">
        <f t="shared" si="0"/>
        <v>19277332</v>
      </c>
    </row>
    <row r="30" spans="1:7" ht="36">
      <c r="A30" s="641"/>
      <c r="B30" s="650" t="s">
        <v>8040</v>
      </c>
      <c r="C30" s="651" t="s">
        <v>6645</v>
      </c>
      <c r="D30" s="1751" t="s">
        <v>5760</v>
      </c>
      <c r="E30" s="1748">
        <v>45</v>
      </c>
      <c r="F30" s="1760">
        <f>+'APU TANQUE PATAGONIA'!B113</f>
        <v>710152.3017086701</v>
      </c>
      <c r="G30" s="1760">
        <f t="shared" si="0"/>
        <v>31956854</v>
      </c>
    </row>
    <row r="31" spans="1:7" ht="36">
      <c r="A31" s="641"/>
      <c r="B31" s="650" t="s">
        <v>8041</v>
      </c>
      <c r="C31" s="651" t="s">
        <v>6647</v>
      </c>
      <c r="D31" s="1751" t="s">
        <v>5760</v>
      </c>
      <c r="E31" s="1748">
        <v>144</v>
      </c>
      <c r="F31" s="1760">
        <f>+'APU TANQUE PATAGONIA'!B128</f>
        <v>724892.74177067797</v>
      </c>
      <c r="G31" s="1760">
        <f t="shared" si="0"/>
        <v>104384555</v>
      </c>
    </row>
    <row r="32" spans="1:7" ht="36">
      <c r="A32" s="653"/>
      <c r="B32" s="650" t="s">
        <v>8042</v>
      </c>
      <c r="C32" s="651" t="s">
        <v>6648</v>
      </c>
      <c r="D32" s="1751" t="s">
        <v>3852</v>
      </c>
      <c r="E32" s="1748">
        <v>67</v>
      </c>
      <c r="F32" s="1760">
        <f>+'APU TANQUE PATAGONIA'!B143</f>
        <v>759372.49177067808</v>
      </c>
      <c r="G32" s="1760">
        <f t="shared" si="0"/>
        <v>50877957</v>
      </c>
    </row>
    <row r="33" spans="1:7" ht="32.25" customHeight="1">
      <c r="A33" s="641"/>
      <c r="B33" s="650" t="s">
        <v>8043</v>
      </c>
      <c r="C33" s="651" t="s">
        <v>6650</v>
      </c>
      <c r="D33" s="1751" t="s">
        <v>5760</v>
      </c>
      <c r="E33" s="1748">
        <v>130</v>
      </c>
      <c r="F33" s="1760">
        <f>+'APU TANQUE PATAGONIA'!B158</f>
        <v>703325</v>
      </c>
      <c r="G33" s="1760">
        <f t="shared" si="0"/>
        <v>91432250</v>
      </c>
    </row>
    <row r="34" spans="1:7" ht="36">
      <c r="A34" s="641"/>
      <c r="B34" s="650" t="s">
        <v>8044</v>
      </c>
      <c r="C34" s="651" t="s">
        <v>6653</v>
      </c>
      <c r="D34" s="1751" t="s">
        <v>5760</v>
      </c>
      <c r="E34" s="1748">
        <v>2</v>
      </c>
      <c r="F34" s="1760">
        <f>+'APU TANQUE PATAGONIA'!$B$171</f>
        <v>727437.63504200336</v>
      </c>
      <c r="G34" s="1760">
        <f t="shared" si="0"/>
        <v>1454875</v>
      </c>
    </row>
    <row r="35" spans="1:7" ht="36">
      <c r="A35" s="641"/>
      <c r="B35" s="650" t="s">
        <v>8045</v>
      </c>
      <c r="C35" s="651" t="s">
        <v>6656</v>
      </c>
      <c r="D35" s="1751" t="s">
        <v>363</v>
      </c>
      <c r="E35" s="1748">
        <v>1</v>
      </c>
      <c r="F35" s="1760">
        <f>+'APU TANQUE PATAGONIA'!B183</f>
        <v>997234.17301162367</v>
      </c>
      <c r="G35" s="1760">
        <f t="shared" si="0"/>
        <v>997234</v>
      </c>
    </row>
    <row r="36" spans="1:7">
      <c r="A36" s="1000"/>
      <c r="B36" s="997">
        <v>7</v>
      </c>
      <c r="C36" s="1047" t="s">
        <v>1382</v>
      </c>
      <c r="D36" s="1761"/>
      <c r="E36" s="1765"/>
      <c r="F36" s="1766"/>
      <c r="G36" s="1758">
        <f>SUM(G37)</f>
        <v>111694591</v>
      </c>
    </row>
    <row r="37" spans="1:7">
      <c r="A37" s="641"/>
      <c r="B37" s="650" t="s">
        <v>5203</v>
      </c>
      <c r="C37" s="651" t="s">
        <v>6655</v>
      </c>
      <c r="D37" s="1748" t="s">
        <v>647</v>
      </c>
      <c r="E37" s="1748">
        <v>28359</v>
      </c>
      <c r="F37" s="1760">
        <f>+'APU LINEAS IMPULSIÓN'!B282</f>
        <v>3938.5941163025</v>
      </c>
      <c r="G37" s="1760">
        <f t="shared" si="0"/>
        <v>111694591</v>
      </c>
    </row>
    <row r="38" spans="1:7">
      <c r="A38" s="1000"/>
      <c r="B38" s="997">
        <v>8</v>
      </c>
      <c r="C38" s="2278" t="s">
        <v>1465</v>
      </c>
      <c r="D38" s="1768"/>
      <c r="E38" s="1768"/>
      <c r="F38" s="1768"/>
      <c r="G38" s="1758">
        <f>SUM(G39)</f>
        <v>18551413</v>
      </c>
    </row>
    <row r="39" spans="1:7" ht="36">
      <c r="A39" s="641"/>
      <c r="B39" s="650" t="s">
        <v>5205</v>
      </c>
      <c r="C39" s="2279" t="s">
        <v>8712</v>
      </c>
      <c r="D39" s="2280" t="s">
        <v>94</v>
      </c>
      <c r="E39" s="2280">
        <v>424</v>
      </c>
      <c r="F39" s="2281">
        <f>+'APU TANQUE PATAGONIA'!B192</f>
        <v>43753.333333333372</v>
      </c>
      <c r="G39" s="1760">
        <f t="shared" si="0"/>
        <v>18551413</v>
      </c>
    </row>
    <row r="40" spans="1:7">
      <c r="A40" s="1000"/>
      <c r="B40" s="997">
        <v>9</v>
      </c>
      <c r="C40" s="1047" t="s">
        <v>1467</v>
      </c>
      <c r="D40" s="1765"/>
      <c r="E40" s="1765"/>
      <c r="F40" s="1766"/>
      <c r="G40" s="1758">
        <f>SUM(G41)</f>
        <v>19945908</v>
      </c>
    </row>
    <row r="41" spans="1:7" ht="36">
      <c r="A41" s="641"/>
      <c r="B41" s="650" t="s">
        <v>5207</v>
      </c>
      <c r="C41" s="2201" t="s">
        <v>6657</v>
      </c>
      <c r="D41" s="1748" t="s">
        <v>94</v>
      </c>
      <c r="E41" s="1748">
        <v>195</v>
      </c>
      <c r="F41" s="1760">
        <f>+'APU TANQUE PATAGONIA'!B206</f>
        <v>102286.7096074</v>
      </c>
      <c r="G41" s="1760">
        <f t="shared" si="0"/>
        <v>19945908</v>
      </c>
    </row>
    <row r="42" spans="1:7">
      <c r="A42" s="1000"/>
      <c r="B42" s="1048">
        <v>10</v>
      </c>
      <c r="C42" s="1047" t="s">
        <v>1469</v>
      </c>
      <c r="D42" s="1761"/>
      <c r="E42" s="1762"/>
      <c r="F42" s="1763"/>
      <c r="G42" s="1758">
        <f>SUM(G43:G43)</f>
        <v>2438618</v>
      </c>
    </row>
    <row r="43" spans="1:7" ht="38.4">
      <c r="A43" s="899"/>
      <c r="B43" s="645">
        <v>10.1</v>
      </c>
      <c r="C43" s="2282" t="s">
        <v>6661</v>
      </c>
      <c r="D43" s="1769" t="s">
        <v>363</v>
      </c>
      <c r="E43" s="1748">
        <v>1</v>
      </c>
      <c r="F43" s="1760">
        <f>+'APU PTAP'!B1074</f>
        <v>2438617.5063487096</v>
      </c>
      <c r="G43" s="895">
        <f t="shared" si="0"/>
        <v>2438618</v>
      </c>
    </row>
    <row r="44" spans="1:7">
      <c r="A44" s="1015"/>
      <c r="B44" s="1016"/>
      <c r="C44" s="3735" t="s">
        <v>1389</v>
      </c>
      <c r="D44" s="3735"/>
      <c r="E44" s="3735"/>
      <c r="F44" s="3735"/>
      <c r="G44" s="1017"/>
    </row>
    <row r="45" spans="1:7">
      <c r="A45" s="1000"/>
      <c r="B45" s="997">
        <v>11</v>
      </c>
      <c r="C45" s="1047" t="s">
        <v>6664</v>
      </c>
      <c r="D45" s="1765"/>
      <c r="E45" s="1765"/>
      <c r="F45" s="1766"/>
      <c r="G45" s="2673">
        <f>SUM(G46)</f>
        <v>344610</v>
      </c>
    </row>
    <row r="46" spans="1:7">
      <c r="A46" s="641">
        <v>801</v>
      </c>
      <c r="B46" s="645" t="s">
        <v>8217</v>
      </c>
      <c r="C46" s="649" t="s">
        <v>6664</v>
      </c>
      <c r="D46" s="1751" t="s">
        <v>94</v>
      </c>
      <c r="E46" s="1737">
        <v>90</v>
      </c>
      <c r="F46" s="1759">
        <f>+'APU TANQUE PATAGONIA'!B216</f>
        <v>3829</v>
      </c>
      <c r="G46" s="895">
        <f>ROUND(E46*F46,0)</f>
        <v>344610</v>
      </c>
    </row>
    <row r="47" spans="1:7">
      <c r="A47" s="1000"/>
      <c r="B47" s="1049">
        <v>12</v>
      </c>
      <c r="C47" s="1047" t="s">
        <v>5075</v>
      </c>
      <c r="D47" s="1765"/>
      <c r="E47" s="1765"/>
      <c r="F47" s="1770"/>
      <c r="G47" s="2673">
        <f>+SUM(G48:G49)</f>
        <v>708558</v>
      </c>
    </row>
    <row r="48" spans="1:7">
      <c r="A48" s="1405"/>
      <c r="B48" s="1407" t="s">
        <v>5073</v>
      </c>
      <c r="C48" s="2201" t="s">
        <v>7208</v>
      </c>
      <c r="D48" s="1748" t="s">
        <v>363</v>
      </c>
      <c r="E48" s="1748">
        <v>12</v>
      </c>
      <c r="F48" s="2200">
        <f>+'APU TANQUE PATAGONIA'!B232</f>
        <v>44628</v>
      </c>
      <c r="G48" s="895">
        <f>ROUND(E48*F48,0)</f>
        <v>535536</v>
      </c>
    </row>
    <row r="49" spans="1:9">
      <c r="A49" s="1405"/>
      <c r="B49" s="1407" t="s">
        <v>5074</v>
      </c>
      <c r="C49" s="2201" t="s">
        <v>7209</v>
      </c>
      <c r="D49" s="1748" t="s">
        <v>363</v>
      </c>
      <c r="E49" s="1748">
        <v>3</v>
      </c>
      <c r="F49" s="2200">
        <f>+'APU TANQUE PATAGONIA'!B245</f>
        <v>57674</v>
      </c>
      <c r="G49" s="895">
        <f>ROUND(E49*F49,0)</f>
        <v>173022</v>
      </c>
    </row>
    <row r="50" spans="1:9">
      <c r="A50" s="1000"/>
      <c r="B50" s="1049">
        <v>13</v>
      </c>
      <c r="C50" s="1047" t="s">
        <v>1513</v>
      </c>
      <c r="D50" s="1765"/>
      <c r="E50" s="1765"/>
      <c r="F50" s="1770"/>
      <c r="G50" s="2673">
        <f>SUM(G51:G52)</f>
        <v>1041507</v>
      </c>
    </row>
    <row r="51" spans="1:9" ht="36">
      <c r="A51" s="653"/>
      <c r="B51" s="645" t="s">
        <v>8218</v>
      </c>
      <c r="C51" s="2201" t="s">
        <v>6634</v>
      </c>
      <c r="D51" s="1748" t="s">
        <v>363</v>
      </c>
      <c r="E51" s="1748">
        <v>1</v>
      </c>
      <c r="F51" s="2281">
        <f>+'APU TANQUE PATAGONIA'!B263</f>
        <v>145504.64763366</v>
      </c>
      <c r="G51" s="895">
        <f>+ROUND(F51*E51,0)</f>
        <v>145505</v>
      </c>
    </row>
    <row r="52" spans="1:9" ht="36">
      <c r="A52" s="900"/>
      <c r="B52" s="645" t="s">
        <v>8219</v>
      </c>
      <c r="C52" s="2201" t="s">
        <v>6628</v>
      </c>
      <c r="D52" s="1748" t="s">
        <v>363</v>
      </c>
      <c r="E52" s="1748">
        <v>1</v>
      </c>
      <c r="F52" s="2281">
        <f>+'APU TANQUE PATAGONIA'!B279</f>
        <v>896002.30384937988</v>
      </c>
      <c r="G52" s="895">
        <f t="shared" ref="G52" si="1">+ROUND(F52*E52,0)</f>
        <v>896002</v>
      </c>
    </row>
    <row r="53" spans="1:9" ht="41.25" customHeight="1">
      <c r="A53" s="3604" t="s">
        <v>4301</v>
      </c>
      <c r="B53" s="3605"/>
      <c r="C53" s="3605"/>
      <c r="D53" s="3605"/>
      <c r="E53" s="3605"/>
      <c r="F53" s="3606"/>
      <c r="G53" s="994">
        <f>+SUM(G51:G52,G46,G43:G43,G41,G39,G37,G29:G35,G27:G27,G23:G25,G20:G21,G16:G18,G10:G14,G48:G49)</f>
        <v>591791109</v>
      </c>
      <c r="H53" s="2374">
        <f>+G53</f>
        <v>591791109</v>
      </c>
      <c r="I53" s="2375" t="s">
        <v>8225</v>
      </c>
    </row>
    <row r="54" spans="1:9" ht="16.8">
      <c r="A54" s="3528" t="s">
        <v>139</v>
      </c>
      <c r="B54" s="3529"/>
      <c r="C54" s="3529"/>
      <c r="D54" s="3529"/>
      <c r="E54" s="3530"/>
      <c r="F54" s="2202">
        <f>+AIU</f>
        <v>0.29572249606750989</v>
      </c>
      <c r="G54" s="994">
        <f>+ROUND(G53*F54,0)</f>
        <v>175005944</v>
      </c>
      <c r="I54" s="522"/>
    </row>
    <row r="55" spans="1:9" ht="16.8">
      <c r="A55" s="3528" t="s">
        <v>8713</v>
      </c>
      <c r="B55" s="3529"/>
      <c r="C55" s="3529"/>
      <c r="D55" s="3529"/>
      <c r="E55" s="3530"/>
      <c r="F55" s="2386">
        <f>+'PRESUPUESTO-INTERV'!J50</f>
        <v>0.16163254000625432</v>
      </c>
      <c r="G55" s="994">
        <f>ROUNDUP(F55*(G53+G54),0)</f>
        <v>123939356</v>
      </c>
      <c r="I55" s="522"/>
    </row>
    <row r="56" spans="1:9" ht="16.8">
      <c r="A56" s="3528" t="s">
        <v>4300</v>
      </c>
      <c r="B56" s="3529"/>
      <c r="C56" s="3529"/>
      <c r="D56" s="3529"/>
      <c r="E56" s="3530"/>
      <c r="F56" s="984">
        <v>0.02</v>
      </c>
      <c r="G56" s="994">
        <f>ROUND(F56*(G53+G54),0)</f>
        <v>15335941</v>
      </c>
      <c r="I56" s="522"/>
    </row>
    <row r="57" spans="1:9" ht="37.5" customHeight="1">
      <c r="A57" s="3960" t="s">
        <v>4302</v>
      </c>
      <c r="B57" s="3961"/>
      <c r="C57" s="3961"/>
      <c r="D57" s="3961"/>
      <c r="E57" s="3961"/>
      <c r="F57" s="3962"/>
      <c r="G57" s="2155">
        <f>SUM(G53:G56)</f>
        <v>906072350</v>
      </c>
      <c r="I57" s="522"/>
    </row>
    <row r="58" spans="1:9" ht="19.2">
      <c r="A58" s="2159"/>
      <c r="B58" s="2160"/>
      <c r="C58" s="2161"/>
      <c r="D58" s="2162"/>
      <c r="E58" s="2163"/>
      <c r="F58" s="2164"/>
      <c r="G58" s="2165"/>
    </row>
    <row r="59" spans="1:9">
      <c r="A59" s="2156"/>
      <c r="B59" s="2157"/>
      <c r="C59" s="3959"/>
      <c r="D59" s="3959"/>
      <c r="E59" s="3959"/>
      <c r="F59" s="3959"/>
      <c r="G59" s="2158"/>
    </row>
    <row r="60" spans="1:9" ht="33" customHeight="1">
      <c r="A60" s="1022"/>
      <c r="B60" s="2153">
        <v>14</v>
      </c>
      <c r="C60" s="1051" t="s">
        <v>4190</v>
      </c>
      <c r="D60" s="1033"/>
      <c r="E60" s="1033"/>
      <c r="F60" s="2154"/>
      <c r="G60" s="1036">
        <f>ROUND(+SUM(G61),0)</f>
        <v>3435750</v>
      </c>
    </row>
    <row r="61" spans="1:9" ht="19.5" customHeight="1">
      <c r="A61" s="641"/>
      <c r="B61" s="645" t="s">
        <v>5215</v>
      </c>
      <c r="C61" s="649" t="s">
        <v>6826</v>
      </c>
      <c r="D61" s="1751" t="s">
        <v>94</v>
      </c>
      <c r="E61" s="1737">
        <v>90</v>
      </c>
      <c r="F61" s="1759">
        <f>+'APU TANQUE PATAGONIA'!B223</f>
        <v>38175</v>
      </c>
      <c r="G61" s="1760">
        <f>ROUND(E61*F61,0)</f>
        <v>3435750</v>
      </c>
    </row>
    <row r="62" spans="1:9">
      <c r="A62" s="1022"/>
      <c r="B62" s="2153">
        <v>15</v>
      </c>
      <c r="C62" s="1051" t="s">
        <v>5080</v>
      </c>
      <c r="D62" s="1782"/>
      <c r="E62" s="1782"/>
      <c r="F62" s="2283"/>
      <c r="G62" s="1784">
        <f>ROUND(+SUM(G63:G64),0)</f>
        <v>4784400</v>
      </c>
    </row>
    <row r="63" spans="1:9" ht="19.5" customHeight="1">
      <c r="A63" s="1406"/>
      <c r="B63" s="645" t="s">
        <v>6869</v>
      </c>
      <c r="C63" s="649" t="s">
        <v>7207</v>
      </c>
      <c r="D63" s="1751" t="s">
        <v>133</v>
      </c>
      <c r="E63" s="1737">
        <v>12</v>
      </c>
      <c r="F63" s="1759">
        <f>+'APU TANQUE PATAGONIA'!B239</f>
        <v>302300</v>
      </c>
      <c r="G63" s="1760">
        <f>ROUND(E63*F63,0)</f>
        <v>3627600</v>
      </c>
    </row>
    <row r="64" spans="1:9" ht="19.5" customHeight="1">
      <c r="A64" s="1406"/>
      <c r="B64" s="645" t="s">
        <v>6870</v>
      </c>
      <c r="C64" s="649" t="s">
        <v>7206</v>
      </c>
      <c r="D64" s="1751" t="s">
        <v>133</v>
      </c>
      <c r="E64" s="1737">
        <v>3</v>
      </c>
      <c r="F64" s="2284">
        <f>+'APU TANQUE PATAGONIA'!B253</f>
        <v>385600</v>
      </c>
      <c r="G64" s="1760">
        <f>ROUND(E64*F64,0)</f>
        <v>1156800</v>
      </c>
    </row>
    <row r="65" spans="1:17">
      <c r="A65" s="1022"/>
      <c r="B65" s="1050">
        <v>16</v>
      </c>
      <c r="C65" s="1051" t="s">
        <v>1513</v>
      </c>
      <c r="D65" s="1782"/>
      <c r="E65" s="1782"/>
      <c r="F65" s="1783"/>
      <c r="G65" s="1784">
        <f>ROUND(+SUM(G66:G67),0)</f>
        <v>6927800</v>
      </c>
    </row>
    <row r="66" spans="1:17" ht="47.25" customHeight="1">
      <c r="A66" s="2139"/>
      <c r="B66" s="645" t="s">
        <v>5656</v>
      </c>
      <c r="C66" s="2285" t="s">
        <v>7881</v>
      </c>
      <c r="D66" s="2280" t="s">
        <v>363</v>
      </c>
      <c r="E66" s="2280">
        <v>1</v>
      </c>
      <c r="F66" s="2286">
        <f>+'APU TANQUE PATAGONIA'!B271</f>
        <v>960140</v>
      </c>
      <c r="G66" s="1760">
        <f>+ROUND(F66*E66,0)</f>
        <v>960140</v>
      </c>
    </row>
    <row r="67" spans="1:17" ht="36">
      <c r="A67" s="900"/>
      <c r="B67" s="645" t="s">
        <v>6871</v>
      </c>
      <c r="C67" s="2285" t="s">
        <v>7882</v>
      </c>
      <c r="D67" s="2280" t="s">
        <v>363</v>
      </c>
      <c r="E67" s="2280">
        <v>1</v>
      </c>
      <c r="F67" s="2281">
        <f>+'APU TANQUE PATAGONIA'!B287</f>
        <v>5967660</v>
      </c>
      <c r="G67" s="1760">
        <f>+ROUND(F67*E67,0)</f>
        <v>5967660</v>
      </c>
    </row>
    <row r="68" spans="1:17" ht="19.2">
      <c r="A68" s="654"/>
      <c r="B68" s="655"/>
      <c r="C68" s="656"/>
      <c r="D68" s="657"/>
      <c r="E68" s="658"/>
      <c r="F68" s="659"/>
      <c r="G68" s="660"/>
    </row>
    <row r="69" spans="1:17" ht="16.8">
      <c r="A69" s="3525" t="s">
        <v>4303</v>
      </c>
      <c r="B69" s="3526"/>
      <c r="C69" s="3526"/>
      <c r="D69" s="3526"/>
      <c r="E69" s="3526"/>
      <c r="F69" s="3527"/>
      <c r="G69" s="995">
        <f>SUM(G65,G60,G62)</f>
        <v>15147950</v>
      </c>
      <c r="I69" s="522">
        <f>+G69+G128</f>
        <v>153474592</v>
      </c>
    </row>
    <row r="70" spans="1:17" ht="16.8">
      <c r="A70" s="3525" t="s">
        <v>803</v>
      </c>
      <c r="B70" s="3526"/>
      <c r="C70" s="3526"/>
      <c r="D70" s="3526"/>
      <c r="E70" s="3527"/>
      <c r="F70" s="2217">
        <f>+AIU!H47</f>
        <v>0.18358899999999997</v>
      </c>
      <c r="G70" s="995">
        <f>+ROUND(G69*F70,0)</f>
        <v>2780997</v>
      </c>
      <c r="I70" s="522">
        <f t="shared" ref="I70:I73" si="2">+G70+G129</f>
        <v>28176247</v>
      </c>
    </row>
    <row r="71" spans="1:17" ht="16.8">
      <c r="A71" s="3525" t="s">
        <v>8718</v>
      </c>
      <c r="B71" s="3526"/>
      <c r="C71" s="3526"/>
      <c r="D71" s="3526"/>
      <c r="E71" s="3527"/>
      <c r="F71" s="1573">
        <v>0.01</v>
      </c>
      <c r="G71" s="995">
        <f>ROUND(F71*(G70+G69),0)</f>
        <v>179289</v>
      </c>
      <c r="I71" s="522">
        <f>+G71+G130</f>
        <v>1816508</v>
      </c>
    </row>
    <row r="72" spans="1:17" ht="16.8">
      <c r="A72" s="3525" t="s">
        <v>8544</v>
      </c>
      <c r="B72" s="3526"/>
      <c r="C72" s="3526"/>
      <c r="D72" s="3526"/>
      <c r="E72" s="3527"/>
      <c r="F72" s="1573">
        <v>0.02</v>
      </c>
      <c r="G72" s="995">
        <f>ROUND(F72*(G69+G70),0)</f>
        <v>358579</v>
      </c>
      <c r="I72" s="522">
        <f t="shared" si="2"/>
        <v>3633017</v>
      </c>
    </row>
    <row r="73" spans="1:17" ht="16.8">
      <c r="A73" s="3525" t="s">
        <v>4304</v>
      </c>
      <c r="B73" s="3526"/>
      <c r="C73" s="3526"/>
      <c r="D73" s="3526"/>
      <c r="E73" s="3526"/>
      <c r="F73" s="3527"/>
      <c r="G73" s="995">
        <f>SUM(G69:G72)</f>
        <v>18466815</v>
      </c>
      <c r="I73" s="522">
        <f t="shared" si="2"/>
        <v>187100364</v>
      </c>
    </row>
    <row r="74" spans="1:17" s="10" customFormat="1" ht="19.2">
      <c r="A74" s="1566"/>
      <c r="B74" s="1567"/>
      <c r="C74" s="1567"/>
      <c r="D74" s="1567"/>
      <c r="E74" s="1567"/>
      <c r="F74" s="1568"/>
      <c r="G74" s="1569"/>
    </row>
    <row r="75" spans="1:17" ht="19.2">
      <c r="A75" s="654"/>
      <c r="B75" s="3600" t="s">
        <v>5627</v>
      </c>
      <c r="C75" s="3600"/>
      <c r="D75" s="3600"/>
      <c r="E75" s="3600"/>
      <c r="F75" s="3600"/>
      <c r="G75" s="3600"/>
    </row>
    <row r="76" spans="1:17" ht="19.5" customHeight="1">
      <c r="A76" s="1565"/>
      <c r="B76" s="251"/>
      <c r="C76" s="252"/>
      <c r="D76" s="13"/>
      <c r="E76" s="170"/>
      <c r="F76" s="170"/>
      <c r="G76" s="170"/>
    </row>
    <row r="77" spans="1:17" ht="33.6">
      <c r="A77" s="1565"/>
      <c r="B77" s="244" t="s">
        <v>22</v>
      </c>
      <c r="C77" s="245" t="s">
        <v>23</v>
      </c>
      <c r="D77" s="245" t="s">
        <v>150</v>
      </c>
      <c r="E77" s="246" t="s">
        <v>539</v>
      </c>
      <c r="F77" s="245" t="s">
        <v>151</v>
      </c>
      <c r="G77" s="246" t="s">
        <v>540</v>
      </c>
    </row>
    <row r="78" spans="1:17" s="247" customFormat="1" ht="15" customHeight="1">
      <c r="B78" s="972">
        <v>17</v>
      </c>
      <c r="C78" s="981" t="s">
        <v>1127</v>
      </c>
      <c r="D78" s="982"/>
      <c r="E78" s="982"/>
      <c r="F78" s="982"/>
      <c r="G78" s="2244">
        <f>SUM(G79:G99)</f>
        <v>20845315</v>
      </c>
      <c r="H78" s="2372">
        <f>+G78</f>
        <v>20845315</v>
      </c>
      <c r="I78" s="2376" t="s">
        <v>8225</v>
      </c>
      <c r="J78" s="255"/>
      <c r="K78" s="256"/>
      <c r="L78" s="256"/>
      <c r="M78" s="255"/>
      <c r="N78" s="255"/>
      <c r="O78" s="255"/>
      <c r="P78" s="255"/>
      <c r="Q78" s="255"/>
    </row>
    <row r="79" spans="1:17">
      <c r="A79" s="1562"/>
      <c r="B79" s="1561" t="s">
        <v>6872</v>
      </c>
      <c r="C79" s="258" t="s">
        <v>6827</v>
      </c>
      <c r="D79" s="471" t="s">
        <v>427</v>
      </c>
      <c r="E79" s="471">
        <v>7</v>
      </c>
      <c r="F79" s="2264">
        <f>+'APU CAPTACION'!B152</f>
        <v>276370.26245755999</v>
      </c>
      <c r="G79" s="272">
        <f t="shared" ref="G79:G99" si="3">ROUND((+F79*E79),0)</f>
        <v>1934592</v>
      </c>
      <c r="H79" s="492"/>
    </row>
    <row r="80" spans="1:17">
      <c r="A80" s="1562"/>
      <c r="B80" s="1561" t="s">
        <v>6873</v>
      </c>
      <c r="C80" s="258" t="s">
        <v>6828</v>
      </c>
      <c r="D80" s="471" t="s">
        <v>427</v>
      </c>
      <c r="E80" s="471">
        <v>4</v>
      </c>
      <c r="F80" s="2264">
        <f>+'APU TANQUE PATAGONIA'!$B$299</f>
        <v>352274.41006043996</v>
      </c>
      <c r="G80" s="272">
        <f t="shared" si="3"/>
        <v>1409098</v>
      </c>
      <c r="H80" s="492"/>
    </row>
    <row r="81" spans="1:8" ht="33.6">
      <c r="A81" s="1563"/>
      <c r="B81" s="1561" t="s">
        <v>6874</v>
      </c>
      <c r="C81" s="258" t="s">
        <v>6829</v>
      </c>
      <c r="D81" s="471" t="s">
        <v>427</v>
      </c>
      <c r="E81" s="471">
        <v>8</v>
      </c>
      <c r="F81" s="2264">
        <f>+'APU CAPTACION'!B101</f>
        <v>512369.79209715204</v>
      </c>
      <c r="G81" s="272">
        <f t="shared" si="3"/>
        <v>4098958</v>
      </c>
      <c r="H81" s="492"/>
    </row>
    <row r="82" spans="1:8" ht="19.2">
      <c r="A82" s="1563"/>
      <c r="B82" s="1561" t="s">
        <v>6875</v>
      </c>
      <c r="C82" s="258" t="s">
        <v>6830</v>
      </c>
      <c r="D82" s="471" t="s">
        <v>427</v>
      </c>
      <c r="E82" s="471">
        <v>1</v>
      </c>
      <c r="F82" s="2264">
        <f>+'APU CAPTACION'!B599</f>
        <v>70983.029553407992</v>
      </c>
      <c r="G82" s="272">
        <f t="shared" si="3"/>
        <v>70983</v>
      </c>
      <c r="H82" s="492"/>
    </row>
    <row r="83" spans="1:8" ht="19.2">
      <c r="A83" s="1563"/>
      <c r="B83" s="1561" t="s">
        <v>6876</v>
      </c>
      <c r="C83" s="258" t="s">
        <v>6831</v>
      </c>
      <c r="D83" s="471" t="s">
        <v>427</v>
      </c>
      <c r="E83" s="471">
        <v>3</v>
      </c>
      <c r="F83" s="2264">
        <f>+'APU TANQUE PATAGONIA'!B314</f>
        <v>333894.87562250404</v>
      </c>
      <c r="G83" s="272">
        <f t="shared" si="3"/>
        <v>1001685</v>
      </c>
      <c r="H83" s="492"/>
    </row>
    <row r="84" spans="1:8" ht="19.2">
      <c r="A84" s="1563"/>
      <c r="B84" s="1561" t="s">
        <v>6877</v>
      </c>
      <c r="C84" s="258" t="s">
        <v>6832</v>
      </c>
      <c r="D84" s="471" t="s">
        <v>427</v>
      </c>
      <c r="E84" s="471">
        <v>1</v>
      </c>
      <c r="F84" s="2264">
        <f>+'APU TANQUE PATAGONIA'!B330</f>
        <v>367590.68875872</v>
      </c>
      <c r="G84" s="272">
        <f t="shared" si="3"/>
        <v>367591</v>
      </c>
      <c r="H84" s="492"/>
    </row>
    <row r="85" spans="1:8" ht="19.2">
      <c r="A85" s="1563"/>
      <c r="B85" s="1561" t="s">
        <v>6878</v>
      </c>
      <c r="C85" s="258" t="s">
        <v>6833</v>
      </c>
      <c r="D85" s="471" t="s">
        <v>427</v>
      </c>
      <c r="E85" s="471">
        <v>2</v>
      </c>
      <c r="F85" s="2264">
        <f>+'APU TANQUE PATAGONIA'!B346</f>
        <v>313983.71331473999</v>
      </c>
      <c r="G85" s="272">
        <f t="shared" si="3"/>
        <v>627967</v>
      </c>
      <c r="H85" s="492"/>
    </row>
    <row r="86" spans="1:8" ht="19.2">
      <c r="A86" s="1563"/>
      <c r="B86" s="1561" t="s">
        <v>6879</v>
      </c>
      <c r="C86" s="258" t="s">
        <v>6834</v>
      </c>
      <c r="D86" s="471" t="s">
        <v>427</v>
      </c>
      <c r="E86" s="471">
        <v>2</v>
      </c>
      <c r="F86" s="2287">
        <f>+'APU TANQUE PATAGONIA'!B364</f>
        <v>1044998.0987986401</v>
      </c>
      <c r="G86" s="272">
        <f t="shared" si="3"/>
        <v>2089996</v>
      </c>
      <c r="H86" s="492"/>
    </row>
    <row r="87" spans="1:8" ht="19.2">
      <c r="A87" s="1563"/>
      <c r="B87" s="1561" t="s">
        <v>6880</v>
      </c>
      <c r="C87" s="258" t="s">
        <v>6835</v>
      </c>
      <c r="D87" s="471" t="s">
        <v>427</v>
      </c>
      <c r="E87" s="471">
        <v>2</v>
      </c>
      <c r="F87" s="2264">
        <f>+'APU TANQUE PATAGONIA'!B382</f>
        <v>983385.06924523204</v>
      </c>
      <c r="G87" s="272">
        <f t="shared" si="3"/>
        <v>1966770</v>
      </c>
      <c r="H87" s="492"/>
    </row>
    <row r="88" spans="1:8" ht="19.2">
      <c r="A88" s="1563"/>
      <c r="B88" s="1561" t="s">
        <v>6881</v>
      </c>
      <c r="C88" s="258" t="s">
        <v>6836</v>
      </c>
      <c r="D88" s="471" t="s">
        <v>427</v>
      </c>
      <c r="E88" s="471">
        <v>1</v>
      </c>
      <c r="F88" s="2264">
        <f>+'APU TANQUE PATAGONIA'!B400</f>
        <v>727086.94617785211</v>
      </c>
      <c r="G88" s="272">
        <f t="shared" si="3"/>
        <v>727087</v>
      </c>
      <c r="H88" s="492"/>
    </row>
    <row r="89" spans="1:8" ht="19.2">
      <c r="A89" s="1563"/>
      <c r="B89" s="1561" t="s">
        <v>6882</v>
      </c>
      <c r="C89" s="258" t="s">
        <v>6837</v>
      </c>
      <c r="D89" s="471" t="s">
        <v>427</v>
      </c>
      <c r="E89" s="471">
        <v>1</v>
      </c>
      <c r="F89" s="2264">
        <f>+'APU TANQUE PATAGONIA'!B418</f>
        <v>3352549.8701563203</v>
      </c>
      <c r="G89" s="272">
        <f t="shared" si="3"/>
        <v>3352550</v>
      </c>
      <c r="H89" s="492"/>
    </row>
    <row r="90" spans="1:8" ht="19.2">
      <c r="A90" s="1563"/>
      <c r="B90" s="1561" t="s">
        <v>6883</v>
      </c>
      <c r="C90" s="258" t="s">
        <v>6838</v>
      </c>
      <c r="D90" s="471" t="s">
        <v>427</v>
      </c>
      <c r="E90" s="471">
        <v>1</v>
      </c>
      <c r="F90" s="2264">
        <f>+'APU TANQUE PATAGONIA'!B436</f>
        <v>1044998.0987986401</v>
      </c>
      <c r="G90" s="272">
        <f t="shared" si="3"/>
        <v>1044998</v>
      </c>
      <c r="H90" s="492"/>
    </row>
    <row r="91" spans="1:8" ht="19.2">
      <c r="A91" s="1563"/>
      <c r="B91" s="1561" t="s">
        <v>6884</v>
      </c>
      <c r="C91" s="258" t="s">
        <v>6839</v>
      </c>
      <c r="D91" s="471" t="s">
        <v>427</v>
      </c>
      <c r="E91" s="471">
        <v>1</v>
      </c>
      <c r="F91" s="2264">
        <f>+'APU TANQUE PATAGONIA'!B452</f>
        <v>467146.50029753998</v>
      </c>
      <c r="G91" s="272">
        <f t="shared" si="3"/>
        <v>467147</v>
      </c>
      <c r="H91" s="492"/>
    </row>
    <row r="92" spans="1:8" ht="19.2">
      <c r="A92" s="1563"/>
      <c r="B92" s="1561" t="s">
        <v>6885</v>
      </c>
      <c r="C92" s="258" t="s">
        <v>6840</v>
      </c>
      <c r="D92" s="471" t="s">
        <v>427</v>
      </c>
      <c r="E92" s="471">
        <v>1</v>
      </c>
      <c r="F92" s="2264">
        <f>+'APU TANQUE PATAGONIA'!B468</f>
        <v>240465.57556299603</v>
      </c>
      <c r="G92" s="272">
        <f t="shared" si="3"/>
        <v>240466</v>
      </c>
      <c r="H92" s="492"/>
    </row>
    <row r="93" spans="1:8" ht="19.2">
      <c r="A93" s="1563"/>
      <c r="B93" s="1561" t="s">
        <v>6886</v>
      </c>
      <c r="C93" s="258" t="s">
        <v>6841</v>
      </c>
      <c r="D93" s="471" t="s">
        <v>427</v>
      </c>
      <c r="E93" s="471">
        <v>2</v>
      </c>
      <c r="F93" s="2264">
        <f>+'APU TANQUE PATAGONIA'!B484</f>
        <v>190534.50700660318</v>
      </c>
      <c r="G93" s="272">
        <f t="shared" si="3"/>
        <v>381069</v>
      </c>
      <c r="H93" s="492"/>
    </row>
    <row r="94" spans="1:8" ht="19.2">
      <c r="A94" s="1563"/>
      <c r="B94" s="1561" t="s">
        <v>6887</v>
      </c>
      <c r="C94" s="258" t="s">
        <v>6842</v>
      </c>
      <c r="D94" s="471" t="s">
        <v>427</v>
      </c>
      <c r="E94" s="471">
        <v>2</v>
      </c>
      <c r="F94" s="2264">
        <f>+'APU TANQUE PATAGONIA'!B500</f>
        <v>71986.509881916005</v>
      </c>
      <c r="G94" s="272">
        <f t="shared" si="3"/>
        <v>143973</v>
      </c>
      <c r="H94" s="492"/>
    </row>
    <row r="95" spans="1:8" ht="19.2">
      <c r="A95" s="1563"/>
      <c r="B95" s="1561" t="s">
        <v>6888</v>
      </c>
      <c r="C95" s="258" t="s">
        <v>6843</v>
      </c>
      <c r="D95" s="471" t="s">
        <v>427</v>
      </c>
      <c r="E95" s="471">
        <v>1</v>
      </c>
      <c r="F95" s="2264">
        <f>+'APU CAPTACION'!$B$185</f>
        <v>154496.50828452001</v>
      </c>
      <c r="G95" s="272">
        <f t="shared" si="3"/>
        <v>154497</v>
      </c>
      <c r="H95" s="492"/>
    </row>
    <row r="96" spans="1:8" ht="19.2">
      <c r="A96" s="1563"/>
      <c r="B96" s="1561" t="s">
        <v>6889</v>
      </c>
      <c r="C96" s="258" t="s">
        <v>6844</v>
      </c>
      <c r="D96" s="471" t="s">
        <v>427</v>
      </c>
      <c r="E96" s="471">
        <v>1</v>
      </c>
      <c r="F96" s="2264">
        <f>+'APU TANQUE PATAGONIA'!B516</f>
        <v>195695.57716039199</v>
      </c>
      <c r="G96" s="272">
        <f t="shared" si="3"/>
        <v>195696</v>
      </c>
      <c r="H96" s="492"/>
    </row>
    <row r="97" spans="1:9" ht="19.2">
      <c r="A97" s="1563"/>
      <c r="B97" s="1561" t="s">
        <v>6890</v>
      </c>
      <c r="C97" s="258" t="s">
        <v>6845</v>
      </c>
      <c r="D97" s="471" t="s">
        <v>427</v>
      </c>
      <c r="E97" s="471">
        <v>1</v>
      </c>
      <c r="F97" s="2264">
        <f>+'APU TANQUE PATAGONIA'!B533</f>
        <v>229585.73621180397</v>
      </c>
      <c r="G97" s="272">
        <f t="shared" si="3"/>
        <v>229586</v>
      </c>
      <c r="H97" s="492"/>
    </row>
    <row r="98" spans="1:9" ht="19.2">
      <c r="A98" s="1563"/>
      <c r="B98" s="1561" t="s">
        <v>6891</v>
      </c>
      <c r="C98" s="258" t="s">
        <v>6846</v>
      </c>
      <c r="D98" s="471" t="s">
        <v>427</v>
      </c>
      <c r="E98" s="471">
        <v>1</v>
      </c>
      <c r="F98" s="2264">
        <f>+'APU TANQUE PATAGONIA'!B549</f>
        <v>241997.20343282403</v>
      </c>
      <c r="G98" s="272">
        <f t="shared" si="3"/>
        <v>241997</v>
      </c>
      <c r="H98" s="492"/>
    </row>
    <row r="99" spans="1:9" ht="33.6">
      <c r="A99" s="1563"/>
      <c r="B99" s="1561" t="s">
        <v>6892</v>
      </c>
      <c r="C99" s="258" t="s">
        <v>6847</v>
      </c>
      <c r="D99" s="471" t="s">
        <v>427</v>
      </c>
      <c r="E99" s="471">
        <v>1</v>
      </c>
      <c r="F99" s="2264">
        <f>+'APU TANQUE PATAGONIA'!B569</f>
        <v>98609.139227045103</v>
      </c>
      <c r="G99" s="272">
        <f t="shared" si="3"/>
        <v>98609</v>
      </c>
      <c r="H99" s="492"/>
    </row>
    <row r="100" spans="1:9" ht="19.2">
      <c r="A100" s="1563"/>
      <c r="B100" s="3535" t="s">
        <v>5629</v>
      </c>
      <c r="C100" s="3535"/>
      <c r="D100" s="3535"/>
      <c r="E100" s="3535"/>
      <c r="F100" s="3919"/>
      <c r="G100" s="1505">
        <f>SUM(G79:G99)</f>
        <v>20845315</v>
      </c>
    </row>
    <row r="101" spans="1:9" ht="19.2">
      <c r="A101" s="1563"/>
      <c r="B101" s="3537" t="s">
        <v>3619</v>
      </c>
      <c r="C101" s="3537"/>
      <c r="D101" s="3537"/>
      <c r="E101" s="3538"/>
      <c r="F101" s="2218">
        <f>+AIU</f>
        <v>0.29572249606750989</v>
      </c>
      <c r="G101" s="1505">
        <f>ROUND(G100*F101,0)</f>
        <v>6164429</v>
      </c>
    </row>
    <row r="102" spans="1:9" ht="19.2">
      <c r="A102" s="1563"/>
      <c r="B102" s="3537" t="s">
        <v>8713</v>
      </c>
      <c r="C102" s="3537"/>
      <c r="D102" s="3537"/>
      <c r="E102" s="3538"/>
      <c r="F102" s="2388">
        <f>+'PRESUPUESTO-INTERV'!J50</f>
        <v>0.16163254000625432</v>
      </c>
      <c r="G102" s="1505">
        <f>ROUND(F102*(G100+G101),0)</f>
        <v>4365654</v>
      </c>
    </row>
    <row r="103" spans="1:9" ht="33" customHeight="1">
      <c r="A103" s="1563"/>
      <c r="B103" s="1522"/>
      <c r="C103" s="1522" t="s">
        <v>8544</v>
      </c>
      <c r="D103" s="1522"/>
      <c r="E103" s="1488"/>
      <c r="F103" s="984">
        <v>0.02</v>
      </c>
      <c r="G103" s="1505">
        <f>ROUND(F103*(G100+G101),0)</f>
        <v>540195</v>
      </c>
    </row>
    <row r="104" spans="1:9" ht="19.2">
      <c r="A104" s="1563"/>
      <c r="B104" s="3532" t="s">
        <v>5628</v>
      </c>
      <c r="C104" s="3532"/>
      <c r="D104" s="3532"/>
      <c r="E104" s="3532"/>
      <c r="F104" s="3920"/>
      <c r="G104" s="2395">
        <f>ROUND(+SUM(G100:G103),0)</f>
        <v>31915593</v>
      </c>
    </row>
    <row r="105" spans="1:9" s="10" customFormat="1" ht="12" customHeight="1">
      <c r="A105" s="1563"/>
      <c r="B105" s="1497"/>
      <c r="C105" s="1497"/>
      <c r="D105" s="1497"/>
      <c r="E105" s="1497"/>
      <c r="F105" s="1497"/>
      <c r="G105" s="1564"/>
    </row>
    <row r="106" spans="1:9" ht="33.6">
      <c r="A106" s="1563"/>
      <c r="B106" s="1524">
        <v>18</v>
      </c>
      <c r="C106" s="1520" t="s">
        <v>1128</v>
      </c>
      <c r="D106" s="1521"/>
      <c r="E106" s="1521"/>
      <c r="F106" s="974"/>
      <c r="G106" s="2247">
        <f>+SUM(G107:G127)</f>
        <v>138326642</v>
      </c>
      <c r="H106" s="2374">
        <f>+G106</f>
        <v>138326642</v>
      </c>
      <c r="I106" s="2383" t="s">
        <v>8225</v>
      </c>
    </row>
    <row r="107" spans="1:9" ht="19.2">
      <c r="A107" s="1401"/>
      <c r="B107" s="1561" t="s">
        <v>6893</v>
      </c>
      <c r="C107" s="2228" t="s">
        <v>6848</v>
      </c>
      <c r="D107" s="2226" t="s">
        <v>427</v>
      </c>
      <c r="E107" s="2226">
        <v>7</v>
      </c>
      <c r="F107" s="2264">
        <f>+'APU CAPTACION'!B160</f>
        <v>1836800</v>
      </c>
      <c r="G107" s="272">
        <f t="shared" ref="G107:G127" si="4">ROUND((+F107*E107),0)</f>
        <v>12857600</v>
      </c>
    </row>
    <row r="108" spans="1:9" ht="19.2">
      <c r="A108" s="1401"/>
      <c r="B108" s="1561" t="s">
        <v>6894</v>
      </c>
      <c r="C108" s="2228" t="s">
        <v>6849</v>
      </c>
      <c r="D108" s="2226" t="s">
        <v>427</v>
      </c>
      <c r="E108" s="2226">
        <v>4</v>
      </c>
      <c r="F108" s="2264">
        <f>+'APU TANQUE PATAGONIA'!$B$306</f>
        <v>2344500</v>
      </c>
      <c r="G108" s="272">
        <f t="shared" si="4"/>
        <v>9378000</v>
      </c>
    </row>
    <row r="109" spans="1:9" ht="33.6">
      <c r="A109" s="1401"/>
      <c r="B109" s="1561" t="s">
        <v>6895</v>
      </c>
      <c r="C109" s="2228" t="s">
        <v>6850</v>
      </c>
      <c r="D109" s="2226" t="s">
        <v>427</v>
      </c>
      <c r="E109" s="2226">
        <v>8</v>
      </c>
      <c r="F109" s="2264">
        <f>+'APU CAPTACION'!B109</f>
        <v>3404150</v>
      </c>
      <c r="G109" s="272">
        <f t="shared" si="4"/>
        <v>27233200</v>
      </c>
    </row>
    <row r="110" spans="1:9" ht="19.2">
      <c r="A110" s="1401"/>
      <c r="B110" s="1561" t="s">
        <v>6896</v>
      </c>
      <c r="C110" s="2228" t="s">
        <v>6851</v>
      </c>
      <c r="D110" s="2226" t="s">
        <v>427</v>
      </c>
      <c r="E110" s="2226">
        <v>1</v>
      </c>
      <c r="F110" s="2264">
        <f>+'APU CAPTACION'!B606</f>
        <v>473125</v>
      </c>
      <c r="G110" s="272">
        <f t="shared" si="4"/>
        <v>473125</v>
      </c>
    </row>
    <row r="111" spans="1:9" ht="19.2">
      <c r="A111" s="1401"/>
      <c r="B111" s="1561" t="s">
        <v>6897</v>
      </c>
      <c r="C111" s="2228" t="s">
        <v>6852</v>
      </c>
      <c r="D111" s="2226" t="s">
        <v>427</v>
      </c>
      <c r="E111" s="2226">
        <v>3</v>
      </c>
      <c r="F111" s="2264">
        <f>+'APU TANQUE PATAGONIA'!B322</f>
        <v>2214050</v>
      </c>
      <c r="G111" s="272">
        <f t="shared" si="4"/>
        <v>6642150</v>
      </c>
    </row>
    <row r="112" spans="1:9" ht="19.2">
      <c r="A112" s="1563"/>
      <c r="B112" s="1561" t="s">
        <v>6898</v>
      </c>
      <c r="C112" s="2228" t="s">
        <v>6853</v>
      </c>
      <c r="D112" s="2226" t="s">
        <v>427</v>
      </c>
      <c r="E112" s="2226">
        <v>1</v>
      </c>
      <c r="F112" s="2264">
        <f>+'APU TANQUE PATAGONIA'!B338</f>
        <v>2450870</v>
      </c>
      <c r="G112" s="272">
        <f t="shared" si="4"/>
        <v>2450870</v>
      </c>
    </row>
    <row r="113" spans="1:7" ht="19.2">
      <c r="A113" s="1401"/>
      <c r="B113" s="1561" t="s">
        <v>6899</v>
      </c>
      <c r="C113" s="2228" t="s">
        <v>6854</v>
      </c>
      <c r="D113" s="2226" t="s">
        <v>427</v>
      </c>
      <c r="E113" s="2226">
        <v>2</v>
      </c>
      <c r="F113" s="2264">
        <f>+'APU TANQUE PATAGONIA'!B354</f>
        <v>2084578</v>
      </c>
      <c r="G113" s="272">
        <f t="shared" si="4"/>
        <v>4169156</v>
      </c>
    </row>
    <row r="114" spans="1:7" ht="19.2">
      <c r="A114" s="1401"/>
      <c r="B114" s="1561" t="s">
        <v>6900</v>
      </c>
      <c r="C114" s="2228" t="s">
        <v>6855</v>
      </c>
      <c r="D114" s="2226" t="s">
        <v>427</v>
      </c>
      <c r="E114" s="2226">
        <v>2</v>
      </c>
      <c r="F114" s="2264">
        <f>+'APU TANQUE PATAGONIA'!B372</f>
        <v>6828337</v>
      </c>
      <c r="G114" s="272">
        <f t="shared" si="4"/>
        <v>13656674</v>
      </c>
    </row>
    <row r="115" spans="1:7" ht="19.2">
      <c r="A115" s="1401"/>
      <c r="B115" s="1561" t="s">
        <v>6901</v>
      </c>
      <c r="C115" s="2228" t="s">
        <v>6856</v>
      </c>
      <c r="D115" s="2226" t="s">
        <v>427</v>
      </c>
      <c r="E115" s="2226">
        <v>2</v>
      </c>
      <c r="F115" s="2264">
        <f>+'APU TANQUE PATAGONIA'!B390</f>
        <v>6568798</v>
      </c>
      <c r="G115" s="272">
        <f t="shared" si="4"/>
        <v>13137596</v>
      </c>
    </row>
    <row r="116" spans="1:7" ht="19.2">
      <c r="A116" s="1401"/>
      <c r="B116" s="1561" t="s">
        <v>6902</v>
      </c>
      <c r="C116" s="2228" t="s">
        <v>6857</v>
      </c>
      <c r="D116" s="2226" t="s">
        <v>427</v>
      </c>
      <c r="E116" s="2226">
        <v>1</v>
      </c>
      <c r="F116" s="2264">
        <f>+'APU TANQUE PATAGONIA'!B408</f>
        <v>4844150</v>
      </c>
      <c r="G116" s="272">
        <f t="shared" si="4"/>
        <v>4844150</v>
      </c>
    </row>
    <row r="117" spans="1:7" ht="19.2">
      <c r="A117" s="1401"/>
      <c r="B117" s="1561" t="s">
        <v>6903</v>
      </c>
      <c r="C117" s="2228" t="s">
        <v>6858</v>
      </c>
      <c r="D117" s="2226" t="s">
        <v>427</v>
      </c>
      <c r="E117" s="2226">
        <v>1</v>
      </c>
      <c r="F117" s="2264">
        <f>+'APU TANQUE PATAGONIA'!B426</f>
        <v>22186443.129999999</v>
      </c>
      <c r="G117" s="272">
        <f t="shared" si="4"/>
        <v>22186443</v>
      </c>
    </row>
    <row r="118" spans="1:7" ht="19.2">
      <c r="A118" s="1401"/>
      <c r="B118" s="1561" t="s">
        <v>6904</v>
      </c>
      <c r="C118" s="2228" t="s">
        <v>6859</v>
      </c>
      <c r="D118" s="2226" t="s">
        <v>427</v>
      </c>
      <c r="E118" s="2226">
        <v>1</v>
      </c>
      <c r="F118" s="2264">
        <f>+'APU TANQUE PATAGONIA'!B444</f>
        <v>6974350</v>
      </c>
      <c r="G118" s="272">
        <f t="shared" si="4"/>
        <v>6974350</v>
      </c>
    </row>
    <row r="119" spans="1:7" ht="19.2">
      <c r="A119" s="1401"/>
      <c r="B119" s="1561" t="s">
        <v>6905</v>
      </c>
      <c r="C119" s="2228" t="s">
        <v>6860</v>
      </c>
      <c r="D119" s="2226" t="s">
        <v>427</v>
      </c>
      <c r="E119" s="2226">
        <v>1</v>
      </c>
      <c r="F119" s="2264">
        <f>+'APU TANQUE PATAGONIA'!B460</f>
        <v>3119650</v>
      </c>
      <c r="G119" s="272">
        <f t="shared" si="4"/>
        <v>3119650</v>
      </c>
    </row>
    <row r="120" spans="1:7" ht="16.8">
      <c r="A120" s="104"/>
      <c r="B120" s="1561" t="s">
        <v>6906</v>
      </c>
      <c r="C120" s="2228" t="s">
        <v>6861</v>
      </c>
      <c r="D120" s="2226" t="s">
        <v>427</v>
      </c>
      <c r="E120" s="2226">
        <v>1</v>
      </c>
      <c r="F120" s="2264">
        <f>+'APU TANQUE PATAGONIA'!B476</f>
        <v>1603850</v>
      </c>
      <c r="G120" s="272">
        <f t="shared" si="4"/>
        <v>1603850</v>
      </c>
    </row>
    <row r="121" spans="1:7">
      <c r="A121" s="1562"/>
      <c r="B121" s="1561" t="s">
        <v>6907</v>
      </c>
      <c r="C121" s="2228" t="s">
        <v>6862</v>
      </c>
      <c r="D121" s="2226" t="s">
        <v>427</v>
      </c>
      <c r="E121" s="2226">
        <v>2</v>
      </c>
      <c r="F121" s="2264">
        <f>+'APU TANQUE PATAGONIA'!B492</f>
        <v>1269150</v>
      </c>
      <c r="G121" s="272">
        <f t="shared" si="4"/>
        <v>2538300</v>
      </c>
    </row>
    <row r="122" spans="1:7">
      <c r="A122" s="1562"/>
      <c r="B122" s="1561" t="s">
        <v>6908</v>
      </c>
      <c r="C122" s="2228" t="s">
        <v>6863</v>
      </c>
      <c r="D122" s="2226" t="s">
        <v>427</v>
      </c>
      <c r="E122" s="2226">
        <v>2</v>
      </c>
      <c r="F122" s="2264">
        <f>+'APU TANQUE PATAGONIA'!B507</f>
        <v>474900</v>
      </c>
      <c r="G122" s="272">
        <f t="shared" si="4"/>
        <v>949800</v>
      </c>
    </row>
    <row r="123" spans="1:7">
      <c r="A123" s="1562"/>
      <c r="B123" s="1561" t="s">
        <v>6909</v>
      </c>
      <c r="C123" s="2228" t="s">
        <v>6864</v>
      </c>
      <c r="D123" s="2226" t="s">
        <v>427</v>
      </c>
      <c r="E123" s="2226">
        <v>1</v>
      </c>
      <c r="F123" s="2264">
        <f>+'APU CAPTACION'!$B$194</f>
        <v>1039128</v>
      </c>
      <c r="G123" s="272">
        <f t="shared" si="4"/>
        <v>1039128</v>
      </c>
    </row>
    <row r="124" spans="1:7">
      <c r="A124" s="1562"/>
      <c r="B124" s="1561" t="s">
        <v>6910</v>
      </c>
      <c r="C124" s="2228" t="s">
        <v>6865</v>
      </c>
      <c r="D124" s="2226" t="s">
        <v>427</v>
      </c>
      <c r="E124" s="2226">
        <v>1</v>
      </c>
      <c r="F124" s="2264">
        <f>+'APU TANQUE PATAGONIA'!B525</f>
        <v>1310500</v>
      </c>
      <c r="G124" s="272">
        <f t="shared" si="4"/>
        <v>1310500</v>
      </c>
    </row>
    <row r="125" spans="1:7">
      <c r="A125" s="1562"/>
      <c r="B125" s="1561" t="s">
        <v>6911</v>
      </c>
      <c r="C125" s="2228" t="s">
        <v>6866</v>
      </c>
      <c r="D125" s="2226" t="s">
        <v>427</v>
      </c>
      <c r="E125" s="2226">
        <v>1</v>
      </c>
      <c r="F125" s="2264">
        <f>+'APU TANQUE PATAGONIA'!B541</f>
        <v>1526900</v>
      </c>
      <c r="G125" s="272">
        <f t="shared" si="4"/>
        <v>1526900</v>
      </c>
    </row>
    <row r="126" spans="1:7">
      <c r="A126" s="1562"/>
      <c r="B126" s="1561" t="s">
        <v>6912</v>
      </c>
      <c r="C126" s="2228" t="s">
        <v>6867</v>
      </c>
      <c r="D126" s="2226" t="s">
        <v>427</v>
      </c>
      <c r="E126" s="2226">
        <v>1</v>
      </c>
      <c r="F126" s="2264">
        <f>+'APU TANQUE PATAGONIA'!B557</f>
        <v>1604200</v>
      </c>
      <c r="G126" s="272">
        <f t="shared" si="4"/>
        <v>1604200</v>
      </c>
    </row>
    <row r="127" spans="1:7">
      <c r="A127" s="1562"/>
      <c r="B127" s="1561" t="s">
        <v>6913</v>
      </c>
      <c r="C127" s="2228" t="s">
        <v>6868</v>
      </c>
      <c r="D127" s="2226" t="s">
        <v>427</v>
      </c>
      <c r="E127" s="2226">
        <v>1</v>
      </c>
      <c r="F127" s="2264">
        <f>+'APU TANQUE PATAGONIA'!B576</f>
        <v>631000</v>
      </c>
      <c r="G127" s="272">
        <f t="shared" si="4"/>
        <v>631000</v>
      </c>
    </row>
    <row r="128" spans="1:7" ht="27" customHeight="1">
      <c r="A128" s="1562"/>
      <c r="B128" s="3937" t="s">
        <v>5630</v>
      </c>
      <c r="C128" s="3533"/>
      <c r="D128" s="3533"/>
      <c r="E128" s="3533"/>
      <c r="F128" s="3533"/>
      <c r="G128" s="2396">
        <f>SUM(G107:G127)</f>
        <v>138326642</v>
      </c>
    </row>
    <row r="129" spans="1:7">
      <c r="A129" s="1562"/>
      <c r="B129" s="3505" t="s">
        <v>8717</v>
      </c>
      <c r="C129" s="3505"/>
      <c r="D129" s="3505"/>
      <c r="E129" s="3505"/>
      <c r="F129" s="2203">
        <f>+AIU!H47</f>
        <v>0.18358899999999997</v>
      </c>
      <c r="G129" s="1506">
        <f>ROUND(+F129*G128,0)</f>
        <v>25395250</v>
      </c>
    </row>
    <row r="130" spans="1:7">
      <c r="A130" s="1562"/>
      <c r="B130" s="3938" t="s">
        <v>8714</v>
      </c>
      <c r="C130" s="3506"/>
      <c r="D130" s="3506"/>
      <c r="E130" s="3506"/>
      <c r="F130" s="1572">
        <v>0.01</v>
      </c>
      <c r="G130" s="1507">
        <f>ROUND(F130*(G128+G129),0)</f>
        <v>1637219</v>
      </c>
    </row>
    <row r="131" spans="1:7" ht="37.5" customHeight="1">
      <c r="A131" s="1562"/>
      <c r="B131" s="1523"/>
      <c r="C131" s="1523" t="s">
        <v>8544</v>
      </c>
      <c r="D131" s="1523"/>
      <c r="E131" s="1490"/>
      <c r="F131" s="989">
        <v>0.02</v>
      </c>
      <c r="G131" s="1508">
        <f>ROUND(F131*(G128+G129),0)</f>
        <v>3274438</v>
      </c>
    </row>
    <row r="132" spans="1:7" ht="30" customHeight="1">
      <c r="A132" s="1562"/>
      <c r="B132" s="3918" t="s">
        <v>5631</v>
      </c>
      <c r="C132" s="3504"/>
      <c r="D132" s="3504"/>
      <c r="E132" s="3504"/>
      <c r="F132" s="1500"/>
      <c r="G132" s="2397">
        <f>+ROUND(SUM(G128:G131),0)</f>
        <v>168633549</v>
      </c>
    </row>
    <row r="134" spans="1:7">
      <c r="A134" s="3953" t="s">
        <v>4215</v>
      </c>
      <c r="B134" s="3954"/>
      <c r="C134" s="3954"/>
      <c r="D134" s="3954"/>
      <c r="E134" s="3954"/>
      <c r="F134" s="3955"/>
      <c r="G134" s="2204">
        <f>+G132+G104+G73+G57</f>
        <v>1125088307</v>
      </c>
    </row>
  </sheetData>
  <autoFilter ref="A7:G134"/>
  <mergeCells count="30">
    <mergeCell ref="A134:F134"/>
    <mergeCell ref="A5:G5"/>
    <mergeCell ref="A6:C6"/>
    <mergeCell ref="A8:G8"/>
    <mergeCell ref="C44:F44"/>
    <mergeCell ref="C59:F59"/>
    <mergeCell ref="A73:F73"/>
    <mergeCell ref="A53:F53"/>
    <mergeCell ref="A54:E54"/>
    <mergeCell ref="A57:F57"/>
    <mergeCell ref="A55:E55"/>
    <mergeCell ref="A56:E56"/>
    <mergeCell ref="A69:F69"/>
    <mergeCell ref="A70:E70"/>
    <mergeCell ref="A71:E71"/>
    <mergeCell ref="A72:E72"/>
    <mergeCell ref="A1:B3"/>
    <mergeCell ref="C1:F1"/>
    <mergeCell ref="G1:G3"/>
    <mergeCell ref="C2:F2"/>
    <mergeCell ref="D3:F3"/>
    <mergeCell ref="B75:G75"/>
    <mergeCell ref="B128:F128"/>
    <mergeCell ref="B129:E129"/>
    <mergeCell ref="B130:E130"/>
    <mergeCell ref="B132:E132"/>
    <mergeCell ref="B100:F100"/>
    <mergeCell ref="B101:E101"/>
    <mergeCell ref="B102:E102"/>
    <mergeCell ref="B104:F104"/>
  </mergeCells>
  <pageMargins left="0.70866141732283472" right="0.70866141732283472" top="0.74803149606299213" bottom="0.74803149606299213" header="0.31496062992125984" footer="0.31496062992125984"/>
  <pageSetup scale="52" orientation="portrait" r:id="rId1"/>
  <rowBreaks count="2" manualBreakCount="2">
    <brk id="49" max="6" man="1"/>
    <brk id="9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view="pageBreakPreview" topLeftCell="A54" zoomScaleNormal="100" zoomScaleSheetLayoutView="100" workbookViewId="0">
      <selection activeCell="B74" sqref="B74"/>
    </sheetView>
  </sheetViews>
  <sheetFormatPr baseColWidth="10" defaultColWidth="11.44140625" defaultRowHeight="15.6"/>
  <cols>
    <col min="1" max="1" width="11.44140625" style="2985"/>
    <col min="2" max="2" width="86.6640625" style="2986" customWidth="1"/>
    <col min="3" max="3" width="22.33203125" style="3007" customWidth="1"/>
    <col min="4" max="4" width="21.44140625" style="2985" customWidth="1"/>
    <col min="5" max="16384" width="11.44140625" style="2986"/>
  </cols>
  <sheetData>
    <row r="1" spans="1:4" ht="85.5" customHeight="1">
      <c r="A1" s="3251" t="s">
        <v>8875</v>
      </c>
      <c r="B1" s="3251"/>
      <c r="C1" s="3251"/>
    </row>
    <row r="2" spans="1:4">
      <c r="A2" s="3252" t="s">
        <v>8799</v>
      </c>
      <c r="B2" s="3252"/>
      <c r="C2" s="3252"/>
    </row>
    <row r="3" spans="1:4">
      <c r="A3" s="2987" t="s">
        <v>22</v>
      </c>
      <c r="B3" s="2987" t="s">
        <v>8800</v>
      </c>
      <c r="C3" s="2988" t="s">
        <v>283</v>
      </c>
    </row>
    <row r="4" spans="1:4" s="2992" customFormat="1">
      <c r="A4" s="2987" t="s">
        <v>8801</v>
      </c>
      <c r="B4" s="2989" t="s">
        <v>8802</v>
      </c>
      <c r="C4" s="2990">
        <v>100</v>
      </c>
      <c r="D4" s="2991">
        <v>1</v>
      </c>
    </row>
    <row r="5" spans="1:4" s="2992" customFormat="1">
      <c r="A5" s="2987" t="s">
        <v>8803</v>
      </c>
      <c r="B5" s="2989" t="s">
        <v>8804</v>
      </c>
      <c r="C5" s="2990">
        <f>SUM(C6:C28)</f>
        <v>59.746000000000002</v>
      </c>
      <c r="D5" s="2993"/>
    </row>
    <row r="6" spans="1:4">
      <c r="A6" s="2994"/>
      <c r="B6" s="2995" t="s">
        <v>8805</v>
      </c>
      <c r="C6" s="2996">
        <v>8.3330000000000002</v>
      </c>
    </row>
    <row r="7" spans="1:4">
      <c r="A7" s="2994"/>
      <c r="B7" s="2995" t="s">
        <v>8806</v>
      </c>
      <c r="C7" s="2996">
        <v>1</v>
      </c>
    </row>
    <row r="8" spans="1:4">
      <c r="A8" s="2994"/>
      <c r="B8" s="2997" t="s">
        <v>8807</v>
      </c>
      <c r="C8" s="2996">
        <v>8.3330000000000002</v>
      </c>
    </row>
    <row r="9" spans="1:4">
      <c r="A9" s="2994"/>
      <c r="B9" s="2998" t="s">
        <v>270</v>
      </c>
      <c r="C9" s="2996">
        <v>5.68</v>
      </c>
    </row>
    <row r="10" spans="1:4">
      <c r="A10" s="2994"/>
      <c r="B10" s="2997" t="s">
        <v>8808</v>
      </c>
      <c r="C10" s="2996"/>
    </row>
    <row r="11" spans="1:4">
      <c r="A11" s="2994"/>
      <c r="B11" s="2999" t="s">
        <v>8809</v>
      </c>
      <c r="C11" s="2996">
        <v>8.5</v>
      </c>
    </row>
    <row r="12" spans="1:4">
      <c r="A12" s="2994"/>
      <c r="B12" s="2999" t="s">
        <v>8810</v>
      </c>
      <c r="C12" s="2996">
        <v>12</v>
      </c>
    </row>
    <row r="13" spans="1:4">
      <c r="A13" s="2994"/>
      <c r="B13" s="2999" t="s">
        <v>8811</v>
      </c>
      <c r="C13" s="2996">
        <v>6.9</v>
      </c>
      <c r="D13" s="3000">
        <v>6.9800000000000001E-2</v>
      </c>
    </row>
    <row r="14" spans="1:4">
      <c r="A14" s="2994"/>
      <c r="B14" s="2999" t="s">
        <v>8812</v>
      </c>
      <c r="C14" s="2996"/>
    </row>
    <row r="15" spans="1:4">
      <c r="A15" s="2994"/>
      <c r="B15" s="2999" t="s">
        <v>8813</v>
      </c>
      <c r="C15" s="2996"/>
    </row>
    <row r="16" spans="1:4">
      <c r="A16" s="2994"/>
      <c r="B16" s="2999" t="s">
        <v>8814</v>
      </c>
      <c r="C16" s="2996">
        <v>3</v>
      </c>
    </row>
    <row r="17" spans="1:5">
      <c r="A17" s="2994"/>
      <c r="B17" s="2999" t="s">
        <v>8815</v>
      </c>
      <c r="C17" s="2996">
        <v>2</v>
      </c>
      <c r="E17" s="3009">
        <f>SUM(C6:C18)</f>
        <v>59.746000000000002</v>
      </c>
    </row>
    <row r="18" spans="1:5">
      <c r="A18" s="2994"/>
      <c r="B18" s="2999" t="s">
        <v>8816</v>
      </c>
      <c r="C18" s="2996">
        <v>4</v>
      </c>
    </row>
    <row r="19" spans="1:5">
      <c r="A19" s="2994"/>
      <c r="B19" s="2999" t="s">
        <v>8817</v>
      </c>
      <c r="C19" s="2996"/>
    </row>
    <row r="20" spans="1:5">
      <c r="A20" s="2994"/>
      <c r="B20" s="2999" t="s">
        <v>6403</v>
      </c>
      <c r="C20" s="2996"/>
      <c r="D20" s="2985" t="s">
        <v>8818</v>
      </c>
    </row>
    <row r="21" spans="1:5">
      <c r="A21" s="2994"/>
      <c r="B21" s="2999" t="s">
        <v>8819</v>
      </c>
      <c r="C21" s="2996"/>
    </row>
    <row r="22" spans="1:5">
      <c r="A22" s="2994"/>
      <c r="B22" s="2999" t="s">
        <v>8820</v>
      </c>
      <c r="C22" s="2996"/>
      <c r="D22" s="2985" t="s">
        <v>8821</v>
      </c>
    </row>
    <row r="23" spans="1:5">
      <c r="A23" s="2994"/>
      <c r="B23" s="2999" t="s">
        <v>8822</v>
      </c>
      <c r="C23" s="2996"/>
      <c r="D23" s="2985" t="s">
        <v>8823</v>
      </c>
    </row>
    <row r="24" spans="1:5">
      <c r="A24" s="2994"/>
      <c r="B24" s="2999" t="s">
        <v>8824</v>
      </c>
      <c r="C24" s="2996"/>
    </row>
    <row r="25" spans="1:5">
      <c r="A25" s="2994"/>
      <c r="B25" s="2999" t="s">
        <v>8825</v>
      </c>
      <c r="C25" s="2996"/>
    </row>
    <row r="26" spans="1:5">
      <c r="A26" s="2994"/>
      <c r="B26" s="2999" t="s">
        <v>8826</v>
      </c>
      <c r="C26" s="2996"/>
    </row>
    <row r="27" spans="1:5">
      <c r="A27" s="2994"/>
      <c r="B27" s="2999" t="s">
        <v>8827</v>
      </c>
      <c r="C27" s="2996"/>
    </row>
    <row r="28" spans="1:5">
      <c r="A28" s="2994"/>
      <c r="B28" s="2999" t="s">
        <v>171</v>
      </c>
      <c r="C28" s="2996"/>
    </row>
    <row r="29" spans="1:5" s="2992" customFormat="1">
      <c r="A29" s="2987" t="s">
        <v>8828</v>
      </c>
      <c r="B29" s="2989" t="s">
        <v>8829</v>
      </c>
      <c r="C29" s="2990">
        <f>SUM(C30:C57)</f>
        <v>6.8200000000000855</v>
      </c>
      <c r="D29" s="2993"/>
    </row>
    <row r="30" spans="1:5">
      <c r="A30" s="2994"/>
      <c r="B30" s="2999" t="s">
        <v>8830</v>
      </c>
      <c r="C30" s="2996"/>
    </row>
    <row r="31" spans="1:5">
      <c r="A31" s="2994"/>
      <c r="B31" s="2999" t="s">
        <v>8831</v>
      </c>
      <c r="C31" s="2996"/>
    </row>
    <row r="32" spans="1:5">
      <c r="A32" s="2994"/>
      <c r="B32" s="2999" t="s">
        <v>8832</v>
      </c>
      <c r="C32" s="2996">
        <v>1</v>
      </c>
      <c r="D32" s="2985" t="s">
        <v>8833</v>
      </c>
    </row>
    <row r="33" spans="1:4">
      <c r="A33" s="2994"/>
      <c r="B33" s="2999" t="s">
        <v>8834</v>
      </c>
      <c r="C33" s="2996">
        <v>1</v>
      </c>
      <c r="D33" s="3001">
        <v>7.0000000000000007E-2</v>
      </c>
    </row>
    <row r="34" spans="1:4">
      <c r="A34" s="2994"/>
      <c r="B34" s="2999" t="s">
        <v>8835</v>
      </c>
      <c r="C34" s="2996"/>
    </row>
    <row r="35" spans="1:4">
      <c r="A35" s="2994"/>
      <c r="B35" s="2999" t="s">
        <v>8836</v>
      </c>
      <c r="C35" s="2996"/>
      <c r="D35" s="3001">
        <v>7.0000000000000007E-2</v>
      </c>
    </row>
    <row r="36" spans="1:4">
      <c r="A36" s="2994"/>
      <c r="B36" s="2999" t="s">
        <v>8837</v>
      </c>
      <c r="C36" s="2996"/>
    </row>
    <row r="37" spans="1:4">
      <c r="A37" s="2994"/>
      <c r="B37" s="2999" t="s">
        <v>8838</v>
      </c>
      <c r="C37" s="2996"/>
    </row>
    <row r="38" spans="1:4">
      <c r="A38" s="2994"/>
      <c r="B38" s="2999" t="s">
        <v>8839</v>
      </c>
      <c r="C38" s="2996"/>
    </row>
    <row r="39" spans="1:4">
      <c r="A39" s="2994"/>
      <c r="B39" s="2999" t="s">
        <v>8840</v>
      </c>
      <c r="C39" s="2996"/>
      <c r="D39" s="2985" t="s">
        <v>8841</v>
      </c>
    </row>
    <row r="40" spans="1:4">
      <c r="A40" s="2994"/>
      <c r="B40" s="2999" t="s">
        <v>8842</v>
      </c>
      <c r="C40" s="2996"/>
    </row>
    <row r="41" spans="1:4">
      <c r="A41" s="2994"/>
      <c r="B41" s="2999" t="s">
        <v>8843</v>
      </c>
      <c r="C41" s="2996">
        <v>1</v>
      </c>
    </row>
    <row r="42" spans="1:4">
      <c r="A42" s="2994"/>
      <c r="B42" s="2999" t="s">
        <v>8844</v>
      </c>
      <c r="C42" s="2996">
        <v>1</v>
      </c>
    </row>
    <row r="43" spans="1:4">
      <c r="A43" s="2994"/>
      <c r="B43" s="2999" t="s">
        <v>8845</v>
      </c>
      <c r="C43" s="2996"/>
    </row>
    <row r="44" spans="1:4">
      <c r="A44" s="2994"/>
      <c r="B44" s="2999" t="s">
        <v>8846</v>
      </c>
      <c r="C44" s="2996"/>
      <c r="D44" s="3002">
        <v>0.02</v>
      </c>
    </row>
    <row r="45" spans="1:4">
      <c r="A45" s="2994"/>
      <c r="B45" s="2999" t="s">
        <v>8847</v>
      </c>
      <c r="C45" s="2996"/>
    </row>
    <row r="46" spans="1:4">
      <c r="A46" s="2994"/>
      <c r="B46" s="2999" t="s">
        <v>8848</v>
      </c>
      <c r="C46" s="2996">
        <v>1</v>
      </c>
    </row>
    <row r="47" spans="1:4">
      <c r="A47" s="2994"/>
      <c r="B47" s="2999" t="s">
        <v>8849</v>
      </c>
      <c r="C47" s="2996"/>
    </row>
    <row r="48" spans="1:4">
      <c r="A48" s="2994"/>
      <c r="B48" s="2999" t="s">
        <v>8850</v>
      </c>
      <c r="C48" s="2996"/>
    </row>
    <row r="49" spans="1:7">
      <c r="A49" s="2994"/>
      <c r="B49" s="2999" t="s">
        <v>8851</v>
      </c>
      <c r="C49" s="2996">
        <v>1.8200000000000851</v>
      </c>
      <c r="D49" s="2985" t="s">
        <v>8852</v>
      </c>
    </row>
    <row r="50" spans="1:7">
      <c r="A50" s="2994"/>
      <c r="B50" s="2999" t="s">
        <v>8853</v>
      </c>
      <c r="C50" s="2996"/>
    </row>
    <row r="51" spans="1:7">
      <c r="A51" s="2994"/>
      <c r="B51" s="2999" t="s">
        <v>8854</v>
      </c>
      <c r="C51" s="2996"/>
    </row>
    <row r="52" spans="1:7">
      <c r="A52" s="2994"/>
      <c r="B52" s="2999" t="s">
        <v>8855</v>
      </c>
      <c r="C52" s="2996"/>
    </row>
    <row r="53" spans="1:7">
      <c r="A53" s="2994"/>
      <c r="B53" s="2999" t="s">
        <v>8856</v>
      </c>
      <c r="C53" s="2996"/>
    </row>
    <row r="54" spans="1:7">
      <c r="A54" s="2994"/>
      <c r="B54" s="2999" t="s">
        <v>8857</v>
      </c>
      <c r="C54" s="2996"/>
    </row>
    <row r="55" spans="1:7">
      <c r="A55" s="2994"/>
      <c r="B55" s="2999" t="s">
        <v>8858</v>
      </c>
      <c r="C55" s="2996"/>
    </row>
    <row r="56" spans="1:7">
      <c r="A56" s="2994"/>
      <c r="B56" s="2999" t="s">
        <v>8859</v>
      </c>
      <c r="C56" s="2996"/>
      <c r="D56" s="2985" t="s">
        <v>8860</v>
      </c>
      <c r="F56" s="2294">
        <v>1.8222</v>
      </c>
      <c r="G56" s="2986">
        <f>+F56*100</f>
        <v>182.22</v>
      </c>
    </row>
    <row r="57" spans="1:7">
      <c r="A57" s="2994"/>
      <c r="B57" s="2999" t="s">
        <v>8861</v>
      </c>
      <c r="C57" s="2996"/>
    </row>
    <row r="58" spans="1:7" s="2992" customFormat="1">
      <c r="A58" s="2987" t="s">
        <v>8862</v>
      </c>
      <c r="B58" s="2989" t="s">
        <v>8863</v>
      </c>
      <c r="C58" s="2990">
        <f>SUM(C59:C67)</f>
        <v>5.6539999999999999</v>
      </c>
      <c r="D58" s="2993"/>
    </row>
    <row r="59" spans="1:7">
      <c r="A59" s="2994"/>
      <c r="B59" s="2999" t="s">
        <v>8864</v>
      </c>
      <c r="C59" s="2996"/>
      <c r="D59" s="3003">
        <v>0.2</v>
      </c>
    </row>
    <row r="60" spans="1:7">
      <c r="A60" s="2994"/>
      <c r="B60" s="2999" t="s">
        <v>8865</v>
      </c>
      <c r="C60" s="2996"/>
      <c r="D60" s="3003">
        <v>2.8580000000000001</v>
      </c>
    </row>
    <row r="61" spans="1:7">
      <c r="A61" s="2994"/>
      <c r="B61" s="2999" t="s">
        <v>8866</v>
      </c>
      <c r="C61" s="2996"/>
      <c r="D61" s="3003">
        <v>1.429</v>
      </c>
    </row>
    <row r="62" spans="1:7">
      <c r="A62" s="2994"/>
      <c r="B62" s="2999" t="s">
        <v>8876</v>
      </c>
      <c r="C62" s="2996">
        <v>3</v>
      </c>
      <c r="D62" s="3003">
        <v>2.8580000000000001</v>
      </c>
    </row>
    <row r="63" spans="1:7">
      <c r="A63" s="2994"/>
      <c r="B63" s="2999" t="s">
        <v>8867</v>
      </c>
      <c r="C63" s="2996">
        <v>0.7</v>
      </c>
      <c r="D63" s="3003"/>
    </row>
    <row r="64" spans="1:7">
      <c r="A64" s="2994"/>
      <c r="B64" s="2999" t="s">
        <v>8868</v>
      </c>
      <c r="C64" s="2996">
        <v>0.95399999999999996</v>
      </c>
      <c r="D64" s="3003"/>
    </row>
    <row r="65" spans="1:4">
      <c r="A65" s="2994"/>
      <c r="B65" s="2999" t="s">
        <v>8869</v>
      </c>
      <c r="C65" s="2996">
        <v>1</v>
      </c>
      <c r="D65" s="3003"/>
    </row>
    <row r="66" spans="1:4">
      <c r="A66" s="2994"/>
      <c r="B66" s="2999" t="s">
        <v>8870</v>
      </c>
      <c r="C66" s="2996"/>
    </row>
    <row r="67" spans="1:4">
      <c r="A67" s="2994"/>
      <c r="B67" s="2999" t="s">
        <v>8871</v>
      </c>
      <c r="C67" s="2996"/>
    </row>
    <row r="68" spans="1:4" s="2992" customFormat="1">
      <c r="A68" s="2987" t="s">
        <v>8872</v>
      </c>
      <c r="B68" s="2989" t="s">
        <v>8873</v>
      </c>
      <c r="C68" s="3004">
        <v>10</v>
      </c>
      <c r="D68" s="3005"/>
    </row>
    <row r="69" spans="1:4">
      <c r="A69" s="2994"/>
      <c r="B69" s="2999"/>
      <c r="C69" s="2996"/>
    </row>
    <row r="70" spans="1:4" s="2992" customFormat="1">
      <c r="A70" s="2987"/>
      <c r="B70" s="3006" t="s">
        <v>8874</v>
      </c>
      <c r="C70" s="2988">
        <f>+C4+C5+C29+C58+C68</f>
        <v>182.22000000000008</v>
      </c>
      <c r="D70" s="2993"/>
    </row>
    <row r="72" spans="1:4">
      <c r="B72" s="2985"/>
    </row>
    <row r="73" spans="1:4">
      <c r="B73" s="2985"/>
      <c r="C73" s="3008"/>
    </row>
    <row r="74" spans="1:4">
      <c r="B74" s="2985"/>
    </row>
    <row r="75" spans="1:4">
      <c r="B75" s="2985"/>
    </row>
  </sheetData>
  <mergeCells count="2">
    <mergeCell ref="A1:C1"/>
    <mergeCell ref="A2:C2"/>
  </mergeCells>
  <pageMargins left="0.7" right="0.7" top="0.75" bottom="0.75" header="0.3" footer="0.3"/>
  <pageSetup paperSize="9" scale="6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rgb="FFFFFF99"/>
  </sheetPr>
  <dimension ref="A1:IV595"/>
  <sheetViews>
    <sheetView workbookViewId="0">
      <selection activeCell="B26" sqref="B26"/>
    </sheetView>
  </sheetViews>
  <sheetFormatPr baseColWidth="10" defaultColWidth="11.44140625" defaultRowHeight="16.8"/>
  <cols>
    <col min="1" max="1" width="17.33203125" style="781" customWidth="1"/>
    <col min="2" max="2" width="55.5546875" style="782" customWidth="1"/>
    <col min="3" max="3" width="12.109375" style="783" customWidth="1"/>
    <col min="4" max="4" width="6.5546875" style="784" bestFit="1" customWidth="1"/>
    <col min="5" max="5" width="14.44140625" style="785" customWidth="1"/>
    <col min="6" max="6" width="12.6640625" style="785" bestFit="1" customWidth="1"/>
    <col min="7" max="7" width="14.33203125" style="785" customWidth="1"/>
    <col min="8" max="8" width="12.6640625" style="785" bestFit="1" customWidth="1"/>
    <col min="9" max="9" width="11.33203125" style="785" bestFit="1" customWidth="1"/>
    <col min="10" max="16384" width="11.44140625" style="492"/>
  </cols>
  <sheetData>
    <row r="1" spans="1:9" ht="36.75" customHeight="1">
      <c r="A1" s="3983"/>
      <c r="B1" s="3986" t="s">
        <v>6313</v>
      </c>
      <c r="C1" s="3986"/>
      <c r="D1" s="3986"/>
      <c r="E1" s="3986"/>
      <c r="F1" s="3986"/>
      <c r="G1" s="3986"/>
      <c r="H1" s="3302"/>
      <c r="I1" s="3303"/>
    </row>
    <row r="2" spans="1:9" ht="18">
      <c r="A2" s="3984"/>
      <c r="B2" s="3987" t="s">
        <v>8539</v>
      </c>
      <c r="C2" s="3987"/>
      <c r="D2" s="3987"/>
      <c r="E2" s="3987"/>
      <c r="F2" s="3987"/>
      <c r="G2" s="3987"/>
      <c r="H2" s="3304"/>
      <c r="I2" s="3305"/>
    </row>
    <row r="3" spans="1:9" ht="19.8" thickBot="1">
      <c r="A3" s="3985"/>
      <c r="B3" s="3311" t="s">
        <v>3859</v>
      </c>
      <c r="C3" s="3311"/>
      <c r="D3" s="3497" t="s">
        <v>8577</v>
      </c>
      <c r="E3" s="3497"/>
      <c r="F3" s="3497"/>
      <c r="G3" s="3497"/>
      <c r="H3" s="3306"/>
      <c r="I3" s="3307"/>
    </row>
    <row r="5" spans="1:9">
      <c r="A5" s="3977" t="s">
        <v>8209</v>
      </c>
      <c r="B5" s="3978"/>
      <c r="C5" s="3978"/>
      <c r="D5" s="3978"/>
      <c r="E5" s="3978"/>
      <c r="F5" s="3978"/>
      <c r="G5" s="3978"/>
      <c r="H5" s="3978"/>
      <c r="I5" s="3979"/>
    </row>
    <row r="6" spans="1:9">
      <c r="A6" s="786"/>
      <c r="B6" s="787"/>
      <c r="C6" s="788"/>
      <c r="D6" s="789"/>
      <c r="E6" s="790"/>
      <c r="F6" s="790"/>
      <c r="G6" s="790"/>
      <c r="H6" s="790"/>
      <c r="I6" s="790"/>
    </row>
    <row r="7" spans="1:9" hidden="1">
      <c r="A7" s="791" t="s">
        <v>34</v>
      </c>
      <c r="B7" s="3980" t="s">
        <v>3861</v>
      </c>
      <c r="C7" s="3981"/>
      <c r="D7" s="3981"/>
      <c r="E7" s="3981"/>
      <c r="F7" s="3981"/>
      <c r="G7" s="3981"/>
      <c r="H7" s="3981"/>
      <c r="I7" s="3982"/>
    </row>
    <row r="8" spans="1:9" hidden="1">
      <c r="A8" s="792"/>
      <c r="B8" s="793"/>
      <c r="C8" s="794" t="s">
        <v>140</v>
      </c>
      <c r="D8" s="795" t="s">
        <v>343</v>
      </c>
      <c r="E8" s="796" t="s">
        <v>344</v>
      </c>
      <c r="F8" s="796" t="s">
        <v>482</v>
      </c>
      <c r="G8" s="796" t="s">
        <v>483</v>
      </c>
      <c r="H8" s="796" t="s">
        <v>232</v>
      </c>
      <c r="I8" s="796" t="s">
        <v>171</v>
      </c>
    </row>
    <row r="9" spans="1:9" ht="18" hidden="1">
      <c r="A9" s="792" t="s">
        <v>172</v>
      </c>
      <c r="B9" s="793" t="s">
        <v>189</v>
      </c>
      <c r="C9" s="1299">
        <v>1</v>
      </c>
      <c r="D9" s="797" t="s">
        <v>583</v>
      </c>
      <c r="E9" s="796">
        <f>+H12*0.05</f>
        <v>110</v>
      </c>
      <c r="F9" s="798"/>
      <c r="G9" s="798"/>
      <c r="H9" s="798"/>
      <c r="I9" s="798">
        <f>+E9*C9</f>
        <v>110</v>
      </c>
    </row>
    <row r="10" spans="1:9" ht="18" hidden="1">
      <c r="A10" s="792" t="s">
        <v>372</v>
      </c>
      <c r="B10" s="799" t="s">
        <v>621</v>
      </c>
      <c r="C10" s="182">
        <f>1/50</f>
        <v>0.02</v>
      </c>
      <c r="D10" s="797" t="s">
        <v>374</v>
      </c>
      <c r="E10" s="796">
        <f>CLAVO</f>
        <v>2300</v>
      </c>
      <c r="F10" s="798"/>
      <c r="G10" s="798">
        <f>+E10*C10</f>
        <v>46</v>
      </c>
      <c r="H10" s="798"/>
      <c r="I10" s="798"/>
    </row>
    <row r="11" spans="1:9" ht="19.8" hidden="1">
      <c r="A11" s="792" t="s">
        <v>349</v>
      </c>
      <c r="B11" s="793" t="s">
        <v>350</v>
      </c>
      <c r="C11" s="183">
        <f>1/250</f>
        <v>4.0000000000000001E-3</v>
      </c>
      <c r="D11" s="1751" t="s">
        <v>623</v>
      </c>
      <c r="E11" s="796">
        <f>+MOTOP</f>
        <v>550000</v>
      </c>
      <c r="F11" s="798"/>
      <c r="G11" s="798"/>
      <c r="H11" s="798">
        <f>+E11*C11</f>
        <v>2200</v>
      </c>
      <c r="I11" s="798"/>
    </row>
    <row r="12" spans="1:9" hidden="1">
      <c r="A12" s="800" t="s">
        <v>190</v>
      </c>
      <c r="B12" s="801">
        <f>SUM(F12:I12)</f>
        <v>2356</v>
      </c>
      <c r="C12" s="794"/>
      <c r="D12" s="797"/>
      <c r="E12" s="796"/>
      <c r="F12" s="798">
        <f>SUM(F9:F11)</f>
        <v>0</v>
      </c>
      <c r="G12" s="798">
        <f>SUM(G9:G11)</f>
        <v>46</v>
      </c>
      <c r="H12" s="798">
        <f>SUM(H9:H11)</f>
        <v>2200</v>
      </c>
      <c r="I12" s="798">
        <f>SUM(I9:I11)</f>
        <v>110</v>
      </c>
    </row>
    <row r="13" spans="1:9" ht="19.8" hidden="1">
      <c r="A13" s="800" t="s">
        <v>191</v>
      </c>
      <c r="B13" s="801">
        <f>ROUND(+B12,0)</f>
        <v>2356</v>
      </c>
      <c r="C13" s="1751" t="s">
        <v>623</v>
      </c>
      <c r="D13" s="803"/>
      <c r="E13" s="790"/>
      <c r="F13" s="804"/>
      <c r="G13" s="804"/>
      <c r="H13" s="804"/>
      <c r="I13" s="804"/>
    </row>
    <row r="14" spans="1:9" hidden="1">
      <c r="A14" s="786"/>
      <c r="B14" s="805"/>
      <c r="C14" s="805"/>
      <c r="D14" s="805"/>
      <c r="E14" s="790"/>
      <c r="F14" s="804"/>
      <c r="G14" s="804"/>
      <c r="H14" s="804"/>
      <c r="I14" s="804"/>
    </row>
    <row r="15" spans="1:9">
      <c r="A15" s="3971" t="s">
        <v>8210</v>
      </c>
      <c r="B15" s="3972"/>
      <c r="C15" s="3972"/>
      <c r="D15" s="3972"/>
      <c r="E15" s="3972"/>
      <c r="F15" s="3972"/>
      <c r="G15" s="3972"/>
      <c r="H15" s="3972"/>
      <c r="I15" s="3973"/>
    </row>
    <row r="16" spans="1:9">
      <c r="A16" s="786"/>
      <c r="B16" s="805"/>
      <c r="C16" s="805"/>
      <c r="D16" s="805"/>
      <c r="E16" s="790"/>
      <c r="F16" s="804"/>
      <c r="G16" s="804"/>
      <c r="H16" s="804"/>
      <c r="I16" s="804"/>
    </row>
    <row r="17" spans="1:9">
      <c r="A17" s="806" t="s">
        <v>1444</v>
      </c>
      <c r="B17" s="3555" t="s">
        <v>1375</v>
      </c>
      <c r="C17" s="3556"/>
      <c r="D17" s="3556"/>
      <c r="E17" s="3556"/>
      <c r="F17" s="3556"/>
      <c r="G17" s="3556"/>
      <c r="H17" s="3556"/>
      <c r="I17" s="3557"/>
    </row>
    <row r="18" spans="1:9">
      <c r="A18" s="473"/>
      <c r="B18" s="807"/>
      <c r="C18" s="808" t="s">
        <v>140</v>
      </c>
      <c r="D18" s="11" t="s">
        <v>343</v>
      </c>
      <c r="E18" s="33" t="s">
        <v>344</v>
      </c>
      <c r="F18" s="33" t="s">
        <v>482</v>
      </c>
      <c r="G18" s="33" t="s">
        <v>483</v>
      </c>
      <c r="H18" s="33" t="s">
        <v>170</v>
      </c>
      <c r="I18" s="33" t="s">
        <v>171</v>
      </c>
    </row>
    <row r="19" spans="1:9">
      <c r="A19" s="473" t="s">
        <v>736</v>
      </c>
      <c r="B19" s="167" t="s">
        <v>737</v>
      </c>
      <c r="C19" s="168">
        <v>0.01</v>
      </c>
      <c r="D19" s="2698" t="s">
        <v>735</v>
      </c>
      <c r="E19" s="677">
        <f>+RETRO</f>
        <v>150000</v>
      </c>
      <c r="F19" s="677">
        <f>+E19*C19</f>
        <v>1500</v>
      </c>
      <c r="G19" s="677"/>
      <c r="H19" s="677"/>
      <c r="I19" s="677"/>
    </row>
    <row r="20" spans="1:9">
      <c r="A20" s="473"/>
      <c r="B20" s="167" t="s">
        <v>3863</v>
      </c>
      <c r="C20" s="168">
        <v>1</v>
      </c>
      <c r="D20" s="808" t="s">
        <v>4181</v>
      </c>
      <c r="E20" s="677">
        <f>+BOTAD</f>
        <v>22000</v>
      </c>
      <c r="F20" s="677"/>
      <c r="G20" s="677"/>
      <c r="H20" s="677"/>
      <c r="I20" s="810">
        <f>+E20*C20</f>
        <v>22000</v>
      </c>
    </row>
    <row r="21" spans="1:9" ht="14.4">
      <c r="A21" s="809" t="s">
        <v>172</v>
      </c>
      <c r="B21" s="807" t="s">
        <v>189</v>
      </c>
      <c r="C21" s="814">
        <v>1</v>
      </c>
      <c r="D21" s="9" t="s">
        <v>583</v>
      </c>
      <c r="E21" s="810">
        <f>+H24*0.05</f>
        <v>57.844730716000008</v>
      </c>
      <c r="F21" s="810"/>
      <c r="G21" s="810"/>
      <c r="H21" s="810"/>
      <c r="I21" s="810">
        <f>+E21*C21</f>
        <v>57.844730716000008</v>
      </c>
    </row>
    <row r="22" spans="1:9" ht="14.4">
      <c r="A22" s="809" t="s">
        <v>348</v>
      </c>
      <c r="B22" s="807" t="str">
        <f>IF(PRESTA&gt;0,"AYUD. RASO (INCLUYE "&amp;""&amp;PRESTA*100&amp;"% PRESTACIONES)",0)</f>
        <v>AYUD. RASO (INCLUYE 82,22% PRESTACIONES)</v>
      </c>
      <c r="C22" s="814">
        <v>0.01</v>
      </c>
      <c r="D22" s="9" t="s">
        <v>346</v>
      </c>
      <c r="E22" s="810">
        <f>+AYUDR</f>
        <v>50299.76584</v>
      </c>
      <c r="F22" s="810"/>
      <c r="G22" s="810"/>
      <c r="H22" s="810">
        <f>+E22*C22</f>
        <v>502.99765840000003</v>
      </c>
      <c r="I22" s="810"/>
    </row>
    <row r="23" spans="1:9" ht="14.4">
      <c r="A23" s="809" t="s">
        <v>347</v>
      </c>
      <c r="B23" s="811" t="str">
        <f>IF(PRESTA&gt;0,"AYUD. ENTENDIDO (INCLUYE "&amp;""&amp;PRESTA*100&amp;"% PRESTACIONES)",0)</f>
        <v>AYUD. ENTENDIDO (INCLUYE 82,22% PRESTACIONES)</v>
      </c>
      <c r="C23" s="814">
        <v>0.01</v>
      </c>
      <c r="D23" s="9" t="s">
        <v>346</v>
      </c>
      <c r="E23" s="810">
        <f>+AYUDA</f>
        <v>65389.695592000004</v>
      </c>
      <c r="F23" s="810"/>
      <c r="G23" s="810"/>
      <c r="H23" s="810">
        <f>+E23*C23</f>
        <v>653.8969559200001</v>
      </c>
      <c r="I23" s="810"/>
    </row>
    <row r="24" spans="1:9">
      <c r="A24" s="812" t="s">
        <v>190</v>
      </c>
      <c r="B24" s="813">
        <f>SUM(F24:I24)</f>
        <v>24714.739345036</v>
      </c>
      <c r="C24" s="814"/>
      <c r="D24" s="9"/>
      <c r="E24" s="810"/>
      <c r="F24" s="810">
        <f>+SUM(F19:F23)</f>
        <v>1500</v>
      </c>
      <c r="G24" s="810">
        <f>+SUM(G19:G23)</f>
        <v>0</v>
      </c>
      <c r="H24" s="810">
        <f>+SUM(H19:H23)</f>
        <v>1156.8946143200001</v>
      </c>
      <c r="I24" s="810">
        <f>+SUM(I19:I23)</f>
        <v>22057.844730715999</v>
      </c>
    </row>
    <row r="25" spans="1:9">
      <c r="A25" s="812" t="s">
        <v>191</v>
      </c>
      <c r="B25" s="813">
        <f>+B24</f>
        <v>24714.739345036</v>
      </c>
      <c r="C25" s="815" t="s">
        <v>4181</v>
      </c>
      <c r="D25" s="816"/>
      <c r="E25" s="817"/>
      <c r="F25" s="817"/>
      <c r="G25" s="817"/>
      <c r="H25" s="817"/>
      <c r="I25" s="817"/>
    </row>
    <row r="26" spans="1:9">
      <c r="A26" s="821"/>
      <c r="B26" s="679"/>
      <c r="C26" s="822"/>
      <c r="D26" s="823"/>
      <c r="E26" s="824"/>
      <c r="F26" s="824"/>
      <c r="G26" s="824"/>
      <c r="H26" s="824"/>
      <c r="I26" s="824"/>
    </row>
    <row r="27" spans="1:9">
      <c r="A27" s="806" t="s">
        <v>1445</v>
      </c>
      <c r="B27" s="3552" t="s">
        <v>1376</v>
      </c>
      <c r="C27" s="3556"/>
      <c r="D27" s="3556"/>
      <c r="E27" s="3556"/>
      <c r="F27" s="3556"/>
      <c r="G27" s="3556"/>
      <c r="H27" s="3556"/>
      <c r="I27" s="3557"/>
    </row>
    <row r="28" spans="1:9">
      <c r="A28" s="473"/>
      <c r="B28" s="807"/>
      <c r="C28" s="808" t="s">
        <v>140</v>
      </c>
      <c r="D28" s="11" t="s">
        <v>343</v>
      </c>
      <c r="E28" s="33" t="s">
        <v>344</v>
      </c>
      <c r="F28" s="33" t="s">
        <v>482</v>
      </c>
      <c r="G28" s="33" t="s">
        <v>483</v>
      </c>
      <c r="H28" s="33" t="s">
        <v>170</v>
      </c>
      <c r="I28" s="33" t="s">
        <v>171</v>
      </c>
    </row>
    <row r="29" spans="1:9">
      <c r="A29" s="809" t="s">
        <v>172</v>
      </c>
      <c r="B29" s="807" t="s">
        <v>189</v>
      </c>
      <c r="C29" s="370">
        <v>1</v>
      </c>
      <c r="D29" s="9" t="s">
        <v>583</v>
      </c>
      <c r="E29" s="2693">
        <f>+H33*0.05</f>
        <v>5000</v>
      </c>
      <c r="F29" s="810"/>
      <c r="G29" s="810"/>
      <c r="H29" s="810"/>
      <c r="I29" s="810">
        <f>+E29*C29</f>
        <v>5000</v>
      </c>
    </row>
    <row r="30" spans="1:9">
      <c r="A30" s="473"/>
      <c r="B30" s="167" t="s">
        <v>3863</v>
      </c>
      <c r="C30" s="168">
        <v>4</v>
      </c>
      <c r="D30" s="808" t="s">
        <v>4181</v>
      </c>
      <c r="E30" s="677">
        <f>+BOTAD</f>
        <v>22000</v>
      </c>
      <c r="F30" s="677"/>
      <c r="G30" s="677"/>
      <c r="H30" s="677"/>
      <c r="I30" s="810">
        <f>+E30*C30</f>
        <v>88000</v>
      </c>
    </row>
    <row r="31" spans="1:9">
      <c r="A31" s="809" t="s">
        <v>348</v>
      </c>
      <c r="B31" s="807" t="s">
        <v>3865</v>
      </c>
      <c r="C31" s="370">
        <v>1</v>
      </c>
      <c r="D31" s="9" t="s">
        <v>343</v>
      </c>
      <c r="E31" s="2693">
        <v>100000</v>
      </c>
      <c r="F31" s="810"/>
      <c r="G31" s="810"/>
      <c r="H31" s="810">
        <f>+E31*C31</f>
        <v>100000</v>
      </c>
      <c r="I31" s="810"/>
    </row>
    <row r="32" spans="1:9">
      <c r="A32" s="809"/>
      <c r="B32" s="807" t="s">
        <v>3866</v>
      </c>
      <c r="C32" s="370">
        <v>0.5</v>
      </c>
      <c r="D32" s="2695" t="s">
        <v>717</v>
      </c>
      <c r="E32" s="32">
        <v>50000</v>
      </c>
      <c r="F32" s="810">
        <f>+E32*C32</f>
        <v>25000</v>
      </c>
      <c r="G32" s="810"/>
      <c r="H32" s="810"/>
      <c r="I32" s="810"/>
    </row>
    <row r="33" spans="1:9">
      <c r="A33" s="812" t="s">
        <v>190</v>
      </c>
      <c r="B33" s="813">
        <f>SUM(F33:I33)</f>
        <v>218000</v>
      </c>
      <c r="C33" s="814"/>
      <c r="D33" s="9"/>
      <c r="E33" s="810"/>
      <c r="F33" s="810">
        <f>+SUM(F29:F32)</f>
        <v>25000</v>
      </c>
      <c r="G33" s="810">
        <f>+SUM(G29:G32)</f>
        <v>0</v>
      </c>
      <c r="H33" s="810">
        <f>+SUM(H29:H32)</f>
        <v>100000</v>
      </c>
      <c r="I33" s="810">
        <f>+SUM(I29:I32)</f>
        <v>93000</v>
      </c>
    </row>
    <row r="34" spans="1:9">
      <c r="A34" s="812" t="s">
        <v>191</v>
      </c>
      <c r="B34" s="813">
        <f>+B33</f>
        <v>218000</v>
      </c>
      <c r="C34" s="815" t="s">
        <v>363</v>
      </c>
      <c r="D34" s="816"/>
      <c r="E34" s="817"/>
      <c r="F34" s="817"/>
      <c r="G34" s="817"/>
      <c r="H34" s="817"/>
      <c r="I34" s="817"/>
    </row>
    <row r="35" spans="1:9">
      <c r="A35" s="818"/>
      <c r="B35" s="819"/>
      <c r="C35" s="820"/>
      <c r="D35" s="816"/>
      <c r="E35" s="817"/>
      <c r="F35" s="817"/>
      <c r="G35" s="817"/>
      <c r="H35" s="817"/>
      <c r="I35" s="817"/>
    </row>
    <row r="36" spans="1:9">
      <c r="A36" s="806" t="s">
        <v>814</v>
      </c>
      <c r="B36" s="3552" t="s">
        <v>1377</v>
      </c>
      <c r="C36" s="3556"/>
      <c r="D36" s="3556"/>
      <c r="E36" s="3556"/>
      <c r="F36" s="3556"/>
      <c r="G36" s="3556"/>
      <c r="H36" s="3556"/>
      <c r="I36" s="3557"/>
    </row>
    <row r="37" spans="1:9">
      <c r="A37" s="473"/>
      <c r="B37" s="807"/>
      <c r="C37" s="808" t="s">
        <v>140</v>
      </c>
      <c r="D37" s="11" t="s">
        <v>343</v>
      </c>
      <c r="E37" s="33" t="s">
        <v>344</v>
      </c>
      <c r="F37" s="33" t="s">
        <v>482</v>
      </c>
      <c r="G37" s="33" t="s">
        <v>483</v>
      </c>
      <c r="H37" s="33" t="s">
        <v>170</v>
      </c>
      <c r="I37" s="33" t="s">
        <v>171</v>
      </c>
    </row>
    <row r="38" spans="1:9">
      <c r="A38" s="809" t="s">
        <v>172</v>
      </c>
      <c r="B38" s="807" t="s">
        <v>189</v>
      </c>
      <c r="C38" s="814">
        <v>1</v>
      </c>
      <c r="D38" s="9" t="s">
        <v>583</v>
      </c>
      <c r="E38" s="2693">
        <f>+H42*0.05</f>
        <v>10000</v>
      </c>
      <c r="F38" s="810"/>
      <c r="G38" s="810"/>
      <c r="H38" s="810"/>
      <c r="I38" s="810">
        <f>+E38*C38</f>
        <v>10000</v>
      </c>
    </row>
    <row r="39" spans="1:9">
      <c r="A39" s="473"/>
      <c r="B39" s="167" t="s">
        <v>3863</v>
      </c>
      <c r="C39" s="168">
        <v>5</v>
      </c>
      <c r="D39" s="808" t="s">
        <v>4181</v>
      </c>
      <c r="E39" s="677">
        <f>+BOTAD</f>
        <v>22000</v>
      </c>
      <c r="F39" s="677"/>
      <c r="G39" s="677"/>
      <c r="H39" s="677"/>
      <c r="I39" s="810">
        <f>+E39*C39</f>
        <v>110000</v>
      </c>
    </row>
    <row r="40" spans="1:9">
      <c r="A40" s="809" t="s">
        <v>348</v>
      </c>
      <c r="B40" s="807" t="s">
        <v>3865</v>
      </c>
      <c r="C40" s="814">
        <v>1</v>
      </c>
      <c r="D40" s="9" t="s">
        <v>343</v>
      </c>
      <c r="E40" s="2693">
        <v>200000</v>
      </c>
      <c r="F40" s="810"/>
      <c r="G40" s="810"/>
      <c r="H40" s="810">
        <f>+E40*C40</f>
        <v>200000</v>
      </c>
      <c r="I40" s="810"/>
    </row>
    <row r="41" spans="1:9">
      <c r="A41" s="809"/>
      <c r="B41" s="807" t="s">
        <v>3866</v>
      </c>
      <c r="C41" s="814">
        <v>1</v>
      </c>
      <c r="D41" s="9" t="s">
        <v>346</v>
      </c>
      <c r="E41" s="32">
        <v>50000</v>
      </c>
      <c r="F41" s="810">
        <f>+E41*C41</f>
        <v>50000</v>
      </c>
      <c r="G41" s="810"/>
      <c r="H41" s="810"/>
      <c r="I41" s="810"/>
    </row>
    <row r="42" spans="1:9">
      <c r="A42" s="812" t="s">
        <v>190</v>
      </c>
      <c r="B42" s="813">
        <f>SUM(F42:I42)</f>
        <v>370000</v>
      </c>
      <c r="C42" s="814"/>
      <c r="D42" s="9"/>
      <c r="E42" s="810"/>
      <c r="F42" s="810">
        <f>+SUM(F38:F41)</f>
        <v>50000</v>
      </c>
      <c r="G42" s="810">
        <f>+SUM(G38:G41)</f>
        <v>0</v>
      </c>
      <c r="H42" s="810">
        <f>+SUM(H38:H41)</f>
        <v>200000</v>
      </c>
      <c r="I42" s="810">
        <f>+SUM(I38:I41)</f>
        <v>120000</v>
      </c>
    </row>
    <row r="43" spans="1:9">
      <c r="A43" s="812" t="s">
        <v>191</v>
      </c>
      <c r="B43" s="813">
        <f>+B42</f>
        <v>370000</v>
      </c>
      <c r="C43" s="815" t="s">
        <v>363</v>
      </c>
      <c r="D43" s="816"/>
      <c r="E43" s="817"/>
      <c r="F43" s="817"/>
      <c r="G43" s="817"/>
      <c r="H43" s="817"/>
      <c r="I43" s="817"/>
    </row>
    <row r="44" spans="1:9">
      <c r="A44" s="818"/>
      <c r="B44" s="819"/>
      <c r="C44" s="820"/>
      <c r="D44" s="816"/>
      <c r="E44" s="817"/>
      <c r="F44" s="817"/>
      <c r="G44" s="817"/>
      <c r="H44" s="817"/>
      <c r="I44" s="817"/>
    </row>
    <row r="45" spans="1:9">
      <c r="A45" s="3971" t="s">
        <v>8211</v>
      </c>
      <c r="B45" s="3972"/>
      <c r="C45" s="3972"/>
      <c r="D45" s="3972"/>
      <c r="E45" s="3972"/>
      <c r="F45" s="3972"/>
      <c r="G45" s="3972"/>
      <c r="H45" s="3972"/>
      <c r="I45" s="3973"/>
    </row>
    <row r="46" spans="1:9">
      <c r="A46" s="818"/>
      <c r="B46" s="819"/>
      <c r="C46" s="820"/>
      <c r="D46" s="816"/>
      <c r="E46" s="817"/>
      <c r="F46" s="817"/>
      <c r="G46" s="817"/>
      <c r="H46" s="817"/>
      <c r="I46" s="817"/>
    </row>
    <row r="47" spans="1:9">
      <c r="A47" s="806" t="s">
        <v>1446</v>
      </c>
      <c r="B47" s="3880" t="s">
        <v>4182</v>
      </c>
      <c r="C47" s="3881"/>
      <c r="D47" s="3881"/>
      <c r="E47" s="3881"/>
      <c r="F47" s="3881"/>
      <c r="G47" s="3881"/>
      <c r="H47" s="3881"/>
      <c r="I47" s="3882"/>
    </row>
    <row r="48" spans="1:9">
      <c r="A48" s="473"/>
      <c r="B48" s="167"/>
      <c r="C48" s="477" t="s">
        <v>140</v>
      </c>
      <c r="D48" s="471" t="s">
        <v>343</v>
      </c>
      <c r="E48" s="751" t="s">
        <v>344</v>
      </c>
      <c r="F48" s="751" t="s">
        <v>482</v>
      </c>
      <c r="G48" s="751" t="s">
        <v>483</v>
      </c>
      <c r="H48" s="751" t="s">
        <v>232</v>
      </c>
      <c r="I48" s="751" t="s">
        <v>171</v>
      </c>
    </row>
    <row r="49" spans="1:11">
      <c r="A49" s="473" t="s">
        <v>736</v>
      </c>
      <c r="B49" s="167" t="s">
        <v>737</v>
      </c>
      <c r="C49" s="168">
        <v>0.1</v>
      </c>
      <c r="D49" s="2698" t="s">
        <v>735</v>
      </c>
      <c r="E49" s="677">
        <f>+RETRO</f>
        <v>150000</v>
      </c>
      <c r="F49" s="677">
        <f>+E49*C49</f>
        <v>15000</v>
      </c>
      <c r="G49" s="677"/>
      <c r="H49" s="677"/>
      <c r="I49" s="677"/>
      <c r="K49" s="492">
        <f>1/C49</f>
        <v>10</v>
      </c>
    </row>
    <row r="50" spans="1:11">
      <c r="A50" s="827" t="s">
        <v>190</v>
      </c>
      <c r="B50" s="588">
        <f>ROUND(SUM(F50:I50),0)</f>
        <v>15000</v>
      </c>
      <c r="C50" s="168"/>
      <c r="D50" s="2698"/>
      <c r="E50" s="677"/>
      <c r="F50" s="677">
        <f>+SUM(F49:F49)</f>
        <v>15000</v>
      </c>
      <c r="G50" s="677">
        <f>+SUM(G49:G49)</f>
        <v>0</v>
      </c>
      <c r="H50" s="677">
        <f>+SUM(H49:H49)</f>
        <v>0</v>
      </c>
      <c r="I50" s="677">
        <f>+SUM(I49:I49)</f>
        <v>0</v>
      </c>
    </row>
    <row r="51" spans="1:11">
      <c r="A51" s="827" t="s">
        <v>191</v>
      </c>
      <c r="B51" s="39">
        <f>+B50</f>
        <v>15000</v>
      </c>
      <c r="C51" s="828" t="s">
        <v>356</v>
      </c>
      <c r="D51" s="479"/>
      <c r="E51" s="682"/>
      <c r="F51" s="682"/>
      <c r="G51" s="682"/>
      <c r="H51" s="682"/>
      <c r="I51" s="682"/>
    </row>
    <row r="52" spans="1:11">
      <c r="A52" s="818"/>
      <c r="B52" s="829"/>
      <c r="C52" s="830"/>
      <c r="D52" s="479"/>
      <c r="E52" s="682"/>
      <c r="F52" s="682"/>
      <c r="G52" s="682"/>
      <c r="H52" s="682"/>
      <c r="I52" s="682"/>
    </row>
    <row r="53" spans="1:11">
      <c r="A53" s="3971" t="s">
        <v>8212</v>
      </c>
      <c r="B53" s="3972"/>
      <c r="C53" s="3972"/>
      <c r="D53" s="3972"/>
      <c r="E53" s="3972"/>
      <c r="F53" s="3972"/>
      <c r="G53" s="3972"/>
      <c r="H53" s="3972"/>
      <c r="I53" s="3973"/>
    </row>
    <row r="54" spans="1:11">
      <c r="A54" s="818"/>
      <c r="B54" s="829"/>
      <c r="C54" s="830"/>
      <c r="D54" s="479"/>
      <c r="E54" s="682"/>
      <c r="F54" s="682"/>
      <c r="G54" s="682"/>
      <c r="H54" s="682"/>
      <c r="I54" s="682"/>
    </row>
    <row r="55" spans="1:11">
      <c r="A55" s="834" t="s">
        <v>36</v>
      </c>
      <c r="B55" s="3547" t="s">
        <v>8542</v>
      </c>
      <c r="C55" s="3548"/>
      <c r="D55" s="3548"/>
      <c r="E55" s="3548"/>
      <c r="F55" s="3548"/>
      <c r="G55" s="3548"/>
      <c r="H55" s="3548"/>
      <c r="I55" s="3549"/>
    </row>
    <row r="56" spans="1:11">
      <c r="A56" s="709"/>
      <c r="B56" s="179"/>
      <c r="C56" s="2695" t="s">
        <v>140</v>
      </c>
      <c r="D56" s="2695" t="s">
        <v>343</v>
      </c>
      <c r="E56" s="65" t="s">
        <v>344</v>
      </c>
      <c r="F56" s="65" t="s">
        <v>482</v>
      </c>
      <c r="G56" s="65" t="s">
        <v>483</v>
      </c>
      <c r="H56" s="65" t="s">
        <v>232</v>
      </c>
      <c r="I56" s="65" t="s">
        <v>171</v>
      </c>
    </row>
    <row r="57" spans="1:11">
      <c r="A57" s="709" t="s">
        <v>172</v>
      </c>
      <c r="B57" s="179" t="s">
        <v>189</v>
      </c>
      <c r="C57" s="346">
        <v>1</v>
      </c>
      <c r="D57" s="2695" t="s">
        <v>583</v>
      </c>
      <c r="E57" s="65">
        <f>+H64*0.05</f>
        <v>405.19255815555556</v>
      </c>
      <c r="F57" s="65"/>
      <c r="G57" s="65"/>
      <c r="H57" s="65"/>
      <c r="I57" s="65">
        <f>+E57*C57</f>
        <v>405.19255815555556</v>
      </c>
    </row>
    <row r="58" spans="1:11">
      <c r="A58" s="709" t="s">
        <v>361</v>
      </c>
      <c r="B58" s="179" t="s">
        <v>362</v>
      </c>
      <c r="C58" s="684">
        <v>8.3000000000000004E-2</v>
      </c>
      <c r="D58" s="2695" t="s">
        <v>363</v>
      </c>
      <c r="E58" s="65">
        <v>12500</v>
      </c>
      <c r="F58" s="65"/>
      <c r="G58" s="65">
        <f>+E58*C58</f>
        <v>1037.5</v>
      </c>
      <c r="H58" s="65"/>
      <c r="I58" s="65"/>
    </row>
    <row r="59" spans="1:11">
      <c r="A59" s="232" t="s">
        <v>245</v>
      </c>
      <c r="B59" s="5" t="s">
        <v>146</v>
      </c>
      <c r="C59" s="684">
        <v>0.42</v>
      </c>
      <c r="D59" s="2695" t="s">
        <v>363</v>
      </c>
      <c r="E59" s="65">
        <v>17500</v>
      </c>
      <c r="F59" s="65"/>
      <c r="G59" s="65">
        <f>+E59*C59</f>
        <v>7350</v>
      </c>
      <c r="H59" s="65"/>
      <c r="I59" s="65"/>
    </row>
    <row r="60" spans="1:11">
      <c r="A60" s="709" t="s">
        <v>261</v>
      </c>
      <c r="B60" s="179" t="s">
        <v>262</v>
      </c>
      <c r="C60" s="684">
        <v>8.3000000000000004E-2</v>
      </c>
      <c r="D60" s="2695" t="s">
        <v>363</v>
      </c>
      <c r="E60" s="65">
        <v>12000</v>
      </c>
      <c r="F60" s="65"/>
      <c r="G60" s="65">
        <f>+E60*C60</f>
        <v>996</v>
      </c>
      <c r="H60" s="65"/>
      <c r="I60" s="65"/>
    </row>
    <row r="61" spans="1:11">
      <c r="A61" s="709" t="s">
        <v>372</v>
      </c>
      <c r="B61" s="179" t="s">
        <v>621</v>
      </c>
      <c r="C61" s="684">
        <v>0.15</v>
      </c>
      <c r="D61" s="2695" t="s">
        <v>374</v>
      </c>
      <c r="E61" s="65">
        <f>+CLAVO</f>
        <v>2300</v>
      </c>
      <c r="F61" s="65"/>
      <c r="G61" s="65">
        <f>+E61*C61</f>
        <v>345</v>
      </c>
      <c r="H61" s="65"/>
      <c r="I61" s="65"/>
    </row>
    <row r="62" spans="1:11">
      <c r="A62" s="709" t="s">
        <v>345</v>
      </c>
      <c r="B62" s="179" t="s">
        <v>965</v>
      </c>
      <c r="C62" s="346">
        <f>1/18</f>
        <v>5.5555555555555552E-2</v>
      </c>
      <c r="D62" s="2695" t="s">
        <v>346</v>
      </c>
      <c r="E62" s="65">
        <f>+OFICI</f>
        <v>80479.625344</v>
      </c>
      <c r="F62" s="65"/>
      <c r="G62" s="65"/>
      <c r="H62" s="65">
        <f>+E62*C62</f>
        <v>4471.0902968888886</v>
      </c>
      <c r="I62" s="65"/>
    </row>
    <row r="63" spans="1:11">
      <c r="A63" s="709" t="s">
        <v>347</v>
      </c>
      <c r="B63" s="179" t="s">
        <v>266</v>
      </c>
      <c r="C63" s="346">
        <f>1/18</f>
        <v>5.5555555555555552E-2</v>
      </c>
      <c r="D63" s="2695" t="s">
        <v>346</v>
      </c>
      <c r="E63" s="65">
        <f>+AYUDA</f>
        <v>65389.695592000004</v>
      </c>
      <c r="F63" s="65"/>
      <c r="G63" s="65"/>
      <c r="H63" s="65">
        <f>+E63*C63</f>
        <v>3632.7608662222224</v>
      </c>
      <c r="I63" s="65"/>
    </row>
    <row r="64" spans="1:11">
      <c r="A64" s="812" t="s">
        <v>190</v>
      </c>
      <c r="B64" s="588">
        <f>ROUND(SUM(F64:I64),0)</f>
        <v>18238</v>
      </c>
      <c r="C64" s="34"/>
      <c r="D64" s="2695"/>
      <c r="E64" s="65"/>
      <c r="F64" s="65">
        <f>+SUM(F57:F63)</f>
        <v>0</v>
      </c>
      <c r="G64" s="65">
        <f>+SUM(G57:G63)</f>
        <v>9728.5</v>
      </c>
      <c r="H64" s="65">
        <f>+SUM(H57:H63)</f>
        <v>8103.8511631111105</v>
      </c>
      <c r="I64" s="65">
        <f>+SUM(I57:I63)</f>
        <v>405.19255815555556</v>
      </c>
    </row>
    <row r="65" spans="1:9" ht="17.399999999999999">
      <c r="A65" s="812" t="s">
        <v>191</v>
      </c>
      <c r="B65" s="39">
        <f>+B64</f>
        <v>18238</v>
      </c>
      <c r="C65" s="21" t="s">
        <v>1125</v>
      </c>
      <c r="D65" s="178"/>
      <c r="E65" s="685"/>
      <c r="F65" s="685"/>
      <c r="G65" s="685"/>
      <c r="H65" s="685"/>
      <c r="I65" s="685"/>
    </row>
    <row r="66" spans="1:9">
      <c r="A66" s="376"/>
      <c r="B66" s="686"/>
      <c r="C66" s="178"/>
      <c r="D66" s="178"/>
      <c r="E66" s="685"/>
      <c r="F66" s="685"/>
      <c r="G66" s="685"/>
      <c r="H66" s="685"/>
      <c r="I66" s="685"/>
    </row>
    <row r="67" spans="1:9">
      <c r="A67" s="834" t="s">
        <v>1451</v>
      </c>
      <c r="B67" s="3547" t="s">
        <v>4183</v>
      </c>
      <c r="C67" s="3548"/>
      <c r="D67" s="3548"/>
      <c r="E67" s="3548"/>
      <c r="F67" s="3548"/>
      <c r="G67" s="3548"/>
      <c r="H67" s="3548"/>
      <c r="I67" s="3549"/>
    </row>
    <row r="68" spans="1:9">
      <c r="A68" s="709"/>
      <c r="B68" s="179"/>
      <c r="C68" s="2695" t="s">
        <v>140</v>
      </c>
      <c r="D68" s="2695" t="s">
        <v>343</v>
      </c>
      <c r="E68" s="65" t="s">
        <v>344</v>
      </c>
      <c r="F68" s="65" t="s">
        <v>482</v>
      </c>
      <c r="G68" s="65" t="s">
        <v>483</v>
      </c>
      <c r="H68" s="65" t="s">
        <v>232</v>
      </c>
      <c r="I68" s="65" t="s">
        <v>171</v>
      </c>
    </row>
    <row r="69" spans="1:9">
      <c r="A69" s="709" t="s">
        <v>172</v>
      </c>
      <c r="B69" s="179" t="s">
        <v>189</v>
      </c>
      <c r="C69" s="346">
        <v>1</v>
      </c>
      <c r="D69" s="2695" t="s">
        <v>583</v>
      </c>
      <c r="E69" s="65">
        <f>+H76*0.05</f>
        <v>405.19255815555556</v>
      </c>
      <c r="F69" s="65"/>
      <c r="G69" s="65"/>
      <c r="H69" s="65"/>
      <c r="I69" s="65">
        <f>+E69*C69</f>
        <v>405.19255815555556</v>
      </c>
    </row>
    <row r="70" spans="1:9">
      <c r="A70" s="709" t="s">
        <v>361</v>
      </c>
      <c r="B70" s="179" t="s">
        <v>362</v>
      </c>
      <c r="C70" s="684">
        <f>+C58*3</f>
        <v>0.249</v>
      </c>
      <c r="D70" s="2695" t="s">
        <v>363</v>
      </c>
      <c r="E70" s="65">
        <v>12500</v>
      </c>
      <c r="F70" s="65"/>
      <c r="G70" s="65">
        <f>+E70*C70</f>
        <v>3112.5</v>
      </c>
      <c r="H70" s="65"/>
      <c r="I70" s="65"/>
    </row>
    <row r="71" spans="1:9">
      <c r="A71" s="232" t="s">
        <v>245</v>
      </c>
      <c r="B71" s="5" t="s">
        <v>146</v>
      </c>
      <c r="C71" s="684">
        <f>+C59*3</f>
        <v>1.26</v>
      </c>
      <c r="D71" s="2695" t="s">
        <v>363</v>
      </c>
      <c r="E71" s="65">
        <f>+E59</f>
        <v>17500</v>
      </c>
      <c r="F71" s="65"/>
      <c r="G71" s="65">
        <f>+E71*C71</f>
        <v>22050</v>
      </c>
      <c r="H71" s="65"/>
      <c r="I71" s="65"/>
    </row>
    <row r="72" spans="1:9">
      <c r="A72" s="709" t="s">
        <v>261</v>
      </c>
      <c r="B72" s="179" t="s">
        <v>262</v>
      </c>
      <c r="C72" s="684">
        <f>+C60*3</f>
        <v>0.249</v>
      </c>
      <c r="D72" s="2695" t="s">
        <v>363</v>
      </c>
      <c r="E72" s="65">
        <f>+E60</f>
        <v>12000</v>
      </c>
      <c r="F72" s="65"/>
      <c r="G72" s="65">
        <f>+E72*C72</f>
        <v>2988</v>
      </c>
      <c r="H72" s="65"/>
      <c r="I72" s="65"/>
    </row>
    <row r="73" spans="1:9">
      <c r="A73" s="709" t="s">
        <v>372</v>
      </c>
      <c r="B73" s="179" t="s">
        <v>621</v>
      </c>
      <c r="C73" s="684">
        <v>0.15</v>
      </c>
      <c r="D73" s="2695" t="s">
        <v>374</v>
      </c>
      <c r="E73" s="65">
        <f>+CLAVO</f>
        <v>2300</v>
      </c>
      <c r="F73" s="65"/>
      <c r="G73" s="65">
        <f>+E73*C73</f>
        <v>345</v>
      </c>
      <c r="H73" s="65"/>
      <c r="I73" s="65"/>
    </row>
    <row r="74" spans="1:9">
      <c r="A74" s="709" t="s">
        <v>345</v>
      </c>
      <c r="B74" s="179" t="s">
        <v>965</v>
      </c>
      <c r="C74" s="346">
        <f>+C62</f>
        <v>5.5555555555555552E-2</v>
      </c>
      <c r="D74" s="2695" t="s">
        <v>346</v>
      </c>
      <c r="E74" s="65">
        <f>+OFICI</f>
        <v>80479.625344</v>
      </c>
      <c r="F74" s="65"/>
      <c r="G74" s="65"/>
      <c r="H74" s="65">
        <f>+E74*C74</f>
        <v>4471.0902968888886</v>
      </c>
      <c r="I74" s="65"/>
    </row>
    <row r="75" spans="1:9">
      <c r="A75" s="709" t="s">
        <v>347</v>
      </c>
      <c r="B75" s="179" t="s">
        <v>266</v>
      </c>
      <c r="C75" s="346">
        <f>+C63</f>
        <v>5.5555555555555552E-2</v>
      </c>
      <c r="D75" s="2695" t="s">
        <v>346</v>
      </c>
      <c r="E75" s="65">
        <f>+AYUDA</f>
        <v>65389.695592000004</v>
      </c>
      <c r="F75" s="65"/>
      <c r="G75" s="65"/>
      <c r="H75" s="65">
        <f>+E75*C75</f>
        <v>3632.7608662222224</v>
      </c>
      <c r="I75" s="65"/>
    </row>
    <row r="76" spans="1:9">
      <c r="A76" s="812" t="s">
        <v>190</v>
      </c>
      <c r="B76" s="588">
        <f>ROUND(SUM(F76:I76),0)</f>
        <v>37005</v>
      </c>
      <c r="C76" s="34"/>
      <c r="D76" s="2695"/>
      <c r="E76" s="65"/>
      <c r="F76" s="65">
        <f>+SUM(F69:F75)</f>
        <v>0</v>
      </c>
      <c r="G76" s="65">
        <f>+SUM(G69:G75)</f>
        <v>28495.5</v>
      </c>
      <c r="H76" s="65">
        <f>+SUM(H69:H75)</f>
        <v>8103.8511631111105</v>
      </c>
      <c r="I76" s="65">
        <f>+SUM(I69:I75)</f>
        <v>405.19255815555556</v>
      </c>
    </row>
    <row r="77" spans="1:9" ht="17.399999999999999">
      <c r="A77" s="812" t="s">
        <v>191</v>
      </c>
      <c r="B77" s="39">
        <f>+B76</f>
        <v>37005</v>
      </c>
      <c r="C77" s="21" t="s">
        <v>1125</v>
      </c>
      <c r="D77" s="178"/>
      <c r="E77" s="685"/>
      <c r="F77" s="685"/>
      <c r="G77" s="685"/>
      <c r="H77" s="685"/>
      <c r="I77" s="685"/>
    </row>
    <row r="78" spans="1:9">
      <c r="A78" s="376"/>
      <c r="B78" s="686"/>
      <c r="C78" s="178"/>
      <c r="D78" s="178"/>
      <c r="E78" s="685"/>
      <c r="F78" s="685"/>
      <c r="G78" s="685"/>
      <c r="H78" s="685"/>
      <c r="I78" s="685"/>
    </row>
    <row r="79" spans="1:9">
      <c r="A79" s="3971" t="s">
        <v>8213</v>
      </c>
      <c r="B79" s="3972"/>
      <c r="C79" s="3972"/>
      <c r="D79" s="3972"/>
      <c r="E79" s="3972"/>
      <c r="F79" s="3972"/>
      <c r="G79" s="3972"/>
      <c r="H79" s="3972"/>
      <c r="I79" s="3973"/>
    </row>
    <row r="80" spans="1:9">
      <c r="A80" s="376"/>
      <c r="B80" s="686"/>
      <c r="C80" s="178"/>
      <c r="D80" s="178"/>
      <c r="E80" s="685"/>
      <c r="F80" s="685"/>
      <c r="G80" s="685"/>
      <c r="H80" s="685"/>
      <c r="I80" s="685"/>
    </row>
    <row r="81" spans="1:9" s="499" customFormat="1" ht="33.75" customHeight="1">
      <c r="A81" s="445" t="str">
        <f>+' TANQUE PATAGONIA'!B25</f>
        <v>4.3</v>
      </c>
      <c r="B81" s="3619" t="s">
        <v>6638</v>
      </c>
      <c r="C81" s="3620"/>
      <c r="D81" s="3620"/>
      <c r="E81" s="3620"/>
      <c r="F81" s="3620"/>
      <c r="G81" s="3620"/>
      <c r="H81" s="3620"/>
      <c r="I81" s="3621"/>
    </row>
    <row r="82" spans="1:9" s="502" customFormat="1" ht="15" customHeight="1">
      <c r="A82" s="446"/>
      <c r="B82" s="156"/>
      <c r="C82" s="2694" t="s">
        <v>140</v>
      </c>
      <c r="D82" s="2694" t="s">
        <v>343</v>
      </c>
      <c r="E82" s="1804" t="s">
        <v>344</v>
      </c>
      <c r="F82" s="1804" t="s">
        <v>482</v>
      </c>
      <c r="G82" s="1804" t="s">
        <v>483</v>
      </c>
      <c r="H82" s="1804" t="s">
        <v>232</v>
      </c>
      <c r="I82" s="1804" t="s">
        <v>171</v>
      </c>
    </row>
    <row r="83" spans="1:9" ht="18">
      <c r="A83" s="232" t="s">
        <v>738</v>
      </c>
      <c r="B83" s="41" t="s">
        <v>6412</v>
      </c>
      <c r="C83" s="182">
        <v>0.67</v>
      </c>
      <c r="D83" s="6" t="s">
        <v>735</v>
      </c>
      <c r="E83" s="65">
        <f>+CANGU</f>
        <v>11625</v>
      </c>
      <c r="F83" s="585">
        <f>+E83*C83</f>
        <v>7788.7500000000009</v>
      </c>
      <c r="G83" s="585"/>
      <c r="H83" s="585"/>
      <c r="I83" s="585"/>
    </row>
    <row r="84" spans="1:9" ht="18">
      <c r="A84" s="232" t="s">
        <v>172</v>
      </c>
      <c r="B84" s="760" t="s">
        <v>189</v>
      </c>
      <c r="C84" s="837">
        <v>1</v>
      </c>
      <c r="D84" s="6" t="s">
        <v>583</v>
      </c>
      <c r="E84" s="65">
        <f>H87*0.05</f>
        <v>210.63026945500002</v>
      </c>
      <c r="F84" s="762"/>
      <c r="G84" s="762"/>
      <c r="H84" s="762"/>
      <c r="I84" s="762">
        <f>+E84*C84</f>
        <v>210.63026945500002</v>
      </c>
    </row>
    <row r="85" spans="1:9" ht="18">
      <c r="A85" s="232" t="s">
        <v>354</v>
      </c>
      <c r="B85" s="41" t="s">
        <v>6639</v>
      </c>
      <c r="C85" s="838">
        <v>1.1000000000000001</v>
      </c>
      <c r="D85" s="6" t="s">
        <v>356</v>
      </c>
      <c r="E85" s="585">
        <f>+'BASE 2'!D59</f>
        <v>36000</v>
      </c>
      <c r="F85" s="585"/>
      <c r="G85" s="585">
        <f>+E85*C85</f>
        <v>39600</v>
      </c>
      <c r="H85" s="585"/>
      <c r="I85" s="585"/>
    </row>
    <row r="86" spans="1:9" ht="18">
      <c r="A86" s="232" t="s">
        <v>347</v>
      </c>
      <c r="B86" s="41" t="s">
        <v>966</v>
      </c>
      <c r="C86" s="182">
        <f>+C83/8</f>
        <v>8.3750000000000005E-2</v>
      </c>
      <c r="D86" s="6" t="s">
        <v>346</v>
      </c>
      <c r="E86" s="585">
        <f>+AYUDR</f>
        <v>50299.76584</v>
      </c>
      <c r="F86" s="585"/>
      <c r="G86" s="585"/>
      <c r="H86" s="585">
        <f>+E86*C86</f>
        <v>4212.6053891000001</v>
      </c>
      <c r="I86" s="585"/>
    </row>
    <row r="87" spans="1:9" s="502" customFormat="1" ht="15" customHeight="1">
      <c r="A87" s="1265" t="s">
        <v>190</v>
      </c>
      <c r="B87" s="1266">
        <f>ROUND(SUM(F87:I87),0)</f>
        <v>51812</v>
      </c>
      <c r="C87" s="2694"/>
      <c r="D87" s="1805"/>
      <c r="E87" s="1804"/>
      <c r="F87" s="1806">
        <f>SUM(F83:F86)</f>
        <v>7788.7500000000009</v>
      </c>
      <c r="G87" s="1806">
        <f>SUM(G83:G86)</f>
        <v>39600</v>
      </c>
      <c r="H87" s="1806">
        <f>SUM(H83:H86)</f>
        <v>4212.6053891000001</v>
      </c>
      <c r="I87" s="1806">
        <f>SUM(I83:I86)</f>
        <v>210.63026945500002</v>
      </c>
    </row>
    <row r="88" spans="1:9" s="502" customFormat="1" ht="15" customHeight="1">
      <c r="A88" s="1265" t="s">
        <v>191</v>
      </c>
      <c r="B88" s="1266">
        <f>+B87</f>
        <v>51812</v>
      </c>
      <c r="C88" s="2036" t="s">
        <v>356</v>
      </c>
      <c r="D88" s="1808"/>
      <c r="E88" s="1809"/>
      <c r="F88" s="1810"/>
      <c r="G88" s="1809"/>
      <c r="H88" s="1810"/>
      <c r="I88" s="1809"/>
    </row>
    <row r="89" spans="1:9" s="1260" customFormat="1" ht="15" customHeight="1">
      <c r="A89" s="1270"/>
      <c r="B89" s="1812"/>
      <c r="C89" s="862"/>
      <c r="D89" s="863"/>
      <c r="E89" s="864"/>
      <c r="F89" s="1813"/>
      <c r="G89" s="1813"/>
      <c r="H89" s="1813"/>
      <c r="I89" s="1813"/>
    </row>
    <row r="90" spans="1:9">
      <c r="A90" s="3971" t="s">
        <v>8214</v>
      </c>
      <c r="B90" s="3972"/>
      <c r="C90" s="3972"/>
      <c r="D90" s="3972"/>
      <c r="E90" s="3972"/>
      <c r="F90" s="3972"/>
      <c r="G90" s="3972"/>
      <c r="H90" s="3972"/>
      <c r="I90" s="3973"/>
    </row>
    <row r="91" spans="1:9" s="1260" customFormat="1" ht="15" customHeight="1">
      <c r="A91" s="1270"/>
      <c r="B91" s="1812"/>
      <c r="C91" s="862"/>
      <c r="D91" s="863"/>
      <c r="E91" s="864"/>
      <c r="F91" s="1813"/>
      <c r="G91" s="1813"/>
      <c r="H91" s="1813"/>
      <c r="I91" s="1813"/>
    </row>
    <row r="92" spans="1:9">
      <c r="A92" s="825" t="str">
        <f>+' TANQUE PATAGONIA'!B29</f>
        <v>6.1</v>
      </c>
      <c r="B92" s="3991" t="s">
        <v>6642</v>
      </c>
      <c r="C92" s="3991"/>
      <c r="D92" s="3991"/>
      <c r="E92" s="3991"/>
      <c r="F92" s="3991"/>
      <c r="G92" s="3991"/>
      <c r="H92" s="3991"/>
      <c r="I92" s="3991"/>
    </row>
    <row r="93" spans="1:9">
      <c r="A93" s="826"/>
      <c r="B93" s="843"/>
      <c r="C93" s="794" t="s">
        <v>140</v>
      </c>
      <c r="D93" s="795" t="s">
        <v>343</v>
      </c>
      <c r="E93" s="796" t="s">
        <v>344</v>
      </c>
      <c r="F93" s="796" t="s">
        <v>482</v>
      </c>
      <c r="G93" s="796" t="s">
        <v>483</v>
      </c>
      <c r="H93" s="796" t="s">
        <v>232</v>
      </c>
      <c r="I93" s="796" t="s">
        <v>171</v>
      </c>
    </row>
    <row r="94" spans="1:9">
      <c r="A94" s="826" t="s">
        <v>172</v>
      </c>
      <c r="B94" s="843" t="s">
        <v>189</v>
      </c>
      <c r="C94" s="832">
        <v>1</v>
      </c>
      <c r="D94" s="831" t="s">
        <v>583</v>
      </c>
      <c r="E94" s="835">
        <f>+H98*0.05</f>
        <v>3856.3153810666663</v>
      </c>
      <c r="F94" s="835"/>
      <c r="G94" s="835"/>
      <c r="H94" s="835"/>
      <c r="I94" s="835">
        <f>+E94*C94</f>
        <v>3856.3153810666663</v>
      </c>
    </row>
    <row r="95" spans="1:9">
      <c r="A95" s="826" t="s">
        <v>345</v>
      </c>
      <c r="B95" s="843" t="s">
        <v>965</v>
      </c>
      <c r="C95" s="832">
        <f>1/3</f>
        <v>0.33333333333333331</v>
      </c>
      <c r="D95" s="831" t="s">
        <v>346</v>
      </c>
      <c r="E95" s="835">
        <f>+OFICI</f>
        <v>80479.625344</v>
      </c>
      <c r="F95" s="835"/>
      <c r="G95" s="835"/>
      <c r="H95" s="835">
        <f>+E95*C95</f>
        <v>26826.541781333333</v>
      </c>
      <c r="I95" s="835"/>
    </row>
    <row r="96" spans="1:9">
      <c r="A96" s="826" t="s">
        <v>347</v>
      </c>
      <c r="B96" s="843" t="s">
        <v>966</v>
      </c>
      <c r="C96" s="832">
        <f>1/3</f>
        <v>0.33333333333333331</v>
      </c>
      <c r="D96" s="831" t="s">
        <v>346</v>
      </c>
      <c r="E96" s="835">
        <f>+AYUDR*3</f>
        <v>150899.29751999999</v>
      </c>
      <c r="F96" s="835"/>
      <c r="G96" s="835"/>
      <c r="H96" s="835">
        <f>+E96*C96</f>
        <v>50299.765839999993</v>
      </c>
      <c r="I96" s="835"/>
    </row>
    <row r="97" spans="1:9">
      <c r="A97" s="826" t="s">
        <v>307</v>
      </c>
      <c r="B97" s="843" t="s">
        <v>3870</v>
      </c>
      <c r="C97" s="832">
        <v>1.1000000000000001</v>
      </c>
      <c r="D97" s="831" t="s">
        <v>356</v>
      </c>
      <c r="E97" s="835">
        <f>+'BASE CTOS'!B65</f>
        <v>364500.62422489998</v>
      </c>
      <c r="F97" s="835"/>
      <c r="G97" s="835">
        <f>+E97*C97</f>
        <v>400950.68664739002</v>
      </c>
      <c r="H97" s="835"/>
    </row>
    <row r="98" spans="1:9">
      <c r="A98" s="800" t="s">
        <v>190</v>
      </c>
      <c r="B98" s="801">
        <f>SUM(F98:I98)</f>
        <v>481933.30964979</v>
      </c>
      <c r="C98" s="832"/>
      <c r="D98" s="831"/>
      <c r="E98" s="835"/>
      <c r="F98" s="835">
        <f>+SUM(F94:F97)</f>
        <v>0</v>
      </c>
      <c r="G98" s="835">
        <f>+SUM(G94:G97)</f>
        <v>400950.68664739002</v>
      </c>
      <c r="H98" s="835">
        <f>+SUM(H94:H97)</f>
        <v>77126.307621333326</v>
      </c>
      <c r="I98" s="835">
        <f>+SUM(I94:I97)</f>
        <v>3856.3153810666663</v>
      </c>
    </row>
    <row r="99" spans="1:9">
      <c r="A99" s="800" t="s">
        <v>191</v>
      </c>
      <c r="B99" s="801">
        <f>+B98</f>
        <v>481933.30964979</v>
      </c>
      <c r="C99" s="802" t="s">
        <v>356</v>
      </c>
      <c r="D99" s="844"/>
      <c r="E99" s="845"/>
      <c r="F99" s="845"/>
      <c r="G99" s="845"/>
      <c r="H99" s="845"/>
      <c r="I99" s="845"/>
    </row>
    <row r="100" spans="1:9">
      <c r="A100" s="1924"/>
      <c r="B100" s="1925"/>
      <c r="C100" s="1926"/>
      <c r="D100" s="1927"/>
      <c r="E100" s="1928"/>
      <c r="F100" s="1929"/>
      <c r="G100" s="1929"/>
      <c r="H100" s="1930"/>
      <c r="I100" s="1930"/>
    </row>
    <row r="101" spans="1:9">
      <c r="A101" s="839" t="str">
        <f>+' TANQUE PATAGONIA'!B30</f>
        <v>6.2</v>
      </c>
      <c r="B101" s="3992" t="s">
        <v>6644</v>
      </c>
      <c r="C101" s="3992"/>
      <c r="D101" s="3992"/>
      <c r="E101" s="3992"/>
      <c r="F101" s="3992"/>
      <c r="G101" s="3992"/>
      <c r="H101" s="3992"/>
      <c r="I101" s="3992"/>
    </row>
    <row r="102" spans="1:9">
      <c r="A102" s="840"/>
      <c r="B102" s="846"/>
      <c r="C102" s="794" t="s">
        <v>140</v>
      </c>
      <c r="D102" s="795" t="s">
        <v>343</v>
      </c>
      <c r="E102" s="796" t="s">
        <v>344</v>
      </c>
      <c r="F102" s="796" t="s">
        <v>482</v>
      </c>
      <c r="G102" s="796" t="s">
        <v>483</v>
      </c>
      <c r="H102" s="796" t="s">
        <v>232</v>
      </c>
      <c r="I102" s="796" t="s">
        <v>171</v>
      </c>
    </row>
    <row r="103" spans="1:9">
      <c r="A103" s="840" t="s">
        <v>246</v>
      </c>
      <c r="B103" s="846" t="s">
        <v>247</v>
      </c>
      <c r="C103" s="370">
        <v>0.125</v>
      </c>
      <c r="D103" s="831" t="s">
        <v>717</v>
      </c>
      <c r="E103" s="835">
        <f>+VIBGA</f>
        <v>47000</v>
      </c>
      <c r="F103" s="835">
        <f>+E103*C103</f>
        <v>5875</v>
      </c>
      <c r="G103" s="835"/>
      <c r="H103" s="835"/>
      <c r="I103" s="835"/>
    </row>
    <row r="104" spans="1:9">
      <c r="A104" s="840" t="s">
        <v>172</v>
      </c>
      <c r="B104" s="846" t="s">
        <v>189</v>
      </c>
      <c r="C104" s="370">
        <v>1</v>
      </c>
      <c r="D104" s="831" t="s">
        <v>583</v>
      </c>
      <c r="E104" s="835">
        <f>+H112*0.05</f>
        <v>7645.5644076800008</v>
      </c>
      <c r="F104" s="835"/>
      <c r="G104" s="835"/>
      <c r="H104" s="835"/>
      <c r="I104" s="835">
        <f>+E104*C104</f>
        <v>7645.5644076800008</v>
      </c>
    </row>
    <row r="105" spans="1:9">
      <c r="A105" s="792" t="s">
        <v>245</v>
      </c>
      <c r="B105" s="847" t="s">
        <v>146</v>
      </c>
      <c r="C105" s="698">
        <v>2</v>
      </c>
      <c r="D105" s="848" t="s">
        <v>363</v>
      </c>
      <c r="E105" s="849">
        <f>+TABLA</f>
        <v>2958</v>
      </c>
      <c r="F105" s="849"/>
      <c r="G105" s="849">
        <f>+E105*C105</f>
        <v>5916</v>
      </c>
      <c r="H105" s="849"/>
      <c r="I105" s="850"/>
    </row>
    <row r="106" spans="1:9">
      <c r="A106" s="792" t="s">
        <v>261</v>
      </c>
      <c r="B106" s="851" t="s">
        <v>262</v>
      </c>
      <c r="C106" s="698">
        <v>1</v>
      </c>
      <c r="D106" s="852" t="s">
        <v>363</v>
      </c>
      <c r="E106" s="849">
        <f>+TACOR</f>
        <v>3366</v>
      </c>
      <c r="F106" s="849"/>
      <c r="G106" s="849">
        <f>+E106*C106</f>
        <v>3366</v>
      </c>
      <c r="H106" s="849"/>
      <c r="I106" s="850"/>
    </row>
    <row r="107" spans="1:9">
      <c r="A107" s="792" t="s">
        <v>372</v>
      </c>
      <c r="B107" s="853" t="s">
        <v>373</v>
      </c>
      <c r="C107" s="698">
        <v>0.1</v>
      </c>
      <c r="D107" s="854" t="s">
        <v>374</v>
      </c>
      <c r="E107" s="849">
        <f>+CLAVO</f>
        <v>2300</v>
      </c>
      <c r="F107" s="849"/>
      <c r="G107" s="849">
        <f>+E107*C107</f>
        <v>230</v>
      </c>
      <c r="H107" s="849"/>
      <c r="I107" s="850"/>
    </row>
    <row r="108" spans="1:9">
      <c r="A108" s="840" t="s">
        <v>345</v>
      </c>
      <c r="B108" s="846" t="s">
        <v>965</v>
      </c>
      <c r="C108" s="370">
        <f>1/2.5</f>
        <v>0.4</v>
      </c>
      <c r="D108" s="831" t="s">
        <v>346</v>
      </c>
      <c r="E108" s="835">
        <f>+OFICI</f>
        <v>80479.625344</v>
      </c>
      <c r="F108" s="835"/>
      <c r="G108" s="835"/>
      <c r="H108" s="835">
        <f>+E108*C108</f>
        <v>32191.850137600002</v>
      </c>
      <c r="I108" s="835"/>
    </row>
    <row r="109" spans="1:9">
      <c r="A109" s="840" t="s">
        <v>348</v>
      </c>
      <c r="B109" s="846" t="s">
        <v>966</v>
      </c>
      <c r="C109" s="370">
        <f>1/2.5</f>
        <v>0.4</v>
      </c>
      <c r="D109" s="831" t="s">
        <v>346</v>
      </c>
      <c r="E109" s="835">
        <f>+AYUDR*6</f>
        <v>301798.59503999999</v>
      </c>
      <c r="F109" s="835"/>
      <c r="G109" s="835"/>
      <c r="H109" s="835">
        <f>+E109*C109</f>
        <v>120719.438016</v>
      </c>
      <c r="I109" s="835"/>
    </row>
    <row r="110" spans="1:9">
      <c r="A110" s="840" t="s">
        <v>302</v>
      </c>
      <c r="B110" s="846" t="s">
        <v>6643</v>
      </c>
      <c r="C110" s="370">
        <v>1.1000000000000001</v>
      </c>
      <c r="D110" s="831" t="s">
        <v>1292</v>
      </c>
      <c r="E110" s="835">
        <f>+'BASE CTOS'!B121</f>
        <v>469469.49922490004</v>
      </c>
      <c r="F110" s="835"/>
      <c r="G110" s="835">
        <f>+E110*C110</f>
        <v>516416.44914739009</v>
      </c>
      <c r="H110" s="835"/>
      <c r="I110" s="855"/>
    </row>
    <row r="111" spans="1:9">
      <c r="A111" s="840" t="s">
        <v>250</v>
      </c>
      <c r="B111" s="846" t="s">
        <v>251</v>
      </c>
      <c r="C111" s="370">
        <v>2</v>
      </c>
      <c r="D111" s="831" t="s">
        <v>647</v>
      </c>
      <c r="E111" s="835">
        <f>+PLAST</f>
        <v>8896</v>
      </c>
      <c r="F111" s="835"/>
      <c r="G111" s="835">
        <f>+E111*C111</f>
        <v>17792</v>
      </c>
      <c r="H111" s="835"/>
      <c r="I111" s="835"/>
    </row>
    <row r="112" spans="1:9">
      <c r="A112" s="800" t="s">
        <v>190</v>
      </c>
      <c r="B112" s="801">
        <f>SUM(F112:I112)</f>
        <v>710152.3017086701</v>
      </c>
      <c r="C112" s="794"/>
      <c r="D112" s="831"/>
      <c r="E112" s="835"/>
      <c r="F112" s="835">
        <f>+SUM(F103:F111)</f>
        <v>5875</v>
      </c>
      <c r="G112" s="835">
        <f>+SUM(G103:G111)</f>
        <v>543720.44914739009</v>
      </c>
      <c r="H112" s="835">
        <f>+SUM(H103:H111)</f>
        <v>152911.28815360001</v>
      </c>
      <c r="I112" s="835">
        <f>+SUM(I103:I111)</f>
        <v>7645.5644076800008</v>
      </c>
    </row>
    <row r="113" spans="1:9">
      <c r="A113" s="800" t="s">
        <v>191</v>
      </c>
      <c r="B113" s="801">
        <f>+B112</f>
        <v>710152.3017086701</v>
      </c>
      <c r="C113" s="802" t="s">
        <v>356</v>
      </c>
      <c r="D113" s="833"/>
      <c r="E113" s="836"/>
      <c r="F113" s="836"/>
      <c r="G113" s="836"/>
      <c r="H113" s="836"/>
      <c r="I113" s="836"/>
    </row>
    <row r="114" spans="1:9">
      <c r="A114" s="856"/>
      <c r="B114" s="857"/>
      <c r="C114" s="788"/>
      <c r="D114" s="789"/>
      <c r="E114" s="790"/>
      <c r="F114" s="790"/>
      <c r="G114" s="3993"/>
      <c r="H114" s="3993"/>
      <c r="I114" s="790"/>
    </row>
    <row r="115" spans="1:9">
      <c r="A115" s="825" t="str">
        <f>+' TANQUE PATAGONIA'!B31</f>
        <v>6.3</v>
      </c>
      <c r="B115" s="3991" t="s">
        <v>4184</v>
      </c>
      <c r="C115" s="3991"/>
      <c r="D115" s="3991"/>
      <c r="E115" s="3991"/>
      <c r="F115" s="3991"/>
      <c r="G115" s="3991"/>
      <c r="H115" s="3991"/>
      <c r="I115" s="3991"/>
    </row>
    <row r="116" spans="1:9">
      <c r="A116" s="826"/>
      <c r="B116" s="799"/>
      <c r="C116" s="794" t="s">
        <v>140</v>
      </c>
      <c r="D116" s="795" t="s">
        <v>343</v>
      </c>
      <c r="E116" s="796" t="s">
        <v>344</v>
      </c>
      <c r="F116" s="796" t="s">
        <v>482</v>
      </c>
      <c r="G116" s="796" t="s">
        <v>483</v>
      </c>
      <c r="H116" s="796" t="s">
        <v>232</v>
      </c>
      <c r="I116" s="796" t="s">
        <v>171</v>
      </c>
    </row>
    <row r="117" spans="1:9">
      <c r="A117" s="826" t="s">
        <v>256</v>
      </c>
      <c r="B117" s="799" t="s">
        <v>257</v>
      </c>
      <c r="C117" s="370">
        <v>25</v>
      </c>
      <c r="D117" s="831" t="s">
        <v>346</v>
      </c>
      <c r="E117" s="835">
        <f>+TACOM</f>
        <v>538</v>
      </c>
      <c r="F117" s="835">
        <f>+E117*C117</f>
        <v>13450</v>
      </c>
      <c r="G117" s="835"/>
      <c r="H117" s="835"/>
      <c r="I117" s="835"/>
    </row>
    <row r="118" spans="1:9">
      <c r="A118" s="826" t="s">
        <v>258</v>
      </c>
      <c r="B118" s="846" t="s">
        <v>247</v>
      </c>
      <c r="C118" s="370">
        <v>0.125</v>
      </c>
      <c r="D118" s="831" t="s">
        <v>717</v>
      </c>
      <c r="E118" s="835">
        <f>+VIBGA</f>
        <v>47000</v>
      </c>
      <c r="F118" s="835">
        <f>+E118*C118</f>
        <v>5875</v>
      </c>
      <c r="G118" s="835"/>
      <c r="H118" s="835"/>
      <c r="I118" s="835"/>
    </row>
    <row r="119" spans="1:9">
      <c r="A119" s="826" t="s">
        <v>172</v>
      </c>
      <c r="B119" s="799" t="s">
        <v>189</v>
      </c>
      <c r="C119" s="370">
        <v>1</v>
      </c>
      <c r="D119" s="831" t="s">
        <v>583</v>
      </c>
      <c r="E119" s="835">
        <f>+H127*0.05</f>
        <v>7645.5644076800008</v>
      </c>
      <c r="F119" s="835"/>
      <c r="G119" s="835"/>
      <c r="H119" s="835"/>
      <c r="I119" s="835">
        <f>+E119*C119</f>
        <v>7645.5644076800008</v>
      </c>
    </row>
    <row r="120" spans="1:9">
      <c r="A120" s="826" t="s">
        <v>248</v>
      </c>
      <c r="B120" s="799" t="s">
        <v>249</v>
      </c>
      <c r="C120" s="34">
        <f>8/4</f>
        <v>2</v>
      </c>
      <c r="D120" s="831" t="s">
        <v>363</v>
      </c>
      <c r="E120" s="835">
        <f>+TELEP</f>
        <v>15000</v>
      </c>
      <c r="G120" s="835">
        <f>+E120*C120</f>
        <v>30000</v>
      </c>
      <c r="H120" s="835"/>
      <c r="I120" s="835"/>
    </row>
    <row r="121" spans="1:9">
      <c r="A121" s="826" t="s">
        <v>250</v>
      </c>
      <c r="B121" s="799" t="s">
        <v>251</v>
      </c>
      <c r="C121" s="370">
        <v>2</v>
      </c>
      <c r="D121" s="831" t="s">
        <v>647</v>
      </c>
      <c r="E121" s="835">
        <f>+PLAST</f>
        <v>8896</v>
      </c>
      <c r="F121" s="835"/>
      <c r="G121" s="835">
        <f>+E121*C121</f>
        <v>17792</v>
      </c>
      <c r="H121" s="835"/>
      <c r="I121" s="835"/>
    </row>
    <row r="122" spans="1:9">
      <c r="A122" s="826" t="s">
        <v>261</v>
      </c>
      <c r="B122" s="799" t="s">
        <v>262</v>
      </c>
      <c r="C122" s="370">
        <v>4</v>
      </c>
      <c r="D122" s="831" t="s">
        <v>363</v>
      </c>
      <c r="E122" s="835">
        <f>+TACOR</f>
        <v>3366</v>
      </c>
      <c r="F122" s="835"/>
      <c r="G122" s="835">
        <f>+E122*C122</f>
        <v>13464</v>
      </c>
      <c r="H122" s="835"/>
      <c r="I122" s="835"/>
    </row>
    <row r="123" spans="1:9">
      <c r="A123" s="826" t="s">
        <v>263</v>
      </c>
      <c r="B123" s="799" t="s">
        <v>264</v>
      </c>
      <c r="C123" s="370">
        <v>3</v>
      </c>
      <c r="D123" s="831" t="s">
        <v>374</v>
      </c>
      <c r="E123" s="835">
        <f>+PUNTI</f>
        <v>1632</v>
      </c>
      <c r="F123" s="835"/>
      <c r="G123" s="835">
        <f>+E123*C123</f>
        <v>4896</v>
      </c>
      <c r="H123" s="835"/>
      <c r="I123" s="835"/>
    </row>
    <row r="124" spans="1:9">
      <c r="A124" s="826" t="s">
        <v>345</v>
      </c>
      <c r="B124" s="799" t="s">
        <v>965</v>
      </c>
      <c r="C124" s="370">
        <f>1/2.5</f>
        <v>0.4</v>
      </c>
      <c r="D124" s="831" t="s">
        <v>346</v>
      </c>
      <c r="E124" s="835">
        <f>+OFICI</f>
        <v>80479.625344</v>
      </c>
      <c r="F124" s="835"/>
      <c r="G124" s="835"/>
      <c r="H124" s="835">
        <f>+E124*C124</f>
        <v>32191.850137600002</v>
      </c>
      <c r="I124" s="835"/>
    </row>
    <row r="125" spans="1:9">
      <c r="A125" s="826" t="s">
        <v>348</v>
      </c>
      <c r="B125" s="799" t="s">
        <v>966</v>
      </c>
      <c r="C125" s="370">
        <f>1/2.5</f>
        <v>0.4</v>
      </c>
      <c r="D125" s="831" t="s">
        <v>346</v>
      </c>
      <c r="E125" s="835">
        <f>+AYUDR*6</f>
        <v>301798.59503999999</v>
      </c>
      <c r="F125" s="835"/>
      <c r="G125" s="835"/>
      <c r="H125" s="835">
        <f>+E125*C125</f>
        <v>120719.438016</v>
      </c>
      <c r="I125" s="835"/>
    </row>
    <row r="126" spans="1:9">
      <c r="A126" s="826" t="s">
        <v>302</v>
      </c>
      <c r="B126" s="799" t="s">
        <v>6646</v>
      </c>
      <c r="C126" s="370">
        <v>1.02</v>
      </c>
      <c r="D126" s="831" t="s">
        <v>1292</v>
      </c>
      <c r="E126" s="835">
        <f>+'BASE CTOS'!B121</f>
        <v>469469.49922490004</v>
      </c>
      <c r="F126" s="835"/>
      <c r="G126" s="835">
        <f>+E126*C126</f>
        <v>478858.88920939807</v>
      </c>
      <c r="H126" s="835"/>
      <c r="I126" s="858"/>
    </row>
    <row r="127" spans="1:9">
      <c r="A127" s="800" t="s">
        <v>190</v>
      </c>
      <c r="B127" s="801">
        <f>SUM(F127:I127)</f>
        <v>724892.74177067797</v>
      </c>
      <c r="C127" s="832"/>
      <c r="D127" s="831"/>
      <c r="E127" s="835"/>
      <c r="F127" s="835">
        <f>SUM(F117:F126)</f>
        <v>19325</v>
      </c>
      <c r="G127" s="835">
        <f>SUM(G117:G126)</f>
        <v>545010.88920939807</v>
      </c>
      <c r="H127" s="835">
        <f>SUM(H117:H126)</f>
        <v>152911.28815360001</v>
      </c>
      <c r="I127" s="835">
        <f>SUM(I117:I126)</f>
        <v>7645.5644076800008</v>
      </c>
    </row>
    <row r="128" spans="1:9">
      <c r="A128" s="800" t="s">
        <v>191</v>
      </c>
      <c r="B128" s="801">
        <f>+B127</f>
        <v>724892.74177067797</v>
      </c>
      <c r="C128" s="802" t="s">
        <v>356</v>
      </c>
      <c r="D128" s="833"/>
      <c r="E128" s="836"/>
      <c r="F128" s="836"/>
      <c r="G128" s="836"/>
      <c r="H128" s="836"/>
      <c r="I128" s="836"/>
    </row>
    <row r="130" spans="1:9">
      <c r="A130" s="806" t="str">
        <f>+' TANQUE PATAGONIA'!B32</f>
        <v>6.4</v>
      </c>
      <c r="B130" s="3558" t="s">
        <v>6649</v>
      </c>
      <c r="C130" s="3558"/>
      <c r="D130" s="3558"/>
      <c r="E130" s="3558"/>
      <c r="F130" s="3558"/>
      <c r="G130" s="3558"/>
      <c r="H130" s="3558"/>
      <c r="I130" s="3558"/>
    </row>
    <row r="131" spans="1:9">
      <c r="A131" s="473"/>
      <c r="B131" s="670"/>
      <c r="C131" s="34" t="s">
        <v>140</v>
      </c>
      <c r="D131" s="2" t="s">
        <v>343</v>
      </c>
      <c r="E131" s="585" t="s">
        <v>344</v>
      </c>
      <c r="F131" s="585" t="s">
        <v>482</v>
      </c>
      <c r="G131" s="585" t="s">
        <v>483</v>
      </c>
      <c r="H131" s="585" t="s">
        <v>232</v>
      </c>
      <c r="I131" s="585" t="s">
        <v>171</v>
      </c>
    </row>
    <row r="132" spans="1:9">
      <c r="A132" s="473" t="s">
        <v>256</v>
      </c>
      <c r="B132" s="670" t="s">
        <v>257</v>
      </c>
      <c r="C132" s="370">
        <v>25</v>
      </c>
      <c r="D132" s="2695" t="s">
        <v>346</v>
      </c>
      <c r="E132" s="65">
        <f>+TACOM</f>
        <v>538</v>
      </c>
      <c r="G132" s="65">
        <f>+E132*C132</f>
        <v>13450</v>
      </c>
      <c r="H132" s="65"/>
      <c r="I132" s="65"/>
    </row>
    <row r="133" spans="1:9">
      <c r="A133" s="473" t="s">
        <v>172</v>
      </c>
      <c r="B133" s="670" t="s">
        <v>189</v>
      </c>
      <c r="C133" s="370">
        <v>1</v>
      </c>
      <c r="D133" s="2695" t="s">
        <v>583</v>
      </c>
      <c r="E133" s="65">
        <f>+H142*0.05</f>
        <v>7645.5644076800008</v>
      </c>
      <c r="F133" s="65"/>
      <c r="G133" s="65"/>
      <c r="H133" s="65"/>
      <c r="I133" s="65">
        <f>+E133*C133</f>
        <v>7645.5644076800008</v>
      </c>
    </row>
    <row r="134" spans="1:9">
      <c r="A134" s="473" t="s">
        <v>248</v>
      </c>
      <c r="B134" s="670" t="s">
        <v>249</v>
      </c>
      <c r="C134" s="370">
        <v>4</v>
      </c>
      <c r="D134" s="2695" t="s">
        <v>363</v>
      </c>
      <c r="E134" s="65">
        <v>14000</v>
      </c>
      <c r="G134" s="65">
        <f>+E134*C134</f>
        <v>56000</v>
      </c>
      <c r="H134" s="65"/>
      <c r="I134" s="65"/>
    </row>
    <row r="135" spans="1:9" s="1918" customFormat="1">
      <c r="A135" s="1319"/>
      <c r="B135" s="1320" t="s">
        <v>423</v>
      </c>
      <c r="C135" s="2191">
        <v>1.2</v>
      </c>
      <c r="D135" s="1323" t="s">
        <v>717</v>
      </c>
      <c r="E135" s="2149">
        <v>25000</v>
      </c>
      <c r="F135" s="2149"/>
      <c r="G135" s="2149">
        <f>+C135*E135</f>
        <v>30000</v>
      </c>
      <c r="H135" s="2149"/>
      <c r="I135" s="2149"/>
    </row>
    <row r="136" spans="1:9">
      <c r="A136" s="473" t="s">
        <v>258</v>
      </c>
      <c r="B136" s="846" t="s">
        <v>247</v>
      </c>
      <c r="C136" s="370">
        <v>0.125</v>
      </c>
      <c r="D136" s="2695" t="s">
        <v>717</v>
      </c>
      <c r="E136" s="65">
        <f>+VIBGA</f>
        <v>47000</v>
      </c>
      <c r="F136" s="65">
        <f>+E136*C136</f>
        <v>5875</v>
      </c>
      <c r="G136" s="65"/>
      <c r="H136" s="65"/>
      <c r="I136" s="65"/>
    </row>
    <row r="137" spans="1:9">
      <c r="A137" s="473" t="s">
        <v>261</v>
      </c>
      <c r="B137" s="670" t="s">
        <v>262</v>
      </c>
      <c r="C137" s="370">
        <v>2.625</v>
      </c>
      <c r="D137" s="2695" t="s">
        <v>363</v>
      </c>
      <c r="E137" s="65">
        <f>+TACOR</f>
        <v>3366</v>
      </c>
      <c r="F137" s="65"/>
      <c r="G137" s="65">
        <f>+E137*C137</f>
        <v>8835.75</v>
      </c>
      <c r="H137" s="65"/>
      <c r="I137" s="65"/>
    </row>
    <row r="138" spans="1:9">
      <c r="A138" s="473" t="s">
        <v>372</v>
      </c>
      <c r="B138" s="670" t="s">
        <v>621</v>
      </c>
      <c r="C138" s="370">
        <v>2.52</v>
      </c>
      <c r="D138" s="2695" t="s">
        <v>374</v>
      </c>
      <c r="E138" s="65">
        <f>+CLAVO</f>
        <v>2300</v>
      </c>
      <c r="F138" s="65"/>
      <c r="G138" s="65">
        <f>+E138*C138</f>
        <v>5796</v>
      </c>
      <c r="H138" s="65"/>
      <c r="I138" s="65"/>
    </row>
    <row r="139" spans="1:9">
      <c r="A139" s="473" t="s">
        <v>345</v>
      </c>
      <c r="B139" s="670" t="s">
        <v>965</v>
      </c>
      <c r="C139" s="370">
        <f>1/2.5</f>
        <v>0.4</v>
      </c>
      <c r="D139" s="2695" t="s">
        <v>346</v>
      </c>
      <c r="E139" s="65">
        <f>+OFICI</f>
        <v>80479.625344</v>
      </c>
      <c r="F139" s="65"/>
      <c r="G139" s="65"/>
      <c r="H139" s="65">
        <f>+E139*C139</f>
        <v>32191.850137600002</v>
      </c>
      <c r="I139" s="65"/>
    </row>
    <row r="140" spans="1:9">
      <c r="A140" s="473" t="s">
        <v>348</v>
      </c>
      <c r="B140" s="670" t="s">
        <v>966</v>
      </c>
      <c r="C140" s="370">
        <f>1/2.5</f>
        <v>0.4</v>
      </c>
      <c r="D140" s="2695" t="s">
        <v>346</v>
      </c>
      <c r="E140" s="65">
        <f>+AYUDR*6</f>
        <v>301798.59503999999</v>
      </c>
      <c r="F140" s="65"/>
      <c r="G140" s="65"/>
      <c r="H140" s="65">
        <f>+E140*C140</f>
        <v>120719.438016</v>
      </c>
      <c r="I140" s="65"/>
    </row>
    <row r="141" spans="1:9">
      <c r="A141" s="473" t="s">
        <v>302</v>
      </c>
      <c r="B141" s="670" t="s">
        <v>6646</v>
      </c>
      <c r="C141" s="370">
        <v>1.02</v>
      </c>
      <c r="D141" s="2695" t="s">
        <v>1292</v>
      </c>
      <c r="E141" s="65">
        <f>+'BASE CTOS'!B121</f>
        <v>469469.49922490004</v>
      </c>
      <c r="F141" s="65"/>
      <c r="G141" s="65"/>
      <c r="H141" s="65"/>
      <c r="I141" s="65">
        <f>+E141*C141</f>
        <v>478858.88920939807</v>
      </c>
    </row>
    <row r="142" spans="1:9">
      <c r="A142" s="812" t="s">
        <v>190</v>
      </c>
      <c r="B142" s="39">
        <f>SUM(F142:I142)</f>
        <v>759372.49177067808</v>
      </c>
      <c r="C142" s="370"/>
      <c r="D142" s="2695"/>
      <c r="E142" s="65"/>
      <c r="F142" s="65">
        <f>+SUM(F132:F141)</f>
        <v>5875</v>
      </c>
      <c r="G142" s="65">
        <f>+SUM(G132:G141)</f>
        <v>114081.75</v>
      </c>
      <c r="H142" s="65">
        <f>+SUM(H132:H141)</f>
        <v>152911.28815360001</v>
      </c>
      <c r="I142" s="65">
        <f>+SUM(I132:I141)</f>
        <v>486504.45361707808</v>
      </c>
    </row>
    <row r="143" spans="1:9">
      <c r="A143" s="812" t="s">
        <v>191</v>
      </c>
      <c r="B143" s="39">
        <f>+B142</f>
        <v>759372.49177067808</v>
      </c>
      <c r="C143" s="21" t="s">
        <v>356</v>
      </c>
      <c r="D143" s="178"/>
      <c r="E143" s="685"/>
      <c r="F143" s="685"/>
      <c r="G143" s="734"/>
      <c r="H143" s="685"/>
      <c r="I143" s="685"/>
    </row>
    <row r="144" spans="1:9" ht="18">
      <c r="A144" s="860"/>
      <c r="B144" s="861"/>
      <c r="C144" s="862"/>
      <c r="D144" s="863"/>
      <c r="E144" s="864"/>
      <c r="F144" s="864"/>
      <c r="G144" s="864"/>
      <c r="H144" s="864"/>
      <c r="I144" s="864"/>
    </row>
    <row r="145" spans="1:9">
      <c r="A145" s="806" t="str">
        <f>+' TANQUE PATAGONIA'!B33</f>
        <v>6.5</v>
      </c>
      <c r="B145" s="3888" t="s">
        <v>6652</v>
      </c>
      <c r="C145" s="3888"/>
      <c r="D145" s="3888"/>
      <c r="E145" s="3888"/>
      <c r="F145" s="3888"/>
      <c r="G145" s="3888"/>
      <c r="H145" s="3888"/>
      <c r="I145" s="3888"/>
    </row>
    <row r="146" spans="1:9">
      <c r="A146" s="473"/>
      <c r="B146" s="167"/>
      <c r="C146" s="477" t="s">
        <v>140</v>
      </c>
      <c r="D146" s="471" t="s">
        <v>343</v>
      </c>
      <c r="E146" s="368" t="s">
        <v>344</v>
      </c>
      <c r="F146" s="368" t="s">
        <v>482</v>
      </c>
      <c r="G146" s="368" t="s">
        <v>483</v>
      </c>
      <c r="H146" s="368" t="s">
        <v>232</v>
      </c>
      <c r="I146" s="368" t="s">
        <v>171</v>
      </c>
    </row>
    <row r="147" spans="1:9">
      <c r="A147" s="473" t="s">
        <v>256</v>
      </c>
      <c r="B147" s="167" t="s">
        <v>257</v>
      </c>
      <c r="C147" s="168">
        <v>25</v>
      </c>
      <c r="D147" s="2698" t="s">
        <v>346</v>
      </c>
      <c r="E147" s="369">
        <f>+TACOM</f>
        <v>538</v>
      </c>
      <c r="F147" s="369">
        <f>+E147*C147</f>
        <v>13450</v>
      </c>
      <c r="G147" s="369"/>
      <c r="H147" s="369"/>
      <c r="I147" s="369"/>
    </row>
    <row r="148" spans="1:9">
      <c r="A148" s="473" t="s">
        <v>258</v>
      </c>
      <c r="B148" s="846" t="s">
        <v>247</v>
      </c>
      <c r="C148" s="168">
        <v>0.15</v>
      </c>
      <c r="D148" s="2698" t="s">
        <v>717</v>
      </c>
      <c r="E148" s="369">
        <f>+VIBGA</f>
        <v>47000</v>
      </c>
      <c r="F148" s="369">
        <f>+E148*C148</f>
        <v>7050</v>
      </c>
      <c r="G148" s="369"/>
      <c r="H148" s="369"/>
      <c r="I148" s="369"/>
    </row>
    <row r="149" spans="1:9">
      <c r="A149" s="473" t="s">
        <v>172</v>
      </c>
      <c r="B149" s="167" t="s">
        <v>189</v>
      </c>
      <c r="C149" s="168">
        <v>1</v>
      </c>
      <c r="D149" s="2698" t="s">
        <v>583</v>
      </c>
      <c r="E149" s="369">
        <f>+H157*0.05</f>
        <v>7645.5644076800008</v>
      </c>
      <c r="F149" s="369"/>
      <c r="G149" s="369"/>
      <c r="H149" s="369"/>
      <c r="I149" s="369">
        <f>+E149*C149</f>
        <v>7645.5644076800008</v>
      </c>
    </row>
    <row r="150" spans="1:9" s="1918" customFormat="1">
      <c r="A150" s="1319" t="s">
        <v>248</v>
      </c>
      <c r="B150" s="329" t="s">
        <v>6420</v>
      </c>
      <c r="C150" s="2191">
        <v>4</v>
      </c>
      <c r="D150" s="2026" t="s">
        <v>1002</v>
      </c>
      <c r="E150" s="2149">
        <f>+FORMA</f>
        <v>2222.2222222222222</v>
      </c>
      <c r="F150" s="2744"/>
      <c r="G150" s="2149">
        <f>+E150*C150</f>
        <v>8888.8888888888887</v>
      </c>
      <c r="H150" s="2149"/>
      <c r="I150" s="2149"/>
    </row>
    <row r="151" spans="1:9">
      <c r="A151" s="473" t="s">
        <v>250</v>
      </c>
      <c r="B151" s="167" t="s">
        <v>251</v>
      </c>
      <c r="C151" s="168">
        <v>2</v>
      </c>
      <c r="D151" s="2698" t="s">
        <v>647</v>
      </c>
      <c r="E151" s="369">
        <f>+PLAST</f>
        <v>8896</v>
      </c>
      <c r="F151" s="369"/>
      <c r="G151" s="369">
        <f>+E151*C151</f>
        <v>17792</v>
      </c>
      <c r="H151" s="369"/>
      <c r="I151" s="369"/>
    </row>
    <row r="152" spans="1:9">
      <c r="A152" s="473" t="s">
        <v>261</v>
      </c>
      <c r="B152" s="167" t="s">
        <v>262</v>
      </c>
      <c r="C152" s="168">
        <v>4</v>
      </c>
      <c r="D152" s="2698" t="s">
        <v>363</v>
      </c>
      <c r="E152" s="369">
        <f>+TACOR</f>
        <v>3366</v>
      </c>
      <c r="F152" s="369"/>
      <c r="G152" s="369">
        <f>+E152*C152</f>
        <v>13464</v>
      </c>
      <c r="H152" s="369"/>
      <c r="I152" s="369"/>
    </row>
    <row r="153" spans="1:9">
      <c r="A153" s="473" t="s">
        <v>263</v>
      </c>
      <c r="B153" s="167" t="s">
        <v>264</v>
      </c>
      <c r="C153" s="168">
        <v>2</v>
      </c>
      <c r="D153" s="2698" t="s">
        <v>374</v>
      </c>
      <c r="E153" s="369">
        <f>+PUNTI</f>
        <v>1632</v>
      </c>
      <c r="F153" s="369"/>
      <c r="G153" s="369">
        <f>+E153*C153</f>
        <v>3264</v>
      </c>
      <c r="H153" s="369"/>
      <c r="I153" s="369"/>
    </row>
    <row r="154" spans="1:9">
      <c r="A154" s="473" t="s">
        <v>345</v>
      </c>
      <c r="B154" s="167" t="s">
        <v>965</v>
      </c>
      <c r="C154" s="370">
        <f>1/2.5</f>
        <v>0.4</v>
      </c>
      <c r="D154" s="2698" t="s">
        <v>346</v>
      </c>
      <c r="E154" s="369">
        <f>+OFICI</f>
        <v>80479.625344</v>
      </c>
      <c r="F154" s="369"/>
      <c r="G154" s="369"/>
      <c r="H154" s="369">
        <f>+E154*C154</f>
        <v>32191.850137600002</v>
      </c>
      <c r="I154" s="369"/>
    </row>
    <row r="155" spans="1:9">
      <c r="A155" s="473" t="s">
        <v>348</v>
      </c>
      <c r="B155" s="167" t="s">
        <v>966</v>
      </c>
      <c r="C155" s="370">
        <f>1/2.5</f>
        <v>0.4</v>
      </c>
      <c r="D155" s="2698" t="s">
        <v>346</v>
      </c>
      <c r="E155" s="369">
        <f>+AYUDR*6</f>
        <v>301798.59503999999</v>
      </c>
      <c r="F155" s="369"/>
      <c r="G155" s="369"/>
      <c r="H155" s="369">
        <f>+E155*C155</f>
        <v>120719.438016</v>
      </c>
      <c r="I155" s="369"/>
    </row>
    <row r="156" spans="1:9">
      <c r="A156" s="473" t="s">
        <v>302</v>
      </c>
      <c r="B156" s="167" t="s">
        <v>6651</v>
      </c>
      <c r="C156" s="168">
        <v>1.02</v>
      </c>
      <c r="D156" s="2698" t="s">
        <v>356</v>
      </c>
      <c r="E156" s="369">
        <f>+'BASE CTOS'!B121</f>
        <v>469469.49922490004</v>
      </c>
      <c r="F156" s="369"/>
      <c r="G156" s="369">
        <f>+E156*C156</f>
        <v>478858.88920939807</v>
      </c>
      <c r="H156" s="369"/>
      <c r="I156" s="389"/>
    </row>
    <row r="157" spans="1:9">
      <c r="A157" s="827" t="s">
        <v>190</v>
      </c>
      <c r="B157" s="588">
        <f>ROUND(SUM(F157:I157),0)</f>
        <v>703325</v>
      </c>
      <c r="C157" s="168"/>
      <c r="D157" s="2698"/>
      <c r="E157" s="369"/>
      <c r="F157" s="369">
        <f>SUM(F147:F156)</f>
        <v>20500</v>
      </c>
      <c r="G157" s="369">
        <f>SUM(G147:G156)</f>
        <v>522267.77809828694</v>
      </c>
      <c r="H157" s="369">
        <f>SUM(H147:H156)</f>
        <v>152911.28815360001</v>
      </c>
      <c r="I157" s="369">
        <f>SUM(I147:I156)</f>
        <v>7645.5644076800008</v>
      </c>
    </row>
    <row r="158" spans="1:9">
      <c r="A158" s="827" t="s">
        <v>191</v>
      </c>
      <c r="B158" s="39">
        <f>+B157</f>
        <v>703325</v>
      </c>
      <c r="C158" s="828" t="s">
        <v>4185</v>
      </c>
      <c r="D158" s="479"/>
      <c r="E158" s="481"/>
      <c r="F158" s="481"/>
      <c r="G158" s="481"/>
      <c r="H158" s="481"/>
      <c r="I158" s="481"/>
    </row>
    <row r="159" spans="1:9">
      <c r="A159" s="818"/>
      <c r="B159" s="865"/>
      <c r="C159" s="830"/>
      <c r="D159" s="479"/>
      <c r="E159" s="481"/>
      <c r="F159" s="481"/>
      <c r="G159" s="481"/>
      <c r="H159" s="481"/>
      <c r="I159" s="481"/>
    </row>
    <row r="160" spans="1:9">
      <c r="A160" s="834" t="str">
        <f>+' TANQUE PATAGONIA'!B34</f>
        <v>6.6</v>
      </c>
      <c r="B160" s="3871" t="s">
        <v>3874</v>
      </c>
      <c r="C160" s="3871"/>
      <c r="D160" s="3871"/>
      <c r="E160" s="3871"/>
      <c r="F160" s="3871"/>
      <c r="G160" s="3871"/>
      <c r="H160" s="3871"/>
      <c r="I160" s="3871"/>
    </row>
    <row r="161" spans="1:9">
      <c r="A161" s="866"/>
      <c r="B161" s="706"/>
      <c r="C161" s="705" t="s">
        <v>140</v>
      </c>
      <c r="D161" s="705" t="s">
        <v>343</v>
      </c>
      <c r="E161" s="707" t="s">
        <v>344</v>
      </c>
      <c r="F161" s="707" t="s">
        <v>482</v>
      </c>
      <c r="G161" s="707" t="s">
        <v>483</v>
      </c>
      <c r="H161" s="707" t="s">
        <v>232</v>
      </c>
      <c r="I161" s="707" t="s">
        <v>171</v>
      </c>
    </row>
    <row r="162" spans="1:9">
      <c r="A162" s="709" t="s">
        <v>172</v>
      </c>
      <c r="B162" s="696" t="s">
        <v>189</v>
      </c>
      <c r="C162" s="346">
        <v>1</v>
      </c>
      <c r="D162" s="160" t="s">
        <v>583</v>
      </c>
      <c r="E162" s="65">
        <f>+H170*0.05</f>
        <v>7645.5644076800008</v>
      </c>
      <c r="F162" s="65"/>
      <c r="G162" s="65"/>
      <c r="H162" s="65"/>
      <c r="I162" s="65">
        <f>+E162*C162</f>
        <v>7645.5644076800008</v>
      </c>
    </row>
    <row r="163" spans="1:9">
      <c r="A163" s="709" t="s">
        <v>669</v>
      </c>
      <c r="B163" s="696" t="s">
        <v>670</v>
      </c>
      <c r="C163" s="346">
        <v>6</v>
      </c>
      <c r="D163" s="160" t="s">
        <v>1002</v>
      </c>
      <c r="E163" s="65">
        <f>+FORMA</f>
        <v>2222.2222222222222</v>
      </c>
      <c r="F163" s="65"/>
      <c r="G163" s="65">
        <f>+E163*C163</f>
        <v>13333.333333333332</v>
      </c>
      <c r="H163" s="65"/>
      <c r="I163" s="65"/>
    </row>
    <row r="164" spans="1:9">
      <c r="A164" s="473" t="s">
        <v>261</v>
      </c>
      <c r="B164" s="167" t="s">
        <v>262</v>
      </c>
      <c r="C164" s="168">
        <v>4</v>
      </c>
      <c r="D164" s="2698" t="s">
        <v>363</v>
      </c>
      <c r="E164" s="369">
        <f>+TACOR</f>
        <v>3366</v>
      </c>
      <c r="F164" s="369"/>
      <c r="G164" s="369">
        <f>+E164*C164</f>
        <v>13464</v>
      </c>
      <c r="H164" s="369"/>
      <c r="I164" s="369"/>
    </row>
    <row r="165" spans="1:9">
      <c r="A165" s="473" t="s">
        <v>258</v>
      </c>
      <c r="B165" s="846" t="s">
        <v>247</v>
      </c>
      <c r="C165" s="370">
        <v>0.125</v>
      </c>
      <c r="D165" s="2695" t="s">
        <v>717</v>
      </c>
      <c r="E165" s="65">
        <f>+VIBGA</f>
        <v>47000</v>
      </c>
      <c r="F165" s="65">
        <f>+E165*C165</f>
        <v>5875</v>
      </c>
      <c r="G165" s="65"/>
      <c r="H165" s="65"/>
      <c r="I165" s="65"/>
    </row>
    <row r="166" spans="1:9">
      <c r="A166" s="709" t="s">
        <v>345</v>
      </c>
      <c r="B166" s="696" t="s">
        <v>965</v>
      </c>
      <c r="C166" s="370">
        <f>1/2.5</f>
        <v>0.4</v>
      </c>
      <c r="D166" s="160" t="s">
        <v>346</v>
      </c>
      <c r="E166" s="65">
        <f>+OFICI</f>
        <v>80479.625344</v>
      </c>
      <c r="F166" s="65"/>
      <c r="G166" s="65"/>
      <c r="H166" s="65">
        <f>+E166*C166</f>
        <v>32191.850137600002</v>
      </c>
      <c r="I166" s="65"/>
    </row>
    <row r="167" spans="1:9">
      <c r="A167" s="709" t="s">
        <v>348</v>
      </c>
      <c r="B167" s="696" t="s">
        <v>966</v>
      </c>
      <c r="C167" s="370">
        <f>1/2.5</f>
        <v>0.4</v>
      </c>
      <c r="D167" s="160" t="s">
        <v>346</v>
      </c>
      <c r="E167" s="65">
        <f>+AYUDR*6</f>
        <v>301798.59503999999</v>
      </c>
      <c r="F167" s="65"/>
      <c r="G167" s="65"/>
      <c r="H167" s="65">
        <f>+E167*C167</f>
        <v>120719.438016</v>
      </c>
      <c r="I167" s="65"/>
    </row>
    <row r="168" spans="1:9">
      <c r="A168" s="473" t="s">
        <v>250</v>
      </c>
      <c r="B168" s="167" t="s">
        <v>251</v>
      </c>
      <c r="C168" s="168">
        <v>2</v>
      </c>
      <c r="D168" s="2698" t="s">
        <v>647</v>
      </c>
      <c r="E168" s="369">
        <f>+PLAST</f>
        <v>8896</v>
      </c>
      <c r="F168" s="65"/>
      <c r="G168" s="65">
        <f>+E168*C168</f>
        <v>17792</v>
      </c>
      <c r="H168" s="65"/>
      <c r="I168" s="65"/>
    </row>
    <row r="169" spans="1:9">
      <c r="A169" s="709" t="s">
        <v>302</v>
      </c>
      <c r="B169" s="179" t="s">
        <v>6654</v>
      </c>
      <c r="C169" s="370">
        <v>1.1000000000000001</v>
      </c>
      <c r="D169" s="2695" t="s">
        <v>356</v>
      </c>
      <c r="E169" s="65">
        <f>+'BASE CTOS'!B121</f>
        <v>469469.49922490004</v>
      </c>
      <c r="F169" s="65"/>
      <c r="G169" s="65">
        <f>+E169*C169</f>
        <v>516416.44914739009</v>
      </c>
      <c r="H169" s="65"/>
      <c r="I169" s="65"/>
    </row>
    <row r="170" spans="1:9">
      <c r="A170" s="812" t="s">
        <v>190</v>
      </c>
      <c r="B170" s="39">
        <f>SUM(F170:I170)</f>
        <v>727437.63504200336</v>
      </c>
      <c r="C170" s="34"/>
      <c r="D170" s="169"/>
      <c r="E170" s="65"/>
      <c r="F170" s="65">
        <f>SUM(F161:F169)</f>
        <v>5875</v>
      </c>
      <c r="G170" s="65">
        <f>SUM(G161:G169)</f>
        <v>561005.78248072346</v>
      </c>
      <c r="H170" s="65">
        <f>SUM(H161:H169)</f>
        <v>152911.28815360001</v>
      </c>
      <c r="I170" s="65">
        <f>SUM(I161:I169)</f>
        <v>7645.5644076800008</v>
      </c>
    </row>
    <row r="171" spans="1:9">
      <c r="A171" s="812" t="s">
        <v>191</v>
      </c>
      <c r="B171" s="39">
        <f>+B170</f>
        <v>727437.63504200336</v>
      </c>
      <c r="C171" s="21" t="s">
        <v>356</v>
      </c>
      <c r="D171" s="13"/>
      <c r="E171" s="170"/>
      <c r="F171" s="170"/>
      <c r="G171" s="170"/>
      <c r="H171" s="170"/>
      <c r="I171" s="170"/>
    </row>
    <row r="172" spans="1:9">
      <c r="A172" s="376"/>
      <c r="B172" s="578"/>
      <c r="C172" s="816"/>
      <c r="D172" s="816"/>
      <c r="E172" s="867"/>
      <c r="F172" s="867"/>
      <c r="G172" s="867"/>
      <c r="H172" s="867"/>
      <c r="I172" s="867"/>
    </row>
    <row r="173" spans="1:9">
      <c r="A173" s="834" t="str">
        <f>+' TANQUE PATAGONIA'!B35</f>
        <v>6.7</v>
      </c>
      <c r="B173" s="3871" t="s">
        <v>6656</v>
      </c>
      <c r="C173" s="3871"/>
      <c r="D173" s="3871"/>
      <c r="E173" s="3871"/>
      <c r="F173" s="3871"/>
      <c r="G173" s="3871"/>
      <c r="H173" s="3871"/>
      <c r="I173" s="3871"/>
    </row>
    <row r="174" spans="1:9">
      <c r="A174" s="866"/>
      <c r="B174" s="706"/>
      <c r="C174" s="705" t="s">
        <v>140</v>
      </c>
      <c r="D174" s="705" t="s">
        <v>343</v>
      </c>
      <c r="E174" s="707" t="s">
        <v>344</v>
      </c>
      <c r="F174" s="707" t="s">
        <v>482</v>
      </c>
      <c r="G174" s="707" t="s">
        <v>483</v>
      </c>
      <c r="H174" s="707" t="s">
        <v>170</v>
      </c>
      <c r="I174" s="707" t="s">
        <v>171</v>
      </c>
    </row>
    <row r="175" spans="1:9">
      <c r="A175" s="709" t="s">
        <v>172</v>
      </c>
      <c r="B175" s="696" t="s">
        <v>189</v>
      </c>
      <c r="C175" s="346">
        <v>1</v>
      </c>
      <c r="D175" s="160" t="s">
        <v>583</v>
      </c>
      <c r="E175" s="65">
        <f>+H182*0.05</f>
        <v>1508.9929752</v>
      </c>
      <c r="F175" s="65"/>
      <c r="G175" s="65"/>
      <c r="H175" s="65"/>
      <c r="I175" s="65">
        <f>+E175*C175</f>
        <v>1508.9929752</v>
      </c>
    </row>
    <row r="176" spans="1:9">
      <c r="A176" s="709" t="s">
        <v>4186</v>
      </c>
      <c r="B176" s="696" t="s">
        <v>92</v>
      </c>
      <c r="C176" s="346">
        <v>1</v>
      </c>
      <c r="D176" s="160" t="s">
        <v>363</v>
      </c>
      <c r="E176" s="65">
        <v>170000</v>
      </c>
      <c r="F176" s="65"/>
      <c r="G176" s="65">
        <f>+E176*C176</f>
        <v>170000</v>
      </c>
      <c r="H176" s="65"/>
      <c r="I176" s="65"/>
    </row>
    <row r="177" spans="1:11">
      <c r="A177" s="709" t="s">
        <v>669</v>
      </c>
      <c r="B177" s="696" t="s">
        <v>670</v>
      </c>
      <c r="C177" s="346">
        <v>7</v>
      </c>
      <c r="D177" s="160" t="s">
        <v>1002</v>
      </c>
      <c r="E177" s="65">
        <f>+FORMA</f>
        <v>2222.2222222222222</v>
      </c>
      <c r="F177" s="65"/>
      <c r="G177" s="65">
        <f>+E177*C177</f>
        <v>15555.555555555555</v>
      </c>
      <c r="H177" s="65"/>
      <c r="I177" s="65"/>
    </row>
    <row r="178" spans="1:11" s="402" customFormat="1" ht="15" customHeight="1">
      <c r="A178" s="1261" t="s">
        <v>345</v>
      </c>
      <c r="B178" s="696" t="s">
        <v>965</v>
      </c>
      <c r="C178" s="346">
        <f>1/6</f>
        <v>0.16666666666666666</v>
      </c>
      <c r="D178" s="160" t="s">
        <v>346</v>
      </c>
      <c r="E178" s="65">
        <f>+OFICI</f>
        <v>80479.625344</v>
      </c>
      <c r="F178" s="1412"/>
      <c r="G178" s="1412"/>
      <c r="H178" s="65">
        <f>+E178*C178</f>
        <v>13413.270890666667</v>
      </c>
      <c r="I178" s="1412"/>
      <c r="K178" s="402">
        <f>1/C178</f>
        <v>6</v>
      </c>
    </row>
    <row r="179" spans="1:11">
      <c r="A179" s="709" t="s">
        <v>348</v>
      </c>
      <c r="B179" s="696" t="s">
        <v>966</v>
      </c>
      <c r="C179" s="346">
        <f>1/6</f>
        <v>0.16666666666666666</v>
      </c>
      <c r="D179" s="160" t="s">
        <v>346</v>
      </c>
      <c r="E179" s="65">
        <f>+AYUDR*2</f>
        <v>100599.53168</v>
      </c>
      <c r="F179" s="65"/>
      <c r="G179" s="65"/>
      <c r="H179" s="65">
        <f>+E179*C179</f>
        <v>16766.588613333333</v>
      </c>
      <c r="I179" s="65"/>
    </row>
    <row r="180" spans="1:11">
      <c r="A180" s="709" t="s">
        <v>671</v>
      </c>
      <c r="B180" s="696" t="s">
        <v>18</v>
      </c>
      <c r="C180" s="346">
        <f>(0.1*4*1.5*2)*1.1</f>
        <v>1.3200000000000003</v>
      </c>
      <c r="D180" s="160" t="s">
        <v>356</v>
      </c>
      <c r="E180" s="65">
        <f>+'BASE CTOS'!B107</f>
        <v>419022.54922489997</v>
      </c>
      <c r="F180" s="65"/>
      <c r="G180" s="65">
        <f>+E180*C180</f>
        <v>553109.76497686806</v>
      </c>
      <c r="H180" s="65"/>
      <c r="I180" s="65"/>
    </row>
    <row r="181" spans="1:11" s="1260" customFormat="1" ht="15" customHeight="1">
      <c r="A181" s="1261" t="s">
        <v>867</v>
      </c>
      <c r="B181" s="696" t="s">
        <v>637</v>
      </c>
      <c r="C181" s="775">
        <v>70.900000000000006</v>
      </c>
      <c r="D181" s="160" t="s">
        <v>426</v>
      </c>
      <c r="E181" s="65">
        <f>+A60FI</f>
        <v>3200</v>
      </c>
      <c r="F181" s="1814"/>
      <c r="G181" s="65">
        <f>+E181*C181</f>
        <v>226880.00000000003</v>
      </c>
      <c r="H181" s="1814"/>
      <c r="I181" s="1814"/>
    </row>
    <row r="182" spans="1:11">
      <c r="A182" s="812" t="s">
        <v>190</v>
      </c>
      <c r="B182" s="39">
        <f>SUM(F182:I182)</f>
        <v>997234.17301162367</v>
      </c>
      <c r="C182" s="34"/>
      <c r="D182" s="169"/>
      <c r="E182" s="65"/>
      <c r="F182" s="65">
        <f>SUM(F174:F181)</f>
        <v>0</v>
      </c>
      <c r="G182" s="65">
        <f>SUM(G175:G181)</f>
        <v>965545.32053242368</v>
      </c>
      <c r="H182" s="65">
        <f t="shared" ref="H182:I182" si="0">SUM(H175:H181)</f>
        <v>30179.859504</v>
      </c>
      <c r="I182" s="65">
        <f t="shared" si="0"/>
        <v>1508.9929752</v>
      </c>
    </row>
    <row r="183" spans="1:11">
      <c r="A183" s="812" t="s">
        <v>191</v>
      </c>
      <c r="B183" s="39">
        <f>+B182</f>
        <v>997234.17301162367</v>
      </c>
      <c r="C183" s="21" t="s">
        <v>363</v>
      </c>
      <c r="D183" s="13"/>
      <c r="E183" s="170"/>
      <c r="F183" s="170"/>
      <c r="G183" s="170"/>
      <c r="H183" s="170"/>
      <c r="I183" s="170"/>
    </row>
    <row r="184" spans="1:11">
      <c r="A184" s="376"/>
      <c r="B184" s="578"/>
      <c r="C184" s="816"/>
      <c r="D184" s="816"/>
      <c r="E184" s="867"/>
      <c r="F184" s="867"/>
      <c r="G184" s="867"/>
      <c r="H184" s="867"/>
      <c r="I184" s="867"/>
    </row>
    <row r="185" spans="1:11">
      <c r="A185" s="3971" t="s">
        <v>8215</v>
      </c>
      <c r="B185" s="3972"/>
      <c r="C185" s="3972"/>
      <c r="D185" s="3972"/>
      <c r="E185" s="3972"/>
      <c r="F185" s="3972"/>
      <c r="G185" s="3972"/>
      <c r="H185" s="3972"/>
      <c r="I185" s="3973"/>
    </row>
    <row r="186" spans="1:11">
      <c r="A186" s="376"/>
      <c r="B186" s="578"/>
      <c r="C186" s="816"/>
      <c r="D186" s="816"/>
      <c r="E186" s="867"/>
      <c r="F186" s="867"/>
      <c r="G186" s="867"/>
      <c r="H186" s="867"/>
      <c r="I186" s="867"/>
    </row>
    <row r="187" spans="1:11">
      <c r="A187" s="839" t="str">
        <f>+' TANQUE PATAGONIA'!B39</f>
        <v>8.1</v>
      </c>
      <c r="B187" s="3974" t="s">
        <v>7942</v>
      </c>
      <c r="C187" s="3975"/>
      <c r="D187" s="3975"/>
      <c r="E187" s="3975"/>
      <c r="F187" s="3975"/>
      <c r="G187" s="3975"/>
      <c r="H187" s="3975"/>
      <c r="I187" s="3976"/>
    </row>
    <row r="188" spans="1:11">
      <c r="A188" s="840"/>
      <c r="B188" s="868"/>
      <c r="C188" s="831" t="s">
        <v>140</v>
      </c>
      <c r="D188" s="831" t="s">
        <v>343</v>
      </c>
      <c r="E188" s="835" t="s">
        <v>344</v>
      </c>
      <c r="F188" s="835" t="s">
        <v>482</v>
      </c>
      <c r="G188" s="835" t="s">
        <v>483</v>
      </c>
      <c r="H188" s="835" t="s">
        <v>232</v>
      </c>
      <c r="I188" s="835" t="s">
        <v>171</v>
      </c>
    </row>
    <row r="189" spans="1:11">
      <c r="A189" s="840" t="s">
        <v>431</v>
      </c>
      <c r="B189" s="851" t="s">
        <v>7942</v>
      </c>
      <c r="C189" s="346">
        <v>1</v>
      </c>
      <c r="D189" s="841" t="s">
        <v>45</v>
      </c>
      <c r="E189" s="796">
        <f>+'BASE 2'!D684</f>
        <v>43633.333333333372</v>
      </c>
      <c r="F189" s="835"/>
      <c r="G189" s="835">
        <f>+E189*C189</f>
        <v>43633.333333333372</v>
      </c>
      <c r="H189" s="835"/>
      <c r="I189" s="835"/>
    </row>
    <row r="190" spans="1:11" s="1918" customFormat="1">
      <c r="A190" s="1319"/>
      <c r="B190" s="1320" t="s">
        <v>4727</v>
      </c>
      <c r="C190" s="1919">
        <v>1E-4</v>
      </c>
      <c r="D190" s="1921" t="s">
        <v>583</v>
      </c>
      <c r="E190" s="1324">
        <f>+VIAJE</f>
        <v>1200000</v>
      </c>
      <c r="F190" s="1324"/>
      <c r="G190" s="1324"/>
      <c r="H190" s="1324"/>
      <c r="I190" s="2175">
        <f>+E190*C190</f>
        <v>120</v>
      </c>
    </row>
    <row r="191" spans="1:11">
      <c r="A191" s="800" t="s">
        <v>190</v>
      </c>
      <c r="B191" s="801">
        <f>SUM(F191:I191)</f>
        <v>43753.333333333372</v>
      </c>
      <c r="C191" s="794"/>
      <c r="D191" s="842"/>
      <c r="E191" s="835"/>
      <c r="F191" s="835">
        <f>SUM(F189:F190)</f>
        <v>0</v>
      </c>
      <c r="G191" s="835">
        <f>SUM(G189:G190)</f>
        <v>43633.333333333372</v>
      </c>
      <c r="H191" s="835">
        <f t="shared" ref="H191:I191" si="1">SUM(H189:H190)</f>
        <v>0</v>
      </c>
      <c r="I191" s="835">
        <f t="shared" si="1"/>
        <v>120</v>
      </c>
    </row>
    <row r="192" spans="1:11">
      <c r="A192" s="800" t="s">
        <v>191</v>
      </c>
      <c r="B192" s="2790">
        <f>+B191</f>
        <v>43753.333333333372</v>
      </c>
      <c r="C192" s="802" t="s">
        <v>363</v>
      </c>
      <c r="D192" s="789"/>
      <c r="E192" s="790"/>
      <c r="F192" s="790"/>
      <c r="G192" s="790"/>
      <c r="H192" s="790"/>
      <c r="I192" s="790"/>
    </row>
    <row r="194" spans="1:11">
      <c r="A194" s="3971" t="s">
        <v>8216</v>
      </c>
      <c r="B194" s="3972"/>
      <c r="C194" s="3972"/>
      <c r="D194" s="3972"/>
      <c r="E194" s="3972"/>
      <c r="F194" s="3972"/>
      <c r="G194" s="3972"/>
      <c r="H194" s="3972"/>
      <c r="I194" s="3973"/>
    </row>
    <row r="196" spans="1:11">
      <c r="A196" s="834" t="str">
        <f>+' TANQUE PATAGONIA'!B41</f>
        <v>9.1</v>
      </c>
      <c r="B196" s="3558" t="s">
        <v>4117</v>
      </c>
      <c r="C196" s="3558"/>
      <c r="D196" s="3558"/>
      <c r="E196" s="3558"/>
      <c r="F196" s="3558"/>
      <c r="G196" s="3558"/>
      <c r="H196" s="3558"/>
      <c r="I196" s="3558"/>
    </row>
    <row r="197" spans="1:11">
      <c r="A197" s="709"/>
      <c r="B197" s="179"/>
      <c r="C197" s="2695" t="s">
        <v>140</v>
      </c>
      <c r="D197" s="2695" t="s">
        <v>343</v>
      </c>
      <c r="E197" s="65" t="s">
        <v>344</v>
      </c>
      <c r="F197" s="65" t="s">
        <v>482</v>
      </c>
      <c r="G197" s="65" t="s">
        <v>483</v>
      </c>
      <c r="H197" s="65" t="s">
        <v>170</v>
      </c>
      <c r="I197" s="65" t="s">
        <v>171</v>
      </c>
    </row>
    <row r="198" spans="1:11">
      <c r="A198" s="709" t="s">
        <v>971</v>
      </c>
      <c r="B198" s="741" t="s">
        <v>7941</v>
      </c>
      <c r="C198" s="2695">
        <v>1</v>
      </c>
      <c r="D198" s="2695" t="s">
        <v>94</v>
      </c>
      <c r="E198" s="585">
        <v>34000</v>
      </c>
      <c r="F198" s="65"/>
      <c r="G198" s="65">
        <f>+E198*C198</f>
        <v>34000</v>
      </c>
      <c r="H198" s="65"/>
      <c r="I198" s="65"/>
    </row>
    <row r="199" spans="1:11" ht="17.399999999999999">
      <c r="A199" s="709"/>
      <c r="B199" s="741" t="s">
        <v>332</v>
      </c>
      <c r="C199" s="2695">
        <v>2</v>
      </c>
      <c r="D199" s="2695" t="s">
        <v>1125</v>
      </c>
      <c r="E199" s="65">
        <v>6005</v>
      </c>
      <c r="F199" s="65"/>
      <c r="G199" s="65">
        <f>+C199*E199</f>
        <v>12010</v>
      </c>
      <c r="H199" s="65"/>
      <c r="I199" s="65"/>
    </row>
    <row r="200" spans="1:11">
      <c r="A200" s="709" t="s">
        <v>172</v>
      </c>
      <c r="B200" s="179" t="s">
        <v>189</v>
      </c>
      <c r="C200" s="709">
        <v>1</v>
      </c>
      <c r="D200" s="2695" t="s">
        <v>583</v>
      </c>
      <c r="E200" s="65">
        <f>+H205*0.05</f>
        <v>413.17664797142857</v>
      </c>
      <c r="F200" s="65"/>
      <c r="G200" s="65"/>
      <c r="H200" s="65"/>
      <c r="I200" s="65">
        <f>+E200*C200</f>
        <v>413.17664797142857</v>
      </c>
    </row>
    <row r="201" spans="1:11">
      <c r="A201" s="709" t="s">
        <v>366</v>
      </c>
      <c r="B201" s="179" t="s">
        <v>367</v>
      </c>
      <c r="C201" s="709">
        <v>0.2</v>
      </c>
      <c r="D201" s="2695" t="s">
        <v>356</v>
      </c>
      <c r="E201" s="65">
        <f>+TRITU</f>
        <v>85000</v>
      </c>
      <c r="F201" s="65"/>
      <c r="G201" s="65">
        <f>+E201*C201</f>
        <v>17000</v>
      </c>
      <c r="H201" s="65"/>
      <c r="I201" s="65"/>
    </row>
    <row r="202" spans="1:11">
      <c r="A202" s="709" t="s">
        <v>137</v>
      </c>
      <c r="B202" s="179" t="s">
        <v>582</v>
      </c>
      <c r="C202" s="346">
        <v>1</v>
      </c>
      <c r="D202" s="2695" t="s">
        <v>583</v>
      </c>
      <c r="E202" s="65">
        <f>+TRANAG</f>
        <v>30600</v>
      </c>
      <c r="F202" s="65"/>
      <c r="G202" s="65"/>
      <c r="H202" s="65"/>
      <c r="I202" s="65">
        <f>+E202*C202</f>
        <v>30600</v>
      </c>
    </row>
    <row r="203" spans="1:11">
      <c r="A203" s="709" t="s">
        <v>347</v>
      </c>
      <c r="B203" s="179" t="s">
        <v>266</v>
      </c>
      <c r="C203" s="346">
        <f>1/14</f>
        <v>7.1428571428571425E-2</v>
      </c>
      <c r="D203" s="2695" t="s">
        <v>346</v>
      </c>
      <c r="E203" s="65">
        <f>+AYUDA</f>
        <v>65389.695592000004</v>
      </c>
      <c r="F203" s="65"/>
      <c r="G203" s="65"/>
      <c r="H203" s="65">
        <f>+E203*C203</f>
        <v>4670.6925422857139</v>
      </c>
      <c r="I203" s="65"/>
      <c r="K203" s="492">
        <f>1/C203</f>
        <v>14</v>
      </c>
    </row>
    <row r="204" spans="1:11">
      <c r="A204" s="709" t="s">
        <v>348</v>
      </c>
      <c r="B204" s="179" t="s">
        <v>966</v>
      </c>
      <c r="C204" s="346">
        <f>1/14</f>
        <v>7.1428571428571425E-2</v>
      </c>
      <c r="D204" s="2695" t="s">
        <v>346</v>
      </c>
      <c r="E204" s="65">
        <f>+AYUDR</f>
        <v>50299.76584</v>
      </c>
      <c r="F204" s="65"/>
      <c r="G204" s="65"/>
      <c r="H204" s="65">
        <f>+E204*C204</f>
        <v>3592.8404171428569</v>
      </c>
      <c r="I204" s="65"/>
    </row>
    <row r="205" spans="1:11">
      <c r="A205" s="827" t="s">
        <v>190</v>
      </c>
      <c r="B205" s="588">
        <f>SUM(F205:I205)</f>
        <v>102286.7096074</v>
      </c>
      <c r="C205" s="160"/>
      <c r="D205" s="2695"/>
      <c r="E205" s="65"/>
      <c r="F205" s="65">
        <f>+SUM(F200:F204)</f>
        <v>0</v>
      </c>
      <c r="G205" s="65">
        <f>+SUM(G198:G204)</f>
        <v>63010</v>
      </c>
      <c r="H205" s="65">
        <f>+SUM(H198:H204)</f>
        <v>8263.5329594285704</v>
      </c>
      <c r="I205" s="65">
        <f>+SUM(I198:I204)</f>
        <v>31013.176647971428</v>
      </c>
    </row>
    <row r="206" spans="1:11">
      <c r="A206" s="827" t="s">
        <v>191</v>
      </c>
      <c r="B206" s="39">
        <f>+B205</f>
        <v>102286.7096074</v>
      </c>
      <c r="C206" s="688" t="s">
        <v>94</v>
      </c>
      <c r="D206" s="178"/>
      <c r="E206" s="685"/>
      <c r="F206" s="685"/>
      <c r="G206" s="685"/>
      <c r="H206" s="685"/>
      <c r="I206" s="685"/>
    </row>
    <row r="207" spans="1:11">
      <c r="A207" s="869"/>
      <c r="B207" s="870"/>
      <c r="C207" s="871"/>
      <c r="D207" s="871"/>
      <c r="E207" s="66"/>
      <c r="F207" s="66"/>
      <c r="G207" s="66"/>
      <c r="H207" s="66"/>
      <c r="I207" s="66"/>
    </row>
    <row r="208" spans="1:11">
      <c r="A208" s="3971" t="s">
        <v>8220</v>
      </c>
      <c r="B208" s="3972"/>
      <c r="C208" s="3972"/>
      <c r="D208" s="3972"/>
      <c r="E208" s="3972"/>
      <c r="F208" s="3972"/>
      <c r="G208" s="3972"/>
      <c r="H208" s="3972"/>
      <c r="I208" s="3973"/>
    </row>
    <row r="209" spans="1:11">
      <c r="A209" s="869"/>
      <c r="B209" s="870"/>
      <c r="C209" s="871"/>
      <c r="D209" s="871"/>
      <c r="E209" s="66"/>
      <c r="F209" s="66"/>
      <c r="G209" s="66"/>
      <c r="H209" s="66"/>
      <c r="I209" s="66"/>
    </row>
    <row r="210" spans="1:11">
      <c r="A210" s="834" t="str">
        <f>+' TANQUE PATAGONIA'!B46</f>
        <v xml:space="preserve">11.1 </v>
      </c>
      <c r="B210" s="3558" t="s">
        <v>6662</v>
      </c>
      <c r="C210" s="3558"/>
      <c r="D210" s="3558"/>
      <c r="E210" s="3558"/>
      <c r="F210" s="3558"/>
      <c r="G210" s="3558"/>
      <c r="H210" s="3558"/>
      <c r="I210" s="3558"/>
    </row>
    <row r="211" spans="1:11">
      <c r="A211" s="809"/>
      <c r="B211" s="474"/>
      <c r="C211" s="876" t="s">
        <v>140</v>
      </c>
      <c r="D211" s="876" t="s">
        <v>343</v>
      </c>
      <c r="E211" s="876" t="s">
        <v>344</v>
      </c>
      <c r="F211" s="876" t="s">
        <v>482</v>
      </c>
      <c r="G211" s="876" t="s">
        <v>483</v>
      </c>
      <c r="H211" s="876" t="s">
        <v>232</v>
      </c>
      <c r="I211" s="876" t="s">
        <v>171</v>
      </c>
    </row>
    <row r="212" spans="1:11">
      <c r="A212" s="473" t="s">
        <v>345</v>
      </c>
      <c r="B212" s="696" t="s">
        <v>965</v>
      </c>
      <c r="C212" s="451">
        <v>2.5000000000000001E-2</v>
      </c>
      <c r="D212" s="487" t="s">
        <v>346</v>
      </c>
      <c r="E212" s="780">
        <f>+OFICI</f>
        <v>80479.625344</v>
      </c>
      <c r="F212" s="780"/>
      <c r="G212" s="780"/>
      <c r="H212" s="780">
        <f>+E212*C212</f>
        <v>2011.9906336000001</v>
      </c>
      <c r="I212" s="780"/>
      <c r="K212" s="492">
        <f>1/C212</f>
        <v>40</v>
      </c>
    </row>
    <row r="213" spans="1:11">
      <c r="A213" s="473" t="s">
        <v>347</v>
      </c>
      <c r="B213" s="696" t="s">
        <v>266</v>
      </c>
      <c r="C213" s="451">
        <v>2.5000000000000001E-2</v>
      </c>
      <c r="D213" s="487" t="s">
        <v>346</v>
      </c>
      <c r="E213" s="780">
        <f>+AYUDA</f>
        <v>65389.695592000004</v>
      </c>
      <c r="F213" s="780"/>
      <c r="G213" s="780"/>
      <c r="H213" s="780">
        <f>+E213*C213</f>
        <v>1634.7423898000002</v>
      </c>
      <c r="I213" s="780"/>
    </row>
    <row r="214" spans="1:11">
      <c r="A214" s="473" t="s">
        <v>172</v>
      </c>
      <c r="B214" s="779" t="s">
        <v>189</v>
      </c>
      <c r="C214" s="451">
        <v>1</v>
      </c>
      <c r="D214" s="487" t="s">
        <v>583</v>
      </c>
      <c r="E214" s="780">
        <f>+H215*0.05</f>
        <v>182.33665117000001</v>
      </c>
      <c r="F214" s="780"/>
      <c r="G214" s="780"/>
      <c r="H214" s="780"/>
      <c r="I214" s="780">
        <f>+E214*C214</f>
        <v>182.33665117000001</v>
      </c>
    </row>
    <row r="215" spans="1:11">
      <c r="A215" s="827" t="s">
        <v>190</v>
      </c>
      <c r="B215" s="588">
        <f>ROUND(SUM(F215:I215),0)</f>
        <v>3829</v>
      </c>
      <c r="C215" s="487"/>
      <c r="D215" s="371"/>
      <c r="E215" s="780"/>
      <c r="F215" s="780">
        <f>SUM(F211:F214)</f>
        <v>0</v>
      </c>
      <c r="G215" s="780">
        <f>SUM(G211:G214)</f>
        <v>0</v>
      </c>
      <c r="H215" s="780">
        <f>SUM(H211:H214)</f>
        <v>3646.7330234000001</v>
      </c>
      <c r="I215" s="780">
        <f>SUM(I211:I214)</f>
        <v>182.33665117000001</v>
      </c>
    </row>
    <row r="216" spans="1:11">
      <c r="A216" s="827" t="s">
        <v>191</v>
      </c>
      <c r="B216" s="39">
        <f>+B215</f>
        <v>3829</v>
      </c>
      <c r="C216" s="770" t="s">
        <v>94</v>
      </c>
      <c r="D216" s="73"/>
      <c r="E216" s="73">
        <f>+B223*0.15</f>
        <v>5726.25</v>
      </c>
      <c r="F216" s="73"/>
      <c r="G216" s="73"/>
      <c r="H216" s="73"/>
      <c r="I216" s="73"/>
    </row>
    <row r="217" spans="1:11">
      <c r="A217" s="283"/>
      <c r="B217" s="679"/>
      <c r="C217" s="765"/>
      <c r="D217" s="13"/>
      <c r="E217" s="13"/>
      <c r="F217" s="13"/>
      <c r="G217" s="13"/>
      <c r="H217" s="13"/>
      <c r="I217" s="13"/>
    </row>
    <row r="218" spans="1:11">
      <c r="A218" s="2143" t="str">
        <f>+' TANQUE PATAGONIA'!B61</f>
        <v>14.1</v>
      </c>
      <c r="B218" s="3966" t="s">
        <v>4190</v>
      </c>
      <c r="C218" s="3966"/>
      <c r="D218" s="3966"/>
      <c r="E218" s="3966"/>
      <c r="F218" s="3966"/>
      <c r="G218" s="3966"/>
      <c r="H218" s="3966"/>
      <c r="I218" s="3966"/>
    </row>
    <row r="219" spans="1:11">
      <c r="A219" s="809"/>
      <c r="B219" s="474"/>
      <c r="C219" s="876" t="s">
        <v>140</v>
      </c>
      <c r="D219" s="876" t="s">
        <v>343</v>
      </c>
      <c r="E219" s="876" t="s">
        <v>344</v>
      </c>
      <c r="F219" s="876" t="s">
        <v>482</v>
      </c>
      <c r="G219" s="876" t="s">
        <v>483</v>
      </c>
      <c r="H219" s="876" t="s">
        <v>232</v>
      </c>
      <c r="I219" s="876" t="s">
        <v>171</v>
      </c>
    </row>
    <row r="220" spans="1:11">
      <c r="A220" s="473" t="s">
        <v>972</v>
      </c>
      <c r="B220" s="779" t="s">
        <v>1477</v>
      </c>
      <c r="C220" s="451">
        <v>1.05</v>
      </c>
      <c r="D220" s="487" t="s">
        <v>94</v>
      </c>
      <c r="E220" s="2791">
        <f>+'BASE 2'!D191</f>
        <v>31786.09</v>
      </c>
      <c r="F220" s="780"/>
      <c r="G220" s="780">
        <f>+E220*C220</f>
        <v>33375.394500000002</v>
      </c>
      <c r="H220" s="780"/>
      <c r="I220" s="780"/>
    </row>
    <row r="221" spans="1:11">
      <c r="A221" s="473" t="s">
        <v>584</v>
      </c>
      <c r="B221" s="779" t="s">
        <v>134</v>
      </c>
      <c r="C221" s="451">
        <v>4.0000000000000001E-3</v>
      </c>
      <c r="D221" s="487" t="s">
        <v>583</v>
      </c>
      <c r="E221" s="780">
        <f>+VIAJE</f>
        <v>1200000</v>
      </c>
      <c r="F221" s="780"/>
      <c r="G221" s="780"/>
      <c r="H221" s="780"/>
      <c r="I221" s="780">
        <f>+E221*C221</f>
        <v>4800</v>
      </c>
    </row>
    <row r="222" spans="1:11">
      <c r="A222" s="827" t="s">
        <v>190</v>
      </c>
      <c r="B222" s="588">
        <f>ROUND(SUM(F222:I222),0)</f>
        <v>38175</v>
      </c>
      <c r="C222" s="487"/>
      <c r="D222" s="371"/>
      <c r="E222" s="780"/>
      <c r="F222" s="780">
        <f>SUM(F219:F221)</f>
        <v>0</v>
      </c>
      <c r="G222" s="780">
        <f>SUM(G219:G221)</f>
        <v>33375.394500000002</v>
      </c>
      <c r="H222" s="780">
        <f>SUM(H219:H221)</f>
        <v>0</v>
      </c>
      <c r="I222" s="780">
        <f>SUM(I219:I221)</f>
        <v>4800</v>
      </c>
    </row>
    <row r="223" spans="1:11">
      <c r="A223" s="827" t="s">
        <v>191</v>
      </c>
      <c r="B223" s="39">
        <f>+B222</f>
        <v>38175</v>
      </c>
      <c r="C223" s="770" t="s">
        <v>94</v>
      </c>
      <c r="D223" s="73"/>
      <c r="E223" s="73"/>
      <c r="F223" s="73"/>
      <c r="G223" s="73"/>
      <c r="H223" s="73"/>
      <c r="I223" s="73"/>
    </row>
    <row r="224" spans="1:11">
      <c r="A224" s="283"/>
      <c r="B224" s="679"/>
      <c r="C224" s="765"/>
      <c r="D224" s="13"/>
      <c r="E224" s="13"/>
      <c r="F224" s="13"/>
      <c r="G224" s="13"/>
      <c r="H224" s="13"/>
      <c r="I224" s="13"/>
    </row>
    <row r="225" spans="1:9">
      <c r="A225" s="3971" t="s">
        <v>8221</v>
      </c>
      <c r="B225" s="3972"/>
      <c r="C225" s="3972"/>
      <c r="D225" s="3972"/>
      <c r="E225" s="3972"/>
      <c r="F225" s="3972"/>
      <c r="G225" s="3972"/>
      <c r="H225" s="3972"/>
      <c r="I225" s="3973"/>
    </row>
    <row r="226" spans="1:9">
      <c r="A226" s="283"/>
      <c r="B226" s="679"/>
      <c r="C226" s="765"/>
      <c r="D226" s="13"/>
      <c r="E226" s="13"/>
      <c r="F226" s="13"/>
      <c r="G226" s="13"/>
      <c r="H226" s="13"/>
      <c r="I226" s="13"/>
    </row>
    <row r="227" spans="1:9">
      <c r="A227" s="2337" t="str">
        <f>+' TANQUE PATAGONIA'!B48</f>
        <v>12.1</v>
      </c>
      <c r="B227" s="3558" t="s">
        <v>7213</v>
      </c>
      <c r="C227" s="3558"/>
      <c r="D227" s="3558"/>
      <c r="E227" s="3558"/>
      <c r="F227" s="3558"/>
      <c r="G227" s="3558"/>
      <c r="H227" s="3558"/>
      <c r="I227" s="3558"/>
    </row>
    <row r="228" spans="1:9">
      <c r="A228" s="809"/>
      <c r="B228" s="474"/>
      <c r="C228" s="876" t="s">
        <v>140</v>
      </c>
      <c r="D228" s="876" t="s">
        <v>343</v>
      </c>
      <c r="E228" s="876" t="s">
        <v>344</v>
      </c>
      <c r="F228" s="876" t="s">
        <v>482</v>
      </c>
      <c r="G228" s="876" t="s">
        <v>483</v>
      </c>
      <c r="H228" s="876" t="s">
        <v>232</v>
      </c>
      <c r="I228" s="876" t="s">
        <v>171</v>
      </c>
    </row>
    <row r="229" spans="1:9">
      <c r="A229" s="473" t="s">
        <v>347</v>
      </c>
      <c r="B229" s="779" t="s">
        <v>266</v>
      </c>
      <c r="C229" s="451">
        <v>0.65</v>
      </c>
      <c r="D229" s="487" t="s">
        <v>346</v>
      </c>
      <c r="E229" s="780">
        <f>+AYUDA</f>
        <v>65389.695592000004</v>
      </c>
      <c r="F229" s="780"/>
      <c r="G229" s="780"/>
      <c r="H229" s="780">
        <f>+E229*C229</f>
        <v>42503.302134800004</v>
      </c>
      <c r="I229" s="780"/>
    </row>
    <row r="230" spans="1:9">
      <c r="A230" s="473" t="s">
        <v>172</v>
      </c>
      <c r="B230" s="779" t="s">
        <v>189</v>
      </c>
      <c r="C230" s="451">
        <v>1</v>
      </c>
      <c r="D230" s="487" t="s">
        <v>583</v>
      </c>
      <c r="E230" s="780">
        <f>+H231*0.05</f>
        <v>2125.1651067400003</v>
      </c>
      <c r="F230" s="780"/>
      <c r="G230" s="780"/>
      <c r="H230" s="780"/>
      <c r="I230" s="780">
        <f>+E230*C230</f>
        <v>2125.1651067400003</v>
      </c>
    </row>
    <row r="231" spans="1:9">
      <c r="A231" s="827" t="s">
        <v>190</v>
      </c>
      <c r="B231" s="588">
        <f>ROUND(SUM(F231:I231),0)</f>
        <v>44628</v>
      </c>
      <c r="C231" s="487"/>
      <c r="D231" s="371"/>
      <c r="E231" s="780"/>
      <c r="F231" s="780">
        <f>SUM(F228:F230)</f>
        <v>0</v>
      </c>
      <c r="G231" s="780">
        <f>SUM(G228:G230)</f>
        <v>0</v>
      </c>
      <c r="H231" s="780">
        <f>SUM(H228:H230)</f>
        <v>42503.302134800004</v>
      </c>
      <c r="I231" s="780">
        <f>SUM(I228:I230)</f>
        <v>2125.1651067400003</v>
      </c>
    </row>
    <row r="232" spans="1:9">
      <c r="A232" s="827" t="s">
        <v>191</v>
      </c>
      <c r="B232" s="39">
        <f>+B231</f>
        <v>44628</v>
      </c>
      <c r="C232" s="770" t="s">
        <v>133</v>
      </c>
      <c r="D232" s="73"/>
      <c r="E232" s="2192">
        <f>+B239*0.15</f>
        <v>45345</v>
      </c>
      <c r="F232" s="73"/>
      <c r="G232" s="73"/>
      <c r="H232" s="73"/>
      <c r="I232" s="73"/>
    </row>
    <row r="233" spans="1:9">
      <c r="A233" s="283"/>
      <c r="B233" s="679"/>
      <c r="C233" s="765"/>
      <c r="D233" s="13"/>
      <c r="E233" s="13"/>
      <c r="F233" s="13"/>
      <c r="G233" s="13"/>
      <c r="H233" s="13"/>
      <c r="I233" s="13"/>
    </row>
    <row r="234" spans="1:9">
      <c r="A234" s="2143" t="str">
        <f>+' TANQUE PATAGONIA'!B63</f>
        <v>15.1</v>
      </c>
      <c r="B234" s="3966" t="s">
        <v>7212</v>
      </c>
      <c r="C234" s="3966"/>
      <c r="D234" s="3966"/>
      <c r="E234" s="3966"/>
      <c r="F234" s="3966"/>
      <c r="G234" s="3966"/>
      <c r="H234" s="3966"/>
      <c r="I234" s="3966"/>
    </row>
    <row r="235" spans="1:9">
      <c r="A235" s="809"/>
      <c r="B235" s="474"/>
      <c r="C235" s="876" t="s">
        <v>140</v>
      </c>
      <c r="D235" s="876" t="s">
        <v>343</v>
      </c>
      <c r="E235" s="876" t="s">
        <v>344</v>
      </c>
      <c r="F235" s="876" t="s">
        <v>482</v>
      </c>
      <c r="G235" s="876" t="s">
        <v>483</v>
      </c>
      <c r="H235" s="876" t="s">
        <v>232</v>
      </c>
      <c r="I235" s="876" t="s">
        <v>171</v>
      </c>
    </row>
    <row r="236" spans="1:9">
      <c r="A236" s="473" t="s">
        <v>972</v>
      </c>
      <c r="B236" s="779" t="s">
        <v>7210</v>
      </c>
      <c r="C236" s="451">
        <v>1</v>
      </c>
      <c r="D236" s="487" t="s">
        <v>150</v>
      </c>
      <c r="E236" s="780">
        <f>+'BASE 2'!D690</f>
        <v>297500</v>
      </c>
      <c r="F236" s="780"/>
      <c r="G236" s="780">
        <f>+E236*C236</f>
        <v>297500</v>
      </c>
      <c r="H236" s="780"/>
      <c r="I236" s="780"/>
    </row>
    <row r="237" spans="1:9">
      <c r="A237" s="473" t="s">
        <v>584</v>
      </c>
      <c r="B237" s="779" t="s">
        <v>134</v>
      </c>
      <c r="C237" s="451">
        <v>4.0000000000000001E-3</v>
      </c>
      <c r="D237" s="487" t="s">
        <v>583</v>
      </c>
      <c r="E237" s="780">
        <f>+VIAJE</f>
        <v>1200000</v>
      </c>
      <c r="F237" s="780"/>
      <c r="G237" s="780"/>
      <c r="H237" s="780"/>
      <c r="I237" s="780">
        <f>+E237*C237</f>
        <v>4800</v>
      </c>
    </row>
    <row r="238" spans="1:9">
      <c r="A238" s="827" t="s">
        <v>190</v>
      </c>
      <c r="B238" s="588">
        <f>ROUND(SUM(F238:I238),0)</f>
        <v>302300</v>
      </c>
      <c r="C238" s="487"/>
      <c r="D238" s="371"/>
      <c r="E238" s="780"/>
      <c r="F238" s="780">
        <f>SUM(F235:F237)</f>
        <v>0</v>
      </c>
      <c r="G238" s="780">
        <f>SUM(G235:G237)</f>
        <v>297500</v>
      </c>
      <c r="H238" s="780">
        <f>SUM(H235:H237)</f>
        <v>0</v>
      </c>
      <c r="I238" s="780">
        <f>SUM(I235:I237)</f>
        <v>4800</v>
      </c>
    </row>
    <row r="239" spans="1:9">
      <c r="A239" s="827" t="s">
        <v>191</v>
      </c>
      <c r="B239" s="39">
        <f>+B238</f>
        <v>302300</v>
      </c>
      <c r="C239" s="770" t="s">
        <v>133</v>
      </c>
      <c r="D239" s="73"/>
      <c r="E239" s="73"/>
      <c r="F239" s="73"/>
      <c r="G239" s="73"/>
      <c r="H239" s="73"/>
      <c r="I239" s="73"/>
    </row>
    <row r="240" spans="1:9">
      <c r="A240" s="883"/>
      <c r="B240" s="889"/>
      <c r="C240" s="884"/>
      <c r="D240" s="884"/>
      <c r="E240" s="884"/>
      <c r="F240" s="884"/>
      <c r="G240" s="884"/>
      <c r="H240" s="884"/>
      <c r="I240" s="884"/>
    </row>
    <row r="241" spans="1:9">
      <c r="A241" s="2337" t="str">
        <f>+' TANQUE PATAGONIA'!B49</f>
        <v>12.2</v>
      </c>
      <c r="B241" s="3558" t="s">
        <v>7214</v>
      </c>
      <c r="C241" s="3558"/>
      <c r="D241" s="3558"/>
      <c r="E241" s="3558"/>
      <c r="F241" s="3558"/>
      <c r="G241" s="3558"/>
      <c r="H241" s="3558"/>
      <c r="I241" s="3558"/>
    </row>
    <row r="242" spans="1:9">
      <c r="A242" s="809"/>
      <c r="B242" s="474"/>
      <c r="C242" s="876" t="s">
        <v>140</v>
      </c>
      <c r="D242" s="876" t="s">
        <v>343</v>
      </c>
      <c r="E242" s="876" t="s">
        <v>344</v>
      </c>
      <c r="F242" s="876" t="s">
        <v>482</v>
      </c>
      <c r="G242" s="876" t="s">
        <v>483</v>
      </c>
      <c r="H242" s="876" t="s">
        <v>232</v>
      </c>
      <c r="I242" s="876" t="s">
        <v>171</v>
      </c>
    </row>
    <row r="243" spans="1:9">
      <c r="A243" s="473" t="s">
        <v>347</v>
      </c>
      <c r="B243" s="779" t="s">
        <v>266</v>
      </c>
      <c r="C243" s="451">
        <v>0.84</v>
      </c>
      <c r="D243" s="487" t="s">
        <v>346</v>
      </c>
      <c r="E243" s="780">
        <f>+AYUDA</f>
        <v>65389.695592000004</v>
      </c>
      <c r="F243" s="780"/>
      <c r="G243" s="780"/>
      <c r="H243" s="780">
        <f>+E243*C243</f>
        <v>54927.344297280004</v>
      </c>
      <c r="I243" s="780"/>
    </row>
    <row r="244" spans="1:9">
      <c r="A244" s="473" t="s">
        <v>172</v>
      </c>
      <c r="B244" s="779" t="s">
        <v>189</v>
      </c>
      <c r="C244" s="451">
        <v>1</v>
      </c>
      <c r="D244" s="487" t="s">
        <v>583</v>
      </c>
      <c r="E244" s="780">
        <f>+H245*0.05</f>
        <v>2746.3672148640003</v>
      </c>
      <c r="F244" s="780"/>
      <c r="G244" s="780"/>
      <c r="H244" s="780"/>
      <c r="I244" s="780">
        <f>+E244*C244</f>
        <v>2746.3672148640003</v>
      </c>
    </row>
    <row r="245" spans="1:9">
      <c r="A245" s="827" t="s">
        <v>190</v>
      </c>
      <c r="B245" s="588">
        <f>ROUND(SUM(F245:I245),0)</f>
        <v>57674</v>
      </c>
      <c r="C245" s="487"/>
      <c r="D245" s="371"/>
      <c r="E245" s="780"/>
      <c r="F245" s="780">
        <f>SUM(F242:F244)</f>
        <v>0</v>
      </c>
      <c r="G245" s="780">
        <f>SUM(G242:G244)</f>
        <v>0</v>
      </c>
      <c r="H245" s="780">
        <f>SUM(H242:H244)</f>
        <v>54927.344297280004</v>
      </c>
      <c r="I245" s="780">
        <f>SUM(I242:I244)</f>
        <v>2746.3672148640003</v>
      </c>
    </row>
    <row r="246" spans="1:9">
      <c r="A246" s="827" t="s">
        <v>191</v>
      </c>
      <c r="B246" s="39">
        <f>+B245</f>
        <v>57674</v>
      </c>
      <c r="C246" s="770" t="s">
        <v>133</v>
      </c>
      <c r="D246" s="73"/>
      <c r="E246" s="2192">
        <f>+B253*0.15</f>
        <v>57840</v>
      </c>
      <c r="F246" s="73"/>
      <c r="G246" s="73"/>
      <c r="H246" s="73"/>
      <c r="I246" s="73"/>
    </row>
    <row r="247" spans="1:9">
      <c r="A247" s="283"/>
      <c r="B247" s="679"/>
      <c r="C247" s="765"/>
      <c r="D247" s="13"/>
      <c r="E247" s="13"/>
      <c r="F247" s="13"/>
      <c r="G247" s="13"/>
      <c r="H247" s="13"/>
      <c r="I247" s="13"/>
    </row>
    <row r="248" spans="1:9">
      <c r="A248" s="2143" t="str">
        <f>+' TANQUE PATAGONIA'!B64</f>
        <v>15.2</v>
      </c>
      <c r="B248" s="3966" t="s">
        <v>7206</v>
      </c>
      <c r="C248" s="3966"/>
      <c r="D248" s="3966"/>
      <c r="E248" s="3966"/>
      <c r="F248" s="3966"/>
      <c r="G248" s="3966"/>
      <c r="H248" s="3966"/>
      <c r="I248" s="3966"/>
    </row>
    <row r="249" spans="1:9">
      <c r="A249" s="809"/>
      <c r="B249" s="474"/>
      <c r="C249" s="876" t="s">
        <v>140</v>
      </c>
      <c r="D249" s="876" t="s">
        <v>343</v>
      </c>
      <c r="E249" s="876" t="s">
        <v>344</v>
      </c>
      <c r="F249" s="876" t="s">
        <v>482</v>
      </c>
      <c r="G249" s="876" t="s">
        <v>483</v>
      </c>
      <c r="H249" s="876" t="s">
        <v>232</v>
      </c>
      <c r="I249" s="876" t="s">
        <v>171</v>
      </c>
    </row>
    <row r="250" spans="1:9">
      <c r="A250" s="473" t="s">
        <v>972</v>
      </c>
      <c r="B250" s="779" t="s">
        <v>7211</v>
      </c>
      <c r="C250" s="451">
        <v>1</v>
      </c>
      <c r="D250" s="487" t="s">
        <v>150</v>
      </c>
      <c r="E250" s="780">
        <f>+'BASE 2'!D691</f>
        <v>380800</v>
      </c>
      <c r="F250" s="780"/>
      <c r="G250" s="780">
        <f>+E250*C250</f>
        <v>380800</v>
      </c>
      <c r="H250" s="780"/>
      <c r="I250" s="780"/>
    </row>
    <row r="251" spans="1:9">
      <c r="A251" s="473" t="s">
        <v>584</v>
      </c>
      <c r="B251" s="779" t="s">
        <v>134</v>
      </c>
      <c r="C251" s="451">
        <v>4.0000000000000001E-3</v>
      </c>
      <c r="D251" s="487" t="s">
        <v>583</v>
      </c>
      <c r="E251" s="780">
        <f>+VIAJE</f>
        <v>1200000</v>
      </c>
      <c r="F251" s="780"/>
      <c r="G251" s="780"/>
      <c r="H251" s="780"/>
      <c r="I251" s="780">
        <f>+E251*C251</f>
        <v>4800</v>
      </c>
    </row>
    <row r="252" spans="1:9">
      <c r="A252" s="827" t="s">
        <v>190</v>
      </c>
      <c r="B252" s="588">
        <f>ROUND(SUM(F252:I252),0)</f>
        <v>385600</v>
      </c>
      <c r="C252" s="487"/>
      <c r="D252" s="371"/>
      <c r="E252" s="780"/>
      <c r="F252" s="780">
        <f>SUM(F249:F251)</f>
        <v>0</v>
      </c>
      <c r="G252" s="780">
        <f>SUM(G249:G251)</f>
        <v>380800</v>
      </c>
      <c r="H252" s="780">
        <f>SUM(H249:H251)</f>
        <v>0</v>
      </c>
      <c r="I252" s="780">
        <f>SUM(I249:I251)</f>
        <v>4800</v>
      </c>
    </row>
    <row r="253" spans="1:9">
      <c r="A253" s="827" t="s">
        <v>191</v>
      </c>
      <c r="B253" s="39">
        <f>+B252</f>
        <v>385600</v>
      </c>
      <c r="C253" s="770" t="s">
        <v>133</v>
      </c>
      <c r="D253" s="73"/>
      <c r="E253" s="73"/>
      <c r="F253" s="73"/>
      <c r="G253" s="73"/>
      <c r="H253" s="73"/>
      <c r="I253" s="73"/>
    </row>
    <row r="254" spans="1:9" s="61" customFormat="1">
      <c r="A254" s="485"/>
      <c r="B254" s="41"/>
      <c r="C254" s="1417"/>
      <c r="D254" s="73"/>
      <c r="E254" s="73"/>
      <c r="F254" s="73"/>
      <c r="G254" s="73"/>
      <c r="H254" s="73"/>
      <c r="I254" s="73"/>
    </row>
    <row r="255" spans="1:9">
      <c r="A255" s="3971" t="s">
        <v>8222</v>
      </c>
      <c r="B255" s="3972"/>
      <c r="C255" s="3972"/>
      <c r="D255" s="3972"/>
      <c r="E255" s="3972"/>
      <c r="F255" s="3972"/>
      <c r="G255" s="3972"/>
      <c r="H255" s="3972"/>
      <c r="I255" s="3973"/>
    </row>
    <row r="256" spans="1:9" s="61" customFormat="1">
      <c r="A256" s="485"/>
      <c r="B256" s="41"/>
      <c r="C256" s="1417"/>
      <c r="D256" s="73"/>
      <c r="E256" s="73"/>
      <c r="F256" s="73"/>
      <c r="G256" s="73"/>
      <c r="H256" s="73"/>
      <c r="I256" s="73"/>
    </row>
    <row r="257" spans="1:9" ht="33" customHeight="1">
      <c r="A257" s="834" t="str">
        <f>+' TANQUE PATAGONIA'!B51</f>
        <v xml:space="preserve">13.1 </v>
      </c>
      <c r="B257" s="3967" t="s">
        <v>6637</v>
      </c>
      <c r="C257" s="3967"/>
      <c r="D257" s="3967"/>
      <c r="E257" s="3967"/>
      <c r="F257" s="3967"/>
      <c r="G257" s="3967"/>
      <c r="H257" s="3967"/>
      <c r="I257" s="3967"/>
    </row>
    <row r="258" spans="1:9">
      <c r="A258" s="890"/>
      <c r="B258" s="180"/>
      <c r="C258" s="2695"/>
      <c r="D258" s="2695"/>
      <c r="E258" s="2695"/>
      <c r="F258" s="2695" t="s">
        <v>482</v>
      </c>
      <c r="G258" s="2695" t="s">
        <v>483</v>
      </c>
      <c r="H258" s="2695" t="s">
        <v>232</v>
      </c>
      <c r="I258" s="2695" t="s">
        <v>171</v>
      </c>
    </row>
    <row r="259" spans="1:9" s="181" customFormat="1" ht="18">
      <c r="A259" s="1229"/>
      <c r="B259" s="1258" t="s">
        <v>6439</v>
      </c>
      <c r="C259" s="1264">
        <v>0.95</v>
      </c>
      <c r="D259" s="401" t="s">
        <v>346</v>
      </c>
      <c r="E259" s="2697">
        <f>+OFICI</f>
        <v>80479.625344</v>
      </c>
      <c r="F259" s="2697"/>
      <c r="G259" s="2697"/>
      <c r="H259" s="1255">
        <f>+E259*C259</f>
        <v>76455.644076800003</v>
      </c>
      <c r="I259" s="2697"/>
    </row>
    <row r="260" spans="1:9" s="181" customFormat="1" ht="18">
      <c r="A260" s="1580" t="s">
        <v>347</v>
      </c>
      <c r="B260" s="185" t="s">
        <v>266</v>
      </c>
      <c r="C260" s="1264">
        <v>0.95</v>
      </c>
      <c r="D260" s="401" t="s">
        <v>346</v>
      </c>
      <c r="E260" s="1255">
        <f>AYUDA</f>
        <v>65389.695592000004</v>
      </c>
      <c r="F260" s="1255"/>
      <c r="G260" s="1255"/>
      <c r="H260" s="1255">
        <f>+E260*C260</f>
        <v>62120.210812400001</v>
      </c>
      <c r="I260" s="2697"/>
    </row>
    <row r="261" spans="1:9">
      <c r="A261" s="473" t="s">
        <v>172</v>
      </c>
      <c r="B261" s="180" t="s">
        <v>189</v>
      </c>
      <c r="C261" s="775">
        <v>1</v>
      </c>
      <c r="D261" s="2695" t="s">
        <v>583</v>
      </c>
      <c r="E261" s="2693">
        <f>+H262*0.05</f>
        <v>6928.7927444600009</v>
      </c>
      <c r="F261" s="2693"/>
      <c r="G261" s="2693"/>
      <c r="H261" s="2693"/>
      <c r="I261" s="2693">
        <f>+E261*C261</f>
        <v>6928.7927444600009</v>
      </c>
    </row>
    <row r="262" spans="1:9">
      <c r="A262" s="827" t="s">
        <v>190</v>
      </c>
      <c r="B262" s="39">
        <f>SUM(F262:I262)</f>
        <v>145504.64763366</v>
      </c>
      <c r="C262" s="34"/>
      <c r="D262" s="2695"/>
      <c r="E262" s="2693"/>
      <c r="F262" s="2693"/>
      <c r="G262" s="2693">
        <f>SUM(G259:G261)</f>
        <v>0</v>
      </c>
      <c r="H262" s="2693">
        <f t="shared" ref="H262:I262" si="2">SUM(H259:H261)</f>
        <v>138575.85488920001</v>
      </c>
      <c r="I262" s="2693">
        <f t="shared" si="2"/>
        <v>6928.7927444600009</v>
      </c>
    </row>
    <row r="263" spans="1:9">
      <c r="A263" s="827" t="s">
        <v>191</v>
      </c>
      <c r="B263" s="39">
        <f>B262</f>
        <v>145504.64763366</v>
      </c>
      <c r="C263" s="21" t="s">
        <v>363</v>
      </c>
      <c r="D263" s="178"/>
      <c r="E263" s="2145">
        <f>+B271*0.15</f>
        <v>144021</v>
      </c>
      <c r="F263" s="178"/>
      <c r="G263" s="178"/>
      <c r="H263" s="178"/>
      <c r="I263" s="178"/>
    </row>
    <row r="264" spans="1:9" ht="18">
      <c r="A264" s="872"/>
      <c r="B264" s="402"/>
      <c r="C264" s="873"/>
      <c r="D264" s="873"/>
      <c r="E264" s="874"/>
      <c r="F264" s="874"/>
      <c r="G264" s="874"/>
      <c r="H264" s="874"/>
      <c r="I264" s="874"/>
    </row>
    <row r="265" spans="1:9" s="61" customFormat="1" ht="28.5" customHeight="1">
      <c r="A265" s="472" t="str">
        <f>+' TANQUE PATAGONIA'!B66</f>
        <v>16.1</v>
      </c>
      <c r="B265" s="3968" t="s">
        <v>6636</v>
      </c>
      <c r="C265" s="3969"/>
      <c r="D265" s="3969"/>
      <c r="E265" s="3969"/>
      <c r="F265" s="3969"/>
      <c r="G265" s="3969"/>
      <c r="H265" s="3969"/>
      <c r="I265" s="3970"/>
    </row>
    <row r="266" spans="1:9">
      <c r="A266" s="709"/>
      <c r="B266" s="180"/>
      <c r="C266" s="2695" t="s">
        <v>140</v>
      </c>
      <c r="D266" s="2695" t="s">
        <v>343</v>
      </c>
      <c r="E266" s="65" t="s">
        <v>344</v>
      </c>
      <c r="F266" s="65" t="s">
        <v>482</v>
      </c>
      <c r="G266" s="65" t="s">
        <v>483</v>
      </c>
      <c r="H266" s="65" t="s">
        <v>170</v>
      </c>
      <c r="I266" s="65" t="s">
        <v>171</v>
      </c>
    </row>
    <row r="267" spans="1:9" ht="28.5" customHeight="1">
      <c r="A267" s="473"/>
      <c r="B267" s="536" t="s">
        <v>6633</v>
      </c>
      <c r="C267" s="475">
        <v>1</v>
      </c>
      <c r="D267" s="2698" t="s">
        <v>363</v>
      </c>
      <c r="E267" s="452">
        <f>+'BASE 2'!D661</f>
        <v>160650</v>
      </c>
      <c r="F267" s="452"/>
      <c r="G267" s="452">
        <f>+E267</f>
        <v>160650</v>
      </c>
      <c r="H267" s="452"/>
      <c r="I267" s="452"/>
    </row>
    <row r="268" spans="1:9">
      <c r="A268" s="709"/>
      <c r="B268" s="180" t="s">
        <v>6635</v>
      </c>
      <c r="C268" s="684">
        <v>2</v>
      </c>
      <c r="D268" s="2695" t="s">
        <v>363</v>
      </c>
      <c r="E268" s="452">
        <f>+'BASE 2'!D662</f>
        <v>679490</v>
      </c>
      <c r="F268" s="745"/>
      <c r="G268" s="745">
        <f>+E268</f>
        <v>679490</v>
      </c>
      <c r="H268" s="745"/>
      <c r="I268" s="745"/>
    </row>
    <row r="269" spans="1:9">
      <c r="A269" s="709" t="s">
        <v>584</v>
      </c>
      <c r="B269" s="180" t="s">
        <v>134</v>
      </c>
      <c r="C269" s="684">
        <v>0.1</v>
      </c>
      <c r="D269" s="2695" t="s">
        <v>583</v>
      </c>
      <c r="E269" s="745">
        <f>+VIAJE</f>
        <v>1200000</v>
      </c>
      <c r="F269" s="745"/>
      <c r="G269" s="745"/>
      <c r="H269" s="745"/>
      <c r="I269" s="745">
        <f>+E269*C269</f>
        <v>120000</v>
      </c>
    </row>
    <row r="270" spans="1:9">
      <c r="A270" s="812" t="s">
        <v>190</v>
      </c>
      <c r="B270" s="39">
        <f>SUM(F270:I270)</f>
        <v>960140</v>
      </c>
      <c r="C270" s="34"/>
      <c r="D270" s="2695"/>
      <c r="E270" s="745"/>
      <c r="F270" s="745"/>
      <c r="G270" s="745">
        <f>SUM(G267:G269)</f>
        <v>840140</v>
      </c>
      <c r="H270" s="745">
        <f>SUM(H267:H269)</f>
        <v>0</v>
      </c>
      <c r="I270" s="745">
        <f>SUM(I267:I269)</f>
        <v>120000</v>
      </c>
    </row>
    <row r="271" spans="1:9">
      <c r="A271" s="812" t="s">
        <v>191</v>
      </c>
      <c r="B271" s="39">
        <f>+B270</f>
        <v>960140</v>
      </c>
      <c r="C271" s="21" t="s">
        <v>363</v>
      </c>
      <c r="D271" s="178"/>
      <c r="E271" s="685"/>
      <c r="F271" s="685"/>
      <c r="G271" s="685"/>
      <c r="H271" s="685"/>
      <c r="I271" s="685"/>
    </row>
    <row r="272" spans="1:9" ht="13.2">
      <c r="A272" s="1931"/>
      <c r="B272" s="891"/>
      <c r="C272" s="892"/>
      <c r="D272" s="892"/>
      <c r="E272" s="893"/>
      <c r="F272" s="893"/>
      <c r="G272" s="893"/>
      <c r="H272" s="893"/>
      <c r="I272" s="893"/>
    </row>
    <row r="273" spans="1:9">
      <c r="A273" s="806" t="str">
        <f>+' TANQUE PATAGONIA'!B52</f>
        <v xml:space="preserve">13.2 </v>
      </c>
      <c r="B273" s="3900" t="s">
        <v>6632</v>
      </c>
      <c r="C273" s="3901"/>
      <c r="D273" s="3901"/>
      <c r="E273" s="3901"/>
      <c r="F273" s="3901"/>
      <c r="G273" s="3901"/>
      <c r="H273" s="3901"/>
      <c r="I273" s="3902"/>
    </row>
    <row r="274" spans="1:9">
      <c r="A274" s="709"/>
      <c r="B274" s="180"/>
      <c r="C274" s="2695" t="s">
        <v>140</v>
      </c>
      <c r="D274" s="2695" t="s">
        <v>343</v>
      </c>
      <c r="E274" s="65" t="s">
        <v>344</v>
      </c>
      <c r="F274" s="65" t="s">
        <v>482</v>
      </c>
      <c r="G274" s="65" t="s">
        <v>483</v>
      </c>
      <c r="H274" s="65" t="s">
        <v>170</v>
      </c>
      <c r="I274" s="65" t="s">
        <v>171</v>
      </c>
    </row>
    <row r="275" spans="1:9" s="181" customFormat="1" ht="18">
      <c r="A275" s="1229"/>
      <c r="B275" s="1258" t="s">
        <v>6439</v>
      </c>
      <c r="C275" s="1264">
        <v>5.85</v>
      </c>
      <c r="D275" s="401" t="s">
        <v>346</v>
      </c>
      <c r="E275" s="2697">
        <f>+OFICI</f>
        <v>80479.625344</v>
      </c>
      <c r="F275" s="2697"/>
      <c r="G275" s="2697"/>
      <c r="H275" s="1255">
        <f>+E275*C275</f>
        <v>470805.80826239998</v>
      </c>
      <c r="I275" s="2697"/>
    </row>
    <row r="276" spans="1:9" s="181" customFormat="1" ht="18">
      <c r="A276" s="1580" t="s">
        <v>347</v>
      </c>
      <c r="B276" s="185" t="s">
        <v>266</v>
      </c>
      <c r="C276" s="1264">
        <v>5.85</v>
      </c>
      <c r="D276" s="401" t="s">
        <v>346</v>
      </c>
      <c r="E276" s="1255">
        <f>AYUDA</f>
        <v>65389.695592000004</v>
      </c>
      <c r="F276" s="1255"/>
      <c r="G276" s="1255"/>
      <c r="H276" s="1255">
        <f>+E276*C276</f>
        <v>382529.71921319998</v>
      </c>
      <c r="I276" s="2697"/>
    </row>
    <row r="277" spans="1:9">
      <c r="A277" s="709" t="s">
        <v>172</v>
      </c>
      <c r="B277" s="180" t="s">
        <v>189</v>
      </c>
      <c r="C277" s="684">
        <v>1</v>
      </c>
      <c r="D277" s="2695" t="s">
        <v>583</v>
      </c>
      <c r="E277" s="745">
        <f>+H278*0.05</f>
        <v>42666.776373779998</v>
      </c>
      <c r="F277" s="745"/>
      <c r="G277" s="745"/>
      <c r="H277" s="745"/>
      <c r="I277" s="745">
        <f>+E277*C277</f>
        <v>42666.776373779998</v>
      </c>
    </row>
    <row r="278" spans="1:9">
      <c r="A278" s="812" t="s">
        <v>190</v>
      </c>
      <c r="B278" s="39">
        <f>SUM(F278:I278)</f>
        <v>896002.30384937988</v>
      </c>
      <c r="C278" s="34"/>
      <c r="D278" s="2695"/>
      <c r="E278" s="745"/>
      <c r="F278" s="745"/>
      <c r="G278" s="745">
        <f>SUM(G277:G277)</f>
        <v>0</v>
      </c>
      <c r="H278" s="745">
        <f>SUM(H275:H277)</f>
        <v>853335.5274755999</v>
      </c>
      <c r="I278" s="745">
        <f>SUM(I275:I277)</f>
        <v>42666.776373779998</v>
      </c>
    </row>
    <row r="279" spans="1:9">
      <c r="A279" s="812" t="s">
        <v>191</v>
      </c>
      <c r="B279" s="39">
        <f>+B278</f>
        <v>896002.30384937988</v>
      </c>
      <c r="C279" s="21" t="s">
        <v>363</v>
      </c>
      <c r="D279" s="178"/>
      <c r="E279" s="685">
        <f>+B287*0.15</f>
        <v>895149</v>
      </c>
      <c r="F279" s="685"/>
      <c r="G279" s="685"/>
      <c r="H279" s="685"/>
      <c r="I279" s="685"/>
    </row>
    <row r="280" spans="1:9" ht="13.2">
      <c r="A280" s="1931"/>
      <c r="B280" s="891"/>
      <c r="C280" s="892"/>
      <c r="D280" s="892"/>
      <c r="E280" s="893"/>
      <c r="F280" s="893"/>
      <c r="G280" s="893"/>
      <c r="H280" s="893"/>
      <c r="I280" s="893"/>
    </row>
    <row r="281" spans="1:9" s="61" customFormat="1">
      <c r="A281" s="472" t="str">
        <f>+' TANQUE PATAGONIA'!B67</f>
        <v>16.2</v>
      </c>
      <c r="B281" s="3968" t="s">
        <v>6629</v>
      </c>
      <c r="C281" s="3969"/>
      <c r="D281" s="3969"/>
      <c r="E281" s="3969"/>
      <c r="F281" s="3969"/>
      <c r="G281" s="3969"/>
      <c r="H281" s="3969"/>
      <c r="I281" s="3970"/>
    </row>
    <row r="282" spans="1:9">
      <c r="A282" s="709"/>
      <c r="B282" s="180"/>
      <c r="C282" s="2695" t="s">
        <v>140</v>
      </c>
      <c r="D282" s="2695" t="s">
        <v>343</v>
      </c>
      <c r="E282" s="65" t="s">
        <v>344</v>
      </c>
      <c r="F282" s="65" t="s">
        <v>482</v>
      </c>
      <c r="G282" s="65" t="s">
        <v>483</v>
      </c>
      <c r="H282" s="65" t="s">
        <v>170</v>
      </c>
      <c r="I282" s="65" t="s">
        <v>171</v>
      </c>
    </row>
    <row r="283" spans="1:9" ht="28.5" customHeight="1">
      <c r="A283" s="473"/>
      <c r="B283" s="536" t="s">
        <v>6630</v>
      </c>
      <c r="C283" s="475">
        <v>1</v>
      </c>
      <c r="D283" s="2698" t="s">
        <v>363</v>
      </c>
      <c r="E283" s="452">
        <f>+'BASE 2'!D539</f>
        <v>5253850</v>
      </c>
      <c r="F283" s="452"/>
      <c r="G283" s="452">
        <f>+E283</f>
        <v>5253850</v>
      </c>
      <c r="H283" s="452"/>
      <c r="I283" s="452"/>
    </row>
    <row r="284" spans="1:9">
      <c r="A284" s="709"/>
      <c r="B284" s="180" t="s">
        <v>6631</v>
      </c>
      <c r="C284" s="684">
        <v>2</v>
      </c>
      <c r="D284" s="2695" t="s">
        <v>363</v>
      </c>
      <c r="E284" s="745">
        <f>+'BASE 2'!D138</f>
        <v>593810</v>
      </c>
      <c r="F284" s="745"/>
      <c r="G284" s="745">
        <f>+E284</f>
        <v>593810</v>
      </c>
      <c r="H284" s="745"/>
      <c r="I284" s="745"/>
    </row>
    <row r="285" spans="1:9">
      <c r="A285" s="709" t="s">
        <v>584</v>
      </c>
      <c r="B285" s="180" t="s">
        <v>134</v>
      </c>
      <c r="C285" s="684">
        <v>0.1</v>
      </c>
      <c r="D285" s="2695" t="s">
        <v>583</v>
      </c>
      <c r="E285" s="745">
        <f>+VIAJE</f>
        <v>1200000</v>
      </c>
      <c r="F285" s="745"/>
      <c r="G285" s="745"/>
      <c r="H285" s="745"/>
      <c r="I285" s="745">
        <f>+E285*C285</f>
        <v>120000</v>
      </c>
    </row>
    <row r="286" spans="1:9">
      <c r="A286" s="812" t="s">
        <v>190</v>
      </c>
      <c r="B286" s="39">
        <f>SUM(F286:I286)</f>
        <v>5967660</v>
      </c>
      <c r="C286" s="34"/>
      <c r="D286" s="2695"/>
      <c r="E286" s="745"/>
      <c r="F286" s="745"/>
      <c r="G286" s="745">
        <f>SUM(G283:G285)</f>
        <v>5847660</v>
      </c>
      <c r="H286" s="745">
        <f>SUM(H283:H285)</f>
        <v>0</v>
      </c>
      <c r="I286" s="745">
        <f>SUM(I283:I285)</f>
        <v>120000</v>
      </c>
    </row>
    <row r="287" spans="1:9">
      <c r="A287" s="812" t="s">
        <v>191</v>
      </c>
      <c r="B287" s="39">
        <f>+B286</f>
        <v>5967660</v>
      </c>
      <c r="C287" s="21" t="s">
        <v>363</v>
      </c>
      <c r="D287" s="178"/>
      <c r="E287" s="685"/>
      <c r="F287" s="685"/>
      <c r="G287" s="685"/>
      <c r="H287" s="685"/>
      <c r="I287" s="685"/>
    </row>
    <row r="288" spans="1:9" ht="13.2">
      <c r="A288" s="1931"/>
      <c r="B288" s="891"/>
      <c r="C288" s="892"/>
      <c r="D288" s="892"/>
      <c r="E288" s="893"/>
      <c r="F288" s="893"/>
      <c r="G288" s="893"/>
      <c r="H288" s="893"/>
      <c r="I288" s="893"/>
    </row>
    <row r="289" spans="1:256">
      <c r="A289" s="3977" t="s">
        <v>8223</v>
      </c>
      <c r="B289" s="3978"/>
      <c r="C289" s="3978"/>
      <c r="D289" s="3978"/>
      <c r="E289" s="3978"/>
      <c r="F289" s="3978"/>
      <c r="G289" s="3978"/>
      <c r="H289" s="3978"/>
      <c r="I289" s="3979"/>
    </row>
    <row r="290" spans="1:256" ht="13.2">
      <c r="A290" s="1931"/>
      <c r="B290" s="891"/>
      <c r="C290" s="892"/>
      <c r="D290" s="892"/>
      <c r="E290" s="893"/>
      <c r="F290" s="893"/>
      <c r="G290" s="893"/>
      <c r="H290" s="893"/>
      <c r="I290" s="893"/>
    </row>
    <row r="291" spans="1:256">
      <c r="A291" s="3971" t="s">
        <v>8224</v>
      </c>
      <c r="B291" s="3972"/>
      <c r="C291" s="3972"/>
      <c r="D291" s="3972"/>
      <c r="E291" s="3972"/>
      <c r="F291" s="3972"/>
      <c r="G291" s="3972"/>
      <c r="H291" s="3972"/>
      <c r="I291" s="3973"/>
    </row>
    <row r="292" spans="1:256" ht="13.2">
      <c r="A292" s="1931"/>
      <c r="B292" s="891"/>
      <c r="C292" s="892"/>
      <c r="D292" s="892"/>
      <c r="E292" s="893"/>
      <c r="F292" s="893"/>
      <c r="G292" s="893"/>
      <c r="H292" s="893"/>
      <c r="I292" s="893"/>
    </row>
    <row r="293" spans="1:256" s="1260" customFormat="1" ht="15" customHeight="1">
      <c r="A293" s="449" t="str">
        <f>+' TANQUE PATAGONIA'!B80</f>
        <v>17.2</v>
      </c>
      <c r="B293" s="3573" t="s">
        <v>6583</v>
      </c>
      <c r="C293" s="3573"/>
      <c r="D293" s="3573"/>
      <c r="E293" s="3573"/>
      <c r="F293" s="3573"/>
      <c r="G293" s="3573"/>
      <c r="H293" s="3573"/>
      <c r="I293" s="3573"/>
    </row>
    <row r="294" spans="1:256" s="1260" customFormat="1" ht="15" customHeight="1">
      <c r="A294" s="1261"/>
      <c r="B294" s="1262"/>
      <c r="C294" s="1229" t="s">
        <v>140</v>
      </c>
      <c r="D294" s="1229" t="s">
        <v>343</v>
      </c>
      <c r="E294" s="2697" t="s">
        <v>344</v>
      </c>
      <c r="F294" s="2697" t="s">
        <v>482</v>
      </c>
      <c r="G294" s="2697" t="s">
        <v>483</v>
      </c>
      <c r="H294" s="2697" t="s">
        <v>232</v>
      </c>
      <c r="I294" s="2697" t="s">
        <v>171</v>
      </c>
    </row>
    <row r="295" spans="1:256" s="181" customFormat="1" ht="18">
      <c r="A295" s="1229"/>
      <c r="B295" s="1258" t="s">
        <v>6439</v>
      </c>
      <c r="C295" s="1264">
        <v>2.2999999999999998</v>
      </c>
      <c r="D295" s="401" t="s">
        <v>346</v>
      </c>
      <c r="E295" s="2697">
        <f>+OFICI</f>
        <v>80479.625344</v>
      </c>
      <c r="F295" s="2697"/>
      <c r="G295" s="2697"/>
      <c r="H295" s="1255">
        <f>+E295*C295</f>
        <v>185103.13829119998</v>
      </c>
      <c r="I295" s="2697"/>
    </row>
    <row r="296" spans="1:256" s="181" customFormat="1" ht="18">
      <c r="A296" s="1580" t="s">
        <v>347</v>
      </c>
      <c r="B296" s="185" t="s">
        <v>266</v>
      </c>
      <c r="C296" s="1264">
        <v>2.2999999999999998</v>
      </c>
      <c r="D296" s="401" t="s">
        <v>346</v>
      </c>
      <c r="E296" s="1255">
        <f>AYUDA</f>
        <v>65389.695592000004</v>
      </c>
      <c r="F296" s="1255"/>
      <c r="G296" s="1255"/>
      <c r="H296" s="1255">
        <f>+E296*C296</f>
        <v>150396.29986160001</v>
      </c>
      <c r="I296" s="2697"/>
    </row>
    <row r="297" spans="1:256" s="402" customFormat="1" ht="15" customHeight="1">
      <c r="A297" s="1261" t="s">
        <v>172</v>
      </c>
      <c r="B297" s="184" t="s">
        <v>189</v>
      </c>
      <c r="C297" s="1264">
        <v>1</v>
      </c>
      <c r="D297" s="1229" t="s">
        <v>583</v>
      </c>
      <c r="E297" s="2697">
        <f>+H298*0.05</f>
        <v>16774.97190764</v>
      </c>
      <c r="F297" s="2697"/>
      <c r="G297" s="2697"/>
      <c r="H297" s="2697"/>
      <c r="I297" s="2697">
        <f>+E297*C297</f>
        <v>16774.97190764</v>
      </c>
      <c r="J297" s="1260"/>
    </row>
    <row r="298" spans="1:256" s="1260" customFormat="1" ht="15" customHeight="1">
      <c r="A298" s="1265" t="s">
        <v>190</v>
      </c>
      <c r="B298" s="1266">
        <f>SUM(F298:I298)</f>
        <v>352274.41006043996</v>
      </c>
      <c r="C298" s="401"/>
      <c r="D298" s="1267"/>
      <c r="E298" s="2697"/>
      <c r="F298" s="2697">
        <f>SUM(F295:F297)</f>
        <v>0</v>
      </c>
      <c r="G298" s="2697">
        <f t="shared" ref="G298:I298" si="3">SUM(G295:G297)</f>
        <v>0</v>
      </c>
      <c r="H298" s="2697">
        <f t="shared" si="3"/>
        <v>335499.43815279996</v>
      </c>
      <c r="I298" s="2697">
        <f t="shared" si="3"/>
        <v>16774.97190764</v>
      </c>
    </row>
    <row r="299" spans="1:256" s="1260" customFormat="1" ht="15" customHeight="1">
      <c r="A299" s="1265" t="s">
        <v>191</v>
      </c>
      <c r="B299" s="1268">
        <f>+B298</f>
        <v>352274.41006043996</v>
      </c>
      <c r="C299" s="1269" t="s">
        <v>363</v>
      </c>
      <c r="D299" s="863"/>
      <c r="E299" s="882">
        <f>+B306*0.15</f>
        <v>351675</v>
      </c>
      <c r="F299" s="1905"/>
      <c r="G299" s="882"/>
      <c r="H299" s="882"/>
      <c r="I299" s="882"/>
    </row>
    <row r="300" spans="1:256" s="498" customFormat="1" ht="15" customHeight="1">
      <c r="A300" s="1270"/>
      <c r="B300" s="1271"/>
      <c r="C300" s="1272"/>
      <c r="D300" s="1273"/>
      <c r="E300" s="503"/>
      <c r="F300" s="503"/>
      <c r="G300" s="503"/>
      <c r="H300" s="503"/>
      <c r="I300" s="503"/>
      <c r="N300" s="499"/>
      <c r="O300" s="499"/>
      <c r="P300" s="499"/>
      <c r="Q300" s="499"/>
      <c r="R300" s="499"/>
      <c r="S300" s="499"/>
      <c r="T300" s="499"/>
      <c r="U300" s="499"/>
      <c r="V300" s="499"/>
      <c r="W300" s="499"/>
      <c r="X300" s="499"/>
      <c r="Y300" s="499"/>
      <c r="Z300" s="499"/>
      <c r="AA300" s="499"/>
      <c r="AB300" s="499"/>
      <c r="AC300" s="499"/>
      <c r="AD300" s="499"/>
      <c r="AE300" s="499"/>
      <c r="AF300" s="499"/>
      <c r="AG300" s="499"/>
      <c r="AH300" s="499"/>
      <c r="AI300" s="499"/>
      <c r="AJ300" s="499"/>
      <c r="AK300" s="499"/>
      <c r="AL300" s="499"/>
      <c r="AM300" s="499"/>
      <c r="AN300" s="499"/>
      <c r="AO300" s="499"/>
      <c r="AP300" s="499"/>
      <c r="AQ300" s="499"/>
      <c r="AR300" s="499"/>
      <c r="AS300" s="499"/>
      <c r="AT300" s="499"/>
      <c r="AU300" s="499"/>
      <c r="AV300" s="499"/>
      <c r="AW300" s="499"/>
      <c r="AX300" s="499"/>
      <c r="AY300" s="499"/>
      <c r="AZ300" s="499"/>
      <c r="BA300" s="499"/>
      <c r="BB300" s="499"/>
      <c r="BC300" s="499"/>
      <c r="BD300" s="499"/>
      <c r="BE300" s="499"/>
      <c r="BF300" s="499"/>
      <c r="BG300" s="499"/>
      <c r="BH300" s="499"/>
      <c r="BI300" s="499"/>
      <c r="BJ300" s="499"/>
      <c r="BK300" s="499"/>
      <c r="BL300" s="499"/>
      <c r="BM300" s="499"/>
      <c r="BN300" s="499"/>
      <c r="BO300" s="499"/>
      <c r="BP300" s="499"/>
      <c r="BQ300" s="499"/>
      <c r="BR300" s="499"/>
      <c r="BS300" s="499"/>
      <c r="BT300" s="499"/>
      <c r="BU300" s="499"/>
      <c r="BV300" s="499"/>
      <c r="BW300" s="499"/>
      <c r="BX300" s="499"/>
      <c r="BY300" s="499"/>
      <c r="BZ300" s="499"/>
      <c r="CA300" s="499"/>
      <c r="CB300" s="499"/>
      <c r="CC300" s="499"/>
      <c r="CD300" s="499"/>
      <c r="CE300" s="499"/>
      <c r="CF300" s="499"/>
      <c r="CG300" s="499"/>
      <c r="CH300" s="499"/>
      <c r="CI300" s="499"/>
      <c r="CJ300" s="499"/>
      <c r="CK300" s="499"/>
      <c r="CL300" s="499"/>
      <c r="CM300" s="499"/>
      <c r="CN300" s="499"/>
      <c r="CO300" s="499"/>
      <c r="CP300" s="499"/>
      <c r="CQ300" s="499"/>
      <c r="CR300" s="499"/>
      <c r="CS300" s="499"/>
      <c r="CT300" s="499"/>
      <c r="CU300" s="499"/>
      <c r="CV300" s="499"/>
      <c r="CW300" s="499"/>
      <c r="CX300" s="499"/>
      <c r="CY300" s="499"/>
      <c r="CZ300" s="499"/>
      <c r="DA300" s="499"/>
      <c r="DB300" s="499"/>
      <c r="DC300" s="499"/>
      <c r="DD300" s="499"/>
      <c r="DE300" s="499"/>
      <c r="DF300" s="499"/>
      <c r="DG300" s="499"/>
      <c r="DH300" s="499"/>
      <c r="DI300" s="499"/>
      <c r="DJ300" s="499"/>
      <c r="DK300" s="499"/>
      <c r="DL300" s="499"/>
      <c r="DM300" s="499"/>
      <c r="DN300" s="499"/>
      <c r="DO300" s="499"/>
      <c r="DP300" s="499"/>
      <c r="DQ300" s="499"/>
      <c r="DR300" s="499"/>
      <c r="DS300" s="499"/>
      <c r="DT300" s="499"/>
      <c r="DU300" s="499"/>
      <c r="DV300" s="499"/>
      <c r="DW300" s="499"/>
      <c r="DX300" s="499"/>
      <c r="DY300" s="499"/>
      <c r="DZ300" s="499"/>
      <c r="EA300" s="499"/>
      <c r="EB300" s="499"/>
      <c r="EC300" s="499"/>
      <c r="ED300" s="499"/>
      <c r="EE300" s="499"/>
      <c r="EF300" s="499"/>
      <c r="EG300" s="499"/>
      <c r="EH300" s="499"/>
      <c r="EI300" s="499"/>
      <c r="EJ300" s="499"/>
      <c r="EK300" s="499"/>
      <c r="EL300" s="499"/>
      <c r="EM300" s="499"/>
      <c r="EN300" s="499"/>
      <c r="EO300" s="499"/>
      <c r="EP300" s="499"/>
      <c r="EQ300" s="499"/>
      <c r="ER300" s="499"/>
      <c r="ES300" s="499"/>
      <c r="ET300" s="499"/>
      <c r="EU300" s="499"/>
      <c r="EV300" s="499"/>
      <c r="EW300" s="499"/>
      <c r="EX300" s="499"/>
      <c r="EY300" s="499"/>
      <c r="EZ300" s="499"/>
      <c r="FA300" s="499"/>
      <c r="FB300" s="499"/>
      <c r="FC300" s="499"/>
      <c r="FD300" s="499"/>
      <c r="FE300" s="499"/>
      <c r="FF300" s="499"/>
      <c r="FG300" s="499"/>
      <c r="FH300" s="499"/>
      <c r="FI300" s="499"/>
      <c r="FJ300" s="499"/>
      <c r="FK300" s="499"/>
      <c r="FL300" s="499"/>
      <c r="FM300" s="499"/>
      <c r="FN300" s="499"/>
      <c r="FO300" s="499"/>
      <c r="FP300" s="499"/>
      <c r="FQ300" s="499"/>
      <c r="FR300" s="499"/>
      <c r="FS300" s="499"/>
      <c r="FT300" s="499"/>
      <c r="FU300" s="499"/>
      <c r="FV300" s="499"/>
      <c r="FW300" s="499"/>
      <c r="FX300" s="499"/>
      <c r="FY300" s="499"/>
      <c r="FZ300" s="499"/>
      <c r="GA300" s="499"/>
      <c r="GB300" s="499"/>
      <c r="GC300" s="499"/>
      <c r="GD300" s="499"/>
      <c r="GE300" s="499"/>
      <c r="GF300" s="499"/>
      <c r="GG300" s="499"/>
      <c r="GH300" s="499"/>
      <c r="GI300" s="499"/>
      <c r="GJ300" s="499"/>
      <c r="GK300" s="499"/>
      <c r="GL300" s="499"/>
      <c r="GM300" s="499"/>
      <c r="GN300" s="499"/>
      <c r="GO300" s="499"/>
      <c r="GP300" s="499"/>
      <c r="GQ300" s="499"/>
      <c r="GR300" s="499"/>
      <c r="GS300" s="499"/>
      <c r="GT300" s="499"/>
      <c r="GU300" s="499"/>
      <c r="GV300" s="499"/>
      <c r="GW300" s="499"/>
      <c r="GX300" s="499"/>
      <c r="GY300" s="499"/>
      <c r="GZ300" s="499"/>
      <c r="HA300" s="499"/>
      <c r="HB300" s="499"/>
      <c r="HC300" s="499"/>
      <c r="HD300" s="499"/>
      <c r="HE300" s="499"/>
      <c r="HF300" s="499"/>
      <c r="HG300" s="499"/>
      <c r="HH300" s="499"/>
      <c r="HI300" s="499"/>
      <c r="HJ300" s="499"/>
      <c r="HK300" s="499"/>
      <c r="HL300" s="499"/>
      <c r="HM300" s="499"/>
      <c r="HN300" s="499"/>
      <c r="HO300" s="499"/>
      <c r="HP300" s="499"/>
      <c r="HQ300" s="499"/>
      <c r="HR300" s="499"/>
      <c r="HS300" s="499"/>
      <c r="HT300" s="499"/>
      <c r="HU300" s="499"/>
      <c r="HV300" s="499"/>
      <c r="HW300" s="499"/>
      <c r="HX300" s="499"/>
      <c r="HY300" s="499"/>
      <c r="HZ300" s="499"/>
      <c r="IA300" s="499"/>
      <c r="IB300" s="499"/>
      <c r="IC300" s="499"/>
      <c r="ID300" s="499"/>
      <c r="IE300" s="499"/>
      <c r="IF300" s="499"/>
      <c r="IG300" s="499"/>
      <c r="IH300" s="499"/>
      <c r="II300" s="499"/>
      <c r="IJ300" s="499"/>
      <c r="IK300" s="499"/>
      <c r="IL300" s="499"/>
      <c r="IM300" s="499"/>
      <c r="IN300" s="499"/>
      <c r="IO300" s="499"/>
      <c r="IP300" s="499"/>
      <c r="IQ300" s="499"/>
      <c r="IR300" s="499"/>
      <c r="IS300" s="499"/>
      <c r="IT300" s="499"/>
      <c r="IU300" s="499"/>
      <c r="IV300" s="499"/>
    </row>
    <row r="301" spans="1:256" s="1260" customFormat="1" ht="15" customHeight="1">
      <c r="A301" s="2169" t="str">
        <f>+' TANQUE PATAGONIA'!B108</f>
        <v>18.2</v>
      </c>
      <c r="B301" s="3651" t="s">
        <v>6582</v>
      </c>
      <c r="C301" s="3651"/>
      <c r="D301" s="3651"/>
      <c r="E301" s="3651"/>
      <c r="F301" s="3651"/>
      <c r="G301" s="3651"/>
      <c r="H301" s="3651"/>
      <c r="I301" s="3651"/>
    </row>
    <row r="302" spans="1:256" s="1260" customFormat="1" ht="15" customHeight="1">
      <c r="A302" s="1261"/>
      <c r="B302" s="1262"/>
      <c r="C302" s="1229" t="s">
        <v>140</v>
      </c>
      <c r="D302" s="1229" t="s">
        <v>343</v>
      </c>
      <c r="E302" s="2697" t="s">
        <v>344</v>
      </c>
      <c r="F302" s="2697" t="s">
        <v>482</v>
      </c>
      <c r="G302" s="2697" t="s">
        <v>483</v>
      </c>
      <c r="H302" s="2697" t="s">
        <v>232</v>
      </c>
      <c r="I302" s="2697" t="s">
        <v>171</v>
      </c>
    </row>
    <row r="303" spans="1:256" s="1260" customFormat="1" ht="15" customHeight="1">
      <c r="A303" s="954" t="s">
        <v>762</v>
      </c>
      <c r="B303" s="185" t="s">
        <v>6581</v>
      </c>
      <c r="C303" s="1264">
        <v>1</v>
      </c>
      <c r="D303" s="1274" t="s">
        <v>363</v>
      </c>
      <c r="E303" s="1255">
        <f>+'BASE 2'!D320</f>
        <v>2320500</v>
      </c>
      <c r="F303" s="1255"/>
      <c r="G303" s="1255">
        <f>+E303*C303</f>
        <v>2320500</v>
      </c>
      <c r="H303" s="1255"/>
      <c r="I303" s="1255"/>
    </row>
    <row r="304" spans="1:256" s="402" customFormat="1" ht="15" customHeight="1">
      <c r="A304" s="1261" t="s">
        <v>584</v>
      </c>
      <c r="B304" s="1275" t="s">
        <v>134</v>
      </c>
      <c r="C304" s="183">
        <v>0.02</v>
      </c>
      <c r="D304" s="401" t="s">
        <v>583</v>
      </c>
      <c r="E304" s="1276">
        <f>+VIAJE</f>
        <v>1200000</v>
      </c>
      <c r="F304" s="2697"/>
      <c r="G304" s="2697"/>
      <c r="H304" s="2697"/>
      <c r="I304" s="2697">
        <f>+E304*C304</f>
        <v>24000</v>
      </c>
      <c r="J304" s="1260"/>
    </row>
    <row r="305" spans="1:9" s="1260" customFormat="1" ht="15" customHeight="1">
      <c r="A305" s="1265" t="s">
        <v>190</v>
      </c>
      <c r="B305" s="1266">
        <f>SUM(F305:I305)</f>
        <v>2344500</v>
      </c>
      <c r="C305" s="401"/>
      <c r="D305" s="1267"/>
      <c r="E305" s="2697"/>
      <c r="F305" s="2697">
        <f>SUM(F301:F304)</f>
        <v>0</v>
      </c>
      <c r="G305" s="2697">
        <f>SUM(G301:G304)</f>
        <v>2320500</v>
      </c>
      <c r="H305" s="2697">
        <f>SUM(H301:H304)</f>
        <v>0</v>
      </c>
      <c r="I305" s="2697">
        <f>SUM(I301:I304)</f>
        <v>24000</v>
      </c>
    </row>
    <row r="306" spans="1:9" s="1260" customFormat="1" ht="15" customHeight="1">
      <c r="A306" s="1265" t="s">
        <v>191</v>
      </c>
      <c r="B306" s="1268">
        <f>+B305</f>
        <v>2344500</v>
      </c>
      <c r="C306" s="1269" t="s">
        <v>363</v>
      </c>
      <c r="D306" s="863"/>
      <c r="E306" s="882"/>
      <c r="F306" s="1905"/>
      <c r="G306" s="882"/>
      <c r="H306" s="882"/>
      <c r="I306" s="882"/>
    </row>
    <row r="308" spans="1:9" s="181" customFormat="1" ht="18">
      <c r="A308" s="2314" t="str">
        <f>+' TANQUE PATAGONIA'!B83</f>
        <v>17.5</v>
      </c>
      <c r="B308" s="3563" t="s">
        <v>4550</v>
      </c>
      <c r="C308" s="3564"/>
      <c r="D308" s="3564"/>
      <c r="E308" s="3564"/>
      <c r="F308" s="3564"/>
      <c r="G308" s="3564"/>
      <c r="H308" s="3564"/>
      <c r="I308" s="3565"/>
    </row>
    <row r="309" spans="1:9" s="181" customFormat="1" ht="18">
      <c r="A309" s="1229"/>
      <c r="B309" s="1258"/>
      <c r="C309" s="1229" t="s">
        <v>140</v>
      </c>
      <c r="D309" s="1229" t="s">
        <v>343</v>
      </c>
      <c r="E309" s="2697" t="s">
        <v>344</v>
      </c>
      <c r="F309" s="2697" t="s">
        <v>482</v>
      </c>
      <c r="G309" s="2697" t="s">
        <v>483</v>
      </c>
      <c r="H309" s="2697" t="s">
        <v>170</v>
      </c>
      <c r="I309" s="2697" t="s">
        <v>171</v>
      </c>
    </row>
    <row r="310" spans="1:9" s="181" customFormat="1" ht="18">
      <c r="A310" s="1229"/>
      <c r="B310" s="1258" t="s">
        <v>6439</v>
      </c>
      <c r="C310" s="1264">
        <v>2.1800000000000002</v>
      </c>
      <c r="D310" s="401" t="s">
        <v>346</v>
      </c>
      <c r="E310" s="2697">
        <f>+OFICI</f>
        <v>80479.625344</v>
      </c>
      <c r="F310" s="2697"/>
      <c r="G310" s="2697"/>
      <c r="H310" s="1255">
        <f>+E310*C310</f>
        <v>175445.58324992002</v>
      </c>
      <c r="I310" s="2697"/>
    </row>
    <row r="311" spans="1:9" s="181" customFormat="1" ht="18">
      <c r="A311" s="1580" t="s">
        <v>347</v>
      </c>
      <c r="B311" s="185" t="s">
        <v>266</v>
      </c>
      <c r="C311" s="1264">
        <v>2.1800000000000002</v>
      </c>
      <c r="D311" s="401" t="s">
        <v>346</v>
      </c>
      <c r="E311" s="1255">
        <f>AYUDA</f>
        <v>65389.695592000004</v>
      </c>
      <c r="F311" s="1255"/>
      <c r="G311" s="1255"/>
      <c r="H311" s="1255">
        <f>+E311*C311</f>
        <v>142549.53639056001</v>
      </c>
      <c r="I311" s="2697"/>
    </row>
    <row r="312" spans="1:9" s="181" customFormat="1" ht="18">
      <c r="A312" s="1580" t="s">
        <v>172</v>
      </c>
      <c r="B312" s="185" t="s">
        <v>189</v>
      </c>
      <c r="C312" s="1264">
        <v>1</v>
      </c>
      <c r="D312" s="401" t="s">
        <v>583</v>
      </c>
      <c r="E312" s="1255">
        <f>H313*0.05</f>
        <v>15899.755982024002</v>
      </c>
      <c r="F312" s="1255"/>
      <c r="G312" s="1255"/>
      <c r="H312" s="1255"/>
      <c r="I312" s="2697">
        <f>+E312*C312</f>
        <v>15899.755982024002</v>
      </c>
    </row>
    <row r="313" spans="1:9" s="181" customFormat="1" ht="18">
      <c r="A313" s="2036" t="s">
        <v>190</v>
      </c>
      <c r="B313" s="1266">
        <f>SUM(F313:I313)</f>
        <v>333894.87562250404</v>
      </c>
      <c r="C313" s="687"/>
      <c r="D313" s="1267"/>
      <c r="E313" s="1255"/>
      <c r="F313" s="1255">
        <f>SUM(F310:F312)</f>
        <v>0</v>
      </c>
      <c r="G313" s="1255">
        <f>SUM(G310:G312)</f>
        <v>0</v>
      </c>
      <c r="H313" s="1255">
        <f>SUM(H310:H312)</f>
        <v>317995.11964048003</v>
      </c>
      <c r="I313" s="1255">
        <f>SUM(I310:I312)</f>
        <v>15899.755982024002</v>
      </c>
    </row>
    <row r="314" spans="1:9" s="181" customFormat="1" ht="18">
      <c r="A314" s="2036" t="s">
        <v>191</v>
      </c>
      <c r="B314" s="1587">
        <f>+B313</f>
        <v>333894.87562250404</v>
      </c>
      <c r="C314" s="1269" t="s">
        <v>427</v>
      </c>
      <c r="D314" s="863"/>
      <c r="E314" s="882">
        <f>+B322*0.15</f>
        <v>332107.5</v>
      </c>
      <c r="F314" s="882"/>
      <c r="G314" s="882"/>
      <c r="H314" s="882"/>
      <c r="I314" s="882"/>
    </row>
    <row r="315" spans="1:9" s="1260" customFormat="1" ht="15" customHeight="1">
      <c r="A315" s="1277"/>
      <c r="B315" s="1278"/>
      <c r="C315" s="1279"/>
      <c r="D315" s="402"/>
      <c r="E315" s="1280"/>
      <c r="F315" s="1280"/>
      <c r="G315" s="1280"/>
      <c r="H315" s="1280"/>
      <c r="I315" s="1280"/>
    </row>
    <row r="316" spans="1:9" s="181" customFormat="1" ht="18">
      <c r="A316" s="2338" t="str">
        <f>+' TANQUE PATAGONIA'!B111</f>
        <v>18.5</v>
      </c>
      <c r="B316" s="3963" t="s">
        <v>4551</v>
      </c>
      <c r="C316" s="3964"/>
      <c r="D316" s="3964"/>
      <c r="E316" s="3964"/>
      <c r="F316" s="3964"/>
      <c r="G316" s="3964"/>
      <c r="H316" s="3964"/>
      <c r="I316" s="3965"/>
    </row>
    <row r="317" spans="1:9" s="181" customFormat="1" ht="18">
      <c r="A317" s="1229"/>
      <c r="B317" s="1258"/>
      <c r="C317" s="1229" t="s">
        <v>140</v>
      </c>
      <c r="D317" s="1229" t="s">
        <v>343</v>
      </c>
      <c r="E317" s="2697" t="s">
        <v>344</v>
      </c>
      <c r="F317" s="2697" t="s">
        <v>482</v>
      </c>
      <c r="G317" s="2697" t="s">
        <v>483</v>
      </c>
      <c r="H317" s="2697" t="s">
        <v>170</v>
      </c>
      <c r="I317" s="2697" t="s">
        <v>171</v>
      </c>
    </row>
    <row r="318" spans="1:9" s="181" customFormat="1" ht="18">
      <c r="A318" s="1580" t="s">
        <v>4131</v>
      </c>
      <c r="B318" s="185" t="s">
        <v>6584</v>
      </c>
      <c r="C318" s="1264">
        <v>1</v>
      </c>
      <c r="D318" s="401" t="s">
        <v>363</v>
      </c>
      <c r="E318" s="2697">
        <f>+'BASE 2'!D581</f>
        <v>1898050</v>
      </c>
      <c r="F318" s="2697"/>
      <c r="G318" s="2697">
        <f>+C318*E318</f>
        <v>1898050</v>
      </c>
      <c r="H318" s="2697"/>
      <c r="I318" s="2697"/>
    </row>
    <row r="319" spans="1:9" s="181" customFormat="1" ht="18">
      <c r="A319" s="2694"/>
      <c r="B319" s="185" t="s">
        <v>6445</v>
      </c>
      <c r="C319" s="1264">
        <v>2</v>
      </c>
      <c r="D319" s="401" t="s">
        <v>363</v>
      </c>
      <c r="E319" s="1585">
        <f>+'BASE 2'!D624</f>
        <v>152000</v>
      </c>
      <c r="F319" s="1814"/>
      <c r="G319" s="1814">
        <f>+E319*C319</f>
        <v>304000</v>
      </c>
      <c r="H319" s="1814"/>
      <c r="I319" s="1814"/>
    </row>
    <row r="320" spans="1:9" s="181" customFormat="1" ht="18">
      <c r="A320" s="1580" t="s">
        <v>584</v>
      </c>
      <c r="B320" s="185" t="s">
        <v>134</v>
      </c>
      <c r="C320" s="1264">
        <v>0.01</v>
      </c>
      <c r="D320" s="401" t="s">
        <v>583</v>
      </c>
      <c r="E320" s="2697">
        <f>+VIAJE</f>
        <v>1200000</v>
      </c>
      <c r="F320" s="2697"/>
      <c r="G320" s="2697"/>
      <c r="H320" s="2697"/>
      <c r="I320" s="2697">
        <f>+E320*C320</f>
        <v>12000</v>
      </c>
    </row>
    <row r="321" spans="1:9" s="181" customFormat="1" ht="18">
      <c r="A321" s="2036" t="s">
        <v>190</v>
      </c>
      <c r="B321" s="1266">
        <f>SUM(F321:I321)</f>
        <v>2214050</v>
      </c>
      <c r="C321" s="687"/>
      <c r="D321" s="1267"/>
      <c r="E321" s="1255"/>
      <c r="F321" s="1255">
        <f>SUM(F318:F320)</f>
        <v>0</v>
      </c>
      <c r="G321" s="1255">
        <f t="shared" ref="G321:I321" si="4">SUM(G318:G320)</f>
        <v>2202050</v>
      </c>
      <c r="H321" s="1255">
        <f t="shared" si="4"/>
        <v>0</v>
      </c>
      <c r="I321" s="1255">
        <f t="shared" si="4"/>
        <v>12000</v>
      </c>
    </row>
    <row r="322" spans="1:9" s="181" customFormat="1" ht="18">
      <c r="A322" s="2036" t="s">
        <v>191</v>
      </c>
      <c r="B322" s="1587">
        <f>+B321</f>
        <v>2214050</v>
      </c>
      <c r="C322" s="1269" t="s">
        <v>427</v>
      </c>
      <c r="D322" s="863"/>
      <c r="E322" s="882"/>
      <c r="F322" s="882"/>
      <c r="G322" s="882"/>
      <c r="H322" s="882"/>
      <c r="I322" s="882"/>
    </row>
    <row r="324" spans="1:9" s="181" customFormat="1" ht="18">
      <c r="A324" s="2314" t="str">
        <f>+' TANQUE PATAGONIA'!B84</f>
        <v>17.6</v>
      </c>
      <c r="B324" s="3563" t="s">
        <v>4552</v>
      </c>
      <c r="C324" s="3564"/>
      <c r="D324" s="3564"/>
      <c r="E324" s="3564"/>
      <c r="F324" s="3564"/>
      <c r="G324" s="3564"/>
      <c r="H324" s="3564"/>
      <c r="I324" s="3565"/>
    </row>
    <row r="325" spans="1:9" s="181" customFormat="1" ht="18">
      <c r="A325" s="1229"/>
      <c r="B325" s="1258"/>
      <c r="C325" s="1229" t="s">
        <v>140</v>
      </c>
      <c r="D325" s="1229" t="s">
        <v>343</v>
      </c>
      <c r="E325" s="2697" t="s">
        <v>344</v>
      </c>
      <c r="F325" s="2697" t="s">
        <v>482</v>
      </c>
      <c r="G325" s="2697" t="s">
        <v>483</v>
      </c>
      <c r="H325" s="2697" t="s">
        <v>170</v>
      </c>
      <c r="I325" s="2697" t="s">
        <v>171</v>
      </c>
    </row>
    <row r="326" spans="1:9" s="181" customFormat="1" ht="18">
      <c r="A326" s="1229"/>
      <c r="B326" s="1258" t="s">
        <v>6439</v>
      </c>
      <c r="C326" s="1264">
        <v>2.4</v>
      </c>
      <c r="D326" s="401" t="s">
        <v>346</v>
      </c>
      <c r="E326" s="2697">
        <f>+OFICI</f>
        <v>80479.625344</v>
      </c>
      <c r="F326" s="2697"/>
      <c r="G326" s="2697"/>
      <c r="H326" s="1255">
        <f>+E326*C326</f>
        <v>193151.10082560001</v>
      </c>
      <c r="I326" s="2697"/>
    </row>
    <row r="327" spans="1:9" s="181" customFormat="1" ht="18">
      <c r="A327" s="1580" t="s">
        <v>347</v>
      </c>
      <c r="B327" s="185" t="s">
        <v>266</v>
      </c>
      <c r="C327" s="1264">
        <v>2.4</v>
      </c>
      <c r="D327" s="401" t="s">
        <v>346</v>
      </c>
      <c r="E327" s="1255">
        <f>AYUDA</f>
        <v>65389.695592000004</v>
      </c>
      <c r="F327" s="1255"/>
      <c r="G327" s="1255"/>
      <c r="H327" s="1255">
        <f>+E327*C327</f>
        <v>156935.2694208</v>
      </c>
      <c r="I327" s="2697"/>
    </row>
    <row r="328" spans="1:9" s="181" customFormat="1" ht="18">
      <c r="A328" s="1580" t="s">
        <v>172</v>
      </c>
      <c r="B328" s="185" t="s">
        <v>189</v>
      </c>
      <c r="C328" s="1264">
        <v>1</v>
      </c>
      <c r="D328" s="401" t="s">
        <v>583</v>
      </c>
      <c r="E328" s="1255">
        <f>H329*0.05</f>
        <v>17504.318512320002</v>
      </c>
      <c r="F328" s="1255"/>
      <c r="G328" s="1255"/>
      <c r="H328" s="1255"/>
      <c r="I328" s="2697">
        <f>+E328*C328</f>
        <v>17504.318512320002</v>
      </c>
    </row>
    <row r="329" spans="1:9" s="181" customFormat="1" ht="18">
      <c r="A329" s="2036" t="s">
        <v>190</v>
      </c>
      <c r="B329" s="1266">
        <f>SUM(F329:I329)</f>
        <v>367590.68875872</v>
      </c>
      <c r="C329" s="687"/>
      <c r="D329" s="1267"/>
      <c r="E329" s="1255"/>
      <c r="F329" s="1255">
        <f>SUM(F326:F328)</f>
        <v>0</v>
      </c>
      <c r="G329" s="1255">
        <f>SUM(G326:G328)</f>
        <v>0</v>
      </c>
      <c r="H329" s="1255">
        <f>SUM(H326:H328)</f>
        <v>350086.37024640001</v>
      </c>
      <c r="I329" s="1255">
        <f>SUM(I326:I328)</f>
        <v>17504.318512320002</v>
      </c>
    </row>
    <row r="330" spans="1:9" s="181" customFormat="1" ht="18">
      <c r="A330" s="2036" t="s">
        <v>191</v>
      </c>
      <c r="B330" s="1587">
        <f>+B329</f>
        <v>367590.68875872</v>
      </c>
      <c r="C330" s="1269" t="s">
        <v>427</v>
      </c>
      <c r="D330" s="863"/>
      <c r="E330" s="882">
        <f>+B338*0.15</f>
        <v>367630.5</v>
      </c>
      <c r="F330" s="882"/>
      <c r="G330" s="882"/>
      <c r="H330" s="882"/>
      <c r="I330" s="882"/>
    </row>
    <row r="331" spans="1:9" s="1260" customFormat="1" ht="15" customHeight="1">
      <c r="A331" s="1277"/>
      <c r="B331" s="1278"/>
      <c r="C331" s="1279"/>
      <c r="D331" s="402"/>
      <c r="E331" s="1280"/>
      <c r="F331" s="1280"/>
      <c r="G331" s="1280"/>
      <c r="H331" s="1280"/>
      <c r="I331" s="1280"/>
    </row>
    <row r="332" spans="1:9" s="181" customFormat="1" ht="18">
      <c r="A332" s="2338" t="str">
        <f>+' TANQUE PATAGONIA'!B112</f>
        <v>18.6</v>
      </c>
      <c r="B332" s="3963" t="s">
        <v>4553</v>
      </c>
      <c r="C332" s="3964"/>
      <c r="D332" s="3964"/>
      <c r="E332" s="3964"/>
      <c r="F332" s="3964"/>
      <c r="G332" s="3964"/>
      <c r="H332" s="3964"/>
      <c r="I332" s="3965"/>
    </row>
    <row r="333" spans="1:9" s="181" customFormat="1" ht="18">
      <c r="A333" s="1229"/>
      <c r="B333" s="1258"/>
      <c r="C333" s="1229" t="s">
        <v>140</v>
      </c>
      <c r="D333" s="1229" t="s">
        <v>343</v>
      </c>
      <c r="E333" s="2697" t="s">
        <v>344</v>
      </c>
      <c r="F333" s="2697" t="s">
        <v>482</v>
      </c>
      <c r="G333" s="2697" t="s">
        <v>483</v>
      </c>
      <c r="H333" s="2697" t="s">
        <v>170</v>
      </c>
      <c r="I333" s="2697" t="s">
        <v>171</v>
      </c>
    </row>
    <row r="334" spans="1:9" s="181" customFormat="1" ht="18">
      <c r="A334" s="1580" t="s">
        <v>4131</v>
      </c>
      <c r="B334" s="185" t="s">
        <v>4554</v>
      </c>
      <c r="C334" s="1264">
        <v>1</v>
      </c>
      <c r="D334" s="401" t="s">
        <v>363</v>
      </c>
      <c r="E334" s="2697">
        <f>+'BASE 2'!D582</f>
        <v>2133670</v>
      </c>
      <c r="F334" s="2697"/>
      <c r="G334" s="2697">
        <f>+C334*E334</f>
        <v>2133670</v>
      </c>
      <c r="H334" s="2697"/>
      <c r="I334" s="2697"/>
    </row>
    <row r="335" spans="1:9" s="181" customFormat="1" ht="18">
      <c r="A335" s="2694"/>
      <c r="B335" s="185" t="s">
        <v>6445</v>
      </c>
      <c r="C335" s="1264">
        <v>2</v>
      </c>
      <c r="D335" s="401" t="s">
        <v>363</v>
      </c>
      <c r="E335" s="1585">
        <f>+'BASE 2'!D624</f>
        <v>152000</v>
      </c>
      <c r="F335" s="1814"/>
      <c r="G335" s="1814">
        <f>+E335*C335</f>
        <v>304000</v>
      </c>
      <c r="H335" s="1814"/>
      <c r="I335" s="1814"/>
    </row>
    <row r="336" spans="1:9" s="181" customFormat="1" ht="18">
      <c r="A336" s="1580" t="s">
        <v>584</v>
      </c>
      <c r="B336" s="185" t="s">
        <v>134</v>
      </c>
      <c r="C336" s="1264">
        <v>1.0999999999999999E-2</v>
      </c>
      <c r="D336" s="401" t="s">
        <v>583</v>
      </c>
      <c r="E336" s="2697">
        <f>+VIAJE</f>
        <v>1200000</v>
      </c>
      <c r="F336" s="2697"/>
      <c r="G336" s="2697"/>
      <c r="H336" s="2697"/>
      <c r="I336" s="2697">
        <f>+E336*C336</f>
        <v>13200</v>
      </c>
    </row>
    <row r="337" spans="1:9" s="181" customFormat="1" ht="18">
      <c r="A337" s="2036" t="s">
        <v>190</v>
      </c>
      <c r="B337" s="1266">
        <f>SUM(F337:I337)</f>
        <v>2450870</v>
      </c>
      <c r="C337" s="687"/>
      <c r="D337" s="1267"/>
      <c r="E337" s="1255"/>
      <c r="F337" s="1255">
        <f>SUM(F334:F336)</f>
        <v>0</v>
      </c>
      <c r="G337" s="1255">
        <f t="shared" ref="G337" si="5">SUM(G334:G336)</f>
        <v>2437670</v>
      </c>
      <c r="H337" s="1255">
        <f t="shared" ref="H337" si="6">SUM(H334:H336)</f>
        <v>0</v>
      </c>
      <c r="I337" s="1255">
        <f t="shared" ref="I337" si="7">SUM(I334:I336)</f>
        <v>13200</v>
      </c>
    </row>
    <row r="338" spans="1:9" s="181" customFormat="1" ht="18">
      <c r="A338" s="2036" t="s">
        <v>191</v>
      </c>
      <c r="B338" s="1587">
        <f>+B337</f>
        <v>2450870</v>
      </c>
      <c r="C338" s="1269" t="s">
        <v>427</v>
      </c>
      <c r="D338" s="863"/>
      <c r="E338" s="882"/>
      <c r="F338" s="882"/>
      <c r="G338" s="882"/>
      <c r="H338" s="882"/>
      <c r="I338" s="882"/>
    </row>
    <row r="340" spans="1:9" s="181" customFormat="1" ht="18">
      <c r="A340" s="2314" t="str">
        <f>+' TANQUE PATAGONIA'!B85</f>
        <v>17.7</v>
      </c>
      <c r="B340" s="3563" t="s">
        <v>4555</v>
      </c>
      <c r="C340" s="3564"/>
      <c r="D340" s="3564"/>
      <c r="E340" s="3564"/>
      <c r="F340" s="3564"/>
      <c r="G340" s="3564"/>
      <c r="H340" s="3564"/>
      <c r="I340" s="3565"/>
    </row>
    <row r="341" spans="1:9" s="181" customFormat="1" ht="18">
      <c r="A341" s="1229"/>
      <c r="B341" s="1258"/>
      <c r="C341" s="1229" t="s">
        <v>140</v>
      </c>
      <c r="D341" s="1229" t="s">
        <v>343</v>
      </c>
      <c r="E341" s="2697" t="s">
        <v>344</v>
      </c>
      <c r="F341" s="2697" t="s">
        <v>482</v>
      </c>
      <c r="G341" s="2697" t="s">
        <v>483</v>
      </c>
      <c r="H341" s="2697" t="s">
        <v>170</v>
      </c>
      <c r="I341" s="2697" t="s">
        <v>171</v>
      </c>
    </row>
    <row r="342" spans="1:9" s="181" customFormat="1" ht="18">
      <c r="A342" s="1229"/>
      <c r="B342" s="1258" t="s">
        <v>6439</v>
      </c>
      <c r="C342" s="1264">
        <v>2.0499999999999998</v>
      </c>
      <c r="D342" s="401" t="s">
        <v>346</v>
      </c>
      <c r="E342" s="2697">
        <f>+OFICI</f>
        <v>80479.625344</v>
      </c>
      <c r="F342" s="2697"/>
      <c r="G342" s="2697"/>
      <c r="H342" s="1255">
        <f>+E342*C342</f>
        <v>164983.2319552</v>
      </c>
      <c r="I342" s="2697"/>
    </row>
    <row r="343" spans="1:9" s="181" customFormat="1" ht="18">
      <c r="A343" s="1580" t="s">
        <v>347</v>
      </c>
      <c r="B343" s="185" t="s">
        <v>266</v>
      </c>
      <c r="C343" s="1264">
        <v>2.0499999999999998</v>
      </c>
      <c r="D343" s="401" t="s">
        <v>346</v>
      </c>
      <c r="E343" s="1255">
        <f>AYUDA</f>
        <v>65389.695592000004</v>
      </c>
      <c r="F343" s="1255"/>
      <c r="G343" s="1255"/>
      <c r="H343" s="1255">
        <f>+E343*C343</f>
        <v>134048.8759636</v>
      </c>
      <c r="I343" s="2697"/>
    </row>
    <row r="344" spans="1:9" s="181" customFormat="1" ht="18">
      <c r="A344" s="1580" t="s">
        <v>172</v>
      </c>
      <c r="B344" s="185" t="s">
        <v>189</v>
      </c>
      <c r="C344" s="1264">
        <v>1</v>
      </c>
      <c r="D344" s="401" t="s">
        <v>583</v>
      </c>
      <c r="E344" s="1255">
        <f>H345*0.05</f>
        <v>14951.60539594</v>
      </c>
      <c r="F344" s="1255"/>
      <c r="G344" s="1255"/>
      <c r="H344" s="1255"/>
      <c r="I344" s="2697">
        <f>+E344*C344</f>
        <v>14951.60539594</v>
      </c>
    </row>
    <row r="345" spans="1:9" s="181" customFormat="1" ht="18">
      <c r="A345" s="2036" t="s">
        <v>190</v>
      </c>
      <c r="B345" s="1266">
        <f>SUM(F345:I345)</f>
        <v>313983.71331473999</v>
      </c>
      <c r="C345" s="687"/>
      <c r="D345" s="1267"/>
      <c r="E345" s="1255"/>
      <c r="F345" s="1255">
        <f>SUM(F342:F344)</f>
        <v>0</v>
      </c>
      <c r="G345" s="1255">
        <f>SUM(G342:G344)</f>
        <v>0</v>
      </c>
      <c r="H345" s="1255">
        <f>SUM(H342:H344)</f>
        <v>299032.10791879997</v>
      </c>
      <c r="I345" s="1255">
        <f>SUM(I342:I344)</f>
        <v>14951.60539594</v>
      </c>
    </row>
    <row r="346" spans="1:9" s="181" customFormat="1" ht="18">
      <c r="A346" s="2036" t="s">
        <v>191</v>
      </c>
      <c r="B346" s="1587">
        <f>+B345</f>
        <v>313983.71331473999</v>
      </c>
      <c r="C346" s="1269" t="s">
        <v>427</v>
      </c>
      <c r="D346" s="863"/>
      <c r="E346" s="882">
        <f>+B354*0.15</f>
        <v>312686.7</v>
      </c>
      <c r="F346" s="882"/>
      <c r="G346" s="882"/>
      <c r="H346" s="882"/>
      <c r="I346" s="882"/>
    </row>
    <row r="347" spans="1:9" s="1260" customFormat="1" ht="15" customHeight="1">
      <c r="A347" s="1277"/>
      <c r="B347" s="1278"/>
      <c r="C347" s="1279"/>
      <c r="D347" s="402"/>
      <c r="E347" s="1280"/>
      <c r="F347" s="1280"/>
      <c r="G347" s="1280"/>
      <c r="H347" s="1280"/>
      <c r="I347" s="1280"/>
    </row>
    <row r="348" spans="1:9" s="181" customFormat="1" ht="18">
      <c r="A348" s="2338" t="str">
        <f>+' TANQUE PATAGONIA'!B113</f>
        <v>18.7</v>
      </c>
      <c r="B348" s="3963" t="s">
        <v>6585</v>
      </c>
      <c r="C348" s="3964"/>
      <c r="D348" s="3964"/>
      <c r="E348" s="3964"/>
      <c r="F348" s="3964"/>
      <c r="G348" s="3964"/>
      <c r="H348" s="3964"/>
      <c r="I348" s="3965"/>
    </row>
    <row r="349" spans="1:9" s="181" customFormat="1" ht="18">
      <c r="A349" s="1229"/>
      <c r="B349" s="1258"/>
      <c r="C349" s="1229" t="s">
        <v>140</v>
      </c>
      <c r="D349" s="1229" t="s">
        <v>343</v>
      </c>
      <c r="E349" s="2697" t="s">
        <v>344</v>
      </c>
      <c r="F349" s="2697" t="s">
        <v>482</v>
      </c>
      <c r="G349" s="2697" t="s">
        <v>483</v>
      </c>
      <c r="H349" s="2697" t="s">
        <v>170</v>
      </c>
      <c r="I349" s="2697" t="s">
        <v>171</v>
      </c>
    </row>
    <row r="350" spans="1:9" s="181" customFormat="1" ht="18">
      <c r="A350" s="1580" t="s">
        <v>4131</v>
      </c>
      <c r="B350" s="185" t="s">
        <v>4556</v>
      </c>
      <c r="C350" s="1264">
        <v>1</v>
      </c>
      <c r="D350" s="401" t="s">
        <v>363</v>
      </c>
      <c r="E350" s="2697">
        <f>+'BASE 2'!D580</f>
        <v>1768578</v>
      </c>
      <c r="F350" s="2697"/>
      <c r="G350" s="2697">
        <f>+C350*E350</f>
        <v>1768578</v>
      </c>
      <c r="H350" s="2697"/>
      <c r="I350" s="2697"/>
    </row>
    <row r="351" spans="1:9" s="181" customFormat="1" ht="18">
      <c r="A351" s="2694"/>
      <c r="B351" s="185" t="s">
        <v>6445</v>
      </c>
      <c r="C351" s="1264">
        <v>2</v>
      </c>
      <c r="D351" s="401" t="s">
        <v>363</v>
      </c>
      <c r="E351" s="1585">
        <f>+'BASE 2'!D624</f>
        <v>152000</v>
      </c>
      <c r="F351" s="1814"/>
      <c r="G351" s="1814">
        <f>+E351*C351</f>
        <v>304000</v>
      </c>
      <c r="H351" s="1814"/>
      <c r="I351" s="1814"/>
    </row>
    <row r="352" spans="1:9" s="181" customFormat="1" ht="18">
      <c r="A352" s="1580" t="s">
        <v>584</v>
      </c>
      <c r="B352" s="185" t="s">
        <v>134</v>
      </c>
      <c r="C352" s="1264">
        <v>0.01</v>
      </c>
      <c r="D352" s="401" t="s">
        <v>583</v>
      </c>
      <c r="E352" s="2697">
        <f>+VIAJE</f>
        <v>1200000</v>
      </c>
      <c r="F352" s="2697"/>
      <c r="G352" s="2697"/>
      <c r="H352" s="2697"/>
      <c r="I352" s="2697">
        <f>+E352*C352</f>
        <v>12000</v>
      </c>
    </row>
    <row r="353" spans="1:11" s="181" customFormat="1" ht="18">
      <c r="A353" s="2036" t="s">
        <v>190</v>
      </c>
      <c r="B353" s="1266">
        <f>SUM(F353:I353)</f>
        <v>2084578</v>
      </c>
      <c r="C353" s="687"/>
      <c r="D353" s="1267"/>
      <c r="E353" s="1255"/>
      <c r="F353" s="1255">
        <f>SUM(F350:F352)</f>
        <v>0</v>
      </c>
      <c r="G353" s="1255">
        <f t="shared" ref="G353" si="8">SUM(G350:G352)</f>
        <v>2072578</v>
      </c>
      <c r="H353" s="1255">
        <f t="shared" ref="H353" si="9">SUM(H350:H352)</f>
        <v>0</v>
      </c>
      <c r="I353" s="1255">
        <f t="shared" ref="I353" si="10">SUM(I350:I352)</f>
        <v>12000</v>
      </c>
    </row>
    <row r="354" spans="1:11" s="181" customFormat="1" ht="18">
      <c r="A354" s="2036" t="s">
        <v>191</v>
      </c>
      <c r="B354" s="1587">
        <f>+B353</f>
        <v>2084578</v>
      </c>
      <c r="C354" s="1269" t="s">
        <v>427</v>
      </c>
      <c r="D354" s="863"/>
      <c r="E354" s="882"/>
      <c r="F354" s="882"/>
      <c r="G354" s="882"/>
      <c r="H354" s="882"/>
      <c r="I354" s="882"/>
    </row>
    <row r="356" spans="1:11" s="181" customFormat="1" ht="18">
      <c r="A356" s="2314" t="str">
        <f>+' TANQUE PATAGONIA'!B86</f>
        <v>17.8</v>
      </c>
      <c r="B356" s="3563" t="s">
        <v>4557</v>
      </c>
      <c r="C356" s="3564"/>
      <c r="D356" s="3564"/>
      <c r="E356" s="3564"/>
      <c r="F356" s="3564"/>
      <c r="G356" s="3564"/>
      <c r="H356" s="3564"/>
      <c r="I356" s="3565"/>
    </row>
    <row r="357" spans="1:11" s="181" customFormat="1" ht="18">
      <c r="A357" s="1229"/>
      <c r="B357" s="1258"/>
      <c r="C357" s="1229" t="s">
        <v>140</v>
      </c>
      <c r="D357" s="1229" t="s">
        <v>343</v>
      </c>
      <c r="E357" s="2697" t="s">
        <v>344</v>
      </c>
      <c r="F357" s="2697" t="s">
        <v>482</v>
      </c>
      <c r="G357" s="2697" t="s">
        <v>483</v>
      </c>
      <c r="H357" s="2697" t="s">
        <v>170</v>
      </c>
      <c r="I357" s="2697" t="s">
        <v>171</v>
      </c>
    </row>
    <row r="358" spans="1:11" s="181" customFormat="1" ht="18">
      <c r="A358" s="1229"/>
      <c r="B358" s="1258" t="s">
        <v>6439</v>
      </c>
      <c r="C358" s="1264">
        <v>3.1</v>
      </c>
      <c r="D358" s="401" t="s">
        <v>346</v>
      </c>
      <c r="E358" s="2697">
        <f>+OFICI</f>
        <v>80479.625344</v>
      </c>
      <c r="F358" s="2697"/>
      <c r="G358" s="2697"/>
      <c r="H358" s="1255">
        <f>+E358*C358</f>
        <v>249486.83856639999</v>
      </c>
      <c r="I358" s="2697"/>
    </row>
    <row r="359" spans="1:11" s="181" customFormat="1" ht="18">
      <c r="A359" s="1580" t="s">
        <v>347</v>
      </c>
      <c r="B359" s="185" t="s">
        <v>266</v>
      </c>
      <c r="C359" s="1264">
        <v>3.1</v>
      </c>
      <c r="D359" s="401" t="s">
        <v>346</v>
      </c>
      <c r="E359" s="1255">
        <f>AYUDA*2</f>
        <v>130779.39118400001</v>
      </c>
      <c r="F359" s="1255"/>
      <c r="G359" s="1255"/>
      <c r="H359" s="1255">
        <f>+E359*C359</f>
        <v>405416.11267040001</v>
      </c>
      <c r="I359" s="2697"/>
    </row>
    <row r="360" spans="1:11" s="402" customFormat="1" ht="15" customHeight="1">
      <c r="A360" s="954"/>
      <c r="B360" s="185" t="s">
        <v>6426</v>
      </c>
      <c r="C360" s="1264">
        <v>3.1</v>
      </c>
      <c r="D360" s="401" t="s">
        <v>346</v>
      </c>
      <c r="E360" s="2697">
        <f>+'BASE 2'!D736</f>
        <v>18500</v>
      </c>
      <c r="F360" s="2697">
        <f>+E360*C360</f>
        <v>57350</v>
      </c>
      <c r="G360" s="2697"/>
      <c r="H360" s="2697"/>
      <c r="I360" s="2697"/>
      <c r="J360" s="507"/>
    </row>
    <row r="361" spans="1:11" s="402" customFormat="1" ht="15" customHeight="1">
      <c r="A361" s="1261" t="s">
        <v>736</v>
      </c>
      <c r="B361" s="1259" t="s">
        <v>6410</v>
      </c>
      <c r="C361" s="182">
        <v>2</v>
      </c>
      <c r="D361" s="509" t="s">
        <v>735</v>
      </c>
      <c r="E361" s="497">
        <f>+RETRO</f>
        <v>150000</v>
      </c>
      <c r="F361" s="1585">
        <f>+E361*C361</f>
        <v>300000</v>
      </c>
      <c r="G361" s="1585"/>
      <c r="H361" s="1585"/>
      <c r="I361" s="184"/>
      <c r="K361" s="402">
        <f>1/18</f>
        <v>5.5555555555555552E-2</v>
      </c>
    </row>
    <row r="362" spans="1:11" s="181" customFormat="1" ht="18">
      <c r="A362" s="1580" t="s">
        <v>172</v>
      </c>
      <c r="B362" s="185" t="s">
        <v>189</v>
      </c>
      <c r="C362" s="1264">
        <v>1</v>
      </c>
      <c r="D362" s="401" t="s">
        <v>583</v>
      </c>
      <c r="E362" s="1255">
        <f>H363*0.05</f>
        <v>32745.147561840004</v>
      </c>
      <c r="F362" s="1255"/>
      <c r="G362" s="1255"/>
      <c r="H362" s="1255"/>
      <c r="I362" s="2697">
        <f>+E362*C362</f>
        <v>32745.147561840004</v>
      </c>
    </row>
    <row r="363" spans="1:11" s="181" customFormat="1" ht="18">
      <c r="A363" s="2036" t="s">
        <v>190</v>
      </c>
      <c r="B363" s="1266">
        <f>SUM(F363:I363)</f>
        <v>1044998.0987986401</v>
      </c>
      <c r="C363" s="687"/>
      <c r="D363" s="1267"/>
      <c r="E363" s="1255"/>
      <c r="F363" s="1255">
        <f>SUM(F358:F362)</f>
        <v>357350</v>
      </c>
      <c r="G363" s="1255">
        <f>SUM(G358:G362)</f>
        <v>0</v>
      </c>
      <c r="H363" s="1255">
        <f>SUM(H358:H362)</f>
        <v>654902.95123680006</v>
      </c>
      <c r="I363" s="1255">
        <f>SUM(I358:I362)</f>
        <v>32745.147561840004</v>
      </c>
    </row>
    <row r="364" spans="1:11" s="181" customFormat="1" ht="18">
      <c r="A364" s="2036" t="s">
        <v>191</v>
      </c>
      <c r="B364" s="1587">
        <f>+B363</f>
        <v>1044998.0987986401</v>
      </c>
      <c r="C364" s="1269" t="s">
        <v>427</v>
      </c>
      <c r="D364" s="863"/>
      <c r="E364" s="882">
        <f>+B372*0.15</f>
        <v>1024250.5499999999</v>
      </c>
      <c r="F364" s="882"/>
      <c r="G364" s="882"/>
      <c r="H364" s="882"/>
      <c r="I364" s="882"/>
    </row>
    <row r="365" spans="1:11" s="1260" customFormat="1" ht="15" customHeight="1">
      <c r="A365" s="1277"/>
      <c r="B365" s="1278"/>
      <c r="C365" s="1279"/>
      <c r="D365" s="402"/>
      <c r="E365" s="1280"/>
      <c r="F365" s="1280"/>
      <c r="G365" s="1280"/>
      <c r="H365" s="1280"/>
      <c r="I365" s="1280"/>
    </row>
    <row r="366" spans="1:11" s="181" customFormat="1" ht="18">
      <c r="A366" s="2338" t="str">
        <f>+' TANQUE PATAGONIA'!B114</f>
        <v>18.8</v>
      </c>
      <c r="B366" s="3963" t="s">
        <v>6587</v>
      </c>
      <c r="C366" s="3964"/>
      <c r="D366" s="3964"/>
      <c r="E366" s="3964"/>
      <c r="F366" s="3964"/>
      <c r="G366" s="3964"/>
      <c r="H366" s="3964"/>
      <c r="I366" s="3965"/>
    </row>
    <row r="367" spans="1:11" s="181" customFormat="1" ht="18">
      <c r="A367" s="1229"/>
      <c r="B367" s="1258"/>
      <c r="C367" s="1229" t="s">
        <v>140</v>
      </c>
      <c r="D367" s="1229" t="s">
        <v>343</v>
      </c>
      <c r="E367" s="2697" t="s">
        <v>344</v>
      </c>
      <c r="F367" s="2697" t="s">
        <v>482</v>
      </c>
      <c r="G367" s="2697" t="s">
        <v>483</v>
      </c>
      <c r="H367" s="2697" t="s">
        <v>170</v>
      </c>
      <c r="I367" s="2697" t="s">
        <v>171</v>
      </c>
    </row>
    <row r="368" spans="1:11" s="181" customFormat="1" ht="18">
      <c r="A368" s="1580" t="s">
        <v>4131</v>
      </c>
      <c r="B368" s="185" t="s">
        <v>6588</v>
      </c>
      <c r="C368" s="1264">
        <v>1</v>
      </c>
      <c r="D368" s="401" t="s">
        <v>363</v>
      </c>
      <c r="E368" s="2697">
        <f>+'BASE 2'!D586</f>
        <v>6476337</v>
      </c>
      <c r="F368" s="2697"/>
      <c r="G368" s="2697">
        <f>+C368*E368</f>
        <v>6476337</v>
      </c>
      <c r="H368" s="2697"/>
      <c r="I368" s="2697"/>
    </row>
    <row r="369" spans="1:11" s="181" customFormat="1" ht="18">
      <c r="A369" s="2694"/>
      <c r="B369" s="185" t="s">
        <v>6445</v>
      </c>
      <c r="C369" s="1264">
        <v>2</v>
      </c>
      <c r="D369" s="401" t="s">
        <v>363</v>
      </c>
      <c r="E369" s="1585">
        <f>+'BASE 2'!D624</f>
        <v>152000</v>
      </c>
      <c r="F369" s="1814"/>
      <c r="G369" s="1814">
        <f>+E369*C369</f>
        <v>304000</v>
      </c>
      <c r="H369" s="1814"/>
      <c r="I369" s="1814"/>
    </row>
    <row r="370" spans="1:11" s="181" customFormat="1" ht="18">
      <c r="A370" s="1580" t="s">
        <v>584</v>
      </c>
      <c r="B370" s="185" t="s">
        <v>134</v>
      </c>
      <c r="C370" s="1264">
        <v>0.04</v>
      </c>
      <c r="D370" s="401" t="s">
        <v>583</v>
      </c>
      <c r="E370" s="2697">
        <f>+VIAJE</f>
        <v>1200000</v>
      </c>
      <c r="F370" s="2697"/>
      <c r="G370" s="2697"/>
      <c r="H370" s="2697"/>
      <c r="I370" s="2697">
        <f>+E370*C370</f>
        <v>48000</v>
      </c>
    </row>
    <row r="371" spans="1:11" s="181" customFormat="1" ht="18">
      <c r="A371" s="2036" t="s">
        <v>190</v>
      </c>
      <c r="B371" s="1266">
        <f>SUM(F371:I371)</f>
        <v>6828337</v>
      </c>
      <c r="C371" s="687"/>
      <c r="D371" s="1267"/>
      <c r="E371" s="1255"/>
      <c r="F371" s="1255">
        <f>SUM(F368:F370)</f>
        <v>0</v>
      </c>
      <c r="G371" s="1255">
        <f t="shared" ref="G371" si="11">SUM(G368:G370)</f>
        <v>6780337</v>
      </c>
      <c r="H371" s="1255">
        <f t="shared" ref="H371" si="12">SUM(H368:H370)</f>
        <v>0</v>
      </c>
      <c r="I371" s="1255">
        <f t="shared" ref="I371" si="13">SUM(I368:I370)</f>
        <v>48000</v>
      </c>
    </row>
    <row r="372" spans="1:11" s="181" customFormat="1" ht="18">
      <c r="A372" s="2036" t="s">
        <v>191</v>
      </c>
      <c r="B372" s="1587">
        <f>+B371</f>
        <v>6828337</v>
      </c>
      <c r="C372" s="1269" t="s">
        <v>427</v>
      </c>
      <c r="D372" s="863"/>
      <c r="E372" s="882"/>
      <c r="F372" s="882"/>
      <c r="G372" s="882"/>
      <c r="H372" s="882"/>
      <c r="I372" s="882"/>
    </row>
    <row r="374" spans="1:11" s="181" customFormat="1" ht="18">
      <c r="A374" s="2314" t="str">
        <f>+' TANQUE PATAGONIA'!B87</f>
        <v>17.9</v>
      </c>
      <c r="B374" s="3563" t="s">
        <v>6589</v>
      </c>
      <c r="C374" s="3564"/>
      <c r="D374" s="3564"/>
      <c r="E374" s="3564"/>
      <c r="F374" s="3564"/>
      <c r="G374" s="3564"/>
      <c r="H374" s="3564"/>
      <c r="I374" s="3565"/>
    </row>
    <row r="375" spans="1:11" s="181" customFormat="1" ht="18">
      <c r="A375" s="1229"/>
      <c r="B375" s="1258"/>
      <c r="C375" s="1229" t="s">
        <v>140</v>
      </c>
      <c r="D375" s="1229" t="s">
        <v>343</v>
      </c>
      <c r="E375" s="2697" t="s">
        <v>344</v>
      </c>
      <c r="F375" s="2697" t="s">
        <v>482</v>
      </c>
      <c r="G375" s="2697" t="s">
        <v>483</v>
      </c>
      <c r="H375" s="2697" t="s">
        <v>170</v>
      </c>
      <c r="I375" s="2697" t="s">
        <v>171</v>
      </c>
    </row>
    <row r="376" spans="1:11" s="181" customFormat="1" ht="18">
      <c r="A376" s="1229"/>
      <c r="B376" s="1258" t="s">
        <v>6439</v>
      </c>
      <c r="C376" s="1264">
        <v>2.78</v>
      </c>
      <c r="D376" s="401" t="s">
        <v>346</v>
      </c>
      <c r="E376" s="2697">
        <f>+OFICI</f>
        <v>80479.625344</v>
      </c>
      <c r="F376" s="2697"/>
      <c r="G376" s="2697"/>
      <c r="H376" s="1255">
        <f>+E376*C376</f>
        <v>223733.35845631998</v>
      </c>
      <c r="I376" s="2697"/>
    </row>
    <row r="377" spans="1:11" s="181" customFormat="1" ht="18">
      <c r="A377" s="1580" t="s">
        <v>347</v>
      </c>
      <c r="B377" s="185" t="s">
        <v>266</v>
      </c>
      <c r="C377" s="1264">
        <v>2.78</v>
      </c>
      <c r="D377" s="401" t="s">
        <v>346</v>
      </c>
      <c r="E377" s="1255">
        <f>AYUDA*2</f>
        <v>130779.39118400001</v>
      </c>
      <c r="F377" s="1255"/>
      <c r="G377" s="1255"/>
      <c r="H377" s="1255">
        <f>+E377*C377</f>
        <v>363566.70749151998</v>
      </c>
      <c r="I377" s="2697"/>
    </row>
    <row r="378" spans="1:11" s="402" customFormat="1" ht="15" customHeight="1">
      <c r="A378" s="954"/>
      <c r="B378" s="185" t="s">
        <v>6426</v>
      </c>
      <c r="C378" s="1264">
        <v>2.78</v>
      </c>
      <c r="D378" s="401" t="s">
        <v>346</v>
      </c>
      <c r="E378" s="2697">
        <f>+'BASE 2'!D754</f>
        <v>24000</v>
      </c>
      <c r="F378" s="2697">
        <f>+E378*C378</f>
        <v>66720</v>
      </c>
      <c r="G378" s="2697"/>
      <c r="H378" s="2697"/>
      <c r="I378" s="2697"/>
      <c r="J378" s="507"/>
    </row>
    <row r="379" spans="1:11" s="402" customFormat="1" ht="15" customHeight="1">
      <c r="A379" s="1261" t="s">
        <v>736</v>
      </c>
      <c r="B379" s="1259" t="s">
        <v>6410</v>
      </c>
      <c r="C379" s="182">
        <v>2</v>
      </c>
      <c r="D379" s="509" t="s">
        <v>735</v>
      </c>
      <c r="E379" s="497">
        <f>+RETRO</f>
        <v>150000</v>
      </c>
      <c r="F379" s="1585">
        <f>+E379*C379</f>
        <v>300000</v>
      </c>
      <c r="G379" s="1585"/>
      <c r="H379" s="1585"/>
      <c r="I379" s="184"/>
      <c r="K379" s="402">
        <f>1/18</f>
        <v>5.5555555555555552E-2</v>
      </c>
    </row>
    <row r="380" spans="1:11" s="181" customFormat="1" ht="18">
      <c r="A380" s="1580" t="s">
        <v>172</v>
      </c>
      <c r="B380" s="185" t="s">
        <v>189</v>
      </c>
      <c r="C380" s="1264">
        <v>1</v>
      </c>
      <c r="D380" s="401" t="s">
        <v>583</v>
      </c>
      <c r="E380" s="1255">
        <f>H381*0.05</f>
        <v>29365.003297392002</v>
      </c>
      <c r="F380" s="1255"/>
      <c r="G380" s="1255"/>
      <c r="H380" s="1255"/>
      <c r="I380" s="2697">
        <f>+E380*C380</f>
        <v>29365.003297392002</v>
      </c>
    </row>
    <row r="381" spans="1:11" s="181" customFormat="1" ht="18">
      <c r="A381" s="2036" t="s">
        <v>190</v>
      </c>
      <c r="B381" s="1266">
        <f>SUM(F381:I381)</f>
        <v>983385.06924523204</v>
      </c>
      <c r="C381" s="687"/>
      <c r="D381" s="1267"/>
      <c r="E381" s="1255"/>
      <c r="F381" s="1255">
        <f>SUM(F376:F380)</f>
        <v>366720</v>
      </c>
      <c r="G381" s="1255">
        <f>SUM(G376:G380)</f>
        <v>0</v>
      </c>
      <c r="H381" s="1255">
        <f>SUM(H376:H380)</f>
        <v>587300.06594783999</v>
      </c>
      <c r="I381" s="1255">
        <f>SUM(I376:I380)</f>
        <v>29365.003297392002</v>
      </c>
    </row>
    <row r="382" spans="1:11" s="181" customFormat="1" ht="18">
      <c r="A382" s="2036" t="s">
        <v>191</v>
      </c>
      <c r="B382" s="1587">
        <f>+B381</f>
        <v>983385.06924523204</v>
      </c>
      <c r="C382" s="1269" t="s">
        <v>427</v>
      </c>
      <c r="D382" s="863"/>
      <c r="E382" s="882">
        <f>+B390*0.15</f>
        <v>985319.7</v>
      </c>
      <c r="F382" s="882"/>
      <c r="G382" s="882"/>
      <c r="H382" s="882"/>
      <c r="I382" s="882"/>
    </row>
    <row r="383" spans="1:11" s="1260" customFormat="1" ht="15" customHeight="1">
      <c r="A383" s="1277"/>
      <c r="B383" s="1278"/>
      <c r="C383" s="1279"/>
      <c r="D383" s="402"/>
      <c r="E383" s="1280"/>
      <c r="F383" s="1280"/>
      <c r="G383" s="1280"/>
      <c r="H383" s="1280"/>
      <c r="I383" s="1280"/>
    </row>
    <row r="384" spans="1:11" s="181" customFormat="1" ht="18">
      <c r="A384" s="2338" t="str">
        <f>+' TANQUE PATAGONIA'!B115</f>
        <v>18.9</v>
      </c>
      <c r="B384" s="3963" t="s">
        <v>4558</v>
      </c>
      <c r="C384" s="3964"/>
      <c r="D384" s="3964"/>
      <c r="E384" s="3964"/>
      <c r="F384" s="3964"/>
      <c r="G384" s="3964"/>
      <c r="H384" s="3964"/>
      <c r="I384" s="3965"/>
    </row>
    <row r="385" spans="1:11" s="181" customFormat="1" ht="18">
      <c r="A385" s="1229"/>
      <c r="B385" s="1258"/>
      <c r="C385" s="1229" t="s">
        <v>140</v>
      </c>
      <c r="D385" s="1229" t="s">
        <v>343</v>
      </c>
      <c r="E385" s="2697" t="s">
        <v>344</v>
      </c>
      <c r="F385" s="2697" t="s">
        <v>482</v>
      </c>
      <c r="G385" s="2697" t="s">
        <v>483</v>
      </c>
      <c r="H385" s="2697" t="s">
        <v>170</v>
      </c>
      <c r="I385" s="2697" t="s">
        <v>171</v>
      </c>
    </row>
    <row r="386" spans="1:11" s="181" customFormat="1" ht="18">
      <c r="A386" s="1580" t="s">
        <v>4131</v>
      </c>
      <c r="B386" s="185" t="s">
        <v>6590</v>
      </c>
      <c r="C386" s="1264">
        <v>1</v>
      </c>
      <c r="D386" s="401" t="s">
        <v>363</v>
      </c>
      <c r="E386" s="2697">
        <f>+'BASE 2'!D585</f>
        <v>6216798</v>
      </c>
      <c r="F386" s="2697"/>
      <c r="G386" s="2697">
        <f>+C386*E386</f>
        <v>6216798</v>
      </c>
      <c r="H386" s="2697"/>
      <c r="I386" s="2697"/>
    </row>
    <row r="387" spans="1:11" s="181" customFormat="1" ht="18">
      <c r="A387" s="2694"/>
      <c r="B387" s="185" t="s">
        <v>6445</v>
      </c>
      <c r="C387" s="1264">
        <v>2</v>
      </c>
      <c r="D387" s="401" t="s">
        <v>363</v>
      </c>
      <c r="E387" s="1585">
        <f>+'BASE 2'!D624</f>
        <v>152000</v>
      </c>
      <c r="F387" s="1814"/>
      <c r="G387" s="1814">
        <f>+E387*C387</f>
        <v>304000</v>
      </c>
      <c r="H387" s="1814"/>
      <c r="I387" s="1814"/>
    </row>
    <row r="388" spans="1:11" s="181" customFormat="1" ht="18">
      <c r="A388" s="1580" t="s">
        <v>584</v>
      </c>
      <c r="B388" s="185" t="s">
        <v>134</v>
      </c>
      <c r="C388" s="1264">
        <v>0.04</v>
      </c>
      <c r="D388" s="401" t="s">
        <v>583</v>
      </c>
      <c r="E388" s="2697">
        <f>+VIAJE</f>
        <v>1200000</v>
      </c>
      <c r="F388" s="2697"/>
      <c r="G388" s="2697"/>
      <c r="H388" s="2697"/>
      <c r="I388" s="2697">
        <f>+E388*C388</f>
        <v>48000</v>
      </c>
    </row>
    <row r="389" spans="1:11" s="181" customFormat="1" ht="18">
      <c r="A389" s="2036" t="s">
        <v>190</v>
      </c>
      <c r="B389" s="1266">
        <f>SUM(F389:I389)</f>
        <v>6568798</v>
      </c>
      <c r="C389" s="687"/>
      <c r="D389" s="1267"/>
      <c r="E389" s="1255"/>
      <c r="F389" s="1255">
        <f>SUM(F386:F388)</f>
        <v>0</v>
      </c>
      <c r="G389" s="1255">
        <f t="shared" ref="G389" si="14">SUM(G386:G388)</f>
        <v>6520798</v>
      </c>
      <c r="H389" s="1255">
        <f t="shared" ref="H389" si="15">SUM(H386:H388)</f>
        <v>0</v>
      </c>
      <c r="I389" s="1255">
        <f t="shared" ref="I389" si="16">SUM(I386:I388)</f>
        <v>48000</v>
      </c>
    </row>
    <row r="390" spans="1:11" s="181" customFormat="1" ht="18">
      <c r="A390" s="2036" t="s">
        <v>191</v>
      </c>
      <c r="B390" s="1587">
        <f>+B389</f>
        <v>6568798</v>
      </c>
      <c r="C390" s="1269" t="s">
        <v>427</v>
      </c>
      <c r="D390" s="863"/>
      <c r="E390" s="882"/>
      <c r="F390" s="882"/>
      <c r="G390" s="882"/>
      <c r="H390" s="882"/>
      <c r="I390" s="882"/>
    </row>
    <row r="392" spans="1:11" s="181" customFormat="1" ht="18">
      <c r="A392" s="2314" t="str">
        <f>+' TANQUE PATAGONIA'!B88</f>
        <v>17.10</v>
      </c>
      <c r="B392" s="3563" t="s">
        <v>4560</v>
      </c>
      <c r="C392" s="3564"/>
      <c r="D392" s="3564"/>
      <c r="E392" s="3564"/>
      <c r="F392" s="3564"/>
      <c r="G392" s="3564"/>
      <c r="H392" s="3564"/>
      <c r="I392" s="3565"/>
    </row>
    <row r="393" spans="1:11" s="181" customFormat="1" ht="18">
      <c r="A393" s="1229"/>
      <c r="B393" s="1258"/>
      <c r="C393" s="1229" t="s">
        <v>140</v>
      </c>
      <c r="D393" s="1229" t="s">
        <v>343</v>
      </c>
      <c r="E393" s="2697" t="s">
        <v>344</v>
      </c>
      <c r="F393" s="2697" t="s">
        <v>482</v>
      </c>
      <c r="G393" s="2697" t="s">
        <v>483</v>
      </c>
      <c r="H393" s="2697" t="s">
        <v>170</v>
      </c>
      <c r="I393" s="2697" t="s">
        <v>171</v>
      </c>
    </row>
    <row r="394" spans="1:11" s="181" customFormat="1" ht="18">
      <c r="A394" s="1229"/>
      <c r="B394" s="1258" t="s">
        <v>6439</v>
      </c>
      <c r="C394" s="1264">
        <v>1.9550000000000001</v>
      </c>
      <c r="D394" s="401" t="s">
        <v>346</v>
      </c>
      <c r="E394" s="2697">
        <f>+OFICI</f>
        <v>80479.625344</v>
      </c>
      <c r="F394" s="2697"/>
      <c r="G394" s="2697"/>
      <c r="H394" s="1255">
        <f>+E394*C394</f>
        <v>157337.66754752002</v>
      </c>
      <c r="I394" s="2697"/>
    </row>
    <row r="395" spans="1:11" s="181" customFormat="1" ht="18">
      <c r="A395" s="1580" t="s">
        <v>347</v>
      </c>
      <c r="B395" s="185" t="s">
        <v>266</v>
      </c>
      <c r="C395" s="1264">
        <v>1.9550000000000001</v>
      </c>
      <c r="D395" s="401" t="s">
        <v>346</v>
      </c>
      <c r="E395" s="1255">
        <f>AYUDA*2</f>
        <v>130779.39118400001</v>
      </c>
      <c r="F395" s="1255"/>
      <c r="G395" s="1255"/>
      <c r="H395" s="1255">
        <f>+E395*C395</f>
        <v>255673.70976472003</v>
      </c>
      <c r="I395" s="2697"/>
    </row>
    <row r="396" spans="1:11" s="402" customFormat="1" ht="15" customHeight="1">
      <c r="A396" s="954"/>
      <c r="B396" s="185" t="s">
        <v>6426</v>
      </c>
      <c r="C396" s="1264">
        <v>1.9550000000000001</v>
      </c>
      <c r="D396" s="401" t="s">
        <v>346</v>
      </c>
      <c r="E396" s="2697">
        <f>+'BASE 2'!D772</f>
        <v>35000</v>
      </c>
      <c r="F396" s="2697">
        <f>+E396*C396</f>
        <v>68425</v>
      </c>
      <c r="G396" s="2697"/>
      <c r="H396" s="2697"/>
      <c r="I396" s="2697"/>
      <c r="J396" s="507"/>
    </row>
    <row r="397" spans="1:11" s="402" customFormat="1" ht="15" customHeight="1">
      <c r="A397" s="1261" t="s">
        <v>736</v>
      </c>
      <c r="B397" s="1259" t="s">
        <v>6410</v>
      </c>
      <c r="C397" s="182">
        <v>1.5</v>
      </c>
      <c r="D397" s="509" t="s">
        <v>735</v>
      </c>
      <c r="E397" s="497">
        <f>+RETRO</f>
        <v>150000</v>
      </c>
      <c r="F397" s="1585">
        <f>+E397*C397</f>
        <v>225000</v>
      </c>
      <c r="G397" s="1585"/>
      <c r="H397" s="1585"/>
      <c r="I397" s="184"/>
      <c r="K397" s="402">
        <f>1/18</f>
        <v>5.5555555555555552E-2</v>
      </c>
    </row>
    <row r="398" spans="1:11" s="181" customFormat="1" ht="18">
      <c r="A398" s="1580" t="s">
        <v>172</v>
      </c>
      <c r="B398" s="185" t="s">
        <v>189</v>
      </c>
      <c r="C398" s="1264">
        <v>1</v>
      </c>
      <c r="D398" s="401" t="s">
        <v>583</v>
      </c>
      <c r="E398" s="1255">
        <f>H399*0.05</f>
        <v>20650.568865612004</v>
      </c>
      <c r="F398" s="1255"/>
      <c r="G398" s="1255"/>
      <c r="H398" s="1255"/>
      <c r="I398" s="2697">
        <f>+E398*C398</f>
        <v>20650.568865612004</v>
      </c>
    </row>
    <row r="399" spans="1:11" s="181" customFormat="1" ht="18">
      <c r="A399" s="2036" t="s">
        <v>190</v>
      </c>
      <c r="B399" s="1266">
        <f>SUM(F399:I399)</f>
        <v>727086.94617785211</v>
      </c>
      <c r="C399" s="687"/>
      <c r="D399" s="1267"/>
      <c r="E399" s="1255"/>
      <c r="F399" s="1255">
        <f>SUM(F394:F398)</f>
        <v>293425</v>
      </c>
      <c r="G399" s="1255">
        <f>SUM(G394:G398)</f>
        <v>0</v>
      </c>
      <c r="H399" s="1255">
        <f>SUM(H394:H398)</f>
        <v>413011.37731224007</v>
      </c>
      <c r="I399" s="1255">
        <f>SUM(I394:I398)</f>
        <v>20650.568865612004</v>
      </c>
    </row>
    <row r="400" spans="1:11" s="181" customFormat="1" ht="18">
      <c r="A400" s="2036" t="s">
        <v>191</v>
      </c>
      <c r="B400" s="1587">
        <f>+B399</f>
        <v>727086.94617785211</v>
      </c>
      <c r="C400" s="1269" t="s">
        <v>427</v>
      </c>
      <c r="D400" s="863"/>
      <c r="E400" s="882">
        <f>+B408*0.15</f>
        <v>726622.5</v>
      </c>
      <c r="F400" s="882"/>
      <c r="G400" s="882"/>
      <c r="H400" s="882"/>
      <c r="I400" s="882"/>
    </row>
    <row r="401" spans="1:11" s="1260" customFormat="1" ht="15" customHeight="1">
      <c r="A401" s="1277"/>
      <c r="B401" s="1278"/>
      <c r="C401" s="1279"/>
      <c r="D401" s="402"/>
      <c r="E401" s="1280"/>
      <c r="F401" s="1280"/>
      <c r="G401" s="1280"/>
      <c r="H401" s="1280"/>
      <c r="I401" s="1280"/>
    </row>
    <row r="402" spans="1:11" s="181" customFormat="1" ht="18">
      <c r="A402" s="2338" t="str">
        <f>+' TANQUE PATAGONIA'!B116</f>
        <v>18.10</v>
      </c>
      <c r="B402" s="3963" t="s">
        <v>6592</v>
      </c>
      <c r="C402" s="3964"/>
      <c r="D402" s="3964"/>
      <c r="E402" s="3964"/>
      <c r="F402" s="3964"/>
      <c r="G402" s="3964"/>
      <c r="H402" s="3964"/>
      <c r="I402" s="3965"/>
    </row>
    <row r="403" spans="1:11" s="181" customFormat="1" ht="18">
      <c r="A403" s="1229"/>
      <c r="B403" s="1258"/>
      <c r="C403" s="1229" t="s">
        <v>140</v>
      </c>
      <c r="D403" s="1229" t="s">
        <v>343</v>
      </c>
      <c r="E403" s="2697" t="s">
        <v>344</v>
      </c>
      <c r="F403" s="2697" t="s">
        <v>482</v>
      </c>
      <c r="G403" s="2697" t="s">
        <v>483</v>
      </c>
      <c r="H403" s="2697" t="s">
        <v>170</v>
      </c>
      <c r="I403" s="2697" t="s">
        <v>171</v>
      </c>
    </row>
    <row r="404" spans="1:11" s="181" customFormat="1" ht="18">
      <c r="A404" s="1580" t="s">
        <v>4131</v>
      </c>
      <c r="B404" s="185" t="s">
        <v>6593</v>
      </c>
      <c r="C404" s="1264">
        <v>1</v>
      </c>
      <c r="D404" s="401" t="s">
        <v>363</v>
      </c>
      <c r="E404" s="2697">
        <f>+'BASE 2'!D584</f>
        <v>4504150</v>
      </c>
      <c r="F404" s="2697"/>
      <c r="G404" s="2697">
        <f>+C404*E404</f>
        <v>4504150</v>
      </c>
      <c r="H404" s="2697"/>
      <c r="I404" s="2697"/>
    </row>
    <row r="405" spans="1:11" s="181" customFormat="1" ht="18">
      <c r="A405" s="2694"/>
      <c r="B405" s="185" t="s">
        <v>6445</v>
      </c>
      <c r="C405" s="1264">
        <v>2</v>
      </c>
      <c r="D405" s="401" t="s">
        <v>363</v>
      </c>
      <c r="E405" s="1585">
        <f>+'BASE 2'!D624</f>
        <v>152000</v>
      </c>
      <c r="F405" s="1814"/>
      <c r="G405" s="1814">
        <f>+E405*C405</f>
        <v>304000</v>
      </c>
      <c r="H405" s="1814"/>
      <c r="I405" s="1814"/>
    </row>
    <row r="406" spans="1:11" s="181" customFormat="1" ht="18">
      <c r="A406" s="1580" t="s">
        <v>584</v>
      </c>
      <c r="B406" s="185" t="s">
        <v>134</v>
      </c>
      <c r="C406" s="1264">
        <v>0.03</v>
      </c>
      <c r="D406" s="401" t="s">
        <v>583</v>
      </c>
      <c r="E406" s="2697">
        <f>+VIAJE</f>
        <v>1200000</v>
      </c>
      <c r="F406" s="2697"/>
      <c r="G406" s="2697"/>
      <c r="H406" s="2697"/>
      <c r="I406" s="2697">
        <f>+E406*C406</f>
        <v>36000</v>
      </c>
    </row>
    <row r="407" spans="1:11" s="181" customFormat="1" ht="18">
      <c r="A407" s="2036" t="s">
        <v>190</v>
      </c>
      <c r="B407" s="1266">
        <f>SUM(F407:I407)</f>
        <v>4844150</v>
      </c>
      <c r="C407" s="687"/>
      <c r="D407" s="1267"/>
      <c r="E407" s="1255"/>
      <c r="F407" s="1255">
        <f>SUM(F404:F406)</f>
        <v>0</v>
      </c>
      <c r="G407" s="1255">
        <f t="shared" ref="G407" si="17">SUM(G404:G406)</f>
        <v>4808150</v>
      </c>
      <c r="H407" s="1255">
        <f t="shared" ref="H407" si="18">SUM(H404:H406)</f>
        <v>0</v>
      </c>
      <c r="I407" s="1255">
        <f t="shared" ref="I407" si="19">SUM(I404:I406)</f>
        <v>36000</v>
      </c>
    </row>
    <row r="408" spans="1:11" s="181" customFormat="1" ht="18">
      <c r="A408" s="2036" t="s">
        <v>191</v>
      </c>
      <c r="B408" s="1587">
        <f>+B407</f>
        <v>4844150</v>
      </c>
      <c r="C408" s="1269" t="s">
        <v>427</v>
      </c>
      <c r="D408" s="863"/>
      <c r="E408" s="882"/>
      <c r="F408" s="882"/>
      <c r="G408" s="882"/>
      <c r="H408" s="882"/>
      <c r="I408" s="882"/>
    </row>
    <row r="410" spans="1:11" s="181" customFormat="1" ht="18">
      <c r="A410" s="2314" t="str">
        <f>+' TANQUE PATAGONIA'!B89</f>
        <v>17.11</v>
      </c>
      <c r="B410" s="3563" t="s">
        <v>6594</v>
      </c>
      <c r="C410" s="3564"/>
      <c r="D410" s="3564"/>
      <c r="E410" s="3564"/>
      <c r="F410" s="3564"/>
      <c r="G410" s="3564"/>
      <c r="H410" s="3564"/>
      <c r="I410" s="3565"/>
    </row>
    <row r="411" spans="1:11" s="181" customFormat="1" ht="18">
      <c r="A411" s="1229"/>
      <c r="B411" s="1258"/>
      <c r="C411" s="1229" t="s">
        <v>140</v>
      </c>
      <c r="D411" s="1229" t="s">
        <v>343</v>
      </c>
      <c r="E411" s="2697" t="s">
        <v>344</v>
      </c>
      <c r="F411" s="2697" t="s">
        <v>482</v>
      </c>
      <c r="G411" s="2697" t="s">
        <v>483</v>
      </c>
      <c r="H411" s="2697" t="s">
        <v>170</v>
      </c>
      <c r="I411" s="2697" t="s">
        <v>171</v>
      </c>
    </row>
    <row r="412" spans="1:11" s="181" customFormat="1" ht="18">
      <c r="A412" s="1229"/>
      <c r="B412" s="1258" t="s">
        <v>6439</v>
      </c>
      <c r="C412" s="1264">
        <v>5.7</v>
      </c>
      <c r="D412" s="401" t="s">
        <v>346</v>
      </c>
      <c r="E412" s="2697">
        <f>+OFICI</f>
        <v>80479.625344</v>
      </c>
      <c r="F412" s="2697"/>
      <c r="G412" s="2697"/>
      <c r="H412" s="1255">
        <f>+E412*C412</f>
        <v>458733.86446080002</v>
      </c>
      <c r="I412" s="2697"/>
    </row>
    <row r="413" spans="1:11" s="181" customFormat="1" ht="18">
      <c r="A413" s="1580" t="s">
        <v>347</v>
      </c>
      <c r="B413" s="185" t="s">
        <v>266</v>
      </c>
      <c r="C413" s="1264">
        <v>5.7</v>
      </c>
      <c r="D413" s="401" t="s">
        <v>346</v>
      </c>
      <c r="E413" s="1255">
        <f>AYUDA*4</f>
        <v>261558.78236800001</v>
      </c>
      <c r="F413" s="1255"/>
      <c r="G413" s="1255"/>
      <c r="H413" s="1255">
        <f>+E413*C413</f>
        <v>1490885.0594976002</v>
      </c>
      <c r="I413" s="2697"/>
    </row>
    <row r="414" spans="1:11" s="402" customFormat="1" ht="15" customHeight="1">
      <c r="A414" s="954"/>
      <c r="B414" s="185" t="s">
        <v>6426</v>
      </c>
      <c r="C414" s="1264">
        <v>5.7</v>
      </c>
      <c r="D414" s="401" t="s">
        <v>346</v>
      </c>
      <c r="E414" s="2697">
        <f>+'BASE 2'!D736</f>
        <v>18500</v>
      </c>
      <c r="F414" s="2697">
        <f>+E414*C414</f>
        <v>105450</v>
      </c>
      <c r="G414" s="2697"/>
      <c r="H414" s="2697"/>
      <c r="I414" s="2697"/>
      <c r="J414" s="507"/>
    </row>
    <row r="415" spans="1:11" s="402" customFormat="1" ht="15" customHeight="1">
      <c r="A415" s="1261" t="s">
        <v>736</v>
      </c>
      <c r="B415" s="1259" t="s">
        <v>6410</v>
      </c>
      <c r="C415" s="182">
        <v>8</v>
      </c>
      <c r="D415" s="509" t="s">
        <v>735</v>
      </c>
      <c r="E415" s="497">
        <f>+RETRO</f>
        <v>150000</v>
      </c>
      <c r="F415" s="1585">
        <f>+E415*C415</f>
        <v>1200000</v>
      </c>
      <c r="G415" s="1585"/>
      <c r="H415" s="1585"/>
      <c r="I415" s="184"/>
      <c r="K415" s="402">
        <f>1/18</f>
        <v>5.5555555555555552E-2</v>
      </c>
    </row>
    <row r="416" spans="1:11" s="181" customFormat="1" ht="18">
      <c r="A416" s="1580" t="s">
        <v>172</v>
      </c>
      <c r="B416" s="185" t="s">
        <v>189</v>
      </c>
      <c r="C416" s="1264">
        <v>1</v>
      </c>
      <c r="D416" s="401" t="s">
        <v>583</v>
      </c>
      <c r="E416" s="1255">
        <f>H417*0.05</f>
        <v>97480.946197920013</v>
      </c>
      <c r="F416" s="1255"/>
      <c r="G416" s="1255"/>
      <c r="H416" s="1255"/>
      <c r="I416" s="2697">
        <f>+E416*C416</f>
        <v>97480.946197920013</v>
      </c>
    </row>
    <row r="417" spans="1:10" s="181" customFormat="1" ht="18">
      <c r="A417" s="2036" t="s">
        <v>190</v>
      </c>
      <c r="B417" s="1266">
        <f>SUM(F417:I417)</f>
        <v>3352549.8701563203</v>
      </c>
      <c r="C417" s="687"/>
      <c r="D417" s="1267"/>
      <c r="E417" s="1255"/>
      <c r="F417" s="1255">
        <f>SUM(F412:F416)</f>
        <v>1305450</v>
      </c>
      <c r="G417" s="1255">
        <f>SUM(G412:G416)</f>
        <v>0</v>
      </c>
      <c r="H417" s="1255">
        <f>SUM(H412:H416)</f>
        <v>1949618.9239584003</v>
      </c>
      <c r="I417" s="1255">
        <f>SUM(I412:I416)</f>
        <v>97480.946197920013</v>
      </c>
    </row>
    <row r="418" spans="1:10" s="181" customFormat="1" ht="18">
      <c r="A418" s="2036" t="s">
        <v>191</v>
      </c>
      <c r="B418" s="1587">
        <f>+B417</f>
        <v>3352549.8701563203</v>
      </c>
      <c r="C418" s="1269" t="s">
        <v>427</v>
      </c>
      <c r="D418" s="863"/>
      <c r="E418" s="882">
        <f>+B426*0.15</f>
        <v>3327966.4694999997</v>
      </c>
      <c r="F418" s="882"/>
      <c r="G418" s="882"/>
      <c r="H418" s="882"/>
      <c r="I418" s="882"/>
    </row>
    <row r="419" spans="1:10" s="1260" customFormat="1" ht="15" customHeight="1">
      <c r="A419" s="1277"/>
      <c r="B419" s="1278"/>
      <c r="C419" s="1279"/>
      <c r="D419" s="402"/>
      <c r="E419" s="1280"/>
      <c r="F419" s="1280"/>
      <c r="G419" s="1280"/>
      <c r="H419" s="1280"/>
      <c r="I419" s="1280"/>
    </row>
    <row r="420" spans="1:10" s="181" customFormat="1" ht="18">
      <c r="A420" s="2338" t="str">
        <f>+' TANQUE PATAGONIA'!B117</f>
        <v>18.11</v>
      </c>
      <c r="B420" s="3963" t="s">
        <v>4561</v>
      </c>
      <c r="C420" s="3964"/>
      <c r="D420" s="3964"/>
      <c r="E420" s="3964"/>
      <c r="F420" s="3964"/>
      <c r="G420" s="3964"/>
      <c r="H420" s="3964"/>
      <c r="I420" s="3965"/>
    </row>
    <row r="421" spans="1:10" s="181" customFormat="1" ht="18">
      <c r="A421" s="1229"/>
      <c r="B421" s="1258"/>
      <c r="C421" s="1229" t="s">
        <v>140</v>
      </c>
      <c r="D421" s="1229" t="s">
        <v>343</v>
      </c>
      <c r="E421" s="2697" t="s">
        <v>344</v>
      </c>
      <c r="F421" s="2697" t="s">
        <v>482</v>
      </c>
      <c r="G421" s="2697" t="s">
        <v>483</v>
      </c>
      <c r="H421" s="2697" t="s">
        <v>170</v>
      </c>
      <c r="I421" s="2697" t="s">
        <v>171</v>
      </c>
    </row>
    <row r="422" spans="1:10" s="181" customFormat="1" ht="18">
      <c r="A422" s="1580" t="s">
        <v>4131</v>
      </c>
      <c r="B422" s="185" t="s">
        <v>6595</v>
      </c>
      <c r="C422" s="1264">
        <v>1</v>
      </c>
      <c r="D422" s="401" t="s">
        <v>363</v>
      </c>
      <c r="E422" s="2697">
        <f>+'BASE 2'!D588</f>
        <v>21642443.129999999</v>
      </c>
      <c r="F422" s="2697"/>
      <c r="G422" s="2697">
        <f>+C422*E422</f>
        <v>21642443.129999999</v>
      </c>
      <c r="H422" s="2697"/>
      <c r="I422" s="2697"/>
    </row>
    <row r="423" spans="1:10" s="181" customFormat="1" ht="18">
      <c r="A423" s="2694"/>
      <c r="B423" s="185" t="s">
        <v>6445</v>
      </c>
      <c r="C423" s="1264">
        <v>2</v>
      </c>
      <c r="D423" s="401" t="s">
        <v>363</v>
      </c>
      <c r="E423" s="1585">
        <f>+'BASE 2'!D624</f>
        <v>152000</v>
      </c>
      <c r="F423" s="1814"/>
      <c r="G423" s="1814">
        <f>+E423*C423</f>
        <v>304000</v>
      </c>
      <c r="H423" s="1814"/>
      <c r="I423" s="1814"/>
    </row>
    <row r="424" spans="1:10" s="181" customFormat="1" ht="18">
      <c r="A424" s="1580" t="s">
        <v>584</v>
      </c>
      <c r="B424" s="185" t="s">
        <v>134</v>
      </c>
      <c r="C424" s="1264">
        <v>0.2</v>
      </c>
      <c r="D424" s="401" t="s">
        <v>583</v>
      </c>
      <c r="E424" s="2697">
        <f>+VIAJE</f>
        <v>1200000</v>
      </c>
      <c r="F424" s="2697"/>
      <c r="G424" s="2697"/>
      <c r="H424" s="2697"/>
      <c r="I424" s="2697">
        <f>+E424*C424</f>
        <v>240000</v>
      </c>
    </row>
    <row r="425" spans="1:10" s="181" customFormat="1" ht="18">
      <c r="A425" s="2036" t="s">
        <v>190</v>
      </c>
      <c r="B425" s="1266">
        <f>SUM(F425:I425)</f>
        <v>22186443.129999999</v>
      </c>
      <c r="C425" s="687"/>
      <c r="D425" s="1267"/>
      <c r="E425" s="1255"/>
      <c r="F425" s="1255">
        <f>SUM(F422:F424)</f>
        <v>0</v>
      </c>
      <c r="G425" s="1255">
        <f t="shared" ref="G425" si="20">SUM(G422:G424)</f>
        <v>21946443.129999999</v>
      </c>
      <c r="H425" s="1255">
        <f t="shared" ref="H425" si="21">SUM(H422:H424)</f>
        <v>0</v>
      </c>
      <c r="I425" s="1255">
        <f t="shared" ref="I425" si="22">SUM(I422:I424)</f>
        <v>240000</v>
      </c>
    </row>
    <row r="426" spans="1:10" s="181" customFormat="1" ht="18">
      <c r="A426" s="2036" t="s">
        <v>191</v>
      </c>
      <c r="B426" s="1587">
        <f>+B425</f>
        <v>22186443.129999999</v>
      </c>
      <c r="C426" s="1269" t="s">
        <v>427</v>
      </c>
      <c r="D426" s="863"/>
      <c r="E426" s="882"/>
      <c r="F426" s="882"/>
      <c r="G426" s="882"/>
      <c r="H426" s="882"/>
      <c r="I426" s="882"/>
    </row>
    <row r="428" spans="1:10" s="181" customFormat="1" ht="18">
      <c r="A428" s="2314" t="str">
        <f>+' TANQUE PATAGONIA'!B90</f>
        <v>17.12</v>
      </c>
      <c r="B428" s="3563" t="s">
        <v>6597</v>
      </c>
      <c r="C428" s="3564"/>
      <c r="D428" s="3564"/>
      <c r="E428" s="3564"/>
      <c r="F428" s="3564"/>
      <c r="G428" s="3564"/>
      <c r="H428" s="3564"/>
      <c r="I428" s="3565"/>
    </row>
    <row r="429" spans="1:10" s="181" customFormat="1" ht="18">
      <c r="A429" s="1229"/>
      <c r="B429" s="1258"/>
      <c r="C429" s="1229" t="s">
        <v>140</v>
      </c>
      <c r="D429" s="1229" t="s">
        <v>343</v>
      </c>
      <c r="E429" s="2697" t="s">
        <v>344</v>
      </c>
      <c r="F429" s="2697" t="s">
        <v>482</v>
      </c>
      <c r="G429" s="2697" t="s">
        <v>483</v>
      </c>
      <c r="H429" s="2697" t="s">
        <v>170</v>
      </c>
      <c r="I429" s="2697" t="s">
        <v>171</v>
      </c>
    </row>
    <row r="430" spans="1:10" s="181" customFormat="1" ht="18">
      <c r="A430" s="1229"/>
      <c r="B430" s="1258" t="s">
        <v>6439</v>
      </c>
      <c r="C430" s="1264">
        <v>3.1</v>
      </c>
      <c r="D430" s="401" t="s">
        <v>346</v>
      </c>
      <c r="E430" s="2697">
        <f>+OFICI</f>
        <v>80479.625344</v>
      </c>
      <c r="F430" s="2697"/>
      <c r="G430" s="2697"/>
      <c r="H430" s="1255">
        <f>+E430*C430</f>
        <v>249486.83856639999</v>
      </c>
      <c r="I430" s="2697"/>
    </row>
    <row r="431" spans="1:10" s="181" customFormat="1" ht="18">
      <c r="A431" s="1580" t="s">
        <v>347</v>
      </c>
      <c r="B431" s="185" t="s">
        <v>266</v>
      </c>
      <c r="C431" s="1264">
        <v>3.1</v>
      </c>
      <c r="D431" s="401" t="s">
        <v>346</v>
      </c>
      <c r="E431" s="1255">
        <f>AYUDA*2</f>
        <v>130779.39118400001</v>
      </c>
      <c r="F431" s="1255"/>
      <c r="G431" s="1255"/>
      <c r="H431" s="1255">
        <f>+E431*C431</f>
        <v>405416.11267040001</v>
      </c>
      <c r="I431" s="2697"/>
    </row>
    <row r="432" spans="1:10" s="402" customFormat="1" ht="15" customHeight="1">
      <c r="A432" s="954"/>
      <c r="B432" s="185" t="s">
        <v>6426</v>
      </c>
      <c r="C432" s="1264">
        <v>3.1</v>
      </c>
      <c r="D432" s="401" t="s">
        <v>346</v>
      </c>
      <c r="E432" s="2697">
        <f>+'BASE 2'!D736</f>
        <v>18500</v>
      </c>
      <c r="F432" s="2697">
        <f>+E432*C432</f>
        <v>57350</v>
      </c>
      <c r="G432" s="2697"/>
      <c r="H432" s="2697"/>
      <c r="I432" s="2697"/>
      <c r="J432" s="507"/>
    </row>
    <row r="433" spans="1:11" s="402" customFormat="1" ht="15" customHeight="1">
      <c r="A433" s="1261" t="s">
        <v>736</v>
      </c>
      <c r="B433" s="1259" t="s">
        <v>6410</v>
      </c>
      <c r="C433" s="182">
        <v>2</v>
      </c>
      <c r="D433" s="509" t="s">
        <v>735</v>
      </c>
      <c r="E433" s="497">
        <f>+RETRO</f>
        <v>150000</v>
      </c>
      <c r="F433" s="1585">
        <f>+E433*C433</f>
        <v>300000</v>
      </c>
      <c r="G433" s="1585"/>
      <c r="H433" s="1585"/>
      <c r="I433" s="184"/>
      <c r="K433" s="402">
        <f>1/18</f>
        <v>5.5555555555555552E-2</v>
      </c>
    </row>
    <row r="434" spans="1:11" s="181" customFormat="1" ht="18">
      <c r="A434" s="1580" t="s">
        <v>172</v>
      </c>
      <c r="B434" s="185" t="s">
        <v>189</v>
      </c>
      <c r="C434" s="1264">
        <v>1</v>
      </c>
      <c r="D434" s="401" t="s">
        <v>583</v>
      </c>
      <c r="E434" s="1255">
        <f>H435*0.05</f>
        <v>32745.147561840004</v>
      </c>
      <c r="F434" s="1255"/>
      <c r="G434" s="1255"/>
      <c r="H434" s="1255"/>
      <c r="I434" s="2697">
        <f>+E434*C434</f>
        <v>32745.147561840004</v>
      </c>
    </row>
    <row r="435" spans="1:11" s="181" customFormat="1" ht="18">
      <c r="A435" s="2036" t="s">
        <v>190</v>
      </c>
      <c r="B435" s="1266">
        <f>SUM(F435:I435)</f>
        <v>1044998.0987986401</v>
      </c>
      <c r="C435" s="687"/>
      <c r="D435" s="1267"/>
      <c r="E435" s="1255"/>
      <c r="F435" s="1255">
        <f>SUM(F430:F434)</f>
        <v>357350</v>
      </c>
      <c r="G435" s="1255">
        <f>SUM(G430:G434)</f>
        <v>0</v>
      </c>
      <c r="H435" s="1255">
        <f>SUM(H430:H434)</f>
        <v>654902.95123680006</v>
      </c>
      <c r="I435" s="1255">
        <f>SUM(I430:I434)</f>
        <v>32745.147561840004</v>
      </c>
    </row>
    <row r="436" spans="1:11" s="181" customFormat="1" ht="18">
      <c r="A436" s="2036" t="s">
        <v>191</v>
      </c>
      <c r="B436" s="1587">
        <f>+B435</f>
        <v>1044998.0987986401</v>
      </c>
      <c r="C436" s="1269" t="s">
        <v>427</v>
      </c>
      <c r="D436" s="863"/>
      <c r="E436" s="882">
        <f>+B444*0.15</f>
        <v>1046152.5</v>
      </c>
      <c r="F436" s="882"/>
      <c r="G436" s="882"/>
      <c r="H436" s="882"/>
      <c r="I436" s="882"/>
    </row>
    <row r="437" spans="1:11" s="1260" customFormat="1" ht="15" customHeight="1">
      <c r="A437" s="1277"/>
      <c r="B437" s="1278"/>
      <c r="C437" s="1279"/>
      <c r="D437" s="402"/>
      <c r="E437" s="1280"/>
      <c r="F437" s="1280"/>
      <c r="G437" s="1280"/>
      <c r="H437" s="1280"/>
      <c r="I437" s="1280"/>
    </row>
    <row r="438" spans="1:11" s="181" customFormat="1" ht="18">
      <c r="A438" s="2338" t="str">
        <f>+' TANQUE PATAGONIA'!B118</f>
        <v>18.12</v>
      </c>
      <c r="B438" s="3963" t="s">
        <v>6598</v>
      </c>
      <c r="C438" s="3964"/>
      <c r="D438" s="3964"/>
      <c r="E438" s="3964"/>
      <c r="F438" s="3964"/>
      <c r="G438" s="3964"/>
      <c r="H438" s="3964"/>
      <c r="I438" s="3965"/>
    </row>
    <row r="439" spans="1:11" s="181" customFormat="1" ht="18">
      <c r="A439" s="1229"/>
      <c r="B439" s="1258"/>
      <c r="C439" s="1229" t="s">
        <v>140</v>
      </c>
      <c r="D439" s="1229" t="s">
        <v>343</v>
      </c>
      <c r="E439" s="2697" t="s">
        <v>344</v>
      </c>
      <c r="F439" s="2697" t="s">
        <v>482</v>
      </c>
      <c r="G439" s="2697" t="s">
        <v>483</v>
      </c>
      <c r="H439" s="2697" t="s">
        <v>170</v>
      </c>
      <c r="I439" s="2697" t="s">
        <v>171</v>
      </c>
    </row>
    <row r="440" spans="1:11" s="181" customFormat="1" ht="18">
      <c r="A440" s="1580" t="s">
        <v>4131</v>
      </c>
      <c r="B440" s="185" t="s">
        <v>6599</v>
      </c>
      <c r="C440" s="1264">
        <v>1</v>
      </c>
      <c r="D440" s="401" t="s">
        <v>363</v>
      </c>
      <c r="E440" s="2697">
        <f>+'BASE 2'!D587</f>
        <v>6622350</v>
      </c>
      <c r="F440" s="2697"/>
      <c r="G440" s="2697">
        <f>+C440*E440</f>
        <v>6622350</v>
      </c>
      <c r="H440" s="2697"/>
      <c r="I440" s="2697"/>
    </row>
    <row r="441" spans="1:11" s="181" customFormat="1" ht="18">
      <c r="A441" s="2694"/>
      <c r="B441" s="185" t="s">
        <v>6445</v>
      </c>
      <c r="C441" s="1264">
        <v>2</v>
      </c>
      <c r="D441" s="401" t="s">
        <v>363</v>
      </c>
      <c r="E441" s="1585">
        <f>+'BASE 2'!D624</f>
        <v>152000</v>
      </c>
      <c r="F441" s="1814"/>
      <c r="G441" s="1814">
        <f>+E441*C441</f>
        <v>304000</v>
      </c>
      <c r="H441" s="1814"/>
      <c r="I441" s="1814"/>
    </row>
    <row r="442" spans="1:11" s="181" customFormat="1" ht="18">
      <c r="A442" s="1580" t="s">
        <v>584</v>
      </c>
      <c r="B442" s="185" t="s">
        <v>134</v>
      </c>
      <c r="C442" s="1264">
        <v>0.04</v>
      </c>
      <c r="D442" s="401" t="s">
        <v>583</v>
      </c>
      <c r="E442" s="2697">
        <f>+VIAJE</f>
        <v>1200000</v>
      </c>
      <c r="F442" s="2697"/>
      <c r="G442" s="2697"/>
      <c r="H442" s="2697"/>
      <c r="I442" s="2697">
        <f>+E442*C442</f>
        <v>48000</v>
      </c>
    </row>
    <row r="443" spans="1:11" s="181" customFormat="1" ht="18">
      <c r="A443" s="2036" t="s">
        <v>190</v>
      </c>
      <c r="B443" s="1266">
        <f>SUM(F443:I443)</f>
        <v>6974350</v>
      </c>
      <c r="C443" s="687"/>
      <c r="D443" s="1267"/>
      <c r="E443" s="1255"/>
      <c r="F443" s="1255">
        <f>SUM(F440:F442)</f>
        <v>0</v>
      </c>
      <c r="G443" s="1255">
        <f t="shared" ref="G443:I443" si="23">SUM(G440:G442)</f>
        <v>6926350</v>
      </c>
      <c r="H443" s="1255">
        <f t="shared" si="23"/>
        <v>0</v>
      </c>
      <c r="I443" s="1255">
        <f t="shared" si="23"/>
        <v>48000</v>
      </c>
    </row>
    <row r="444" spans="1:11" s="181" customFormat="1" ht="18">
      <c r="A444" s="2036" t="s">
        <v>191</v>
      </c>
      <c r="B444" s="1587">
        <f>+B443</f>
        <v>6974350</v>
      </c>
      <c r="C444" s="1269" t="s">
        <v>427</v>
      </c>
      <c r="D444" s="863"/>
      <c r="E444" s="882"/>
      <c r="F444" s="882"/>
      <c r="G444" s="882"/>
      <c r="H444" s="882"/>
      <c r="I444" s="882"/>
    </row>
    <row r="446" spans="1:11" s="181" customFormat="1" ht="18">
      <c r="A446" s="2314" t="str">
        <f>+' TANQUE PATAGONIA'!B91</f>
        <v>17.13</v>
      </c>
      <c r="B446" s="3563" t="s">
        <v>4563</v>
      </c>
      <c r="C446" s="3564"/>
      <c r="D446" s="3564"/>
      <c r="E446" s="3564"/>
      <c r="F446" s="3564"/>
      <c r="G446" s="3564"/>
      <c r="H446" s="3564"/>
      <c r="I446" s="3565"/>
    </row>
    <row r="447" spans="1:11" s="181" customFormat="1" ht="18">
      <c r="A447" s="1229"/>
      <c r="B447" s="1258"/>
      <c r="C447" s="1229" t="s">
        <v>140</v>
      </c>
      <c r="D447" s="1229" t="s">
        <v>343</v>
      </c>
      <c r="E447" s="2697" t="s">
        <v>344</v>
      </c>
      <c r="F447" s="2697" t="s">
        <v>482</v>
      </c>
      <c r="G447" s="2697" t="s">
        <v>483</v>
      </c>
      <c r="H447" s="2697" t="s">
        <v>170</v>
      </c>
      <c r="I447" s="2697" t="s">
        <v>171</v>
      </c>
    </row>
    <row r="448" spans="1:11" s="181" customFormat="1" ht="18">
      <c r="A448" s="1229"/>
      <c r="B448" s="1258" t="s">
        <v>6439</v>
      </c>
      <c r="C448" s="1264">
        <v>3.05</v>
      </c>
      <c r="D448" s="401" t="s">
        <v>346</v>
      </c>
      <c r="E448" s="2697">
        <f>+OFICI</f>
        <v>80479.625344</v>
      </c>
      <c r="F448" s="2697"/>
      <c r="G448" s="2697"/>
      <c r="H448" s="1255">
        <f>+E448*C448</f>
        <v>245462.8572992</v>
      </c>
      <c r="I448" s="2697"/>
    </row>
    <row r="449" spans="1:9" s="181" customFormat="1" ht="18">
      <c r="A449" s="1580" t="s">
        <v>347</v>
      </c>
      <c r="B449" s="185" t="s">
        <v>266</v>
      </c>
      <c r="C449" s="1264">
        <v>3.05</v>
      </c>
      <c r="D449" s="401" t="s">
        <v>346</v>
      </c>
      <c r="E449" s="1255">
        <f>AYUDA</f>
        <v>65389.695592000004</v>
      </c>
      <c r="F449" s="1255"/>
      <c r="G449" s="1255"/>
      <c r="H449" s="1255">
        <f>+E449*C449</f>
        <v>199438.57155560001</v>
      </c>
      <c r="I449" s="2697"/>
    </row>
    <row r="450" spans="1:9" s="181" customFormat="1" ht="18">
      <c r="A450" s="1580" t="s">
        <v>172</v>
      </c>
      <c r="B450" s="185" t="s">
        <v>189</v>
      </c>
      <c r="C450" s="1264">
        <v>1</v>
      </c>
      <c r="D450" s="401" t="s">
        <v>583</v>
      </c>
      <c r="E450" s="1255">
        <f>H451*0.05</f>
        <v>22245.071442740002</v>
      </c>
      <c r="F450" s="1255"/>
      <c r="G450" s="1255"/>
      <c r="H450" s="1255"/>
      <c r="I450" s="2697">
        <f>+E450*C450</f>
        <v>22245.071442740002</v>
      </c>
    </row>
    <row r="451" spans="1:9" s="181" customFormat="1" ht="18">
      <c r="A451" s="2036" t="s">
        <v>190</v>
      </c>
      <c r="B451" s="1266">
        <f>SUM(F451:I451)</f>
        <v>467146.50029753998</v>
      </c>
      <c r="C451" s="687"/>
      <c r="D451" s="1267"/>
      <c r="E451" s="1255"/>
      <c r="F451" s="1255">
        <f>SUM(F448:F450)</f>
        <v>0</v>
      </c>
      <c r="G451" s="1255">
        <f>SUM(G448:G450)</f>
        <v>0</v>
      </c>
      <c r="H451" s="1255">
        <f>SUM(H448:H450)</f>
        <v>444901.4288548</v>
      </c>
      <c r="I451" s="1255">
        <f>SUM(I448:I450)</f>
        <v>22245.071442740002</v>
      </c>
    </row>
    <row r="452" spans="1:9" s="181" customFormat="1" ht="18">
      <c r="A452" s="2036" t="s">
        <v>191</v>
      </c>
      <c r="B452" s="1587">
        <f>+B451</f>
        <v>467146.50029753998</v>
      </c>
      <c r="C452" s="1269" t="s">
        <v>427</v>
      </c>
      <c r="D452" s="863"/>
      <c r="E452" s="882">
        <f>+B460*0.15</f>
        <v>467947.5</v>
      </c>
      <c r="F452" s="882"/>
      <c r="G452" s="882"/>
      <c r="H452" s="882"/>
      <c r="I452" s="882"/>
    </row>
    <row r="453" spans="1:9" s="1260" customFormat="1" ht="15" customHeight="1">
      <c r="A453" s="1277"/>
      <c r="B453" s="1278"/>
      <c r="C453" s="1279"/>
      <c r="D453" s="402"/>
      <c r="E453" s="1280"/>
      <c r="F453" s="1280"/>
      <c r="G453" s="1280"/>
      <c r="H453" s="1280"/>
      <c r="I453" s="1280"/>
    </row>
    <row r="454" spans="1:9" s="181" customFormat="1" ht="18">
      <c r="A454" s="2338" t="str">
        <f>+' TANQUE PATAGONIA'!B119</f>
        <v>18.13</v>
      </c>
      <c r="B454" s="3963" t="s">
        <v>4564</v>
      </c>
      <c r="C454" s="3964"/>
      <c r="D454" s="3964"/>
      <c r="E454" s="3964"/>
      <c r="F454" s="3964"/>
      <c r="G454" s="3964"/>
      <c r="H454" s="3964"/>
      <c r="I454" s="3965"/>
    </row>
    <row r="455" spans="1:9" s="181" customFormat="1" ht="18">
      <c r="A455" s="1229"/>
      <c r="B455" s="1258"/>
      <c r="C455" s="1229" t="s">
        <v>140</v>
      </c>
      <c r="D455" s="1229" t="s">
        <v>343</v>
      </c>
      <c r="E455" s="2697" t="s">
        <v>344</v>
      </c>
      <c r="F455" s="2697" t="s">
        <v>482</v>
      </c>
      <c r="G455" s="2697" t="s">
        <v>483</v>
      </c>
      <c r="H455" s="2697" t="s">
        <v>170</v>
      </c>
      <c r="I455" s="2697" t="s">
        <v>171</v>
      </c>
    </row>
    <row r="456" spans="1:9" s="181" customFormat="1" ht="18">
      <c r="A456" s="1580" t="s">
        <v>4131</v>
      </c>
      <c r="B456" s="185" t="s">
        <v>4565</v>
      </c>
      <c r="C456" s="1264">
        <v>1</v>
      </c>
      <c r="D456" s="401" t="s">
        <v>363</v>
      </c>
      <c r="E456" s="2697">
        <f>+'BASE 2'!D583</f>
        <v>2802450</v>
      </c>
      <c r="F456" s="2697"/>
      <c r="G456" s="2697">
        <f>+C456*E456</f>
        <v>2802450</v>
      </c>
      <c r="H456" s="2697"/>
      <c r="I456" s="2697"/>
    </row>
    <row r="457" spans="1:9" s="181" customFormat="1" ht="18">
      <c r="A457" s="2694"/>
      <c r="B457" s="185" t="s">
        <v>6445</v>
      </c>
      <c r="C457" s="1264">
        <v>2</v>
      </c>
      <c r="D457" s="401" t="s">
        <v>363</v>
      </c>
      <c r="E457" s="1585">
        <f>+'BASE 2'!D624</f>
        <v>152000</v>
      </c>
      <c r="F457" s="1814"/>
      <c r="G457" s="1814">
        <f>+E457*C457</f>
        <v>304000</v>
      </c>
      <c r="H457" s="1814"/>
      <c r="I457" s="1814"/>
    </row>
    <row r="458" spans="1:9" s="181" customFormat="1" ht="18">
      <c r="A458" s="1580" t="s">
        <v>584</v>
      </c>
      <c r="B458" s="185" t="s">
        <v>134</v>
      </c>
      <c r="C458" s="1264">
        <v>1.0999999999999999E-2</v>
      </c>
      <c r="D458" s="401" t="s">
        <v>583</v>
      </c>
      <c r="E458" s="2697">
        <f>+VIAJE</f>
        <v>1200000</v>
      </c>
      <c r="F458" s="2697"/>
      <c r="G458" s="2697"/>
      <c r="H458" s="2697"/>
      <c r="I458" s="2697">
        <f>+E458*C458</f>
        <v>13200</v>
      </c>
    </row>
    <row r="459" spans="1:9" s="181" customFormat="1" ht="18">
      <c r="A459" s="2036" t="s">
        <v>190</v>
      </c>
      <c r="B459" s="1266">
        <f>SUM(F459:I459)</f>
        <v>3119650</v>
      </c>
      <c r="C459" s="687"/>
      <c r="D459" s="1267"/>
      <c r="E459" s="1255"/>
      <c r="F459" s="1255">
        <f>SUM(F456:F458)</f>
        <v>0</v>
      </c>
      <c r="G459" s="1255">
        <f t="shared" ref="G459:I459" si="24">SUM(G456:G458)</f>
        <v>3106450</v>
      </c>
      <c r="H459" s="1255">
        <f t="shared" si="24"/>
        <v>0</v>
      </c>
      <c r="I459" s="1255">
        <f t="shared" si="24"/>
        <v>13200</v>
      </c>
    </row>
    <row r="460" spans="1:9" s="181" customFormat="1" ht="18">
      <c r="A460" s="2036" t="s">
        <v>191</v>
      </c>
      <c r="B460" s="1587">
        <f>+B459</f>
        <v>3119650</v>
      </c>
      <c r="C460" s="1269" t="s">
        <v>427</v>
      </c>
      <c r="D460" s="863"/>
      <c r="E460" s="882"/>
      <c r="F460" s="882"/>
      <c r="G460" s="882"/>
      <c r="H460" s="882"/>
      <c r="I460" s="882"/>
    </row>
    <row r="462" spans="1:9" s="181" customFormat="1" ht="18">
      <c r="A462" s="2314" t="str">
        <f>+' TANQUE PATAGONIA'!B92</f>
        <v>17.14</v>
      </c>
      <c r="B462" s="3563" t="s">
        <v>6600</v>
      </c>
      <c r="C462" s="3564"/>
      <c r="D462" s="3564"/>
      <c r="E462" s="3564"/>
      <c r="F462" s="3564"/>
      <c r="G462" s="3564"/>
      <c r="H462" s="3564"/>
      <c r="I462" s="3565"/>
    </row>
    <row r="463" spans="1:9" s="181" customFormat="1" ht="18">
      <c r="A463" s="1229"/>
      <c r="B463" s="1258"/>
      <c r="C463" s="1229" t="s">
        <v>140</v>
      </c>
      <c r="D463" s="1229" t="s">
        <v>343</v>
      </c>
      <c r="E463" s="2697" t="s">
        <v>344</v>
      </c>
      <c r="F463" s="2697" t="s">
        <v>482</v>
      </c>
      <c r="G463" s="2697" t="s">
        <v>483</v>
      </c>
      <c r="H463" s="2697" t="s">
        <v>170</v>
      </c>
      <c r="I463" s="2697" t="s">
        <v>171</v>
      </c>
    </row>
    <row r="464" spans="1:9" s="181" customFormat="1" ht="18">
      <c r="A464" s="1229"/>
      <c r="B464" s="1258" t="s">
        <v>6439</v>
      </c>
      <c r="C464" s="1264">
        <v>1.57</v>
      </c>
      <c r="D464" s="401" t="s">
        <v>346</v>
      </c>
      <c r="E464" s="2697">
        <f>+OFICI</f>
        <v>80479.625344</v>
      </c>
      <c r="F464" s="2697"/>
      <c r="G464" s="2697"/>
      <c r="H464" s="1255">
        <f>+E464*C464</f>
        <v>126353.01179008001</v>
      </c>
      <c r="I464" s="2697"/>
    </row>
    <row r="465" spans="1:9" s="181" customFormat="1" ht="18">
      <c r="A465" s="1580" t="s">
        <v>347</v>
      </c>
      <c r="B465" s="185" t="s">
        <v>266</v>
      </c>
      <c r="C465" s="1264">
        <v>1.57</v>
      </c>
      <c r="D465" s="401" t="s">
        <v>346</v>
      </c>
      <c r="E465" s="1255">
        <f>AYUDA</f>
        <v>65389.695592000004</v>
      </c>
      <c r="F465" s="1255"/>
      <c r="G465" s="1255"/>
      <c r="H465" s="1255">
        <f>+E465*C465</f>
        <v>102661.82207944001</v>
      </c>
      <c r="I465" s="2697"/>
    </row>
    <row r="466" spans="1:9" s="181" customFormat="1" ht="18">
      <c r="A466" s="1580" t="s">
        <v>172</v>
      </c>
      <c r="B466" s="185" t="s">
        <v>189</v>
      </c>
      <c r="C466" s="1264">
        <v>1</v>
      </c>
      <c r="D466" s="401" t="s">
        <v>583</v>
      </c>
      <c r="E466" s="1255">
        <f>H467*0.05</f>
        <v>11450.741693476002</v>
      </c>
      <c r="F466" s="1255"/>
      <c r="G466" s="1255"/>
      <c r="H466" s="1255"/>
      <c r="I466" s="2697">
        <f>+E466*C466</f>
        <v>11450.741693476002</v>
      </c>
    </row>
    <row r="467" spans="1:9" s="181" customFormat="1" ht="18">
      <c r="A467" s="2036" t="s">
        <v>190</v>
      </c>
      <c r="B467" s="1266">
        <f>SUM(F467:I467)</f>
        <v>240465.57556299603</v>
      </c>
      <c r="C467" s="687"/>
      <c r="D467" s="1267"/>
      <c r="E467" s="1255"/>
      <c r="F467" s="1255">
        <f>SUM(F464:F466)</f>
        <v>0</v>
      </c>
      <c r="G467" s="1255">
        <f>SUM(G464:G466)</f>
        <v>0</v>
      </c>
      <c r="H467" s="1255">
        <f>SUM(H464:H466)</f>
        <v>229014.83386952002</v>
      </c>
      <c r="I467" s="1255">
        <f>SUM(I464:I466)</f>
        <v>11450.741693476002</v>
      </c>
    </row>
    <row r="468" spans="1:9" s="181" customFormat="1" ht="18">
      <c r="A468" s="2036" t="s">
        <v>191</v>
      </c>
      <c r="B468" s="1587">
        <f>+B467</f>
        <v>240465.57556299603</v>
      </c>
      <c r="C468" s="1269" t="s">
        <v>427</v>
      </c>
      <c r="D468" s="863"/>
      <c r="E468" s="882">
        <f>+B476*0.15</f>
        <v>240577.5</v>
      </c>
      <c r="F468" s="882"/>
      <c r="G468" s="882"/>
      <c r="H468" s="882"/>
      <c r="I468" s="882"/>
    </row>
    <row r="469" spans="1:9" s="1260" customFormat="1" ht="15" customHeight="1">
      <c r="A469" s="1277"/>
      <c r="B469" s="1278"/>
      <c r="C469" s="1279"/>
      <c r="D469" s="402"/>
      <c r="E469" s="1280"/>
      <c r="F469" s="1280"/>
      <c r="G469" s="1280"/>
      <c r="H469" s="1280"/>
      <c r="I469" s="1280"/>
    </row>
    <row r="470" spans="1:9" s="181" customFormat="1" ht="18">
      <c r="A470" s="2338" t="str">
        <f>+' TANQUE PATAGONIA'!B120</f>
        <v>18.14</v>
      </c>
      <c r="B470" s="3963" t="s">
        <v>6601</v>
      </c>
      <c r="C470" s="3964"/>
      <c r="D470" s="3964"/>
      <c r="E470" s="3964"/>
      <c r="F470" s="3964"/>
      <c r="G470" s="3964"/>
      <c r="H470" s="3964"/>
      <c r="I470" s="3965"/>
    </row>
    <row r="471" spans="1:9" s="181" customFormat="1" ht="18">
      <c r="A471" s="1229"/>
      <c r="B471" s="1258"/>
      <c r="C471" s="1229" t="s">
        <v>140</v>
      </c>
      <c r="D471" s="1229" t="s">
        <v>343</v>
      </c>
      <c r="E471" s="2697" t="s">
        <v>344</v>
      </c>
      <c r="F471" s="2697" t="s">
        <v>482</v>
      </c>
      <c r="G471" s="2697" t="s">
        <v>483</v>
      </c>
      <c r="H471" s="2697" t="s">
        <v>170</v>
      </c>
      <c r="I471" s="2697" t="s">
        <v>171</v>
      </c>
    </row>
    <row r="472" spans="1:9" s="181" customFormat="1" ht="30" customHeight="1">
      <c r="A472" s="1580" t="s">
        <v>4131</v>
      </c>
      <c r="B472" s="2721" t="s">
        <v>4545</v>
      </c>
      <c r="C472" s="183">
        <v>1</v>
      </c>
      <c r="D472" s="501" t="s">
        <v>363</v>
      </c>
      <c r="E472" s="497">
        <f>+'BASE 2'!D579</f>
        <v>1445850</v>
      </c>
      <c r="F472" s="497"/>
      <c r="G472" s="497">
        <f>+C472*E472</f>
        <v>1445850</v>
      </c>
      <c r="H472" s="497"/>
      <c r="I472" s="497"/>
    </row>
    <row r="473" spans="1:9" s="181" customFormat="1" ht="18">
      <c r="A473" s="2694"/>
      <c r="B473" s="185" t="s">
        <v>6445</v>
      </c>
      <c r="C473" s="183">
        <v>1</v>
      </c>
      <c r="D473" s="501" t="s">
        <v>363</v>
      </c>
      <c r="E473" s="2141">
        <f>+'BASE 2'!D624</f>
        <v>152000</v>
      </c>
      <c r="F473" s="1914"/>
      <c r="G473" s="1914">
        <f>+E473*C473</f>
        <v>152000</v>
      </c>
      <c r="H473" s="1914"/>
      <c r="I473" s="1914"/>
    </row>
    <row r="474" spans="1:9" s="181" customFormat="1" ht="18">
      <c r="A474" s="1580" t="s">
        <v>584</v>
      </c>
      <c r="B474" s="185" t="s">
        <v>134</v>
      </c>
      <c r="C474" s="183">
        <v>5.0000000000000001E-3</v>
      </c>
      <c r="D474" s="501" t="s">
        <v>583</v>
      </c>
      <c r="E474" s="497">
        <f>+VIAJE</f>
        <v>1200000</v>
      </c>
      <c r="F474" s="497"/>
      <c r="G474" s="497"/>
      <c r="H474" s="497"/>
      <c r="I474" s="497">
        <f>+E474*C474</f>
        <v>6000</v>
      </c>
    </row>
    <row r="475" spans="1:9" s="181" customFormat="1" ht="18">
      <c r="A475" s="2036" t="s">
        <v>190</v>
      </c>
      <c r="B475" s="1266">
        <f>SUM(F475:I475)</f>
        <v>1603850</v>
      </c>
      <c r="C475" s="687"/>
      <c r="D475" s="1267"/>
      <c r="E475" s="1255"/>
      <c r="F475" s="1255">
        <f>SUM(F472:F474)</f>
        <v>0</v>
      </c>
      <c r="G475" s="1255">
        <f>SUM(G472:G474)</f>
        <v>1597850</v>
      </c>
      <c r="H475" s="1255">
        <f t="shared" ref="H475:I475" si="25">SUM(H472:H474)</f>
        <v>0</v>
      </c>
      <c r="I475" s="1255">
        <f t="shared" si="25"/>
        <v>6000</v>
      </c>
    </row>
    <row r="476" spans="1:9" s="181" customFormat="1" ht="18">
      <c r="A476" s="2036" t="s">
        <v>191</v>
      </c>
      <c r="B476" s="1587">
        <f>+B475</f>
        <v>1603850</v>
      </c>
      <c r="C476" s="1269" t="s">
        <v>427</v>
      </c>
      <c r="D476" s="863"/>
      <c r="E476" s="882"/>
      <c r="F476" s="882"/>
      <c r="G476" s="882"/>
      <c r="H476" s="882"/>
      <c r="I476" s="882"/>
    </row>
    <row r="478" spans="1:9" s="181" customFormat="1" ht="18">
      <c r="A478" s="2314" t="str">
        <f>+' TANQUE PATAGONIA'!B93</f>
        <v>17.15</v>
      </c>
      <c r="B478" s="3563" t="s">
        <v>6602</v>
      </c>
      <c r="C478" s="3564"/>
      <c r="D478" s="3564"/>
      <c r="E478" s="3564"/>
      <c r="F478" s="3564"/>
      <c r="G478" s="3564"/>
      <c r="H478" s="3564"/>
      <c r="I478" s="3565"/>
    </row>
    <row r="479" spans="1:9" s="181" customFormat="1" ht="18">
      <c r="A479" s="1229"/>
      <c r="B479" s="1258"/>
      <c r="C479" s="1229" t="s">
        <v>140</v>
      </c>
      <c r="D479" s="1229" t="s">
        <v>343</v>
      </c>
      <c r="E479" s="2697" t="s">
        <v>344</v>
      </c>
      <c r="F479" s="2697" t="s">
        <v>482</v>
      </c>
      <c r="G479" s="2697" t="s">
        <v>483</v>
      </c>
      <c r="H479" s="2697" t="s">
        <v>170</v>
      </c>
      <c r="I479" s="2697" t="s">
        <v>171</v>
      </c>
    </row>
    <row r="480" spans="1:9" s="181" customFormat="1" ht="18">
      <c r="A480" s="1229"/>
      <c r="B480" s="1258" t="s">
        <v>6439</v>
      </c>
      <c r="C480" s="1264">
        <v>1.244</v>
      </c>
      <c r="D480" s="401" t="s">
        <v>346</v>
      </c>
      <c r="E480" s="2697">
        <f>+OFICI</f>
        <v>80479.625344</v>
      </c>
      <c r="F480" s="2697"/>
      <c r="G480" s="2697"/>
      <c r="H480" s="1255">
        <f>+E480*C480</f>
        <v>100116.653927936</v>
      </c>
      <c r="I480" s="2697"/>
    </row>
    <row r="481" spans="1:9" s="181" customFormat="1" ht="18">
      <c r="A481" s="1580" t="s">
        <v>347</v>
      </c>
      <c r="B481" s="185" t="s">
        <v>266</v>
      </c>
      <c r="C481" s="1264">
        <v>1.244</v>
      </c>
      <c r="D481" s="401" t="s">
        <v>346</v>
      </c>
      <c r="E481" s="1255">
        <f>AYUDA</f>
        <v>65389.695592000004</v>
      </c>
      <c r="F481" s="1255"/>
      <c r="G481" s="1255"/>
      <c r="H481" s="1255">
        <f>+E481*C481</f>
        <v>81344.781316448003</v>
      </c>
      <c r="I481" s="2697"/>
    </row>
    <row r="482" spans="1:9" s="181" customFormat="1" ht="18">
      <c r="A482" s="1580" t="s">
        <v>172</v>
      </c>
      <c r="B482" s="185" t="s">
        <v>189</v>
      </c>
      <c r="C482" s="1264">
        <v>1</v>
      </c>
      <c r="D482" s="401" t="s">
        <v>583</v>
      </c>
      <c r="E482" s="1255">
        <f>H483*0.05</f>
        <v>9073.0717622192005</v>
      </c>
      <c r="F482" s="1255"/>
      <c r="G482" s="1255"/>
      <c r="H482" s="1255"/>
      <c r="I482" s="2697">
        <f>+E482*C482</f>
        <v>9073.0717622192005</v>
      </c>
    </row>
    <row r="483" spans="1:9" s="181" customFormat="1" ht="18">
      <c r="A483" s="2036" t="s">
        <v>190</v>
      </c>
      <c r="B483" s="1266">
        <f>SUM(F483:I483)</f>
        <v>190534.50700660318</v>
      </c>
      <c r="C483" s="687"/>
      <c r="D483" s="1267"/>
      <c r="E483" s="1255"/>
      <c r="F483" s="1255">
        <f>SUM(F480:F482)</f>
        <v>0</v>
      </c>
      <c r="G483" s="1255">
        <f>SUM(G480:G482)</f>
        <v>0</v>
      </c>
      <c r="H483" s="1255">
        <f>SUM(H480:H482)</f>
        <v>181461.43524438399</v>
      </c>
      <c r="I483" s="1255">
        <f>SUM(I480:I482)</f>
        <v>9073.0717622192005</v>
      </c>
    </row>
    <row r="484" spans="1:9" s="181" customFormat="1" ht="18">
      <c r="A484" s="2036" t="s">
        <v>191</v>
      </c>
      <c r="B484" s="1587">
        <f>+B483</f>
        <v>190534.50700660318</v>
      </c>
      <c r="C484" s="1269" t="s">
        <v>427</v>
      </c>
      <c r="D484" s="863"/>
      <c r="E484" s="882">
        <f>+B492*0.15</f>
        <v>190372.5</v>
      </c>
      <c r="F484" s="882"/>
      <c r="G484" s="882"/>
      <c r="H484" s="882"/>
      <c r="I484" s="882"/>
    </row>
    <row r="485" spans="1:9" s="1260" customFormat="1" ht="15" customHeight="1">
      <c r="A485" s="1277"/>
      <c r="B485" s="1278"/>
      <c r="C485" s="1279"/>
      <c r="D485" s="402"/>
      <c r="E485" s="1280"/>
      <c r="F485" s="1280"/>
      <c r="G485" s="1280"/>
      <c r="H485" s="1280"/>
      <c r="I485" s="1280"/>
    </row>
    <row r="486" spans="1:9" s="181" customFormat="1" ht="18">
      <c r="A486" s="2338" t="str">
        <f>+' TANQUE PATAGONIA'!B121</f>
        <v>18.15</v>
      </c>
      <c r="B486" s="3963" t="s">
        <v>6603</v>
      </c>
      <c r="C486" s="3964"/>
      <c r="D486" s="3964"/>
      <c r="E486" s="3964"/>
      <c r="F486" s="3964"/>
      <c r="G486" s="3964"/>
      <c r="H486" s="3964"/>
      <c r="I486" s="3965"/>
    </row>
    <row r="487" spans="1:9" s="181" customFormat="1" ht="18">
      <c r="A487" s="1229"/>
      <c r="B487" s="1258"/>
      <c r="C487" s="1229" t="s">
        <v>140</v>
      </c>
      <c r="D487" s="1229" t="s">
        <v>343</v>
      </c>
      <c r="E487" s="2697" t="s">
        <v>344</v>
      </c>
      <c r="F487" s="2697" t="s">
        <v>482</v>
      </c>
      <c r="G487" s="2697" t="s">
        <v>483</v>
      </c>
      <c r="H487" s="2697" t="s">
        <v>170</v>
      </c>
      <c r="I487" s="2697" t="s">
        <v>171</v>
      </c>
    </row>
    <row r="488" spans="1:9" s="181" customFormat="1" ht="18">
      <c r="A488" s="1580" t="s">
        <v>4131</v>
      </c>
      <c r="B488" s="185" t="s">
        <v>6604</v>
      </c>
      <c r="C488" s="1264">
        <v>1</v>
      </c>
      <c r="D488" s="401" t="s">
        <v>363</v>
      </c>
      <c r="E488" s="2697">
        <f>+'BASE 2'!D557</f>
        <v>1100750</v>
      </c>
      <c r="F488" s="2697"/>
      <c r="G488" s="2697">
        <f>+E488*C488</f>
        <v>1100750</v>
      </c>
      <c r="H488" s="2697"/>
      <c r="I488" s="2697"/>
    </row>
    <row r="489" spans="1:9" s="181" customFormat="1" ht="18">
      <c r="A489" s="2694"/>
      <c r="B489" s="185" t="s">
        <v>6448</v>
      </c>
      <c r="C489" s="1264">
        <v>2</v>
      </c>
      <c r="D489" s="401" t="s">
        <v>363</v>
      </c>
      <c r="E489" s="1585">
        <f>+'BASE 2'!D626</f>
        <v>80000</v>
      </c>
      <c r="F489" s="1814"/>
      <c r="G489" s="1814">
        <f>+E489*C489</f>
        <v>160000</v>
      </c>
      <c r="H489" s="1814"/>
      <c r="I489" s="1814"/>
    </row>
    <row r="490" spans="1:9" s="181" customFormat="1" ht="18">
      <c r="A490" s="1580" t="s">
        <v>584</v>
      </c>
      <c r="B490" s="185" t="s">
        <v>134</v>
      </c>
      <c r="C490" s="1264">
        <v>7.0000000000000001E-3</v>
      </c>
      <c r="D490" s="401" t="s">
        <v>583</v>
      </c>
      <c r="E490" s="2697">
        <f>+VIAJE</f>
        <v>1200000</v>
      </c>
      <c r="F490" s="2697"/>
      <c r="G490" s="2697"/>
      <c r="H490" s="2697"/>
      <c r="I490" s="2697">
        <f>+E490*C490</f>
        <v>8400</v>
      </c>
    </row>
    <row r="491" spans="1:9" s="181" customFormat="1" ht="18">
      <c r="A491" s="2036" t="s">
        <v>190</v>
      </c>
      <c r="B491" s="1266">
        <f>SUM(F491:I491)</f>
        <v>1269150</v>
      </c>
      <c r="C491" s="687"/>
      <c r="D491" s="1267"/>
      <c r="E491" s="1255"/>
      <c r="F491" s="1255">
        <f>SUM(F488:F490)</f>
        <v>0</v>
      </c>
      <c r="G491" s="1255">
        <f t="shared" ref="G491:I491" si="26">SUM(G488:G490)</f>
        <v>1260750</v>
      </c>
      <c r="H491" s="1255">
        <f t="shared" si="26"/>
        <v>0</v>
      </c>
      <c r="I491" s="1255">
        <f t="shared" si="26"/>
        <v>8400</v>
      </c>
    </row>
    <row r="492" spans="1:9" s="181" customFormat="1" ht="18">
      <c r="A492" s="2036" t="s">
        <v>191</v>
      </c>
      <c r="B492" s="1587">
        <f>+B491</f>
        <v>1269150</v>
      </c>
      <c r="C492" s="1269" t="s">
        <v>427</v>
      </c>
      <c r="D492" s="863"/>
      <c r="E492" s="882"/>
      <c r="F492" s="882"/>
      <c r="G492" s="882"/>
      <c r="H492" s="882"/>
      <c r="I492" s="882"/>
    </row>
    <row r="494" spans="1:9" s="181" customFormat="1" ht="18">
      <c r="A494" s="2314" t="str">
        <f>+' TANQUE PATAGONIA'!B94</f>
        <v>17.16</v>
      </c>
      <c r="B494" s="3569" t="s">
        <v>4566</v>
      </c>
      <c r="C494" s="3569"/>
      <c r="D494" s="3569"/>
      <c r="E494" s="3569"/>
      <c r="F494" s="3569"/>
      <c r="G494" s="3569"/>
      <c r="H494" s="3569"/>
      <c r="I494" s="3569"/>
    </row>
    <row r="495" spans="1:9" s="181" customFormat="1" ht="18">
      <c r="A495" s="2043"/>
      <c r="B495" s="184"/>
      <c r="C495" s="1229" t="s">
        <v>140</v>
      </c>
      <c r="D495" s="1229" t="s">
        <v>343</v>
      </c>
      <c r="E495" s="1229" t="s">
        <v>344</v>
      </c>
      <c r="F495" s="1229" t="s">
        <v>482</v>
      </c>
      <c r="G495" s="1229" t="s">
        <v>483</v>
      </c>
      <c r="H495" s="1229" t="s">
        <v>170</v>
      </c>
      <c r="I495" s="1229" t="s">
        <v>171</v>
      </c>
    </row>
    <row r="496" spans="1:9" s="181" customFormat="1" ht="18">
      <c r="A496" s="1229"/>
      <c r="B496" s="1258" t="s">
        <v>6439</v>
      </c>
      <c r="C496" s="1264">
        <v>0.47</v>
      </c>
      <c r="D496" s="401" t="s">
        <v>346</v>
      </c>
      <c r="E496" s="2697">
        <f>+OFICI</f>
        <v>80479.625344</v>
      </c>
      <c r="F496" s="2697"/>
      <c r="G496" s="2697"/>
      <c r="H496" s="1255">
        <f>+E496*C496</f>
        <v>37825.423911679994</v>
      </c>
      <c r="I496" s="2697"/>
    </row>
    <row r="497" spans="1:9" s="181" customFormat="1" ht="18">
      <c r="A497" s="1580"/>
      <c r="B497" s="185" t="s">
        <v>266</v>
      </c>
      <c r="C497" s="1264">
        <v>0.47</v>
      </c>
      <c r="D497" s="401" t="s">
        <v>346</v>
      </c>
      <c r="E497" s="1255">
        <f>AYUDA</f>
        <v>65389.695592000004</v>
      </c>
      <c r="F497" s="1255"/>
      <c r="G497" s="1255"/>
      <c r="H497" s="1255">
        <f>+E497*C497</f>
        <v>30733.156928240001</v>
      </c>
      <c r="I497" s="2697"/>
    </row>
    <row r="498" spans="1:9" s="181" customFormat="1" ht="18">
      <c r="A498" s="2042" t="s">
        <v>172</v>
      </c>
      <c r="B498" s="1275" t="s">
        <v>189</v>
      </c>
      <c r="C498" s="1264">
        <v>1</v>
      </c>
      <c r="D498" s="401" t="s">
        <v>583</v>
      </c>
      <c r="E498" s="1276">
        <f>+H499*0.05</f>
        <v>3427.9290419960003</v>
      </c>
      <c r="F498" s="1276"/>
      <c r="G498" s="1276"/>
      <c r="H498" s="1276"/>
      <c r="I498" s="1276">
        <f>+E498*C498</f>
        <v>3427.9290419960003</v>
      </c>
    </row>
    <row r="499" spans="1:9" s="181" customFormat="1" ht="18">
      <c r="A499" s="2040" t="s">
        <v>190</v>
      </c>
      <c r="B499" s="1266">
        <f>SUM(F499:I499)</f>
        <v>71986.509881916005</v>
      </c>
      <c r="C499" s="401"/>
      <c r="D499" s="1267"/>
      <c r="E499" s="1276"/>
      <c r="F499" s="1276">
        <f>SUM(F495:F498)</f>
        <v>0</v>
      </c>
      <c r="G499" s="1276">
        <f>SUM(G495:G498)</f>
        <v>0</v>
      </c>
      <c r="H499" s="1276">
        <f>SUM(H496:H498)</f>
        <v>68558.580839920003</v>
      </c>
      <c r="I499" s="1276">
        <f>SUM(I496:I498)</f>
        <v>3427.9290419960003</v>
      </c>
    </row>
    <row r="500" spans="1:9" s="181" customFormat="1" ht="18">
      <c r="A500" s="2040" t="s">
        <v>191</v>
      </c>
      <c r="B500" s="1587">
        <f>+B499</f>
        <v>71986.509881916005</v>
      </c>
      <c r="C500" s="2045" t="s">
        <v>363</v>
      </c>
      <c r="D500" s="863"/>
      <c r="E500" s="2037">
        <f>+B507*0.15</f>
        <v>71235</v>
      </c>
      <c r="F500" s="863"/>
      <c r="G500" s="863"/>
      <c r="H500" s="863"/>
      <c r="I500" s="863"/>
    </row>
    <row r="501" spans="1:9" s="181" customFormat="1" ht="18">
      <c r="A501" s="2046"/>
      <c r="B501" s="1907"/>
      <c r="C501" s="504"/>
      <c r="D501" s="504"/>
      <c r="E501" s="506"/>
      <c r="F501" s="506"/>
      <c r="G501" s="506"/>
      <c r="H501" s="506"/>
      <c r="I501" s="506"/>
    </row>
    <row r="502" spans="1:9" s="181" customFormat="1" ht="18">
      <c r="A502" s="2338" t="str">
        <f>+' TANQUE PATAGONIA'!B122</f>
        <v>18.16</v>
      </c>
      <c r="B502" s="3988" t="s">
        <v>4567</v>
      </c>
      <c r="C502" s="3988"/>
      <c r="D502" s="3988"/>
      <c r="E502" s="3988"/>
      <c r="F502" s="3988"/>
      <c r="G502" s="3988"/>
      <c r="H502" s="3988"/>
      <c r="I502" s="3988"/>
    </row>
    <row r="503" spans="1:9" s="181" customFormat="1" ht="18">
      <c r="A503" s="2043"/>
      <c r="B503" s="184"/>
      <c r="C503" s="1229" t="s">
        <v>140</v>
      </c>
      <c r="D503" s="1229" t="s">
        <v>343</v>
      </c>
      <c r="E503" s="1229" t="s">
        <v>344</v>
      </c>
      <c r="F503" s="1229" t="s">
        <v>482</v>
      </c>
      <c r="G503" s="1229" t="s">
        <v>483</v>
      </c>
      <c r="H503" s="1229" t="s">
        <v>170</v>
      </c>
      <c r="I503" s="1229" t="s">
        <v>171</v>
      </c>
    </row>
    <row r="504" spans="1:9" s="181" customFormat="1" ht="18">
      <c r="A504" s="2042" t="s">
        <v>4191</v>
      </c>
      <c r="B504" s="1275" t="s">
        <v>6605</v>
      </c>
      <c r="C504" s="1264">
        <v>1</v>
      </c>
      <c r="D504" s="401" t="s">
        <v>363</v>
      </c>
      <c r="E504" s="1276">
        <f>+'BASE 2'!D137</f>
        <v>464100</v>
      </c>
      <c r="F504" s="1276"/>
      <c r="G504" s="1276">
        <f>+E504*C504</f>
        <v>464100</v>
      </c>
      <c r="H504" s="1276"/>
      <c r="I504" s="1276"/>
    </row>
    <row r="505" spans="1:9" s="181" customFormat="1" ht="18">
      <c r="A505" s="2042" t="s">
        <v>584</v>
      </c>
      <c r="B505" s="1275" t="s">
        <v>134</v>
      </c>
      <c r="C505" s="1263">
        <v>8.9999999999999993E-3</v>
      </c>
      <c r="D505" s="401" t="s">
        <v>583</v>
      </c>
      <c r="E505" s="1276">
        <f>+VIAJE</f>
        <v>1200000</v>
      </c>
      <c r="F505" s="1276"/>
      <c r="G505" s="1276"/>
      <c r="H505" s="1276"/>
      <c r="I505" s="1276">
        <f>+E505*C505</f>
        <v>10800</v>
      </c>
    </row>
    <row r="506" spans="1:9" s="181" customFormat="1" ht="18">
      <c r="A506" s="2040" t="s">
        <v>190</v>
      </c>
      <c r="B506" s="1266">
        <f>SUM(F506:I506)</f>
        <v>474900</v>
      </c>
      <c r="C506" s="401"/>
      <c r="D506" s="1267"/>
      <c r="E506" s="1276"/>
      <c r="F506" s="1276">
        <f>SUM(F503:F505)</f>
        <v>0</v>
      </c>
      <c r="G506" s="1276">
        <f>SUM(G503:G505)</f>
        <v>464100</v>
      </c>
      <c r="H506" s="1276">
        <f>SUM(H503:H505)</f>
        <v>0</v>
      </c>
      <c r="I506" s="1276">
        <f>SUM(I503:I505)</f>
        <v>10800</v>
      </c>
    </row>
    <row r="507" spans="1:9" s="181" customFormat="1" ht="18">
      <c r="A507" s="2040" t="s">
        <v>191</v>
      </c>
      <c r="B507" s="1587">
        <f>+B506</f>
        <v>474900</v>
      </c>
      <c r="C507" s="2045" t="s">
        <v>363</v>
      </c>
      <c r="D507" s="863"/>
      <c r="E507" s="863"/>
      <c r="F507" s="863"/>
      <c r="G507" s="863"/>
      <c r="H507" s="863"/>
      <c r="I507" s="863"/>
    </row>
    <row r="508" spans="1:9" s="2050" customFormat="1" ht="13.5" customHeight="1">
      <c r="A508" s="1273"/>
      <c r="B508" s="861"/>
      <c r="C508" s="881"/>
      <c r="D508" s="863"/>
      <c r="E508" s="882"/>
      <c r="F508" s="882"/>
      <c r="G508" s="882"/>
      <c r="H508" s="882"/>
      <c r="I508" s="882"/>
    </row>
    <row r="509" spans="1:9" s="181" customFormat="1" ht="18">
      <c r="A509" s="2047" t="str">
        <f>+' TANQUE PATAGONIA'!B96</f>
        <v>17.18</v>
      </c>
      <c r="B509" s="3562" t="s">
        <v>6608</v>
      </c>
      <c r="C509" s="3562"/>
      <c r="D509" s="3562"/>
      <c r="E509" s="3562"/>
      <c r="F509" s="3562"/>
      <c r="G509" s="3562"/>
      <c r="H509" s="3562"/>
      <c r="I509" s="3562"/>
    </row>
    <row r="510" spans="1:9" s="181" customFormat="1" ht="18">
      <c r="A510" s="509"/>
      <c r="B510" s="1258"/>
      <c r="C510" s="1229" t="s">
        <v>140</v>
      </c>
      <c r="D510" s="1229" t="s">
        <v>343</v>
      </c>
      <c r="E510" s="2697" t="s">
        <v>344</v>
      </c>
      <c r="F510" s="2697" t="s">
        <v>482</v>
      </c>
      <c r="G510" s="2697" t="s">
        <v>483</v>
      </c>
      <c r="H510" s="2697" t="s">
        <v>170</v>
      </c>
      <c r="I510" s="2697" t="s">
        <v>171</v>
      </c>
    </row>
    <row r="511" spans="1:9" s="181" customFormat="1" ht="18">
      <c r="A511" s="1229"/>
      <c r="B511" s="1258" t="s">
        <v>6439</v>
      </c>
      <c r="C511" s="1264">
        <v>1.1399999999999999</v>
      </c>
      <c r="D511" s="401" t="s">
        <v>346</v>
      </c>
      <c r="E511" s="2697">
        <f>+OFICI</f>
        <v>80479.625344</v>
      </c>
      <c r="F511" s="2697"/>
      <c r="G511" s="2697"/>
      <c r="H511" s="1255">
        <f>+E511*C511</f>
        <v>91746.772892159992</v>
      </c>
      <c r="I511" s="2697"/>
    </row>
    <row r="512" spans="1:9" s="181" customFormat="1" ht="18">
      <c r="A512" s="1580" t="s">
        <v>347</v>
      </c>
      <c r="B512" s="185" t="s">
        <v>266</v>
      </c>
      <c r="C512" s="1264">
        <v>1.1399999999999999</v>
      </c>
      <c r="D512" s="401" t="s">
        <v>346</v>
      </c>
      <c r="E512" s="1255">
        <f>AYUDA</f>
        <v>65389.695592000004</v>
      </c>
      <c r="F512" s="1255"/>
      <c r="G512" s="1255"/>
      <c r="H512" s="1255">
        <f>+E512*C512</f>
        <v>74544.252974880001</v>
      </c>
      <c r="I512" s="2697"/>
    </row>
    <row r="513" spans="1:10" s="402" customFormat="1" ht="15" customHeight="1">
      <c r="A513" s="954"/>
      <c r="B513" s="185" t="s">
        <v>6426</v>
      </c>
      <c r="C513" s="183">
        <v>1.1399999999999999</v>
      </c>
      <c r="D513" s="401" t="s">
        <v>346</v>
      </c>
      <c r="E513" s="2697">
        <f>+'BASE 2'!D736</f>
        <v>18500</v>
      </c>
      <c r="F513" s="2697">
        <f>+E513*C513</f>
        <v>21090</v>
      </c>
      <c r="G513" s="2697"/>
      <c r="H513" s="2697"/>
      <c r="I513" s="2697"/>
      <c r="J513" s="507"/>
    </row>
    <row r="514" spans="1:10" s="181" customFormat="1" ht="18">
      <c r="A514" s="2694" t="s">
        <v>172</v>
      </c>
      <c r="B514" s="185" t="s">
        <v>189</v>
      </c>
      <c r="C514" s="1264">
        <v>1</v>
      </c>
      <c r="D514" s="401" t="s">
        <v>583</v>
      </c>
      <c r="E514" s="1255">
        <f>H515*0.05</f>
        <v>8314.5512933519985</v>
      </c>
      <c r="F514" s="2697"/>
      <c r="G514" s="2697"/>
      <c r="H514" s="2697"/>
      <c r="I514" s="2697">
        <f>+E514*C514</f>
        <v>8314.5512933519985</v>
      </c>
    </row>
    <row r="515" spans="1:10" s="181" customFormat="1" ht="18">
      <c r="A515" s="2036" t="s">
        <v>190</v>
      </c>
      <c r="B515" s="1266">
        <f>SUM(F515:I515)</f>
        <v>195695.57716039199</v>
      </c>
      <c r="C515" s="401"/>
      <c r="D515" s="1267"/>
      <c r="E515" s="2697"/>
      <c r="F515" s="2697">
        <f>SUM(F511:F514)</f>
        <v>21090</v>
      </c>
      <c r="G515" s="2697">
        <f t="shared" ref="G515:I515" si="27">SUM(G511:G514)</f>
        <v>0</v>
      </c>
      <c r="H515" s="2697">
        <f t="shared" si="27"/>
        <v>166291.02586703998</v>
      </c>
      <c r="I515" s="2697">
        <f t="shared" si="27"/>
        <v>8314.5512933519985</v>
      </c>
    </row>
    <row r="516" spans="1:10" s="181" customFormat="1" ht="18">
      <c r="A516" s="2036" t="s">
        <v>191</v>
      </c>
      <c r="B516" s="1587">
        <f>+B515</f>
        <v>195695.57716039199</v>
      </c>
      <c r="C516" s="2045" t="s">
        <v>363</v>
      </c>
      <c r="D516" s="863"/>
      <c r="E516" s="882">
        <f>+B525*0.15</f>
        <v>196575</v>
      </c>
      <c r="F516" s="882"/>
      <c r="G516" s="882"/>
      <c r="H516" s="882"/>
      <c r="I516" s="882"/>
    </row>
    <row r="517" spans="1:10" s="181" customFormat="1" ht="18">
      <c r="A517" s="1273"/>
      <c r="B517" s="880"/>
      <c r="C517" s="881"/>
      <c r="D517" s="863"/>
      <c r="E517" s="882"/>
      <c r="F517" s="882"/>
      <c r="G517" s="882"/>
      <c r="H517" s="882"/>
      <c r="I517" s="882"/>
    </row>
    <row r="518" spans="1:10" s="181" customFormat="1" ht="18">
      <c r="A518" s="2199" t="str">
        <f>+' TANQUE PATAGONIA'!B124</f>
        <v>18.18</v>
      </c>
      <c r="B518" s="3625" t="s">
        <v>6607</v>
      </c>
      <c r="C518" s="3625"/>
      <c r="D518" s="3625"/>
      <c r="E518" s="3625"/>
      <c r="F518" s="3625"/>
      <c r="G518" s="3625"/>
      <c r="H518" s="3625"/>
      <c r="I518" s="3625"/>
    </row>
    <row r="519" spans="1:10" s="181" customFormat="1" ht="18">
      <c r="A519" s="509"/>
      <c r="B519" s="1258"/>
      <c r="C519" s="1229" t="s">
        <v>140</v>
      </c>
      <c r="D519" s="1229" t="s">
        <v>343</v>
      </c>
      <c r="E519" s="2697" t="s">
        <v>344</v>
      </c>
      <c r="F519" s="2697" t="s">
        <v>482</v>
      </c>
      <c r="G519" s="2697" t="s">
        <v>483</v>
      </c>
      <c r="H519" s="2697" t="s">
        <v>170</v>
      </c>
      <c r="I519" s="2697" t="s">
        <v>171</v>
      </c>
    </row>
    <row r="520" spans="1:10" s="181" customFormat="1" ht="18">
      <c r="A520" s="2694" t="s">
        <v>213</v>
      </c>
      <c r="B520" s="185" t="s">
        <v>5066</v>
      </c>
      <c r="C520" s="1264">
        <v>1</v>
      </c>
      <c r="D520" s="401" t="s">
        <v>363</v>
      </c>
      <c r="E520" s="2697">
        <f>+'BASE 2'!D353</f>
        <v>1059100</v>
      </c>
      <c r="F520" s="2697"/>
      <c r="G520" s="2697">
        <f>+E520*C520</f>
        <v>1059100</v>
      </c>
      <c r="H520" s="2697"/>
      <c r="I520" s="2697"/>
    </row>
    <row r="521" spans="1:10" s="181" customFormat="1" ht="18">
      <c r="A521" s="2694"/>
      <c r="B521" s="185" t="s">
        <v>6445</v>
      </c>
      <c r="C521" s="1264">
        <v>1</v>
      </c>
      <c r="D521" s="401" t="s">
        <v>363</v>
      </c>
      <c r="E521" s="1585">
        <f>+'BASE 2'!D624</f>
        <v>152000</v>
      </c>
      <c r="F521" s="1814"/>
      <c r="G521" s="1814">
        <f>+E521*C521</f>
        <v>152000</v>
      </c>
      <c r="H521" s="1814"/>
      <c r="I521" s="1814"/>
    </row>
    <row r="522" spans="1:10" s="181" customFormat="1" ht="18">
      <c r="A522" s="2694"/>
      <c r="B522" s="185" t="s">
        <v>6455</v>
      </c>
      <c r="C522" s="1264">
        <v>1</v>
      </c>
      <c r="D522" s="401" t="s">
        <v>363</v>
      </c>
      <c r="E522" s="1585">
        <f>+'BASE 2'!D625</f>
        <v>91000</v>
      </c>
      <c r="F522" s="1814"/>
      <c r="G522" s="1814">
        <f>+E522*C522</f>
        <v>91000</v>
      </c>
      <c r="H522" s="1814"/>
      <c r="I522" s="1814"/>
    </row>
    <row r="523" spans="1:10" s="181" customFormat="1" ht="18">
      <c r="A523" s="2694" t="s">
        <v>584</v>
      </c>
      <c r="B523" s="185" t="s">
        <v>134</v>
      </c>
      <c r="C523" s="1263">
        <v>7.0000000000000001E-3</v>
      </c>
      <c r="D523" s="1274" t="s">
        <v>583</v>
      </c>
      <c r="E523" s="1255">
        <f>+VIAJE</f>
        <v>1200000</v>
      </c>
      <c r="F523" s="2697"/>
      <c r="G523" s="2697"/>
      <c r="H523" s="2697"/>
      <c r="I523" s="2697">
        <f>+E523*C523</f>
        <v>8400</v>
      </c>
    </row>
    <row r="524" spans="1:10" s="181" customFormat="1" ht="18">
      <c r="A524" s="2036" t="s">
        <v>190</v>
      </c>
      <c r="B524" s="1266">
        <f>SUM(F524:I524)</f>
        <v>1310500</v>
      </c>
      <c r="C524" s="401"/>
      <c r="D524" s="1267"/>
      <c r="E524" s="2697"/>
      <c r="F524" s="2697">
        <f>SUM(F519:F523)</f>
        <v>0</v>
      </c>
      <c r="G524" s="2697">
        <f>SUM(G519:G523)</f>
        <v>1302100</v>
      </c>
      <c r="H524" s="2697">
        <f>SUM(H519:H523)</f>
        <v>0</v>
      </c>
      <c r="I524" s="2697">
        <f>SUM(I519:I523)</f>
        <v>8400</v>
      </c>
    </row>
    <row r="525" spans="1:10" s="181" customFormat="1" ht="18">
      <c r="A525" s="2036" t="s">
        <v>191</v>
      </c>
      <c r="B525" s="1587">
        <f>+B524</f>
        <v>1310500</v>
      </c>
      <c r="C525" s="2045" t="s">
        <v>363</v>
      </c>
      <c r="D525" s="863"/>
      <c r="E525" s="882"/>
      <c r="F525" s="882"/>
      <c r="G525" s="882"/>
      <c r="H525" s="882"/>
      <c r="I525" s="882"/>
    </row>
    <row r="527" spans="1:10" s="181" customFormat="1" ht="18">
      <c r="A527" s="2314" t="str">
        <f>+' TANQUE PATAGONIA'!B97</f>
        <v>17.19</v>
      </c>
      <c r="B527" s="3563" t="s">
        <v>6610</v>
      </c>
      <c r="C527" s="3564"/>
      <c r="D527" s="3564"/>
      <c r="E527" s="3564"/>
      <c r="F527" s="3564"/>
      <c r="G527" s="3564"/>
      <c r="H527" s="3564"/>
      <c r="I527" s="3565"/>
    </row>
    <row r="528" spans="1:10" s="181" customFormat="1" ht="18">
      <c r="A528" s="1229"/>
      <c r="B528" s="1258"/>
      <c r="C528" s="1229" t="s">
        <v>140</v>
      </c>
      <c r="D528" s="1229" t="s">
        <v>343</v>
      </c>
      <c r="E528" s="2697" t="s">
        <v>344</v>
      </c>
      <c r="F528" s="2697" t="s">
        <v>482</v>
      </c>
      <c r="G528" s="2697" t="s">
        <v>483</v>
      </c>
      <c r="H528" s="2697" t="s">
        <v>170</v>
      </c>
      <c r="I528" s="2697" t="s">
        <v>171</v>
      </c>
    </row>
    <row r="529" spans="1:9" s="181" customFormat="1" ht="18">
      <c r="A529" s="1229"/>
      <c r="B529" s="1258" t="s">
        <v>6439</v>
      </c>
      <c r="C529" s="1264">
        <v>1.0349999999999999</v>
      </c>
      <c r="D529" s="401" t="s">
        <v>346</v>
      </c>
      <c r="E529" s="2697">
        <f>+OFICI</f>
        <v>80479.625344</v>
      </c>
      <c r="F529" s="2697"/>
      <c r="G529" s="2697"/>
      <c r="H529" s="1255">
        <f>+E529*C529</f>
        <v>83296.412231039998</v>
      </c>
      <c r="I529" s="2697"/>
    </row>
    <row r="530" spans="1:9" s="181" customFormat="1" ht="18">
      <c r="A530" s="1580" t="s">
        <v>347</v>
      </c>
      <c r="B530" s="185" t="s">
        <v>266</v>
      </c>
      <c r="C530" s="1264">
        <v>1.0349999999999999</v>
      </c>
      <c r="D530" s="401" t="s">
        <v>346</v>
      </c>
      <c r="E530" s="1255">
        <f>AYUDA*2</f>
        <v>130779.39118400001</v>
      </c>
      <c r="F530" s="1255"/>
      <c r="G530" s="1255"/>
      <c r="H530" s="1255">
        <f>+E530*C530</f>
        <v>135356.66987543998</v>
      </c>
      <c r="I530" s="2697"/>
    </row>
    <row r="531" spans="1:9" s="181" customFormat="1" ht="18">
      <c r="A531" s="1580" t="s">
        <v>172</v>
      </c>
      <c r="B531" s="185" t="s">
        <v>189</v>
      </c>
      <c r="C531" s="1264">
        <v>1</v>
      </c>
      <c r="D531" s="401" t="s">
        <v>583</v>
      </c>
      <c r="E531" s="1255">
        <f>H532*0.05</f>
        <v>10932.654105324</v>
      </c>
      <c r="F531" s="1255"/>
      <c r="G531" s="1255"/>
      <c r="H531" s="1255"/>
      <c r="I531" s="2697">
        <f>+E531*C531</f>
        <v>10932.654105324</v>
      </c>
    </row>
    <row r="532" spans="1:9" s="181" customFormat="1" ht="18">
      <c r="A532" s="2036" t="s">
        <v>190</v>
      </c>
      <c r="B532" s="1266">
        <f>SUM(F532:I532)</f>
        <v>229585.73621180397</v>
      </c>
      <c r="C532" s="687"/>
      <c r="D532" s="1267"/>
      <c r="E532" s="1255"/>
      <c r="F532" s="1255">
        <f>SUM(F529:F531)</f>
        <v>0</v>
      </c>
      <c r="G532" s="1255">
        <f>SUM(G529:G531)</f>
        <v>0</v>
      </c>
      <c r="H532" s="1255">
        <f>SUM(H529:H531)</f>
        <v>218653.08210647997</v>
      </c>
      <c r="I532" s="1255">
        <f>SUM(I529:I531)</f>
        <v>10932.654105324</v>
      </c>
    </row>
    <row r="533" spans="1:9" s="181" customFormat="1" ht="18">
      <c r="A533" s="2036" t="s">
        <v>191</v>
      </c>
      <c r="B533" s="1587">
        <f>+B532</f>
        <v>229585.73621180397</v>
      </c>
      <c r="C533" s="1269" t="s">
        <v>427</v>
      </c>
      <c r="D533" s="863"/>
      <c r="E533" s="882">
        <f>+B541*0.15</f>
        <v>229035</v>
      </c>
      <c r="F533" s="882"/>
      <c r="G533" s="882"/>
      <c r="H533" s="882"/>
      <c r="I533" s="882"/>
    </row>
    <row r="534" spans="1:9" s="1260" customFormat="1" ht="15" customHeight="1">
      <c r="A534" s="1277"/>
      <c r="B534" s="1278"/>
      <c r="C534" s="1279"/>
      <c r="D534" s="402"/>
      <c r="E534" s="1280"/>
      <c r="F534" s="1280"/>
      <c r="G534" s="1280"/>
      <c r="H534" s="1280"/>
      <c r="I534" s="1280"/>
    </row>
    <row r="535" spans="1:9" s="181" customFormat="1" ht="18">
      <c r="A535" s="2338" t="str">
        <f>+' TANQUE PATAGONIA'!B125</f>
        <v>18.19</v>
      </c>
      <c r="B535" s="3963" t="s">
        <v>6611</v>
      </c>
      <c r="C535" s="3964"/>
      <c r="D535" s="3964"/>
      <c r="E535" s="3964"/>
      <c r="F535" s="3964"/>
      <c r="G535" s="3964"/>
      <c r="H535" s="3964"/>
      <c r="I535" s="3965"/>
    </row>
    <row r="536" spans="1:9" s="181" customFormat="1" ht="18">
      <c r="A536" s="1229"/>
      <c r="B536" s="1258"/>
      <c r="C536" s="1229" t="s">
        <v>140</v>
      </c>
      <c r="D536" s="1229" t="s">
        <v>343</v>
      </c>
      <c r="E536" s="2697" t="s">
        <v>344</v>
      </c>
      <c r="F536" s="2697" t="s">
        <v>482</v>
      </c>
      <c r="G536" s="2697" t="s">
        <v>483</v>
      </c>
      <c r="H536" s="2697" t="s">
        <v>170</v>
      </c>
      <c r="I536" s="2697" t="s">
        <v>171</v>
      </c>
    </row>
    <row r="537" spans="1:9" s="181" customFormat="1" ht="18">
      <c r="A537" s="1580" t="s">
        <v>4131</v>
      </c>
      <c r="B537" s="185" t="s">
        <v>6609</v>
      </c>
      <c r="C537" s="1264">
        <v>1</v>
      </c>
      <c r="D537" s="401" t="s">
        <v>363</v>
      </c>
      <c r="E537" s="2697">
        <f>+'BASE 2'!D570</f>
        <v>1320900</v>
      </c>
      <c r="F537" s="2697"/>
      <c r="G537" s="2697">
        <f>+E537*C537</f>
        <v>1320900</v>
      </c>
      <c r="H537" s="2697"/>
      <c r="I537" s="2697"/>
    </row>
    <row r="538" spans="1:9" s="181" customFormat="1" ht="18">
      <c r="A538" s="1580"/>
      <c r="B538" s="185" t="s">
        <v>6455</v>
      </c>
      <c r="C538" s="1264">
        <v>2</v>
      </c>
      <c r="D538" s="401" t="s">
        <v>363</v>
      </c>
      <c r="E538" s="2697">
        <f>+'BASE 2'!D625</f>
        <v>91000</v>
      </c>
      <c r="F538" s="2697"/>
      <c r="G538" s="2697">
        <f>+E538*C538</f>
        <v>182000</v>
      </c>
      <c r="H538" s="2697"/>
      <c r="I538" s="2697"/>
    </row>
    <row r="539" spans="1:9" s="181" customFormat="1" ht="18">
      <c r="A539" s="1580" t="s">
        <v>584</v>
      </c>
      <c r="B539" s="185" t="s">
        <v>134</v>
      </c>
      <c r="C539" s="1264">
        <v>0.02</v>
      </c>
      <c r="D539" s="401" t="s">
        <v>583</v>
      </c>
      <c r="E539" s="2697">
        <f>+VIAJE</f>
        <v>1200000</v>
      </c>
      <c r="F539" s="2697"/>
      <c r="G539" s="2697"/>
      <c r="H539" s="2697"/>
      <c r="I539" s="2697">
        <f>+E539*C539</f>
        <v>24000</v>
      </c>
    </row>
    <row r="540" spans="1:9" s="181" customFormat="1" ht="18">
      <c r="A540" s="2036" t="s">
        <v>190</v>
      </c>
      <c r="B540" s="1266">
        <f>SUM(F540:I540)</f>
        <v>1526900</v>
      </c>
      <c r="C540" s="687"/>
      <c r="D540" s="1267"/>
      <c r="E540" s="1255"/>
      <c r="F540" s="1255">
        <f>SUM(F537:F539)</f>
        <v>0</v>
      </c>
      <c r="G540" s="1255">
        <f>SUM(G537:G539)</f>
        <v>1502900</v>
      </c>
      <c r="H540" s="1255">
        <f>SUM(H537:H539)</f>
        <v>0</v>
      </c>
      <c r="I540" s="2697">
        <f>SUM(I537:I539)</f>
        <v>24000</v>
      </c>
    </row>
    <row r="541" spans="1:9" s="181" customFormat="1" ht="18">
      <c r="A541" s="2036" t="s">
        <v>191</v>
      </c>
      <c r="B541" s="1587">
        <f>+B540</f>
        <v>1526900</v>
      </c>
      <c r="C541" s="1269" t="s">
        <v>427</v>
      </c>
      <c r="D541" s="863"/>
      <c r="E541" s="882"/>
      <c r="F541" s="882"/>
      <c r="G541" s="882"/>
      <c r="H541" s="882"/>
      <c r="I541" s="882"/>
    </row>
    <row r="543" spans="1:9" s="181" customFormat="1" ht="18">
      <c r="A543" s="2314" t="str">
        <f>+' TANQUE PATAGONIA'!B98</f>
        <v>17.20</v>
      </c>
      <c r="B543" s="3573" t="s">
        <v>6614</v>
      </c>
      <c r="C543" s="3573"/>
      <c r="D543" s="3573"/>
      <c r="E543" s="3573"/>
      <c r="F543" s="3573"/>
      <c r="G543" s="3573"/>
      <c r="H543" s="3573"/>
      <c r="I543" s="3573"/>
    </row>
    <row r="544" spans="1:9" s="181" customFormat="1" ht="18">
      <c r="A544" s="1900"/>
      <c r="B544" s="1262"/>
      <c r="C544" s="1229" t="s">
        <v>140</v>
      </c>
      <c r="D544" s="1229" t="s">
        <v>343</v>
      </c>
      <c r="E544" s="2697" t="s">
        <v>344</v>
      </c>
      <c r="F544" s="2697" t="s">
        <v>482</v>
      </c>
      <c r="G544" s="2697" t="s">
        <v>483</v>
      </c>
      <c r="H544" s="2697" t="s">
        <v>170</v>
      </c>
      <c r="I544" s="2697" t="s">
        <v>171</v>
      </c>
    </row>
    <row r="545" spans="1:12" s="181" customFormat="1" ht="18">
      <c r="A545" s="1229"/>
      <c r="B545" s="1258" t="s">
        <v>6439</v>
      </c>
      <c r="C545" s="1264">
        <v>1.58</v>
      </c>
      <c r="D545" s="401" t="s">
        <v>346</v>
      </c>
      <c r="E545" s="2697">
        <f>+OFICI</f>
        <v>80479.625344</v>
      </c>
      <c r="F545" s="2697"/>
      <c r="G545" s="2697"/>
      <c r="H545" s="1255">
        <f>+E545*C545</f>
        <v>127157.80804352001</v>
      </c>
      <c r="I545" s="2697"/>
    </row>
    <row r="546" spans="1:12" s="181" customFormat="1" ht="18">
      <c r="A546" s="1580"/>
      <c r="B546" s="185" t="s">
        <v>266</v>
      </c>
      <c r="C546" s="1264">
        <v>1.58</v>
      </c>
      <c r="D546" s="401" t="s">
        <v>346</v>
      </c>
      <c r="E546" s="1255">
        <f>AYUDA</f>
        <v>65389.695592000004</v>
      </c>
      <c r="F546" s="1255"/>
      <c r="G546" s="1255"/>
      <c r="H546" s="1255">
        <f>+E546*C546</f>
        <v>103315.71903536002</v>
      </c>
      <c r="I546" s="2697"/>
    </row>
    <row r="547" spans="1:12" s="181" customFormat="1" ht="18">
      <c r="A547" s="1900" t="s">
        <v>172</v>
      </c>
      <c r="B547" s="185" t="s">
        <v>189</v>
      </c>
      <c r="C547" s="1264">
        <v>1</v>
      </c>
      <c r="D547" s="401" t="s">
        <v>583</v>
      </c>
      <c r="E547" s="1255">
        <f>H548*0.05</f>
        <v>11523.676353944002</v>
      </c>
      <c r="F547" s="2697"/>
      <c r="G547" s="2697"/>
      <c r="H547" s="2697"/>
      <c r="I547" s="2697">
        <f>+E547*C547</f>
        <v>11523.676353944002</v>
      </c>
    </row>
    <row r="548" spans="1:12" s="181" customFormat="1" ht="18">
      <c r="A548" s="2040" t="s">
        <v>190</v>
      </c>
      <c r="B548" s="1266">
        <f>SUM(F548:I548)</f>
        <v>241997.20343282403</v>
      </c>
      <c r="C548" s="401"/>
      <c r="D548" s="1267"/>
      <c r="E548" s="2697"/>
      <c r="F548" s="2697">
        <f>SUM(F543:F547)</f>
        <v>0</v>
      </c>
      <c r="G548" s="2697">
        <f>SUM(G543:G547)</f>
        <v>0</v>
      </c>
      <c r="H548" s="2697">
        <f>SUM(H543:H547)</f>
        <v>230473.52707888003</v>
      </c>
      <c r="I548" s="2697">
        <f>SUM(I543:I547)</f>
        <v>11523.676353944002</v>
      </c>
    </row>
    <row r="549" spans="1:12" s="181" customFormat="1" ht="18">
      <c r="A549" s="2036" t="s">
        <v>191</v>
      </c>
      <c r="B549" s="1587">
        <f>+B548</f>
        <v>241997.20343282403</v>
      </c>
      <c r="C549" s="1269" t="s">
        <v>427</v>
      </c>
      <c r="D549" s="863"/>
      <c r="E549" s="882">
        <f>+B557*0.15</f>
        <v>240630</v>
      </c>
      <c r="F549" s="882"/>
      <c r="G549" s="882"/>
      <c r="H549" s="882"/>
      <c r="I549" s="882"/>
    </row>
    <row r="550" spans="1:12" s="2039" customFormat="1" ht="18">
      <c r="A550" s="2042"/>
      <c r="B550" s="2056"/>
      <c r="C550" s="2100"/>
      <c r="D550" s="2101"/>
      <c r="E550" s="882"/>
      <c r="F550" s="882"/>
      <c r="G550" s="882"/>
      <c r="H550" s="882"/>
      <c r="I550" s="882"/>
    </row>
    <row r="551" spans="1:12" s="181" customFormat="1" ht="18">
      <c r="A551" s="2338" t="str">
        <f>+' TANQUE PATAGONIA'!B126</f>
        <v>18.20</v>
      </c>
      <c r="B551" s="3963" t="s">
        <v>6613</v>
      </c>
      <c r="C551" s="3964"/>
      <c r="D551" s="3989"/>
      <c r="E551" s="3989"/>
      <c r="F551" s="3989"/>
      <c r="G551" s="3989"/>
      <c r="H551" s="3989"/>
      <c r="I551" s="3990"/>
    </row>
    <row r="552" spans="1:12" s="181" customFormat="1" ht="18">
      <c r="A552" s="1229"/>
      <c r="B552" s="1258"/>
      <c r="C552" s="1229" t="s">
        <v>140</v>
      </c>
      <c r="D552" s="1229" t="s">
        <v>343</v>
      </c>
      <c r="E552" s="2697" t="s">
        <v>344</v>
      </c>
      <c r="F552" s="2697" t="s">
        <v>482</v>
      </c>
      <c r="G552" s="2697" t="s">
        <v>483</v>
      </c>
      <c r="H552" s="2697" t="s">
        <v>170</v>
      </c>
      <c r="I552" s="2697" t="s">
        <v>171</v>
      </c>
      <c r="L552" s="181">
        <f>2400+(740*21)</f>
        <v>17940</v>
      </c>
    </row>
    <row r="553" spans="1:12" s="181" customFormat="1" ht="18">
      <c r="A553" s="1580" t="s">
        <v>4131</v>
      </c>
      <c r="B553" s="185" t="s">
        <v>5081</v>
      </c>
      <c r="C553" s="1264">
        <v>1</v>
      </c>
      <c r="D553" s="401" t="s">
        <v>363</v>
      </c>
      <c r="E553" s="2697">
        <f>+'BASE 2'!D319</f>
        <v>1404200</v>
      </c>
      <c r="F553" s="2697"/>
      <c r="G553" s="2697">
        <f>+E553*C553</f>
        <v>1404200</v>
      </c>
      <c r="H553" s="2697"/>
      <c r="I553" s="2697"/>
      <c r="L553" s="181">
        <f>+L552*1.19</f>
        <v>21348.6</v>
      </c>
    </row>
    <row r="554" spans="1:12" s="181" customFormat="1" ht="18">
      <c r="A554" s="1580"/>
      <c r="B554" s="185" t="s">
        <v>6455</v>
      </c>
      <c r="C554" s="1264">
        <v>2</v>
      </c>
      <c r="D554" s="401" t="s">
        <v>363</v>
      </c>
      <c r="E554" s="2697">
        <f>+'BASE 2'!D625</f>
        <v>91000</v>
      </c>
      <c r="F554" s="2697"/>
      <c r="G554" s="2697">
        <f>+E554*C554</f>
        <v>182000</v>
      </c>
      <c r="H554" s="2697"/>
      <c r="I554" s="2697"/>
    </row>
    <row r="555" spans="1:12" s="181" customFormat="1" ht="18">
      <c r="A555" s="1580" t="s">
        <v>584</v>
      </c>
      <c r="B555" s="185" t="s">
        <v>134</v>
      </c>
      <c r="C555" s="1264">
        <v>1.4999999999999999E-2</v>
      </c>
      <c r="D555" s="401" t="s">
        <v>583</v>
      </c>
      <c r="E555" s="2697">
        <f>+VIAJE</f>
        <v>1200000</v>
      </c>
      <c r="F555" s="2697"/>
      <c r="G555" s="2697"/>
      <c r="H555" s="2697"/>
      <c r="I555" s="2697">
        <f>+E555*C555</f>
        <v>18000</v>
      </c>
    </row>
    <row r="556" spans="1:12" s="181" customFormat="1" ht="18">
      <c r="A556" s="2036" t="s">
        <v>190</v>
      </c>
      <c r="B556" s="1266">
        <f>SUM(F556:I556)</f>
        <v>1604200</v>
      </c>
      <c r="C556" s="687"/>
      <c r="D556" s="1267"/>
      <c r="E556" s="1255"/>
      <c r="F556" s="1255">
        <f>SUM(F553:F555)</f>
        <v>0</v>
      </c>
      <c r="G556" s="1255">
        <f>SUM(G553:G555)</f>
        <v>1586200</v>
      </c>
      <c r="H556" s="1255">
        <f>SUM(H553:H555)</f>
        <v>0</v>
      </c>
      <c r="I556" s="2697">
        <f>SUM(I553:I555)</f>
        <v>18000</v>
      </c>
    </row>
    <row r="557" spans="1:12" s="181" customFormat="1" ht="18">
      <c r="A557" s="2036" t="s">
        <v>191</v>
      </c>
      <c r="B557" s="1587">
        <f>+B556</f>
        <v>1604200</v>
      </c>
      <c r="C557" s="1269" t="s">
        <v>427</v>
      </c>
      <c r="D557" s="863"/>
      <c r="E557" s="882"/>
      <c r="F557" s="882"/>
      <c r="G557" s="882"/>
      <c r="H557" s="882"/>
      <c r="I557" s="882"/>
    </row>
    <row r="559" spans="1:12" s="181" customFormat="1" ht="18">
      <c r="A559" s="2314" t="str">
        <f>+' TANQUE PATAGONIA'!B99</f>
        <v>17.21</v>
      </c>
      <c r="B559" s="3563" t="s">
        <v>6618</v>
      </c>
      <c r="C559" s="3564"/>
      <c r="D559" s="3564"/>
      <c r="E559" s="3564"/>
      <c r="F559" s="3564"/>
      <c r="G559" s="3564"/>
      <c r="H559" s="3564"/>
      <c r="I559" s="3565"/>
    </row>
    <row r="560" spans="1:12" s="181" customFormat="1" ht="18">
      <c r="A560" s="1229"/>
      <c r="B560" s="1258"/>
      <c r="C560" s="1229" t="s">
        <v>140</v>
      </c>
      <c r="D560" s="1229" t="s">
        <v>343</v>
      </c>
      <c r="E560" s="2697" t="s">
        <v>344</v>
      </c>
      <c r="F560" s="2697" t="s">
        <v>482</v>
      </c>
      <c r="G560" s="2697" t="s">
        <v>483</v>
      </c>
      <c r="H560" s="2697" t="s">
        <v>170</v>
      </c>
      <c r="I560" s="2697" t="s">
        <v>171</v>
      </c>
    </row>
    <row r="561" spans="1:13" s="402" customFormat="1" ht="15" customHeight="1">
      <c r="A561" s="954" t="s">
        <v>53</v>
      </c>
      <c r="B561" s="231" t="s">
        <v>6501</v>
      </c>
      <c r="C561" s="1299">
        <f>1/9</f>
        <v>0.1111111111111111</v>
      </c>
      <c r="D561" s="401" t="s">
        <v>346</v>
      </c>
      <c r="E561" s="1255">
        <f>+'BASE 2'!D738</f>
        <v>200979.89333333331</v>
      </c>
      <c r="F561" s="2697">
        <f>+E561*C561</f>
        <v>22331.099259259256</v>
      </c>
      <c r="G561" s="2697"/>
      <c r="H561" s="2697"/>
      <c r="I561" s="2697"/>
      <c r="J561" s="507"/>
      <c r="K561" s="2034"/>
      <c r="L561" s="507"/>
      <c r="M561" s="507"/>
    </row>
    <row r="562" spans="1:13" s="402" customFormat="1" ht="15" customHeight="1">
      <c r="A562" s="954" t="s">
        <v>47</v>
      </c>
      <c r="B562" s="231" t="s">
        <v>6425</v>
      </c>
      <c r="C562" s="1299">
        <f>1/9</f>
        <v>0.1111111111111111</v>
      </c>
      <c r="D562" s="401" t="s">
        <v>346</v>
      </c>
      <c r="E562" s="2697">
        <f>+EEF110_</f>
        <v>520232.3</v>
      </c>
      <c r="F562" s="2697">
        <f>+E562*C562</f>
        <v>57803.588888888888</v>
      </c>
      <c r="G562" s="2697"/>
      <c r="H562" s="2697"/>
      <c r="I562" s="2697"/>
      <c r="J562" s="507"/>
    </row>
    <row r="563" spans="1:13" s="402" customFormat="1" ht="15" customHeight="1">
      <c r="A563" s="954" t="s">
        <v>380</v>
      </c>
      <c r="B563" s="184" t="s">
        <v>378</v>
      </c>
      <c r="C563" s="183">
        <f>1/40</f>
        <v>2.5000000000000001E-2</v>
      </c>
      <c r="D563" s="401" t="s">
        <v>238</v>
      </c>
      <c r="E563" s="2697">
        <f>+GASO</f>
        <v>8800</v>
      </c>
      <c r="F563" s="2697"/>
      <c r="G563" s="2697"/>
      <c r="H563" s="2697"/>
      <c r="I563" s="2697">
        <f>+E563*C563</f>
        <v>220</v>
      </c>
      <c r="J563" s="507"/>
      <c r="K563" s="507"/>
      <c r="L563" s="507"/>
      <c r="M563" s="507"/>
    </row>
    <row r="564" spans="1:13" s="402" customFormat="1" ht="15" customHeight="1">
      <c r="A564" s="954" t="s">
        <v>382</v>
      </c>
      <c r="B564" s="184" t="s">
        <v>381</v>
      </c>
      <c r="C564" s="183">
        <f>1/3.3</f>
        <v>0.30303030303030304</v>
      </c>
      <c r="D564" s="401" t="s">
        <v>426</v>
      </c>
      <c r="E564" s="2697">
        <f>+ESTOP</f>
        <v>4080</v>
      </c>
      <c r="F564" s="2697"/>
      <c r="G564" s="2697"/>
      <c r="H564" s="2697"/>
      <c r="I564" s="2697">
        <f>+E564*C564</f>
        <v>1236.3636363636365</v>
      </c>
      <c r="J564" s="507"/>
    </row>
    <row r="565" spans="1:13" s="181" customFormat="1" ht="18">
      <c r="A565" s="1229"/>
      <c r="B565" s="1258" t="s">
        <v>6439</v>
      </c>
      <c r="C565" s="1299">
        <f t="shared" ref="C565:C566" si="28">1/9</f>
        <v>0.1111111111111111</v>
      </c>
      <c r="D565" s="401" t="s">
        <v>346</v>
      </c>
      <c r="E565" s="2697">
        <f>+OFICI</f>
        <v>80479.625344</v>
      </c>
      <c r="F565" s="2697"/>
      <c r="G565" s="2697"/>
      <c r="H565" s="1255">
        <f>+E565*C565</f>
        <v>8942.1805937777772</v>
      </c>
      <c r="I565" s="2697"/>
    </row>
    <row r="566" spans="1:13" s="181" customFormat="1" ht="18">
      <c r="A566" s="1580"/>
      <c r="B566" s="185" t="s">
        <v>266</v>
      </c>
      <c r="C566" s="1299">
        <f t="shared" si="28"/>
        <v>0.1111111111111111</v>
      </c>
      <c r="D566" s="401" t="s">
        <v>346</v>
      </c>
      <c r="E566" s="1255">
        <f>AYUDA</f>
        <v>65389.695592000004</v>
      </c>
      <c r="F566" s="1255"/>
      <c r="G566" s="1255"/>
      <c r="H566" s="1255">
        <f>+E566*C566</f>
        <v>7265.5217324444448</v>
      </c>
      <c r="I566" s="2697"/>
    </row>
    <row r="567" spans="1:13" s="402" customFormat="1" ht="15" customHeight="1">
      <c r="A567" s="1261" t="s">
        <v>172</v>
      </c>
      <c r="B567" s="184" t="s">
        <v>189</v>
      </c>
      <c r="C567" s="1264">
        <v>1</v>
      </c>
      <c r="D567" s="1229" t="s">
        <v>583</v>
      </c>
      <c r="E567" s="2697">
        <f>H568*0.05</f>
        <v>810.38511631111112</v>
      </c>
      <c r="F567" s="2697"/>
      <c r="G567" s="2697"/>
      <c r="H567" s="2697"/>
      <c r="I567" s="2697">
        <f>+E567*C567</f>
        <v>810.38511631111112</v>
      </c>
      <c r="J567" s="1260"/>
    </row>
    <row r="568" spans="1:13" s="181" customFormat="1" ht="18">
      <c r="A568" s="2036" t="s">
        <v>190</v>
      </c>
      <c r="B568" s="1266">
        <f>SUM(F568:I568)</f>
        <v>98609.139227045103</v>
      </c>
      <c r="C568" s="687"/>
      <c r="D568" s="1267"/>
      <c r="E568" s="1255"/>
      <c r="F568" s="1255">
        <f>SUM(F561:F567)</f>
        <v>80134.68814814814</v>
      </c>
      <c r="G568" s="1255">
        <f t="shared" ref="G568:I568" si="29">SUM(G561:G567)</f>
        <v>0</v>
      </c>
      <c r="H568" s="1255">
        <f t="shared" si="29"/>
        <v>16207.702326222221</v>
      </c>
      <c r="I568" s="1255">
        <f t="shared" si="29"/>
        <v>2266.7487526747477</v>
      </c>
    </row>
    <row r="569" spans="1:13" s="181" customFormat="1" ht="18">
      <c r="A569" s="2036" t="s">
        <v>191</v>
      </c>
      <c r="B569" s="1587">
        <f>+B568</f>
        <v>98609.139227045103</v>
      </c>
      <c r="C569" s="1269" t="s">
        <v>427</v>
      </c>
      <c r="D569" s="863"/>
      <c r="E569" s="882">
        <f>+B576*0.15</f>
        <v>94650</v>
      </c>
      <c r="F569" s="882"/>
      <c r="G569" s="882"/>
      <c r="H569" s="882"/>
      <c r="I569" s="882"/>
    </row>
    <row r="570" spans="1:13" s="1260" customFormat="1" ht="15" customHeight="1">
      <c r="A570" s="1277"/>
      <c r="B570" s="1278"/>
      <c r="C570" s="1279"/>
      <c r="D570" s="402"/>
      <c r="E570" s="1280"/>
      <c r="F570" s="1280"/>
      <c r="G570" s="1280"/>
      <c r="H570" s="1280"/>
      <c r="I570" s="1280"/>
    </row>
    <row r="571" spans="1:13" s="181" customFormat="1" ht="18">
      <c r="A571" s="2338" t="str">
        <f>+' TANQUE PATAGONIA'!B127</f>
        <v>18.21</v>
      </c>
      <c r="B571" s="3963" t="s">
        <v>6617</v>
      </c>
      <c r="C571" s="3964"/>
      <c r="D571" s="3964"/>
      <c r="E571" s="3964"/>
      <c r="F571" s="3964"/>
      <c r="G571" s="3964"/>
      <c r="H571" s="3964"/>
      <c r="I571" s="3965"/>
    </row>
    <row r="572" spans="1:13" s="181" customFormat="1" ht="18">
      <c r="A572" s="1229"/>
      <c r="B572" s="1258"/>
      <c r="C572" s="1229" t="s">
        <v>140</v>
      </c>
      <c r="D572" s="1229" t="s">
        <v>343</v>
      </c>
      <c r="E572" s="2697" t="s">
        <v>344</v>
      </c>
      <c r="F572" s="2697" t="s">
        <v>482</v>
      </c>
      <c r="G572" s="2697" t="s">
        <v>483</v>
      </c>
      <c r="H572" s="2697" t="s">
        <v>170</v>
      </c>
      <c r="I572" s="2697" t="s">
        <v>171</v>
      </c>
    </row>
    <row r="573" spans="1:13" s="181" customFormat="1" ht="35.25" customHeight="1">
      <c r="A573" s="1580"/>
      <c r="B573" s="406" t="s">
        <v>6616</v>
      </c>
      <c r="C573" s="183">
        <v>1</v>
      </c>
      <c r="D573" s="501" t="s">
        <v>363</v>
      </c>
      <c r="E573" s="497">
        <f>+'BASE 2'!D657</f>
        <v>595000</v>
      </c>
      <c r="F573" s="497"/>
      <c r="G573" s="497">
        <f>+E573*C573</f>
        <v>595000</v>
      </c>
      <c r="H573" s="497"/>
      <c r="I573" s="497"/>
    </row>
    <row r="574" spans="1:13" s="181" customFormat="1" ht="18">
      <c r="A574" s="1580" t="s">
        <v>584</v>
      </c>
      <c r="B574" s="185" t="s">
        <v>134</v>
      </c>
      <c r="C574" s="1264">
        <v>1.4999999999999999E-2</v>
      </c>
      <c r="D574" s="401" t="s">
        <v>583</v>
      </c>
      <c r="E574" s="2697">
        <f>+VIAJE</f>
        <v>1200000</v>
      </c>
      <c r="F574" s="2697"/>
      <c r="G574" s="2697">
        <f>+E574*C574</f>
        <v>18000</v>
      </c>
      <c r="H574" s="2697"/>
      <c r="I574" s="2697">
        <f>+E574*C574</f>
        <v>18000</v>
      </c>
    </row>
    <row r="575" spans="1:13" s="181" customFormat="1" ht="18">
      <c r="A575" s="2036" t="s">
        <v>190</v>
      </c>
      <c r="B575" s="1266">
        <f>SUM(F575:I575)</f>
        <v>631000</v>
      </c>
      <c r="C575" s="687"/>
      <c r="D575" s="1267"/>
      <c r="E575" s="1255"/>
      <c r="F575" s="1255">
        <f>SUM(F573:F574)</f>
        <v>0</v>
      </c>
      <c r="G575" s="1255">
        <f>SUM(G573:G574)</f>
        <v>613000</v>
      </c>
      <c r="H575" s="1255">
        <f>SUM(H573:H574)</f>
        <v>0</v>
      </c>
      <c r="I575" s="2697">
        <f>SUM(I573:I574)</f>
        <v>18000</v>
      </c>
    </row>
    <row r="576" spans="1:13" s="181" customFormat="1" ht="15" customHeight="1">
      <c r="A576" s="2036" t="s">
        <v>191</v>
      </c>
      <c r="B576" s="1587">
        <f>+B575</f>
        <v>631000</v>
      </c>
      <c r="C576" s="1269" t="s">
        <v>427</v>
      </c>
      <c r="D576" s="863"/>
      <c r="E576" s="882"/>
      <c r="F576" s="882"/>
      <c r="G576" s="882"/>
      <c r="H576" s="882"/>
      <c r="I576" s="882"/>
    </row>
    <row r="581" spans="1:2" ht="19.2">
      <c r="A581" s="1116"/>
      <c r="B581" s="932"/>
    </row>
    <row r="582" spans="1:2" ht="19.2">
      <c r="A582" s="932"/>
      <c r="B582" s="932"/>
    </row>
    <row r="583" spans="1:2" ht="19.2">
      <c r="A583" s="932"/>
      <c r="B583" s="932"/>
    </row>
    <row r="584" spans="1:2" ht="19.2">
      <c r="A584" s="932"/>
      <c r="B584" s="932"/>
    </row>
    <row r="585" spans="1:2" ht="19.2">
      <c r="A585" s="932"/>
      <c r="B585" s="932"/>
    </row>
    <row r="586" spans="1:2" ht="19.2">
      <c r="A586" s="933"/>
      <c r="B586" s="933"/>
    </row>
    <row r="587" spans="1:2" ht="19.2">
      <c r="A587" s="1117"/>
      <c r="B587" s="933"/>
    </row>
    <row r="588" spans="1:2" ht="19.2">
      <c r="A588" s="933"/>
      <c r="B588" s="933"/>
    </row>
    <row r="589" spans="1:2" ht="19.2">
      <c r="A589" s="933"/>
      <c r="B589" s="933"/>
    </row>
    <row r="590" spans="1:2" ht="19.2">
      <c r="A590" s="933"/>
      <c r="B590" s="933"/>
    </row>
    <row r="591" spans="1:2" ht="19.2">
      <c r="A591" s="933"/>
      <c r="B591" s="933"/>
    </row>
    <row r="592" spans="1:2" ht="19.2">
      <c r="A592" s="933"/>
      <c r="B592" s="933"/>
    </row>
    <row r="593" spans="1:2" ht="19.2">
      <c r="A593" s="933"/>
      <c r="B593" s="933"/>
    </row>
    <row r="594" spans="1:2" ht="19.2">
      <c r="A594" s="933"/>
      <c r="B594" s="933"/>
    </row>
    <row r="595" spans="1:2">
      <c r="A595" s="95"/>
      <c r="B595" s="61"/>
    </row>
  </sheetData>
  <mergeCells count="81">
    <mergeCell ref="A289:I289"/>
    <mergeCell ref="A291:I291"/>
    <mergeCell ref="A45:I45"/>
    <mergeCell ref="A53:I53"/>
    <mergeCell ref="A79:I79"/>
    <mergeCell ref="A90:I90"/>
    <mergeCell ref="A185:I185"/>
    <mergeCell ref="B145:I145"/>
    <mergeCell ref="B81:I81"/>
    <mergeCell ref="B47:I47"/>
    <mergeCell ref="B55:I55"/>
    <mergeCell ref="B67:I67"/>
    <mergeCell ref="B92:I92"/>
    <mergeCell ref="B101:I101"/>
    <mergeCell ref="G114:H114"/>
    <mergeCell ref="B115:I115"/>
    <mergeCell ref="B551:I551"/>
    <mergeCell ref="B559:I559"/>
    <mergeCell ref="B571:I571"/>
    <mergeCell ref="B509:I509"/>
    <mergeCell ref="B518:I518"/>
    <mergeCell ref="B527:I527"/>
    <mergeCell ref="B535:I535"/>
    <mergeCell ref="B543:I543"/>
    <mergeCell ref="B470:I470"/>
    <mergeCell ref="B478:I478"/>
    <mergeCell ref="B486:I486"/>
    <mergeCell ref="B494:I494"/>
    <mergeCell ref="B502:I502"/>
    <mergeCell ref="B428:I428"/>
    <mergeCell ref="B438:I438"/>
    <mergeCell ref="B446:I446"/>
    <mergeCell ref="B454:I454"/>
    <mergeCell ref="B462:I462"/>
    <mergeCell ref="A1:A3"/>
    <mergeCell ref="B1:G1"/>
    <mergeCell ref="H1:I3"/>
    <mergeCell ref="B2:G2"/>
    <mergeCell ref="B3:C3"/>
    <mergeCell ref="D3:G3"/>
    <mergeCell ref="A5:I5"/>
    <mergeCell ref="B7:I7"/>
    <mergeCell ref="B17:I17"/>
    <mergeCell ref="B27:I27"/>
    <mergeCell ref="B36:I36"/>
    <mergeCell ref="B130:I130"/>
    <mergeCell ref="A15:I15"/>
    <mergeCell ref="B210:I210"/>
    <mergeCell ref="B173:I173"/>
    <mergeCell ref="B187:I187"/>
    <mergeCell ref="B196:I196"/>
    <mergeCell ref="B160:I160"/>
    <mergeCell ref="A194:I194"/>
    <mergeCell ref="A208:I208"/>
    <mergeCell ref="B218:I218"/>
    <mergeCell ref="B257:I257"/>
    <mergeCell ref="B273:I273"/>
    <mergeCell ref="B281:I281"/>
    <mergeCell ref="B227:I227"/>
    <mergeCell ref="B234:I234"/>
    <mergeCell ref="B241:I241"/>
    <mergeCell ref="B248:I248"/>
    <mergeCell ref="B265:I265"/>
    <mergeCell ref="A225:I225"/>
    <mergeCell ref="A255:I255"/>
    <mergeCell ref="B293:I293"/>
    <mergeCell ref="B301:I301"/>
    <mergeCell ref="B308:I308"/>
    <mergeCell ref="B316:I316"/>
    <mergeCell ref="B324:I324"/>
    <mergeCell ref="B332:I332"/>
    <mergeCell ref="B340:I340"/>
    <mergeCell ref="B348:I348"/>
    <mergeCell ref="B356:I356"/>
    <mergeCell ref="B366:I366"/>
    <mergeCell ref="B420:I420"/>
    <mergeCell ref="B374:I374"/>
    <mergeCell ref="B384:I384"/>
    <mergeCell ref="B392:I392"/>
    <mergeCell ref="B402:I402"/>
    <mergeCell ref="B410:I410"/>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5"/>
  <sheetViews>
    <sheetView topLeftCell="A25" zoomScale="55" zoomScaleNormal="55" workbookViewId="0">
      <selection activeCell="J6" sqref="J6"/>
    </sheetView>
  </sheetViews>
  <sheetFormatPr baseColWidth="10" defaultColWidth="10.6640625" defaultRowHeight="13.2"/>
  <cols>
    <col min="1" max="1" width="8.33203125" customWidth="1"/>
    <col min="6" max="6" width="16.88671875" customWidth="1"/>
    <col min="7" max="7" width="26.88671875" bestFit="1" customWidth="1"/>
    <col min="8" max="8" width="25.33203125" bestFit="1" customWidth="1"/>
    <col min="9" max="9" width="24.5546875" customWidth="1"/>
    <col min="10" max="10" width="25.109375" bestFit="1" customWidth="1"/>
    <col min="11" max="11" width="24.5546875" bestFit="1" customWidth="1"/>
    <col min="12" max="12" width="36" bestFit="1" customWidth="1"/>
    <col min="14" max="14" width="20.6640625" bestFit="1" customWidth="1"/>
    <col min="15" max="15" width="22.6640625" customWidth="1"/>
    <col min="16" max="16" width="17.44140625" customWidth="1"/>
  </cols>
  <sheetData>
    <row r="2" spans="1:16" s="150" customFormat="1" ht="21.6">
      <c r="A2" s="3995" t="s">
        <v>6326</v>
      </c>
      <c r="B2" s="3995"/>
      <c r="C2" s="3995"/>
      <c r="D2" s="3995"/>
      <c r="E2" s="3995"/>
      <c r="F2" s="3995"/>
      <c r="G2" s="3995"/>
      <c r="H2" s="3995"/>
      <c r="I2" s="3995"/>
      <c r="J2" s="3995"/>
      <c r="K2" s="3995"/>
      <c r="L2" s="3995"/>
      <c r="M2" s="3995"/>
      <c r="N2" s="153"/>
      <c r="O2" s="153"/>
    </row>
    <row r="3" spans="1:16" ht="21" customHeight="1">
      <c r="A3" s="3996" t="s">
        <v>1323</v>
      </c>
      <c r="B3" s="3996"/>
      <c r="C3" s="3996"/>
      <c r="D3" s="3996"/>
      <c r="E3" s="3996"/>
      <c r="F3" s="3996"/>
      <c r="G3" s="3996"/>
      <c r="H3" s="3996"/>
      <c r="I3" s="3996"/>
      <c r="J3" s="3996"/>
      <c r="K3" s="3996"/>
      <c r="L3" s="3996"/>
      <c r="M3" s="3996"/>
      <c r="N3" s="153"/>
      <c r="O3" s="153"/>
    </row>
    <row r="4" spans="1:16" s="492" customFormat="1" ht="62.25" customHeight="1">
      <c r="A4" s="490" t="s">
        <v>22</v>
      </c>
      <c r="B4" s="3997" t="s">
        <v>23</v>
      </c>
      <c r="C4" s="3997"/>
      <c r="D4" s="3997"/>
      <c r="E4" s="3997"/>
      <c r="F4" s="3997"/>
      <c r="G4" s="491" t="s">
        <v>850</v>
      </c>
      <c r="H4" s="2295" t="str">
        <f>+CONCATENATE("AIU"," ",AIU*100,"%")</f>
        <v>AIU 29,572249606751%</v>
      </c>
      <c r="I4" s="489" t="s">
        <v>8543</v>
      </c>
      <c r="J4" s="2295" t="s">
        <v>8719</v>
      </c>
      <c r="K4" s="489" t="s">
        <v>8545</v>
      </c>
      <c r="L4" s="491" t="s">
        <v>849</v>
      </c>
      <c r="M4" s="491" t="s">
        <v>283</v>
      </c>
    </row>
    <row r="5" spans="1:16" s="181" customFormat="1" ht="35.25" customHeight="1">
      <c r="A5" s="236">
        <v>1</v>
      </c>
      <c r="B5" s="3998" t="s">
        <v>1203</v>
      </c>
      <c r="C5" s="3998"/>
      <c r="D5" s="3998"/>
      <c r="E5" s="3998"/>
      <c r="F5" s="3998"/>
      <c r="G5" s="2255">
        <f>+'CAPTACION RIO SINÚ'!F59+'CAPTACION RIO SINÚ'!F165</f>
        <v>75258278</v>
      </c>
      <c r="H5" s="2689">
        <f>ROUND(G5*AIU,0)</f>
        <v>22255566</v>
      </c>
      <c r="I5" s="233"/>
      <c r="J5" s="2255">
        <f>ROUND('PRESUPUESTO-INTERV'!$J$50*(G5+H5),0)</f>
        <v>15761410</v>
      </c>
      <c r="K5" s="2255">
        <f>ROUND(0.02*(G5+H5),0)</f>
        <v>1950277</v>
      </c>
      <c r="L5" s="2256">
        <f>(SUM(G5:K5))</f>
        <v>115225531</v>
      </c>
      <c r="M5" s="493">
        <f t="shared" ref="M5:M11" si="0">+L5/$L$12</f>
        <v>1.2908634253084975E-2</v>
      </c>
      <c r="N5" s="2486"/>
    </row>
    <row r="6" spans="1:16" s="181" customFormat="1" ht="34.5" customHeight="1">
      <c r="A6" s="236" t="s">
        <v>260</v>
      </c>
      <c r="B6" s="3998" t="s">
        <v>1202</v>
      </c>
      <c r="C6" s="3998"/>
      <c r="D6" s="3998"/>
      <c r="E6" s="3998"/>
      <c r="F6" s="3998"/>
      <c r="G6" s="2255">
        <f>+'LINEAS IMPULSIÓN-CONDUCCIÓN'!F54</f>
        <v>2104213397</v>
      </c>
      <c r="H6" s="2255">
        <f t="shared" ref="H6:H11" si="1">ROUND(G6*AIU,0)</f>
        <v>622263238</v>
      </c>
      <c r="I6" s="2400"/>
      <c r="J6" s="2255">
        <f>ROUND('PRESUPUESTO-INTERV'!$J$50*(G6+H6),0)</f>
        <v>440687344</v>
      </c>
      <c r="K6" s="2255">
        <f t="shared" ref="K6:K7" si="2">ROUND(0.02*(G6+H6),0)</f>
        <v>54529533</v>
      </c>
      <c r="L6" s="2256">
        <f t="shared" ref="L6:L11" si="3">(SUM(G6:K6))</f>
        <v>3221693512</v>
      </c>
      <c r="M6" s="493">
        <f t="shared" si="0"/>
        <v>0.3609240318618695</v>
      </c>
    </row>
    <row r="7" spans="1:16" s="181" customFormat="1" ht="34.5" customHeight="1">
      <c r="A7" s="236">
        <v>3</v>
      </c>
      <c r="B7" s="3998" t="s">
        <v>1204</v>
      </c>
      <c r="C7" s="3998"/>
      <c r="D7" s="3998"/>
      <c r="E7" s="3998"/>
      <c r="F7" s="3998"/>
      <c r="G7" s="2255">
        <f>+'PTAP TIJERETAS'!F114+'PTAP TIJERETAS'!F250</f>
        <v>912578139</v>
      </c>
      <c r="H7" s="2255">
        <f t="shared" si="1"/>
        <v>269869885</v>
      </c>
      <c r="I7" s="233"/>
      <c r="J7" s="2255">
        <f>ROUND('PRESUPUESTO-INTERV'!$J$50*(G7+H7),0)</f>
        <v>191122078</v>
      </c>
      <c r="K7" s="2255">
        <f t="shared" si="2"/>
        <v>23648960</v>
      </c>
      <c r="L7" s="2256">
        <f t="shared" si="3"/>
        <v>1397219062</v>
      </c>
      <c r="M7" s="493">
        <f t="shared" si="0"/>
        <v>0.15652945737170401</v>
      </c>
    </row>
    <row r="8" spans="1:16" s="181" customFormat="1" ht="34.5" customHeight="1">
      <c r="A8" s="236">
        <v>4</v>
      </c>
      <c r="B8" s="3998" t="s">
        <v>1205</v>
      </c>
      <c r="C8" s="3998"/>
      <c r="D8" s="3998"/>
      <c r="E8" s="3998"/>
      <c r="F8" s="3998"/>
      <c r="G8" s="2255">
        <f>+'PTAP TIJERETAS'!F390+'PTAP TIJERETAS'!F468</f>
        <v>43320269</v>
      </c>
      <c r="H8" s="2255">
        <f t="shared" si="1"/>
        <v>12810778</v>
      </c>
      <c r="I8" s="233"/>
      <c r="J8" s="2255">
        <f>ROUND('PRESUPUESTO-INTERV'!$J$50*(G8+H8),0)</f>
        <v>9072604</v>
      </c>
      <c r="K8" s="2255">
        <f t="shared" ref="K8:K11" si="4">ROUND(0.02*(G8+H8),0)</f>
        <v>1122621</v>
      </c>
      <c r="L8" s="2256">
        <f t="shared" si="3"/>
        <v>66326272</v>
      </c>
      <c r="M8" s="493">
        <f t="shared" si="0"/>
        <v>7.430485059935466E-3</v>
      </c>
    </row>
    <row r="9" spans="1:16" s="181" customFormat="1" ht="34.5" customHeight="1">
      <c r="A9" s="236">
        <v>5</v>
      </c>
      <c r="B9" s="3998" t="s">
        <v>1206</v>
      </c>
      <c r="C9" s="3998"/>
      <c r="D9" s="3998"/>
      <c r="E9" s="3998"/>
      <c r="F9" s="3998"/>
      <c r="G9" s="2255">
        <f>+'LINEAS IMPULSIÓN-CONDUCCIÓN'!F123</f>
        <v>1146701883</v>
      </c>
      <c r="H9" s="2255">
        <f t="shared" si="1"/>
        <v>339105543</v>
      </c>
      <c r="I9" s="233"/>
      <c r="J9" s="2255">
        <f>ROUND('PRESUPUESTO-INTERV'!$J$50*(G9+H9),0)</f>
        <v>240154828</v>
      </c>
      <c r="K9" s="2255">
        <f t="shared" si="4"/>
        <v>29716149</v>
      </c>
      <c r="L9" s="2256">
        <f t="shared" si="3"/>
        <v>1755678403</v>
      </c>
      <c r="M9" s="493">
        <f t="shared" si="0"/>
        <v>0.19668740229426521</v>
      </c>
    </row>
    <row r="10" spans="1:16" s="181" customFormat="1" ht="34.5" customHeight="1">
      <c r="A10" s="236">
        <v>6</v>
      </c>
      <c r="B10" s="3999" t="s">
        <v>1207</v>
      </c>
      <c r="C10" s="4000"/>
      <c r="D10" s="4000"/>
      <c r="E10" s="4000"/>
      <c r="F10" s="4001"/>
      <c r="G10" s="2255">
        <f>+' TANQUE PATAGONIA'!G100+' TANQUE PATAGONIA'!G53</f>
        <v>612636424</v>
      </c>
      <c r="H10" s="2255">
        <f t="shared" si="1"/>
        <v>181170372</v>
      </c>
      <c r="I10" s="233"/>
      <c r="J10" s="2255">
        <f>ROUND('PRESUPUESTO-INTERV'!$J$50*(G10+H10),0)</f>
        <v>128305009</v>
      </c>
      <c r="K10" s="2255">
        <f t="shared" si="4"/>
        <v>15876136</v>
      </c>
      <c r="L10" s="2256">
        <f t="shared" si="3"/>
        <v>937987941</v>
      </c>
      <c r="M10" s="493">
        <f t="shared" si="0"/>
        <v>0.10508212163650822</v>
      </c>
    </row>
    <row r="11" spans="1:16" s="181" customFormat="1" ht="32.25" customHeight="1">
      <c r="A11" s="236">
        <v>7</v>
      </c>
      <c r="B11" s="3999" t="s">
        <v>1298</v>
      </c>
      <c r="C11" s="4000"/>
      <c r="D11" s="4000"/>
      <c r="E11" s="4000"/>
      <c r="F11" s="4001"/>
      <c r="G11" s="2255">
        <f>+'LINEAS IMPULSIÓN-CONDUCCIÓN'!F193</f>
        <v>935364455</v>
      </c>
      <c r="H11" s="2255">
        <f t="shared" si="1"/>
        <v>276608311</v>
      </c>
      <c r="I11" s="233"/>
      <c r="J11" s="2255">
        <f>ROUND('PRESUPUESTO-INTERV'!$J$50*(G11+H11),0)</f>
        <v>195894237</v>
      </c>
      <c r="K11" s="2255">
        <f t="shared" si="4"/>
        <v>24239455</v>
      </c>
      <c r="L11" s="2256">
        <f t="shared" si="3"/>
        <v>1432106458</v>
      </c>
      <c r="M11" s="493">
        <f t="shared" si="0"/>
        <v>0.16043786752263262</v>
      </c>
    </row>
    <row r="12" spans="1:16" s="181" customFormat="1" ht="18">
      <c r="A12" s="408"/>
      <c r="B12" s="3994" t="s">
        <v>1069</v>
      </c>
      <c r="C12" s="3994"/>
      <c r="D12" s="3994"/>
      <c r="E12" s="3994"/>
      <c r="F12" s="3994"/>
      <c r="G12" s="1076">
        <f>SUM(G5:G11)</f>
        <v>5830072845</v>
      </c>
      <c r="H12" s="1076">
        <f>SUM(H5:H11)</f>
        <v>1724083693</v>
      </c>
      <c r="I12" s="409">
        <f>SUM(I5:I11)</f>
        <v>0</v>
      </c>
      <c r="J12" s="1076">
        <f>+SUM(J5:J11)</f>
        <v>1220997510</v>
      </c>
      <c r="K12" s="1076">
        <f>+SUM(K5:K11)</f>
        <v>151083131</v>
      </c>
      <c r="L12" s="1076">
        <f>SUM(L5:L11)</f>
        <v>8926237179</v>
      </c>
      <c r="M12" s="410">
        <f>SUM(M5:M11)</f>
        <v>1</v>
      </c>
      <c r="O12" s="2486">
        <f>+'PRESUPUESTO-INTERV'!J50*('RESUMEN 2'!G12+'RESUMEN 2'!H12)</f>
        <v>1220997508.8417926</v>
      </c>
    </row>
    <row r="13" spans="1:16" s="181" customFormat="1" ht="18">
      <c r="A13" s="4002" t="s">
        <v>1070</v>
      </c>
      <c r="B13" s="4002"/>
      <c r="C13" s="4002"/>
      <c r="D13" s="4002"/>
      <c r="E13" s="4002"/>
      <c r="F13" s="4002"/>
      <c r="G13" s="4002"/>
      <c r="H13" s="4002"/>
      <c r="I13" s="4002"/>
      <c r="J13" s="4002"/>
      <c r="K13" s="4002"/>
      <c r="L13" s="4002"/>
      <c r="M13" s="4002"/>
    </row>
    <row r="14" spans="1:16" s="181" customFormat="1" ht="39" customHeight="1">
      <c r="A14" s="236">
        <f t="shared" ref="A14:B20" si="5">+A5</f>
        <v>1</v>
      </c>
      <c r="B14" s="3998" t="str">
        <f t="shared" si="5"/>
        <v>COMPONENTE ELECTRICO Y MECANICO DEL SISTEMA DE BOMBEO RÍO SINÚ - PTAP TIJERETAS</v>
      </c>
      <c r="C14" s="3998"/>
      <c r="D14" s="3998"/>
      <c r="E14" s="3998"/>
      <c r="F14" s="3998"/>
      <c r="G14" s="2255">
        <f>+'CAPTACION RIO SINÚ'!F212+'CAPTACION RIO SINÚ'!F116</f>
        <v>910286508</v>
      </c>
      <c r="H14" s="233"/>
      <c r="I14" s="2255">
        <f>ROUND(+G14*AIU!H47,0)</f>
        <v>167118590</v>
      </c>
      <c r="J14" s="2255">
        <f t="shared" ref="J14:J20" si="6">ROUND(0.01*(G14+I14),0)</f>
        <v>10774051</v>
      </c>
      <c r="K14" s="2255">
        <f>ROUND(0.02*(G14+I14),0)</f>
        <v>21548102</v>
      </c>
      <c r="L14" s="2256">
        <f t="shared" ref="L14:L20" si="7">(SUM(G14:K14))</f>
        <v>1109727251</v>
      </c>
      <c r="M14" s="235">
        <f t="shared" ref="M14:M20" si="8">+L14/$L$21</f>
        <v>0.11138844180224562</v>
      </c>
      <c r="O14" s="2486">
        <v>470086287</v>
      </c>
      <c r="P14" s="2486"/>
    </row>
    <row r="15" spans="1:16" s="181" customFormat="1" ht="39" customHeight="1">
      <c r="A15" s="236" t="str">
        <f t="shared" si="5"/>
        <v>2</v>
      </c>
      <c r="B15" s="3998" t="str">
        <f t="shared" si="5"/>
        <v xml:space="preserve"> LÍNEA DE IMPULSIÓN RÍO SINÚ - PTAP TIJERETAS (tuberia 400 mm PN12.5 RDE 13.6 en PEAD L=10133 Q=120 l/s )</v>
      </c>
      <c r="C15" s="3998"/>
      <c r="D15" s="3998"/>
      <c r="E15" s="3998"/>
      <c r="F15" s="3998"/>
      <c r="G15" s="2255">
        <f>+'LINEAS IMPULSIÓN-CONDUCCIÓN'!F71</f>
        <v>3405599240</v>
      </c>
      <c r="H15" s="233"/>
      <c r="I15" s="2255">
        <f>ROUND(+G15*AIU!H47,0)</f>
        <v>625230559</v>
      </c>
      <c r="J15" s="2255">
        <f t="shared" si="6"/>
        <v>40308298</v>
      </c>
      <c r="K15" s="2255">
        <f t="shared" ref="K15:K20" si="9">ROUND(0.02*(G15+I15),0)</f>
        <v>80616596</v>
      </c>
      <c r="L15" s="2256">
        <f t="shared" si="7"/>
        <v>4151754693</v>
      </c>
      <c r="M15" s="235">
        <f t="shared" si="8"/>
        <v>0.41673076477278526</v>
      </c>
      <c r="O15" s="2486"/>
      <c r="P15" s="2486">
        <v>461129070</v>
      </c>
    </row>
    <row r="16" spans="1:16" s="181" customFormat="1" ht="39" customHeight="1">
      <c r="A16" s="236">
        <f t="shared" si="5"/>
        <v>3</v>
      </c>
      <c r="B16" s="3998" t="str">
        <f t="shared" si="5"/>
        <v>OPTIMIZACION PLANTA DE TRATAMIENTO DE AGUA POTABLE (Q= 120 l/s)</v>
      </c>
      <c r="C16" s="3998"/>
      <c r="D16" s="3998"/>
      <c r="E16" s="3998"/>
      <c r="F16" s="3998"/>
      <c r="G16" s="2255">
        <f>+'PTAP TIJERETAS'!F154+'PTAP TIJERETAS'!F330</f>
        <v>1677380707</v>
      </c>
      <c r="H16" s="233"/>
      <c r="I16" s="2255">
        <f>ROUND(+G16*AIU!H47,0)</f>
        <v>307948647</v>
      </c>
      <c r="J16" s="2255">
        <f t="shared" si="6"/>
        <v>19853294</v>
      </c>
      <c r="K16" s="2255">
        <f t="shared" si="9"/>
        <v>39706587</v>
      </c>
      <c r="L16" s="2256">
        <f t="shared" si="7"/>
        <v>2044889235</v>
      </c>
      <c r="M16" s="235">
        <f t="shared" si="8"/>
        <v>0.20525496273032956</v>
      </c>
    </row>
    <row r="17" spans="1:16" s="181" customFormat="1" ht="50.25" customHeight="1">
      <c r="A17" s="236">
        <f t="shared" si="5"/>
        <v>4</v>
      </c>
      <c r="B17" s="3998" t="str">
        <f t="shared" si="5"/>
        <v>COMPONENTE ELECTRICO Y MECANICO DEL SISTEMA DE BOMBEO PTAP TIJERETAS - TANQUE PATAGONIA</v>
      </c>
      <c r="C17" s="3998"/>
      <c r="D17" s="3998"/>
      <c r="E17" s="3998"/>
      <c r="F17" s="3998"/>
      <c r="G17" s="2255">
        <f>+'PTAP TIJERETAS'!F492+'PTAP TIJERETAS'!F441</f>
        <v>613268205</v>
      </c>
      <c r="H17" s="233"/>
      <c r="I17" s="2255">
        <f>ROUND(+G17*AIU!H47,0)</f>
        <v>112589296</v>
      </c>
      <c r="J17" s="2255">
        <f t="shared" si="6"/>
        <v>7258575</v>
      </c>
      <c r="K17" s="2255">
        <f t="shared" si="9"/>
        <v>14517150</v>
      </c>
      <c r="L17" s="2256">
        <f t="shared" si="7"/>
        <v>747633226</v>
      </c>
      <c r="M17" s="235">
        <f t="shared" si="8"/>
        <v>7.504339467980331E-2</v>
      </c>
      <c r="P17" s="2403"/>
    </row>
    <row r="18" spans="1:16" s="181" customFormat="1" ht="35.25" customHeight="1">
      <c r="A18" s="236">
        <f t="shared" si="5"/>
        <v>5</v>
      </c>
      <c r="B18" s="3998" t="str">
        <f t="shared" si="5"/>
        <v>LÍNEA DE IMPULSIÓN PTAP TIJERETAS -  (tuberia 160 mm  PEAD L=10368 Q=20 l/s )</v>
      </c>
      <c r="C18" s="3998"/>
      <c r="D18" s="3998"/>
      <c r="E18" s="3998"/>
      <c r="F18" s="3998"/>
      <c r="G18" s="2255">
        <f>+'LINEAS IMPULSIÓN-CONDUCCIÓN'!F143</f>
        <v>745534458</v>
      </c>
      <c r="H18" s="233"/>
      <c r="I18" s="2255">
        <f>ROUND(+G18*AIU!H47,0)</f>
        <v>136871926</v>
      </c>
      <c r="J18" s="2255">
        <f t="shared" si="6"/>
        <v>8824064</v>
      </c>
      <c r="K18" s="2255">
        <f t="shared" si="9"/>
        <v>17648128</v>
      </c>
      <c r="L18" s="2256">
        <f t="shared" si="7"/>
        <v>908878576</v>
      </c>
      <c r="M18" s="235">
        <f t="shared" si="8"/>
        <v>9.1228334058531535E-2</v>
      </c>
    </row>
    <row r="19" spans="1:16" s="181" customFormat="1" ht="35.25" customHeight="1">
      <c r="A19" s="236">
        <f t="shared" si="5"/>
        <v>6</v>
      </c>
      <c r="B19" s="3998" t="str">
        <f t="shared" si="5"/>
        <v>TANQUE DE ALMACENAMIENTO PATAGONIA V=1000 m3</v>
      </c>
      <c r="C19" s="3998"/>
      <c r="D19" s="3998"/>
      <c r="E19" s="3998"/>
      <c r="F19" s="3998"/>
      <c r="G19" s="2255">
        <f>+' TANQUE PATAGONIA'!G69+' TANQUE PATAGONIA'!G128</f>
        <v>153474592</v>
      </c>
      <c r="H19" s="233"/>
      <c r="I19" s="2255">
        <f>ROUND(+G19*AIU!H47,0)</f>
        <v>28176247</v>
      </c>
      <c r="J19" s="2255">
        <f t="shared" si="6"/>
        <v>1816508</v>
      </c>
      <c r="K19" s="2255">
        <f t="shared" si="9"/>
        <v>3633017</v>
      </c>
      <c r="L19" s="2256">
        <f>(SUM(G19:K19))</f>
        <v>187100364</v>
      </c>
      <c r="M19" s="235">
        <f t="shared" si="8"/>
        <v>1.87801263669184E-2</v>
      </c>
    </row>
    <row r="20" spans="1:16" s="181" customFormat="1" ht="35.25" customHeight="1">
      <c r="A20" s="236">
        <f t="shared" si="5"/>
        <v>7</v>
      </c>
      <c r="B20" s="3998" t="str">
        <f t="shared" si="5"/>
        <v>CONDUCCIÓN TANQUE DE PATAGONIA - EL PORVENIR Y ECOPETROL (L=7557.6m PVC, Ø=10,8,6"</v>
      </c>
      <c r="C20" s="3998"/>
      <c r="D20" s="3998"/>
      <c r="E20" s="3998"/>
      <c r="F20" s="3998"/>
      <c r="G20" s="2255">
        <f>+'LINEAS IMPULSIÓN-CONDUCCIÓN'!F214</f>
        <v>666637294</v>
      </c>
      <c r="H20" s="233"/>
      <c r="I20" s="2255">
        <f>ROUND(+G20*AIU!H47,0)</f>
        <v>122387274</v>
      </c>
      <c r="J20" s="2255">
        <f t="shared" si="6"/>
        <v>7890246</v>
      </c>
      <c r="K20" s="2255">
        <f t="shared" si="9"/>
        <v>15780491</v>
      </c>
      <c r="L20" s="2256">
        <f t="shared" si="7"/>
        <v>812695305</v>
      </c>
      <c r="M20" s="235">
        <f t="shared" si="8"/>
        <v>8.1573975589386297E-2</v>
      </c>
    </row>
    <row r="21" spans="1:16" s="181" customFormat="1" ht="17.25" customHeight="1">
      <c r="A21" s="408"/>
      <c r="B21" s="4003" t="s">
        <v>1071</v>
      </c>
      <c r="C21" s="4004"/>
      <c r="D21" s="4004"/>
      <c r="E21" s="4004"/>
      <c r="F21" s="4005"/>
      <c r="G21" s="1076">
        <f>SUM(G14:G20)</f>
        <v>8172181004</v>
      </c>
      <c r="H21" s="409">
        <f>SUM(H14:H20)</f>
        <v>0</v>
      </c>
      <c r="I21" s="1076">
        <f>SUM(I12:I20)</f>
        <v>1500322539</v>
      </c>
      <c r="J21" s="1076">
        <f>+ROUNDDOWN(SUM(J14:J20),0)</f>
        <v>96725036</v>
      </c>
      <c r="K21" s="1076">
        <f>+SUM(K14:K20)</f>
        <v>193450071</v>
      </c>
      <c r="L21" s="1076">
        <f>ROUND(SUM(L14:L20),0)</f>
        <v>9962678650</v>
      </c>
      <c r="M21" s="2434">
        <f>SUM(M14:M20)</f>
        <v>0.99999999999999989</v>
      </c>
      <c r="N21" s="2806">
        <f>+SUM(G21:K21)</f>
        <v>9962678650</v>
      </c>
    </row>
    <row r="22" spans="1:16" s="181" customFormat="1" ht="17.25" customHeight="1">
      <c r="A22" s="4002" t="s">
        <v>1072</v>
      </c>
      <c r="B22" s="4002"/>
      <c r="C22" s="4002"/>
      <c r="D22" s="4002"/>
      <c r="E22" s="4002"/>
      <c r="F22" s="4002"/>
      <c r="G22" s="4002"/>
      <c r="H22" s="4002"/>
      <c r="I22" s="4002"/>
      <c r="J22" s="4002"/>
      <c r="K22" s="4002"/>
      <c r="L22" s="4002"/>
      <c r="M22" s="4002"/>
    </row>
    <row r="23" spans="1:16" s="181" customFormat="1" ht="33" customHeight="1">
      <c r="A23" s="236">
        <f t="shared" ref="A23:B29" si="10">+A5</f>
        <v>1</v>
      </c>
      <c r="B23" s="3999" t="str">
        <f t="shared" si="10"/>
        <v>COMPONENTE ELECTRICO Y MECANICO DEL SISTEMA DE BOMBEO RÍO SINÚ - PTAP TIJERETAS</v>
      </c>
      <c r="C23" s="4000"/>
      <c r="D23" s="4000"/>
      <c r="E23" s="4000"/>
      <c r="F23" s="4001"/>
      <c r="G23" s="2255">
        <f>G14+G5</f>
        <v>985544786</v>
      </c>
      <c r="H23" s="2255">
        <f>H14+H5</f>
        <v>22255566</v>
      </c>
      <c r="I23" s="2255">
        <f>(I14+I5)</f>
        <v>167118590</v>
      </c>
      <c r="J23" s="2255">
        <f>(J14+J5)</f>
        <v>26535461</v>
      </c>
      <c r="K23" s="2255">
        <f t="shared" ref="K23" si="11">ROUND(+K14+K5,0)</f>
        <v>23498379</v>
      </c>
      <c r="L23" s="2256">
        <f t="shared" ref="L23:L29" si="12">(SUM(G23:K23))</f>
        <v>1224952782</v>
      </c>
      <c r="M23" s="235">
        <f t="shared" ref="M23:M29" si="13">+L23/$L$30</f>
        <v>6.4850348907762076E-2</v>
      </c>
    </row>
    <row r="24" spans="1:16" s="181" customFormat="1" ht="33" customHeight="1">
      <c r="A24" s="236" t="str">
        <f t="shared" si="10"/>
        <v>2</v>
      </c>
      <c r="B24" s="3999" t="s">
        <v>6235</v>
      </c>
      <c r="C24" s="4000"/>
      <c r="D24" s="4000"/>
      <c r="E24" s="4000"/>
      <c r="F24" s="4001"/>
      <c r="G24" s="2255">
        <f t="shared" ref="G24:H29" si="14">G15+G6</f>
        <v>5509812637</v>
      </c>
      <c r="H24" s="2255">
        <f t="shared" si="14"/>
        <v>622263238</v>
      </c>
      <c r="I24" s="2255">
        <f t="shared" ref="I24:J29" si="15">(I15+I6)</f>
        <v>625230559</v>
      </c>
      <c r="J24" s="2255">
        <f t="shared" si="15"/>
        <v>480995642</v>
      </c>
      <c r="K24" s="2255">
        <f t="shared" ref="K24" si="16">ROUND(+K15+K6,0)</f>
        <v>135146129</v>
      </c>
      <c r="L24" s="2256">
        <f t="shared" si="12"/>
        <v>7373448205</v>
      </c>
      <c r="M24" s="235">
        <f t="shared" si="13"/>
        <v>0.39035846587232947</v>
      </c>
    </row>
    <row r="25" spans="1:16" s="181" customFormat="1" ht="33" customHeight="1">
      <c r="A25" s="236">
        <f t="shared" si="10"/>
        <v>3</v>
      </c>
      <c r="B25" s="3999" t="str">
        <f t="shared" si="10"/>
        <v>OPTIMIZACION PLANTA DE TRATAMIENTO DE AGUA POTABLE (Q= 120 l/s)</v>
      </c>
      <c r="C25" s="4000"/>
      <c r="D25" s="4000"/>
      <c r="E25" s="4000"/>
      <c r="F25" s="4001"/>
      <c r="G25" s="2255">
        <f t="shared" si="14"/>
        <v>2589958846</v>
      </c>
      <c r="H25" s="2255">
        <f t="shared" si="14"/>
        <v>269869885</v>
      </c>
      <c r="I25" s="2255">
        <f t="shared" si="15"/>
        <v>307948647</v>
      </c>
      <c r="J25" s="2255">
        <f t="shared" si="15"/>
        <v>210975372</v>
      </c>
      <c r="K25" s="2255">
        <f t="shared" ref="K25" si="17">ROUND(+K16+K7,0)</f>
        <v>63355547</v>
      </c>
      <c r="L25" s="2256">
        <f t="shared" si="12"/>
        <v>3442108297</v>
      </c>
      <c r="M25" s="235">
        <f t="shared" si="13"/>
        <v>0.18222900287984548</v>
      </c>
    </row>
    <row r="26" spans="1:16" s="181" customFormat="1" ht="33" customHeight="1">
      <c r="A26" s="236">
        <f t="shared" si="10"/>
        <v>4</v>
      </c>
      <c r="B26" s="3999" t="str">
        <f t="shared" si="10"/>
        <v>COMPONENTE ELECTRICO Y MECANICO DEL SISTEMA DE BOMBEO PTAP TIJERETAS - TANQUE PATAGONIA</v>
      </c>
      <c r="C26" s="4000"/>
      <c r="D26" s="4000"/>
      <c r="E26" s="4000"/>
      <c r="F26" s="4001"/>
      <c r="G26" s="2255">
        <f t="shared" si="14"/>
        <v>656588474</v>
      </c>
      <c r="H26" s="2255">
        <f t="shared" si="14"/>
        <v>12810778</v>
      </c>
      <c r="I26" s="2255">
        <f t="shared" si="15"/>
        <v>112589296</v>
      </c>
      <c r="J26" s="2255">
        <f t="shared" si="15"/>
        <v>16331179</v>
      </c>
      <c r="K26" s="2255">
        <f t="shared" ref="K26" si="18">ROUND(+K17+K8,0)</f>
        <v>15639771</v>
      </c>
      <c r="L26" s="2256">
        <f t="shared" si="12"/>
        <v>813959498</v>
      </c>
      <c r="M26" s="235">
        <f t="shared" si="13"/>
        <v>4.3091911964070195E-2</v>
      </c>
    </row>
    <row r="27" spans="1:16" s="181" customFormat="1" ht="34.5" customHeight="1">
      <c r="A27" s="236">
        <f t="shared" si="10"/>
        <v>5</v>
      </c>
      <c r="B27" s="3999" t="s">
        <v>6236</v>
      </c>
      <c r="C27" s="4000"/>
      <c r="D27" s="4000"/>
      <c r="E27" s="4000"/>
      <c r="F27" s="4001"/>
      <c r="G27" s="2255">
        <f t="shared" si="14"/>
        <v>1892236341</v>
      </c>
      <c r="H27" s="2255">
        <f t="shared" si="14"/>
        <v>339105543</v>
      </c>
      <c r="I27" s="2255">
        <f t="shared" si="15"/>
        <v>136871926</v>
      </c>
      <c r="J27" s="2255">
        <f t="shared" si="15"/>
        <v>248978892</v>
      </c>
      <c r="K27" s="2255">
        <f t="shared" ref="K27" si="19">ROUND(+K18+K9,0)</f>
        <v>47364277</v>
      </c>
      <c r="L27" s="2256">
        <f t="shared" si="12"/>
        <v>2664556979</v>
      </c>
      <c r="M27" s="235">
        <f t="shared" si="13"/>
        <v>0.14106458004906386</v>
      </c>
    </row>
    <row r="28" spans="1:16" s="181" customFormat="1" ht="34.5" customHeight="1">
      <c r="A28" s="236">
        <f t="shared" si="10"/>
        <v>6</v>
      </c>
      <c r="B28" s="3999" t="str">
        <f t="shared" si="10"/>
        <v>TANQUE DE ALMACENAMIENTO PATAGONIA V=1000 m3</v>
      </c>
      <c r="C28" s="4000"/>
      <c r="D28" s="4000"/>
      <c r="E28" s="4000"/>
      <c r="F28" s="4001"/>
      <c r="G28" s="2255">
        <f t="shared" si="14"/>
        <v>766111016</v>
      </c>
      <c r="H28" s="2255">
        <f t="shared" si="14"/>
        <v>181170372</v>
      </c>
      <c r="I28" s="2255">
        <f t="shared" si="15"/>
        <v>28176247</v>
      </c>
      <c r="J28" s="2255">
        <f t="shared" si="15"/>
        <v>130121517</v>
      </c>
      <c r="K28" s="2255">
        <f>+K10+K19</f>
        <v>19509153</v>
      </c>
      <c r="L28" s="2256">
        <f t="shared" si="12"/>
        <v>1125088305</v>
      </c>
      <c r="M28" s="235">
        <f t="shared" si="13"/>
        <v>5.9563413548206989E-2</v>
      </c>
    </row>
    <row r="29" spans="1:16" s="181" customFormat="1" ht="32.25" customHeight="1">
      <c r="A29" s="236">
        <f t="shared" si="10"/>
        <v>7</v>
      </c>
      <c r="B29" s="3999" t="s">
        <v>6237</v>
      </c>
      <c r="C29" s="4000"/>
      <c r="D29" s="4000"/>
      <c r="E29" s="4000"/>
      <c r="F29" s="4001"/>
      <c r="G29" s="2255">
        <f t="shared" si="14"/>
        <v>1602001749</v>
      </c>
      <c r="H29" s="2255">
        <f t="shared" si="14"/>
        <v>276608311</v>
      </c>
      <c r="I29" s="2255">
        <f t="shared" si="15"/>
        <v>122387274</v>
      </c>
      <c r="J29" s="2255">
        <f t="shared" si="15"/>
        <v>203784483</v>
      </c>
      <c r="K29" s="2255">
        <f t="shared" ref="K29" si="20">ROUND(+K20+K11,0)</f>
        <v>40019946</v>
      </c>
      <c r="L29" s="2256">
        <f t="shared" si="12"/>
        <v>2244801763</v>
      </c>
      <c r="M29" s="235">
        <f t="shared" si="13"/>
        <v>0.11884227677872194</v>
      </c>
    </row>
    <row r="30" spans="1:16" s="181" customFormat="1" ht="18">
      <c r="A30" s="408"/>
      <c r="B30" s="3994" t="s">
        <v>1078</v>
      </c>
      <c r="C30" s="3994"/>
      <c r="D30" s="3994"/>
      <c r="E30" s="3994"/>
      <c r="F30" s="3994"/>
      <c r="G30" s="1076">
        <f t="shared" ref="G30:K30" si="21">SUM(G23:G29)</f>
        <v>14002253849</v>
      </c>
      <c r="H30" s="1076">
        <f>SUM(H23:H29)</f>
        <v>1724083693</v>
      </c>
      <c r="I30" s="1076">
        <f t="shared" si="21"/>
        <v>1500322539</v>
      </c>
      <c r="J30" s="1076">
        <f>SUM(J23:J29)</f>
        <v>1317722546</v>
      </c>
      <c r="K30" s="1076">
        <f t="shared" si="21"/>
        <v>344533202</v>
      </c>
      <c r="L30" s="1076">
        <f>SUM(L23:L29)</f>
        <v>18888915829</v>
      </c>
      <c r="M30" s="2434">
        <f>SUM(M23:M29)</f>
        <v>0.99999999999999989</v>
      </c>
    </row>
    <row r="31" spans="1:16">
      <c r="L31" s="1404"/>
    </row>
    <row r="32" spans="1:16">
      <c r="L32" s="2487"/>
    </row>
    <row r="33" spans="7:12">
      <c r="G33" s="2913"/>
    </row>
    <row r="34" spans="7:12" ht="15.6">
      <c r="H34" s="2914"/>
      <c r="L34" s="2656" t="e">
        <f>+L30-CONSOLIDADO!F955</f>
        <v>#REF!</v>
      </c>
    </row>
    <row r="35" spans="7:12" ht="16.8">
      <c r="L35" s="1518"/>
    </row>
  </sheetData>
  <dataConsolidate>
    <dataRefs count="2">
      <dataRef ref="A1:H78" sheet=" TANQUE PATAGONIA"/>
      <dataRef ref="A1:I75" sheet="PTAP TIJERETAS"/>
    </dataRefs>
  </dataConsolidate>
  <mergeCells count="29">
    <mergeCell ref="B30:F30"/>
    <mergeCell ref="B24:F24"/>
    <mergeCell ref="B25:F25"/>
    <mergeCell ref="B26:F26"/>
    <mergeCell ref="B27:F27"/>
    <mergeCell ref="B28:F28"/>
    <mergeCell ref="B29:F29"/>
    <mergeCell ref="B23:F23"/>
    <mergeCell ref="A13:M13"/>
    <mergeCell ref="B14:F14"/>
    <mergeCell ref="B15:F15"/>
    <mergeCell ref="B16:F16"/>
    <mergeCell ref="B17:F17"/>
    <mergeCell ref="B18:F18"/>
    <mergeCell ref="B19:F19"/>
    <mergeCell ref="B20:F20"/>
    <mergeCell ref="B21:F21"/>
    <mergeCell ref="A22:M22"/>
    <mergeCell ref="B12:F12"/>
    <mergeCell ref="A2:M2"/>
    <mergeCell ref="A3:M3"/>
    <mergeCell ref="B4:F4"/>
    <mergeCell ref="B5:F5"/>
    <mergeCell ref="B6:F6"/>
    <mergeCell ref="B7:F7"/>
    <mergeCell ref="B8:F8"/>
    <mergeCell ref="B9:F9"/>
    <mergeCell ref="B10:F10"/>
    <mergeCell ref="B11:F11"/>
  </mergeCells>
  <pageMargins left="0.70866141732283472" right="0.70866141732283472" top="0.74803149606299213" bottom="0.74803149606299213" header="0.31496062992125984" footer="0.31496062992125984"/>
  <pageSetup paperSize="9" scale="50" orientation="landscape"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4"/>
  <sheetViews>
    <sheetView view="pageBreakPreview" topLeftCell="A268" zoomScale="40" zoomScaleNormal="40" zoomScaleSheetLayoutView="40" workbookViewId="0">
      <selection activeCell="A23" sqref="A23:A24"/>
    </sheetView>
  </sheetViews>
  <sheetFormatPr baseColWidth="10" defaultColWidth="11.44140625" defaultRowHeight="14.4"/>
  <cols>
    <col min="1" max="1" width="55.6640625" style="2404" customWidth="1"/>
    <col min="2" max="2" width="28.6640625" style="2290" customWidth="1"/>
    <col min="3" max="13" width="18.44140625" style="2422" customWidth="1"/>
    <col min="14" max="14" width="18.44140625" style="2417" customWidth="1"/>
    <col min="15" max="15" width="24.6640625" style="2405" customWidth="1"/>
    <col min="16" max="16384" width="11.44140625" style="2406"/>
  </cols>
  <sheetData>
    <row r="1" spans="1:15" ht="20.399999999999999">
      <c r="C1" s="4036" t="s">
        <v>6163</v>
      </c>
      <c r="D1" s="4036"/>
      <c r="E1" s="4036"/>
      <c r="F1" s="4036"/>
      <c r="G1" s="4036"/>
      <c r="H1" s="4036"/>
      <c r="I1" s="4036"/>
      <c r="J1" s="4036"/>
      <c r="K1" s="4036"/>
      <c r="L1" s="4036"/>
      <c r="M1" s="4036"/>
      <c r="N1" s="4036"/>
    </row>
    <row r="2" spans="1:15" s="2410" customFormat="1" ht="23.4">
      <c r="A2" s="1837" t="s">
        <v>6164</v>
      </c>
      <c r="B2" s="2291" t="s">
        <v>6165</v>
      </c>
      <c r="C2" s="2407">
        <v>1</v>
      </c>
      <c r="D2" s="2407">
        <v>2</v>
      </c>
      <c r="E2" s="2407">
        <v>3</v>
      </c>
      <c r="F2" s="2407">
        <v>4</v>
      </c>
      <c r="G2" s="2407">
        <v>5</v>
      </c>
      <c r="H2" s="2407">
        <v>6</v>
      </c>
      <c r="I2" s="2407">
        <v>7</v>
      </c>
      <c r="J2" s="2407">
        <v>8</v>
      </c>
      <c r="K2" s="2407">
        <v>9</v>
      </c>
      <c r="L2" s="2407">
        <v>10</v>
      </c>
      <c r="M2" s="2407">
        <v>11</v>
      </c>
      <c r="N2" s="2408">
        <v>12</v>
      </c>
      <c r="O2" s="2409"/>
    </row>
    <row r="3" spans="1:15" ht="16.5" customHeight="1">
      <c r="A3" s="4037" t="s">
        <v>6166</v>
      </c>
      <c r="B3" s="4038"/>
      <c r="C3" s="2411"/>
      <c r="D3" s="2411"/>
      <c r="E3" s="2411"/>
      <c r="F3" s="2411"/>
      <c r="G3" s="2411"/>
      <c r="H3" s="2411"/>
      <c r="I3" s="2411"/>
      <c r="J3" s="2411"/>
      <c r="K3" s="2411"/>
      <c r="L3" s="2411"/>
      <c r="M3" s="2411"/>
      <c r="N3" s="2412"/>
    </row>
    <row r="4" spans="1:15" ht="36" customHeight="1">
      <c r="A4" s="1838" t="s">
        <v>5737</v>
      </c>
      <c r="B4" s="2292">
        <f>+SUM(B5:B34)</f>
        <v>38479426</v>
      </c>
      <c r="C4" s="1845"/>
      <c r="D4" s="1845"/>
      <c r="E4" s="1845"/>
      <c r="F4" s="1845"/>
      <c r="G4" s="1845"/>
      <c r="H4" s="1845"/>
      <c r="I4" s="1845"/>
      <c r="J4" s="1845"/>
      <c r="K4" s="1845"/>
      <c r="L4" s="1845"/>
      <c r="M4" s="1845"/>
      <c r="N4" s="1839"/>
    </row>
    <row r="5" spans="1:15" ht="13.5" customHeight="1">
      <c r="A5" s="4033" t="s">
        <v>6167</v>
      </c>
      <c r="B5" s="4007">
        <f>+CONSOLIDADO!F6</f>
        <v>4669781</v>
      </c>
      <c r="C5" s="2413"/>
      <c r="D5" s="2413"/>
      <c r="E5" s="1846"/>
      <c r="F5" s="2414"/>
      <c r="G5" s="2413"/>
      <c r="H5" s="2413"/>
      <c r="I5" s="2413"/>
      <c r="J5" s="2413"/>
      <c r="K5" s="2413"/>
      <c r="L5" s="2415"/>
      <c r="M5" s="2415"/>
      <c r="N5" s="2416"/>
    </row>
    <row r="6" spans="1:15" ht="13.5" customHeight="1">
      <c r="A6" s="4033"/>
      <c r="B6" s="4007"/>
      <c r="C6" s="2413"/>
      <c r="D6" s="2413"/>
      <c r="E6" s="2414"/>
      <c r="F6" s="2414"/>
      <c r="G6" s="2413"/>
      <c r="H6" s="2413"/>
      <c r="I6" s="2413"/>
      <c r="J6" s="2413"/>
      <c r="K6" s="2413"/>
      <c r="L6" s="2413">
        <f>+$B5/2</f>
        <v>2334890.5</v>
      </c>
      <c r="M6" s="2413">
        <f>+$B5/2</f>
        <v>2334890.5</v>
      </c>
      <c r="O6" s="2405">
        <f>+SUM(C6:M6)</f>
        <v>4669781</v>
      </c>
    </row>
    <row r="7" spans="1:15" ht="13.5" customHeight="1">
      <c r="A7" s="4033" t="s">
        <v>6168</v>
      </c>
      <c r="B7" s="4007">
        <f>+CONSOLIDADO!F10</f>
        <v>9252736</v>
      </c>
      <c r="C7" s="2413"/>
      <c r="D7" s="2413"/>
      <c r="E7" s="1846"/>
      <c r="F7" s="2414"/>
      <c r="G7" s="2413"/>
      <c r="H7" s="2413"/>
      <c r="I7" s="2413"/>
      <c r="J7" s="2413"/>
      <c r="K7" s="2413"/>
      <c r="L7" s="2415"/>
      <c r="M7" s="2415"/>
      <c r="N7" s="2416"/>
      <c r="O7" s="2405">
        <f t="shared" ref="O7:O70" si="0">+SUM(C7:N7)</f>
        <v>0</v>
      </c>
    </row>
    <row r="8" spans="1:15" ht="13.5" customHeight="1">
      <c r="A8" s="4033"/>
      <c r="B8" s="4007"/>
      <c r="C8" s="2413"/>
      <c r="D8" s="2413"/>
      <c r="E8" s="2414"/>
      <c r="F8" s="2414"/>
      <c r="G8" s="2413"/>
      <c r="H8" s="2413"/>
      <c r="I8" s="2413"/>
      <c r="J8" s="2413"/>
      <c r="K8" s="2413"/>
      <c r="L8" s="2413">
        <f>+$B7/2</f>
        <v>4626368</v>
      </c>
      <c r="M8" s="2413">
        <f>+$B7/2</f>
        <v>4626368</v>
      </c>
      <c r="N8" s="2416"/>
      <c r="O8" s="2405">
        <f t="shared" si="0"/>
        <v>9252736</v>
      </c>
    </row>
    <row r="9" spans="1:15" ht="13.5" customHeight="1">
      <c r="A9" s="4033" t="s">
        <v>6169</v>
      </c>
      <c r="B9" s="4007">
        <f>+CONSOLIDADO!F16</f>
        <v>1525760</v>
      </c>
      <c r="C9" s="2413"/>
      <c r="D9" s="2413"/>
      <c r="E9" s="1846"/>
      <c r="F9" s="2414"/>
      <c r="G9" s="2413"/>
      <c r="H9" s="2413"/>
      <c r="I9" s="2413"/>
      <c r="J9" s="2413"/>
      <c r="K9" s="2413"/>
      <c r="L9" s="2415"/>
      <c r="M9" s="2415"/>
      <c r="N9" s="2416"/>
      <c r="O9" s="2405">
        <f t="shared" si="0"/>
        <v>0</v>
      </c>
    </row>
    <row r="10" spans="1:15" ht="13.5" customHeight="1">
      <c r="A10" s="4033"/>
      <c r="B10" s="4007"/>
      <c r="C10" s="2413"/>
      <c r="D10" s="2413"/>
      <c r="E10" s="2414"/>
      <c r="F10" s="2414"/>
      <c r="G10" s="2413"/>
      <c r="H10" s="2413"/>
      <c r="I10" s="2413"/>
      <c r="J10" s="2413"/>
      <c r="K10" s="2413"/>
      <c r="L10" s="2413">
        <f>+$B9/2</f>
        <v>762880</v>
      </c>
      <c r="M10" s="2413">
        <f>+$B9/2</f>
        <v>762880</v>
      </c>
      <c r="N10" s="2416"/>
      <c r="O10" s="2405">
        <f t="shared" si="0"/>
        <v>1525760</v>
      </c>
    </row>
    <row r="11" spans="1:15" ht="13.5" customHeight="1">
      <c r="A11" s="4033" t="s">
        <v>6170</v>
      </c>
      <c r="B11" s="4007">
        <f>+CONSOLIDADO!F19</f>
        <v>1202333</v>
      </c>
      <c r="C11" s="2413"/>
      <c r="D11" s="2413"/>
      <c r="E11" s="1846"/>
      <c r="F11" s="2414"/>
      <c r="G11" s="2413"/>
      <c r="H11" s="2413"/>
      <c r="I11" s="2413"/>
      <c r="J11" s="2413"/>
      <c r="K11" s="2413"/>
      <c r="L11" s="2415"/>
      <c r="M11" s="2415"/>
      <c r="N11" s="2416"/>
      <c r="O11" s="2405">
        <f t="shared" si="0"/>
        <v>0</v>
      </c>
    </row>
    <row r="12" spans="1:15" ht="13.5" customHeight="1">
      <c r="A12" s="4033"/>
      <c r="B12" s="4007"/>
      <c r="C12" s="2413"/>
      <c r="D12" s="2413"/>
      <c r="E12" s="2414"/>
      <c r="F12" s="2414"/>
      <c r="G12" s="2413"/>
      <c r="H12" s="2413"/>
      <c r="I12" s="2413"/>
      <c r="J12" s="2413"/>
      <c r="K12" s="2413"/>
      <c r="L12" s="2413">
        <f>+$B11/2</f>
        <v>601166.5</v>
      </c>
      <c r="M12" s="2413">
        <f>+$B11/2</f>
        <v>601166.5</v>
      </c>
      <c r="N12" s="2416"/>
      <c r="O12" s="2405">
        <f t="shared" si="0"/>
        <v>1202333</v>
      </c>
    </row>
    <row r="13" spans="1:15" ht="15" customHeight="1">
      <c r="A13" s="4033" t="s">
        <v>6171</v>
      </c>
      <c r="B13" s="4007">
        <f>+CONSOLIDADO!F22</f>
        <v>552430</v>
      </c>
      <c r="C13" s="2413"/>
      <c r="D13" s="2413"/>
      <c r="E13" s="1846"/>
      <c r="F13" s="2414"/>
      <c r="G13" s="2413"/>
      <c r="H13" s="2413"/>
      <c r="I13" s="2413"/>
      <c r="J13" s="2413"/>
      <c r="K13" s="2413"/>
      <c r="L13" s="2415"/>
      <c r="M13" s="2415"/>
      <c r="N13" s="2416"/>
      <c r="O13" s="2405">
        <f t="shared" si="0"/>
        <v>0</v>
      </c>
    </row>
    <row r="14" spans="1:15" ht="15" customHeight="1">
      <c r="A14" s="4033"/>
      <c r="B14" s="4007"/>
      <c r="C14" s="2413"/>
      <c r="D14" s="2413"/>
      <c r="E14" s="2414"/>
      <c r="F14" s="2414"/>
      <c r="G14" s="2413"/>
      <c r="H14" s="2413"/>
      <c r="I14" s="2413"/>
      <c r="J14" s="2413"/>
      <c r="K14" s="2413"/>
      <c r="L14" s="2413">
        <f>+$B13/2</f>
        <v>276215</v>
      </c>
      <c r="M14" s="2413">
        <f>+$B13/2</f>
        <v>276215</v>
      </c>
      <c r="N14" s="2416"/>
      <c r="O14" s="2405">
        <f t="shared" si="0"/>
        <v>552430</v>
      </c>
    </row>
    <row r="15" spans="1:15" ht="15" customHeight="1">
      <c r="A15" s="4033" t="s">
        <v>6172</v>
      </c>
      <c r="B15" s="4007">
        <f>+CONSOLIDADO!F24</f>
        <v>2946295</v>
      </c>
      <c r="C15" s="2413"/>
      <c r="D15" s="2413"/>
      <c r="E15" s="1846"/>
      <c r="F15" s="2414"/>
      <c r="G15" s="2413"/>
      <c r="H15" s="2413"/>
      <c r="I15" s="2413"/>
      <c r="J15" s="2413"/>
      <c r="K15" s="2413"/>
      <c r="L15" s="2415"/>
      <c r="M15" s="2415"/>
      <c r="N15" s="2416"/>
      <c r="O15" s="2405">
        <f t="shared" si="0"/>
        <v>0</v>
      </c>
    </row>
    <row r="16" spans="1:15" ht="15" customHeight="1">
      <c r="A16" s="4033"/>
      <c r="B16" s="4007"/>
      <c r="C16" s="2413"/>
      <c r="D16" s="2413"/>
      <c r="E16" s="2414"/>
      <c r="F16" s="2414"/>
      <c r="G16" s="2413"/>
      <c r="H16" s="2413"/>
      <c r="I16" s="2413"/>
      <c r="J16" s="2413"/>
      <c r="K16" s="2413"/>
      <c r="L16" s="2413">
        <f>+$B15/2</f>
        <v>1473147.5</v>
      </c>
      <c r="M16" s="2413">
        <f>+$B15/2</f>
        <v>1473147.5</v>
      </c>
      <c r="N16" s="2416"/>
      <c r="O16" s="2405">
        <f t="shared" si="0"/>
        <v>2946295</v>
      </c>
    </row>
    <row r="17" spans="1:15" ht="15" customHeight="1">
      <c r="A17" s="4033" t="s">
        <v>6173</v>
      </c>
      <c r="B17" s="4007">
        <f>+CONSOLIDADO!F26</f>
        <v>957546</v>
      </c>
      <c r="C17" s="2413"/>
      <c r="D17" s="2413"/>
      <c r="E17" s="1846"/>
      <c r="F17" s="2414"/>
      <c r="G17" s="2413"/>
      <c r="H17" s="2413"/>
      <c r="I17" s="2413"/>
      <c r="J17" s="2413"/>
      <c r="K17" s="2413"/>
      <c r="L17" s="2415"/>
      <c r="M17" s="2415"/>
      <c r="N17" s="2416"/>
      <c r="O17" s="2405">
        <f t="shared" si="0"/>
        <v>0</v>
      </c>
    </row>
    <row r="18" spans="1:15" ht="15" customHeight="1">
      <c r="A18" s="4033"/>
      <c r="B18" s="4007"/>
      <c r="C18" s="2413"/>
      <c r="D18" s="2413"/>
      <c r="E18" s="2414"/>
      <c r="F18" s="2414"/>
      <c r="G18" s="2413"/>
      <c r="H18" s="2413"/>
      <c r="I18" s="2413"/>
      <c r="J18" s="2413"/>
      <c r="K18" s="2413"/>
      <c r="L18" s="2413">
        <f>+$B17/2</f>
        <v>478773</v>
      </c>
      <c r="M18" s="2413">
        <f>+$B17/2</f>
        <v>478773</v>
      </c>
      <c r="N18" s="2416"/>
      <c r="O18" s="2405">
        <f t="shared" si="0"/>
        <v>957546</v>
      </c>
    </row>
    <row r="19" spans="1:15" ht="15" customHeight="1">
      <c r="A19" s="4033" t="s">
        <v>6174</v>
      </c>
      <c r="B19" s="4007">
        <f>+CONSOLIDADO!F28</f>
        <v>810231</v>
      </c>
      <c r="C19" s="2413"/>
      <c r="D19" s="2413"/>
      <c r="E19" s="1846"/>
      <c r="F19" s="2414"/>
      <c r="G19" s="2413"/>
      <c r="H19" s="2413"/>
      <c r="I19" s="2413"/>
      <c r="J19" s="2413"/>
      <c r="K19" s="2413"/>
      <c r="L19" s="2415"/>
      <c r="M19" s="2415"/>
      <c r="N19" s="2416"/>
      <c r="O19" s="2405">
        <f t="shared" si="0"/>
        <v>0</v>
      </c>
    </row>
    <row r="20" spans="1:15" ht="15" customHeight="1">
      <c r="A20" s="4033"/>
      <c r="B20" s="4007"/>
      <c r="C20" s="2413"/>
      <c r="D20" s="2413"/>
      <c r="E20" s="2414"/>
      <c r="F20" s="2414"/>
      <c r="G20" s="2413"/>
      <c r="H20" s="2413"/>
      <c r="I20" s="2413"/>
      <c r="J20" s="2413"/>
      <c r="K20" s="2413"/>
      <c r="L20" s="2413">
        <f>+$B19/2</f>
        <v>405115.5</v>
      </c>
      <c r="M20" s="2413">
        <f>+$B19/2</f>
        <v>405115.5</v>
      </c>
      <c r="N20" s="2416"/>
      <c r="O20" s="2405">
        <f t="shared" si="0"/>
        <v>810231</v>
      </c>
    </row>
    <row r="21" spans="1:15" ht="15" customHeight="1">
      <c r="A21" s="4033" t="s">
        <v>6175</v>
      </c>
      <c r="B21" s="4007">
        <f>+CONSOLIDADO!F31</f>
        <v>2454496</v>
      </c>
      <c r="C21" s="2413"/>
      <c r="D21" s="2413"/>
      <c r="E21" s="1846"/>
      <c r="F21" s="2414"/>
      <c r="G21" s="2413"/>
      <c r="H21" s="2413"/>
      <c r="I21" s="2413"/>
      <c r="J21" s="2413"/>
      <c r="K21" s="2413"/>
      <c r="L21" s="2415"/>
      <c r="M21" s="2415"/>
      <c r="N21" s="2416"/>
      <c r="O21" s="2405">
        <f t="shared" si="0"/>
        <v>0</v>
      </c>
    </row>
    <row r="22" spans="1:15" ht="15" customHeight="1">
      <c r="A22" s="4033"/>
      <c r="B22" s="4007"/>
      <c r="C22" s="2413"/>
      <c r="D22" s="2413"/>
      <c r="E22" s="2414"/>
      <c r="F22" s="2414"/>
      <c r="G22" s="2413"/>
      <c r="H22" s="2413"/>
      <c r="I22" s="2413"/>
      <c r="J22" s="2413"/>
      <c r="K22" s="2413"/>
      <c r="L22" s="2413">
        <f>+$B21/2</f>
        <v>1227248</v>
      </c>
      <c r="M22" s="2413">
        <f>+$B21/2</f>
        <v>1227248</v>
      </c>
      <c r="N22" s="2416"/>
      <c r="O22" s="2405">
        <f t="shared" si="0"/>
        <v>2454496</v>
      </c>
    </row>
    <row r="23" spans="1:15" ht="15" customHeight="1">
      <c r="A23" s="4033" t="s">
        <v>6176</v>
      </c>
      <c r="B23" s="4007">
        <f>+CONSOLIDADO!F33</f>
        <v>2455246</v>
      </c>
      <c r="C23" s="2413"/>
      <c r="D23" s="2413"/>
      <c r="E23" s="1846"/>
      <c r="F23" s="2414"/>
      <c r="G23" s="2413"/>
      <c r="H23" s="2413"/>
      <c r="I23" s="2413"/>
      <c r="J23" s="2413"/>
      <c r="K23" s="2413"/>
      <c r="L23" s="2415"/>
      <c r="M23" s="2415"/>
      <c r="N23" s="2416"/>
      <c r="O23" s="2405">
        <f t="shared" si="0"/>
        <v>0</v>
      </c>
    </row>
    <row r="24" spans="1:15" ht="15" customHeight="1">
      <c r="A24" s="4033"/>
      <c r="B24" s="4007"/>
      <c r="C24" s="2413"/>
      <c r="D24" s="2413"/>
      <c r="E24" s="2414"/>
      <c r="F24" s="2414"/>
      <c r="G24" s="2413"/>
      <c r="H24" s="2413"/>
      <c r="I24" s="2413"/>
      <c r="J24" s="2413"/>
      <c r="K24" s="2413"/>
      <c r="L24" s="2413">
        <f>+$B23/2</f>
        <v>1227623</v>
      </c>
      <c r="M24" s="2413">
        <f>+$B23/2</f>
        <v>1227623</v>
      </c>
      <c r="N24" s="2416"/>
      <c r="O24" s="2405">
        <f t="shared" si="0"/>
        <v>2455246</v>
      </c>
    </row>
    <row r="25" spans="1:15" ht="15" customHeight="1">
      <c r="A25" s="4033" t="s">
        <v>6177</v>
      </c>
      <c r="B25" s="4007">
        <f>+CONSOLIDADO!F35</f>
        <v>2349339</v>
      </c>
      <c r="C25" s="2413"/>
      <c r="D25" s="2413"/>
      <c r="E25" s="1846"/>
      <c r="F25" s="2414"/>
      <c r="G25" s="2413"/>
      <c r="H25" s="2413"/>
      <c r="I25" s="2413"/>
      <c r="J25" s="2413"/>
      <c r="K25" s="2413"/>
      <c r="L25" s="2415"/>
      <c r="M25" s="2415"/>
      <c r="N25" s="2416"/>
      <c r="O25" s="2405">
        <f t="shared" si="0"/>
        <v>0</v>
      </c>
    </row>
    <row r="26" spans="1:15" ht="15" customHeight="1">
      <c r="A26" s="4033"/>
      <c r="B26" s="4007"/>
      <c r="C26" s="2413"/>
      <c r="D26" s="2413"/>
      <c r="E26" s="2414"/>
      <c r="F26" s="2414"/>
      <c r="G26" s="2413"/>
      <c r="H26" s="2413"/>
      <c r="I26" s="2413"/>
      <c r="J26" s="2413"/>
      <c r="K26" s="2413"/>
      <c r="L26" s="2413">
        <f>+$B25/2</f>
        <v>1174669.5</v>
      </c>
      <c r="M26" s="2413">
        <f>+$B25/2</f>
        <v>1174669.5</v>
      </c>
      <c r="N26" s="2416"/>
      <c r="O26" s="2405">
        <f t="shared" si="0"/>
        <v>2349339</v>
      </c>
    </row>
    <row r="27" spans="1:15" ht="15" customHeight="1">
      <c r="A27" s="4033" t="s">
        <v>6178</v>
      </c>
      <c r="B27" s="4007">
        <f>+CONSOLIDADO!F40</f>
        <v>2566557</v>
      </c>
      <c r="C27" s="2413"/>
      <c r="D27" s="2413"/>
      <c r="E27" s="1846"/>
      <c r="F27" s="2414"/>
      <c r="G27" s="2413"/>
      <c r="H27" s="2413"/>
      <c r="I27" s="2413"/>
      <c r="J27" s="2413"/>
      <c r="K27" s="2413"/>
      <c r="L27" s="2415"/>
      <c r="M27" s="2415"/>
      <c r="N27" s="2416"/>
      <c r="O27" s="2405">
        <f t="shared" si="0"/>
        <v>0</v>
      </c>
    </row>
    <row r="28" spans="1:15" ht="15" customHeight="1">
      <c r="A28" s="4033"/>
      <c r="B28" s="4007"/>
      <c r="C28" s="2413"/>
      <c r="D28" s="2413"/>
      <c r="E28" s="2414"/>
      <c r="F28" s="2414"/>
      <c r="G28" s="2413"/>
      <c r="H28" s="2413"/>
      <c r="I28" s="2413"/>
      <c r="J28" s="2413"/>
      <c r="K28" s="2413"/>
      <c r="L28" s="2413">
        <f>+$B27/2</f>
        <v>1283278.5</v>
      </c>
      <c r="M28" s="2413">
        <f>+$B27/2</f>
        <v>1283278.5</v>
      </c>
      <c r="N28" s="2416"/>
      <c r="O28" s="2405">
        <f t="shared" si="0"/>
        <v>2566557</v>
      </c>
    </row>
    <row r="29" spans="1:15" ht="15" customHeight="1">
      <c r="A29" s="4033" t="s">
        <v>6179</v>
      </c>
      <c r="B29" s="4007">
        <f>+CONSOLIDADO!F48</f>
        <v>2769977</v>
      </c>
      <c r="C29" s="2413"/>
      <c r="D29" s="2413"/>
      <c r="E29" s="1846"/>
      <c r="F29" s="2414"/>
      <c r="G29" s="2413"/>
      <c r="H29" s="2413"/>
      <c r="I29" s="2413"/>
      <c r="J29" s="2413"/>
      <c r="K29" s="2413"/>
      <c r="L29" s="2415"/>
      <c r="M29" s="2415"/>
      <c r="N29" s="2416"/>
      <c r="O29" s="2405">
        <f t="shared" si="0"/>
        <v>0</v>
      </c>
    </row>
    <row r="30" spans="1:15" ht="15" customHeight="1">
      <c r="A30" s="4033"/>
      <c r="B30" s="4007"/>
      <c r="C30" s="2413"/>
      <c r="D30" s="2413"/>
      <c r="E30" s="2414"/>
      <c r="F30" s="2414"/>
      <c r="G30" s="2413"/>
      <c r="H30" s="2413"/>
      <c r="I30" s="2413"/>
      <c r="J30" s="2413"/>
      <c r="K30" s="2413"/>
      <c r="L30" s="2413">
        <f>+$B29/2</f>
        <v>1384988.5</v>
      </c>
      <c r="M30" s="2413">
        <f>+$B29/2</f>
        <v>1384988.5</v>
      </c>
      <c r="N30" s="2416"/>
      <c r="O30" s="2405">
        <f t="shared" si="0"/>
        <v>2769977</v>
      </c>
    </row>
    <row r="31" spans="1:15" ht="15" customHeight="1">
      <c r="A31" s="4033" t="s">
        <v>5221</v>
      </c>
      <c r="B31" s="4007">
        <f>+CONSOLIDADO!F52</f>
        <v>1604199</v>
      </c>
      <c r="C31" s="2413"/>
      <c r="D31" s="2413"/>
      <c r="E31" s="1846"/>
      <c r="F31" s="2414"/>
      <c r="G31" s="2413"/>
      <c r="H31" s="2413"/>
      <c r="I31" s="2413"/>
      <c r="J31" s="2413"/>
      <c r="K31" s="2413"/>
      <c r="L31" s="2415"/>
      <c r="M31" s="2415"/>
      <c r="N31" s="2416"/>
      <c r="O31" s="2405">
        <f t="shared" si="0"/>
        <v>0</v>
      </c>
    </row>
    <row r="32" spans="1:15" ht="15" customHeight="1">
      <c r="A32" s="4033"/>
      <c r="B32" s="4007"/>
      <c r="C32" s="2413"/>
      <c r="D32" s="2413"/>
      <c r="E32" s="2414"/>
      <c r="F32" s="2414"/>
      <c r="G32" s="2413"/>
      <c r="H32" s="2413"/>
      <c r="I32" s="2413"/>
      <c r="J32" s="2413"/>
      <c r="K32" s="2413"/>
      <c r="L32" s="2413">
        <f>+$B31/2</f>
        <v>802099.5</v>
      </c>
      <c r="M32" s="2413">
        <f>+$B31/2</f>
        <v>802099.5</v>
      </c>
      <c r="N32" s="2416"/>
      <c r="O32" s="2405">
        <f t="shared" si="0"/>
        <v>1604199</v>
      </c>
    </row>
    <row r="33" spans="1:15" ht="15" customHeight="1">
      <c r="A33" s="4033" t="s">
        <v>6180</v>
      </c>
      <c r="B33" s="4007">
        <f>+CONSOLIDADO!F54</f>
        <v>2362500</v>
      </c>
      <c r="C33" s="2413"/>
      <c r="D33" s="2413"/>
      <c r="E33" s="1846"/>
      <c r="F33" s="2414"/>
      <c r="G33" s="2413"/>
      <c r="H33" s="2413"/>
      <c r="I33" s="2413"/>
      <c r="J33" s="2413"/>
      <c r="K33" s="2413"/>
      <c r="L33" s="2415"/>
      <c r="M33" s="2415"/>
      <c r="N33" s="2416"/>
      <c r="O33" s="2405">
        <f t="shared" si="0"/>
        <v>0</v>
      </c>
    </row>
    <row r="34" spans="1:15" ht="15" customHeight="1">
      <c r="A34" s="4033"/>
      <c r="B34" s="4007"/>
      <c r="C34" s="2413"/>
      <c r="D34" s="2413"/>
      <c r="E34" s="2414"/>
      <c r="F34" s="2414"/>
      <c r="G34" s="2413"/>
      <c r="H34" s="2413"/>
      <c r="I34" s="2413"/>
      <c r="J34" s="2413"/>
      <c r="K34" s="2413"/>
      <c r="L34" s="2413">
        <f>+$B33/2</f>
        <v>1181250</v>
      </c>
      <c r="M34" s="2413">
        <f>+$B33/2</f>
        <v>1181250</v>
      </c>
      <c r="N34" s="2416"/>
      <c r="O34" s="2405">
        <f t="shared" si="0"/>
        <v>2362500</v>
      </c>
    </row>
    <row r="35" spans="1:15" ht="36" customHeight="1">
      <c r="A35" s="1840" t="s">
        <v>5738</v>
      </c>
      <c r="B35" s="2292">
        <f>+SUM(B36:B37)</f>
        <v>36778852</v>
      </c>
      <c r="C35" s="1845"/>
      <c r="D35" s="1845"/>
      <c r="E35" s="1845"/>
      <c r="F35" s="1845"/>
      <c r="G35" s="1845"/>
      <c r="H35" s="1845"/>
      <c r="I35" s="1845"/>
      <c r="J35" s="1845"/>
      <c r="K35" s="1845"/>
      <c r="L35" s="1845"/>
      <c r="M35" s="1845"/>
      <c r="N35" s="1839"/>
      <c r="O35" s="2405">
        <f t="shared" ref="O35" si="1">+SUM(C35:N35)</f>
        <v>0</v>
      </c>
    </row>
    <row r="36" spans="1:15" ht="15.75" customHeight="1">
      <c r="A36" s="4006" t="s">
        <v>1127</v>
      </c>
      <c r="B36" s="4007">
        <f>+CONSOLIDADO!F58</f>
        <v>36778852</v>
      </c>
      <c r="C36" s="2413"/>
      <c r="D36" s="2413"/>
      <c r="E36" s="1846"/>
      <c r="F36" s="2414"/>
      <c r="G36" s="2413"/>
      <c r="H36" s="2413"/>
      <c r="I36" s="2413"/>
      <c r="J36" s="2415"/>
      <c r="K36" s="2415"/>
      <c r="L36" s="2413"/>
      <c r="M36" s="2413"/>
      <c r="N36" s="2416"/>
      <c r="O36" s="2405">
        <f t="shared" si="0"/>
        <v>0</v>
      </c>
    </row>
    <row r="37" spans="1:15" ht="15.75" customHeight="1">
      <c r="A37" s="4006"/>
      <c r="B37" s="4007"/>
      <c r="C37" s="2413"/>
      <c r="D37" s="2413"/>
      <c r="E37" s="2414"/>
      <c r="F37" s="2414"/>
      <c r="G37" s="2413"/>
      <c r="H37" s="2413"/>
      <c r="I37" s="2413"/>
      <c r="J37" s="2413">
        <f>+$B36/2</f>
        <v>18389426</v>
      </c>
      <c r="K37" s="2413">
        <f>+$B36/2</f>
        <v>18389426</v>
      </c>
      <c r="L37" s="2413"/>
      <c r="M37" s="2413"/>
      <c r="N37" s="2416"/>
      <c r="O37" s="2405">
        <f t="shared" si="0"/>
        <v>36778852</v>
      </c>
    </row>
    <row r="38" spans="1:15" ht="36" customHeight="1">
      <c r="A38" s="1838" t="s">
        <v>6181</v>
      </c>
      <c r="B38" s="2292">
        <f>+SUM(B39:B48)</f>
        <v>2104213397</v>
      </c>
      <c r="C38" s="1845"/>
      <c r="D38" s="1845"/>
      <c r="E38" s="1845"/>
      <c r="F38" s="1845"/>
      <c r="G38" s="1845"/>
      <c r="H38" s="1845"/>
      <c r="I38" s="1845"/>
      <c r="J38" s="1845"/>
      <c r="K38" s="1845"/>
      <c r="L38" s="1845"/>
      <c r="M38" s="1845"/>
      <c r="N38" s="1839"/>
      <c r="O38" s="2405">
        <f t="shared" si="0"/>
        <v>0</v>
      </c>
    </row>
    <row r="39" spans="1:15" ht="15.75" customHeight="1">
      <c r="A39" s="4034" t="s">
        <v>6182</v>
      </c>
      <c r="B39" s="4007">
        <f>+CONSOLIDADO!F103</f>
        <v>24257376</v>
      </c>
      <c r="C39" s="2418"/>
      <c r="D39" s="2418"/>
      <c r="E39" s="2418"/>
      <c r="F39" s="2414"/>
      <c r="G39" s="2414"/>
      <c r="H39" s="2414"/>
      <c r="I39" s="2414"/>
      <c r="J39" s="2413"/>
      <c r="K39" s="2413"/>
      <c r="L39" s="2413"/>
      <c r="M39" s="2413"/>
      <c r="N39" s="2416"/>
      <c r="O39" s="2405">
        <f t="shared" si="0"/>
        <v>0</v>
      </c>
    </row>
    <row r="40" spans="1:15" ht="15.75" customHeight="1">
      <c r="A40" s="4034"/>
      <c r="B40" s="4007"/>
      <c r="C40" s="2413">
        <f>+$B39/3</f>
        <v>8085792</v>
      </c>
      <c r="D40" s="2413">
        <f t="shared" ref="D40:E40" si="2">+$B39/3</f>
        <v>8085792</v>
      </c>
      <c r="E40" s="2413">
        <f t="shared" si="2"/>
        <v>8085792</v>
      </c>
      <c r="F40" s="2414"/>
      <c r="G40" s="2414"/>
      <c r="H40" s="2414"/>
      <c r="I40" s="2414"/>
      <c r="J40" s="2413"/>
      <c r="K40" s="2413"/>
      <c r="L40" s="2413"/>
      <c r="M40" s="2413"/>
      <c r="N40" s="2416"/>
      <c r="O40" s="2405">
        <f>+SUM(C40:N40)</f>
        <v>24257376</v>
      </c>
    </row>
    <row r="41" spans="1:15" ht="15.75" customHeight="1">
      <c r="A41" s="4034" t="s">
        <v>6183</v>
      </c>
      <c r="B41" s="4007">
        <f>+CONSOLIDADO!F105</f>
        <v>114229441</v>
      </c>
      <c r="C41" s="2418"/>
      <c r="D41" s="2418"/>
      <c r="E41" s="1846"/>
      <c r="F41" s="1846"/>
      <c r="G41" s="2414"/>
      <c r="H41" s="2414"/>
      <c r="I41" s="2414"/>
      <c r="J41" s="2413"/>
      <c r="K41" s="2413"/>
      <c r="L41" s="2413"/>
      <c r="M41" s="2413"/>
      <c r="N41" s="2416"/>
      <c r="O41" s="2405">
        <f t="shared" si="0"/>
        <v>0</v>
      </c>
    </row>
    <row r="42" spans="1:15" ht="15.75" customHeight="1">
      <c r="A42" s="4034"/>
      <c r="B42" s="4007"/>
      <c r="C42" s="2413">
        <f>+$B41/2</f>
        <v>57114720.5</v>
      </c>
      <c r="D42" s="2413">
        <f>+$B41/2</f>
        <v>57114720.5</v>
      </c>
      <c r="E42" s="2414"/>
      <c r="F42" s="2414"/>
      <c r="G42" s="2414"/>
      <c r="H42" s="2414"/>
      <c r="I42" s="2414"/>
      <c r="J42" s="2413"/>
      <c r="K42" s="2413"/>
      <c r="L42" s="2413"/>
      <c r="M42" s="2413"/>
      <c r="N42" s="2416"/>
      <c r="O42" s="2405">
        <f t="shared" si="0"/>
        <v>114229441</v>
      </c>
    </row>
    <row r="43" spans="1:15" ht="15.75" customHeight="1">
      <c r="A43" s="4034" t="s">
        <v>6184</v>
      </c>
      <c r="B43" s="4007">
        <f>+CONSOLIDADO!F111</f>
        <v>1185268163</v>
      </c>
      <c r="C43" s="2414"/>
      <c r="D43" s="2418"/>
      <c r="E43" s="2418"/>
      <c r="F43" s="2418"/>
      <c r="G43" s="2418"/>
      <c r="H43" s="1846"/>
      <c r="I43" s="2414"/>
      <c r="J43" s="2413"/>
      <c r="K43" s="2413"/>
      <c r="L43" s="2413"/>
      <c r="M43" s="2413"/>
      <c r="N43" s="2416"/>
      <c r="O43" s="2405">
        <f t="shared" si="0"/>
        <v>0</v>
      </c>
    </row>
    <row r="44" spans="1:15" ht="15.75" customHeight="1">
      <c r="A44" s="4034"/>
      <c r="B44" s="4007"/>
      <c r="C44" s="2413"/>
      <c r="D44" s="2413">
        <f>+$B43/4</f>
        <v>296317040.75</v>
      </c>
      <c r="E44" s="2413">
        <f t="shared" ref="E44:G44" si="3">+$B43/4</f>
        <v>296317040.75</v>
      </c>
      <c r="F44" s="2413">
        <f t="shared" si="3"/>
        <v>296317040.75</v>
      </c>
      <c r="G44" s="2413">
        <f t="shared" si="3"/>
        <v>296317040.75</v>
      </c>
      <c r="H44" s="2414"/>
      <c r="I44" s="2414"/>
      <c r="J44" s="2413"/>
      <c r="K44" s="2413"/>
      <c r="L44" s="2413"/>
      <c r="M44" s="2413"/>
      <c r="N44" s="2416"/>
      <c r="O44" s="2405">
        <f t="shared" si="0"/>
        <v>1185268163</v>
      </c>
    </row>
    <row r="45" spans="1:15" ht="15.75" customHeight="1">
      <c r="A45" s="4035" t="s">
        <v>6185</v>
      </c>
      <c r="B45" s="4007">
        <f>+CONSOLIDADO!F122</f>
        <v>476464015</v>
      </c>
      <c r="C45" s="2414"/>
      <c r="D45" s="2414"/>
      <c r="E45" s="2418"/>
      <c r="F45" s="2418"/>
      <c r="G45" s="2418"/>
      <c r="H45" s="1846"/>
      <c r="I45" s="2414"/>
      <c r="J45" s="2413"/>
      <c r="K45" s="2413"/>
      <c r="L45" s="2413"/>
      <c r="M45" s="2413"/>
      <c r="N45" s="2416"/>
      <c r="O45" s="2405">
        <f t="shared" si="0"/>
        <v>0</v>
      </c>
    </row>
    <row r="46" spans="1:15" ht="15.75" customHeight="1">
      <c r="A46" s="4035"/>
      <c r="B46" s="4007"/>
      <c r="C46" s="2414"/>
      <c r="D46" s="2414"/>
      <c r="E46" s="2413">
        <f>+$B45/3</f>
        <v>158821338.33333334</v>
      </c>
      <c r="F46" s="2413">
        <f t="shared" ref="F46:G46" si="4">+$B45/3</f>
        <v>158821338.33333334</v>
      </c>
      <c r="G46" s="2413">
        <f t="shared" si="4"/>
        <v>158821338.33333334</v>
      </c>
      <c r="H46" s="2414"/>
      <c r="I46" s="2414"/>
      <c r="J46" s="2413"/>
      <c r="K46" s="2413"/>
      <c r="L46" s="2413"/>
      <c r="M46" s="2413"/>
      <c r="N46" s="2416"/>
      <c r="O46" s="2405">
        <f>ROUND(+SUM(C46:N46),0)</f>
        <v>476464015</v>
      </c>
    </row>
    <row r="47" spans="1:15" ht="15.75" customHeight="1">
      <c r="A47" s="4034" t="s">
        <v>6186</v>
      </c>
      <c r="B47" s="4007">
        <f>+CONSOLIDADO!F132</f>
        <v>303994402</v>
      </c>
      <c r="C47" s="2414"/>
      <c r="D47" s="2418"/>
      <c r="E47" s="2418"/>
      <c r="F47" s="2418"/>
      <c r="G47" s="2418"/>
      <c r="H47" s="1846"/>
      <c r="I47" s="2414"/>
      <c r="J47" s="2413"/>
      <c r="K47" s="2413"/>
      <c r="L47" s="2413"/>
      <c r="M47" s="2413"/>
      <c r="N47" s="2416"/>
      <c r="O47" s="2405">
        <f t="shared" si="0"/>
        <v>0</v>
      </c>
    </row>
    <row r="48" spans="1:15" ht="15.75" customHeight="1">
      <c r="A48" s="4034"/>
      <c r="B48" s="4007"/>
      <c r="C48" s="2414"/>
      <c r="D48" s="2413">
        <f>+$B47/4</f>
        <v>75998600.5</v>
      </c>
      <c r="E48" s="2413">
        <f t="shared" ref="E48:G48" si="5">+$B47/4</f>
        <v>75998600.5</v>
      </c>
      <c r="F48" s="2413">
        <f t="shared" si="5"/>
        <v>75998600.5</v>
      </c>
      <c r="G48" s="2413">
        <f t="shared" si="5"/>
        <v>75998600.5</v>
      </c>
      <c r="H48" s="2414"/>
      <c r="I48" s="2414"/>
      <c r="J48" s="2413"/>
      <c r="K48" s="2413"/>
      <c r="L48" s="2413"/>
      <c r="M48" s="2413"/>
      <c r="N48" s="2416"/>
      <c r="O48" s="2405">
        <f>+ROUND(SUM(C48:N48),0)</f>
        <v>303994402</v>
      </c>
    </row>
    <row r="49" spans="1:15" ht="36" customHeight="1">
      <c r="A49" s="1838" t="s">
        <v>5707</v>
      </c>
      <c r="B49" s="2292">
        <f>+SUM(B50:B73)</f>
        <v>351020042</v>
      </c>
      <c r="C49" s="1845"/>
      <c r="D49" s="1845"/>
      <c r="E49" s="1845"/>
      <c r="F49" s="1845"/>
      <c r="G49" s="1845"/>
      <c r="H49" s="1845"/>
      <c r="I49" s="1845"/>
      <c r="J49" s="1845"/>
      <c r="K49" s="1845"/>
      <c r="L49" s="1845"/>
      <c r="M49" s="1845"/>
      <c r="N49" s="1839"/>
      <c r="O49" s="2405">
        <f t="shared" si="0"/>
        <v>0</v>
      </c>
    </row>
    <row r="50" spans="1:15" ht="12" customHeight="1">
      <c r="A50" s="4034" t="s">
        <v>1372</v>
      </c>
      <c r="B50" s="4020">
        <f>+CONSOLIDADO!F147</f>
        <v>436691</v>
      </c>
      <c r="C50" s="2418"/>
      <c r="D50" s="2414"/>
      <c r="E50" s="2414"/>
      <c r="F50" s="2414"/>
      <c r="G50" s="2414"/>
      <c r="H50" s="2414"/>
      <c r="I50" s="2413"/>
      <c r="J50" s="2413"/>
      <c r="K50" s="2413"/>
      <c r="L50" s="2413"/>
      <c r="M50" s="2413"/>
      <c r="N50" s="2416"/>
      <c r="O50" s="2405">
        <f t="shared" si="0"/>
        <v>0</v>
      </c>
    </row>
    <row r="51" spans="1:15" ht="15.75" customHeight="1">
      <c r="A51" s="4034"/>
      <c r="B51" s="4020"/>
      <c r="C51" s="2413">
        <f>+$B50/1</f>
        <v>436691</v>
      </c>
      <c r="D51" s="2414"/>
      <c r="E51" s="2414"/>
      <c r="F51" s="2414"/>
      <c r="G51" s="2414"/>
      <c r="H51" s="2414"/>
      <c r="I51" s="2413"/>
      <c r="J51" s="2413"/>
      <c r="K51" s="2413"/>
      <c r="L51" s="2413"/>
      <c r="M51" s="2413"/>
      <c r="N51" s="2416"/>
      <c r="O51" s="2405">
        <f t="shared" si="0"/>
        <v>436691</v>
      </c>
    </row>
    <row r="52" spans="1:15">
      <c r="A52" s="4033" t="s">
        <v>6187</v>
      </c>
      <c r="B52" s="4007">
        <f>+CONSOLIDADO!F150</f>
        <v>33797289</v>
      </c>
      <c r="C52" s="2418"/>
      <c r="D52" s="1846"/>
      <c r="E52" s="2414"/>
      <c r="F52" s="2414"/>
      <c r="G52" s="2414"/>
      <c r="H52" s="2414"/>
      <c r="I52" s="2413"/>
      <c r="J52" s="2413"/>
      <c r="K52" s="2413"/>
      <c r="L52" s="2413"/>
      <c r="M52" s="2413"/>
      <c r="N52" s="2416"/>
      <c r="O52" s="2405">
        <f t="shared" si="0"/>
        <v>0</v>
      </c>
    </row>
    <row r="53" spans="1:15" ht="18" customHeight="1">
      <c r="A53" s="4033"/>
      <c r="B53" s="4007"/>
      <c r="C53" s="2413">
        <f>+$B52/1</f>
        <v>33797289</v>
      </c>
      <c r="D53" s="2414"/>
      <c r="E53" s="2414"/>
      <c r="F53" s="2414"/>
      <c r="G53" s="2414"/>
      <c r="H53" s="2414"/>
      <c r="I53" s="2413"/>
      <c r="J53" s="2413"/>
      <c r="K53" s="2413"/>
      <c r="L53" s="2413"/>
      <c r="M53" s="2413"/>
      <c r="N53" s="2416"/>
      <c r="O53" s="2405">
        <f t="shared" si="0"/>
        <v>33797289</v>
      </c>
    </row>
    <row r="54" spans="1:15" ht="9.75" customHeight="1">
      <c r="A54" s="4033" t="s">
        <v>6188</v>
      </c>
      <c r="B54" s="4007">
        <f>+CONSOLIDADO!F167</f>
        <v>1298787</v>
      </c>
      <c r="C54" s="2418"/>
      <c r="D54" s="1846"/>
      <c r="E54" s="2414"/>
      <c r="F54" s="2414"/>
      <c r="G54" s="2414"/>
      <c r="H54" s="2414"/>
      <c r="I54" s="2413"/>
      <c r="J54" s="2413"/>
      <c r="K54" s="2413"/>
      <c r="L54" s="2413"/>
      <c r="M54" s="2413"/>
      <c r="N54" s="2416"/>
      <c r="O54" s="2405">
        <f t="shared" si="0"/>
        <v>0</v>
      </c>
    </row>
    <row r="55" spans="1:15">
      <c r="A55" s="4033"/>
      <c r="B55" s="4007"/>
      <c r="C55" s="2413">
        <f>+$B54/1</f>
        <v>1298787</v>
      </c>
      <c r="D55" s="2414"/>
      <c r="E55" s="2414"/>
      <c r="F55" s="2414"/>
      <c r="G55" s="2414"/>
      <c r="H55" s="2414"/>
      <c r="I55" s="2413"/>
      <c r="J55" s="2413"/>
      <c r="K55" s="2413"/>
      <c r="L55" s="2413"/>
      <c r="M55" s="2413"/>
      <c r="N55" s="2416"/>
      <c r="O55" s="2405">
        <f t="shared" si="0"/>
        <v>1298787</v>
      </c>
    </row>
    <row r="56" spans="1:15" ht="11.25" customHeight="1">
      <c r="A56" s="4033" t="s">
        <v>6189</v>
      </c>
      <c r="B56" s="4007">
        <f>+CONSOLIDADO!F169</f>
        <v>200614</v>
      </c>
      <c r="C56" s="2414"/>
      <c r="D56" s="2418"/>
      <c r="E56" s="2418"/>
      <c r="F56" s="2418"/>
      <c r="G56" s="2414"/>
      <c r="H56" s="2414"/>
      <c r="I56" s="2413"/>
      <c r="J56" s="2413"/>
      <c r="K56" s="2413"/>
      <c r="L56" s="2413"/>
      <c r="M56" s="2413"/>
      <c r="N56" s="2416"/>
      <c r="O56" s="2405">
        <f t="shared" si="0"/>
        <v>0</v>
      </c>
    </row>
    <row r="57" spans="1:15" ht="11.25" customHeight="1">
      <c r="A57" s="4033"/>
      <c r="B57" s="4007"/>
      <c r="C57" s="2414"/>
      <c r="D57" s="2413">
        <f>+$B56/3</f>
        <v>66871.333333333328</v>
      </c>
      <c r="E57" s="2413">
        <f t="shared" ref="E57:F57" si="6">+$B56/3</f>
        <v>66871.333333333328</v>
      </c>
      <c r="F57" s="2413">
        <f t="shared" si="6"/>
        <v>66871.333333333328</v>
      </c>
      <c r="G57" s="2414"/>
      <c r="H57" s="2414"/>
      <c r="I57" s="2413"/>
      <c r="J57" s="2413"/>
      <c r="K57" s="2413"/>
      <c r="L57" s="2413"/>
      <c r="M57" s="2413"/>
      <c r="N57" s="2416"/>
      <c r="O57" s="2405">
        <f t="shared" si="0"/>
        <v>200614</v>
      </c>
    </row>
    <row r="58" spans="1:15" ht="13.5" customHeight="1">
      <c r="A58" s="4033" t="s">
        <v>6190</v>
      </c>
      <c r="B58" s="4007">
        <f>+CONSOLIDADO!F171</f>
        <v>1339263</v>
      </c>
      <c r="C58" s="2414"/>
      <c r="D58" s="2418"/>
      <c r="E58" s="2418"/>
      <c r="F58" s="2418"/>
      <c r="G58" s="2414"/>
      <c r="H58" s="2414"/>
      <c r="I58" s="2413"/>
      <c r="J58" s="2413"/>
      <c r="K58" s="2413"/>
      <c r="L58" s="2413"/>
      <c r="M58" s="2413"/>
      <c r="N58" s="2416"/>
      <c r="O58" s="2405">
        <f t="shared" si="0"/>
        <v>0</v>
      </c>
    </row>
    <row r="59" spans="1:15" ht="13.5" customHeight="1">
      <c r="A59" s="4033"/>
      <c r="B59" s="4007"/>
      <c r="C59" s="2414"/>
      <c r="D59" s="2413">
        <f>+$B58/3</f>
        <v>446421</v>
      </c>
      <c r="E59" s="2413">
        <f t="shared" ref="E59:F59" si="7">+$B58/3</f>
        <v>446421</v>
      </c>
      <c r="F59" s="2413">
        <f t="shared" si="7"/>
        <v>446421</v>
      </c>
      <c r="G59" s="2414"/>
      <c r="H59" s="2414"/>
      <c r="I59" s="2413"/>
      <c r="J59" s="2413"/>
      <c r="K59" s="2413"/>
      <c r="L59" s="2413"/>
      <c r="M59" s="2413"/>
      <c r="N59" s="2416"/>
      <c r="O59" s="2405">
        <f t="shared" si="0"/>
        <v>1339263</v>
      </c>
    </row>
    <row r="60" spans="1:15" ht="12" customHeight="1">
      <c r="A60" s="4033" t="s">
        <v>5088</v>
      </c>
      <c r="B60" s="4007">
        <f>+CONSOLIDADO!F173</f>
        <v>6749569</v>
      </c>
      <c r="C60" s="2414"/>
      <c r="D60" s="2418"/>
      <c r="E60" s="2418"/>
      <c r="F60" s="2418"/>
      <c r="G60" s="2414"/>
      <c r="H60" s="2414"/>
      <c r="I60" s="2413"/>
      <c r="J60" s="2413"/>
      <c r="K60" s="2413"/>
      <c r="L60" s="2413"/>
      <c r="M60" s="2413"/>
      <c r="N60" s="2416"/>
      <c r="O60" s="2405">
        <f t="shared" si="0"/>
        <v>0</v>
      </c>
    </row>
    <row r="61" spans="1:15" ht="12" customHeight="1">
      <c r="A61" s="4033"/>
      <c r="B61" s="4007"/>
      <c r="C61" s="2414"/>
      <c r="D61" s="2413"/>
      <c r="E61" s="2413">
        <f>+$B60/2</f>
        <v>3374784.5</v>
      </c>
      <c r="F61" s="2413">
        <f>+$B60/2</f>
        <v>3374784.5</v>
      </c>
      <c r="G61" s="2414"/>
      <c r="H61" s="2414"/>
      <c r="I61" s="2413"/>
      <c r="J61" s="2413"/>
      <c r="K61" s="2413"/>
      <c r="L61" s="2413"/>
      <c r="M61" s="2413"/>
      <c r="N61" s="2416"/>
      <c r="O61" s="2405">
        <f t="shared" si="0"/>
        <v>6749569</v>
      </c>
    </row>
    <row r="62" spans="1:15" ht="12.75" customHeight="1">
      <c r="A62" s="4033" t="s">
        <v>5754</v>
      </c>
      <c r="B62" s="4007">
        <f>+CONSOLIDADO!F175</f>
        <v>76257178</v>
      </c>
      <c r="C62" s="2414"/>
      <c r="D62" s="2414"/>
      <c r="E62" s="2418"/>
      <c r="F62" s="2418"/>
      <c r="G62" s="2414"/>
      <c r="H62" s="2414"/>
      <c r="I62" s="2413"/>
      <c r="J62" s="2413"/>
      <c r="K62" s="2413"/>
      <c r="L62" s="2413"/>
      <c r="M62" s="2413"/>
      <c r="N62" s="2416"/>
      <c r="O62" s="2405">
        <f t="shared" si="0"/>
        <v>0</v>
      </c>
    </row>
    <row r="63" spans="1:15" ht="15.75" customHeight="1">
      <c r="A63" s="4033"/>
      <c r="B63" s="4007"/>
      <c r="C63" s="2414"/>
      <c r="D63" s="2414"/>
      <c r="E63" s="2413">
        <f>+$B62/2</f>
        <v>38128589</v>
      </c>
      <c r="F63" s="2413">
        <f>+$B62/2</f>
        <v>38128589</v>
      </c>
      <c r="G63" s="2414"/>
      <c r="H63" s="2414"/>
      <c r="I63" s="2413"/>
      <c r="J63" s="2413"/>
      <c r="K63" s="2413"/>
      <c r="L63" s="2413"/>
      <c r="M63" s="2413"/>
      <c r="N63" s="2416"/>
      <c r="O63" s="2405">
        <f t="shared" si="0"/>
        <v>76257178</v>
      </c>
    </row>
    <row r="64" spans="1:15" ht="13.5" customHeight="1">
      <c r="A64" s="4033" t="s">
        <v>6191</v>
      </c>
      <c r="B64" s="4007">
        <f>+CONSOLIDADO!F184</f>
        <v>24814200</v>
      </c>
      <c r="C64" s="2414"/>
      <c r="D64" s="2414"/>
      <c r="E64" s="2414"/>
      <c r="F64" s="2418"/>
      <c r="G64" s="2414"/>
      <c r="H64" s="2414"/>
      <c r="I64" s="2413"/>
      <c r="J64" s="2413"/>
      <c r="K64" s="2413"/>
      <c r="L64" s="2413"/>
      <c r="M64" s="2413"/>
      <c r="N64" s="2416"/>
      <c r="O64" s="2405">
        <f t="shared" si="0"/>
        <v>0</v>
      </c>
    </row>
    <row r="65" spans="1:15" ht="13.5" customHeight="1">
      <c r="A65" s="4033"/>
      <c r="B65" s="4007"/>
      <c r="C65" s="2414"/>
      <c r="D65" s="2414"/>
      <c r="E65" s="2414"/>
      <c r="F65" s="2413">
        <f>+$B64/1</f>
        <v>24814200</v>
      </c>
      <c r="G65" s="2414"/>
      <c r="H65" s="2414"/>
      <c r="I65" s="2413"/>
      <c r="J65" s="2413"/>
      <c r="K65" s="2413"/>
      <c r="L65" s="2413"/>
      <c r="M65" s="2413"/>
      <c r="N65" s="2416"/>
      <c r="O65" s="2405">
        <f t="shared" si="0"/>
        <v>24814200</v>
      </c>
    </row>
    <row r="66" spans="1:15" ht="11.25" customHeight="1">
      <c r="A66" s="4033" t="s">
        <v>6192</v>
      </c>
      <c r="B66" s="4007">
        <f>+CONSOLIDADO!F218</f>
        <v>45821728</v>
      </c>
      <c r="C66" s="2414"/>
      <c r="D66" s="2414"/>
      <c r="E66" s="2414"/>
      <c r="F66" s="2418"/>
      <c r="G66" s="2414"/>
      <c r="H66" s="2414"/>
      <c r="I66" s="2413"/>
      <c r="J66" s="2413"/>
      <c r="K66" s="2413"/>
      <c r="L66" s="2413"/>
      <c r="M66" s="2413"/>
      <c r="N66" s="2416"/>
      <c r="O66" s="2405">
        <f t="shared" si="0"/>
        <v>0</v>
      </c>
    </row>
    <row r="67" spans="1:15" ht="11.25" customHeight="1">
      <c r="A67" s="4033"/>
      <c r="B67" s="4007"/>
      <c r="C67" s="2414"/>
      <c r="D67" s="2414"/>
      <c r="E67" s="2414"/>
      <c r="F67" s="2413">
        <f>+$B66/1</f>
        <v>45821728</v>
      </c>
      <c r="G67" s="2414"/>
      <c r="H67" s="2414"/>
      <c r="I67" s="2413"/>
      <c r="J67" s="2413"/>
      <c r="K67" s="2413"/>
      <c r="L67" s="2413"/>
      <c r="M67" s="2413"/>
      <c r="N67" s="2416"/>
      <c r="O67" s="2405">
        <f t="shared" si="0"/>
        <v>45821728</v>
      </c>
    </row>
    <row r="68" spans="1:15" ht="11.25" customHeight="1">
      <c r="A68" s="4033" t="s">
        <v>6193</v>
      </c>
      <c r="B68" s="4007">
        <f>+CONSOLIDADO!F231</f>
        <v>1181403</v>
      </c>
      <c r="C68" s="2414"/>
      <c r="D68" s="2414"/>
      <c r="E68" s="2414"/>
      <c r="F68" s="2418"/>
      <c r="G68" s="1846"/>
      <c r="H68" s="2414"/>
      <c r="I68" s="2413"/>
      <c r="J68" s="2413"/>
      <c r="K68" s="2413"/>
      <c r="L68" s="2413"/>
      <c r="M68" s="2413"/>
      <c r="N68" s="2416"/>
      <c r="O68" s="2405">
        <f t="shared" si="0"/>
        <v>0</v>
      </c>
    </row>
    <row r="69" spans="1:15" ht="15.75" customHeight="1">
      <c r="A69" s="4033"/>
      <c r="B69" s="4007"/>
      <c r="C69" s="2414"/>
      <c r="D69" s="2414"/>
      <c r="E69" s="2414"/>
      <c r="F69" s="2413">
        <f>+$B68/1</f>
        <v>1181403</v>
      </c>
      <c r="G69" s="2414"/>
      <c r="H69" s="2414"/>
      <c r="I69" s="2413"/>
      <c r="J69" s="2413"/>
      <c r="K69" s="2413"/>
      <c r="L69" s="2413"/>
      <c r="M69" s="2413"/>
      <c r="N69" s="2416"/>
      <c r="O69" s="2405">
        <f t="shared" si="0"/>
        <v>1181403</v>
      </c>
    </row>
    <row r="70" spans="1:15" ht="13.5" customHeight="1">
      <c r="A70" s="4033" t="s">
        <v>6194</v>
      </c>
      <c r="B70" s="4007">
        <f>+CONSOLIDADO!F235</f>
        <v>45851440</v>
      </c>
      <c r="C70" s="2414"/>
      <c r="D70" s="2414"/>
      <c r="E70" s="2414"/>
      <c r="F70" s="2418"/>
      <c r="G70" s="2414"/>
      <c r="H70" s="2414"/>
      <c r="I70" s="2413"/>
      <c r="J70" s="2413"/>
      <c r="K70" s="2413"/>
      <c r="L70" s="2413"/>
      <c r="M70" s="2413"/>
      <c r="N70" s="2416"/>
      <c r="O70" s="2405">
        <f t="shared" si="0"/>
        <v>0</v>
      </c>
    </row>
    <row r="71" spans="1:15" ht="13.5" customHeight="1">
      <c r="A71" s="4033"/>
      <c r="B71" s="4007"/>
      <c r="C71" s="2414"/>
      <c r="D71" s="2414"/>
      <c r="E71" s="2414"/>
      <c r="F71" s="2413">
        <f>+$B70/1</f>
        <v>45851440</v>
      </c>
      <c r="G71" s="2414"/>
      <c r="H71" s="2414"/>
      <c r="I71" s="2413"/>
      <c r="J71" s="2413"/>
      <c r="K71" s="2413"/>
      <c r="L71" s="2413"/>
      <c r="M71" s="2413"/>
      <c r="N71" s="2416"/>
      <c r="O71" s="2405">
        <f t="shared" ref="O71:O83" si="8">+SUM(C71:N71)</f>
        <v>45851440</v>
      </c>
    </row>
    <row r="72" spans="1:15" ht="15.75" customHeight="1">
      <c r="A72" s="4033" t="s">
        <v>6195</v>
      </c>
      <c r="B72" s="4007">
        <f>+CONSOLIDADO!F239</f>
        <v>113271880</v>
      </c>
      <c r="C72" s="2414"/>
      <c r="D72" s="2414"/>
      <c r="E72" s="2414"/>
      <c r="F72" s="2418"/>
      <c r="G72" s="1846"/>
      <c r="H72" s="2414"/>
      <c r="I72" s="2413"/>
      <c r="J72" s="2413"/>
      <c r="K72" s="2413"/>
      <c r="L72" s="2413"/>
      <c r="M72" s="2413"/>
      <c r="N72" s="2416"/>
      <c r="O72" s="2405">
        <f t="shared" si="8"/>
        <v>0</v>
      </c>
    </row>
    <row r="73" spans="1:15" ht="15.75" customHeight="1">
      <c r="A73" s="4033"/>
      <c r="B73" s="4007"/>
      <c r="C73" s="2414"/>
      <c r="D73" s="2414"/>
      <c r="E73" s="2414"/>
      <c r="F73" s="2413">
        <f>+$B72/1</f>
        <v>113271880</v>
      </c>
      <c r="G73" s="2414"/>
      <c r="H73" s="2414"/>
      <c r="I73" s="2413"/>
      <c r="J73" s="2413"/>
      <c r="K73" s="2413"/>
      <c r="L73" s="2413"/>
      <c r="M73" s="2413"/>
      <c r="N73" s="2416"/>
      <c r="O73" s="2405">
        <f t="shared" si="8"/>
        <v>113271880</v>
      </c>
    </row>
    <row r="74" spans="1:15" ht="36" customHeight="1">
      <c r="A74" s="1838" t="s">
        <v>6196</v>
      </c>
      <c r="B74" s="2292">
        <f>+SUM(B75:B84)</f>
        <v>561558097</v>
      </c>
      <c r="C74" s="1845"/>
      <c r="D74" s="1845"/>
      <c r="E74" s="1845"/>
      <c r="F74" s="1845"/>
      <c r="G74" s="1845"/>
      <c r="H74" s="1845"/>
      <c r="I74" s="1845"/>
      <c r="J74" s="1845"/>
      <c r="K74" s="1845"/>
      <c r="L74" s="1845"/>
      <c r="M74" s="1845"/>
      <c r="N74" s="1839"/>
      <c r="O74" s="2405">
        <f t="shared" ref="O74" si="9">+SUM(C74:N74)</f>
        <v>0</v>
      </c>
    </row>
    <row r="75" spans="1:15" ht="17.25" customHeight="1">
      <c r="A75" s="4018" t="s">
        <v>1372</v>
      </c>
      <c r="B75" s="4031">
        <f>+CONSOLIDADO!F255</f>
        <v>5523852</v>
      </c>
      <c r="C75" s="2418"/>
      <c r="D75" s="2419"/>
      <c r="E75" s="2419"/>
      <c r="F75" s="2419"/>
      <c r="G75" s="2414"/>
      <c r="H75" s="2414"/>
      <c r="I75" s="2414"/>
      <c r="J75" s="2413"/>
      <c r="K75" s="2413"/>
      <c r="L75" s="2413"/>
      <c r="M75" s="2413"/>
      <c r="N75" s="2416"/>
      <c r="O75" s="2405">
        <f t="shared" si="8"/>
        <v>0</v>
      </c>
    </row>
    <row r="76" spans="1:15" ht="17.25" customHeight="1">
      <c r="A76" s="4018"/>
      <c r="B76" s="4032"/>
      <c r="C76" s="2413">
        <f>+$B75/1</f>
        <v>5523852</v>
      </c>
      <c r="D76" s="2414"/>
      <c r="E76" s="2414"/>
      <c r="F76" s="2414"/>
      <c r="G76" s="2414"/>
      <c r="H76" s="2414"/>
      <c r="I76" s="2414"/>
      <c r="J76" s="2413"/>
      <c r="K76" s="2413"/>
      <c r="L76" s="2413"/>
      <c r="M76" s="2413"/>
      <c r="N76" s="2416"/>
      <c r="O76" s="2405">
        <f t="shared" si="8"/>
        <v>5523852</v>
      </c>
    </row>
    <row r="77" spans="1:15" ht="17.25" customHeight="1">
      <c r="A77" s="4018" t="s">
        <v>6197</v>
      </c>
      <c r="B77" s="4031">
        <f>+CONSOLIDADO!F258</f>
        <v>29633480</v>
      </c>
      <c r="C77" s="2414"/>
      <c r="D77" s="2418"/>
      <c r="E77" s="2414"/>
      <c r="F77" s="2414"/>
      <c r="G77" s="2414"/>
      <c r="H77" s="2414"/>
      <c r="I77" s="2414"/>
      <c r="J77" s="2413"/>
      <c r="K77" s="2413"/>
      <c r="L77" s="2413"/>
      <c r="M77" s="2413"/>
      <c r="N77" s="2416"/>
      <c r="O77" s="2405">
        <f t="shared" si="8"/>
        <v>0</v>
      </c>
    </row>
    <row r="78" spans="1:15" ht="17.25" customHeight="1">
      <c r="A78" s="4018"/>
      <c r="B78" s="4032"/>
      <c r="C78" s="2414"/>
      <c r="D78" s="2413">
        <f>+$B77/1</f>
        <v>29633480</v>
      </c>
      <c r="E78" s="2414"/>
      <c r="F78" s="2414"/>
      <c r="G78" s="2414"/>
      <c r="H78" s="2414"/>
      <c r="I78" s="2414"/>
      <c r="J78" s="2413"/>
      <c r="K78" s="2413"/>
      <c r="L78" s="2413"/>
      <c r="M78" s="2413"/>
      <c r="N78" s="2416"/>
      <c r="O78" s="2405">
        <f t="shared" si="8"/>
        <v>29633480</v>
      </c>
    </row>
    <row r="79" spans="1:15" ht="17.25" customHeight="1">
      <c r="A79" s="4018" t="s">
        <v>5754</v>
      </c>
      <c r="B79" s="4031">
        <f>+CONSOLIDADO!F261</f>
        <v>496273675</v>
      </c>
      <c r="C79" s="2414"/>
      <c r="D79" s="2414"/>
      <c r="E79" s="2418"/>
      <c r="F79" s="2414"/>
      <c r="G79" s="2414"/>
      <c r="H79" s="2414"/>
      <c r="I79" s="2414"/>
      <c r="J79" s="2413"/>
      <c r="K79" s="2413"/>
      <c r="L79" s="2413"/>
      <c r="M79" s="2413"/>
      <c r="N79" s="2416"/>
      <c r="O79" s="2405">
        <f t="shared" si="8"/>
        <v>0</v>
      </c>
    </row>
    <row r="80" spans="1:15" ht="17.25" customHeight="1">
      <c r="A80" s="4018"/>
      <c r="B80" s="4032"/>
      <c r="C80" s="2414"/>
      <c r="D80" s="1846"/>
      <c r="E80" s="2413">
        <f>+$B79/1</f>
        <v>496273675</v>
      </c>
      <c r="F80" s="2414"/>
      <c r="G80" s="2414"/>
      <c r="H80" s="2414"/>
      <c r="I80" s="2414"/>
      <c r="J80" s="2413"/>
      <c r="K80" s="2413"/>
      <c r="L80" s="2413"/>
      <c r="M80" s="2413"/>
      <c r="N80" s="2416"/>
      <c r="O80" s="2405">
        <f t="shared" si="8"/>
        <v>496273675</v>
      </c>
    </row>
    <row r="81" spans="1:15" ht="17.25" customHeight="1">
      <c r="A81" s="4018" t="s">
        <v>6198</v>
      </c>
      <c r="B81" s="4031">
        <f>+CONSOLIDADO!F268</f>
        <v>23949989</v>
      </c>
      <c r="C81" s="2414"/>
      <c r="D81" s="2414"/>
      <c r="E81" s="2418"/>
      <c r="F81" s="2414"/>
      <c r="G81" s="2414"/>
      <c r="H81" s="2414"/>
      <c r="I81" s="2414"/>
      <c r="J81" s="2413"/>
      <c r="K81" s="2413"/>
      <c r="L81" s="2413"/>
      <c r="M81" s="2413"/>
      <c r="N81" s="2416"/>
      <c r="O81" s="2405">
        <f t="shared" si="8"/>
        <v>0</v>
      </c>
    </row>
    <row r="82" spans="1:15" ht="17.25" customHeight="1">
      <c r="A82" s="4018"/>
      <c r="B82" s="4032"/>
      <c r="C82" s="2414"/>
      <c r="D82" s="2414"/>
      <c r="E82" s="2413">
        <f>+$B81/1</f>
        <v>23949989</v>
      </c>
      <c r="F82" s="2414"/>
      <c r="G82" s="2414"/>
      <c r="H82" s="2414"/>
      <c r="I82" s="2414"/>
      <c r="J82" s="2413"/>
      <c r="K82" s="2413"/>
      <c r="L82" s="2413"/>
      <c r="M82" s="2413"/>
      <c r="N82" s="2416"/>
      <c r="O82" s="2405">
        <f t="shared" si="8"/>
        <v>23949989</v>
      </c>
    </row>
    <row r="83" spans="1:15" ht="17.25" customHeight="1">
      <c r="A83" s="4018" t="s">
        <v>6199</v>
      </c>
      <c r="B83" s="4031">
        <f>+CONSOLIDADO!F337</f>
        <v>6177101</v>
      </c>
      <c r="C83" s="2414"/>
      <c r="D83" s="2414"/>
      <c r="E83" s="2414"/>
      <c r="F83" s="2418"/>
      <c r="G83" s="2414"/>
      <c r="H83" s="2414"/>
      <c r="I83" s="2414"/>
      <c r="J83" s="2413"/>
      <c r="K83" s="2413"/>
      <c r="L83" s="2413"/>
      <c r="M83" s="2413"/>
      <c r="N83" s="2416"/>
      <c r="O83" s="2405">
        <f t="shared" si="8"/>
        <v>0</v>
      </c>
    </row>
    <row r="84" spans="1:15" ht="17.25" customHeight="1">
      <c r="A84" s="4018"/>
      <c r="B84" s="4032"/>
      <c r="C84" s="2414"/>
      <c r="D84" s="2414"/>
      <c r="E84" s="1846"/>
      <c r="F84" s="2413">
        <f>+$B83/1</f>
        <v>6177101</v>
      </c>
      <c r="G84" s="2414"/>
      <c r="H84" s="2414"/>
      <c r="I84" s="2414"/>
      <c r="J84" s="2413"/>
      <c r="K84" s="2413"/>
      <c r="L84" s="2413"/>
      <c r="M84" s="2413"/>
      <c r="N84" s="2416"/>
      <c r="O84" s="2405">
        <f>+SUM(C84:N84)</f>
        <v>6177101</v>
      </c>
    </row>
    <row r="85" spans="1:15" ht="53.25" customHeight="1">
      <c r="A85" s="1838" t="s">
        <v>1441</v>
      </c>
      <c r="B85" s="2292">
        <f>+SUM(B86:B115)</f>
        <v>39097805</v>
      </c>
      <c r="C85" s="1845"/>
      <c r="D85" s="1845"/>
      <c r="E85" s="1845"/>
      <c r="F85" s="1845"/>
      <c r="G85" s="1845"/>
      <c r="H85" s="1845"/>
      <c r="I85" s="1845"/>
      <c r="J85" s="1845"/>
      <c r="K85" s="1845"/>
      <c r="L85" s="1845"/>
      <c r="M85" s="1845"/>
      <c r="N85" s="1839"/>
      <c r="O85" s="2405">
        <f t="shared" ref="O85:O106" si="10">+SUM(C85:N85)</f>
        <v>0</v>
      </c>
    </row>
    <row r="86" spans="1:15" ht="16.5" customHeight="1">
      <c r="A86" s="4006" t="s">
        <v>6200</v>
      </c>
      <c r="B86" s="4008">
        <f>+CONSOLIDADO!F348</f>
        <v>6409110</v>
      </c>
      <c r="C86" s="2413"/>
      <c r="D86" s="2413"/>
      <c r="E86" s="2413"/>
      <c r="F86" s="2413"/>
      <c r="G86" s="2413"/>
      <c r="H86" s="2413"/>
      <c r="I86" s="1846"/>
      <c r="J86" s="2414"/>
      <c r="K86" s="2413"/>
      <c r="L86" s="2413"/>
      <c r="M86" s="2413"/>
      <c r="N86" s="2416"/>
      <c r="O86" s="2405">
        <f t="shared" si="10"/>
        <v>0</v>
      </c>
    </row>
    <row r="87" spans="1:15" ht="16.5" customHeight="1">
      <c r="A87" s="4006"/>
      <c r="B87" s="4009"/>
      <c r="C87" s="2413"/>
      <c r="D87" s="2413"/>
      <c r="E87" s="2413"/>
      <c r="F87" s="2413"/>
      <c r="G87" s="2413"/>
      <c r="H87" s="2413"/>
      <c r="I87" s="2414"/>
      <c r="J87" s="2414"/>
      <c r="K87" s="2413"/>
      <c r="L87" s="2414"/>
      <c r="M87" s="2413">
        <f>+$B86/2</f>
        <v>3204555</v>
      </c>
      <c r="N87" s="2413">
        <f>+$B86/2</f>
        <v>3204555</v>
      </c>
      <c r="O87" s="2405">
        <f t="shared" si="10"/>
        <v>6409110</v>
      </c>
    </row>
    <row r="88" spans="1:15" ht="16.5" customHeight="1">
      <c r="A88" s="4006" t="s">
        <v>6169</v>
      </c>
      <c r="B88" s="4008">
        <f>+CONSOLIDADO!F355</f>
        <v>2471730</v>
      </c>
      <c r="C88" s="2413"/>
      <c r="D88" s="2413"/>
      <c r="E88" s="2413"/>
      <c r="F88" s="2413"/>
      <c r="G88" s="2413"/>
      <c r="H88" s="2413"/>
      <c r="I88" s="1846"/>
      <c r="J88" s="2414"/>
      <c r="K88" s="2413"/>
      <c r="L88" s="2414"/>
      <c r="M88" s="2415"/>
      <c r="N88" s="2415"/>
      <c r="O88" s="2405">
        <f t="shared" si="10"/>
        <v>0</v>
      </c>
    </row>
    <row r="89" spans="1:15" ht="16.5" customHeight="1">
      <c r="A89" s="4006"/>
      <c r="B89" s="4009"/>
      <c r="C89" s="2413"/>
      <c r="D89" s="2413"/>
      <c r="E89" s="2413"/>
      <c r="F89" s="2413"/>
      <c r="G89" s="2413"/>
      <c r="H89" s="2413"/>
      <c r="I89" s="2414"/>
      <c r="J89" s="2414"/>
      <c r="K89" s="2413"/>
      <c r="L89" s="2414"/>
      <c r="M89" s="2413">
        <f>+$B88/2</f>
        <v>1235865</v>
      </c>
      <c r="N89" s="2413">
        <f>+$B88/2</f>
        <v>1235865</v>
      </c>
      <c r="O89" s="2405">
        <f t="shared" si="10"/>
        <v>2471730</v>
      </c>
    </row>
    <row r="90" spans="1:15" ht="16.5" customHeight="1">
      <c r="A90" s="4006" t="s">
        <v>6170</v>
      </c>
      <c r="B90" s="4008">
        <f>+CONSOLIDADO!F357</f>
        <v>1168995</v>
      </c>
      <c r="C90" s="2413"/>
      <c r="D90" s="2413"/>
      <c r="E90" s="2413"/>
      <c r="F90" s="2413"/>
      <c r="G90" s="2413"/>
      <c r="H90" s="2413"/>
      <c r="I90" s="1846"/>
      <c r="J90" s="2414"/>
      <c r="K90" s="2413"/>
      <c r="L90" s="2414"/>
      <c r="M90" s="2415"/>
      <c r="N90" s="2415"/>
      <c r="O90" s="2405">
        <f t="shared" si="10"/>
        <v>0</v>
      </c>
    </row>
    <row r="91" spans="1:15" ht="16.5" customHeight="1">
      <c r="A91" s="4006"/>
      <c r="B91" s="4009"/>
      <c r="C91" s="2413"/>
      <c r="D91" s="2413"/>
      <c r="E91" s="2413"/>
      <c r="F91" s="2413"/>
      <c r="G91" s="2413"/>
      <c r="H91" s="2413"/>
      <c r="I91" s="2414"/>
      <c r="J91" s="2414"/>
      <c r="K91" s="2413"/>
      <c r="L91" s="2414"/>
      <c r="M91" s="2413">
        <f>+$B90/2</f>
        <v>584497.5</v>
      </c>
      <c r="N91" s="2413">
        <f>+$B90/2</f>
        <v>584497.5</v>
      </c>
      <c r="O91" s="2405">
        <f t="shared" si="10"/>
        <v>1168995</v>
      </c>
    </row>
    <row r="92" spans="1:15" ht="16.5" customHeight="1">
      <c r="A92" s="4006" t="s">
        <v>6171</v>
      </c>
      <c r="B92" s="4008">
        <f>+CONSOLIDADO!F360</f>
        <v>420899</v>
      </c>
      <c r="C92" s="2413"/>
      <c r="D92" s="2413"/>
      <c r="E92" s="2413"/>
      <c r="F92" s="2413"/>
      <c r="G92" s="2413"/>
      <c r="H92" s="2413"/>
      <c r="I92" s="1846"/>
      <c r="J92" s="2414"/>
      <c r="K92" s="2413"/>
      <c r="L92" s="2414"/>
      <c r="M92" s="2415"/>
      <c r="N92" s="2415"/>
      <c r="O92" s="2405">
        <f t="shared" si="10"/>
        <v>0</v>
      </c>
    </row>
    <row r="93" spans="1:15" ht="16.5" customHeight="1">
      <c r="A93" s="4006"/>
      <c r="B93" s="4009"/>
      <c r="C93" s="2413"/>
      <c r="D93" s="2413"/>
      <c r="E93" s="2413"/>
      <c r="F93" s="2413"/>
      <c r="G93" s="2413"/>
      <c r="H93" s="2413"/>
      <c r="I93" s="2414"/>
      <c r="J93" s="2414"/>
      <c r="K93" s="2413"/>
      <c r="L93" s="2414"/>
      <c r="M93" s="2413">
        <f>+$B92/2</f>
        <v>210449.5</v>
      </c>
      <c r="N93" s="2413">
        <f>+$B92/2</f>
        <v>210449.5</v>
      </c>
      <c r="O93" s="2405">
        <f t="shared" si="10"/>
        <v>420899</v>
      </c>
    </row>
    <row r="94" spans="1:15" ht="16.5" customHeight="1">
      <c r="A94" s="4006" t="s">
        <v>6172</v>
      </c>
      <c r="B94" s="4008">
        <f>+CONSOLIDADO!F362</f>
        <v>2455246</v>
      </c>
      <c r="C94" s="2413"/>
      <c r="D94" s="2413"/>
      <c r="E94" s="2413"/>
      <c r="F94" s="2413"/>
      <c r="G94" s="2413"/>
      <c r="H94" s="2413"/>
      <c r="I94" s="1846"/>
      <c r="J94" s="2414"/>
      <c r="K94" s="2413"/>
      <c r="L94" s="2414"/>
      <c r="M94" s="2415"/>
      <c r="N94" s="2415"/>
      <c r="O94" s="2405">
        <f t="shared" si="10"/>
        <v>0</v>
      </c>
    </row>
    <row r="95" spans="1:15" ht="16.5" customHeight="1">
      <c r="A95" s="4006"/>
      <c r="B95" s="4009"/>
      <c r="C95" s="2413"/>
      <c r="D95" s="2413"/>
      <c r="E95" s="2413"/>
      <c r="F95" s="2413"/>
      <c r="G95" s="2413"/>
      <c r="H95" s="2413"/>
      <c r="I95" s="2414"/>
      <c r="J95" s="2414"/>
      <c r="K95" s="2413"/>
      <c r="L95" s="2414"/>
      <c r="M95" s="2413">
        <f>+$B94/2</f>
        <v>1227623</v>
      </c>
      <c r="N95" s="2413">
        <f>+$B94/2</f>
        <v>1227623</v>
      </c>
      <c r="O95" s="2405">
        <f t="shared" si="10"/>
        <v>2455246</v>
      </c>
    </row>
    <row r="96" spans="1:15" ht="16.5" customHeight="1">
      <c r="A96" s="4006" t="s">
        <v>6173</v>
      </c>
      <c r="B96" s="4008">
        <f>+CONSOLIDADO!F364</f>
        <v>252540</v>
      </c>
      <c r="C96" s="2413"/>
      <c r="D96" s="2413"/>
      <c r="E96" s="2413"/>
      <c r="F96" s="2413"/>
      <c r="G96" s="2413"/>
      <c r="H96" s="2413"/>
      <c r="I96" s="1846"/>
      <c r="J96" s="2414"/>
      <c r="K96" s="2413"/>
      <c r="L96" s="2414"/>
      <c r="M96" s="2415"/>
      <c r="N96" s="2415"/>
      <c r="O96" s="2405">
        <f t="shared" si="10"/>
        <v>0</v>
      </c>
    </row>
    <row r="97" spans="1:15" ht="16.5" customHeight="1">
      <c r="A97" s="4006"/>
      <c r="B97" s="4009"/>
      <c r="C97" s="2413"/>
      <c r="D97" s="2413"/>
      <c r="E97" s="2413"/>
      <c r="F97" s="2413"/>
      <c r="G97" s="2413"/>
      <c r="H97" s="2413"/>
      <c r="I97" s="2414"/>
      <c r="J97" s="2414"/>
      <c r="K97" s="2413"/>
      <c r="L97" s="2414"/>
      <c r="M97" s="2413">
        <f>+$B96/2</f>
        <v>126270</v>
      </c>
      <c r="N97" s="2413">
        <f>+$B96/2</f>
        <v>126270</v>
      </c>
      <c r="O97" s="2405">
        <f t="shared" si="10"/>
        <v>252540</v>
      </c>
    </row>
    <row r="98" spans="1:15" ht="16.5" customHeight="1">
      <c r="A98" s="4006" t="s">
        <v>6174</v>
      </c>
      <c r="B98" s="4008">
        <f>+CONSOLIDADO!F366</f>
        <v>315674</v>
      </c>
      <c r="C98" s="2413"/>
      <c r="D98" s="2413"/>
      <c r="E98" s="2413"/>
      <c r="F98" s="2413"/>
      <c r="G98" s="2413"/>
      <c r="H98" s="2413"/>
      <c r="I98" s="1846"/>
      <c r="J98" s="2414"/>
      <c r="K98" s="2413"/>
      <c r="L98" s="2414"/>
      <c r="M98" s="2415"/>
      <c r="N98" s="2415"/>
      <c r="O98" s="2405">
        <f t="shared" si="10"/>
        <v>0</v>
      </c>
    </row>
    <row r="99" spans="1:15" ht="16.5" customHeight="1">
      <c r="A99" s="4006"/>
      <c r="B99" s="4009"/>
      <c r="C99" s="2413"/>
      <c r="D99" s="2413"/>
      <c r="E99" s="2413"/>
      <c r="F99" s="2413"/>
      <c r="G99" s="2413"/>
      <c r="H99" s="2413"/>
      <c r="I99" s="2414"/>
      <c r="J99" s="2414"/>
      <c r="K99" s="2413"/>
      <c r="L99" s="2414"/>
      <c r="M99" s="2413">
        <f>+$B98/2</f>
        <v>157837</v>
      </c>
      <c r="N99" s="2413">
        <f>+$B98/2</f>
        <v>157837</v>
      </c>
      <c r="O99" s="2405">
        <f t="shared" si="10"/>
        <v>315674</v>
      </c>
    </row>
    <row r="100" spans="1:15" ht="16.5" customHeight="1">
      <c r="A100" s="4006" t="s">
        <v>6175</v>
      </c>
      <c r="B100" s="4008">
        <f>+CONSOLIDADO!F368</f>
        <v>2454496</v>
      </c>
      <c r="C100" s="2413"/>
      <c r="D100" s="2413"/>
      <c r="E100" s="2413"/>
      <c r="F100" s="2413"/>
      <c r="G100" s="2413"/>
      <c r="H100" s="2413"/>
      <c r="I100" s="1846"/>
      <c r="J100" s="2414"/>
      <c r="K100" s="2413"/>
      <c r="L100" s="2414"/>
      <c r="M100" s="2415"/>
      <c r="N100" s="2415"/>
      <c r="O100" s="2405">
        <f t="shared" si="10"/>
        <v>0</v>
      </c>
    </row>
    <row r="101" spans="1:15" ht="16.5" customHeight="1">
      <c r="A101" s="4006"/>
      <c r="B101" s="4009"/>
      <c r="C101" s="2413"/>
      <c r="D101" s="2413"/>
      <c r="E101" s="2413"/>
      <c r="F101" s="2413"/>
      <c r="G101" s="2413"/>
      <c r="H101" s="2413"/>
      <c r="I101" s="2414"/>
      <c r="J101" s="2414"/>
      <c r="K101" s="2413"/>
      <c r="L101" s="2414"/>
      <c r="M101" s="2413">
        <f>+$B100/2</f>
        <v>1227248</v>
      </c>
      <c r="N101" s="2413">
        <f>+$B100/2</f>
        <v>1227248</v>
      </c>
      <c r="O101" s="2405">
        <f t="shared" si="10"/>
        <v>2454496</v>
      </c>
    </row>
    <row r="102" spans="1:15" ht="16.5" customHeight="1">
      <c r="A102" s="4006" t="s">
        <v>6176</v>
      </c>
      <c r="B102" s="4008">
        <f>+CONSOLIDADO!F370</f>
        <v>2552713</v>
      </c>
      <c r="C102" s="2413"/>
      <c r="D102" s="2413"/>
      <c r="E102" s="2413"/>
      <c r="F102" s="2413"/>
      <c r="G102" s="2413"/>
      <c r="H102" s="2413"/>
      <c r="I102" s="1846"/>
      <c r="J102" s="2414"/>
      <c r="K102" s="2413"/>
      <c r="L102" s="2414"/>
      <c r="M102" s="2415"/>
      <c r="N102" s="2415"/>
      <c r="O102" s="2405">
        <f t="shared" si="10"/>
        <v>0</v>
      </c>
    </row>
    <row r="103" spans="1:15" ht="16.5" customHeight="1">
      <c r="A103" s="4006"/>
      <c r="B103" s="4009"/>
      <c r="C103" s="2413"/>
      <c r="D103" s="2413"/>
      <c r="E103" s="2413"/>
      <c r="F103" s="2413"/>
      <c r="G103" s="2413"/>
      <c r="H103" s="2413"/>
      <c r="I103" s="2414"/>
      <c r="J103" s="2414"/>
      <c r="K103" s="2413"/>
      <c r="L103" s="2414"/>
      <c r="M103" s="2413">
        <f>+$B102/2</f>
        <v>1276356.5</v>
      </c>
      <c r="N103" s="2413">
        <f>+$B102/2</f>
        <v>1276356.5</v>
      </c>
      <c r="O103" s="2405">
        <f t="shared" si="10"/>
        <v>2552713</v>
      </c>
    </row>
    <row r="104" spans="1:15" ht="16.5" customHeight="1">
      <c r="A104" s="4006" t="s">
        <v>6177</v>
      </c>
      <c r="B104" s="4008">
        <f>+CONSOLIDADO!F372</f>
        <v>2013302</v>
      </c>
      <c r="C104" s="2413"/>
      <c r="D104" s="2413"/>
      <c r="E104" s="2413"/>
      <c r="F104" s="2413"/>
      <c r="G104" s="2413"/>
      <c r="H104" s="2413"/>
      <c r="I104" s="1846"/>
      <c r="J104" s="2414"/>
      <c r="K104" s="2413"/>
      <c r="L104" s="2414"/>
      <c r="M104" s="2415"/>
      <c r="N104" s="2415"/>
      <c r="O104" s="2405">
        <f t="shared" si="10"/>
        <v>0</v>
      </c>
    </row>
    <row r="105" spans="1:15" ht="16.5" customHeight="1">
      <c r="A105" s="4006"/>
      <c r="B105" s="4009"/>
      <c r="C105" s="2413"/>
      <c r="D105" s="2413"/>
      <c r="E105" s="2413"/>
      <c r="F105" s="2413"/>
      <c r="G105" s="2413"/>
      <c r="H105" s="2413"/>
      <c r="I105" s="2414"/>
      <c r="J105" s="2414"/>
      <c r="K105" s="2413"/>
      <c r="L105" s="2414"/>
      <c r="M105" s="2413">
        <f>+$B104/2</f>
        <v>1006651</v>
      </c>
      <c r="N105" s="2413">
        <f>+$B104/2</f>
        <v>1006651</v>
      </c>
      <c r="O105" s="2405">
        <f t="shared" si="10"/>
        <v>2013302</v>
      </c>
    </row>
    <row r="106" spans="1:15" ht="16.5" customHeight="1">
      <c r="A106" s="4006" t="s">
        <v>6178</v>
      </c>
      <c r="B106" s="4008">
        <f>+CONSOLIDADO!F376</f>
        <v>1312855</v>
      </c>
      <c r="C106" s="2413"/>
      <c r="D106" s="2413"/>
      <c r="E106" s="2413"/>
      <c r="F106" s="2413"/>
      <c r="G106" s="2413"/>
      <c r="H106" s="2413"/>
      <c r="I106" s="1846"/>
      <c r="J106" s="2414"/>
      <c r="K106" s="2413"/>
      <c r="L106" s="2414"/>
      <c r="M106" s="2415"/>
      <c r="N106" s="2415"/>
      <c r="O106" s="2405">
        <f t="shared" si="10"/>
        <v>0</v>
      </c>
    </row>
    <row r="107" spans="1:15" ht="16.5" customHeight="1">
      <c r="A107" s="4006"/>
      <c r="B107" s="4009"/>
      <c r="C107" s="2413"/>
      <c r="D107" s="2413"/>
      <c r="E107" s="2413"/>
      <c r="F107" s="2413"/>
      <c r="G107" s="2413"/>
      <c r="H107" s="2413"/>
      <c r="I107" s="2414"/>
      <c r="J107" s="2414"/>
      <c r="K107" s="2413"/>
      <c r="L107" s="2414"/>
      <c r="M107" s="2413">
        <f>+$B106/2</f>
        <v>656427.5</v>
      </c>
      <c r="N107" s="2413">
        <f>+$B106/2</f>
        <v>656427.5</v>
      </c>
      <c r="O107" s="2405">
        <f t="shared" ref="O107:O136" si="11">+SUM(C107:N107)</f>
        <v>1312855</v>
      </c>
    </row>
    <row r="108" spans="1:15" ht="16.5" customHeight="1">
      <c r="A108" s="4006" t="s">
        <v>6179</v>
      </c>
      <c r="B108" s="4008">
        <f>+CONSOLIDADO!F384</f>
        <v>5076046</v>
      </c>
      <c r="C108" s="2413"/>
      <c r="D108" s="2413"/>
      <c r="E108" s="2413"/>
      <c r="F108" s="2413"/>
      <c r="G108" s="2413"/>
      <c r="H108" s="2413"/>
      <c r="I108" s="1846"/>
      <c r="J108" s="2414"/>
      <c r="K108" s="2413"/>
      <c r="L108" s="2414"/>
      <c r="M108" s="2415"/>
      <c r="N108" s="2415"/>
      <c r="O108" s="2405">
        <f t="shared" si="11"/>
        <v>0</v>
      </c>
    </row>
    <row r="109" spans="1:15" ht="16.5" customHeight="1">
      <c r="A109" s="4006"/>
      <c r="B109" s="4009"/>
      <c r="C109" s="2413"/>
      <c r="D109" s="2413"/>
      <c r="E109" s="2413"/>
      <c r="F109" s="2413"/>
      <c r="G109" s="2413"/>
      <c r="H109" s="2413"/>
      <c r="I109" s="2414"/>
      <c r="J109" s="2414"/>
      <c r="K109" s="2413"/>
      <c r="L109" s="2414"/>
      <c r="M109" s="2413">
        <f>+$B108/2</f>
        <v>2538023</v>
      </c>
      <c r="N109" s="2413">
        <f>+$B108/2</f>
        <v>2538023</v>
      </c>
      <c r="O109" s="2405">
        <f t="shared" si="11"/>
        <v>5076046</v>
      </c>
    </row>
    <row r="110" spans="1:15" ht="16.5" customHeight="1">
      <c r="A110" s="4006" t="s">
        <v>5221</v>
      </c>
      <c r="B110" s="4008">
        <f>+CONSOLIDADO!F388</f>
        <v>1604199</v>
      </c>
      <c r="C110" s="2413"/>
      <c r="D110" s="2413"/>
      <c r="E110" s="2413"/>
      <c r="F110" s="2413"/>
      <c r="G110" s="2413"/>
      <c r="H110" s="2413"/>
      <c r="I110" s="1846"/>
      <c r="J110" s="2414"/>
      <c r="K110" s="2413"/>
      <c r="L110" s="2414"/>
      <c r="M110" s="2415"/>
      <c r="N110" s="2415"/>
      <c r="O110" s="2405">
        <f t="shared" si="11"/>
        <v>0</v>
      </c>
    </row>
    <row r="111" spans="1:15" ht="16.5" customHeight="1">
      <c r="A111" s="4006"/>
      <c r="B111" s="4009"/>
      <c r="C111" s="2413"/>
      <c r="D111" s="2413"/>
      <c r="E111" s="2413"/>
      <c r="F111" s="2413"/>
      <c r="G111" s="2413"/>
      <c r="H111" s="2413"/>
      <c r="I111" s="2414"/>
      <c r="J111" s="2414"/>
      <c r="K111" s="2413"/>
      <c r="L111" s="2414"/>
      <c r="M111" s="2413">
        <f>+$B110/2</f>
        <v>802099.5</v>
      </c>
      <c r="N111" s="2413">
        <f>+$B110/2</f>
        <v>802099.5</v>
      </c>
      <c r="O111" s="2405">
        <f t="shared" si="11"/>
        <v>1604199</v>
      </c>
    </row>
    <row r="112" spans="1:15" ht="16.5" customHeight="1">
      <c r="A112" s="4006" t="s">
        <v>6201</v>
      </c>
      <c r="B112" s="4008">
        <f>+CONSOLIDADO!F390</f>
        <v>6810000</v>
      </c>
      <c r="C112" s="2413"/>
      <c r="D112" s="2413"/>
      <c r="E112" s="2413"/>
      <c r="F112" s="2413"/>
      <c r="G112" s="2413"/>
      <c r="H112" s="2413"/>
      <c r="I112" s="1846"/>
      <c r="J112" s="2414"/>
      <c r="K112" s="2413"/>
      <c r="L112" s="2414"/>
      <c r="M112" s="2415"/>
      <c r="N112" s="2415"/>
      <c r="O112" s="2405">
        <f t="shared" si="11"/>
        <v>0</v>
      </c>
    </row>
    <row r="113" spans="1:15" ht="16.5" customHeight="1">
      <c r="A113" s="4006"/>
      <c r="B113" s="4009"/>
      <c r="C113" s="2413"/>
      <c r="D113" s="2413"/>
      <c r="E113" s="2413"/>
      <c r="F113" s="2413"/>
      <c r="G113" s="2413"/>
      <c r="H113" s="2413"/>
      <c r="I113" s="2414"/>
      <c r="J113" s="2414"/>
      <c r="K113" s="2413"/>
      <c r="L113" s="2414"/>
      <c r="M113" s="2413">
        <f>+$B112/2</f>
        <v>3405000</v>
      </c>
      <c r="N113" s="2413">
        <f>+$B112/2</f>
        <v>3405000</v>
      </c>
      <c r="O113" s="2405">
        <f t="shared" si="11"/>
        <v>6810000</v>
      </c>
    </row>
    <row r="114" spans="1:15" ht="16.5" customHeight="1">
      <c r="A114" s="4006" t="s">
        <v>6202</v>
      </c>
      <c r="B114" s="4008">
        <f>+CONSOLIDADO!F392</f>
        <v>3780000</v>
      </c>
      <c r="C114" s="2413"/>
      <c r="D114" s="2413"/>
      <c r="E114" s="2413"/>
      <c r="F114" s="2413"/>
      <c r="G114" s="2413"/>
      <c r="H114" s="2413"/>
      <c r="I114" s="1846"/>
      <c r="J114" s="2414"/>
      <c r="K114" s="2413"/>
      <c r="L114" s="2414"/>
      <c r="M114" s="2415"/>
      <c r="N114" s="2415"/>
      <c r="O114" s="2405">
        <f t="shared" si="11"/>
        <v>0</v>
      </c>
    </row>
    <row r="115" spans="1:15" ht="16.5" customHeight="1">
      <c r="A115" s="4006"/>
      <c r="B115" s="4009"/>
      <c r="C115" s="2413"/>
      <c r="D115" s="2413"/>
      <c r="E115" s="2413"/>
      <c r="F115" s="2413"/>
      <c r="G115" s="2413"/>
      <c r="H115" s="2413"/>
      <c r="I115" s="2414"/>
      <c r="J115" s="2414"/>
      <c r="K115" s="2413"/>
      <c r="L115" s="2414"/>
      <c r="M115" s="2413">
        <f>+$B114/2</f>
        <v>1890000</v>
      </c>
      <c r="N115" s="2413">
        <f>+$B114/2</f>
        <v>1890000</v>
      </c>
      <c r="O115" s="2405">
        <f t="shared" si="11"/>
        <v>3780000</v>
      </c>
    </row>
    <row r="116" spans="1:15" ht="36" customHeight="1">
      <c r="A116" s="1840" t="s">
        <v>8227</v>
      </c>
      <c r="B116" s="2292">
        <f>+SUM(B117:B118)</f>
        <v>4222464</v>
      </c>
      <c r="C116" s="1845"/>
      <c r="D116" s="1845"/>
      <c r="E116" s="1845"/>
      <c r="F116" s="1845"/>
      <c r="G116" s="1845"/>
      <c r="H116" s="1845"/>
      <c r="I116" s="1845"/>
      <c r="J116" s="1845"/>
      <c r="K116" s="1845"/>
      <c r="L116" s="1845"/>
      <c r="M116" s="1845"/>
      <c r="N116" s="1839"/>
      <c r="O116" s="2405">
        <f t="shared" ref="O116:O118" si="12">+SUM(C116:N116)</f>
        <v>0</v>
      </c>
    </row>
    <row r="117" spans="1:15" ht="15.75" customHeight="1">
      <c r="A117" s="4006" t="s">
        <v>1127</v>
      </c>
      <c r="B117" s="4007">
        <f>+CONSOLIDADO!F397</f>
        <v>4222464</v>
      </c>
      <c r="C117" s="2413"/>
      <c r="D117" s="2413"/>
      <c r="E117" s="1846"/>
      <c r="F117" s="2418"/>
      <c r="G117" s="2418"/>
      <c r="H117" s="2413"/>
      <c r="I117" s="2413"/>
      <c r="J117" s="2413"/>
      <c r="K117" s="2413"/>
      <c r="L117" s="2413"/>
      <c r="M117" s="2413"/>
      <c r="N117" s="2416"/>
      <c r="O117" s="2405">
        <f t="shared" si="12"/>
        <v>0</v>
      </c>
    </row>
    <row r="118" spans="1:15" ht="15.75" customHeight="1">
      <c r="A118" s="4006"/>
      <c r="B118" s="4007"/>
      <c r="C118" s="2413"/>
      <c r="D118" s="2413"/>
      <c r="E118" s="2414"/>
      <c r="F118" s="2413">
        <f>+$B117/2</f>
        <v>2111232</v>
      </c>
      <c r="G118" s="2413">
        <f>+$B117/2</f>
        <v>2111232</v>
      </c>
      <c r="H118" s="2413"/>
      <c r="I118" s="2413"/>
      <c r="J118" s="2413"/>
      <c r="K118" s="2413"/>
      <c r="L118" s="2413"/>
      <c r="M118" s="2413"/>
      <c r="N118" s="2416"/>
      <c r="O118" s="2405">
        <f t="shared" si="12"/>
        <v>4222464</v>
      </c>
    </row>
    <row r="119" spans="1:15" ht="33.75" customHeight="1">
      <c r="A119" s="1840" t="s">
        <v>5708</v>
      </c>
      <c r="B119" s="2292" t="e">
        <f>+SUM(B120:B131)</f>
        <v>#REF!</v>
      </c>
      <c r="C119" s="1845"/>
      <c r="D119" s="1845"/>
      <c r="E119" s="1845"/>
      <c r="F119" s="1845"/>
      <c r="G119" s="1845"/>
      <c r="H119" s="1845"/>
      <c r="I119" s="1845"/>
      <c r="J119" s="1845"/>
      <c r="K119" s="1845"/>
      <c r="L119" s="1845"/>
      <c r="M119" s="1845"/>
      <c r="N119" s="1839"/>
      <c r="O119" s="2405">
        <f t="shared" si="11"/>
        <v>0</v>
      </c>
    </row>
    <row r="120" spans="1:15" ht="12" customHeight="1">
      <c r="A120" s="4018" t="s">
        <v>6182</v>
      </c>
      <c r="B120" s="4007">
        <f>+CONSOLIDADO!F420</f>
        <v>24723110</v>
      </c>
      <c r="C120" s="2413"/>
      <c r="D120" s="2413"/>
      <c r="E120" s="2413"/>
      <c r="F120" s="2419"/>
      <c r="G120" s="2418"/>
      <c r="H120" s="2418"/>
      <c r="I120" s="2418"/>
      <c r="J120" s="2414"/>
      <c r="K120" s="2414"/>
      <c r="L120" s="2414"/>
      <c r="M120" s="2414"/>
      <c r="N120" s="2420"/>
      <c r="O120" s="2405">
        <f t="shared" si="11"/>
        <v>0</v>
      </c>
    </row>
    <row r="121" spans="1:15" ht="12" customHeight="1">
      <c r="A121" s="4018"/>
      <c r="B121" s="4007"/>
      <c r="C121" s="2413"/>
      <c r="D121" s="2413"/>
      <c r="E121" s="2413"/>
      <c r="F121" s="2419"/>
      <c r="G121" s="2413">
        <f>+$B120/3</f>
        <v>8241036.666666667</v>
      </c>
      <c r="H121" s="2413">
        <f t="shared" ref="H121:I121" si="13">+$B120/3</f>
        <v>8241036.666666667</v>
      </c>
      <c r="I121" s="2413">
        <f t="shared" si="13"/>
        <v>8241036.666666667</v>
      </c>
      <c r="J121" s="2414"/>
      <c r="K121" s="2414"/>
      <c r="L121" s="2414"/>
      <c r="M121" s="2414"/>
      <c r="N121" s="2420"/>
      <c r="O121" s="2405">
        <f t="shared" si="11"/>
        <v>24723110</v>
      </c>
    </row>
    <row r="122" spans="1:15" ht="12" customHeight="1">
      <c r="A122" s="4018" t="s">
        <v>6183</v>
      </c>
      <c r="B122" s="4007">
        <f>+CONSOLIDADO!F422</f>
        <v>25524375</v>
      </c>
      <c r="C122" s="2413"/>
      <c r="D122" s="2413"/>
      <c r="E122" s="2413"/>
      <c r="F122" s="2419"/>
      <c r="G122" s="2418"/>
      <c r="H122" s="2418"/>
      <c r="I122" s="1846"/>
      <c r="J122" s="1846"/>
      <c r="K122" s="2414"/>
      <c r="L122" s="2414"/>
      <c r="M122" s="2414"/>
      <c r="N122" s="2420"/>
      <c r="O122" s="2405">
        <f t="shared" si="11"/>
        <v>0</v>
      </c>
    </row>
    <row r="123" spans="1:15" ht="12" customHeight="1">
      <c r="A123" s="4018"/>
      <c r="B123" s="4007"/>
      <c r="C123" s="2413"/>
      <c r="D123" s="2413"/>
      <c r="E123" s="2413"/>
      <c r="F123" s="2419"/>
      <c r="G123" s="2413">
        <f>+$B122/2</f>
        <v>12762187.5</v>
      </c>
      <c r="H123" s="2413">
        <f>+$B122/2</f>
        <v>12762187.5</v>
      </c>
      <c r="I123" s="2414"/>
      <c r="J123" s="2414"/>
      <c r="K123" s="2414"/>
      <c r="L123" s="2414"/>
      <c r="M123" s="2414"/>
      <c r="N123" s="2420"/>
      <c r="O123" s="2405">
        <f t="shared" si="11"/>
        <v>25524375</v>
      </c>
    </row>
    <row r="124" spans="1:15" ht="12" customHeight="1">
      <c r="A124" s="4018" t="s">
        <v>6203</v>
      </c>
      <c r="B124" s="4007">
        <f>+CONSOLIDADO!F429</f>
        <v>520938851</v>
      </c>
      <c r="C124" s="2413"/>
      <c r="D124" s="2413"/>
      <c r="E124" s="2413"/>
      <c r="F124" s="2419"/>
      <c r="G124" s="2414"/>
      <c r="H124" s="2418"/>
      <c r="I124" s="2418"/>
      <c r="J124" s="2418"/>
      <c r="K124" s="2418"/>
      <c r="L124" s="2414"/>
      <c r="M124" s="2414"/>
      <c r="N124" s="2420"/>
      <c r="O124" s="2405">
        <f t="shared" si="11"/>
        <v>0</v>
      </c>
    </row>
    <row r="125" spans="1:15" ht="12" customHeight="1">
      <c r="A125" s="4018"/>
      <c r="B125" s="4007"/>
      <c r="C125" s="2413"/>
      <c r="D125" s="2413"/>
      <c r="E125" s="2413"/>
      <c r="F125" s="2419"/>
      <c r="G125" s="2413"/>
      <c r="H125" s="2413">
        <f>+$B124/4</f>
        <v>130234712.75</v>
      </c>
      <c r="I125" s="2413">
        <f t="shared" ref="I125" si="14">+$B124/4</f>
        <v>130234712.75</v>
      </c>
      <c r="J125" s="2413">
        <f t="shared" ref="J125" si="15">+$B124/4</f>
        <v>130234712.75</v>
      </c>
      <c r="K125" s="2413">
        <f t="shared" ref="K125" si="16">+$B124/4</f>
        <v>130234712.75</v>
      </c>
      <c r="L125" s="2414"/>
      <c r="M125" s="2414"/>
      <c r="N125" s="2421"/>
      <c r="O125" s="2405">
        <f>ROUND(+SUM(C125:N125),0)</f>
        <v>520938851</v>
      </c>
    </row>
    <row r="126" spans="1:15" ht="12" customHeight="1">
      <c r="A126" s="4030" t="s">
        <v>6185</v>
      </c>
      <c r="B126" s="4007">
        <f>+CONSOLIDADO!F438</f>
        <v>197103050</v>
      </c>
      <c r="C126" s="2413"/>
      <c r="D126" s="2413"/>
      <c r="E126" s="2413"/>
      <c r="F126" s="2419"/>
      <c r="G126" s="2414"/>
      <c r="H126" s="2414"/>
      <c r="I126" s="2418"/>
      <c r="J126" s="2418"/>
      <c r="K126" s="2418"/>
      <c r="L126" s="2414"/>
      <c r="M126" s="2414"/>
      <c r="N126" s="2420"/>
      <c r="O126" s="2405">
        <f t="shared" si="11"/>
        <v>0</v>
      </c>
    </row>
    <row r="127" spans="1:15" ht="12" customHeight="1">
      <c r="A127" s="4030"/>
      <c r="B127" s="4007"/>
      <c r="C127" s="2413"/>
      <c r="D127" s="2413"/>
      <c r="E127" s="2413"/>
      <c r="F127" s="2419"/>
      <c r="G127" s="2414"/>
      <c r="H127" s="2414"/>
      <c r="I127" s="2413">
        <f>+$B126/3</f>
        <v>65701016.666666664</v>
      </c>
      <c r="J127" s="2413">
        <f t="shared" ref="J127" si="17">+$B126/3</f>
        <v>65701016.666666664</v>
      </c>
      <c r="K127" s="2413">
        <f t="shared" ref="K127" si="18">+$B126/3</f>
        <v>65701016.666666664</v>
      </c>
      <c r="L127" s="2414"/>
      <c r="M127" s="2414"/>
      <c r="N127" s="2421"/>
      <c r="O127" s="2405">
        <f t="shared" si="11"/>
        <v>197103050</v>
      </c>
    </row>
    <row r="128" spans="1:15" ht="12" customHeight="1">
      <c r="A128" s="4030" t="s">
        <v>1513</v>
      </c>
      <c r="B128" s="4007">
        <f>+CONSOLIDADO!F446</f>
        <v>240774300</v>
      </c>
      <c r="C128" s="2413"/>
      <c r="D128" s="2413"/>
      <c r="E128" s="2413"/>
      <c r="F128" s="2419"/>
      <c r="G128" s="2414"/>
      <c r="H128" s="2414"/>
      <c r="I128" s="2413"/>
      <c r="J128" s="2413"/>
      <c r="K128" s="2418"/>
      <c r="L128" s="2418"/>
      <c r="M128" s="2418"/>
      <c r="N128" s="2418"/>
    </row>
    <row r="129" spans="1:15" ht="12" customHeight="1">
      <c r="A129" s="4030"/>
      <c r="B129" s="4007"/>
      <c r="C129" s="2413"/>
      <c r="D129" s="2413"/>
      <c r="E129" s="2413"/>
      <c r="F129" s="2419"/>
      <c r="G129" s="2414"/>
      <c r="H129" s="2414"/>
      <c r="I129" s="2413"/>
      <c r="J129" s="2413"/>
      <c r="K129" s="2413">
        <f>+$B128/4</f>
        <v>60193575</v>
      </c>
      <c r="L129" s="2413">
        <f t="shared" ref="L129:N129" si="19">+$B128/4</f>
        <v>60193575</v>
      </c>
      <c r="M129" s="2413">
        <f t="shared" si="19"/>
        <v>60193575</v>
      </c>
      <c r="N129" s="2413">
        <f t="shared" si="19"/>
        <v>60193575</v>
      </c>
    </row>
    <row r="130" spans="1:15" ht="12" customHeight="1">
      <c r="A130" s="4018" t="s">
        <v>6204</v>
      </c>
      <c r="B130" s="4007" t="e">
        <f>+CONSOLIDADO!F448</f>
        <v>#REF!</v>
      </c>
      <c r="C130" s="2413"/>
      <c r="D130" s="2413"/>
      <c r="E130" s="2413"/>
      <c r="F130" s="2419"/>
      <c r="G130" s="2414"/>
      <c r="H130" s="2418"/>
      <c r="I130" s="2418"/>
      <c r="J130" s="2418"/>
      <c r="K130" s="2418"/>
      <c r="L130" s="2414"/>
      <c r="M130" s="2414"/>
      <c r="N130" s="2420"/>
      <c r="O130" s="2405">
        <f t="shared" si="11"/>
        <v>0</v>
      </c>
    </row>
    <row r="131" spans="1:15" ht="12" customHeight="1">
      <c r="A131" s="4018"/>
      <c r="B131" s="4007"/>
      <c r="C131" s="2413"/>
      <c r="D131" s="2413"/>
      <c r="E131" s="2413"/>
      <c r="F131" s="2419"/>
      <c r="G131" s="2414"/>
      <c r="H131" s="2413" t="e">
        <f>+$B130/4</f>
        <v>#REF!</v>
      </c>
      <c r="I131" s="2413" t="e">
        <f t="shared" ref="I131" si="20">+$B130/4</f>
        <v>#REF!</v>
      </c>
      <c r="J131" s="2413" t="e">
        <f t="shared" ref="J131" si="21">+$B130/4</f>
        <v>#REF!</v>
      </c>
      <c r="K131" s="2413" t="e">
        <f t="shared" ref="K131" si="22">+$B130/4</f>
        <v>#REF!</v>
      </c>
      <c r="L131" s="2414"/>
      <c r="M131" s="2414"/>
      <c r="N131" s="2421"/>
      <c r="O131" s="2405" t="e">
        <f t="shared" si="11"/>
        <v>#REF!</v>
      </c>
    </row>
    <row r="132" spans="1:15" ht="34.5" customHeight="1">
      <c r="A132" s="1838" t="s">
        <v>4314</v>
      </c>
      <c r="B132" s="2292">
        <f>+SUM(B133:B160)</f>
        <v>591791109</v>
      </c>
      <c r="C132" s="1845"/>
      <c r="D132" s="1845"/>
      <c r="E132" s="1845"/>
      <c r="F132" s="1845"/>
      <c r="G132" s="1845"/>
      <c r="H132" s="1845"/>
      <c r="I132" s="1845"/>
      <c r="J132" s="1845"/>
      <c r="K132" s="1845"/>
      <c r="L132" s="1845"/>
      <c r="M132" s="1845"/>
      <c r="N132" s="1839"/>
      <c r="O132" s="2405">
        <f t="shared" si="11"/>
        <v>0</v>
      </c>
    </row>
    <row r="133" spans="1:15" ht="15.75" customHeight="1">
      <c r="A133" s="4018" t="s">
        <v>1372</v>
      </c>
      <c r="B133" s="4020">
        <f>+CONSOLIDADO!F466</f>
        <v>4031477</v>
      </c>
      <c r="C133" s="2414"/>
      <c r="D133" s="2414"/>
      <c r="E133" s="2418"/>
      <c r="F133" s="2418"/>
      <c r="G133" s="2414"/>
      <c r="H133" s="2414"/>
      <c r="I133" s="2414"/>
      <c r="J133" s="2414"/>
      <c r="K133" s="2413"/>
      <c r="L133" s="2413"/>
      <c r="M133" s="2413"/>
      <c r="N133" s="2416"/>
      <c r="O133" s="2405">
        <f t="shared" si="11"/>
        <v>0</v>
      </c>
    </row>
    <row r="134" spans="1:15" ht="15.75" customHeight="1">
      <c r="A134" s="4018"/>
      <c r="B134" s="4020"/>
      <c r="C134" s="2414"/>
      <c r="D134" s="2414"/>
      <c r="E134" s="2413">
        <f>+$B133/2</f>
        <v>2015738.5</v>
      </c>
      <c r="F134" s="2413">
        <f>+$B133/2</f>
        <v>2015738.5</v>
      </c>
      <c r="G134" s="2414"/>
      <c r="H134" s="2414"/>
      <c r="I134" s="2414"/>
      <c r="J134" s="2414"/>
      <c r="K134" s="2413"/>
      <c r="L134" s="2413"/>
      <c r="M134" s="2413"/>
      <c r="N134" s="2416"/>
      <c r="O134" s="2405">
        <f t="shared" si="11"/>
        <v>4031477</v>
      </c>
    </row>
    <row r="135" spans="1:15" ht="15.75" customHeight="1">
      <c r="A135" s="4018" t="s">
        <v>1379</v>
      </c>
      <c r="B135" s="4020">
        <f>+CONSOLIDADO!F472</f>
        <v>40703892</v>
      </c>
      <c r="C135" s="2414"/>
      <c r="D135" s="2414"/>
      <c r="E135" s="2418"/>
      <c r="F135" s="2418"/>
      <c r="G135" s="2418"/>
      <c r="H135" s="2414"/>
      <c r="I135" s="2414"/>
      <c r="J135" s="2414"/>
      <c r="K135" s="2413"/>
      <c r="L135" s="2413"/>
      <c r="M135" s="2413"/>
      <c r="N135" s="2416"/>
      <c r="O135" s="2405">
        <f t="shared" si="11"/>
        <v>0</v>
      </c>
    </row>
    <row r="136" spans="1:15" ht="15.75" customHeight="1">
      <c r="A136" s="4018"/>
      <c r="B136" s="4020"/>
      <c r="C136" s="2414"/>
      <c r="D136" s="2414"/>
      <c r="E136" s="2413">
        <f>+$B135/3</f>
        <v>13567964</v>
      </c>
      <c r="F136" s="2413">
        <f>+$B135/3</f>
        <v>13567964</v>
      </c>
      <c r="G136" s="2413">
        <f>+$B135/3</f>
        <v>13567964</v>
      </c>
      <c r="H136" s="2414"/>
      <c r="I136" s="2414"/>
      <c r="J136" s="2414"/>
      <c r="K136" s="2413"/>
      <c r="L136" s="2413"/>
      <c r="M136" s="2413"/>
      <c r="N136" s="2416"/>
      <c r="O136" s="2405">
        <f t="shared" si="11"/>
        <v>40703892</v>
      </c>
    </row>
    <row r="137" spans="1:15" ht="15.75" customHeight="1">
      <c r="A137" s="4018" t="s">
        <v>1450</v>
      </c>
      <c r="B137" s="4020">
        <f>+CONSOLIDADO!F476</f>
        <v>9489050</v>
      </c>
      <c r="C137" s="2414"/>
      <c r="D137" s="2414"/>
      <c r="E137" s="2418"/>
      <c r="F137" s="2418"/>
      <c r="G137" s="2418"/>
      <c r="H137" s="2414"/>
      <c r="I137" s="2414"/>
      <c r="J137" s="2414"/>
      <c r="K137" s="2413"/>
      <c r="L137" s="2413"/>
      <c r="M137" s="2413"/>
      <c r="N137" s="2416"/>
      <c r="O137" s="2405">
        <f t="shared" ref="O137:O176" si="23">+SUM(C137:N137)</f>
        <v>0</v>
      </c>
    </row>
    <row r="138" spans="1:15" ht="15.75" customHeight="1">
      <c r="A138" s="4018"/>
      <c r="B138" s="4020"/>
      <c r="C138" s="2414"/>
      <c r="D138" s="2414"/>
      <c r="E138" s="2413">
        <f>+$B137/3</f>
        <v>3163016.6666666665</v>
      </c>
      <c r="F138" s="2413">
        <f t="shared" ref="F138:G138" si="24">+$B137/3</f>
        <v>3163016.6666666665</v>
      </c>
      <c r="G138" s="2413">
        <f t="shared" si="24"/>
        <v>3163016.6666666665</v>
      </c>
      <c r="H138" s="2414"/>
      <c r="I138" s="2414"/>
      <c r="J138" s="2414"/>
      <c r="K138" s="2413"/>
      <c r="L138" s="2413"/>
      <c r="M138" s="2413"/>
      <c r="N138" s="2416"/>
      <c r="O138" s="2405">
        <f t="shared" si="23"/>
        <v>9489050</v>
      </c>
    </row>
    <row r="139" spans="1:15" ht="15.75" customHeight="1">
      <c r="A139" s="4018" t="s">
        <v>1453</v>
      </c>
      <c r="B139" s="4020">
        <f>+CONSOLIDADO!F479</f>
        <v>12126528</v>
      </c>
      <c r="C139" s="2414"/>
      <c r="D139" s="2414"/>
      <c r="E139" s="2414"/>
      <c r="F139" s="2414"/>
      <c r="G139" s="2418"/>
      <c r="H139" s="2418"/>
      <c r="I139" s="2414"/>
      <c r="J139" s="2414"/>
      <c r="K139" s="2413"/>
      <c r="L139" s="2413"/>
      <c r="M139" s="2413"/>
      <c r="N139" s="2416"/>
      <c r="O139" s="2405">
        <f t="shared" si="23"/>
        <v>0</v>
      </c>
    </row>
    <row r="140" spans="1:15" ht="15.75" customHeight="1">
      <c r="A140" s="4018"/>
      <c r="B140" s="4020"/>
      <c r="C140" s="2414"/>
      <c r="D140" s="2414"/>
      <c r="E140" s="2414"/>
      <c r="F140" s="2414"/>
      <c r="G140" s="2413">
        <f>+$B139/2</f>
        <v>6063264</v>
      </c>
      <c r="H140" s="2413">
        <f>+$B139/2</f>
        <v>6063264</v>
      </c>
      <c r="I140" s="2414"/>
      <c r="J140" s="2414"/>
      <c r="K140" s="2413"/>
      <c r="L140" s="2413"/>
      <c r="M140" s="2413"/>
      <c r="N140" s="2416"/>
      <c r="O140" s="2405">
        <f t="shared" si="23"/>
        <v>12126528</v>
      </c>
    </row>
    <row r="141" spans="1:15" ht="15.75" customHeight="1">
      <c r="A141" s="4018" t="s">
        <v>1456</v>
      </c>
      <c r="B141" s="4020">
        <f>+CONSOLIDADO!F483</f>
        <v>70333900</v>
      </c>
      <c r="C141" s="2414"/>
      <c r="D141" s="2414"/>
      <c r="E141" s="2418"/>
      <c r="F141" s="2418"/>
      <c r="G141" s="2418"/>
      <c r="H141" s="2414"/>
      <c r="I141" s="2414"/>
      <c r="J141" s="2414"/>
      <c r="K141" s="2413"/>
      <c r="L141" s="2413"/>
      <c r="M141" s="2413"/>
      <c r="N141" s="2416"/>
      <c r="O141" s="2405">
        <f t="shared" si="23"/>
        <v>0</v>
      </c>
    </row>
    <row r="142" spans="1:15" ht="15.75" customHeight="1">
      <c r="A142" s="4018"/>
      <c r="B142" s="4020"/>
      <c r="C142" s="2414"/>
      <c r="D142" s="2414"/>
      <c r="E142" s="2413">
        <f>+$B141/3</f>
        <v>23444633.333333332</v>
      </c>
      <c r="F142" s="2413">
        <f t="shared" ref="F142:G142" si="25">+$B141/3</f>
        <v>23444633.333333332</v>
      </c>
      <c r="G142" s="2413">
        <f t="shared" si="25"/>
        <v>23444633.333333332</v>
      </c>
      <c r="H142" s="2414"/>
      <c r="I142" s="2414"/>
      <c r="J142" s="2414"/>
      <c r="K142" s="2413"/>
      <c r="L142" s="2413"/>
      <c r="M142" s="2413"/>
      <c r="N142" s="2416"/>
      <c r="O142" s="2405">
        <f t="shared" si="23"/>
        <v>70333900</v>
      </c>
    </row>
    <row r="143" spans="1:15" ht="15.75" customHeight="1">
      <c r="A143" s="4018" t="s">
        <v>1393</v>
      </c>
      <c r="B143" s="4020">
        <f>+CONSOLIDADO!F485</f>
        <v>300381057</v>
      </c>
      <c r="C143" s="2414"/>
      <c r="D143" s="2414"/>
      <c r="E143" s="2414"/>
      <c r="F143" s="2414"/>
      <c r="G143" s="2418"/>
      <c r="H143" s="2418"/>
      <c r="I143" s="2414"/>
      <c r="J143" s="2414"/>
      <c r="K143" s="2413"/>
      <c r="L143" s="2413"/>
      <c r="M143" s="2413"/>
      <c r="N143" s="2416"/>
      <c r="O143" s="2405">
        <f t="shared" si="23"/>
        <v>0</v>
      </c>
    </row>
    <row r="144" spans="1:15" ht="15.75" customHeight="1">
      <c r="A144" s="4018"/>
      <c r="B144" s="4020"/>
      <c r="C144" s="2414"/>
      <c r="D144" s="2414"/>
      <c r="E144" s="2414"/>
      <c r="G144" s="2413">
        <f>+$B143/2</f>
        <v>150190528.5</v>
      </c>
      <c r="H144" s="2413">
        <f>+$B143/2</f>
        <v>150190528.5</v>
      </c>
      <c r="I144" s="2414"/>
      <c r="J144" s="2414"/>
      <c r="K144" s="2413"/>
      <c r="L144" s="2413"/>
      <c r="M144" s="2413"/>
      <c r="N144" s="2416"/>
      <c r="O144" s="2405">
        <f>+ROUND(SUM(C144:N144),0)</f>
        <v>300381057</v>
      </c>
    </row>
    <row r="145" spans="1:16" ht="15.75" customHeight="1">
      <c r="A145" s="4018" t="s">
        <v>1382</v>
      </c>
      <c r="B145" s="4020">
        <f>+CONSOLIDADO!F493</f>
        <v>111694591</v>
      </c>
      <c r="C145" s="2414"/>
      <c r="D145" s="2414"/>
      <c r="E145" s="2414"/>
      <c r="F145" s="2414"/>
      <c r="G145" s="2418"/>
      <c r="H145" s="2418"/>
      <c r="I145" s="2414"/>
      <c r="J145" s="2414"/>
      <c r="K145" s="2413"/>
      <c r="L145" s="2413"/>
      <c r="M145" s="2413"/>
      <c r="N145" s="2416"/>
      <c r="O145" s="2405">
        <f t="shared" si="23"/>
        <v>0</v>
      </c>
    </row>
    <row r="146" spans="1:16" ht="15.75" customHeight="1">
      <c r="A146" s="4018"/>
      <c r="B146" s="4020"/>
      <c r="C146" s="2414"/>
      <c r="D146" s="2414"/>
      <c r="E146" s="2414"/>
      <c r="F146" s="2414"/>
      <c r="G146" s="2413">
        <f>+$B145/2</f>
        <v>55847295.5</v>
      </c>
      <c r="H146" s="2413">
        <f>+$B145/2</f>
        <v>55847295.5</v>
      </c>
      <c r="I146" s="2414"/>
      <c r="J146" s="2414"/>
      <c r="K146" s="2413"/>
      <c r="L146" s="2413"/>
      <c r="M146" s="2413"/>
      <c r="N146" s="2416"/>
      <c r="O146" s="2405">
        <f t="shared" si="23"/>
        <v>111694591</v>
      </c>
    </row>
    <row r="147" spans="1:16" ht="15.75" customHeight="1">
      <c r="A147" s="4018" t="s">
        <v>1465</v>
      </c>
      <c r="B147" s="4020">
        <f>+CONSOLIDADO!F495</f>
        <v>18551413</v>
      </c>
      <c r="C147" s="2414"/>
      <c r="D147" s="2414"/>
      <c r="E147" s="2414"/>
      <c r="F147" s="2414"/>
      <c r="G147" s="2418"/>
      <c r="H147" s="2418"/>
      <c r="I147" s="2414"/>
      <c r="J147" s="2414"/>
      <c r="K147" s="2413"/>
      <c r="L147" s="2413"/>
      <c r="M147" s="2413"/>
      <c r="N147" s="2416"/>
      <c r="O147" s="2405">
        <f t="shared" si="23"/>
        <v>0</v>
      </c>
    </row>
    <row r="148" spans="1:16" ht="15.75" customHeight="1">
      <c r="A148" s="4018"/>
      <c r="B148" s="4020"/>
      <c r="C148" s="2414"/>
      <c r="D148" s="2414"/>
      <c r="E148" s="2414"/>
      <c r="F148" s="2414"/>
      <c r="G148" s="2413">
        <f>+$B147/2</f>
        <v>9275706.5</v>
      </c>
      <c r="H148" s="2413">
        <f>+$B147/2</f>
        <v>9275706.5</v>
      </c>
      <c r="I148" s="2414"/>
      <c r="J148" s="2414"/>
      <c r="K148" s="2413"/>
      <c r="L148" s="2413"/>
      <c r="M148" s="2413"/>
      <c r="N148" s="2416"/>
      <c r="O148" s="2405">
        <f t="shared" si="23"/>
        <v>18551413</v>
      </c>
    </row>
    <row r="149" spans="1:16" ht="15.75" customHeight="1">
      <c r="A149" s="4018" t="s">
        <v>1467</v>
      </c>
      <c r="B149" s="4020">
        <f>+CONSOLIDADO!F497</f>
        <v>19945908</v>
      </c>
      <c r="C149" s="2414"/>
      <c r="D149" s="2414"/>
      <c r="E149" s="2414"/>
      <c r="F149" s="2414"/>
      <c r="G149" s="2414"/>
      <c r="H149" s="2418"/>
      <c r="I149" s="2414"/>
      <c r="J149" s="2414"/>
      <c r="K149" s="2413"/>
      <c r="L149" s="2413"/>
      <c r="M149" s="2413"/>
      <c r="N149" s="2416"/>
      <c r="O149" s="2405">
        <f t="shared" si="23"/>
        <v>0</v>
      </c>
    </row>
    <row r="150" spans="1:16" ht="15.75" customHeight="1">
      <c r="A150" s="4018"/>
      <c r="B150" s="4020"/>
      <c r="C150" s="2414"/>
      <c r="D150" s="2414"/>
      <c r="E150" s="2414"/>
      <c r="F150" s="2414"/>
      <c r="G150" s="2414"/>
      <c r="H150" s="2413">
        <f>+$B149/1</f>
        <v>19945908</v>
      </c>
      <c r="I150" s="2414"/>
      <c r="J150" s="2414"/>
      <c r="K150" s="2413"/>
      <c r="L150" s="2413"/>
      <c r="M150" s="2413"/>
      <c r="N150" s="2416"/>
      <c r="O150" s="2405">
        <f t="shared" si="23"/>
        <v>19945908</v>
      </c>
    </row>
    <row r="151" spans="1:16" ht="15.75" customHeight="1">
      <c r="A151" s="4018" t="s">
        <v>1469</v>
      </c>
      <c r="B151" s="4020">
        <f>+CONSOLIDADO!F499</f>
        <v>2438618</v>
      </c>
      <c r="C151" s="2414"/>
      <c r="D151" s="2414"/>
      <c r="E151" s="2414"/>
      <c r="F151" s="2414"/>
      <c r="G151" s="2414"/>
      <c r="H151" s="2418"/>
      <c r="I151" s="2414"/>
      <c r="J151" s="2414"/>
      <c r="K151" s="2413"/>
      <c r="L151" s="2413"/>
      <c r="M151" s="2413"/>
      <c r="N151" s="2416"/>
      <c r="O151" s="2405">
        <f t="shared" si="23"/>
        <v>0</v>
      </c>
    </row>
    <row r="152" spans="1:16" ht="15.75" customHeight="1">
      <c r="A152" s="4018"/>
      <c r="B152" s="4020"/>
      <c r="C152" s="2414"/>
      <c r="D152" s="2414"/>
      <c r="E152" s="2414"/>
      <c r="F152" s="2414"/>
      <c r="G152" s="2414"/>
      <c r="H152" s="2413">
        <f>+$B151/1</f>
        <v>2438618</v>
      </c>
      <c r="I152" s="2414"/>
      <c r="J152" s="2414"/>
      <c r="K152" s="2413"/>
      <c r="L152" s="2413"/>
      <c r="M152" s="2413"/>
      <c r="N152" s="2416"/>
      <c r="O152" s="2405">
        <f t="shared" si="23"/>
        <v>2438618</v>
      </c>
    </row>
    <row r="153" spans="1:16" ht="15" customHeight="1">
      <c r="A153" s="4026" t="s">
        <v>6205</v>
      </c>
      <c r="B153" s="4027"/>
      <c r="C153" s="2414"/>
      <c r="D153" s="2414"/>
      <c r="E153" s="2414"/>
      <c r="F153" s="2414"/>
      <c r="G153" s="2414"/>
      <c r="H153" s="2414"/>
      <c r="I153" s="2414"/>
      <c r="J153" s="2414"/>
      <c r="K153" s="2413"/>
      <c r="L153" s="2413"/>
      <c r="M153" s="2413"/>
      <c r="N153" s="2416"/>
      <c r="O153" s="2405">
        <f t="shared" si="23"/>
        <v>0</v>
      </c>
    </row>
    <row r="154" spans="1:16" ht="15" customHeight="1">
      <c r="A154" s="4028"/>
      <c r="B154" s="4029"/>
      <c r="C154" s="2414"/>
      <c r="D154" s="2414"/>
      <c r="E154" s="2414"/>
      <c r="F154" s="2414"/>
      <c r="G154" s="2414"/>
      <c r="H154" s="2414"/>
      <c r="I154" s="2414"/>
      <c r="J154" s="2414"/>
      <c r="K154" s="2413"/>
      <c r="L154" s="2413"/>
      <c r="M154" s="2413"/>
      <c r="N154" s="2416"/>
      <c r="O154" s="2405">
        <f t="shared" si="23"/>
        <v>0</v>
      </c>
    </row>
    <row r="155" spans="1:16">
      <c r="A155" s="4018" t="s">
        <v>4326</v>
      </c>
      <c r="B155" s="4020">
        <f>+CONSOLIDADO!F502</f>
        <v>344610</v>
      </c>
      <c r="C155" s="2414"/>
      <c r="D155" s="2414"/>
      <c r="E155" s="2414"/>
      <c r="F155" s="2414"/>
      <c r="G155" s="2414"/>
      <c r="H155" s="2418"/>
      <c r="I155" s="2414"/>
      <c r="J155" s="2414"/>
      <c r="K155" s="2413"/>
      <c r="L155" s="2413"/>
      <c r="M155" s="2413"/>
      <c r="N155" s="2416"/>
      <c r="O155" s="2405">
        <f t="shared" si="23"/>
        <v>0</v>
      </c>
    </row>
    <row r="156" spans="1:16">
      <c r="A156" s="4018"/>
      <c r="B156" s="4020"/>
      <c r="C156" s="2414"/>
      <c r="D156" s="2414"/>
      <c r="E156" s="2414"/>
      <c r="F156" s="2414"/>
      <c r="G156" s="2414"/>
      <c r="H156" s="2413">
        <f>+$B155/1</f>
        <v>344610</v>
      </c>
      <c r="I156" s="2414"/>
      <c r="J156" s="2414"/>
      <c r="K156" s="2413"/>
      <c r="L156" s="2413"/>
      <c r="M156" s="2413"/>
      <c r="N156" s="2416"/>
      <c r="O156" s="2405">
        <f t="shared" si="23"/>
        <v>344610</v>
      </c>
    </row>
    <row r="157" spans="1:16" ht="25.5" customHeight="1">
      <c r="A157" s="4018" t="s">
        <v>6206</v>
      </c>
      <c r="B157" s="4020">
        <f>+CONSOLIDADO!F504</f>
        <v>708558</v>
      </c>
      <c r="C157" s="2414"/>
      <c r="D157" s="2414"/>
      <c r="E157" s="2414"/>
      <c r="F157" s="2414"/>
      <c r="G157" s="2414"/>
      <c r="H157" s="2418"/>
      <c r="I157" s="2418"/>
      <c r="J157" s="2414"/>
      <c r="K157" s="2413"/>
      <c r="L157" s="2413"/>
      <c r="M157" s="2413"/>
      <c r="N157" s="2416"/>
      <c r="O157" s="2405">
        <f t="shared" si="23"/>
        <v>0</v>
      </c>
    </row>
    <row r="158" spans="1:16">
      <c r="A158" s="4018"/>
      <c r="B158" s="4020"/>
      <c r="C158" s="2414"/>
      <c r="D158" s="2414"/>
      <c r="E158" s="2414"/>
      <c r="F158" s="2414"/>
      <c r="G158" s="2414"/>
      <c r="H158" s="2413">
        <f>+$B157/2</f>
        <v>354279</v>
      </c>
      <c r="I158" s="2413">
        <f>+$B157/2</f>
        <v>354279</v>
      </c>
      <c r="J158" s="2414"/>
      <c r="K158" s="2413"/>
      <c r="L158" s="2413"/>
      <c r="M158" s="2413"/>
      <c r="N158" s="2416"/>
      <c r="O158" s="2405">
        <f t="shared" si="23"/>
        <v>708558</v>
      </c>
    </row>
    <row r="159" spans="1:16">
      <c r="A159" s="4018" t="s">
        <v>1513</v>
      </c>
      <c r="B159" s="4020">
        <f>+CONSOLIDADO!F507</f>
        <v>1041507</v>
      </c>
      <c r="C159" s="2414"/>
      <c r="D159" s="2414"/>
      <c r="E159" s="2414"/>
      <c r="F159" s="2414"/>
      <c r="G159" s="2414"/>
      <c r="H159" s="2418"/>
      <c r="I159" s="2418"/>
      <c r="J159" s="2414"/>
      <c r="K159" s="2413"/>
      <c r="L159" s="2413"/>
      <c r="M159" s="2413"/>
      <c r="N159" s="2416"/>
      <c r="O159" s="2405">
        <f t="shared" si="23"/>
        <v>0</v>
      </c>
    </row>
    <row r="160" spans="1:16">
      <c r="A160" s="4018"/>
      <c r="B160" s="4020"/>
      <c r="C160" s="2414"/>
      <c r="D160" s="2414"/>
      <c r="E160" s="2414"/>
      <c r="F160" s="2414"/>
      <c r="G160" s="2414"/>
      <c r="H160" s="2413">
        <f>+$B159/2</f>
        <v>520753.5</v>
      </c>
      <c r="I160" s="2413">
        <f>+$B159/2</f>
        <v>520753.5</v>
      </c>
      <c r="J160" s="2414"/>
      <c r="K160" s="2413"/>
      <c r="L160" s="2413"/>
      <c r="M160" s="2413"/>
      <c r="N160" s="2416"/>
      <c r="O160" s="2405">
        <f>+ROUND(SUM(C160:N160),0)</f>
        <v>1041507</v>
      </c>
      <c r="P160" s="2423"/>
    </row>
    <row r="161" spans="1:15" ht="36" customHeight="1">
      <c r="A161" s="1840" t="s">
        <v>5709</v>
      </c>
      <c r="B161" s="2292">
        <f>+SUM(B162:B163)</f>
        <v>20845315</v>
      </c>
      <c r="C161" s="1845"/>
      <c r="D161" s="1845"/>
      <c r="E161" s="1845"/>
      <c r="F161" s="1845"/>
      <c r="G161" s="1845"/>
      <c r="H161" s="1845"/>
      <c r="I161" s="1845"/>
      <c r="J161" s="1845"/>
      <c r="K161" s="1845"/>
      <c r="L161" s="1845"/>
      <c r="M161" s="1845"/>
      <c r="N161" s="1839"/>
      <c r="O161" s="2405">
        <f t="shared" ref="O161:O163" si="26">+SUM(C161:N161)</f>
        <v>0</v>
      </c>
    </row>
    <row r="162" spans="1:15" ht="15.75" customHeight="1">
      <c r="A162" s="4006" t="s">
        <v>1127</v>
      </c>
      <c r="B162" s="4007">
        <f>+CONSOLIDADO!F512</f>
        <v>20845315</v>
      </c>
      <c r="C162" s="2413"/>
      <c r="D162" s="2413"/>
      <c r="E162" s="1846"/>
      <c r="F162" s="2414"/>
      <c r="G162" s="2413"/>
      <c r="H162" s="2413"/>
      <c r="I162" s="2413"/>
      <c r="J162" s="2413"/>
      <c r="K162" s="2413"/>
      <c r="L162" s="2418"/>
      <c r="M162" s="2413"/>
      <c r="N162" s="2416"/>
      <c r="O162" s="2405">
        <f t="shared" si="26"/>
        <v>0</v>
      </c>
    </row>
    <row r="163" spans="1:15" ht="15.75" customHeight="1">
      <c r="A163" s="4006"/>
      <c r="B163" s="4007"/>
      <c r="C163" s="2413"/>
      <c r="D163" s="2413"/>
      <c r="E163" s="2414"/>
      <c r="F163" s="2414"/>
      <c r="G163" s="2413"/>
      <c r="H163" s="2413"/>
      <c r="I163" s="2413"/>
      <c r="J163" s="2413"/>
      <c r="K163" s="2413"/>
      <c r="L163" s="2413">
        <f>+$B162/1</f>
        <v>20845315</v>
      </c>
      <c r="M163" s="2413"/>
      <c r="N163" s="2416"/>
      <c r="O163" s="2405">
        <f t="shared" si="26"/>
        <v>20845315</v>
      </c>
    </row>
    <row r="164" spans="1:15" ht="53.25" customHeight="1">
      <c r="A164" s="1840" t="s">
        <v>4256</v>
      </c>
      <c r="B164" s="2292">
        <f>+SUM(B165:B176)</f>
        <v>935364455</v>
      </c>
      <c r="C164" s="1845"/>
      <c r="D164" s="1845"/>
      <c r="E164" s="1845"/>
      <c r="F164" s="1845"/>
      <c r="G164" s="1845"/>
      <c r="H164" s="1845"/>
      <c r="I164" s="1845"/>
      <c r="J164" s="1845"/>
      <c r="K164" s="1845"/>
      <c r="L164" s="1845"/>
      <c r="M164" s="1845"/>
      <c r="N164" s="1839"/>
      <c r="O164" s="2405">
        <f t="shared" si="23"/>
        <v>0</v>
      </c>
    </row>
    <row r="165" spans="1:15" ht="15.75" customHeight="1">
      <c r="A165" s="4024" t="s">
        <v>6182</v>
      </c>
      <c r="B165" s="4007">
        <f>+CONSOLIDADO!F538</f>
        <v>17810182</v>
      </c>
      <c r="C165" s="2413"/>
      <c r="D165" s="2413"/>
      <c r="E165" s="2413"/>
      <c r="F165" s="2413"/>
      <c r="G165" s="2413"/>
      <c r="H165" s="2418"/>
      <c r="I165" s="2418"/>
      <c r="J165" s="2418"/>
      <c r="K165" s="2414"/>
      <c r="L165" s="2414"/>
      <c r="M165" s="2414"/>
      <c r="N165" s="2420"/>
      <c r="O165" s="2405">
        <f t="shared" si="23"/>
        <v>0</v>
      </c>
    </row>
    <row r="166" spans="1:15" ht="15.75" customHeight="1">
      <c r="A166" s="4024"/>
      <c r="B166" s="4007"/>
      <c r="C166" s="2413"/>
      <c r="D166" s="2413"/>
      <c r="E166" s="2413"/>
      <c r="F166" s="2413"/>
      <c r="G166" s="2413"/>
      <c r="H166" s="2413">
        <f>+$B165/3</f>
        <v>5936727.333333333</v>
      </c>
      <c r="I166" s="2413">
        <f t="shared" ref="I166:J166" si="27">+$B165/3</f>
        <v>5936727.333333333</v>
      </c>
      <c r="J166" s="2413">
        <f t="shared" si="27"/>
        <v>5936727.333333333</v>
      </c>
      <c r="K166" s="2414"/>
      <c r="L166" s="2414"/>
      <c r="M166" s="2414"/>
      <c r="N166" s="2420"/>
      <c r="O166" s="2405">
        <f t="shared" si="23"/>
        <v>17810182</v>
      </c>
    </row>
    <row r="167" spans="1:15" ht="15.75" customHeight="1">
      <c r="A167" s="4024" t="s">
        <v>6207</v>
      </c>
      <c r="B167" s="4007">
        <f>+CONSOLIDADO!F540</f>
        <v>12435278</v>
      </c>
      <c r="C167" s="2413"/>
      <c r="D167" s="2413"/>
      <c r="E167" s="2413"/>
      <c r="F167" s="2413"/>
      <c r="G167" s="2413"/>
      <c r="H167" s="2418"/>
      <c r="I167" s="2418"/>
      <c r="J167" s="1846"/>
      <c r="K167" s="1846"/>
      <c r="L167" s="2414"/>
      <c r="M167" s="2414"/>
      <c r="N167" s="2420"/>
      <c r="O167" s="2405">
        <f t="shared" si="23"/>
        <v>0</v>
      </c>
    </row>
    <row r="168" spans="1:15" ht="15.75" customHeight="1">
      <c r="A168" s="4024"/>
      <c r="B168" s="4007"/>
      <c r="C168" s="2413"/>
      <c r="D168" s="2413"/>
      <c r="E168" s="2413"/>
      <c r="F168" s="2413"/>
      <c r="G168" s="2413"/>
      <c r="H168" s="2413">
        <f>+$B167/2</f>
        <v>6217639</v>
      </c>
      <c r="I168" s="2413">
        <f>+$B167/2</f>
        <v>6217639</v>
      </c>
      <c r="J168" s="2414"/>
      <c r="K168" s="2414"/>
      <c r="L168" s="2414"/>
      <c r="M168" s="2414"/>
      <c r="N168" s="2420"/>
      <c r="O168" s="2405">
        <f t="shared" si="23"/>
        <v>12435278</v>
      </c>
    </row>
    <row r="169" spans="1:15" ht="15.75" customHeight="1">
      <c r="A169" s="4024" t="s">
        <v>6203</v>
      </c>
      <c r="B169" s="4007">
        <f>+CONSOLIDADO!F546</f>
        <v>434179792</v>
      </c>
      <c r="C169" s="2413"/>
      <c r="D169" s="2413"/>
      <c r="E169" s="2413"/>
      <c r="F169" s="2413"/>
      <c r="G169" s="2413"/>
      <c r="H169" s="2414"/>
      <c r="I169" s="2418"/>
      <c r="J169" s="2418"/>
      <c r="K169" s="2418"/>
      <c r="L169" s="2418"/>
      <c r="M169" s="2414"/>
      <c r="N169" s="2420"/>
      <c r="O169" s="2405">
        <f t="shared" si="23"/>
        <v>0</v>
      </c>
    </row>
    <row r="170" spans="1:15" ht="15.75" customHeight="1">
      <c r="A170" s="4024"/>
      <c r="B170" s="4007"/>
      <c r="C170" s="2413"/>
      <c r="D170" s="2413"/>
      <c r="E170" s="2413"/>
      <c r="F170" s="2413"/>
      <c r="G170" s="2413"/>
      <c r="H170" s="2413"/>
      <c r="I170" s="2413">
        <f>+$B169/4</f>
        <v>108544948</v>
      </c>
      <c r="J170" s="2413">
        <f t="shared" ref="J170" si="28">+$B169/4</f>
        <v>108544948</v>
      </c>
      <c r="K170" s="2413">
        <f t="shared" ref="K170" si="29">+$B169/4</f>
        <v>108544948</v>
      </c>
      <c r="L170" s="2413">
        <f t="shared" ref="L170" si="30">+$B169/4</f>
        <v>108544948</v>
      </c>
      <c r="M170" s="2414"/>
      <c r="N170" s="2421"/>
      <c r="O170" s="2405">
        <f>+ROUND(SUM(C170:N170),0)</f>
        <v>434179792</v>
      </c>
    </row>
    <row r="171" spans="1:15" ht="15.75" customHeight="1">
      <c r="A171" s="4025" t="s">
        <v>6185</v>
      </c>
      <c r="B171" s="4007">
        <f>+CONSOLIDADO!F554</f>
        <v>257705176</v>
      </c>
      <c r="C171" s="2413"/>
      <c r="D171" s="2413"/>
      <c r="E171" s="2413"/>
      <c r="F171" s="2413"/>
      <c r="G171" s="2413"/>
      <c r="H171" s="2414"/>
      <c r="I171" s="2414"/>
      <c r="J171" s="2418"/>
      <c r="K171" s="2418"/>
      <c r="L171" s="2418"/>
      <c r="M171" s="2414"/>
      <c r="N171" s="2420"/>
      <c r="O171" s="2405">
        <f t="shared" si="23"/>
        <v>0</v>
      </c>
    </row>
    <row r="172" spans="1:15" ht="15.75" customHeight="1">
      <c r="A172" s="4025"/>
      <c r="B172" s="4007"/>
      <c r="C172" s="2413"/>
      <c r="D172" s="2413"/>
      <c r="E172" s="2413"/>
      <c r="F172" s="2413"/>
      <c r="G172" s="2413"/>
      <c r="H172" s="2414"/>
      <c r="I172" s="2414"/>
      <c r="J172" s="2413">
        <f>+$B171/3</f>
        <v>85901725.333333328</v>
      </c>
      <c r="K172" s="2413">
        <f t="shared" ref="K172" si="31">+$B171/3</f>
        <v>85901725.333333328</v>
      </c>
      <c r="L172" s="2413">
        <f t="shared" ref="L172" si="32">+$B171/3</f>
        <v>85901725.333333328</v>
      </c>
      <c r="M172" s="2414"/>
      <c r="N172" s="2421"/>
      <c r="O172" s="2405">
        <f>+ROUND(SUM(C172:N172),0)</f>
        <v>257705176</v>
      </c>
    </row>
    <row r="173" spans="1:15" ht="15.75" customHeight="1">
      <c r="A173" s="4025" t="s">
        <v>1513</v>
      </c>
      <c r="B173" s="4007">
        <f>+CONSOLIDADO!F561</f>
        <v>129647700</v>
      </c>
      <c r="C173" s="2413"/>
      <c r="D173" s="2413"/>
      <c r="E173" s="2413"/>
      <c r="F173" s="2413"/>
      <c r="G173" s="2413"/>
      <c r="H173" s="2414"/>
      <c r="I173" s="2414"/>
      <c r="J173" s="2413"/>
      <c r="K173" s="2418"/>
      <c r="L173" s="2418"/>
      <c r="M173" s="2418"/>
      <c r="N173" s="2418"/>
    </row>
    <row r="174" spans="1:15" ht="15.75" customHeight="1">
      <c r="A174" s="4025"/>
      <c r="B174" s="4007"/>
      <c r="C174" s="2413"/>
      <c r="D174" s="2413"/>
      <c r="E174" s="2413"/>
      <c r="F174" s="2413"/>
      <c r="G174" s="2413"/>
      <c r="H174" s="2414"/>
      <c r="I174" s="2414"/>
      <c r="J174" s="2413"/>
      <c r="K174" s="2413">
        <f>+$B173/4</f>
        <v>32411925</v>
      </c>
      <c r="L174" s="2413">
        <f t="shared" ref="L174:N174" si="33">+$B173/4</f>
        <v>32411925</v>
      </c>
      <c r="M174" s="2413">
        <f t="shared" si="33"/>
        <v>32411925</v>
      </c>
      <c r="N174" s="2413">
        <f t="shared" si="33"/>
        <v>32411925</v>
      </c>
    </row>
    <row r="175" spans="1:15" ht="15.75" customHeight="1">
      <c r="A175" s="4024" t="s">
        <v>6208</v>
      </c>
      <c r="B175" s="4007">
        <f>++CONSOLIDADO!F563</f>
        <v>83586327</v>
      </c>
      <c r="C175" s="2413"/>
      <c r="D175" s="2413"/>
      <c r="E175" s="2413"/>
      <c r="F175" s="2413"/>
      <c r="G175" s="2413"/>
      <c r="H175" s="2414"/>
      <c r="I175" s="2418"/>
      <c r="J175" s="2418"/>
      <c r="K175" s="2418"/>
      <c r="L175" s="2418"/>
      <c r="M175" s="2414"/>
      <c r="N175" s="2420"/>
      <c r="O175" s="2405">
        <f t="shared" si="23"/>
        <v>0</v>
      </c>
    </row>
    <row r="176" spans="1:15" ht="15.75" customHeight="1">
      <c r="A176" s="4024"/>
      <c r="B176" s="4007"/>
      <c r="C176" s="2413"/>
      <c r="D176" s="2413"/>
      <c r="E176" s="2413"/>
      <c r="F176" s="2413"/>
      <c r="G176" s="2413"/>
      <c r="H176" s="2414"/>
      <c r="I176" s="2413">
        <f>+$B175/4</f>
        <v>20896581.75</v>
      </c>
      <c r="J176" s="2413">
        <f t="shared" ref="J176" si="34">+$B175/4</f>
        <v>20896581.75</v>
      </c>
      <c r="K176" s="2413">
        <f t="shared" ref="K176" si="35">+$B175/4</f>
        <v>20896581.75</v>
      </c>
      <c r="L176" s="2413">
        <f t="shared" ref="L176" si="36">+$B175/4</f>
        <v>20896581.75</v>
      </c>
      <c r="M176" s="2414"/>
      <c r="N176" s="2421"/>
      <c r="O176" s="2405">
        <f t="shared" si="23"/>
        <v>83586327</v>
      </c>
    </row>
    <row r="177" spans="1:15" ht="15.75" customHeight="1">
      <c r="A177" s="2886" t="s">
        <v>6209</v>
      </c>
      <c r="B177" s="2887" t="e">
        <f>B164+B161+B132+B119+B116+B85+B74+B49+B38+B35+B4</f>
        <v>#REF!</v>
      </c>
      <c r="C177" s="2413"/>
      <c r="D177" s="2413"/>
      <c r="E177" s="2413"/>
      <c r="F177" s="2413"/>
      <c r="G177" s="2413"/>
      <c r="H177" s="2413"/>
      <c r="I177" s="2413"/>
      <c r="J177" s="2414"/>
      <c r="K177" s="2414"/>
      <c r="L177" s="2414"/>
      <c r="M177" s="2414"/>
      <c r="N177" s="2421"/>
    </row>
    <row r="178" spans="1:15" ht="15.75" customHeight="1">
      <c r="A178" s="2888" t="s">
        <v>7921</v>
      </c>
      <c r="B178" s="2293">
        <f>+'RESUMEN 2'!H12</f>
        <v>1724083693</v>
      </c>
      <c r="C178" s="2424">
        <f>ROUND(+$B$178/12,2)</f>
        <v>143673641.08000001</v>
      </c>
      <c r="D178" s="2424">
        <f t="shared" ref="D178:N178" si="37">ROUND(+$B$178/12,2)</f>
        <v>143673641.08000001</v>
      </c>
      <c r="E178" s="2424">
        <f t="shared" si="37"/>
        <v>143673641.08000001</v>
      </c>
      <c r="F178" s="2424">
        <f t="shared" si="37"/>
        <v>143673641.08000001</v>
      </c>
      <c r="G178" s="2424">
        <f t="shared" si="37"/>
        <v>143673641.08000001</v>
      </c>
      <c r="H178" s="2424">
        <f t="shared" si="37"/>
        <v>143673641.08000001</v>
      </c>
      <c r="I178" s="2424">
        <f t="shared" si="37"/>
        <v>143673641.08000001</v>
      </c>
      <c r="J178" s="2424">
        <f t="shared" si="37"/>
        <v>143673641.08000001</v>
      </c>
      <c r="K178" s="2424">
        <f t="shared" si="37"/>
        <v>143673641.08000001</v>
      </c>
      <c r="L178" s="2424">
        <f t="shared" si="37"/>
        <v>143673641.08000001</v>
      </c>
      <c r="M178" s="2424">
        <f t="shared" si="37"/>
        <v>143673641.08000001</v>
      </c>
      <c r="N178" s="2424">
        <f t="shared" si="37"/>
        <v>143673641.08000001</v>
      </c>
      <c r="O178" s="2425">
        <f>+SUM(C178:N178)</f>
        <v>1724083692.9599998</v>
      </c>
    </row>
    <row r="179" spans="1:15" ht="15.75" customHeight="1">
      <c r="A179" s="2888" t="s">
        <v>7940</v>
      </c>
      <c r="B179" s="2293">
        <f>+'RESUMEN 2'!J12</f>
        <v>1220997510</v>
      </c>
      <c r="C179" s="2413">
        <f>ROUND(+$B$179/12,2)</f>
        <v>101749792.5</v>
      </c>
      <c r="D179" s="2413">
        <f t="shared" ref="D179:N179" si="38">ROUND(+$B$179/12,2)</f>
        <v>101749792.5</v>
      </c>
      <c r="E179" s="2413">
        <f t="shared" si="38"/>
        <v>101749792.5</v>
      </c>
      <c r="F179" s="2413">
        <f t="shared" si="38"/>
        <v>101749792.5</v>
      </c>
      <c r="G179" s="2413">
        <f t="shared" si="38"/>
        <v>101749792.5</v>
      </c>
      <c r="H179" s="2413">
        <f t="shared" si="38"/>
        <v>101749792.5</v>
      </c>
      <c r="I179" s="2413">
        <f t="shared" si="38"/>
        <v>101749792.5</v>
      </c>
      <c r="J179" s="2413">
        <f t="shared" si="38"/>
        <v>101749792.5</v>
      </c>
      <c r="K179" s="2413">
        <f t="shared" si="38"/>
        <v>101749792.5</v>
      </c>
      <c r="L179" s="2413">
        <f t="shared" si="38"/>
        <v>101749792.5</v>
      </c>
      <c r="M179" s="2413">
        <f t="shared" si="38"/>
        <v>101749792.5</v>
      </c>
      <c r="N179" s="2413">
        <f t="shared" si="38"/>
        <v>101749792.5</v>
      </c>
      <c r="O179" s="2405">
        <f>ROUND(+SUM(C179:N179),0)</f>
        <v>1220997510</v>
      </c>
    </row>
    <row r="180" spans="1:15" ht="15.75" customHeight="1">
      <c r="A180" s="2915" t="s">
        <v>8720</v>
      </c>
      <c r="B180" s="2916">
        <f>+'RESUMEN 2'!K12</f>
        <v>151083131</v>
      </c>
      <c r="C180" s="2413">
        <f>ROUND(+$B$180/12,2)</f>
        <v>12590260.92</v>
      </c>
      <c r="D180" s="2413">
        <f t="shared" ref="D180:N180" si="39">ROUND(+$B$180/12,2)</f>
        <v>12590260.92</v>
      </c>
      <c r="E180" s="2413">
        <f t="shared" si="39"/>
        <v>12590260.92</v>
      </c>
      <c r="F180" s="2413">
        <f t="shared" si="39"/>
        <v>12590260.92</v>
      </c>
      <c r="G180" s="2413">
        <f t="shared" si="39"/>
        <v>12590260.92</v>
      </c>
      <c r="H180" s="2413">
        <f t="shared" si="39"/>
        <v>12590260.92</v>
      </c>
      <c r="I180" s="2413">
        <f t="shared" si="39"/>
        <v>12590260.92</v>
      </c>
      <c r="J180" s="2413">
        <f t="shared" si="39"/>
        <v>12590260.92</v>
      </c>
      <c r="K180" s="2413">
        <f t="shared" si="39"/>
        <v>12590260.92</v>
      </c>
      <c r="L180" s="2413">
        <f t="shared" si="39"/>
        <v>12590260.92</v>
      </c>
      <c r="M180" s="2413">
        <f t="shared" si="39"/>
        <v>12590260.92</v>
      </c>
      <c r="N180" s="2413">
        <f t="shared" si="39"/>
        <v>12590260.92</v>
      </c>
      <c r="O180" s="2405">
        <f>ROUND(+SUM(C180:N180),0)</f>
        <v>151083131</v>
      </c>
    </row>
    <row r="181" spans="1:15" ht="15.75" customHeight="1">
      <c r="A181" s="1841" t="s">
        <v>4281</v>
      </c>
      <c r="B181" s="2293" t="e">
        <f>SUM(B177:B180)</f>
        <v>#REF!</v>
      </c>
      <c r="C181" s="2413"/>
      <c r="D181" s="2413"/>
      <c r="E181" s="2413"/>
      <c r="F181" s="2413"/>
      <c r="G181" s="2413"/>
      <c r="H181" s="2413"/>
      <c r="I181" s="2413"/>
      <c r="J181" s="2413"/>
      <c r="K181" s="2413"/>
      <c r="L181" s="2413"/>
      <c r="M181" s="2413"/>
      <c r="N181" s="2426"/>
    </row>
    <row r="182" spans="1:15" ht="32.25" customHeight="1" thickBot="1">
      <c r="A182" s="4022" t="s">
        <v>4193</v>
      </c>
      <c r="B182" s="4023"/>
      <c r="C182" s="1847"/>
      <c r="D182" s="1847"/>
      <c r="E182" s="1847"/>
      <c r="F182" s="1847"/>
      <c r="G182" s="1847"/>
      <c r="H182" s="2413"/>
      <c r="I182" s="2413"/>
      <c r="J182" s="2413"/>
      <c r="K182" s="2413"/>
      <c r="L182" s="2413"/>
      <c r="M182" s="2413"/>
      <c r="N182" s="2416"/>
    </row>
    <row r="183" spans="1:15" ht="37.5" customHeight="1">
      <c r="A183" s="1838" t="s">
        <v>5737</v>
      </c>
      <c r="B183" s="2289">
        <f>+SUM(B184:B215)</f>
        <v>665345385</v>
      </c>
      <c r="C183" s="1845"/>
      <c r="D183" s="1845"/>
      <c r="E183" s="1845"/>
      <c r="F183" s="1845"/>
      <c r="G183" s="1845"/>
      <c r="H183" s="1845"/>
      <c r="I183" s="1845"/>
      <c r="J183" s="1845"/>
      <c r="K183" s="1845"/>
      <c r="L183" s="1845"/>
      <c r="M183" s="1845"/>
      <c r="N183" s="1839"/>
    </row>
    <row r="184" spans="1:15" ht="15" customHeight="1">
      <c r="A184" s="4006" t="s">
        <v>6167</v>
      </c>
      <c r="B184" s="4007">
        <f>+CONSOLIDADO!F587</f>
        <v>1705350</v>
      </c>
      <c r="C184" s="2413"/>
      <c r="D184" s="2414"/>
      <c r="E184" s="1846"/>
      <c r="F184" s="2414"/>
      <c r="G184" s="2414"/>
      <c r="H184" s="2413"/>
      <c r="I184" s="2413"/>
      <c r="J184" s="2413"/>
      <c r="K184" s="2413"/>
      <c r="L184" s="2413"/>
      <c r="M184" s="2413"/>
      <c r="N184" s="2416"/>
    </row>
    <row r="185" spans="1:15" ht="15" customHeight="1">
      <c r="A185" s="4006"/>
      <c r="B185" s="4007"/>
      <c r="C185" s="2413"/>
      <c r="D185" s="2414"/>
      <c r="E185" s="2414"/>
      <c r="F185" s="2414"/>
      <c r="G185" s="2414"/>
      <c r="H185" s="2413"/>
      <c r="I185" s="2413"/>
      <c r="J185" s="2413"/>
      <c r="K185" s="2413">
        <f>+$B184/1</f>
        <v>1705350</v>
      </c>
      <c r="L185" s="2413"/>
      <c r="M185" s="2413"/>
      <c r="N185" s="2416"/>
      <c r="O185" s="2405">
        <f>+SUM(C185:N185)</f>
        <v>1705350</v>
      </c>
    </row>
    <row r="186" spans="1:15" ht="15" customHeight="1">
      <c r="A186" s="4006" t="s">
        <v>6168</v>
      </c>
      <c r="B186" s="4007">
        <f>+CONSOLIDADO!F590</f>
        <v>66131900</v>
      </c>
      <c r="C186" s="2413"/>
      <c r="D186" s="2414"/>
      <c r="E186" s="1846"/>
      <c r="F186" s="2414"/>
      <c r="G186" s="2414"/>
      <c r="H186" s="2413"/>
      <c r="I186" s="2413"/>
      <c r="J186" s="2413"/>
      <c r="K186" s="2415"/>
      <c r="L186" s="2413"/>
      <c r="M186" s="2413"/>
      <c r="N186" s="2416"/>
      <c r="O186" s="2405">
        <f t="shared" ref="O186:O235" si="40">+SUM(C186:N186)</f>
        <v>0</v>
      </c>
    </row>
    <row r="187" spans="1:15" ht="15" customHeight="1">
      <c r="A187" s="4006"/>
      <c r="B187" s="4007"/>
      <c r="C187" s="2413"/>
      <c r="D187" s="2414"/>
      <c r="E187" s="2414"/>
      <c r="F187" s="2414"/>
      <c r="G187" s="2414"/>
      <c r="H187" s="2413"/>
      <c r="I187" s="2413"/>
      <c r="J187" s="2413"/>
      <c r="K187" s="2413">
        <f>+$B186/1</f>
        <v>66131900</v>
      </c>
      <c r="L187" s="2413"/>
      <c r="M187" s="2413"/>
      <c r="N187" s="2416"/>
      <c r="O187" s="2405">
        <f t="shared" si="40"/>
        <v>66131900</v>
      </c>
    </row>
    <row r="188" spans="1:15" ht="15" customHeight="1">
      <c r="A188" s="4006" t="s">
        <v>6169</v>
      </c>
      <c r="B188" s="4007">
        <f>+CONSOLIDADO!F596</f>
        <v>1405005</v>
      </c>
      <c r="C188" s="2413"/>
      <c r="D188" s="2414"/>
      <c r="E188" s="1846"/>
      <c r="F188" s="2414"/>
      <c r="G188" s="2414"/>
      <c r="H188" s="2413"/>
      <c r="I188" s="2413"/>
      <c r="J188" s="2413"/>
      <c r="K188" s="2415"/>
      <c r="L188" s="2413"/>
      <c r="M188" s="2413"/>
      <c r="N188" s="2416"/>
      <c r="O188" s="2405">
        <f t="shared" si="40"/>
        <v>0</v>
      </c>
    </row>
    <row r="189" spans="1:15" ht="15" customHeight="1">
      <c r="A189" s="4006"/>
      <c r="B189" s="4007"/>
      <c r="C189" s="2413"/>
      <c r="D189" s="2414"/>
      <c r="E189" s="2414"/>
      <c r="F189" s="2414"/>
      <c r="G189" s="2414"/>
      <c r="H189" s="2413"/>
      <c r="I189" s="2413"/>
      <c r="J189" s="2413"/>
      <c r="K189" s="2413">
        <f>+$B188/1</f>
        <v>1405005</v>
      </c>
      <c r="L189" s="2413"/>
      <c r="M189" s="2413"/>
      <c r="N189" s="2416"/>
      <c r="O189" s="2405">
        <f t="shared" si="40"/>
        <v>1405005</v>
      </c>
    </row>
    <row r="190" spans="1:15" ht="15" customHeight="1">
      <c r="A190" s="4006" t="s">
        <v>6170</v>
      </c>
      <c r="B190" s="4007">
        <f>+CONSOLIDADO!F599</f>
        <v>4800000</v>
      </c>
      <c r="C190" s="2413"/>
      <c r="D190" s="2414"/>
      <c r="E190" s="1846"/>
      <c r="F190" s="2414"/>
      <c r="G190" s="2414"/>
      <c r="H190" s="2413"/>
      <c r="I190" s="2413"/>
      <c r="J190" s="2413"/>
      <c r="K190" s="2415"/>
      <c r="L190" s="2413"/>
      <c r="M190" s="2413"/>
      <c r="N190" s="2416"/>
      <c r="O190" s="2405">
        <f t="shared" si="40"/>
        <v>0</v>
      </c>
    </row>
    <row r="191" spans="1:15" ht="15" customHeight="1">
      <c r="A191" s="4006"/>
      <c r="B191" s="4007"/>
      <c r="C191" s="2413"/>
      <c r="D191" s="2414"/>
      <c r="E191" s="2414"/>
      <c r="F191" s="2414"/>
      <c r="G191" s="2414"/>
      <c r="H191" s="2413"/>
      <c r="I191" s="2413"/>
      <c r="J191" s="2413"/>
      <c r="K191" s="2413">
        <f>+$B190/1</f>
        <v>4800000</v>
      </c>
      <c r="L191" s="2413"/>
      <c r="M191" s="2413"/>
      <c r="N191" s="2416"/>
      <c r="O191" s="2405">
        <f t="shared" si="40"/>
        <v>4800000</v>
      </c>
    </row>
    <row r="192" spans="1:15" ht="15" customHeight="1">
      <c r="A192" s="4006" t="s">
        <v>6171</v>
      </c>
      <c r="B192" s="4007">
        <f>+CONSOLIDADO!F602</f>
        <v>10815000</v>
      </c>
      <c r="C192" s="2413"/>
      <c r="D192" s="2414"/>
      <c r="E192" s="1846"/>
      <c r="F192" s="2414"/>
      <c r="G192" s="2414"/>
      <c r="H192" s="2413"/>
      <c r="I192" s="2413"/>
      <c r="J192" s="2413"/>
      <c r="K192" s="2415"/>
      <c r="L192" s="2413"/>
      <c r="M192" s="2413"/>
      <c r="N192" s="2416"/>
      <c r="O192" s="2405">
        <f t="shared" si="40"/>
        <v>0</v>
      </c>
    </row>
    <row r="193" spans="1:15" ht="15" customHeight="1">
      <c r="A193" s="4006"/>
      <c r="B193" s="4007"/>
      <c r="C193" s="2413"/>
      <c r="D193" s="2414"/>
      <c r="E193" s="2414"/>
      <c r="F193" s="2414"/>
      <c r="G193" s="2414"/>
      <c r="H193" s="2413"/>
      <c r="I193" s="2413"/>
      <c r="J193" s="2413"/>
      <c r="K193" s="2413">
        <f>+$B192/1</f>
        <v>10815000</v>
      </c>
      <c r="L193" s="2413"/>
      <c r="M193" s="2413"/>
      <c r="N193" s="2416"/>
      <c r="O193" s="2405">
        <f t="shared" si="40"/>
        <v>10815000</v>
      </c>
    </row>
    <row r="194" spans="1:15" ht="15" customHeight="1">
      <c r="A194" s="4006" t="s">
        <v>6172</v>
      </c>
      <c r="B194" s="4007">
        <f>+CONSOLIDADO!F604</f>
        <v>33280000</v>
      </c>
      <c r="C194" s="2413"/>
      <c r="D194" s="2414"/>
      <c r="E194" s="1846"/>
      <c r="F194" s="2414"/>
      <c r="G194" s="2414"/>
      <c r="H194" s="2413"/>
      <c r="I194" s="2413"/>
      <c r="J194" s="2413"/>
      <c r="K194" s="2415"/>
      <c r="L194" s="2413"/>
      <c r="M194" s="2413"/>
      <c r="N194" s="2416"/>
      <c r="O194" s="2405">
        <f t="shared" si="40"/>
        <v>0</v>
      </c>
    </row>
    <row r="195" spans="1:15" ht="15" customHeight="1">
      <c r="A195" s="4006"/>
      <c r="B195" s="4007"/>
      <c r="C195" s="2413"/>
      <c r="D195" s="2414"/>
      <c r="E195" s="2414"/>
      <c r="F195" s="2414"/>
      <c r="G195" s="2414"/>
      <c r="H195" s="2413"/>
      <c r="I195" s="2413"/>
      <c r="J195" s="2413"/>
      <c r="K195" s="2413">
        <f>+$B194/1</f>
        <v>33280000</v>
      </c>
      <c r="L195" s="2413"/>
      <c r="M195" s="2413"/>
      <c r="N195" s="2416"/>
      <c r="O195" s="2405">
        <f t="shared" si="40"/>
        <v>33280000</v>
      </c>
    </row>
    <row r="196" spans="1:15" ht="15" customHeight="1">
      <c r="A196" s="4006" t="s">
        <v>6173</v>
      </c>
      <c r="B196" s="4007">
        <f>+CONSOLIDADO!F606</f>
        <v>17810000</v>
      </c>
      <c r="C196" s="2413"/>
      <c r="D196" s="2414"/>
      <c r="E196" s="1846"/>
      <c r="F196" s="2414"/>
      <c r="G196" s="2414"/>
      <c r="H196" s="2413"/>
      <c r="I196" s="2413"/>
      <c r="J196" s="2413"/>
      <c r="K196" s="2415"/>
      <c r="L196" s="2413"/>
      <c r="M196" s="2413"/>
      <c r="N196" s="2416"/>
      <c r="O196" s="2405">
        <f t="shared" si="40"/>
        <v>0</v>
      </c>
    </row>
    <row r="197" spans="1:15" ht="15" customHeight="1">
      <c r="A197" s="4006"/>
      <c r="B197" s="4007"/>
      <c r="C197" s="2413"/>
      <c r="D197" s="2414"/>
      <c r="E197" s="2414"/>
      <c r="F197" s="2414"/>
      <c r="G197" s="2414"/>
      <c r="H197" s="2413"/>
      <c r="I197" s="2413"/>
      <c r="J197" s="2413"/>
      <c r="K197" s="2413">
        <f>+$B196/1</f>
        <v>17810000</v>
      </c>
      <c r="L197" s="2413"/>
      <c r="M197" s="2413"/>
      <c r="N197" s="2416"/>
      <c r="O197" s="2405">
        <f t="shared" si="40"/>
        <v>17810000</v>
      </c>
    </row>
    <row r="198" spans="1:15" ht="15" customHeight="1">
      <c r="A198" s="4006" t="s">
        <v>6174</v>
      </c>
      <c r="B198" s="4007">
        <f>+CONSOLIDADO!F608</f>
        <v>11052000</v>
      </c>
      <c r="C198" s="2413"/>
      <c r="D198" s="2414"/>
      <c r="E198" s="1846"/>
      <c r="F198" s="2414"/>
      <c r="G198" s="2414"/>
      <c r="H198" s="2413"/>
      <c r="I198" s="2413"/>
      <c r="J198" s="2413"/>
      <c r="K198" s="2415"/>
      <c r="L198" s="2413"/>
      <c r="M198" s="2413"/>
      <c r="N198" s="2416"/>
      <c r="O198" s="2405">
        <f t="shared" si="40"/>
        <v>0</v>
      </c>
    </row>
    <row r="199" spans="1:15" ht="15" customHeight="1">
      <c r="A199" s="4006"/>
      <c r="B199" s="4007"/>
      <c r="C199" s="2413"/>
      <c r="D199" s="2414"/>
      <c r="E199" s="2414"/>
      <c r="F199" s="2414"/>
      <c r="G199" s="2414"/>
      <c r="H199" s="2413"/>
      <c r="I199" s="2413"/>
      <c r="J199" s="2413"/>
      <c r="K199" s="2413">
        <f>+$B198/1</f>
        <v>11052000</v>
      </c>
      <c r="L199" s="2413"/>
      <c r="M199" s="2413"/>
      <c r="N199" s="2416"/>
      <c r="O199" s="2405">
        <f t="shared" si="40"/>
        <v>11052000</v>
      </c>
    </row>
    <row r="200" spans="1:15" ht="15" customHeight="1">
      <c r="A200" s="4006" t="s">
        <v>6175</v>
      </c>
      <c r="B200" s="4007">
        <f>+CONSOLIDADO!F611</f>
        <v>195214714</v>
      </c>
      <c r="C200" s="2413"/>
      <c r="D200" s="2414"/>
      <c r="E200" s="1846"/>
      <c r="F200" s="2414"/>
      <c r="G200" s="2414"/>
      <c r="H200" s="2413"/>
      <c r="I200" s="2413"/>
      <c r="J200" s="2413"/>
      <c r="K200" s="2415"/>
      <c r="L200" s="2413"/>
      <c r="M200" s="2413"/>
      <c r="N200" s="2416"/>
      <c r="O200" s="2405">
        <f t="shared" si="40"/>
        <v>0</v>
      </c>
    </row>
    <row r="201" spans="1:15" ht="15" customHeight="1">
      <c r="A201" s="4006"/>
      <c r="B201" s="4007"/>
      <c r="C201" s="2413"/>
      <c r="D201" s="2414"/>
      <c r="E201" s="2414"/>
      <c r="F201" s="2414"/>
      <c r="G201" s="2414"/>
      <c r="H201" s="2413"/>
      <c r="I201" s="2413"/>
      <c r="J201" s="2413"/>
      <c r="K201" s="2413">
        <f>+$B200/1</f>
        <v>195214714</v>
      </c>
      <c r="L201" s="2413"/>
      <c r="M201" s="2413"/>
      <c r="N201" s="2416"/>
      <c r="O201" s="2405">
        <f t="shared" si="40"/>
        <v>195214714</v>
      </c>
    </row>
    <row r="202" spans="1:15" ht="15" customHeight="1">
      <c r="A202" s="4006" t="s">
        <v>6176</v>
      </c>
      <c r="B202" s="4007">
        <f>+CONSOLIDADO!F613</f>
        <v>135473000</v>
      </c>
      <c r="C202" s="2413"/>
      <c r="D202" s="2414"/>
      <c r="E202" s="1846"/>
      <c r="F202" s="2414"/>
      <c r="G202" s="2414"/>
      <c r="H202" s="2413"/>
      <c r="I202" s="2413"/>
      <c r="J202" s="2413"/>
      <c r="K202" s="2415"/>
      <c r="L202" s="2413"/>
      <c r="M202" s="2413"/>
      <c r="N202" s="2416"/>
      <c r="O202" s="2405">
        <f t="shared" si="40"/>
        <v>0</v>
      </c>
    </row>
    <row r="203" spans="1:15" ht="15" customHeight="1">
      <c r="A203" s="4006"/>
      <c r="B203" s="4007"/>
      <c r="C203" s="2413"/>
      <c r="D203" s="2414"/>
      <c r="E203" s="2414"/>
      <c r="F203" s="2414"/>
      <c r="G203" s="2414"/>
      <c r="H203" s="2413"/>
      <c r="I203" s="2413"/>
      <c r="J203" s="2413"/>
      <c r="K203" s="2413">
        <f>+$B202/1</f>
        <v>135473000</v>
      </c>
      <c r="L203" s="2413"/>
      <c r="M203" s="2413"/>
      <c r="N203" s="2416"/>
      <c r="O203" s="2405">
        <f t="shared" si="40"/>
        <v>135473000</v>
      </c>
    </row>
    <row r="204" spans="1:15" ht="15" customHeight="1">
      <c r="A204" s="4006" t="s">
        <v>6177</v>
      </c>
      <c r="B204" s="4007">
        <f>+CONSOLIDADO!F615</f>
        <v>11352800</v>
      </c>
      <c r="C204" s="2413"/>
      <c r="D204" s="2414"/>
      <c r="E204" s="1846"/>
      <c r="F204" s="2414"/>
      <c r="G204" s="2414"/>
      <c r="H204" s="2413"/>
      <c r="I204" s="2413"/>
      <c r="J204" s="2413"/>
      <c r="K204" s="2415"/>
      <c r="L204" s="2413"/>
      <c r="M204" s="2413"/>
      <c r="N204" s="2416"/>
      <c r="O204" s="2405">
        <f t="shared" si="40"/>
        <v>0</v>
      </c>
    </row>
    <row r="205" spans="1:15" ht="15" customHeight="1">
      <c r="A205" s="4006"/>
      <c r="B205" s="4007"/>
      <c r="C205" s="2413"/>
      <c r="D205" s="2414"/>
      <c r="E205" s="2414"/>
      <c r="F205" s="2414"/>
      <c r="G205" s="2414"/>
      <c r="H205" s="2413"/>
      <c r="I205" s="2413"/>
      <c r="J205" s="2413"/>
      <c r="K205" s="2413">
        <f>+$B204/1</f>
        <v>11352800</v>
      </c>
      <c r="L205" s="2413"/>
      <c r="M205" s="2413"/>
      <c r="N205" s="2416"/>
      <c r="O205" s="2405">
        <f t="shared" si="40"/>
        <v>11352800</v>
      </c>
    </row>
    <row r="206" spans="1:15" ht="15" customHeight="1">
      <c r="A206" s="4006" t="s">
        <v>6178</v>
      </c>
      <c r="B206" s="4007">
        <f>+CONSOLIDADO!F620</f>
        <v>7660400</v>
      </c>
      <c r="C206" s="2413"/>
      <c r="D206" s="2414"/>
      <c r="E206" s="1846"/>
      <c r="F206" s="2414"/>
      <c r="G206" s="2414"/>
      <c r="H206" s="2413"/>
      <c r="I206" s="2413"/>
      <c r="J206" s="2413"/>
      <c r="K206" s="2415"/>
      <c r="L206" s="2413"/>
      <c r="M206" s="2413"/>
      <c r="N206" s="2416"/>
      <c r="O206" s="2405">
        <f t="shared" si="40"/>
        <v>0</v>
      </c>
    </row>
    <row r="207" spans="1:15" ht="15" customHeight="1">
      <c r="A207" s="4006"/>
      <c r="B207" s="4007"/>
      <c r="C207" s="2413"/>
      <c r="D207" s="2414"/>
      <c r="E207" s="2414"/>
      <c r="F207" s="2414"/>
      <c r="G207" s="2414"/>
      <c r="H207" s="2413"/>
      <c r="I207" s="2413"/>
      <c r="J207" s="2413"/>
      <c r="K207" s="2413">
        <f>+$B206/1</f>
        <v>7660400</v>
      </c>
      <c r="L207" s="2413"/>
      <c r="M207" s="2413"/>
      <c r="N207" s="2416"/>
      <c r="O207" s="2405">
        <f t="shared" si="40"/>
        <v>7660400</v>
      </c>
    </row>
    <row r="208" spans="1:15" ht="15" customHeight="1">
      <c r="A208" s="4006" t="s">
        <v>6179</v>
      </c>
      <c r="B208" s="4007">
        <f>+CONSOLIDADO!F628</f>
        <v>6304000</v>
      </c>
      <c r="C208" s="2413"/>
      <c r="D208" s="2414"/>
      <c r="E208" s="1846"/>
      <c r="F208" s="2414"/>
      <c r="G208" s="2414"/>
      <c r="H208" s="2413"/>
      <c r="I208" s="2413"/>
      <c r="J208" s="2413"/>
      <c r="K208" s="2415"/>
      <c r="L208" s="2413"/>
      <c r="M208" s="2413"/>
      <c r="N208" s="2416"/>
      <c r="O208" s="2405">
        <f t="shared" si="40"/>
        <v>0</v>
      </c>
    </row>
    <row r="209" spans="1:15" ht="15" customHeight="1">
      <c r="A209" s="4006"/>
      <c r="B209" s="4007"/>
      <c r="C209" s="2413"/>
      <c r="D209" s="2414"/>
      <c r="E209" s="2414"/>
      <c r="F209" s="2414"/>
      <c r="G209" s="2414"/>
      <c r="H209" s="2413"/>
      <c r="I209" s="2413"/>
      <c r="J209" s="2413"/>
      <c r="K209" s="2413">
        <f>+$B208/1</f>
        <v>6304000</v>
      </c>
      <c r="L209" s="2413"/>
      <c r="M209" s="2413"/>
      <c r="N209" s="2416"/>
      <c r="O209" s="2405">
        <f t="shared" si="40"/>
        <v>6304000</v>
      </c>
    </row>
    <row r="210" spans="1:15" ht="15" customHeight="1">
      <c r="A210" s="4006" t="s">
        <v>5221</v>
      </c>
      <c r="B210" s="4007">
        <f>+CONSOLIDADO!F632</f>
        <v>24420000</v>
      </c>
      <c r="C210" s="2413"/>
      <c r="D210" s="2414"/>
      <c r="E210" s="1846"/>
      <c r="F210" s="2414"/>
      <c r="G210" s="2414"/>
      <c r="H210" s="2413"/>
      <c r="I210" s="2413"/>
      <c r="J210" s="2413"/>
      <c r="K210" s="2415"/>
      <c r="L210" s="2413"/>
      <c r="M210" s="2413"/>
      <c r="N210" s="2416"/>
      <c r="O210" s="2405">
        <f t="shared" si="40"/>
        <v>0</v>
      </c>
    </row>
    <row r="211" spans="1:15" ht="15" customHeight="1">
      <c r="A211" s="4006"/>
      <c r="B211" s="4007"/>
      <c r="C211" s="2413"/>
      <c r="D211" s="2414"/>
      <c r="E211" s="2414"/>
      <c r="F211" s="2414"/>
      <c r="G211" s="2414"/>
      <c r="H211" s="2413"/>
      <c r="I211" s="2413"/>
      <c r="J211" s="2413"/>
      <c r="K211" s="2413">
        <f>+$B210/1</f>
        <v>24420000</v>
      </c>
      <c r="L211" s="2413"/>
      <c r="M211" s="2413"/>
      <c r="N211" s="2416"/>
      <c r="O211" s="2405">
        <f t="shared" si="40"/>
        <v>24420000</v>
      </c>
    </row>
    <row r="212" spans="1:15" ht="15" customHeight="1">
      <c r="A212" s="4006" t="s">
        <v>6180</v>
      </c>
      <c r="B212" s="4007">
        <f>+CONSOLIDADO!F634</f>
        <v>131111216</v>
      </c>
      <c r="C212" s="2413"/>
      <c r="D212" s="2414"/>
      <c r="E212" s="1846"/>
      <c r="F212" s="2414"/>
      <c r="G212" s="2414"/>
      <c r="H212" s="2413"/>
      <c r="I212" s="2413"/>
      <c r="J212" s="2413"/>
      <c r="K212" s="2415"/>
      <c r="L212" s="2413"/>
      <c r="M212" s="2413"/>
      <c r="N212" s="2416"/>
      <c r="O212" s="2405">
        <f t="shared" si="40"/>
        <v>0</v>
      </c>
    </row>
    <row r="213" spans="1:15" ht="15" customHeight="1">
      <c r="A213" s="4006"/>
      <c r="B213" s="4007"/>
      <c r="C213" s="2413"/>
      <c r="D213" s="2414"/>
      <c r="E213" s="2414"/>
      <c r="F213" s="2414"/>
      <c r="G213" s="2414"/>
      <c r="H213" s="2413"/>
      <c r="I213" s="2413"/>
      <c r="J213" s="2413"/>
      <c r="K213" s="2413">
        <f>+$B212/1</f>
        <v>131111216</v>
      </c>
      <c r="L213" s="2413"/>
      <c r="M213" s="2413"/>
      <c r="N213" s="2416"/>
      <c r="O213" s="2405">
        <f t="shared" si="40"/>
        <v>131111216</v>
      </c>
    </row>
    <row r="214" spans="1:15" ht="15" customHeight="1">
      <c r="A214" s="4006" t="s">
        <v>6201</v>
      </c>
      <c r="B214" s="4007">
        <f>+CONSOLIDADO!F636</f>
        <v>6810000</v>
      </c>
      <c r="C214" s="2413"/>
      <c r="D214" s="2414"/>
      <c r="E214" s="2414"/>
      <c r="F214" s="2414"/>
      <c r="G214" s="2414"/>
      <c r="H214" s="2413"/>
      <c r="I214" s="2413"/>
      <c r="J214" s="2413"/>
      <c r="K214" s="2415"/>
      <c r="L214" s="2413"/>
      <c r="M214" s="2413"/>
      <c r="N214" s="2416"/>
    </row>
    <row r="215" spans="1:15" ht="15" customHeight="1">
      <c r="A215" s="4006"/>
      <c r="B215" s="4007"/>
      <c r="C215" s="2413"/>
      <c r="D215" s="2414"/>
      <c r="E215" s="2414"/>
      <c r="F215" s="2414"/>
      <c r="G215" s="2414"/>
      <c r="H215" s="2413"/>
      <c r="I215" s="2413"/>
      <c r="J215" s="2413"/>
      <c r="K215" s="2413">
        <f>+$B214/1</f>
        <v>6810000</v>
      </c>
      <c r="L215" s="2413"/>
      <c r="M215" s="2413"/>
      <c r="N215" s="2416"/>
      <c r="O215" s="2405">
        <f t="shared" si="40"/>
        <v>6810000</v>
      </c>
    </row>
    <row r="216" spans="1:15">
      <c r="A216" s="1842" t="s">
        <v>5758</v>
      </c>
      <c r="B216" s="2289">
        <f>+SUM(B217:B218)</f>
        <v>244941123</v>
      </c>
      <c r="C216" s="1845"/>
      <c r="D216" s="1845"/>
      <c r="E216" s="1845"/>
      <c r="F216" s="1845"/>
      <c r="G216" s="1845"/>
      <c r="H216" s="1845"/>
      <c r="I216" s="1845"/>
      <c r="J216" s="1845"/>
      <c r="K216" s="1845"/>
      <c r="L216" s="1845"/>
      <c r="M216" s="1845"/>
      <c r="N216" s="1839"/>
      <c r="O216" s="2405">
        <f t="shared" si="40"/>
        <v>0</v>
      </c>
    </row>
    <row r="217" spans="1:15" ht="17.25" customHeight="1">
      <c r="A217" s="4006" t="s">
        <v>6211</v>
      </c>
      <c r="B217" s="4007">
        <f>+CONSOLIDADO!F640</f>
        <v>244941123</v>
      </c>
      <c r="C217" s="2413"/>
      <c r="D217" s="2413"/>
      <c r="E217" s="1846"/>
      <c r="F217" s="2414"/>
      <c r="G217" s="2413"/>
      <c r="H217" s="2413"/>
      <c r="I217" s="2413"/>
      <c r="J217" s="2415"/>
      <c r="K217" s="2413"/>
      <c r="L217" s="2413"/>
      <c r="M217" s="2413"/>
      <c r="N217" s="2416"/>
      <c r="O217" s="2405">
        <f t="shared" si="40"/>
        <v>0</v>
      </c>
    </row>
    <row r="218" spans="1:15" ht="17.25" customHeight="1">
      <c r="A218" s="4006"/>
      <c r="B218" s="4007"/>
      <c r="C218" s="2413"/>
      <c r="D218" s="2413"/>
      <c r="E218" s="2414"/>
      <c r="F218" s="2414"/>
      <c r="G218" s="2413"/>
      <c r="H218" s="2413"/>
      <c r="I218" s="2413"/>
      <c r="J218" s="2413">
        <f>+$B217/1</f>
        <v>244941123</v>
      </c>
      <c r="K218" s="2413"/>
      <c r="L218" s="2413"/>
      <c r="M218" s="2413"/>
      <c r="N218" s="2416"/>
      <c r="O218" s="2405">
        <f t="shared" si="40"/>
        <v>244941123</v>
      </c>
    </row>
    <row r="219" spans="1:15" ht="53.25" customHeight="1">
      <c r="A219" s="1838" t="s">
        <v>4257</v>
      </c>
      <c r="B219" s="2289">
        <f>+B220</f>
        <v>3405599240</v>
      </c>
      <c r="C219" s="1845"/>
      <c r="D219" s="1845"/>
      <c r="E219" s="1845"/>
      <c r="F219" s="1845"/>
      <c r="G219" s="1845"/>
      <c r="H219" s="1845"/>
      <c r="I219" s="1845"/>
      <c r="J219" s="1845"/>
      <c r="K219" s="1845"/>
      <c r="L219" s="1845"/>
      <c r="M219" s="1845"/>
      <c r="N219" s="1839"/>
      <c r="O219" s="2405">
        <f t="shared" si="40"/>
        <v>0</v>
      </c>
    </row>
    <row r="220" spans="1:15" ht="24" customHeight="1">
      <c r="A220" s="4014" t="s">
        <v>1128</v>
      </c>
      <c r="B220" s="4016">
        <f>+CONSOLIDADO!F683</f>
        <v>3405599240</v>
      </c>
      <c r="C220" s="2413"/>
      <c r="D220" s="2415"/>
      <c r="E220" s="2415"/>
      <c r="F220" s="2415"/>
      <c r="G220" s="2413"/>
      <c r="H220" s="2413"/>
      <c r="I220" s="2413"/>
      <c r="J220" s="2413"/>
      <c r="K220" s="2413"/>
      <c r="L220" s="2413"/>
      <c r="M220" s="2413"/>
      <c r="N220" s="2416"/>
      <c r="O220" s="2405">
        <f t="shared" si="40"/>
        <v>0</v>
      </c>
    </row>
    <row r="221" spans="1:15" ht="17.25" customHeight="1">
      <c r="A221" s="4015"/>
      <c r="B221" s="4017"/>
      <c r="C221" s="2413"/>
      <c r="D221" s="2413">
        <f>+$B220/3</f>
        <v>1135199746.6666667</v>
      </c>
      <c r="E221" s="2413">
        <f t="shared" ref="E221:F221" si="41">+$B220/3</f>
        <v>1135199746.6666667</v>
      </c>
      <c r="F221" s="2413">
        <f t="shared" si="41"/>
        <v>1135199746.6666667</v>
      </c>
      <c r="G221" s="2413"/>
      <c r="H221" s="2413"/>
      <c r="I221" s="2413"/>
      <c r="J221" s="2413"/>
      <c r="K221" s="2413"/>
      <c r="L221" s="2413"/>
      <c r="M221" s="2413"/>
      <c r="N221" s="2416"/>
      <c r="O221" s="2405">
        <f t="shared" si="40"/>
        <v>3405599240</v>
      </c>
    </row>
    <row r="222" spans="1:15" ht="53.25" customHeight="1">
      <c r="A222" s="1838" t="s">
        <v>6212</v>
      </c>
      <c r="B222" s="2289">
        <f>+SUM(B223:B230)</f>
        <v>1468664322</v>
      </c>
      <c r="C222" s="1845"/>
      <c r="D222" s="1845"/>
      <c r="E222" s="1845"/>
      <c r="F222" s="1845"/>
      <c r="G222" s="1845"/>
      <c r="H222" s="1845"/>
      <c r="I222" s="1845"/>
      <c r="J222" s="1845"/>
      <c r="K222" s="1845"/>
      <c r="L222" s="1845"/>
      <c r="M222" s="1845"/>
      <c r="N222" s="1839"/>
      <c r="O222" s="2405">
        <f t="shared" si="40"/>
        <v>0</v>
      </c>
    </row>
    <row r="223" spans="1:15">
      <c r="A223" s="4018" t="s">
        <v>6213</v>
      </c>
      <c r="B223" s="4020">
        <f>+CONSOLIDADO!F698</f>
        <v>308584641</v>
      </c>
      <c r="C223" s="2414"/>
      <c r="D223" s="2414"/>
      <c r="E223" s="2415"/>
      <c r="F223" s="1846"/>
      <c r="G223" s="2414"/>
      <c r="H223" s="2414"/>
      <c r="I223" s="2413"/>
      <c r="J223" s="2413"/>
      <c r="K223" s="2413"/>
      <c r="L223" s="2413"/>
      <c r="M223" s="2413"/>
      <c r="N223" s="2416"/>
      <c r="O223" s="2405">
        <f t="shared" si="40"/>
        <v>0</v>
      </c>
    </row>
    <row r="224" spans="1:15">
      <c r="A224" s="4018"/>
      <c r="B224" s="4020"/>
      <c r="C224" s="2414"/>
      <c r="D224" s="2414"/>
      <c r="E224" s="2413">
        <f>+$B223/1</f>
        <v>308584641</v>
      </c>
      <c r="F224" s="2414"/>
      <c r="G224" s="2414"/>
      <c r="H224" s="2414"/>
      <c r="I224" s="2413"/>
      <c r="J224" s="2413"/>
      <c r="K224" s="2413"/>
      <c r="L224" s="2413"/>
      <c r="M224" s="2413"/>
      <c r="N224" s="2416"/>
      <c r="O224" s="2405">
        <f t="shared" si="40"/>
        <v>308584641</v>
      </c>
    </row>
    <row r="225" spans="1:15">
      <c r="A225" s="4018" t="s">
        <v>6214</v>
      </c>
      <c r="B225" s="4020">
        <f>+CONSOLIDADO!F711</f>
        <v>25548180</v>
      </c>
      <c r="C225" s="2414"/>
      <c r="D225" s="2414"/>
      <c r="E225" s="2415"/>
      <c r="F225" s="2414"/>
      <c r="G225" s="1846"/>
      <c r="H225" s="2414"/>
      <c r="I225" s="2413"/>
      <c r="J225" s="2413"/>
      <c r="K225" s="2413"/>
      <c r="L225" s="2413"/>
      <c r="M225" s="2413"/>
      <c r="N225" s="2416"/>
      <c r="O225" s="2405">
        <f t="shared" si="40"/>
        <v>0</v>
      </c>
    </row>
    <row r="226" spans="1:15">
      <c r="A226" s="4018"/>
      <c r="B226" s="4020"/>
      <c r="C226" s="2414"/>
      <c r="D226" s="2414"/>
      <c r="E226" s="2413">
        <f>+$B225/1</f>
        <v>25548180</v>
      </c>
      <c r="F226" s="2414"/>
      <c r="G226" s="2414"/>
      <c r="H226" s="2414"/>
      <c r="I226" s="2413"/>
      <c r="J226" s="2413"/>
      <c r="K226" s="2413"/>
      <c r="L226" s="2413"/>
      <c r="M226" s="2413"/>
      <c r="N226" s="2416"/>
      <c r="O226" s="2405">
        <f t="shared" si="40"/>
        <v>25548180</v>
      </c>
    </row>
    <row r="227" spans="1:15">
      <c r="A227" s="4018" t="s">
        <v>6215</v>
      </c>
      <c r="B227" s="4020">
        <f>+CONSOLIDADO!F715</f>
        <v>308506760</v>
      </c>
      <c r="C227" s="2414"/>
      <c r="D227" s="2414"/>
      <c r="E227" s="2415"/>
      <c r="F227" s="2414"/>
      <c r="G227" s="1846"/>
      <c r="H227" s="2414"/>
      <c r="I227" s="2413"/>
      <c r="J227" s="2413"/>
      <c r="K227" s="2413"/>
      <c r="L227" s="2413"/>
      <c r="M227" s="2413"/>
      <c r="N227" s="2416"/>
      <c r="O227" s="2405">
        <f t="shared" si="40"/>
        <v>0</v>
      </c>
    </row>
    <row r="228" spans="1:15">
      <c r="A228" s="4018"/>
      <c r="B228" s="4020"/>
      <c r="C228" s="2414"/>
      <c r="D228" s="2414"/>
      <c r="E228" s="2413">
        <f>+$B227/1</f>
        <v>308506760</v>
      </c>
      <c r="F228" s="2414"/>
      <c r="G228" s="2414"/>
      <c r="H228" s="2414"/>
      <c r="I228" s="2413"/>
      <c r="J228" s="2413"/>
      <c r="K228" s="2413"/>
      <c r="L228" s="2413"/>
      <c r="M228" s="2413"/>
      <c r="N228" s="2416"/>
      <c r="O228" s="2405">
        <f t="shared" si="40"/>
        <v>308506760</v>
      </c>
    </row>
    <row r="229" spans="1:15">
      <c r="A229" s="4018" t="s">
        <v>6216</v>
      </c>
      <c r="B229" s="4020">
        <f>+CONSOLIDADO!F719</f>
        <v>826024741</v>
      </c>
      <c r="C229" s="2414"/>
      <c r="D229" s="2414"/>
      <c r="E229" s="2415"/>
      <c r="F229" s="2414"/>
      <c r="G229" s="1846"/>
      <c r="H229" s="2414"/>
      <c r="I229" s="2413"/>
      <c r="J229" s="2413"/>
      <c r="K229" s="2413"/>
      <c r="L229" s="2413"/>
      <c r="M229" s="2413"/>
      <c r="N229" s="2416"/>
      <c r="O229" s="2405">
        <f t="shared" si="40"/>
        <v>0</v>
      </c>
    </row>
    <row r="230" spans="1:15">
      <c r="A230" s="4018"/>
      <c r="B230" s="4020"/>
      <c r="C230" s="2414"/>
      <c r="D230" s="2414"/>
      <c r="E230" s="2413">
        <f>+$B229/1</f>
        <v>826024741</v>
      </c>
      <c r="F230" s="2414"/>
      <c r="G230" s="2414"/>
      <c r="H230" s="2414"/>
      <c r="I230" s="2413"/>
      <c r="J230" s="2413"/>
      <c r="K230" s="2413"/>
      <c r="L230" s="2413"/>
      <c r="M230" s="2413"/>
      <c r="N230" s="2416"/>
      <c r="O230" s="2405">
        <f t="shared" si="40"/>
        <v>826024741</v>
      </c>
    </row>
    <row r="231" spans="1:15" ht="36" customHeight="1">
      <c r="A231" s="1838" t="s">
        <v>6196</v>
      </c>
      <c r="B231" s="2289">
        <f>+SUM(B232:B235)</f>
        <v>208716385</v>
      </c>
      <c r="C231" s="1845"/>
      <c r="D231" s="1845"/>
      <c r="E231" s="1845"/>
      <c r="F231" s="1845"/>
      <c r="G231" s="1845"/>
      <c r="H231" s="1845"/>
      <c r="I231" s="1845"/>
      <c r="J231" s="1845"/>
      <c r="K231" s="1845"/>
      <c r="L231" s="1845"/>
      <c r="M231" s="1845"/>
      <c r="N231" s="1839"/>
      <c r="O231" s="2405">
        <f t="shared" si="40"/>
        <v>0</v>
      </c>
    </row>
    <row r="232" spans="1:15">
      <c r="A232" s="4018" t="s">
        <v>5680</v>
      </c>
      <c r="B232" s="4020">
        <f>+CONSOLIDADO!F734</f>
        <v>174671885</v>
      </c>
      <c r="C232" s="2414"/>
      <c r="D232" s="2414"/>
      <c r="E232" s="2415"/>
      <c r="F232" s="2414"/>
      <c r="G232" s="1846"/>
      <c r="H232" s="2414"/>
      <c r="I232" s="2413"/>
      <c r="J232" s="2413"/>
      <c r="K232" s="2413"/>
      <c r="L232" s="2413"/>
      <c r="M232" s="2413"/>
      <c r="N232" s="2416"/>
      <c r="O232" s="2405">
        <f t="shared" si="40"/>
        <v>0</v>
      </c>
    </row>
    <row r="233" spans="1:15">
      <c r="A233" s="4018"/>
      <c r="B233" s="4020"/>
      <c r="C233" s="2414"/>
      <c r="D233" s="2414"/>
      <c r="E233" s="2413">
        <f>+$B232/1</f>
        <v>174671885</v>
      </c>
      <c r="F233" s="2414"/>
      <c r="G233" s="2414"/>
      <c r="H233" s="2414"/>
      <c r="I233" s="2413"/>
      <c r="J233" s="2413"/>
      <c r="K233" s="2413"/>
      <c r="L233" s="2413"/>
      <c r="M233" s="2413"/>
      <c r="N233" s="2416"/>
      <c r="O233" s="2405">
        <f t="shared" si="40"/>
        <v>174671885</v>
      </c>
    </row>
    <row r="234" spans="1:15">
      <c r="A234" s="4018" t="s">
        <v>6217</v>
      </c>
      <c r="B234" s="4021">
        <f>+CONSOLIDADO!F803</f>
        <v>34044500</v>
      </c>
      <c r="C234" s="2414"/>
      <c r="D234" s="1846"/>
      <c r="E234" s="2415"/>
      <c r="F234" s="1846"/>
      <c r="G234" s="1846"/>
      <c r="H234" s="2414"/>
      <c r="I234" s="2413"/>
      <c r="J234" s="2413"/>
      <c r="K234" s="2413"/>
      <c r="L234" s="2413"/>
      <c r="M234" s="2413"/>
      <c r="N234" s="2416"/>
      <c r="O234" s="2405">
        <f t="shared" si="40"/>
        <v>0</v>
      </c>
    </row>
    <row r="235" spans="1:15">
      <c r="A235" s="4018"/>
      <c r="B235" s="4021"/>
      <c r="C235" s="2414"/>
      <c r="D235" s="2414"/>
      <c r="E235" s="2413">
        <f t="shared" ref="E235" si="42">+$B234/1</f>
        <v>34044500</v>
      </c>
      <c r="F235" s="2414"/>
      <c r="G235" s="2414"/>
      <c r="H235" s="2414"/>
      <c r="I235" s="2413"/>
      <c r="J235" s="2413"/>
      <c r="K235" s="2413"/>
      <c r="L235" s="2413"/>
      <c r="M235" s="2413"/>
      <c r="N235" s="2416"/>
      <c r="O235" s="2405">
        <f t="shared" si="40"/>
        <v>34044500</v>
      </c>
    </row>
    <row r="236" spans="1:15" ht="32.25" customHeight="1">
      <c r="A236" s="1838" t="s">
        <v>6218</v>
      </c>
      <c r="B236" s="2289">
        <f>+SUM(B237:B264)</f>
        <v>566207138</v>
      </c>
      <c r="C236" s="1845"/>
      <c r="D236" s="1845"/>
      <c r="E236" s="1845"/>
      <c r="F236" s="1845"/>
      <c r="G236" s="1845"/>
      <c r="H236" s="1845"/>
      <c r="I236" s="1845"/>
      <c r="J236" s="1845"/>
      <c r="K236" s="1845"/>
      <c r="L236" s="1845"/>
      <c r="M236" s="1845"/>
      <c r="N236" s="1839"/>
      <c r="O236" s="2405">
        <f t="shared" ref="O236:O264" si="43">+SUM(C236:N236)</f>
        <v>0</v>
      </c>
    </row>
    <row r="237" spans="1:15" ht="15" customHeight="1">
      <c r="A237" s="4006" t="s">
        <v>6200</v>
      </c>
      <c r="B237" s="4007">
        <f>+CONSOLIDADO!F811</f>
        <v>18397950</v>
      </c>
      <c r="C237" s="2413"/>
      <c r="D237" s="2413"/>
      <c r="E237" s="2413"/>
      <c r="F237" s="2413"/>
      <c r="G237" s="2413"/>
      <c r="H237" s="2414"/>
      <c r="I237" s="1846"/>
      <c r="J237" s="2414"/>
      <c r="K237" s="2414"/>
      <c r="L237" s="2415"/>
      <c r="M237" s="2415"/>
      <c r="N237" s="2416"/>
      <c r="O237" s="2405">
        <f t="shared" si="43"/>
        <v>0</v>
      </c>
    </row>
    <row r="238" spans="1:15" ht="15" customHeight="1">
      <c r="A238" s="4006"/>
      <c r="B238" s="4007"/>
      <c r="C238" s="2413"/>
      <c r="D238" s="2413"/>
      <c r="E238" s="2413"/>
      <c r="F238" s="2413"/>
      <c r="G238" s="2413"/>
      <c r="H238" s="2414"/>
      <c r="I238" s="2414"/>
      <c r="J238" s="2414"/>
      <c r="K238" s="2414"/>
      <c r="L238" s="2413">
        <f>+$B237/2</f>
        <v>9198975</v>
      </c>
      <c r="M238" s="2413">
        <f>+$B237/2</f>
        <v>9198975</v>
      </c>
      <c r="N238" s="2416"/>
      <c r="O238" s="2405">
        <f t="shared" si="43"/>
        <v>18397950</v>
      </c>
    </row>
    <row r="239" spans="1:15" ht="15" customHeight="1">
      <c r="A239" s="4006" t="s">
        <v>6169</v>
      </c>
      <c r="B239" s="4007">
        <f>+CONSOLIDADO!F817</f>
        <v>2292728</v>
      </c>
      <c r="C239" s="2413"/>
      <c r="D239" s="2413"/>
      <c r="E239" s="2413"/>
      <c r="F239" s="2413"/>
      <c r="G239" s="2413"/>
      <c r="H239" s="2414"/>
      <c r="I239" s="1846"/>
      <c r="J239" s="2414"/>
      <c r="K239" s="2414"/>
      <c r="L239" s="2415"/>
      <c r="M239" s="2415"/>
      <c r="N239" s="2416"/>
      <c r="O239" s="2405">
        <f t="shared" si="43"/>
        <v>0</v>
      </c>
    </row>
    <row r="240" spans="1:15" ht="15" customHeight="1">
      <c r="A240" s="4006"/>
      <c r="B240" s="4007"/>
      <c r="C240" s="2413"/>
      <c r="D240" s="2413"/>
      <c r="E240" s="2413"/>
      <c r="F240" s="2413"/>
      <c r="G240" s="2413"/>
      <c r="H240" s="2414"/>
      <c r="I240" s="2414"/>
      <c r="J240" s="2414"/>
      <c r="K240" s="2414"/>
      <c r="L240" s="2413">
        <f>+$B239/2</f>
        <v>1146364</v>
      </c>
      <c r="M240" s="2413">
        <f>+$B239/2</f>
        <v>1146364</v>
      </c>
      <c r="N240" s="2416"/>
      <c r="O240" s="2405">
        <f t="shared" si="43"/>
        <v>2292728</v>
      </c>
    </row>
    <row r="241" spans="1:15" ht="15" customHeight="1">
      <c r="A241" s="4006" t="s">
        <v>6170</v>
      </c>
      <c r="B241" s="4007">
        <f>+CONSOLIDADO!F819</f>
        <v>4850000</v>
      </c>
      <c r="C241" s="2413"/>
      <c r="D241" s="2413"/>
      <c r="E241" s="2413"/>
      <c r="F241" s="2413"/>
      <c r="G241" s="2413"/>
      <c r="H241" s="2414"/>
      <c r="I241" s="1846"/>
      <c r="J241" s="2414"/>
      <c r="K241" s="2414"/>
      <c r="L241" s="2415"/>
      <c r="M241" s="2415"/>
      <c r="N241" s="2416"/>
      <c r="O241" s="2405">
        <f t="shared" si="43"/>
        <v>0</v>
      </c>
    </row>
    <row r="242" spans="1:15" ht="15" customHeight="1">
      <c r="A242" s="4006"/>
      <c r="B242" s="4007"/>
      <c r="C242" s="2413"/>
      <c r="D242" s="2413"/>
      <c r="E242" s="2413"/>
      <c r="F242" s="2413"/>
      <c r="G242" s="2413"/>
      <c r="H242" s="2414"/>
      <c r="I242" s="2414"/>
      <c r="J242" s="2414"/>
      <c r="K242" s="2414"/>
      <c r="L242" s="2413">
        <f>+$B241/2</f>
        <v>2425000</v>
      </c>
      <c r="M242" s="2413">
        <f>+$B241/2</f>
        <v>2425000</v>
      </c>
      <c r="N242" s="2416"/>
      <c r="O242" s="2405">
        <f t="shared" si="43"/>
        <v>4850000</v>
      </c>
    </row>
    <row r="243" spans="1:15" ht="15" customHeight="1">
      <c r="A243" s="4006" t="s">
        <v>6171</v>
      </c>
      <c r="B243" s="4007">
        <f>+CONSOLIDADO!F822</f>
        <v>3380000</v>
      </c>
      <c r="C243" s="2413"/>
      <c r="D243" s="2413"/>
      <c r="E243" s="2413"/>
      <c r="F243" s="2413"/>
      <c r="G243" s="2413"/>
      <c r="H243" s="2414"/>
      <c r="I243" s="1846"/>
      <c r="J243" s="2414"/>
      <c r="K243" s="2414"/>
      <c r="L243" s="2415"/>
      <c r="M243" s="2415"/>
      <c r="N243" s="2416"/>
      <c r="O243" s="2405">
        <f t="shared" si="43"/>
        <v>0</v>
      </c>
    </row>
    <row r="244" spans="1:15" ht="15" customHeight="1">
      <c r="A244" s="4006"/>
      <c r="B244" s="4007"/>
      <c r="C244" s="2413"/>
      <c r="D244" s="2413"/>
      <c r="E244" s="2413"/>
      <c r="F244" s="2413"/>
      <c r="G244" s="2413"/>
      <c r="H244" s="2414"/>
      <c r="I244" s="2414"/>
      <c r="J244" s="2414"/>
      <c r="K244" s="2414"/>
      <c r="L244" s="2413">
        <f>+$B243/2</f>
        <v>1690000</v>
      </c>
      <c r="M244" s="2413">
        <f>+$B243/2</f>
        <v>1690000</v>
      </c>
      <c r="N244" s="2416"/>
      <c r="O244" s="2405">
        <f t="shared" si="43"/>
        <v>3380000</v>
      </c>
    </row>
    <row r="245" spans="1:15" ht="15" customHeight="1">
      <c r="A245" s="4006" t="s">
        <v>6172</v>
      </c>
      <c r="B245" s="4007">
        <f>+CONSOLIDADO!F824</f>
        <v>17362000</v>
      </c>
      <c r="C245" s="2413"/>
      <c r="D245" s="2413"/>
      <c r="E245" s="2413"/>
      <c r="F245" s="2413"/>
      <c r="G245" s="2413"/>
      <c r="H245" s="2414"/>
      <c r="I245" s="1846"/>
      <c r="J245" s="2414"/>
      <c r="K245" s="2414"/>
      <c r="L245" s="2415"/>
      <c r="M245" s="2415"/>
      <c r="N245" s="2416"/>
      <c r="O245" s="2405">
        <f t="shared" si="43"/>
        <v>0</v>
      </c>
    </row>
    <row r="246" spans="1:15" ht="15" customHeight="1">
      <c r="A246" s="4006"/>
      <c r="B246" s="4007"/>
      <c r="C246" s="2413"/>
      <c r="D246" s="2413"/>
      <c r="E246" s="2413"/>
      <c r="F246" s="2413"/>
      <c r="G246" s="2413"/>
      <c r="H246" s="2414"/>
      <c r="I246" s="2414"/>
      <c r="J246" s="2414"/>
      <c r="K246" s="2414"/>
      <c r="L246" s="2413">
        <f>+$B245/2</f>
        <v>8681000</v>
      </c>
      <c r="M246" s="2413">
        <f>+$B245/2</f>
        <v>8681000</v>
      </c>
      <c r="N246" s="2416"/>
      <c r="O246" s="2405">
        <f t="shared" si="43"/>
        <v>17362000</v>
      </c>
    </row>
    <row r="247" spans="1:15" ht="15" customHeight="1">
      <c r="A247" s="4006" t="s">
        <v>6173</v>
      </c>
      <c r="B247" s="4007">
        <f>+CONSOLIDADO!F826</f>
        <v>2028000</v>
      </c>
      <c r="C247" s="2413"/>
      <c r="D247" s="2413"/>
      <c r="E247" s="2413"/>
      <c r="F247" s="2413"/>
      <c r="G247" s="2413"/>
      <c r="H247" s="2414"/>
      <c r="I247" s="1846"/>
      <c r="J247" s="2414"/>
      <c r="K247" s="2414"/>
      <c r="L247" s="2415"/>
      <c r="M247" s="2415"/>
      <c r="N247" s="2416"/>
      <c r="O247" s="2405">
        <f t="shared" si="43"/>
        <v>0</v>
      </c>
    </row>
    <row r="248" spans="1:15" ht="15" customHeight="1">
      <c r="A248" s="4006"/>
      <c r="B248" s="4007"/>
      <c r="C248" s="2413"/>
      <c r="D248" s="2413"/>
      <c r="E248" s="2413"/>
      <c r="F248" s="2413"/>
      <c r="G248" s="2413"/>
      <c r="H248" s="2414"/>
      <c r="I248" s="2414"/>
      <c r="J248" s="2414"/>
      <c r="K248" s="2414"/>
      <c r="L248" s="2413">
        <f>+$B247/2</f>
        <v>1014000</v>
      </c>
      <c r="M248" s="2413">
        <f>+$B247/2</f>
        <v>1014000</v>
      </c>
      <c r="N248" s="2416"/>
      <c r="O248" s="2405">
        <f t="shared" si="43"/>
        <v>2028000</v>
      </c>
    </row>
    <row r="249" spans="1:15" ht="15" customHeight="1">
      <c r="A249" s="4006" t="s">
        <v>6174</v>
      </c>
      <c r="B249" s="4007">
        <f>+CONSOLIDADO!F828</f>
        <v>2535000</v>
      </c>
      <c r="C249" s="2413"/>
      <c r="D249" s="2413"/>
      <c r="E249" s="2413"/>
      <c r="F249" s="2413"/>
      <c r="G249" s="2413"/>
      <c r="H249" s="2414"/>
      <c r="I249" s="1846"/>
      <c r="J249" s="2414"/>
      <c r="K249" s="2414"/>
      <c r="L249" s="2415"/>
      <c r="M249" s="2415"/>
      <c r="N249" s="2416"/>
      <c r="O249" s="2405">
        <f t="shared" si="43"/>
        <v>0</v>
      </c>
    </row>
    <row r="250" spans="1:15" ht="15" customHeight="1">
      <c r="A250" s="4006"/>
      <c r="B250" s="4007"/>
      <c r="C250" s="2413"/>
      <c r="D250" s="2413"/>
      <c r="E250" s="2413"/>
      <c r="F250" s="2413"/>
      <c r="G250" s="2413"/>
      <c r="H250" s="2414"/>
      <c r="I250" s="2414"/>
      <c r="J250" s="2414"/>
      <c r="K250" s="2414"/>
      <c r="L250" s="2413">
        <f>+$B249/2</f>
        <v>1267500</v>
      </c>
      <c r="M250" s="2413">
        <f>+$B249/2</f>
        <v>1267500</v>
      </c>
      <c r="N250" s="2416"/>
      <c r="O250" s="2405">
        <f t="shared" si="43"/>
        <v>2535000</v>
      </c>
    </row>
    <row r="251" spans="1:15" ht="15" customHeight="1">
      <c r="A251" s="4006" t="s">
        <v>6175</v>
      </c>
      <c r="B251" s="4007">
        <f>+CONSOLIDADO!F830</f>
        <v>101793972</v>
      </c>
      <c r="C251" s="2413"/>
      <c r="D251" s="2413"/>
      <c r="E251" s="2413"/>
      <c r="F251" s="2413"/>
      <c r="G251" s="2413"/>
      <c r="H251" s="2414"/>
      <c r="I251" s="1846"/>
      <c r="J251" s="2414"/>
      <c r="K251" s="2414"/>
      <c r="L251" s="2415"/>
      <c r="M251" s="2415"/>
      <c r="N251" s="2416"/>
      <c r="O251" s="2405">
        <f t="shared" si="43"/>
        <v>0</v>
      </c>
    </row>
    <row r="252" spans="1:15" ht="15" customHeight="1">
      <c r="A252" s="4006"/>
      <c r="B252" s="4007"/>
      <c r="C252" s="2413"/>
      <c r="D252" s="2413"/>
      <c r="E252" s="2413"/>
      <c r="F252" s="2413"/>
      <c r="G252" s="2413"/>
      <c r="H252" s="2414"/>
      <c r="I252" s="2414"/>
      <c r="J252" s="2414"/>
      <c r="K252" s="2414"/>
      <c r="L252" s="2413">
        <f>+$B251/2</f>
        <v>50896986</v>
      </c>
      <c r="M252" s="2413">
        <f>+$B251/2</f>
        <v>50896986</v>
      </c>
      <c r="N252" s="2416"/>
      <c r="O252" s="2405">
        <f t="shared" si="43"/>
        <v>101793972</v>
      </c>
    </row>
    <row r="253" spans="1:15" ht="15" customHeight="1">
      <c r="A253" s="4006" t="s">
        <v>6176</v>
      </c>
      <c r="B253" s="4007">
        <f>+CONSOLIDADO!F832</f>
        <v>114736000</v>
      </c>
      <c r="C253" s="2413"/>
      <c r="D253" s="2413"/>
      <c r="E253" s="2413"/>
      <c r="F253" s="2413"/>
      <c r="G253" s="2413"/>
      <c r="H253" s="2414"/>
      <c r="I253" s="1846"/>
      <c r="J253" s="2414"/>
      <c r="K253" s="2414"/>
      <c r="L253" s="2415"/>
      <c r="M253" s="2415"/>
      <c r="N253" s="2416"/>
      <c r="O253" s="2405">
        <f t="shared" si="43"/>
        <v>0</v>
      </c>
    </row>
    <row r="254" spans="1:15" ht="15" customHeight="1">
      <c r="A254" s="4006"/>
      <c r="B254" s="4007"/>
      <c r="C254" s="2413"/>
      <c r="D254" s="2413"/>
      <c r="E254" s="2413"/>
      <c r="F254" s="2413"/>
      <c r="G254" s="2413"/>
      <c r="H254" s="2414"/>
      <c r="I254" s="2414"/>
      <c r="J254" s="2414"/>
      <c r="K254" s="2414"/>
      <c r="L254" s="2413">
        <f>+$B253/2</f>
        <v>57368000</v>
      </c>
      <c r="M254" s="2413">
        <f>+$B253/2</f>
        <v>57368000</v>
      </c>
      <c r="N254" s="2416"/>
      <c r="O254" s="2405">
        <f t="shared" si="43"/>
        <v>114736000</v>
      </c>
    </row>
    <row r="255" spans="1:15" ht="15" customHeight="1">
      <c r="A255" s="4006" t="s">
        <v>6177</v>
      </c>
      <c r="B255" s="4007">
        <f>+CONSOLIDADO!F834</f>
        <v>4720800</v>
      </c>
      <c r="C255" s="2413"/>
      <c r="D255" s="2413"/>
      <c r="E255" s="2413"/>
      <c r="F255" s="2413"/>
      <c r="G255" s="2413"/>
      <c r="H255" s="2414"/>
      <c r="I255" s="1846"/>
      <c r="J255" s="2414"/>
      <c r="K255" s="2414"/>
      <c r="L255" s="2415"/>
      <c r="M255" s="2415"/>
      <c r="N255" s="2416"/>
      <c r="O255" s="2405">
        <f t="shared" si="43"/>
        <v>0</v>
      </c>
    </row>
    <row r="256" spans="1:15" ht="15" customHeight="1">
      <c r="A256" s="4006"/>
      <c r="B256" s="4007"/>
      <c r="C256" s="2413"/>
      <c r="D256" s="2413"/>
      <c r="E256" s="2413"/>
      <c r="F256" s="2413"/>
      <c r="G256" s="2413"/>
      <c r="H256" s="2414"/>
      <c r="I256" s="2414"/>
      <c r="J256" s="2414"/>
      <c r="K256" s="2414"/>
      <c r="L256" s="2413">
        <f>+$B255/2</f>
        <v>2360400</v>
      </c>
      <c r="M256" s="2413">
        <f>+$B255/2</f>
        <v>2360400</v>
      </c>
      <c r="N256" s="2416"/>
      <c r="O256" s="2405">
        <f t="shared" si="43"/>
        <v>4720800</v>
      </c>
    </row>
    <row r="257" spans="1:15" ht="15" customHeight="1">
      <c r="A257" s="4006" t="s">
        <v>6178</v>
      </c>
      <c r="B257" s="4007">
        <f>++CONSOLIDADO!F838</f>
        <v>3163100</v>
      </c>
      <c r="C257" s="2413"/>
      <c r="D257" s="2413"/>
      <c r="E257" s="2413"/>
      <c r="F257" s="2413"/>
      <c r="G257" s="2413"/>
      <c r="H257" s="2414"/>
      <c r="I257" s="1846"/>
      <c r="J257" s="2414"/>
      <c r="K257" s="2414"/>
      <c r="L257" s="2415"/>
      <c r="M257" s="2415"/>
      <c r="N257" s="2416"/>
      <c r="O257" s="2405">
        <f t="shared" si="43"/>
        <v>0</v>
      </c>
    </row>
    <row r="258" spans="1:15" ht="15" customHeight="1">
      <c r="A258" s="4006"/>
      <c r="B258" s="4007"/>
      <c r="C258" s="2413"/>
      <c r="D258" s="2413"/>
      <c r="E258" s="2413"/>
      <c r="F258" s="2413"/>
      <c r="G258" s="2413"/>
      <c r="H258" s="2414"/>
      <c r="I258" s="2414"/>
      <c r="J258" s="2414"/>
      <c r="K258" s="2414"/>
      <c r="L258" s="2413">
        <f>+$B257/2</f>
        <v>1581550</v>
      </c>
      <c r="M258" s="2413">
        <f>+$B257/2</f>
        <v>1581550</v>
      </c>
      <c r="N258" s="2416"/>
      <c r="O258" s="2405">
        <f t="shared" si="43"/>
        <v>3163100</v>
      </c>
    </row>
    <row r="259" spans="1:15" ht="15" customHeight="1">
      <c r="A259" s="4006" t="s">
        <v>6179</v>
      </c>
      <c r="B259" s="4007">
        <f>+CONSOLIDADO!F846</f>
        <v>11682800</v>
      </c>
      <c r="C259" s="2413"/>
      <c r="D259" s="2413"/>
      <c r="E259" s="2413"/>
      <c r="F259" s="2413"/>
      <c r="G259" s="2413"/>
      <c r="H259" s="2414"/>
      <c r="I259" s="1846"/>
      <c r="J259" s="2414"/>
      <c r="K259" s="2414"/>
      <c r="L259" s="2415"/>
      <c r="M259" s="2415"/>
      <c r="N259" s="2416"/>
      <c r="O259" s="2405">
        <f t="shared" si="43"/>
        <v>0</v>
      </c>
    </row>
    <row r="260" spans="1:15" ht="15" customHeight="1">
      <c r="A260" s="4006"/>
      <c r="B260" s="4007"/>
      <c r="C260" s="2413"/>
      <c r="D260" s="2413"/>
      <c r="E260" s="2413"/>
      <c r="F260" s="2413"/>
      <c r="G260" s="2413"/>
      <c r="H260" s="2414"/>
      <c r="I260" s="2414"/>
      <c r="J260" s="2414"/>
      <c r="K260" s="2414"/>
      <c r="L260" s="2413">
        <f>+$B259/2</f>
        <v>5841400</v>
      </c>
      <c r="M260" s="2413">
        <f>+$B259/2</f>
        <v>5841400</v>
      </c>
      <c r="N260" s="2416"/>
      <c r="O260" s="2405">
        <f t="shared" si="43"/>
        <v>11682800</v>
      </c>
    </row>
    <row r="261" spans="1:15" ht="15" customHeight="1">
      <c r="A261" s="4006" t="s">
        <v>5221</v>
      </c>
      <c r="B261" s="4007">
        <f>+CONSOLIDADO!F850</f>
        <v>24420000</v>
      </c>
      <c r="C261" s="2413"/>
      <c r="D261" s="2413"/>
      <c r="E261" s="2413"/>
      <c r="F261" s="2413"/>
      <c r="G261" s="2413"/>
      <c r="H261" s="2414"/>
      <c r="I261" s="1846"/>
      <c r="J261" s="2414"/>
      <c r="K261" s="2414"/>
      <c r="L261" s="2415"/>
      <c r="M261" s="2415"/>
      <c r="N261" s="2416"/>
      <c r="O261" s="2405">
        <f t="shared" si="43"/>
        <v>0</v>
      </c>
    </row>
    <row r="262" spans="1:15" ht="15" customHeight="1">
      <c r="A262" s="4006"/>
      <c r="B262" s="4007"/>
      <c r="C262" s="2413"/>
      <c r="D262" s="2413"/>
      <c r="E262" s="2413"/>
      <c r="F262" s="2413"/>
      <c r="G262" s="2413"/>
      <c r="H262" s="2414"/>
      <c r="I262" s="2414"/>
      <c r="J262" s="2414"/>
      <c r="K262" s="2414"/>
      <c r="L262" s="2413">
        <f>+$B261/2</f>
        <v>12210000</v>
      </c>
      <c r="M262" s="2413">
        <f>+$B261/2</f>
        <v>12210000</v>
      </c>
      <c r="N262" s="2416"/>
      <c r="O262" s="2405">
        <f t="shared" si="43"/>
        <v>24420000</v>
      </c>
    </row>
    <row r="263" spans="1:15" ht="15" customHeight="1">
      <c r="A263" s="4006" t="s">
        <v>6202</v>
      </c>
      <c r="B263" s="4007">
        <f>+CONSOLIDADO!F852</f>
        <v>254844788</v>
      </c>
      <c r="C263" s="2413"/>
      <c r="D263" s="2413"/>
      <c r="E263" s="2413"/>
      <c r="F263" s="2413"/>
      <c r="G263" s="2413"/>
      <c r="H263" s="2414"/>
      <c r="I263" s="1846"/>
      <c r="J263" s="2414"/>
      <c r="K263" s="2414"/>
      <c r="L263" s="2415"/>
      <c r="M263" s="2415"/>
      <c r="N263" s="2416"/>
      <c r="O263" s="2405">
        <f t="shared" si="43"/>
        <v>0</v>
      </c>
    </row>
    <row r="264" spans="1:15" ht="15" customHeight="1">
      <c r="A264" s="4006"/>
      <c r="B264" s="4007"/>
      <c r="C264" s="2413"/>
      <c r="D264" s="2413"/>
      <c r="E264" s="2413"/>
      <c r="F264" s="2413"/>
      <c r="G264" s="2413"/>
      <c r="H264" s="2414"/>
      <c r="I264" s="2414"/>
      <c r="J264" s="2414"/>
      <c r="K264" s="2414"/>
      <c r="L264" s="2413">
        <f>+$B263/2</f>
        <v>127422394</v>
      </c>
      <c r="M264" s="2413">
        <f>+$B263/2</f>
        <v>127422394</v>
      </c>
      <c r="N264" s="2416"/>
      <c r="O264" s="2405">
        <f t="shared" si="43"/>
        <v>254844788</v>
      </c>
    </row>
    <row r="265" spans="1:15" ht="53.25" customHeight="1">
      <c r="A265" s="1838" t="s">
        <v>5749</v>
      </c>
      <c r="B265" s="2289">
        <f>+SUM(B266)</f>
        <v>47061067</v>
      </c>
      <c r="C265" s="1845"/>
      <c r="D265" s="1845"/>
      <c r="E265" s="1845"/>
      <c r="F265" s="1845"/>
      <c r="G265" s="1845"/>
      <c r="H265" s="1845"/>
      <c r="I265" s="1845"/>
      <c r="J265" s="1845"/>
      <c r="K265" s="1845"/>
      <c r="L265" s="1845"/>
      <c r="M265" s="1845"/>
      <c r="N265" s="1839"/>
      <c r="O265" s="2405">
        <f t="shared" ref="O265:O279" si="44">+SUM(C265:N265)</f>
        <v>0</v>
      </c>
    </row>
    <row r="266" spans="1:15" ht="22.5" customHeight="1">
      <c r="A266" s="4006" t="s">
        <v>1128</v>
      </c>
      <c r="B266" s="4007">
        <f>+CONSOLIDADO!F858</f>
        <v>47061067</v>
      </c>
      <c r="C266" s="2413"/>
      <c r="D266" s="2413"/>
      <c r="E266" s="2413"/>
      <c r="F266" s="2415"/>
      <c r="G266" s="2413"/>
      <c r="H266" s="2413"/>
      <c r="I266" s="2413"/>
      <c r="J266" s="2413"/>
      <c r="K266" s="2413"/>
      <c r="L266" s="2413"/>
      <c r="M266" s="2413"/>
      <c r="N266" s="2413"/>
      <c r="O266" s="2405">
        <f t="shared" si="44"/>
        <v>0</v>
      </c>
    </row>
    <row r="267" spans="1:15" ht="16.5" customHeight="1">
      <c r="A267" s="4006"/>
      <c r="B267" s="4007"/>
      <c r="C267" s="2413"/>
      <c r="D267" s="2413"/>
      <c r="E267" s="2413"/>
      <c r="F267" s="2413">
        <f>+$B266/1</f>
        <v>47061067</v>
      </c>
      <c r="G267" s="2413"/>
      <c r="H267" s="2413"/>
      <c r="I267" s="2413"/>
      <c r="J267" s="2413"/>
      <c r="K267" s="2413"/>
      <c r="L267" s="2413"/>
      <c r="M267" s="2413"/>
      <c r="N267" s="2426"/>
      <c r="O267" s="2405">
        <f t="shared" si="44"/>
        <v>47061067</v>
      </c>
    </row>
    <row r="268" spans="1:15" ht="53.25" customHeight="1">
      <c r="A268" s="1838" t="s">
        <v>5710</v>
      </c>
      <c r="B268" s="2289">
        <f>+B269</f>
        <v>745534458</v>
      </c>
      <c r="C268" s="1845"/>
      <c r="D268" s="1845"/>
      <c r="E268" s="1845"/>
      <c r="F268" s="1845"/>
      <c r="G268" s="1845"/>
      <c r="H268" s="1845"/>
      <c r="I268" s="1845"/>
      <c r="J268" s="1845"/>
      <c r="K268" s="1845"/>
      <c r="L268" s="1845"/>
      <c r="M268" s="1845"/>
      <c r="N268" s="1839"/>
      <c r="O268" s="2405">
        <f t="shared" ref="O268:O270" si="45">+SUM(C268:N268)</f>
        <v>0</v>
      </c>
    </row>
    <row r="269" spans="1:15" ht="24" customHeight="1">
      <c r="A269" s="4014" t="s">
        <v>1128</v>
      </c>
      <c r="B269" s="4016">
        <f>+CONSOLIDADO!F879</f>
        <v>745534458</v>
      </c>
      <c r="C269" s="2413"/>
      <c r="D269" s="2413"/>
      <c r="E269" s="2413"/>
      <c r="F269" s="2413"/>
      <c r="G269" s="2413"/>
      <c r="H269" s="2415"/>
      <c r="I269" s="2415"/>
      <c r="J269" s="2415"/>
      <c r="K269" s="2413"/>
      <c r="L269" s="2413"/>
      <c r="M269" s="2413"/>
      <c r="N269" s="2416"/>
      <c r="O269" s="2405">
        <f t="shared" si="45"/>
        <v>0</v>
      </c>
    </row>
    <row r="270" spans="1:15" ht="17.25" customHeight="1">
      <c r="A270" s="4015"/>
      <c r="B270" s="4017"/>
      <c r="C270" s="2413"/>
      <c r="D270" s="2413"/>
      <c r="E270" s="2413"/>
      <c r="F270" s="2413"/>
      <c r="G270" s="2413"/>
      <c r="H270" s="2413">
        <f>+$B269/3</f>
        <v>248511486</v>
      </c>
      <c r="I270" s="2413">
        <f t="shared" ref="I270:J270" si="46">+$B269/3</f>
        <v>248511486</v>
      </c>
      <c r="J270" s="2413">
        <f t="shared" si="46"/>
        <v>248511486</v>
      </c>
      <c r="K270" s="2413"/>
      <c r="L270" s="2413"/>
      <c r="M270" s="2413"/>
      <c r="N270" s="2416"/>
      <c r="O270" s="2405">
        <f t="shared" si="45"/>
        <v>745534458</v>
      </c>
    </row>
    <row r="271" spans="1:15" ht="53.25" customHeight="1">
      <c r="A271" s="1838" t="s">
        <v>6219</v>
      </c>
      <c r="B271" s="2289">
        <f>+SUM(B272:B273)</f>
        <v>15147950</v>
      </c>
      <c r="C271" s="1845"/>
      <c r="D271" s="1845"/>
      <c r="E271" s="1845"/>
      <c r="F271" s="1845"/>
      <c r="G271" s="1845"/>
      <c r="H271" s="1845"/>
      <c r="I271" s="1845"/>
      <c r="J271" s="1845"/>
      <c r="K271" s="1845"/>
      <c r="L271" s="1845"/>
      <c r="M271" s="1845"/>
      <c r="N271" s="1839"/>
      <c r="O271" s="2405">
        <f t="shared" si="44"/>
        <v>0</v>
      </c>
    </row>
    <row r="272" spans="1:15">
      <c r="A272" s="4018" t="s">
        <v>6220</v>
      </c>
      <c r="B272" s="4019">
        <f>+CONSOLIDADO!F896</f>
        <v>15147950</v>
      </c>
      <c r="C272" s="2413"/>
      <c r="D272" s="2413"/>
      <c r="E272" s="2413"/>
      <c r="F272" s="2413"/>
      <c r="G272" s="2413"/>
      <c r="H272" s="2413"/>
      <c r="I272" s="2413"/>
      <c r="J272" s="2413"/>
      <c r="K272" s="2413"/>
      <c r="L272" s="2415"/>
      <c r="M272" s="2413"/>
      <c r="N272" s="2416"/>
      <c r="O272" s="2405">
        <f t="shared" si="44"/>
        <v>0</v>
      </c>
    </row>
    <row r="273" spans="1:15">
      <c r="A273" s="4018"/>
      <c r="B273" s="4019"/>
      <c r="C273" s="2413"/>
      <c r="D273" s="2413"/>
      <c r="E273" s="2413"/>
      <c r="F273" s="2413"/>
      <c r="G273" s="2413"/>
      <c r="H273" s="2413"/>
      <c r="I273" s="2413"/>
      <c r="J273" s="2413"/>
      <c r="K273" s="2413"/>
      <c r="L273" s="2413">
        <f>+$B272/1</f>
        <v>15147950</v>
      </c>
      <c r="M273" s="2413"/>
      <c r="N273" s="2416"/>
      <c r="O273" s="2405">
        <f t="shared" si="44"/>
        <v>15147950</v>
      </c>
    </row>
    <row r="274" spans="1:15" ht="48.75" customHeight="1">
      <c r="A274" s="1838" t="s">
        <v>5709</v>
      </c>
      <c r="B274" s="2289">
        <f>+SUM(B275:B276)</f>
        <v>138326642</v>
      </c>
      <c r="C274" s="1845"/>
      <c r="D274" s="1845"/>
      <c r="E274" s="1845"/>
      <c r="F274" s="1845"/>
      <c r="G274" s="1845"/>
      <c r="H274" s="1845"/>
      <c r="I274" s="1845"/>
      <c r="J274" s="1845"/>
      <c r="K274" s="1845"/>
      <c r="L274" s="1845"/>
      <c r="M274" s="1845"/>
      <c r="N274" s="1839"/>
      <c r="O274" s="2405">
        <f t="shared" ref="O274:O276" si="47">+SUM(C274:N274)</f>
        <v>0</v>
      </c>
    </row>
    <row r="275" spans="1:15">
      <c r="A275" s="4018" t="s">
        <v>6227</v>
      </c>
      <c r="B275" s="4019">
        <f>+CONSOLIDADO!F907</f>
        <v>138326642</v>
      </c>
      <c r="C275" s="2413"/>
      <c r="D275" s="2413"/>
      <c r="E275" s="2413"/>
      <c r="F275" s="2413"/>
      <c r="G275" s="2413"/>
      <c r="H275" s="2413"/>
      <c r="I275" s="2413"/>
      <c r="J275" s="2413"/>
      <c r="K275" s="2413"/>
      <c r="L275" s="2415"/>
      <c r="M275" s="2413"/>
      <c r="N275" s="2416"/>
      <c r="O275" s="2405">
        <f t="shared" si="47"/>
        <v>0</v>
      </c>
    </row>
    <row r="276" spans="1:15">
      <c r="A276" s="4018"/>
      <c r="B276" s="4019"/>
      <c r="C276" s="2413"/>
      <c r="D276" s="2413"/>
      <c r="E276" s="2413"/>
      <c r="F276" s="2413"/>
      <c r="G276" s="2413"/>
      <c r="H276" s="2413"/>
      <c r="I276" s="2413"/>
      <c r="J276" s="2413"/>
      <c r="K276" s="2413"/>
      <c r="L276" s="2413">
        <f>+$B275/1</f>
        <v>138326642</v>
      </c>
      <c r="M276" s="2413"/>
      <c r="N276" s="2416"/>
      <c r="O276" s="2405">
        <f t="shared" si="47"/>
        <v>138326642</v>
      </c>
    </row>
    <row r="277" spans="1:15" ht="53.25" customHeight="1">
      <c r="A277" s="1838" t="s">
        <v>6221</v>
      </c>
      <c r="B277" s="2289">
        <f>+B278</f>
        <v>666637294</v>
      </c>
      <c r="C277" s="1845"/>
      <c r="D277" s="1845"/>
      <c r="E277" s="1845"/>
      <c r="F277" s="1845"/>
      <c r="G277" s="1845"/>
      <c r="H277" s="1845"/>
      <c r="I277" s="1845"/>
      <c r="J277" s="1845"/>
      <c r="K277" s="1845"/>
      <c r="L277" s="1845"/>
      <c r="M277" s="1845"/>
      <c r="N277" s="1839"/>
      <c r="O277" s="2405">
        <f t="shared" si="44"/>
        <v>0</v>
      </c>
    </row>
    <row r="278" spans="1:15" ht="33" customHeight="1">
      <c r="A278" s="4006" t="s">
        <v>1128</v>
      </c>
      <c r="B278" s="4008">
        <f>+CONSOLIDADO!F931</f>
        <v>666637294</v>
      </c>
      <c r="C278" s="2413"/>
      <c r="D278" s="2413"/>
      <c r="E278" s="2413"/>
      <c r="F278" s="2413"/>
      <c r="G278" s="2413"/>
      <c r="H278" s="2413"/>
      <c r="I278" s="2415"/>
      <c r="J278" s="2415"/>
      <c r="K278" s="2415"/>
      <c r="L278" s="1846"/>
      <c r="M278" s="1846"/>
      <c r="N278" s="1848"/>
      <c r="O278" s="2405">
        <f t="shared" si="44"/>
        <v>0</v>
      </c>
    </row>
    <row r="279" spans="1:15" ht="20.25" customHeight="1">
      <c r="A279" s="4006"/>
      <c r="B279" s="4009"/>
      <c r="C279" s="2413"/>
      <c r="D279" s="2413"/>
      <c r="E279" s="2413"/>
      <c r="F279" s="2413"/>
      <c r="G279" s="2413"/>
      <c r="H279" s="2413"/>
      <c r="I279" s="2413">
        <f>+$B278/3</f>
        <v>222212431.33333334</v>
      </c>
      <c r="J279" s="2413">
        <f t="shared" ref="J279:K279" si="48">+$B278/3</f>
        <v>222212431.33333334</v>
      </c>
      <c r="K279" s="2413">
        <f t="shared" si="48"/>
        <v>222212431.33333334</v>
      </c>
      <c r="L279" s="2413"/>
      <c r="M279" s="2413"/>
      <c r="N279" s="2426"/>
      <c r="O279" s="2405">
        <f t="shared" si="44"/>
        <v>666637294</v>
      </c>
    </row>
    <row r="280" spans="1:15">
      <c r="A280" s="2427" t="s">
        <v>4282</v>
      </c>
      <c r="B280" s="1843">
        <f>B277+B274+B271+B268+B265+B236+B231+B222+B219+B216+B183</f>
        <v>8172181004</v>
      </c>
    </row>
    <row r="281" spans="1:15">
      <c r="A281" s="1844" t="s">
        <v>7920</v>
      </c>
      <c r="B281" s="1843">
        <f>+'RESUMEN 2'!I21</f>
        <v>1500322539</v>
      </c>
      <c r="C281" s="2413">
        <f>$B$281/12</f>
        <v>125026878.25</v>
      </c>
      <c r="D281" s="2413">
        <f>$B$281/12</f>
        <v>125026878.25</v>
      </c>
      <c r="E281" s="2413">
        <f t="shared" ref="E281:N281" si="49">$B$281/12</f>
        <v>125026878.25</v>
      </c>
      <c r="F281" s="2413">
        <f t="shared" si="49"/>
        <v>125026878.25</v>
      </c>
      <c r="G281" s="2413">
        <f t="shared" si="49"/>
        <v>125026878.25</v>
      </c>
      <c r="H281" s="2413">
        <f t="shared" si="49"/>
        <v>125026878.25</v>
      </c>
      <c r="I281" s="2413">
        <f t="shared" si="49"/>
        <v>125026878.25</v>
      </c>
      <c r="J281" s="2413">
        <f t="shared" si="49"/>
        <v>125026878.25</v>
      </c>
      <c r="K281" s="2413">
        <f t="shared" si="49"/>
        <v>125026878.25</v>
      </c>
      <c r="L281" s="2413">
        <f t="shared" si="49"/>
        <v>125026878.25</v>
      </c>
      <c r="M281" s="2413">
        <f t="shared" si="49"/>
        <v>125026878.25</v>
      </c>
      <c r="N281" s="2413">
        <f t="shared" si="49"/>
        <v>125026878.25</v>
      </c>
      <c r="O281" s="2405">
        <f>ROUND(+SUM(C281:N281),0)</f>
        <v>1500322539</v>
      </c>
    </row>
    <row r="282" spans="1:15">
      <c r="A282" s="1844" t="s">
        <v>4250</v>
      </c>
      <c r="B282" s="1843">
        <f>+'RESUMEN 2'!J21</f>
        <v>96725036</v>
      </c>
      <c r="C282" s="2413">
        <f>$B$282/12</f>
        <v>8060419.666666667</v>
      </c>
      <c r="D282" s="2413">
        <f t="shared" ref="D282:N282" si="50">$B$282/12</f>
        <v>8060419.666666667</v>
      </c>
      <c r="E282" s="2413">
        <f t="shared" si="50"/>
        <v>8060419.666666667</v>
      </c>
      <c r="F282" s="2413">
        <f t="shared" si="50"/>
        <v>8060419.666666667</v>
      </c>
      <c r="G282" s="2413">
        <f t="shared" si="50"/>
        <v>8060419.666666667</v>
      </c>
      <c r="H282" s="2413">
        <f t="shared" si="50"/>
        <v>8060419.666666667</v>
      </c>
      <c r="I282" s="2413">
        <f t="shared" si="50"/>
        <v>8060419.666666667</v>
      </c>
      <c r="J282" s="2413">
        <f t="shared" si="50"/>
        <v>8060419.666666667</v>
      </c>
      <c r="K282" s="2413">
        <f t="shared" si="50"/>
        <v>8060419.666666667</v>
      </c>
      <c r="L282" s="2413">
        <f t="shared" si="50"/>
        <v>8060419.666666667</v>
      </c>
      <c r="M282" s="2413">
        <f t="shared" si="50"/>
        <v>8060419.666666667</v>
      </c>
      <c r="N282" s="2413">
        <f t="shared" si="50"/>
        <v>8060419.666666667</v>
      </c>
      <c r="O282" s="2405">
        <f>ROUND(+SUM(C282:N282),0)</f>
        <v>96725036</v>
      </c>
    </row>
    <row r="283" spans="1:15" ht="30.75" customHeight="1">
      <c r="A283" s="1844" t="s">
        <v>6210</v>
      </c>
      <c r="B283" s="1843">
        <f>ROUND(0.02*(B281+B280),0)</f>
        <v>193450071</v>
      </c>
      <c r="C283" s="2413">
        <f>$B$283/12</f>
        <v>16120839.25</v>
      </c>
      <c r="D283" s="2413">
        <f t="shared" ref="D283:N283" si="51">$B$283/12</f>
        <v>16120839.25</v>
      </c>
      <c r="E283" s="2413">
        <f t="shared" si="51"/>
        <v>16120839.25</v>
      </c>
      <c r="F283" s="2413">
        <f t="shared" si="51"/>
        <v>16120839.25</v>
      </c>
      <c r="G283" s="2413">
        <f t="shared" si="51"/>
        <v>16120839.25</v>
      </c>
      <c r="H283" s="2413">
        <f t="shared" si="51"/>
        <v>16120839.25</v>
      </c>
      <c r="I283" s="2413">
        <f t="shared" si="51"/>
        <v>16120839.25</v>
      </c>
      <c r="J283" s="2413">
        <f t="shared" si="51"/>
        <v>16120839.25</v>
      </c>
      <c r="K283" s="2413">
        <f t="shared" si="51"/>
        <v>16120839.25</v>
      </c>
      <c r="L283" s="2413">
        <f t="shared" si="51"/>
        <v>16120839.25</v>
      </c>
      <c r="M283" s="2413">
        <f t="shared" si="51"/>
        <v>16120839.25</v>
      </c>
      <c r="N283" s="2413">
        <f t="shared" si="51"/>
        <v>16120839.25</v>
      </c>
      <c r="O283" s="2405">
        <f>ROUND(+SUM(C283:N283),0)</f>
        <v>193450071</v>
      </c>
    </row>
    <row r="284" spans="1:15">
      <c r="A284" s="1844" t="s">
        <v>6222</v>
      </c>
      <c r="B284" s="1843">
        <f>+B283+B282+B281+B280</f>
        <v>9962678650</v>
      </c>
    </row>
    <row r="285" spans="1:15">
      <c r="A285" s="1844" t="s">
        <v>7922</v>
      </c>
      <c r="B285" s="1843" t="e">
        <f>ROUND(+B284+B181,0)</f>
        <v>#REF!</v>
      </c>
    </row>
    <row r="286" spans="1:15">
      <c r="C286" s="2428"/>
      <c r="D286" s="2428"/>
      <c r="E286" s="2428"/>
      <c r="F286" s="2428"/>
      <c r="G286" s="2428"/>
      <c r="H286" s="2428"/>
      <c r="I286" s="2428"/>
      <c r="J286" s="2428"/>
      <c r="K286" s="2428"/>
      <c r="L286" s="2428"/>
      <c r="M286" s="2428"/>
      <c r="N286" s="2429"/>
    </row>
    <row r="287" spans="1:15">
      <c r="A287" s="4010" t="s">
        <v>6223</v>
      </c>
      <c r="B287" s="4011"/>
      <c r="C287" s="2411">
        <f>SUM(C5:C283)</f>
        <v>513478963.16666675</v>
      </c>
      <c r="D287" s="2411">
        <f>SUM(D5:D283)</f>
        <v>2010084504.4166667</v>
      </c>
      <c r="E287" s="2411">
        <f>SUM(E5:E283)</f>
        <v>4363456739.250001</v>
      </c>
      <c r="F287" s="2411">
        <f>SUM(F5:F283)</f>
        <v>2444056627.2500005</v>
      </c>
      <c r="G287" s="2411">
        <f t="shared" ref="G287:N287" si="52">SUM(G5:G283)</f>
        <v>1223025675.9166667</v>
      </c>
      <c r="H287" s="2411" t="e">
        <f t="shared" si="52"/>
        <v>#REF!</v>
      </c>
      <c r="I287" s="2411" t="e">
        <f t="shared" si="52"/>
        <v>#REF!</v>
      </c>
      <c r="J287" s="2411" t="e">
        <f t="shared" si="52"/>
        <v>#REF!</v>
      </c>
      <c r="K287" s="2411" t="e">
        <f t="shared" si="52"/>
        <v>#REF!</v>
      </c>
      <c r="L287" s="2411">
        <f t="shared" si="52"/>
        <v>1191833775.75</v>
      </c>
      <c r="M287" s="2411">
        <f t="shared" si="52"/>
        <v>821719516.16666663</v>
      </c>
      <c r="N287" s="2411">
        <f t="shared" si="52"/>
        <v>519376234.16666675</v>
      </c>
      <c r="O287" s="2405" t="e">
        <f>+SUM(C287:N287)</f>
        <v>#REF!</v>
      </c>
    </row>
    <row r="288" spans="1:15">
      <c r="A288" s="4010" t="s">
        <v>6224</v>
      </c>
      <c r="B288" s="4011"/>
      <c r="C288" s="2430" t="e">
        <f>+C287/$O$287</f>
        <v>#REF!</v>
      </c>
      <c r="D288" s="2430" t="e">
        <f t="shared" ref="D288:N288" si="53">+D287/$O$287</f>
        <v>#REF!</v>
      </c>
      <c r="E288" s="2430" t="e">
        <f t="shared" si="53"/>
        <v>#REF!</v>
      </c>
      <c r="F288" s="2430" t="e">
        <f t="shared" si="53"/>
        <v>#REF!</v>
      </c>
      <c r="G288" s="2430" t="e">
        <f t="shared" si="53"/>
        <v>#REF!</v>
      </c>
      <c r="H288" s="2430" t="e">
        <f t="shared" si="53"/>
        <v>#REF!</v>
      </c>
      <c r="I288" s="2430" t="e">
        <f t="shared" si="53"/>
        <v>#REF!</v>
      </c>
      <c r="J288" s="2430" t="e">
        <f t="shared" si="53"/>
        <v>#REF!</v>
      </c>
      <c r="K288" s="2430" t="e">
        <f t="shared" si="53"/>
        <v>#REF!</v>
      </c>
      <c r="L288" s="2430" t="e">
        <f t="shared" si="53"/>
        <v>#REF!</v>
      </c>
      <c r="M288" s="2430" t="e">
        <f t="shared" si="53"/>
        <v>#REF!</v>
      </c>
      <c r="N288" s="2431" t="e">
        <f t="shared" si="53"/>
        <v>#REF!</v>
      </c>
    </row>
    <row r="289" spans="1:15">
      <c r="A289" s="4010" t="s">
        <v>6225</v>
      </c>
      <c r="B289" s="4011"/>
      <c r="C289" s="2411">
        <f>+C287</f>
        <v>513478963.16666675</v>
      </c>
      <c r="D289" s="2411">
        <f>+C289+D287</f>
        <v>2523563467.5833335</v>
      </c>
      <c r="E289" s="2411">
        <f t="shared" ref="E289:N289" si="54">+D289+E287</f>
        <v>6887020206.833334</v>
      </c>
      <c r="F289" s="2411">
        <f t="shared" si="54"/>
        <v>9331076834.083334</v>
      </c>
      <c r="G289" s="2411">
        <f t="shared" si="54"/>
        <v>10554102510</v>
      </c>
      <c r="H289" s="2411" t="e">
        <f t="shared" si="54"/>
        <v>#REF!</v>
      </c>
      <c r="I289" s="2411" t="e">
        <f t="shared" si="54"/>
        <v>#REF!</v>
      </c>
      <c r="J289" s="2411" t="e">
        <f t="shared" si="54"/>
        <v>#REF!</v>
      </c>
      <c r="K289" s="2411" t="e">
        <f t="shared" si="54"/>
        <v>#REF!</v>
      </c>
      <c r="L289" s="2411" t="e">
        <f t="shared" si="54"/>
        <v>#REF!</v>
      </c>
      <c r="M289" s="2411" t="e">
        <f t="shared" si="54"/>
        <v>#REF!</v>
      </c>
      <c r="N289" s="2411" t="e">
        <f t="shared" si="54"/>
        <v>#REF!</v>
      </c>
      <c r="O289" s="2432"/>
    </row>
    <row r="290" spans="1:15">
      <c r="A290" s="4012" t="s">
        <v>6226</v>
      </c>
      <c r="B290" s="4013"/>
      <c r="C290" s="2430" t="e">
        <f>+C288</f>
        <v>#REF!</v>
      </c>
      <c r="D290" s="2430" t="e">
        <f>+C290+D288</f>
        <v>#REF!</v>
      </c>
      <c r="E290" s="2430" t="e">
        <f t="shared" ref="E290:N290" si="55">+D290+E288</f>
        <v>#REF!</v>
      </c>
      <c r="F290" s="2430" t="e">
        <f t="shared" si="55"/>
        <v>#REF!</v>
      </c>
      <c r="G290" s="2430" t="e">
        <f t="shared" si="55"/>
        <v>#REF!</v>
      </c>
      <c r="H290" s="2430" t="e">
        <f t="shared" si="55"/>
        <v>#REF!</v>
      </c>
      <c r="I290" s="2430" t="e">
        <f t="shared" si="55"/>
        <v>#REF!</v>
      </c>
      <c r="J290" s="2430" t="e">
        <f t="shared" si="55"/>
        <v>#REF!</v>
      </c>
      <c r="K290" s="2430" t="e">
        <f t="shared" si="55"/>
        <v>#REF!</v>
      </c>
      <c r="L290" s="2430" t="e">
        <f t="shared" si="55"/>
        <v>#REF!</v>
      </c>
      <c r="M290" s="2430" t="e">
        <f t="shared" si="55"/>
        <v>#REF!</v>
      </c>
      <c r="N290" s="2430" t="e">
        <f t="shared" si="55"/>
        <v>#REF!</v>
      </c>
    </row>
    <row r="291" spans="1:15">
      <c r="N291" s="2433"/>
    </row>
    <row r="294" spans="1:15">
      <c r="A294" s="2406"/>
    </row>
  </sheetData>
  <mergeCells count="254">
    <mergeCell ref="C1:N1"/>
    <mergeCell ref="A3:B3"/>
    <mergeCell ref="A5:A6"/>
    <mergeCell ref="B5:B6"/>
    <mergeCell ref="A7:A8"/>
    <mergeCell ref="B7:B8"/>
    <mergeCell ref="A275:A276"/>
    <mergeCell ref="B275:B276"/>
    <mergeCell ref="A15:A16"/>
    <mergeCell ref="B15:B16"/>
    <mergeCell ref="A17:A18"/>
    <mergeCell ref="B17:B18"/>
    <mergeCell ref="A19:A20"/>
    <mergeCell ref="B19:B20"/>
    <mergeCell ref="A9:A10"/>
    <mergeCell ref="B9:B10"/>
    <mergeCell ref="A11:A12"/>
    <mergeCell ref="B11:B12"/>
    <mergeCell ref="A13:A14"/>
    <mergeCell ref="B13:B14"/>
    <mergeCell ref="A29:A30"/>
    <mergeCell ref="B29:B30"/>
    <mergeCell ref="A31:A32"/>
    <mergeCell ref="B31:B32"/>
    <mergeCell ref="A33:A34"/>
    <mergeCell ref="B33:B34"/>
    <mergeCell ref="A21:A22"/>
    <mergeCell ref="A23:A24"/>
    <mergeCell ref="B23:B24"/>
    <mergeCell ref="A25:A26"/>
    <mergeCell ref="B25:B26"/>
    <mergeCell ref="A27:A28"/>
    <mergeCell ref="B27:B28"/>
    <mergeCell ref="B21:B22"/>
    <mergeCell ref="A43:A44"/>
    <mergeCell ref="B43:B44"/>
    <mergeCell ref="A45:A46"/>
    <mergeCell ref="B45:B46"/>
    <mergeCell ref="A47:A48"/>
    <mergeCell ref="B47:B48"/>
    <mergeCell ref="A36:A37"/>
    <mergeCell ref="B36:B37"/>
    <mergeCell ref="A39:A40"/>
    <mergeCell ref="B39:B40"/>
    <mergeCell ref="A41:A42"/>
    <mergeCell ref="B41:B42"/>
    <mergeCell ref="A56:A57"/>
    <mergeCell ref="B56:B57"/>
    <mergeCell ref="A58:A59"/>
    <mergeCell ref="B58:B59"/>
    <mergeCell ref="A60:A61"/>
    <mergeCell ref="B60:B61"/>
    <mergeCell ref="A50:A51"/>
    <mergeCell ref="B50:B51"/>
    <mergeCell ref="A52:A53"/>
    <mergeCell ref="B52:B53"/>
    <mergeCell ref="A54:A55"/>
    <mergeCell ref="B54:B55"/>
    <mergeCell ref="A68:A69"/>
    <mergeCell ref="B68:B69"/>
    <mergeCell ref="A70:A71"/>
    <mergeCell ref="B70:B71"/>
    <mergeCell ref="A72:A73"/>
    <mergeCell ref="B72:B73"/>
    <mergeCell ref="A62:A63"/>
    <mergeCell ref="B62:B63"/>
    <mergeCell ref="A64:A65"/>
    <mergeCell ref="B64:B65"/>
    <mergeCell ref="A66:A67"/>
    <mergeCell ref="B66:B67"/>
    <mergeCell ref="A81:A82"/>
    <mergeCell ref="B81:B82"/>
    <mergeCell ref="A83:A84"/>
    <mergeCell ref="B83:B84"/>
    <mergeCell ref="A86:A87"/>
    <mergeCell ref="B86:B87"/>
    <mergeCell ref="A75:A76"/>
    <mergeCell ref="B75:B76"/>
    <mergeCell ref="A77:A78"/>
    <mergeCell ref="B77:B78"/>
    <mergeCell ref="A79:A80"/>
    <mergeCell ref="B79:B80"/>
    <mergeCell ref="A94:A95"/>
    <mergeCell ref="B94:B95"/>
    <mergeCell ref="A96:A97"/>
    <mergeCell ref="B96:B97"/>
    <mergeCell ref="A98:A99"/>
    <mergeCell ref="B98:B99"/>
    <mergeCell ref="A88:A89"/>
    <mergeCell ref="B88:B89"/>
    <mergeCell ref="A90:A91"/>
    <mergeCell ref="B90:B91"/>
    <mergeCell ref="A92:A93"/>
    <mergeCell ref="B92:B93"/>
    <mergeCell ref="A106:A107"/>
    <mergeCell ref="B106:B107"/>
    <mergeCell ref="A108:A109"/>
    <mergeCell ref="B108:B109"/>
    <mergeCell ref="A110:A111"/>
    <mergeCell ref="B110:B111"/>
    <mergeCell ref="A100:A101"/>
    <mergeCell ref="B100:B101"/>
    <mergeCell ref="A102:A103"/>
    <mergeCell ref="B102:B103"/>
    <mergeCell ref="A104:A105"/>
    <mergeCell ref="B104:B105"/>
    <mergeCell ref="A120:A121"/>
    <mergeCell ref="B120:B121"/>
    <mergeCell ref="A122:A123"/>
    <mergeCell ref="B122:B123"/>
    <mergeCell ref="A124:A125"/>
    <mergeCell ref="B124:B125"/>
    <mergeCell ref="A112:A113"/>
    <mergeCell ref="B112:B113"/>
    <mergeCell ref="A114:A115"/>
    <mergeCell ref="B114:B115"/>
    <mergeCell ref="A117:A118"/>
    <mergeCell ref="B117:B118"/>
    <mergeCell ref="A135:A136"/>
    <mergeCell ref="B135:B136"/>
    <mergeCell ref="A137:A138"/>
    <mergeCell ref="B137:B138"/>
    <mergeCell ref="A139:A140"/>
    <mergeCell ref="B139:B140"/>
    <mergeCell ref="A126:A127"/>
    <mergeCell ref="B126:B127"/>
    <mergeCell ref="A130:A131"/>
    <mergeCell ref="B130:B131"/>
    <mergeCell ref="A133:A134"/>
    <mergeCell ref="B133:B134"/>
    <mergeCell ref="A128:A129"/>
    <mergeCell ref="B128:B129"/>
    <mergeCell ref="A147:A148"/>
    <mergeCell ref="B147:B148"/>
    <mergeCell ref="A149:A150"/>
    <mergeCell ref="B149:B150"/>
    <mergeCell ref="A151:A152"/>
    <mergeCell ref="B151:B152"/>
    <mergeCell ref="A141:A142"/>
    <mergeCell ref="B141:B142"/>
    <mergeCell ref="A143:A144"/>
    <mergeCell ref="B143:B144"/>
    <mergeCell ref="A145:A146"/>
    <mergeCell ref="B145:B146"/>
    <mergeCell ref="A162:A163"/>
    <mergeCell ref="B162:B163"/>
    <mergeCell ref="A165:A166"/>
    <mergeCell ref="B165:B166"/>
    <mergeCell ref="A167:A168"/>
    <mergeCell ref="B167:B168"/>
    <mergeCell ref="A153:B154"/>
    <mergeCell ref="A155:A156"/>
    <mergeCell ref="B155:B156"/>
    <mergeCell ref="A157:A158"/>
    <mergeCell ref="B157:B158"/>
    <mergeCell ref="A159:A160"/>
    <mergeCell ref="B159:B160"/>
    <mergeCell ref="A182:B182"/>
    <mergeCell ref="A184:A185"/>
    <mergeCell ref="B184:B185"/>
    <mergeCell ref="A186:A187"/>
    <mergeCell ref="B186:B187"/>
    <mergeCell ref="A188:A189"/>
    <mergeCell ref="B188:B189"/>
    <mergeCell ref="A169:A170"/>
    <mergeCell ref="B169:B170"/>
    <mergeCell ref="A171:A172"/>
    <mergeCell ref="B171:B172"/>
    <mergeCell ref="A175:A176"/>
    <mergeCell ref="B175:B176"/>
    <mergeCell ref="A173:A174"/>
    <mergeCell ref="B173:B174"/>
    <mergeCell ref="A196:A197"/>
    <mergeCell ref="B196:B197"/>
    <mergeCell ref="A198:A199"/>
    <mergeCell ref="B198:B199"/>
    <mergeCell ref="A200:A201"/>
    <mergeCell ref="B200:B201"/>
    <mergeCell ref="A190:A191"/>
    <mergeCell ref="B190:B191"/>
    <mergeCell ref="A192:A193"/>
    <mergeCell ref="B192:B193"/>
    <mergeCell ref="A194:A195"/>
    <mergeCell ref="B194:B195"/>
    <mergeCell ref="A208:A209"/>
    <mergeCell ref="B208:B209"/>
    <mergeCell ref="A210:A211"/>
    <mergeCell ref="B210:B211"/>
    <mergeCell ref="A212:A213"/>
    <mergeCell ref="B212:B213"/>
    <mergeCell ref="A202:A203"/>
    <mergeCell ref="B202:B203"/>
    <mergeCell ref="A204:A205"/>
    <mergeCell ref="B204:B205"/>
    <mergeCell ref="A206:A207"/>
    <mergeCell ref="B206:B207"/>
    <mergeCell ref="A225:A226"/>
    <mergeCell ref="B225:B226"/>
    <mergeCell ref="A227:A228"/>
    <mergeCell ref="B227:B228"/>
    <mergeCell ref="A229:A230"/>
    <mergeCell ref="B229:B230"/>
    <mergeCell ref="A217:A218"/>
    <mergeCell ref="B217:B218"/>
    <mergeCell ref="A220:A221"/>
    <mergeCell ref="B220:B221"/>
    <mergeCell ref="A223:A224"/>
    <mergeCell ref="B223:B224"/>
    <mergeCell ref="A237:A238"/>
    <mergeCell ref="B237:B238"/>
    <mergeCell ref="A239:A240"/>
    <mergeCell ref="B239:B240"/>
    <mergeCell ref="A241:A242"/>
    <mergeCell ref="B241:B242"/>
    <mergeCell ref="A232:A233"/>
    <mergeCell ref="B232:B233"/>
    <mergeCell ref="A234:A235"/>
    <mergeCell ref="B234:B235"/>
    <mergeCell ref="A249:A250"/>
    <mergeCell ref="B249:B250"/>
    <mergeCell ref="A251:A252"/>
    <mergeCell ref="B251:B252"/>
    <mergeCell ref="A253:A254"/>
    <mergeCell ref="B253:B254"/>
    <mergeCell ref="A243:A244"/>
    <mergeCell ref="B243:B244"/>
    <mergeCell ref="A245:A246"/>
    <mergeCell ref="B245:B246"/>
    <mergeCell ref="A247:A248"/>
    <mergeCell ref="B247:B248"/>
    <mergeCell ref="A214:A215"/>
    <mergeCell ref="B214:B215"/>
    <mergeCell ref="A278:A279"/>
    <mergeCell ref="B278:B279"/>
    <mergeCell ref="A287:B287"/>
    <mergeCell ref="A288:B288"/>
    <mergeCell ref="A289:B289"/>
    <mergeCell ref="A290:B290"/>
    <mergeCell ref="A269:A270"/>
    <mergeCell ref="B269:B270"/>
    <mergeCell ref="A272:A273"/>
    <mergeCell ref="B272:B273"/>
    <mergeCell ref="A261:A262"/>
    <mergeCell ref="B261:B262"/>
    <mergeCell ref="A263:A264"/>
    <mergeCell ref="B263:B264"/>
    <mergeCell ref="A266:A267"/>
    <mergeCell ref="B266:B267"/>
    <mergeCell ref="A255:A256"/>
    <mergeCell ref="B255:B256"/>
    <mergeCell ref="A257:A258"/>
    <mergeCell ref="B257:B258"/>
    <mergeCell ref="A259:A260"/>
    <mergeCell ref="B259:B260"/>
  </mergeCells>
  <conditionalFormatting sqref="H6:J6">
    <cfRule type="cellIs" dxfId="0" priority="1" operator="equal">
      <formula>0</formula>
    </cfRule>
  </conditionalFormatting>
  <printOptions horizontalCentered="1" verticalCentered="1"/>
  <pageMargins left="0.51181102362204722" right="0.51181102362204722" top="0.35433070866141736" bottom="0.35433070866141736" header="0.31496062992125984" footer="0.31496062992125984"/>
  <pageSetup paperSize="9" scale="39" orientation="landscape" r:id="rId1"/>
  <rowBreaks count="2" manualBreakCount="2">
    <brk id="73" max="13" man="1"/>
    <brk id="221" max="1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90" zoomScaleNormal="90" zoomScaleSheetLayoutView="90" workbookViewId="0">
      <selection activeCell="G32" sqref="G32"/>
    </sheetView>
  </sheetViews>
  <sheetFormatPr baseColWidth="10" defaultColWidth="10.6640625" defaultRowHeight="10.199999999999999"/>
  <cols>
    <col min="1" max="3" width="16.33203125" style="2435" customWidth="1"/>
    <col min="4" max="4" width="19.109375" style="2435" customWidth="1"/>
    <col min="5" max="5" width="19.5546875" style="2435" bestFit="1" customWidth="1"/>
    <col min="6" max="6" width="19.109375" style="2435" customWidth="1"/>
    <col min="7" max="7" width="19.5546875" style="2435" bestFit="1" customWidth="1"/>
    <col min="8" max="8" width="13" style="2435" customWidth="1"/>
    <col min="9" max="9" width="11" style="2435" customWidth="1"/>
    <col min="10" max="10" width="14" style="2435" customWidth="1"/>
    <col min="11" max="11" width="14.33203125" style="2435" customWidth="1"/>
    <col min="12" max="12" width="12.5546875" style="2435" bestFit="1" customWidth="1"/>
    <col min="13" max="256" width="11.44140625" style="2435"/>
    <col min="257" max="259" width="16.33203125" style="2435" customWidth="1"/>
    <col min="260" max="260" width="19.109375" style="2435" customWidth="1"/>
    <col min="261" max="261" width="19.5546875" style="2435" bestFit="1" customWidth="1"/>
    <col min="262" max="262" width="19.109375" style="2435" customWidth="1"/>
    <col min="263" max="263" width="19.5546875" style="2435" bestFit="1" customWidth="1"/>
    <col min="264" max="264" width="13" style="2435" customWidth="1"/>
    <col min="265" max="265" width="11" style="2435" customWidth="1"/>
    <col min="266" max="266" width="14" style="2435" customWidth="1"/>
    <col min="267" max="267" width="14.33203125" style="2435" customWidth="1"/>
    <col min="268" max="268" width="12.5546875" style="2435" bestFit="1" customWidth="1"/>
    <col min="269" max="512" width="11.44140625" style="2435"/>
    <col min="513" max="515" width="16.33203125" style="2435" customWidth="1"/>
    <col min="516" max="516" width="19.109375" style="2435" customWidth="1"/>
    <col min="517" max="517" width="19.5546875" style="2435" bestFit="1" customWidth="1"/>
    <col min="518" max="518" width="19.109375" style="2435" customWidth="1"/>
    <col min="519" max="519" width="19.5546875" style="2435" bestFit="1" customWidth="1"/>
    <col min="520" max="520" width="13" style="2435" customWidth="1"/>
    <col min="521" max="521" width="11" style="2435" customWidth="1"/>
    <col min="522" max="522" width="14" style="2435" customWidth="1"/>
    <col min="523" max="523" width="14.33203125" style="2435" customWidth="1"/>
    <col min="524" max="524" width="12.5546875" style="2435" bestFit="1" customWidth="1"/>
    <col min="525" max="768" width="11.44140625" style="2435"/>
    <col min="769" max="771" width="16.33203125" style="2435" customWidth="1"/>
    <col min="772" max="772" width="19.109375" style="2435" customWidth="1"/>
    <col min="773" max="773" width="19.5546875" style="2435" bestFit="1" customWidth="1"/>
    <col min="774" max="774" width="19.109375" style="2435" customWidth="1"/>
    <col min="775" max="775" width="19.5546875" style="2435" bestFit="1" customWidth="1"/>
    <col min="776" max="776" width="13" style="2435" customWidth="1"/>
    <col min="777" max="777" width="11" style="2435" customWidth="1"/>
    <col min="778" max="778" width="14" style="2435" customWidth="1"/>
    <col min="779" max="779" width="14.33203125" style="2435" customWidth="1"/>
    <col min="780" max="780" width="12.5546875" style="2435" bestFit="1" customWidth="1"/>
    <col min="781" max="1024" width="11.44140625" style="2435"/>
    <col min="1025" max="1027" width="16.33203125" style="2435" customWidth="1"/>
    <col min="1028" max="1028" width="19.109375" style="2435" customWidth="1"/>
    <col min="1029" max="1029" width="19.5546875" style="2435" bestFit="1" customWidth="1"/>
    <col min="1030" max="1030" width="19.109375" style="2435" customWidth="1"/>
    <col min="1031" max="1031" width="19.5546875" style="2435" bestFit="1" customWidth="1"/>
    <col min="1032" max="1032" width="13" style="2435" customWidth="1"/>
    <col min="1033" max="1033" width="11" style="2435" customWidth="1"/>
    <col min="1034" max="1034" width="14" style="2435" customWidth="1"/>
    <col min="1035" max="1035" width="14.33203125" style="2435" customWidth="1"/>
    <col min="1036" max="1036" width="12.5546875" style="2435" bestFit="1" customWidth="1"/>
    <col min="1037" max="1280" width="11.44140625" style="2435"/>
    <col min="1281" max="1283" width="16.33203125" style="2435" customWidth="1"/>
    <col min="1284" max="1284" width="19.109375" style="2435" customWidth="1"/>
    <col min="1285" max="1285" width="19.5546875" style="2435" bestFit="1" customWidth="1"/>
    <col min="1286" max="1286" width="19.109375" style="2435" customWidth="1"/>
    <col min="1287" max="1287" width="19.5546875" style="2435" bestFit="1" customWidth="1"/>
    <col min="1288" max="1288" width="13" style="2435" customWidth="1"/>
    <col min="1289" max="1289" width="11" style="2435" customWidth="1"/>
    <col min="1290" max="1290" width="14" style="2435" customWidth="1"/>
    <col min="1291" max="1291" width="14.33203125" style="2435" customWidth="1"/>
    <col min="1292" max="1292" width="12.5546875" style="2435" bestFit="1" customWidth="1"/>
    <col min="1293" max="1536" width="11.44140625" style="2435"/>
    <col min="1537" max="1539" width="16.33203125" style="2435" customWidth="1"/>
    <col min="1540" max="1540" width="19.109375" style="2435" customWidth="1"/>
    <col min="1541" max="1541" width="19.5546875" style="2435" bestFit="1" customWidth="1"/>
    <col min="1542" max="1542" width="19.109375" style="2435" customWidth="1"/>
    <col min="1543" max="1543" width="19.5546875" style="2435" bestFit="1" customWidth="1"/>
    <col min="1544" max="1544" width="13" style="2435" customWidth="1"/>
    <col min="1545" max="1545" width="11" style="2435" customWidth="1"/>
    <col min="1546" max="1546" width="14" style="2435" customWidth="1"/>
    <col min="1547" max="1547" width="14.33203125" style="2435" customWidth="1"/>
    <col min="1548" max="1548" width="12.5546875" style="2435" bestFit="1" customWidth="1"/>
    <col min="1549" max="1792" width="11.44140625" style="2435"/>
    <col min="1793" max="1795" width="16.33203125" style="2435" customWidth="1"/>
    <col min="1796" max="1796" width="19.109375" style="2435" customWidth="1"/>
    <col min="1797" max="1797" width="19.5546875" style="2435" bestFit="1" customWidth="1"/>
    <col min="1798" max="1798" width="19.109375" style="2435" customWidth="1"/>
    <col min="1799" max="1799" width="19.5546875" style="2435" bestFit="1" customWidth="1"/>
    <col min="1800" max="1800" width="13" style="2435" customWidth="1"/>
    <col min="1801" max="1801" width="11" style="2435" customWidth="1"/>
    <col min="1802" max="1802" width="14" style="2435" customWidth="1"/>
    <col min="1803" max="1803" width="14.33203125" style="2435" customWidth="1"/>
    <col min="1804" max="1804" width="12.5546875" style="2435" bestFit="1" customWidth="1"/>
    <col min="1805" max="2048" width="11.44140625" style="2435"/>
    <col min="2049" max="2051" width="16.33203125" style="2435" customWidth="1"/>
    <col min="2052" max="2052" width="19.109375" style="2435" customWidth="1"/>
    <col min="2053" max="2053" width="19.5546875" style="2435" bestFit="1" customWidth="1"/>
    <col min="2054" max="2054" width="19.109375" style="2435" customWidth="1"/>
    <col min="2055" max="2055" width="19.5546875" style="2435" bestFit="1" customWidth="1"/>
    <col min="2056" max="2056" width="13" style="2435" customWidth="1"/>
    <col min="2057" max="2057" width="11" style="2435" customWidth="1"/>
    <col min="2058" max="2058" width="14" style="2435" customWidth="1"/>
    <col min="2059" max="2059" width="14.33203125" style="2435" customWidth="1"/>
    <col min="2060" max="2060" width="12.5546875" style="2435" bestFit="1" customWidth="1"/>
    <col min="2061" max="2304" width="11.44140625" style="2435"/>
    <col min="2305" max="2307" width="16.33203125" style="2435" customWidth="1"/>
    <col min="2308" max="2308" width="19.109375" style="2435" customWidth="1"/>
    <col min="2309" max="2309" width="19.5546875" style="2435" bestFit="1" customWidth="1"/>
    <col min="2310" max="2310" width="19.109375" style="2435" customWidth="1"/>
    <col min="2311" max="2311" width="19.5546875" style="2435" bestFit="1" customWidth="1"/>
    <col min="2312" max="2312" width="13" style="2435" customWidth="1"/>
    <col min="2313" max="2313" width="11" style="2435" customWidth="1"/>
    <col min="2314" max="2314" width="14" style="2435" customWidth="1"/>
    <col min="2315" max="2315" width="14.33203125" style="2435" customWidth="1"/>
    <col min="2316" max="2316" width="12.5546875" style="2435" bestFit="1" customWidth="1"/>
    <col min="2317" max="2560" width="11.44140625" style="2435"/>
    <col min="2561" max="2563" width="16.33203125" style="2435" customWidth="1"/>
    <col min="2564" max="2564" width="19.109375" style="2435" customWidth="1"/>
    <col min="2565" max="2565" width="19.5546875" style="2435" bestFit="1" customWidth="1"/>
    <col min="2566" max="2566" width="19.109375" style="2435" customWidth="1"/>
    <col min="2567" max="2567" width="19.5546875" style="2435" bestFit="1" customWidth="1"/>
    <col min="2568" max="2568" width="13" style="2435" customWidth="1"/>
    <col min="2569" max="2569" width="11" style="2435" customWidth="1"/>
    <col min="2570" max="2570" width="14" style="2435" customWidth="1"/>
    <col min="2571" max="2571" width="14.33203125" style="2435" customWidth="1"/>
    <col min="2572" max="2572" width="12.5546875" style="2435" bestFit="1" customWidth="1"/>
    <col min="2573" max="2816" width="11.44140625" style="2435"/>
    <col min="2817" max="2819" width="16.33203125" style="2435" customWidth="1"/>
    <col min="2820" max="2820" width="19.109375" style="2435" customWidth="1"/>
    <col min="2821" max="2821" width="19.5546875" style="2435" bestFit="1" customWidth="1"/>
    <col min="2822" max="2822" width="19.109375" style="2435" customWidth="1"/>
    <col min="2823" max="2823" width="19.5546875" style="2435" bestFit="1" customWidth="1"/>
    <col min="2824" max="2824" width="13" style="2435" customWidth="1"/>
    <col min="2825" max="2825" width="11" style="2435" customWidth="1"/>
    <col min="2826" max="2826" width="14" style="2435" customWidth="1"/>
    <col min="2827" max="2827" width="14.33203125" style="2435" customWidth="1"/>
    <col min="2828" max="2828" width="12.5546875" style="2435" bestFit="1" customWidth="1"/>
    <col min="2829" max="3072" width="11.44140625" style="2435"/>
    <col min="3073" max="3075" width="16.33203125" style="2435" customWidth="1"/>
    <col min="3076" max="3076" width="19.109375" style="2435" customWidth="1"/>
    <col min="3077" max="3077" width="19.5546875" style="2435" bestFit="1" customWidth="1"/>
    <col min="3078" max="3078" width="19.109375" style="2435" customWidth="1"/>
    <col min="3079" max="3079" width="19.5546875" style="2435" bestFit="1" customWidth="1"/>
    <col min="3080" max="3080" width="13" style="2435" customWidth="1"/>
    <col min="3081" max="3081" width="11" style="2435" customWidth="1"/>
    <col min="3082" max="3082" width="14" style="2435" customWidth="1"/>
    <col min="3083" max="3083" width="14.33203125" style="2435" customWidth="1"/>
    <col min="3084" max="3084" width="12.5546875" style="2435" bestFit="1" customWidth="1"/>
    <col min="3085" max="3328" width="11.44140625" style="2435"/>
    <col min="3329" max="3331" width="16.33203125" style="2435" customWidth="1"/>
    <col min="3332" max="3332" width="19.109375" style="2435" customWidth="1"/>
    <col min="3333" max="3333" width="19.5546875" style="2435" bestFit="1" customWidth="1"/>
    <col min="3334" max="3334" width="19.109375" style="2435" customWidth="1"/>
    <col min="3335" max="3335" width="19.5546875" style="2435" bestFit="1" customWidth="1"/>
    <col min="3336" max="3336" width="13" style="2435" customWidth="1"/>
    <col min="3337" max="3337" width="11" style="2435" customWidth="1"/>
    <col min="3338" max="3338" width="14" style="2435" customWidth="1"/>
    <col min="3339" max="3339" width="14.33203125" style="2435" customWidth="1"/>
    <col min="3340" max="3340" width="12.5546875" style="2435" bestFit="1" customWidth="1"/>
    <col min="3341" max="3584" width="11.44140625" style="2435"/>
    <col min="3585" max="3587" width="16.33203125" style="2435" customWidth="1"/>
    <col min="3588" max="3588" width="19.109375" style="2435" customWidth="1"/>
    <col min="3589" max="3589" width="19.5546875" style="2435" bestFit="1" customWidth="1"/>
    <col min="3590" max="3590" width="19.109375" style="2435" customWidth="1"/>
    <col min="3591" max="3591" width="19.5546875" style="2435" bestFit="1" customWidth="1"/>
    <col min="3592" max="3592" width="13" style="2435" customWidth="1"/>
    <col min="3593" max="3593" width="11" style="2435" customWidth="1"/>
    <col min="3594" max="3594" width="14" style="2435" customWidth="1"/>
    <col min="3595" max="3595" width="14.33203125" style="2435" customWidth="1"/>
    <col min="3596" max="3596" width="12.5546875" style="2435" bestFit="1" customWidth="1"/>
    <col min="3597" max="3840" width="11.44140625" style="2435"/>
    <col min="3841" max="3843" width="16.33203125" style="2435" customWidth="1"/>
    <col min="3844" max="3844" width="19.109375" style="2435" customWidth="1"/>
    <col min="3845" max="3845" width="19.5546875" style="2435" bestFit="1" customWidth="1"/>
    <col min="3846" max="3846" width="19.109375" style="2435" customWidth="1"/>
    <col min="3847" max="3847" width="19.5546875" style="2435" bestFit="1" customWidth="1"/>
    <col min="3848" max="3848" width="13" style="2435" customWidth="1"/>
    <col min="3849" max="3849" width="11" style="2435" customWidth="1"/>
    <col min="3850" max="3850" width="14" style="2435" customWidth="1"/>
    <col min="3851" max="3851" width="14.33203125" style="2435" customWidth="1"/>
    <col min="3852" max="3852" width="12.5546875" style="2435" bestFit="1" customWidth="1"/>
    <col min="3853" max="4096" width="11.44140625" style="2435"/>
    <col min="4097" max="4099" width="16.33203125" style="2435" customWidth="1"/>
    <col min="4100" max="4100" width="19.109375" style="2435" customWidth="1"/>
    <col min="4101" max="4101" width="19.5546875" style="2435" bestFit="1" customWidth="1"/>
    <col min="4102" max="4102" width="19.109375" style="2435" customWidth="1"/>
    <col min="4103" max="4103" width="19.5546875" style="2435" bestFit="1" customWidth="1"/>
    <col min="4104" max="4104" width="13" style="2435" customWidth="1"/>
    <col min="4105" max="4105" width="11" style="2435" customWidth="1"/>
    <col min="4106" max="4106" width="14" style="2435" customWidth="1"/>
    <col min="4107" max="4107" width="14.33203125" style="2435" customWidth="1"/>
    <col min="4108" max="4108" width="12.5546875" style="2435" bestFit="1" customWidth="1"/>
    <col min="4109" max="4352" width="11.44140625" style="2435"/>
    <col min="4353" max="4355" width="16.33203125" style="2435" customWidth="1"/>
    <col min="4356" max="4356" width="19.109375" style="2435" customWidth="1"/>
    <col min="4357" max="4357" width="19.5546875" style="2435" bestFit="1" customWidth="1"/>
    <col min="4358" max="4358" width="19.109375" style="2435" customWidth="1"/>
    <col min="4359" max="4359" width="19.5546875" style="2435" bestFit="1" customWidth="1"/>
    <col min="4360" max="4360" width="13" style="2435" customWidth="1"/>
    <col min="4361" max="4361" width="11" style="2435" customWidth="1"/>
    <col min="4362" max="4362" width="14" style="2435" customWidth="1"/>
    <col min="4363" max="4363" width="14.33203125" style="2435" customWidth="1"/>
    <col min="4364" max="4364" width="12.5546875" style="2435" bestFit="1" customWidth="1"/>
    <col min="4365" max="4608" width="11.44140625" style="2435"/>
    <col min="4609" max="4611" width="16.33203125" style="2435" customWidth="1"/>
    <col min="4612" max="4612" width="19.109375" style="2435" customWidth="1"/>
    <col min="4613" max="4613" width="19.5546875" style="2435" bestFit="1" customWidth="1"/>
    <col min="4614" max="4614" width="19.109375" style="2435" customWidth="1"/>
    <col min="4615" max="4615" width="19.5546875" style="2435" bestFit="1" customWidth="1"/>
    <col min="4616" max="4616" width="13" style="2435" customWidth="1"/>
    <col min="4617" max="4617" width="11" style="2435" customWidth="1"/>
    <col min="4618" max="4618" width="14" style="2435" customWidth="1"/>
    <col min="4619" max="4619" width="14.33203125" style="2435" customWidth="1"/>
    <col min="4620" max="4620" width="12.5546875" style="2435" bestFit="1" customWidth="1"/>
    <col min="4621" max="4864" width="11.44140625" style="2435"/>
    <col min="4865" max="4867" width="16.33203125" style="2435" customWidth="1"/>
    <col min="4868" max="4868" width="19.109375" style="2435" customWidth="1"/>
    <col min="4869" max="4869" width="19.5546875" style="2435" bestFit="1" customWidth="1"/>
    <col min="4870" max="4870" width="19.109375" style="2435" customWidth="1"/>
    <col min="4871" max="4871" width="19.5546875" style="2435" bestFit="1" customWidth="1"/>
    <col min="4872" max="4872" width="13" style="2435" customWidth="1"/>
    <col min="4873" max="4873" width="11" style="2435" customWidth="1"/>
    <col min="4874" max="4874" width="14" style="2435" customWidth="1"/>
    <col min="4875" max="4875" width="14.33203125" style="2435" customWidth="1"/>
    <col min="4876" max="4876" width="12.5546875" style="2435" bestFit="1" customWidth="1"/>
    <col min="4877" max="5120" width="11.44140625" style="2435"/>
    <col min="5121" max="5123" width="16.33203125" style="2435" customWidth="1"/>
    <col min="5124" max="5124" width="19.109375" style="2435" customWidth="1"/>
    <col min="5125" max="5125" width="19.5546875" style="2435" bestFit="1" customWidth="1"/>
    <col min="5126" max="5126" width="19.109375" style="2435" customWidth="1"/>
    <col min="5127" max="5127" width="19.5546875" style="2435" bestFit="1" customWidth="1"/>
    <col min="5128" max="5128" width="13" style="2435" customWidth="1"/>
    <col min="5129" max="5129" width="11" style="2435" customWidth="1"/>
    <col min="5130" max="5130" width="14" style="2435" customWidth="1"/>
    <col min="5131" max="5131" width="14.33203125" style="2435" customWidth="1"/>
    <col min="5132" max="5132" width="12.5546875" style="2435" bestFit="1" customWidth="1"/>
    <col min="5133" max="5376" width="11.44140625" style="2435"/>
    <col min="5377" max="5379" width="16.33203125" style="2435" customWidth="1"/>
    <col min="5380" max="5380" width="19.109375" style="2435" customWidth="1"/>
    <col min="5381" max="5381" width="19.5546875" style="2435" bestFit="1" customWidth="1"/>
    <col min="5382" max="5382" width="19.109375" style="2435" customWidth="1"/>
    <col min="5383" max="5383" width="19.5546875" style="2435" bestFit="1" customWidth="1"/>
    <col min="5384" max="5384" width="13" style="2435" customWidth="1"/>
    <col min="5385" max="5385" width="11" style="2435" customWidth="1"/>
    <col min="5386" max="5386" width="14" style="2435" customWidth="1"/>
    <col min="5387" max="5387" width="14.33203125" style="2435" customWidth="1"/>
    <col min="5388" max="5388" width="12.5546875" style="2435" bestFit="1" customWidth="1"/>
    <col min="5389" max="5632" width="11.44140625" style="2435"/>
    <col min="5633" max="5635" width="16.33203125" style="2435" customWidth="1"/>
    <col min="5636" max="5636" width="19.109375" style="2435" customWidth="1"/>
    <col min="5637" max="5637" width="19.5546875" style="2435" bestFit="1" customWidth="1"/>
    <col min="5638" max="5638" width="19.109375" style="2435" customWidth="1"/>
    <col min="5639" max="5639" width="19.5546875" style="2435" bestFit="1" customWidth="1"/>
    <col min="5640" max="5640" width="13" style="2435" customWidth="1"/>
    <col min="5641" max="5641" width="11" style="2435" customWidth="1"/>
    <col min="5642" max="5642" width="14" style="2435" customWidth="1"/>
    <col min="5643" max="5643" width="14.33203125" style="2435" customWidth="1"/>
    <col min="5644" max="5644" width="12.5546875" style="2435" bestFit="1" customWidth="1"/>
    <col min="5645" max="5888" width="11.44140625" style="2435"/>
    <col min="5889" max="5891" width="16.33203125" style="2435" customWidth="1"/>
    <col min="5892" max="5892" width="19.109375" style="2435" customWidth="1"/>
    <col min="5893" max="5893" width="19.5546875" style="2435" bestFit="1" customWidth="1"/>
    <col min="5894" max="5894" width="19.109375" style="2435" customWidth="1"/>
    <col min="5895" max="5895" width="19.5546875" style="2435" bestFit="1" customWidth="1"/>
    <col min="5896" max="5896" width="13" style="2435" customWidth="1"/>
    <col min="5897" max="5897" width="11" style="2435" customWidth="1"/>
    <col min="5898" max="5898" width="14" style="2435" customWidth="1"/>
    <col min="5899" max="5899" width="14.33203125" style="2435" customWidth="1"/>
    <col min="5900" max="5900" width="12.5546875" style="2435" bestFit="1" customWidth="1"/>
    <col min="5901" max="6144" width="11.44140625" style="2435"/>
    <col min="6145" max="6147" width="16.33203125" style="2435" customWidth="1"/>
    <col min="6148" max="6148" width="19.109375" style="2435" customWidth="1"/>
    <col min="6149" max="6149" width="19.5546875" style="2435" bestFit="1" customWidth="1"/>
    <col min="6150" max="6150" width="19.109375" style="2435" customWidth="1"/>
    <col min="6151" max="6151" width="19.5546875" style="2435" bestFit="1" customWidth="1"/>
    <col min="6152" max="6152" width="13" style="2435" customWidth="1"/>
    <col min="6153" max="6153" width="11" style="2435" customWidth="1"/>
    <col min="6154" max="6154" width="14" style="2435" customWidth="1"/>
    <col min="6155" max="6155" width="14.33203125" style="2435" customWidth="1"/>
    <col min="6156" max="6156" width="12.5546875" style="2435" bestFit="1" customWidth="1"/>
    <col min="6157" max="6400" width="11.44140625" style="2435"/>
    <col min="6401" max="6403" width="16.33203125" style="2435" customWidth="1"/>
    <col min="6404" max="6404" width="19.109375" style="2435" customWidth="1"/>
    <col min="6405" max="6405" width="19.5546875" style="2435" bestFit="1" customWidth="1"/>
    <col min="6406" max="6406" width="19.109375" style="2435" customWidth="1"/>
    <col min="6407" max="6407" width="19.5546875" style="2435" bestFit="1" customWidth="1"/>
    <col min="6408" max="6408" width="13" style="2435" customWidth="1"/>
    <col min="6409" max="6409" width="11" style="2435" customWidth="1"/>
    <col min="6410" max="6410" width="14" style="2435" customWidth="1"/>
    <col min="6411" max="6411" width="14.33203125" style="2435" customWidth="1"/>
    <col min="6412" max="6412" width="12.5546875" style="2435" bestFit="1" customWidth="1"/>
    <col min="6413" max="6656" width="11.44140625" style="2435"/>
    <col min="6657" max="6659" width="16.33203125" style="2435" customWidth="1"/>
    <col min="6660" max="6660" width="19.109375" style="2435" customWidth="1"/>
    <col min="6661" max="6661" width="19.5546875" style="2435" bestFit="1" customWidth="1"/>
    <col min="6662" max="6662" width="19.109375" style="2435" customWidth="1"/>
    <col min="6663" max="6663" width="19.5546875" style="2435" bestFit="1" customWidth="1"/>
    <col min="6664" max="6664" width="13" style="2435" customWidth="1"/>
    <col min="6665" max="6665" width="11" style="2435" customWidth="1"/>
    <col min="6666" max="6666" width="14" style="2435" customWidth="1"/>
    <col min="6667" max="6667" width="14.33203125" style="2435" customWidth="1"/>
    <col min="6668" max="6668" width="12.5546875" style="2435" bestFit="1" customWidth="1"/>
    <col min="6669" max="6912" width="11.44140625" style="2435"/>
    <col min="6913" max="6915" width="16.33203125" style="2435" customWidth="1"/>
    <col min="6916" max="6916" width="19.109375" style="2435" customWidth="1"/>
    <col min="6917" max="6917" width="19.5546875" style="2435" bestFit="1" customWidth="1"/>
    <col min="6918" max="6918" width="19.109375" style="2435" customWidth="1"/>
    <col min="6919" max="6919" width="19.5546875" style="2435" bestFit="1" customWidth="1"/>
    <col min="6920" max="6920" width="13" style="2435" customWidth="1"/>
    <col min="6921" max="6921" width="11" style="2435" customWidth="1"/>
    <col min="6922" max="6922" width="14" style="2435" customWidth="1"/>
    <col min="6923" max="6923" width="14.33203125" style="2435" customWidth="1"/>
    <col min="6924" max="6924" width="12.5546875" style="2435" bestFit="1" customWidth="1"/>
    <col min="6925" max="7168" width="11.44140625" style="2435"/>
    <col min="7169" max="7171" width="16.33203125" style="2435" customWidth="1"/>
    <col min="7172" max="7172" width="19.109375" style="2435" customWidth="1"/>
    <col min="7173" max="7173" width="19.5546875" style="2435" bestFit="1" customWidth="1"/>
    <col min="7174" max="7174" width="19.109375" style="2435" customWidth="1"/>
    <col min="7175" max="7175" width="19.5546875" style="2435" bestFit="1" customWidth="1"/>
    <col min="7176" max="7176" width="13" style="2435" customWidth="1"/>
    <col min="7177" max="7177" width="11" style="2435" customWidth="1"/>
    <col min="7178" max="7178" width="14" style="2435" customWidth="1"/>
    <col min="7179" max="7179" width="14.33203125" style="2435" customWidth="1"/>
    <col min="7180" max="7180" width="12.5546875" style="2435" bestFit="1" customWidth="1"/>
    <col min="7181" max="7424" width="11.44140625" style="2435"/>
    <col min="7425" max="7427" width="16.33203125" style="2435" customWidth="1"/>
    <col min="7428" max="7428" width="19.109375" style="2435" customWidth="1"/>
    <col min="7429" max="7429" width="19.5546875" style="2435" bestFit="1" customWidth="1"/>
    <col min="7430" max="7430" width="19.109375" style="2435" customWidth="1"/>
    <col min="7431" max="7431" width="19.5546875" style="2435" bestFit="1" customWidth="1"/>
    <col min="7432" max="7432" width="13" style="2435" customWidth="1"/>
    <col min="7433" max="7433" width="11" style="2435" customWidth="1"/>
    <col min="7434" max="7434" width="14" style="2435" customWidth="1"/>
    <col min="7435" max="7435" width="14.33203125" style="2435" customWidth="1"/>
    <col min="7436" max="7436" width="12.5546875" style="2435" bestFit="1" customWidth="1"/>
    <col min="7437" max="7680" width="11.44140625" style="2435"/>
    <col min="7681" max="7683" width="16.33203125" style="2435" customWidth="1"/>
    <col min="7684" max="7684" width="19.109375" style="2435" customWidth="1"/>
    <col min="7685" max="7685" width="19.5546875" style="2435" bestFit="1" customWidth="1"/>
    <col min="7686" max="7686" width="19.109375" style="2435" customWidth="1"/>
    <col min="7687" max="7687" width="19.5546875" style="2435" bestFit="1" customWidth="1"/>
    <col min="7688" max="7688" width="13" style="2435" customWidth="1"/>
    <col min="7689" max="7689" width="11" style="2435" customWidth="1"/>
    <col min="7690" max="7690" width="14" style="2435" customWidth="1"/>
    <col min="7691" max="7691" width="14.33203125" style="2435" customWidth="1"/>
    <col min="7692" max="7692" width="12.5546875" style="2435" bestFit="1" customWidth="1"/>
    <col min="7693" max="7936" width="11.44140625" style="2435"/>
    <col min="7937" max="7939" width="16.33203125" style="2435" customWidth="1"/>
    <col min="7940" max="7940" width="19.109375" style="2435" customWidth="1"/>
    <col min="7941" max="7941" width="19.5546875" style="2435" bestFit="1" customWidth="1"/>
    <col min="7942" max="7942" width="19.109375" style="2435" customWidth="1"/>
    <col min="7943" max="7943" width="19.5546875" style="2435" bestFit="1" customWidth="1"/>
    <col min="7944" max="7944" width="13" style="2435" customWidth="1"/>
    <col min="7945" max="7945" width="11" style="2435" customWidth="1"/>
    <col min="7946" max="7946" width="14" style="2435" customWidth="1"/>
    <col min="7947" max="7947" width="14.33203125" style="2435" customWidth="1"/>
    <col min="7948" max="7948" width="12.5546875" style="2435" bestFit="1" customWidth="1"/>
    <col min="7949" max="8192" width="11.44140625" style="2435"/>
    <col min="8193" max="8195" width="16.33203125" style="2435" customWidth="1"/>
    <col min="8196" max="8196" width="19.109375" style="2435" customWidth="1"/>
    <col min="8197" max="8197" width="19.5546875" style="2435" bestFit="1" customWidth="1"/>
    <col min="8198" max="8198" width="19.109375" style="2435" customWidth="1"/>
    <col min="8199" max="8199" width="19.5546875" style="2435" bestFit="1" customWidth="1"/>
    <col min="8200" max="8200" width="13" style="2435" customWidth="1"/>
    <col min="8201" max="8201" width="11" style="2435" customWidth="1"/>
    <col min="8202" max="8202" width="14" style="2435" customWidth="1"/>
    <col min="8203" max="8203" width="14.33203125" style="2435" customWidth="1"/>
    <col min="8204" max="8204" width="12.5546875" style="2435" bestFit="1" customWidth="1"/>
    <col min="8205" max="8448" width="11.44140625" style="2435"/>
    <col min="8449" max="8451" width="16.33203125" style="2435" customWidth="1"/>
    <col min="8452" max="8452" width="19.109375" style="2435" customWidth="1"/>
    <col min="8453" max="8453" width="19.5546875" style="2435" bestFit="1" customWidth="1"/>
    <col min="8454" max="8454" width="19.109375" style="2435" customWidth="1"/>
    <col min="8455" max="8455" width="19.5546875" style="2435" bestFit="1" customWidth="1"/>
    <col min="8456" max="8456" width="13" style="2435" customWidth="1"/>
    <col min="8457" max="8457" width="11" style="2435" customWidth="1"/>
    <col min="8458" max="8458" width="14" style="2435" customWidth="1"/>
    <col min="8459" max="8459" width="14.33203125" style="2435" customWidth="1"/>
    <col min="8460" max="8460" width="12.5546875" style="2435" bestFit="1" customWidth="1"/>
    <col min="8461" max="8704" width="11.44140625" style="2435"/>
    <col min="8705" max="8707" width="16.33203125" style="2435" customWidth="1"/>
    <col min="8708" max="8708" width="19.109375" style="2435" customWidth="1"/>
    <col min="8709" max="8709" width="19.5546875" style="2435" bestFit="1" customWidth="1"/>
    <col min="8710" max="8710" width="19.109375" style="2435" customWidth="1"/>
    <col min="8711" max="8711" width="19.5546875" style="2435" bestFit="1" customWidth="1"/>
    <col min="8712" max="8712" width="13" style="2435" customWidth="1"/>
    <col min="8713" max="8713" width="11" style="2435" customWidth="1"/>
    <col min="8714" max="8714" width="14" style="2435" customWidth="1"/>
    <col min="8715" max="8715" width="14.33203125" style="2435" customWidth="1"/>
    <col min="8716" max="8716" width="12.5546875" style="2435" bestFit="1" customWidth="1"/>
    <col min="8717" max="8960" width="11.44140625" style="2435"/>
    <col min="8961" max="8963" width="16.33203125" style="2435" customWidth="1"/>
    <col min="8964" max="8964" width="19.109375" style="2435" customWidth="1"/>
    <col min="8965" max="8965" width="19.5546875" style="2435" bestFit="1" customWidth="1"/>
    <col min="8966" max="8966" width="19.109375" style="2435" customWidth="1"/>
    <col min="8967" max="8967" width="19.5546875" style="2435" bestFit="1" customWidth="1"/>
    <col min="8968" max="8968" width="13" style="2435" customWidth="1"/>
    <col min="8969" max="8969" width="11" style="2435" customWidth="1"/>
    <col min="8970" max="8970" width="14" style="2435" customWidth="1"/>
    <col min="8971" max="8971" width="14.33203125" style="2435" customWidth="1"/>
    <col min="8972" max="8972" width="12.5546875" style="2435" bestFit="1" customWidth="1"/>
    <col min="8973" max="9216" width="11.44140625" style="2435"/>
    <col min="9217" max="9219" width="16.33203125" style="2435" customWidth="1"/>
    <col min="9220" max="9220" width="19.109375" style="2435" customWidth="1"/>
    <col min="9221" max="9221" width="19.5546875" style="2435" bestFit="1" customWidth="1"/>
    <col min="9222" max="9222" width="19.109375" style="2435" customWidth="1"/>
    <col min="9223" max="9223" width="19.5546875" style="2435" bestFit="1" customWidth="1"/>
    <col min="9224" max="9224" width="13" style="2435" customWidth="1"/>
    <col min="9225" max="9225" width="11" style="2435" customWidth="1"/>
    <col min="9226" max="9226" width="14" style="2435" customWidth="1"/>
    <col min="9227" max="9227" width="14.33203125" style="2435" customWidth="1"/>
    <col min="9228" max="9228" width="12.5546875" style="2435" bestFit="1" customWidth="1"/>
    <col min="9229" max="9472" width="11.44140625" style="2435"/>
    <col min="9473" max="9475" width="16.33203125" style="2435" customWidth="1"/>
    <col min="9476" max="9476" width="19.109375" style="2435" customWidth="1"/>
    <col min="9477" max="9477" width="19.5546875" style="2435" bestFit="1" customWidth="1"/>
    <col min="9478" max="9478" width="19.109375" style="2435" customWidth="1"/>
    <col min="9479" max="9479" width="19.5546875" style="2435" bestFit="1" customWidth="1"/>
    <col min="9480" max="9480" width="13" style="2435" customWidth="1"/>
    <col min="9481" max="9481" width="11" style="2435" customWidth="1"/>
    <col min="9482" max="9482" width="14" style="2435" customWidth="1"/>
    <col min="9483" max="9483" width="14.33203125" style="2435" customWidth="1"/>
    <col min="9484" max="9484" width="12.5546875" style="2435" bestFit="1" customWidth="1"/>
    <col min="9485" max="9728" width="11.44140625" style="2435"/>
    <col min="9729" max="9731" width="16.33203125" style="2435" customWidth="1"/>
    <col min="9732" max="9732" width="19.109375" style="2435" customWidth="1"/>
    <col min="9733" max="9733" width="19.5546875" style="2435" bestFit="1" customWidth="1"/>
    <col min="9734" max="9734" width="19.109375" style="2435" customWidth="1"/>
    <col min="9735" max="9735" width="19.5546875" style="2435" bestFit="1" customWidth="1"/>
    <col min="9736" max="9736" width="13" style="2435" customWidth="1"/>
    <col min="9737" max="9737" width="11" style="2435" customWidth="1"/>
    <col min="9738" max="9738" width="14" style="2435" customWidth="1"/>
    <col min="9739" max="9739" width="14.33203125" style="2435" customWidth="1"/>
    <col min="9740" max="9740" width="12.5546875" style="2435" bestFit="1" customWidth="1"/>
    <col min="9741" max="9984" width="11.44140625" style="2435"/>
    <col min="9985" max="9987" width="16.33203125" style="2435" customWidth="1"/>
    <col min="9988" max="9988" width="19.109375" style="2435" customWidth="1"/>
    <col min="9989" max="9989" width="19.5546875" style="2435" bestFit="1" customWidth="1"/>
    <col min="9990" max="9990" width="19.109375" style="2435" customWidth="1"/>
    <col min="9991" max="9991" width="19.5546875" style="2435" bestFit="1" customWidth="1"/>
    <col min="9992" max="9992" width="13" style="2435" customWidth="1"/>
    <col min="9993" max="9993" width="11" style="2435" customWidth="1"/>
    <col min="9994" max="9994" width="14" style="2435" customWidth="1"/>
    <col min="9995" max="9995" width="14.33203125" style="2435" customWidth="1"/>
    <col min="9996" max="9996" width="12.5546875" style="2435" bestFit="1" customWidth="1"/>
    <col min="9997" max="10240" width="11.44140625" style="2435"/>
    <col min="10241" max="10243" width="16.33203125" style="2435" customWidth="1"/>
    <col min="10244" max="10244" width="19.109375" style="2435" customWidth="1"/>
    <col min="10245" max="10245" width="19.5546875" style="2435" bestFit="1" customWidth="1"/>
    <col min="10246" max="10246" width="19.109375" style="2435" customWidth="1"/>
    <col min="10247" max="10247" width="19.5546875" style="2435" bestFit="1" customWidth="1"/>
    <col min="10248" max="10248" width="13" style="2435" customWidth="1"/>
    <col min="10249" max="10249" width="11" style="2435" customWidth="1"/>
    <col min="10250" max="10250" width="14" style="2435" customWidth="1"/>
    <col min="10251" max="10251" width="14.33203125" style="2435" customWidth="1"/>
    <col min="10252" max="10252" width="12.5546875" style="2435" bestFit="1" customWidth="1"/>
    <col min="10253" max="10496" width="11.44140625" style="2435"/>
    <col min="10497" max="10499" width="16.33203125" style="2435" customWidth="1"/>
    <col min="10500" max="10500" width="19.109375" style="2435" customWidth="1"/>
    <col min="10501" max="10501" width="19.5546875" style="2435" bestFit="1" customWidth="1"/>
    <col min="10502" max="10502" width="19.109375" style="2435" customWidth="1"/>
    <col min="10503" max="10503" width="19.5546875" style="2435" bestFit="1" customWidth="1"/>
    <col min="10504" max="10504" width="13" style="2435" customWidth="1"/>
    <col min="10505" max="10505" width="11" style="2435" customWidth="1"/>
    <col min="10506" max="10506" width="14" style="2435" customWidth="1"/>
    <col min="10507" max="10507" width="14.33203125" style="2435" customWidth="1"/>
    <col min="10508" max="10508" width="12.5546875" style="2435" bestFit="1" customWidth="1"/>
    <col min="10509" max="10752" width="11.44140625" style="2435"/>
    <col min="10753" max="10755" width="16.33203125" style="2435" customWidth="1"/>
    <col min="10756" max="10756" width="19.109375" style="2435" customWidth="1"/>
    <col min="10757" max="10757" width="19.5546875" style="2435" bestFit="1" customWidth="1"/>
    <col min="10758" max="10758" width="19.109375" style="2435" customWidth="1"/>
    <col min="10759" max="10759" width="19.5546875" style="2435" bestFit="1" customWidth="1"/>
    <col min="10760" max="10760" width="13" style="2435" customWidth="1"/>
    <col min="10761" max="10761" width="11" style="2435" customWidth="1"/>
    <col min="10762" max="10762" width="14" style="2435" customWidth="1"/>
    <col min="10763" max="10763" width="14.33203125" style="2435" customWidth="1"/>
    <col min="10764" max="10764" width="12.5546875" style="2435" bestFit="1" customWidth="1"/>
    <col min="10765" max="11008" width="11.44140625" style="2435"/>
    <col min="11009" max="11011" width="16.33203125" style="2435" customWidth="1"/>
    <col min="11012" max="11012" width="19.109375" style="2435" customWidth="1"/>
    <col min="11013" max="11013" width="19.5546875" style="2435" bestFit="1" customWidth="1"/>
    <col min="11014" max="11014" width="19.109375" style="2435" customWidth="1"/>
    <col min="11015" max="11015" width="19.5546875" style="2435" bestFit="1" customWidth="1"/>
    <col min="11016" max="11016" width="13" style="2435" customWidth="1"/>
    <col min="11017" max="11017" width="11" style="2435" customWidth="1"/>
    <col min="11018" max="11018" width="14" style="2435" customWidth="1"/>
    <col min="11019" max="11019" width="14.33203125" style="2435" customWidth="1"/>
    <col min="11020" max="11020" width="12.5546875" style="2435" bestFit="1" customWidth="1"/>
    <col min="11021" max="11264" width="11.44140625" style="2435"/>
    <col min="11265" max="11267" width="16.33203125" style="2435" customWidth="1"/>
    <col min="11268" max="11268" width="19.109375" style="2435" customWidth="1"/>
    <col min="11269" max="11269" width="19.5546875" style="2435" bestFit="1" customWidth="1"/>
    <col min="11270" max="11270" width="19.109375" style="2435" customWidth="1"/>
    <col min="11271" max="11271" width="19.5546875" style="2435" bestFit="1" customWidth="1"/>
    <col min="11272" max="11272" width="13" style="2435" customWidth="1"/>
    <col min="11273" max="11273" width="11" style="2435" customWidth="1"/>
    <col min="11274" max="11274" width="14" style="2435" customWidth="1"/>
    <col min="11275" max="11275" width="14.33203125" style="2435" customWidth="1"/>
    <col min="11276" max="11276" width="12.5546875" style="2435" bestFit="1" customWidth="1"/>
    <col min="11277" max="11520" width="11.44140625" style="2435"/>
    <col min="11521" max="11523" width="16.33203125" style="2435" customWidth="1"/>
    <col min="11524" max="11524" width="19.109375" style="2435" customWidth="1"/>
    <col min="11525" max="11525" width="19.5546875" style="2435" bestFit="1" customWidth="1"/>
    <col min="11526" max="11526" width="19.109375" style="2435" customWidth="1"/>
    <col min="11527" max="11527" width="19.5546875" style="2435" bestFit="1" customWidth="1"/>
    <col min="11528" max="11528" width="13" style="2435" customWidth="1"/>
    <col min="11529" max="11529" width="11" style="2435" customWidth="1"/>
    <col min="11530" max="11530" width="14" style="2435" customWidth="1"/>
    <col min="11531" max="11531" width="14.33203125" style="2435" customWidth="1"/>
    <col min="11532" max="11532" width="12.5546875" style="2435" bestFit="1" customWidth="1"/>
    <col min="11533" max="11776" width="11.44140625" style="2435"/>
    <col min="11777" max="11779" width="16.33203125" style="2435" customWidth="1"/>
    <col min="11780" max="11780" width="19.109375" style="2435" customWidth="1"/>
    <col min="11781" max="11781" width="19.5546875" style="2435" bestFit="1" customWidth="1"/>
    <col min="11782" max="11782" width="19.109375" style="2435" customWidth="1"/>
    <col min="11783" max="11783" width="19.5546875" style="2435" bestFit="1" customWidth="1"/>
    <col min="11784" max="11784" width="13" style="2435" customWidth="1"/>
    <col min="11785" max="11785" width="11" style="2435" customWidth="1"/>
    <col min="11786" max="11786" width="14" style="2435" customWidth="1"/>
    <col min="11787" max="11787" width="14.33203125" style="2435" customWidth="1"/>
    <col min="11788" max="11788" width="12.5546875" style="2435" bestFit="1" customWidth="1"/>
    <col min="11789" max="12032" width="11.44140625" style="2435"/>
    <col min="12033" max="12035" width="16.33203125" style="2435" customWidth="1"/>
    <col min="12036" max="12036" width="19.109375" style="2435" customWidth="1"/>
    <col min="12037" max="12037" width="19.5546875" style="2435" bestFit="1" customWidth="1"/>
    <col min="12038" max="12038" width="19.109375" style="2435" customWidth="1"/>
    <col min="12039" max="12039" width="19.5546875" style="2435" bestFit="1" customWidth="1"/>
    <col min="12040" max="12040" width="13" style="2435" customWidth="1"/>
    <col min="12041" max="12041" width="11" style="2435" customWidth="1"/>
    <col min="12042" max="12042" width="14" style="2435" customWidth="1"/>
    <col min="12043" max="12043" width="14.33203125" style="2435" customWidth="1"/>
    <col min="12044" max="12044" width="12.5546875" style="2435" bestFit="1" customWidth="1"/>
    <col min="12045" max="12288" width="11.44140625" style="2435"/>
    <col min="12289" max="12291" width="16.33203125" style="2435" customWidth="1"/>
    <col min="12292" max="12292" width="19.109375" style="2435" customWidth="1"/>
    <col min="12293" max="12293" width="19.5546875" style="2435" bestFit="1" customWidth="1"/>
    <col min="12294" max="12294" width="19.109375" style="2435" customWidth="1"/>
    <col min="12295" max="12295" width="19.5546875" style="2435" bestFit="1" customWidth="1"/>
    <col min="12296" max="12296" width="13" style="2435" customWidth="1"/>
    <col min="12297" max="12297" width="11" style="2435" customWidth="1"/>
    <col min="12298" max="12298" width="14" style="2435" customWidth="1"/>
    <col min="12299" max="12299" width="14.33203125" style="2435" customWidth="1"/>
    <col min="12300" max="12300" width="12.5546875" style="2435" bestFit="1" customWidth="1"/>
    <col min="12301" max="12544" width="11.44140625" style="2435"/>
    <col min="12545" max="12547" width="16.33203125" style="2435" customWidth="1"/>
    <col min="12548" max="12548" width="19.109375" style="2435" customWidth="1"/>
    <col min="12549" max="12549" width="19.5546875" style="2435" bestFit="1" customWidth="1"/>
    <col min="12550" max="12550" width="19.109375" style="2435" customWidth="1"/>
    <col min="12551" max="12551" width="19.5546875" style="2435" bestFit="1" customWidth="1"/>
    <col min="12552" max="12552" width="13" style="2435" customWidth="1"/>
    <col min="12553" max="12553" width="11" style="2435" customWidth="1"/>
    <col min="12554" max="12554" width="14" style="2435" customWidth="1"/>
    <col min="12555" max="12555" width="14.33203125" style="2435" customWidth="1"/>
    <col min="12556" max="12556" width="12.5546875" style="2435" bestFit="1" customWidth="1"/>
    <col min="12557" max="12800" width="11.44140625" style="2435"/>
    <col min="12801" max="12803" width="16.33203125" style="2435" customWidth="1"/>
    <col min="12804" max="12804" width="19.109375" style="2435" customWidth="1"/>
    <col min="12805" max="12805" width="19.5546875" style="2435" bestFit="1" customWidth="1"/>
    <col min="12806" max="12806" width="19.109375" style="2435" customWidth="1"/>
    <col min="12807" max="12807" width="19.5546875" style="2435" bestFit="1" customWidth="1"/>
    <col min="12808" max="12808" width="13" style="2435" customWidth="1"/>
    <col min="12809" max="12809" width="11" style="2435" customWidth="1"/>
    <col min="12810" max="12810" width="14" style="2435" customWidth="1"/>
    <col min="12811" max="12811" width="14.33203125" style="2435" customWidth="1"/>
    <col min="12812" max="12812" width="12.5546875" style="2435" bestFit="1" customWidth="1"/>
    <col min="12813" max="13056" width="11.44140625" style="2435"/>
    <col min="13057" max="13059" width="16.33203125" style="2435" customWidth="1"/>
    <col min="13060" max="13060" width="19.109375" style="2435" customWidth="1"/>
    <col min="13061" max="13061" width="19.5546875" style="2435" bestFit="1" customWidth="1"/>
    <col min="13062" max="13062" width="19.109375" style="2435" customWidth="1"/>
    <col min="13063" max="13063" width="19.5546875" style="2435" bestFit="1" customWidth="1"/>
    <col min="13064" max="13064" width="13" style="2435" customWidth="1"/>
    <col min="13065" max="13065" width="11" style="2435" customWidth="1"/>
    <col min="13066" max="13066" width="14" style="2435" customWidth="1"/>
    <col min="13067" max="13067" width="14.33203125" style="2435" customWidth="1"/>
    <col min="13068" max="13068" width="12.5546875" style="2435" bestFit="1" customWidth="1"/>
    <col min="13069" max="13312" width="11.44140625" style="2435"/>
    <col min="13313" max="13315" width="16.33203125" style="2435" customWidth="1"/>
    <col min="13316" max="13316" width="19.109375" style="2435" customWidth="1"/>
    <col min="13317" max="13317" width="19.5546875" style="2435" bestFit="1" customWidth="1"/>
    <col min="13318" max="13318" width="19.109375" style="2435" customWidth="1"/>
    <col min="13319" max="13319" width="19.5546875" style="2435" bestFit="1" customWidth="1"/>
    <col min="13320" max="13320" width="13" style="2435" customWidth="1"/>
    <col min="13321" max="13321" width="11" style="2435" customWidth="1"/>
    <col min="13322" max="13322" width="14" style="2435" customWidth="1"/>
    <col min="13323" max="13323" width="14.33203125" style="2435" customWidth="1"/>
    <col min="13324" max="13324" width="12.5546875" style="2435" bestFit="1" customWidth="1"/>
    <col min="13325" max="13568" width="11.44140625" style="2435"/>
    <col min="13569" max="13571" width="16.33203125" style="2435" customWidth="1"/>
    <col min="13572" max="13572" width="19.109375" style="2435" customWidth="1"/>
    <col min="13573" max="13573" width="19.5546875" style="2435" bestFit="1" customWidth="1"/>
    <col min="13574" max="13574" width="19.109375" style="2435" customWidth="1"/>
    <col min="13575" max="13575" width="19.5546875" style="2435" bestFit="1" customWidth="1"/>
    <col min="13576" max="13576" width="13" style="2435" customWidth="1"/>
    <col min="13577" max="13577" width="11" style="2435" customWidth="1"/>
    <col min="13578" max="13578" width="14" style="2435" customWidth="1"/>
    <col min="13579" max="13579" width="14.33203125" style="2435" customWidth="1"/>
    <col min="13580" max="13580" width="12.5546875" style="2435" bestFit="1" customWidth="1"/>
    <col min="13581" max="13824" width="11.44140625" style="2435"/>
    <col min="13825" max="13827" width="16.33203125" style="2435" customWidth="1"/>
    <col min="13828" max="13828" width="19.109375" style="2435" customWidth="1"/>
    <col min="13829" max="13829" width="19.5546875" style="2435" bestFit="1" customWidth="1"/>
    <col min="13830" max="13830" width="19.109375" style="2435" customWidth="1"/>
    <col min="13831" max="13831" width="19.5546875" style="2435" bestFit="1" customWidth="1"/>
    <col min="13832" max="13832" width="13" style="2435" customWidth="1"/>
    <col min="13833" max="13833" width="11" style="2435" customWidth="1"/>
    <col min="13834" max="13834" width="14" style="2435" customWidth="1"/>
    <col min="13835" max="13835" width="14.33203125" style="2435" customWidth="1"/>
    <col min="13836" max="13836" width="12.5546875" style="2435" bestFit="1" customWidth="1"/>
    <col min="13837" max="14080" width="11.44140625" style="2435"/>
    <col min="14081" max="14083" width="16.33203125" style="2435" customWidth="1"/>
    <col min="14084" max="14084" width="19.109375" style="2435" customWidth="1"/>
    <col min="14085" max="14085" width="19.5546875" style="2435" bestFit="1" customWidth="1"/>
    <col min="14086" max="14086" width="19.109375" style="2435" customWidth="1"/>
    <col min="14087" max="14087" width="19.5546875" style="2435" bestFit="1" customWidth="1"/>
    <col min="14088" max="14088" width="13" style="2435" customWidth="1"/>
    <col min="14089" max="14089" width="11" style="2435" customWidth="1"/>
    <col min="14090" max="14090" width="14" style="2435" customWidth="1"/>
    <col min="14091" max="14091" width="14.33203125" style="2435" customWidth="1"/>
    <col min="14092" max="14092" width="12.5546875" style="2435" bestFit="1" customWidth="1"/>
    <col min="14093" max="14336" width="11.44140625" style="2435"/>
    <col min="14337" max="14339" width="16.33203125" style="2435" customWidth="1"/>
    <col min="14340" max="14340" width="19.109375" style="2435" customWidth="1"/>
    <col min="14341" max="14341" width="19.5546875" style="2435" bestFit="1" customWidth="1"/>
    <col min="14342" max="14342" width="19.109375" style="2435" customWidth="1"/>
    <col min="14343" max="14343" width="19.5546875" style="2435" bestFit="1" customWidth="1"/>
    <col min="14344" max="14344" width="13" style="2435" customWidth="1"/>
    <col min="14345" max="14345" width="11" style="2435" customWidth="1"/>
    <col min="14346" max="14346" width="14" style="2435" customWidth="1"/>
    <col min="14347" max="14347" width="14.33203125" style="2435" customWidth="1"/>
    <col min="14348" max="14348" width="12.5546875" style="2435" bestFit="1" customWidth="1"/>
    <col min="14349" max="14592" width="11.44140625" style="2435"/>
    <col min="14593" max="14595" width="16.33203125" style="2435" customWidth="1"/>
    <col min="14596" max="14596" width="19.109375" style="2435" customWidth="1"/>
    <col min="14597" max="14597" width="19.5546875" style="2435" bestFit="1" customWidth="1"/>
    <col min="14598" max="14598" width="19.109375" style="2435" customWidth="1"/>
    <col min="14599" max="14599" width="19.5546875" style="2435" bestFit="1" customWidth="1"/>
    <col min="14600" max="14600" width="13" style="2435" customWidth="1"/>
    <col min="14601" max="14601" width="11" style="2435" customWidth="1"/>
    <col min="14602" max="14602" width="14" style="2435" customWidth="1"/>
    <col min="14603" max="14603" width="14.33203125" style="2435" customWidth="1"/>
    <col min="14604" max="14604" width="12.5546875" style="2435" bestFit="1" customWidth="1"/>
    <col min="14605" max="14848" width="11.44140625" style="2435"/>
    <col min="14849" max="14851" width="16.33203125" style="2435" customWidth="1"/>
    <col min="14852" max="14852" width="19.109375" style="2435" customWidth="1"/>
    <col min="14853" max="14853" width="19.5546875" style="2435" bestFit="1" customWidth="1"/>
    <col min="14854" max="14854" width="19.109375" style="2435" customWidth="1"/>
    <col min="14855" max="14855" width="19.5546875" style="2435" bestFit="1" customWidth="1"/>
    <col min="14856" max="14856" width="13" style="2435" customWidth="1"/>
    <col min="14857" max="14857" width="11" style="2435" customWidth="1"/>
    <col min="14858" max="14858" width="14" style="2435" customWidth="1"/>
    <col min="14859" max="14859" width="14.33203125" style="2435" customWidth="1"/>
    <col min="14860" max="14860" width="12.5546875" style="2435" bestFit="1" customWidth="1"/>
    <col min="14861" max="15104" width="11.44140625" style="2435"/>
    <col min="15105" max="15107" width="16.33203125" style="2435" customWidth="1"/>
    <col min="15108" max="15108" width="19.109375" style="2435" customWidth="1"/>
    <col min="15109" max="15109" width="19.5546875" style="2435" bestFit="1" customWidth="1"/>
    <col min="15110" max="15110" width="19.109375" style="2435" customWidth="1"/>
    <col min="15111" max="15111" width="19.5546875" style="2435" bestFit="1" customWidth="1"/>
    <col min="15112" max="15112" width="13" style="2435" customWidth="1"/>
    <col min="15113" max="15113" width="11" style="2435" customWidth="1"/>
    <col min="15114" max="15114" width="14" style="2435" customWidth="1"/>
    <col min="15115" max="15115" width="14.33203125" style="2435" customWidth="1"/>
    <col min="15116" max="15116" width="12.5546875" style="2435" bestFit="1" customWidth="1"/>
    <col min="15117" max="15360" width="11.44140625" style="2435"/>
    <col min="15361" max="15363" width="16.33203125" style="2435" customWidth="1"/>
    <col min="15364" max="15364" width="19.109375" style="2435" customWidth="1"/>
    <col min="15365" max="15365" width="19.5546875" style="2435" bestFit="1" customWidth="1"/>
    <col min="15366" max="15366" width="19.109375" style="2435" customWidth="1"/>
    <col min="15367" max="15367" width="19.5546875" style="2435" bestFit="1" customWidth="1"/>
    <col min="15368" max="15368" width="13" style="2435" customWidth="1"/>
    <col min="15369" max="15369" width="11" style="2435" customWidth="1"/>
    <col min="15370" max="15370" width="14" style="2435" customWidth="1"/>
    <col min="15371" max="15371" width="14.33203125" style="2435" customWidth="1"/>
    <col min="15372" max="15372" width="12.5546875" style="2435" bestFit="1" customWidth="1"/>
    <col min="15373" max="15616" width="11.44140625" style="2435"/>
    <col min="15617" max="15619" width="16.33203125" style="2435" customWidth="1"/>
    <col min="15620" max="15620" width="19.109375" style="2435" customWidth="1"/>
    <col min="15621" max="15621" width="19.5546875" style="2435" bestFit="1" customWidth="1"/>
    <col min="15622" max="15622" width="19.109375" style="2435" customWidth="1"/>
    <col min="15623" max="15623" width="19.5546875" style="2435" bestFit="1" customWidth="1"/>
    <col min="15624" max="15624" width="13" style="2435" customWidth="1"/>
    <col min="15625" max="15625" width="11" style="2435" customWidth="1"/>
    <col min="15626" max="15626" width="14" style="2435" customWidth="1"/>
    <col min="15627" max="15627" width="14.33203125" style="2435" customWidth="1"/>
    <col min="15628" max="15628" width="12.5546875" style="2435" bestFit="1" customWidth="1"/>
    <col min="15629" max="15872" width="11.44140625" style="2435"/>
    <col min="15873" max="15875" width="16.33203125" style="2435" customWidth="1"/>
    <col min="15876" max="15876" width="19.109375" style="2435" customWidth="1"/>
    <col min="15877" max="15877" width="19.5546875" style="2435" bestFit="1" customWidth="1"/>
    <col min="15878" max="15878" width="19.109375" style="2435" customWidth="1"/>
    <col min="15879" max="15879" width="19.5546875" style="2435" bestFit="1" customWidth="1"/>
    <col min="15880" max="15880" width="13" style="2435" customWidth="1"/>
    <col min="15881" max="15881" width="11" style="2435" customWidth="1"/>
    <col min="15882" max="15882" width="14" style="2435" customWidth="1"/>
    <col min="15883" max="15883" width="14.33203125" style="2435" customWidth="1"/>
    <col min="15884" max="15884" width="12.5546875" style="2435" bestFit="1" customWidth="1"/>
    <col min="15885" max="16128" width="11.44140625" style="2435"/>
    <col min="16129" max="16131" width="16.33203125" style="2435" customWidth="1"/>
    <col min="16132" max="16132" width="19.109375" style="2435" customWidth="1"/>
    <col min="16133" max="16133" width="19.5546875" style="2435" bestFit="1" customWidth="1"/>
    <col min="16134" max="16134" width="19.109375" style="2435" customWidth="1"/>
    <col min="16135" max="16135" width="19.5546875" style="2435" bestFit="1" customWidth="1"/>
    <col min="16136" max="16136" width="13" style="2435" customWidth="1"/>
    <col min="16137" max="16137" width="11" style="2435" customWidth="1"/>
    <col min="16138" max="16138" width="14" style="2435" customWidth="1"/>
    <col min="16139" max="16139" width="14.33203125" style="2435" customWidth="1"/>
    <col min="16140" max="16140" width="12.5546875" style="2435" bestFit="1" customWidth="1"/>
    <col min="16141" max="16384" width="11.44140625" style="2435"/>
  </cols>
  <sheetData>
    <row r="1" spans="1:11" ht="12.75" customHeight="1">
      <c r="A1" s="4039" t="s">
        <v>8228</v>
      </c>
      <c r="B1" s="4040"/>
      <c r="C1" s="4040"/>
      <c r="D1" s="4040"/>
      <c r="E1" s="4040"/>
      <c r="F1" s="4040"/>
      <c r="G1" s="4040"/>
      <c r="H1" s="4040"/>
      <c r="I1" s="4040"/>
      <c r="J1" s="4040"/>
      <c r="K1" s="4041"/>
    </row>
    <row r="2" spans="1:11">
      <c r="A2" s="4042"/>
      <c r="B2" s="4043"/>
      <c r="C2" s="4043"/>
      <c r="D2" s="4043"/>
      <c r="E2" s="4043"/>
      <c r="F2" s="4043"/>
      <c r="G2" s="4043"/>
      <c r="H2" s="4043"/>
      <c r="I2" s="4043"/>
      <c r="J2" s="4043"/>
      <c r="K2" s="4044"/>
    </row>
    <row r="3" spans="1:11">
      <c r="A3" s="2436"/>
      <c r="B3" s="2437"/>
      <c r="C3" s="2437"/>
      <c r="D3" s="2437"/>
      <c r="E3" s="2437"/>
      <c r="F3" s="2437"/>
      <c r="G3" s="2437"/>
      <c r="H3" s="2437"/>
      <c r="I3" s="2437"/>
      <c r="J3" s="2437"/>
      <c r="K3" s="2438"/>
    </row>
    <row r="4" spans="1:11" ht="25.5" customHeight="1">
      <c r="A4" s="2439" t="s">
        <v>8229</v>
      </c>
      <c r="B4" s="2440" t="s">
        <v>8230</v>
      </c>
      <c r="C4" s="2440" t="s">
        <v>8231</v>
      </c>
      <c r="D4" s="2440" t="s">
        <v>8232</v>
      </c>
      <c r="E4" s="2440" t="s">
        <v>8233</v>
      </c>
      <c r="F4" s="2440" t="s">
        <v>8234</v>
      </c>
      <c r="G4" s="2440" t="s">
        <v>8235</v>
      </c>
      <c r="I4" s="2437"/>
      <c r="J4" s="2437"/>
      <c r="K4" s="2441"/>
    </row>
    <row r="5" spans="1:11">
      <c r="A5" s="2442" t="s">
        <v>8236</v>
      </c>
      <c r="B5" s="2443" t="s">
        <v>8236</v>
      </c>
      <c r="C5" s="2443" t="s">
        <v>8237</v>
      </c>
      <c r="D5" s="2444">
        <v>1</v>
      </c>
      <c r="E5" s="2444"/>
      <c r="F5" s="2444"/>
      <c r="G5" s="2445">
        <f>+SUM(D5:F5)</f>
        <v>1</v>
      </c>
      <c r="I5" s="2446"/>
      <c r="J5" s="2446"/>
      <c r="K5" s="2441"/>
    </row>
    <row r="6" spans="1:11" ht="10.8" thickBot="1">
      <c r="A6" s="2436"/>
      <c r="B6" s="2437"/>
      <c r="C6" s="2437"/>
      <c r="D6" s="2437"/>
      <c r="E6" s="2437"/>
      <c r="F6" s="2437"/>
      <c r="G6" s="2437"/>
      <c r="H6" s="2437"/>
      <c r="I6" s="2437"/>
      <c r="J6" s="2437"/>
      <c r="K6" s="2438"/>
    </row>
    <row r="7" spans="1:11" ht="27" customHeight="1">
      <c r="A7" s="4039" t="s">
        <v>8238</v>
      </c>
      <c r="B7" s="4040"/>
      <c r="C7" s="4040"/>
      <c r="D7" s="4040" t="s">
        <v>8239</v>
      </c>
      <c r="E7" s="4040"/>
      <c r="F7" s="4040"/>
      <c r="G7" s="4040"/>
      <c r="H7" s="4040"/>
      <c r="I7" s="4040"/>
      <c r="J7" s="4040"/>
      <c r="K7" s="4041"/>
    </row>
    <row r="8" spans="1:11" ht="24" customHeight="1">
      <c r="A8" s="4042"/>
      <c r="B8" s="4043"/>
      <c r="C8" s="4043"/>
      <c r="D8" s="4043" t="s">
        <v>1219</v>
      </c>
      <c r="E8" s="4043"/>
      <c r="F8" s="4043" t="s">
        <v>8240</v>
      </c>
      <c r="G8" s="4043"/>
      <c r="H8" s="4043" t="s">
        <v>8241</v>
      </c>
      <c r="I8" s="4043"/>
      <c r="J8" s="4043" t="s">
        <v>8242</v>
      </c>
      <c r="K8" s="4044"/>
    </row>
    <row r="9" spans="1:11" ht="21.75" customHeight="1">
      <c r="A9" s="4042"/>
      <c r="B9" s="4043"/>
      <c r="C9" s="4043"/>
      <c r="D9" s="2440" t="s">
        <v>8243</v>
      </c>
      <c r="E9" s="2440" t="s">
        <v>8244</v>
      </c>
      <c r="F9" s="2440" t="s">
        <v>8243</v>
      </c>
      <c r="G9" s="2440" t="s">
        <v>8244</v>
      </c>
      <c r="H9" s="2440" t="s">
        <v>8243</v>
      </c>
      <c r="I9" s="2440" t="s">
        <v>8244</v>
      </c>
      <c r="J9" s="2440" t="s">
        <v>8243</v>
      </c>
      <c r="K9" s="2447" t="s">
        <v>8244</v>
      </c>
    </row>
    <row r="10" spans="1:11" ht="24" customHeight="1">
      <c r="A10" s="4047" t="str">
        <f>+'RESUMEN 2'!B5</f>
        <v>COMPONENTE ELECTRICO Y MECANICO DEL SISTEMA DE BOMBEO RÍO SINÚ - PTAP TIJERETAS</v>
      </c>
      <c r="B10" s="4048"/>
      <c r="C10" s="4049"/>
      <c r="D10" s="2448">
        <f>+'RESUMEN 2'!G5</f>
        <v>75258278</v>
      </c>
      <c r="E10" s="2448">
        <f>+'RESUMEN 2'!G14</f>
        <v>910286508</v>
      </c>
      <c r="F10" s="2448">
        <f>+D10</f>
        <v>75258278</v>
      </c>
      <c r="G10" s="2448">
        <f>+E10</f>
        <v>910286508</v>
      </c>
      <c r="H10" s="2449">
        <v>0</v>
      </c>
      <c r="I10" s="2449">
        <v>0</v>
      </c>
      <c r="J10" s="2449">
        <v>0</v>
      </c>
      <c r="K10" s="2450">
        <v>0</v>
      </c>
    </row>
    <row r="11" spans="1:11" ht="33.6" customHeight="1">
      <c r="A11" s="4047" t="str">
        <f>+'RESUMEN 2'!B6</f>
        <v xml:space="preserve"> LÍNEA DE IMPULSIÓN RÍO SINÚ - PTAP TIJERETAS (tuberia 400 mm PN12.5 RDE 13.6 en PEAD L=10133 Q=120 l/s )</v>
      </c>
      <c r="B11" s="4048"/>
      <c r="C11" s="4049"/>
      <c r="D11" s="2448">
        <f>+'RESUMEN 2'!G6</f>
        <v>2104213397</v>
      </c>
      <c r="E11" s="2448">
        <f>+'RESUMEN 2'!G15</f>
        <v>3405599240</v>
      </c>
      <c r="F11" s="2448">
        <f t="shared" ref="F11:G16" si="0">+D11</f>
        <v>2104213397</v>
      </c>
      <c r="G11" s="2448">
        <f t="shared" si="0"/>
        <v>3405599240</v>
      </c>
      <c r="H11" s="2449">
        <v>0</v>
      </c>
      <c r="I11" s="2449">
        <v>0</v>
      </c>
      <c r="J11" s="2449">
        <v>0</v>
      </c>
      <c r="K11" s="2450">
        <v>0</v>
      </c>
    </row>
    <row r="12" spans="1:11" ht="26.4" customHeight="1">
      <c r="A12" s="4047" t="str">
        <f>+'RESUMEN 2'!B7</f>
        <v>OPTIMIZACION PLANTA DE TRATAMIENTO DE AGUA POTABLE (Q= 120 l/s)</v>
      </c>
      <c r="B12" s="4048"/>
      <c r="C12" s="4049"/>
      <c r="D12" s="2448">
        <f>+'RESUMEN 2'!G7</f>
        <v>912578139</v>
      </c>
      <c r="E12" s="2448">
        <f>+'RESUMEN 2'!G16</f>
        <v>1677380707</v>
      </c>
      <c r="F12" s="2448">
        <f t="shared" si="0"/>
        <v>912578139</v>
      </c>
      <c r="G12" s="2448">
        <f t="shared" si="0"/>
        <v>1677380707</v>
      </c>
      <c r="H12" s="2449">
        <v>0</v>
      </c>
      <c r="I12" s="2449">
        <v>0</v>
      </c>
      <c r="J12" s="2449">
        <v>0</v>
      </c>
      <c r="K12" s="2450">
        <v>0</v>
      </c>
    </row>
    <row r="13" spans="1:11" ht="30.6" customHeight="1">
      <c r="A13" s="4047" t="str">
        <f>+'RESUMEN 2'!B8</f>
        <v>COMPONENTE ELECTRICO Y MECANICO DEL SISTEMA DE BOMBEO PTAP TIJERETAS - TANQUE PATAGONIA</v>
      </c>
      <c r="B13" s="4048"/>
      <c r="C13" s="4049"/>
      <c r="D13" s="2448">
        <f>+'RESUMEN 2'!G8</f>
        <v>43320269</v>
      </c>
      <c r="E13" s="2448">
        <f>+'RESUMEN 2'!G17</f>
        <v>613268205</v>
      </c>
      <c r="F13" s="2448">
        <f t="shared" si="0"/>
        <v>43320269</v>
      </c>
      <c r="G13" s="2448">
        <f t="shared" si="0"/>
        <v>613268205</v>
      </c>
      <c r="H13" s="2449">
        <v>0</v>
      </c>
      <c r="I13" s="2449">
        <v>0</v>
      </c>
      <c r="J13" s="2449">
        <v>0</v>
      </c>
      <c r="K13" s="2450">
        <v>0</v>
      </c>
    </row>
    <row r="14" spans="1:11" ht="24" customHeight="1">
      <c r="A14" s="4047" t="str">
        <f>+'RESUMEN 2'!B9</f>
        <v>LÍNEA DE IMPULSIÓN PTAP TIJERETAS -  (tuberia 160 mm  PEAD L=10368 Q=20 l/s )</v>
      </c>
      <c r="B14" s="4048"/>
      <c r="C14" s="4049"/>
      <c r="D14" s="2448">
        <f>+'RESUMEN 2'!G9</f>
        <v>1146701883</v>
      </c>
      <c r="E14" s="2448">
        <f>+'RESUMEN 2'!G18</f>
        <v>745534458</v>
      </c>
      <c r="F14" s="2448">
        <f t="shared" si="0"/>
        <v>1146701883</v>
      </c>
      <c r="G14" s="2448">
        <f t="shared" si="0"/>
        <v>745534458</v>
      </c>
      <c r="H14" s="2449">
        <v>0</v>
      </c>
      <c r="I14" s="2449">
        <v>0</v>
      </c>
      <c r="J14" s="2449">
        <v>0</v>
      </c>
      <c r="K14" s="2450">
        <v>0</v>
      </c>
    </row>
    <row r="15" spans="1:11" ht="21" customHeight="1">
      <c r="A15" s="4047" t="str">
        <f>+'RESUMEN 2'!B10</f>
        <v>TANQUE DE ALMACENAMIENTO PATAGONIA V=1000 m3</v>
      </c>
      <c r="B15" s="4048"/>
      <c r="C15" s="4049"/>
      <c r="D15" s="2448">
        <f>+'RESUMEN 2'!G10</f>
        <v>612636424</v>
      </c>
      <c r="E15" s="2448">
        <f>+'RESUMEN 2'!G19</f>
        <v>153474592</v>
      </c>
      <c r="F15" s="2448">
        <f t="shared" si="0"/>
        <v>612636424</v>
      </c>
      <c r="G15" s="2448">
        <f t="shared" si="0"/>
        <v>153474592</v>
      </c>
      <c r="H15" s="2449">
        <v>0</v>
      </c>
      <c r="I15" s="2449">
        <v>0</v>
      </c>
      <c r="J15" s="2449">
        <v>0</v>
      </c>
      <c r="K15" s="2450">
        <v>0</v>
      </c>
    </row>
    <row r="16" spans="1:11" ht="23.4" customHeight="1">
      <c r="A16" s="4047" t="str">
        <f>+'RESUMEN 2'!B11</f>
        <v>CONDUCCIÓN TANQUE DE PATAGONIA - EL PORVENIR Y ECOPETROL (L=7557.6m PVC, Ø=10,8,6"</v>
      </c>
      <c r="B16" s="4048"/>
      <c r="C16" s="4049"/>
      <c r="D16" s="2448">
        <f>+'RESUMEN 2'!G11</f>
        <v>935364455</v>
      </c>
      <c r="E16" s="2448">
        <f>+'RESUMEN 2'!G20</f>
        <v>666637294</v>
      </c>
      <c r="F16" s="2448">
        <f t="shared" si="0"/>
        <v>935364455</v>
      </c>
      <c r="G16" s="2448">
        <f t="shared" si="0"/>
        <v>666637294</v>
      </c>
      <c r="H16" s="2449">
        <v>0</v>
      </c>
      <c r="I16" s="2449">
        <v>0</v>
      </c>
      <c r="J16" s="2449">
        <v>0</v>
      </c>
      <c r="K16" s="2450">
        <v>0</v>
      </c>
    </row>
    <row r="17" spans="1:11" ht="10.8" thickBot="1">
      <c r="A17" s="2451"/>
      <c r="B17" s="2452"/>
      <c r="C17" s="2453"/>
      <c r="D17" s="2454"/>
      <c r="E17" s="2454"/>
      <c r="F17" s="2454"/>
      <c r="G17" s="2454"/>
      <c r="H17" s="2454"/>
      <c r="I17" s="2454"/>
      <c r="J17" s="2454"/>
      <c r="K17" s="2455"/>
    </row>
    <row r="18" spans="1:11" ht="23.25" customHeight="1" thickBot="1">
      <c r="A18" s="4050"/>
      <c r="B18" s="4051"/>
      <c r="C18" s="4051"/>
      <c r="D18" s="2456"/>
      <c r="E18" s="2456"/>
      <c r="F18" s="2456"/>
      <c r="G18" s="2456"/>
      <c r="H18" s="2456"/>
      <c r="I18" s="2456"/>
      <c r="J18" s="2456"/>
      <c r="K18" s="2457"/>
    </row>
    <row r="19" spans="1:11" ht="19.5" customHeight="1" thickBot="1">
      <c r="A19" s="4052" t="s">
        <v>8245</v>
      </c>
      <c r="B19" s="4053"/>
      <c r="C19" s="4053"/>
      <c r="D19" s="2483">
        <f>+ROUNDDOWN(SUM(D10:D18),0)</f>
        <v>5830072845</v>
      </c>
      <c r="E19" s="2483">
        <f t="shared" ref="E19:K19" si="1">+SUM(E10:E18)</f>
        <v>8172181004</v>
      </c>
      <c r="F19" s="2483">
        <f t="shared" si="1"/>
        <v>5830072845</v>
      </c>
      <c r="G19" s="2483">
        <f t="shared" si="1"/>
        <v>8172181004</v>
      </c>
      <c r="H19" s="2459">
        <f t="shared" si="1"/>
        <v>0</v>
      </c>
      <c r="I19" s="2459">
        <f t="shared" si="1"/>
        <v>0</v>
      </c>
      <c r="J19" s="2459">
        <f t="shared" si="1"/>
        <v>0</v>
      </c>
      <c r="K19" s="2460">
        <f t="shared" si="1"/>
        <v>0</v>
      </c>
    </row>
    <row r="20" spans="1:11" ht="19.5" customHeight="1" thickBot="1">
      <c r="A20" s="4050"/>
      <c r="B20" s="4051"/>
      <c r="C20" s="4051"/>
      <c r="D20" s="2456"/>
      <c r="E20" s="2456"/>
      <c r="F20" s="2456"/>
      <c r="G20" s="2456"/>
      <c r="H20" s="2456"/>
      <c r="I20" s="2456"/>
      <c r="J20" s="2456"/>
      <c r="K20" s="2457"/>
    </row>
    <row r="21" spans="1:11" ht="18" customHeight="1">
      <c r="A21" s="4054" t="s">
        <v>8246</v>
      </c>
      <c r="B21" s="4055"/>
      <c r="C21" s="4055"/>
      <c r="D21" s="2461">
        <f>+'RESUMEN 2'!H12</f>
        <v>1724083693</v>
      </c>
      <c r="E21" s="2462"/>
      <c r="F21" s="2462">
        <f>+D21</f>
        <v>1724083693</v>
      </c>
      <c r="G21" s="2462"/>
      <c r="H21" s="2462">
        <f>ROUND(H19*0.2,0)</f>
        <v>0</v>
      </c>
      <c r="I21" s="2462"/>
      <c r="J21" s="2462">
        <f>ROUND(J19*0.2,0)</f>
        <v>0</v>
      </c>
      <c r="K21" s="2463"/>
    </row>
    <row r="22" spans="1:11" ht="18" customHeight="1" thickBot="1">
      <c r="A22" s="4045" t="s">
        <v>8247</v>
      </c>
      <c r="B22" s="4046"/>
      <c r="C22" s="4046"/>
      <c r="D22" s="2454"/>
      <c r="E22" s="2464">
        <f>+'RESUMEN 2'!I21</f>
        <v>1500322539</v>
      </c>
      <c r="F22" s="2454"/>
      <c r="G22" s="2454">
        <f>+E22</f>
        <v>1500322539</v>
      </c>
      <c r="H22" s="2454"/>
      <c r="I22" s="2454">
        <f>+I19*0.1</f>
        <v>0</v>
      </c>
      <c r="J22" s="2454"/>
      <c r="K22" s="2455">
        <f>+K19*0.1</f>
        <v>0</v>
      </c>
    </row>
    <row r="23" spans="1:11" ht="18" customHeight="1" thickBot="1">
      <c r="A23" s="2465"/>
      <c r="B23" s="2466"/>
      <c r="C23" s="2466"/>
      <c r="D23" s="2467"/>
      <c r="E23" s="2468"/>
      <c r="F23" s="2456"/>
      <c r="G23" s="2456"/>
      <c r="H23" s="2456"/>
      <c r="I23" s="2456"/>
      <c r="J23" s="2456"/>
      <c r="K23" s="2457"/>
    </row>
    <row r="24" spans="1:11" ht="19.5" customHeight="1" thickBot="1">
      <c r="A24" s="4059" t="s">
        <v>8248</v>
      </c>
      <c r="B24" s="4060"/>
      <c r="C24" s="4060"/>
      <c r="D24" s="2483">
        <f>ROUND(SUM(D21:D22),0)</f>
        <v>1724083693</v>
      </c>
      <c r="E24" s="2483">
        <f t="shared" ref="E24:G24" si="2">ROUND(SUM(E21:E22),0)</f>
        <v>1500322539</v>
      </c>
      <c r="F24" s="2483">
        <f t="shared" si="2"/>
        <v>1724083693</v>
      </c>
      <c r="G24" s="2483">
        <f t="shared" si="2"/>
        <v>1500322539</v>
      </c>
      <c r="H24" s="2459">
        <f>+SUM(H14:H23)</f>
        <v>0</v>
      </c>
      <c r="I24" s="2459">
        <f>+SUM(I14:I23)</f>
        <v>0</v>
      </c>
      <c r="J24" s="2459">
        <f>+SUM(J14:J23)</f>
        <v>0</v>
      </c>
      <c r="K24" s="2460">
        <f>+SUM(K14:K23)</f>
        <v>0</v>
      </c>
    </row>
    <row r="25" spans="1:11" ht="19.5" customHeight="1" thickBot="1">
      <c r="A25" s="2469"/>
      <c r="B25" s="2470"/>
      <c r="C25" s="2470"/>
      <c r="D25" s="2485"/>
      <c r="F25" s="2471"/>
      <c r="G25" s="2471"/>
      <c r="H25" s="2472"/>
      <c r="I25" s="2472"/>
      <c r="J25" s="2472"/>
      <c r="K25" s="2473"/>
    </row>
    <row r="26" spans="1:11" ht="17.399999999999999" customHeight="1">
      <c r="A26" s="4054" t="s">
        <v>8722</v>
      </c>
      <c r="B26" s="4055"/>
      <c r="C26" s="4055"/>
      <c r="D26" s="2461">
        <f>+'RESUMEN 2'!J12</f>
        <v>1220997510</v>
      </c>
      <c r="E26" s="2462"/>
      <c r="F26" s="2461">
        <f>+D26</f>
        <v>1220997510</v>
      </c>
      <c r="G26" s="2462"/>
      <c r="H26" s="2474">
        <f t="shared" ref="H26:K27" si="3">+SUM(H16:H25)</f>
        <v>0</v>
      </c>
      <c r="I26" s="2474">
        <f t="shared" si="3"/>
        <v>0</v>
      </c>
      <c r="J26" s="2474">
        <f t="shared" si="3"/>
        <v>0</v>
      </c>
      <c r="K26" s="2475">
        <f t="shared" si="3"/>
        <v>0</v>
      </c>
    </row>
    <row r="27" spans="1:11" ht="17.399999999999999" customHeight="1">
      <c r="A27" s="4061" t="s">
        <v>8721</v>
      </c>
      <c r="B27" s="4062"/>
      <c r="C27" s="4062"/>
      <c r="D27" s="2449"/>
      <c r="E27" s="2484">
        <f>+'RESUMEN 2'!J21</f>
        <v>96725036</v>
      </c>
      <c r="F27" s="2449"/>
      <c r="G27" s="2448">
        <f>+E27</f>
        <v>96725036</v>
      </c>
      <c r="H27" s="2476">
        <f t="shared" si="3"/>
        <v>0</v>
      </c>
      <c r="I27" s="2476">
        <f t="shared" si="3"/>
        <v>0</v>
      </c>
      <c r="J27" s="2476">
        <f t="shared" si="3"/>
        <v>0</v>
      </c>
      <c r="K27" s="2477">
        <f t="shared" si="3"/>
        <v>0</v>
      </c>
    </row>
    <row r="28" spans="1:11" ht="21.75" customHeight="1">
      <c r="A28" s="4063" t="s">
        <v>8249</v>
      </c>
      <c r="B28" s="4062"/>
      <c r="C28" s="4062"/>
      <c r="D28" s="2680">
        <f>+'RESUMEN 2'!K12</f>
        <v>151083131</v>
      </c>
      <c r="E28" s="2448"/>
      <c r="F28" s="2448">
        <f>+D28</f>
        <v>151083131</v>
      </c>
      <c r="G28" s="2449"/>
      <c r="H28" s="2476">
        <f t="shared" ref="H28:K29" si="4">+SUM(H17:H27)</f>
        <v>0</v>
      </c>
      <c r="I28" s="2476">
        <f t="shared" si="4"/>
        <v>0</v>
      </c>
      <c r="J28" s="2476">
        <f t="shared" si="4"/>
        <v>0</v>
      </c>
      <c r="K28" s="2477">
        <f t="shared" si="4"/>
        <v>0</v>
      </c>
    </row>
    <row r="29" spans="1:11" ht="24.75" customHeight="1" thickBot="1">
      <c r="A29" s="4045" t="s">
        <v>8250</v>
      </c>
      <c r="B29" s="4046"/>
      <c r="C29" s="4046"/>
      <c r="D29" s="2454"/>
      <c r="E29" s="2464">
        <f>ROUND(0.02*(E24+E19),0)</f>
        <v>193450071</v>
      </c>
      <c r="F29" s="2454"/>
      <c r="G29" s="2464">
        <f>+E29</f>
        <v>193450071</v>
      </c>
      <c r="H29" s="2478">
        <f t="shared" si="4"/>
        <v>0</v>
      </c>
      <c r="I29" s="2478">
        <f t="shared" si="4"/>
        <v>0</v>
      </c>
      <c r="J29" s="2478">
        <f t="shared" si="4"/>
        <v>0</v>
      </c>
      <c r="K29" s="2479">
        <f t="shared" si="4"/>
        <v>0</v>
      </c>
    </row>
    <row r="30" spans="1:11" ht="24.75" customHeight="1" thickBot="1">
      <c r="A30" s="2465"/>
      <c r="B30" s="2466"/>
      <c r="C30" s="2466"/>
      <c r="D30" s="2456"/>
      <c r="E30" s="2480"/>
      <c r="F30" s="2456"/>
      <c r="G30" s="2468"/>
      <c r="H30" s="2472"/>
      <c r="I30" s="2472"/>
      <c r="J30" s="2472"/>
      <c r="K30" s="2473"/>
    </row>
    <row r="31" spans="1:11" ht="18.75" customHeight="1" thickBot="1">
      <c r="A31" s="4059" t="s">
        <v>8251</v>
      </c>
      <c r="B31" s="4060"/>
      <c r="C31" s="4060"/>
      <c r="D31" s="2458">
        <f>ROUND(SUM(D26:D29),0)</f>
        <v>1372080641</v>
      </c>
      <c r="E31" s="2458">
        <f>ROUND(SUM(E26:E29),0)</f>
        <v>290175107</v>
      </c>
      <c r="F31" s="2458">
        <f>ROUND(SUM(F26:F29),0)</f>
        <v>1372080641</v>
      </c>
      <c r="G31" s="2458">
        <f>ROUND(SUM(G26:G29),0)</f>
        <v>290175107</v>
      </c>
      <c r="H31" s="2459">
        <f>+SUM(H20:H30)</f>
        <v>0</v>
      </c>
      <c r="I31" s="2459">
        <f>+SUM(I20:I30)</f>
        <v>0</v>
      </c>
      <c r="J31" s="2459">
        <f>+SUM(J20:J30)</f>
        <v>0</v>
      </c>
      <c r="K31" s="2460">
        <f>+SUM(K20:K30)</f>
        <v>0</v>
      </c>
    </row>
    <row r="32" spans="1:11" ht="24.75" customHeight="1" thickBot="1">
      <c r="A32" s="2465"/>
      <c r="B32" s="2466"/>
      <c r="C32" s="2466"/>
      <c r="D32" s="2456"/>
      <c r="E32" s="2480"/>
      <c r="F32" s="2456"/>
      <c r="G32" s="2468"/>
      <c r="H32" s="2456"/>
      <c r="I32" s="2456"/>
      <c r="J32" s="2456"/>
      <c r="K32" s="2457"/>
    </row>
    <row r="33" spans="1:12" ht="10.8" thickBot="1">
      <c r="A33" s="4052" t="s">
        <v>8252</v>
      </c>
      <c r="B33" s="4053"/>
      <c r="C33" s="4053"/>
      <c r="D33" s="2458">
        <f>ROUND(+D31+D24+D19,0)</f>
        <v>8926237179</v>
      </c>
      <c r="E33" s="2458">
        <f>ROUND(+E31+E24+E19,0)</f>
        <v>9962678650</v>
      </c>
      <c r="F33" s="2458">
        <f>+D33</f>
        <v>8926237179</v>
      </c>
      <c r="G33" s="2458">
        <f>+E33</f>
        <v>9962678650</v>
      </c>
      <c r="H33" s="2459">
        <f>+H24+H26+H27</f>
        <v>0</v>
      </c>
      <c r="I33" s="2459">
        <f>+I24+I26+I27</f>
        <v>0</v>
      </c>
      <c r="J33" s="2459">
        <f>+J24+J26+J27</f>
        <v>0</v>
      </c>
      <c r="K33" s="2460">
        <f>+K24+K26+K27</f>
        <v>0</v>
      </c>
      <c r="L33" s="2481"/>
    </row>
    <row r="34" spans="1:12" ht="13.5" customHeight="1" thickBot="1">
      <c r="A34" s="4052" t="s">
        <v>8252</v>
      </c>
      <c r="B34" s="4053"/>
      <c r="C34" s="4053"/>
      <c r="D34" s="4056">
        <f>+D33+E33</f>
        <v>18888915829</v>
      </c>
      <c r="E34" s="4057"/>
      <c r="F34" s="4057"/>
      <c r="G34" s="4057"/>
      <c r="H34" s="4057"/>
      <c r="I34" s="4057"/>
      <c r="J34" s="4057"/>
      <c r="K34" s="4058"/>
      <c r="L34" s="2481"/>
    </row>
    <row r="35" spans="1:12">
      <c r="D35" s="2482"/>
      <c r="E35" s="2482"/>
      <c r="F35" s="2482"/>
      <c r="G35" s="2482"/>
    </row>
    <row r="36" spans="1:12">
      <c r="D36" s="2481"/>
      <c r="E36" s="2481"/>
    </row>
    <row r="37" spans="1:12">
      <c r="D37" s="2482"/>
      <c r="E37" s="2482"/>
    </row>
    <row r="38" spans="1:12">
      <c r="E38" s="2481"/>
    </row>
    <row r="39" spans="1:12">
      <c r="F39" s="2482"/>
      <c r="G39" s="2482"/>
    </row>
    <row r="40" spans="1:12">
      <c r="F40" s="2481"/>
    </row>
  </sheetData>
  <mergeCells count="28">
    <mergeCell ref="A33:C33"/>
    <mergeCell ref="A34:C34"/>
    <mergeCell ref="D34:K34"/>
    <mergeCell ref="A24:C24"/>
    <mergeCell ref="A26:C26"/>
    <mergeCell ref="A27:C27"/>
    <mergeCell ref="A28:C28"/>
    <mergeCell ref="A29:C29"/>
    <mergeCell ref="A31:C31"/>
    <mergeCell ref="A22:C22"/>
    <mergeCell ref="A10:C10"/>
    <mergeCell ref="A11:C11"/>
    <mergeCell ref="A12:C12"/>
    <mergeCell ref="A13:C13"/>
    <mergeCell ref="A14:C14"/>
    <mergeCell ref="A15:C15"/>
    <mergeCell ref="A16:C16"/>
    <mergeCell ref="A18:C18"/>
    <mergeCell ref="A19:C19"/>
    <mergeCell ref="A20:C20"/>
    <mergeCell ref="A21:C21"/>
    <mergeCell ref="A1:K2"/>
    <mergeCell ref="A7:C9"/>
    <mergeCell ref="D7:K7"/>
    <mergeCell ref="D8:E8"/>
    <mergeCell ref="F8:G8"/>
    <mergeCell ref="H8:I8"/>
    <mergeCell ref="J8:K8"/>
  </mergeCells>
  <printOptions horizontalCentered="1" verticalCentered="1"/>
  <pageMargins left="0.74803149606299213" right="0.74803149606299213" top="0.98425196850393704" bottom="0.98425196850393704" header="0" footer="0"/>
  <pageSetup scale="65" orientation="landscape" r:id="rId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89"/>
  <sheetViews>
    <sheetView view="pageBreakPreview" topLeftCell="A25" zoomScale="85" zoomScaleNormal="106" zoomScaleSheetLayoutView="85" workbookViewId="0">
      <selection activeCell="C343" sqref="C343:D343"/>
    </sheetView>
  </sheetViews>
  <sheetFormatPr baseColWidth="10" defaultColWidth="10.6640625" defaultRowHeight="9.6"/>
  <cols>
    <col min="1" max="1" width="15" style="2488" customWidth="1"/>
    <col min="2" max="2" width="22.6640625" style="2488" customWidth="1"/>
    <col min="3" max="3" width="11.44140625" style="2488"/>
    <col min="4" max="4" width="13" style="2488" customWidth="1"/>
    <col min="5" max="5" width="9.33203125" style="2488" customWidth="1"/>
    <col min="6" max="6" width="15.109375" style="2488" customWidth="1"/>
    <col min="7" max="7" width="14" style="2488" customWidth="1"/>
    <col min="8" max="8" width="16.33203125" style="2488" customWidth="1"/>
    <col min="9" max="9" width="21.44140625" style="2488" customWidth="1"/>
    <col min="10" max="256" width="11.44140625" style="2488"/>
    <col min="257" max="257" width="15" style="2488" customWidth="1"/>
    <col min="258" max="258" width="21" style="2488" customWidth="1"/>
    <col min="259" max="259" width="11.44140625" style="2488"/>
    <col min="260" max="260" width="13" style="2488" customWidth="1"/>
    <col min="261" max="261" width="9.33203125" style="2488" customWidth="1"/>
    <col min="262" max="264" width="15.109375" style="2488" customWidth="1"/>
    <col min="265" max="265" width="24.6640625" style="2488" customWidth="1"/>
    <col min="266" max="512" width="11.44140625" style="2488"/>
    <col min="513" max="513" width="15" style="2488" customWidth="1"/>
    <col min="514" max="514" width="21" style="2488" customWidth="1"/>
    <col min="515" max="515" width="11.44140625" style="2488"/>
    <col min="516" max="516" width="13" style="2488" customWidth="1"/>
    <col min="517" max="517" width="9.33203125" style="2488" customWidth="1"/>
    <col min="518" max="520" width="15.109375" style="2488" customWidth="1"/>
    <col min="521" max="521" width="24.6640625" style="2488" customWidth="1"/>
    <col min="522" max="768" width="11.44140625" style="2488"/>
    <col min="769" max="769" width="15" style="2488" customWidth="1"/>
    <col min="770" max="770" width="21" style="2488" customWidth="1"/>
    <col min="771" max="771" width="11.44140625" style="2488"/>
    <col min="772" max="772" width="13" style="2488" customWidth="1"/>
    <col min="773" max="773" width="9.33203125" style="2488" customWidth="1"/>
    <col min="774" max="776" width="15.109375" style="2488" customWidth="1"/>
    <col min="777" max="777" width="24.6640625" style="2488" customWidth="1"/>
    <col min="778" max="1024" width="11.44140625" style="2488"/>
    <col min="1025" max="1025" width="15" style="2488" customWidth="1"/>
    <col min="1026" max="1026" width="21" style="2488" customWidth="1"/>
    <col min="1027" max="1027" width="11.44140625" style="2488"/>
    <col min="1028" max="1028" width="13" style="2488" customWidth="1"/>
    <col min="1029" max="1029" width="9.33203125" style="2488" customWidth="1"/>
    <col min="1030" max="1032" width="15.109375" style="2488" customWidth="1"/>
    <col min="1033" max="1033" width="24.6640625" style="2488" customWidth="1"/>
    <col min="1034" max="1280" width="11.44140625" style="2488"/>
    <col min="1281" max="1281" width="15" style="2488" customWidth="1"/>
    <col min="1282" max="1282" width="21" style="2488" customWidth="1"/>
    <col min="1283" max="1283" width="11.44140625" style="2488"/>
    <col min="1284" max="1284" width="13" style="2488" customWidth="1"/>
    <col min="1285" max="1285" width="9.33203125" style="2488" customWidth="1"/>
    <col min="1286" max="1288" width="15.109375" style="2488" customWidth="1"/>
    <col min="1289" max="1289" width="24.6640625" style="2488" customWidth="1"/>
    <col min="1290" max="1536" width="11.44140625" style="2488"/>
    <col min="1537" max="1537" width="15" style="2488" customWidth="1"/>
    <col min="1538" max="1538" width="21" style="2488" customWidth="1"/>
    <col min="1539" max="1539" width="11.44140625" style="2488"/>
    <col min="1540" max="1540" width="13" style="2488" customWidth="1"/>
    <col min="1541" max="1541" width="9.33203125" style="2488" customWidth="1"/>
    <col min="1542" max="1544" width="15.109375" style="2488" customWidth="1"/>
    <col min="1545" max="1545" width="24.6640625" style="2488" customWidth="1"/>
    <col min="1546" max="1792" width="11.44140625" style="2488"/>
    <col min="1793" max="1793" width="15" style="2488" customWidth="1"/>
    <col min="1794" max="1794" width="21" style="2488" customWidth="1"/>
    <col min="1795" max="1795" width="11.44140625" style="2488"/>
    <col min="1796" max="1796" width="13" style="2488" customWidth="1"/>
    <col min="1797" max="1797" width="9.33203125" style="2488" customWidth="1"/>
    <col min="1798" max="1800" width="15.109375" style="2488" customWidth="1"/>
    <col min="1801" max="1801" width="24.6640625" style="2488" customWidth="1"/>
    <col min="1802" max="2048" width="11.44140625" style="2488"/>
    <col min="2049" max="2049" width="15" style="2488" customWidth="1"/>
    <col min="2050" max="2050" width="21" style="2488" customWidth="1"/>
    <col min="2051" max="2051" width="11.44140625" style="2488"/>
    <col min="2052" max="2052" width="13" style="2488" customWidth="1"/>
    <col min="2053" max="2053" width="9.33203125" style="2488" customWidth="1"/>
    <col min="2054" max="2056" width="15.109375" style="2488" customWidth="1"/>
    <col min="2057" max="2057" width="24.6640625" style="2488" customWidth="1"/>
    <col min="2058" max="2304" width="11.44140625" style="2488"/>
    <col min="2305" max="2305" width="15" style="2488" customWidth="1"/>
    <col min="2306" max="2306" width="21" style="2488" customWidth="1"/>
    <col min="2307" max="2307" width="11.44140625" style="2488"/>
    <col min="2308" max="2308" width="13" style="2488" customWidth="1"/>
    <col min="2309" max="2309" width="9.33203125" style="2488" customWidth="1"/>
    <col min="2310" max="2312" width="15.109375" style="2488" customWidth="1"/>
    <col min="2313" max="2313" width="24.6640625" style="2488" customWidth="1"/>
    <col min="2314" max="2560" width="11.44140625" style="2488"/>
    <col min="2561" max="2561" width="15" style="2488" customWidth="1"/>
    <col min="2562" max="2562" width="21" style="2488" customWidth="1"/>
    <col min="2563" max="2563" width="11.44140625" style="2488"/>
    <col min="2564" max="2564" width="13" style="2488" customWidth="1"/>
    <col min="2565" max="2565" width="9.33203125" style="2488" customWidth="1"/>
    <col min="2566" max="2568" width="15.109375" style="2488" customWidth="1"/>
    <col min="2569" max="2569" width="24.6640625" style="2488" customWidth="1"/>
    <col min="2570" max="2816" width="11.44140625" style="2488"/>
    <col min="2817" max="2817" width="15" style="2488" customWidth="1"/>
    <col min="2818" max="2818" width="21" style="2488" customWidth="1"/>
    <col min="2819" max="2819" width="11.44140625" style="2488"/>
    <col min="2820" max="2820" width="13" style="2488" customWidth="1"/>
    <col min="2821" max="2821" width="9.33203125" style="2488" customWidth="1"/>
    <col min="2822" max="2824" width="15.109375" style="2488" customWidth="1"/>
    <col min="2825" max="2825" width="24.6640625" style="2488" customWidth="1"/>
    <col min="2826" max="3072" width="11.44140625" style="2488"/>
    <col min="3073" max="3073" width="15" style="2488" customWidth="1"/>
    <col min="3074" max="3074" width="21" style="2488" customWidth="1"/>
    <col min="3075" max="3075" width="11.44140625" style="2488"/>
    <col min="3076" max="3076" width="13" style="2488" customWidth="1"/>
    <col min="3077" max="3077" width="9.33203125" style="2488" customWidth="1"/>
    <col min="3078" max="3080" width="15.109375" style="2488" customWidth="1"/>
    <col min="3081" max="3081" width="24.6640625" style="2488" customWidth="1"/>
    <col min="3082" max="3328" width="11.44140625" style="2488"/>
    <col min="3329" max="3329" width="15" style="2488" customWidth="1"/>
    <col min="3330" max="3330" width="21" style="2488" customWidth="1"/>
    <col min="3331" max="3331" width="11.44140625" style="2488"/>
    <col min="3332" max="3332" width="13" style="2488" customWidth="1"/>
    <col min="3333" max="3333" width="9.33203125" style="2488" customWidth="1"/>
    <col min="3334" max="3336" width="15.109375" style="2488" customWidth="1"/>
    <col min="3337" max="3337" width="24.6640625" style="2488" customWidth="1"/>
    <col min="3338" max="3584" width="11.44140625" style="2488"/>
    <col min="3585" max="3585" width="15" style="2488" customWidth="1"/>
    <col min="3586" max="3586" width="21" style="2488" customWidth="1"/>
    <col min="3587" max="3587" width="11.44140625" style="2488"/>
    <col min="3588" max="3588" width="13" style="2488" customWidth="1"/>
    <col min="3589" max="3589" width="9.33203125" style="2488" customWidth="1"/>
    <col min="3590" max="3592" width="15.109375" style="2488" customWidth="1"/>
    <col min="3593" max="3593" width="24.6640625" style="2488" customWidth="1"/>
    <col min="3594" max="3840" width="11.44140625" style="2488"/>
    <col min="3841" max="3841" width="15" style="2488" customWidth="1"/>
    <col min="3842" max="3842" width="21" style="2488" customWidth="1"/>
    <col min="3843" max="3843" width="11.44140625" style="2488"/>
    <col min="3844" max="3844" width="13" style="2488" customWidth="1"/>
    <col min="3845" max="3845" width="9.33203125" style="2488" customWidth="1"/>
    <col min="3846" max="3848" width="15.109375" style="2488" customWidth="1"/>
    <col min="3849" max="3849" width="24.6640625" style="2488" customWidth="1"/>
    <col min="3850" max="4096" width="11.44140625" style="2488"/>
    <col min="4097" max="4097" width="15" style="2488" customWidth="1"/>
    <col min="4098" max="4098" width="21" style="2488" customWidth="1"/>
    <col min="4099" max="4099" width="11.44140625" style="2488"/>
    <col min="4100" max="4100" width="13" style="2488" customWidth="1"/>
    <col min="4101" max="4101" width="9.33203125" style="2488" customWidth="1"/>
    <col min="4102" max="4104" width="15.109375" style="2488" customWidth="1"/>
    <col min="4105" max="4105" width="24.6640625" style="2488" customWidth="1"/>
    <col min="4106" max="4352" width="11.44140625" style="2488"/>
    <col min="4353" max="4353" width="15" style="2488" customWidth="1"/>
    <col min="4354" max="4354" width="21" style="2488" customWidth="1"/>
    <col min="4355" max="4355" width="11.44140625" style="2488"/>
    <col min="4356" max="4356" width="13" style="2488" customWidth="1"/>
    <col min="4357" max="4357" width="9.33203125" style="2488" customWidth="1"/>
    <col min="4358" max="4360" width="15.109375" style="2488" customWidth="1"/>
    <col min="4361" max="4361" width="24.6640625" style="2488" customWidth="1"/>
    <col min="4362" max="4608" width="11.44140625" style="2488"/>
    <col min="4609" max="4609" width="15" style="2488" customWidth="1"/>
    <col min="4610" max="4610" width="21" style="2488" customWidth="1"/>
    <col min="4611" max="4611" width="11.44140625" style="2488"/>
    <col min="4612" max="4612" width="13" style="2488" customWidth="1"/>
    <col min="4613" max="4613" width="9.33203125" style="2488" customWidth="1"/>
    <col min="4614" max="4616" width="15.109375" style="2488" customWidth="1"/>
    <col min="4617" max="4617" width="24.6640625" style="2488" customWidth="1"/>
    <col min="4618" max="4864" width="11.44140625" style="2488"/>
    <col min="4865" max="4865" width="15" style="2488" customWidth="1"/>
    <col min="4866" max="4866" width="21" style="2488" customWidth="1"/>
    <col min="4867" max="4867" width="11.44140625" style="2488"/>
    <col min="4868" max="4868" width="13" style="2488" customWidth="1"/>
    <col min="4869" max="4869" width="9.33203125" style="2488" customWidth="1"/>
    <col min="4870" max="4872" width="15.109375" style="2488" customWidth="1"/>
    <col min="4873" max="4873" width="24.6640625" style="2488" customWidth="1"/>
    <col min="4874" max="5120" width="11.44140625" style="2488"/>
    <col min="5121" max="5121" width="15" style="2488" customWidth="1"/>
    <col min="5122" max="5122" width="21" style="2488" customWidth="1"/>
    <col min="5123" max="5123" width="11.44140625" style="2488"/>
    <col min="5124" max="5124" width="13" style="2488" customWidth="1"/>
    <col min="5125" max="5125" width="9.33203125" style="2488" customWidth="1"/>
    <col min="5126" max="5128" width="15.109375" style="2488" customWidth="1"/>
    <col min="5129" max="5129" width="24.6640625" style="2488" customWidth="1"/>
    <col min="5130" max="5376" width="11.44140625" style="2488"/>
    <col min="5377" max="5377" width="15" style="2488" customWidth="1"/>
    <col min="5378" max="5378" width="21" style="2488" customWidth="1"/>
    <col min="5379" max="5379" width="11.44140625" style="2488"/>
    <col min="5380" max="5380" width="13" style="2488" customWidth="1"/>
    <col min="5381" max="5381" width="9.33203125" style="2488" customWidth="1"/>
    <col min="5382" max="5384" width="15.109375" style="2488" customWidth="1"/>
    <col min="5385" max="5385" width="24.6640625" style="2488" customWidth="1"/>
    <col min="5386" max="5632" width="11.44140625" style="2488"/>
    <col min="5633" max="5633" width="15" style="2488" customWidth="1"/>
    <col min="5634" max="5634" width="21" style="2488" customWidth="1"/>
    <col min="5635" max="5635" width="11.44140625" style="2488"/>
    <col min="5636" max="5636" width="13" style="2488" customWidth="1"/>
    <col min="5637" max="5637" width="9.33203125" style="2488" customWidth="1"/>
    <col min="5638" max="5640" width="15.109375" style="2488" customWidth="1"/>
    <col min="5641" max="5641" width="24.6640625" style="2488" customWidth="1"/>
    <col min="5642" max="5888" width="11.44140625" style="2488"/>
    <col min="5889" max="5889" width="15" style="2488" customWidth="1"/>
    <col min="5890" max="5890" width="21" style="2488" customWidth="1"/>
    <col min="5891" max="5891" width="11.44140625" style="2488"/>
    <col min="5892" max="5892" width="13" style="2488" customWidth="1"/>
    <col min="5893" max="5893" width="9.33203125" style="2488" customWidth="1"/>
    <col min="5894" max="5896" width="15.109375" style="2488" customWidth="1"/>
    <col min="5897" max="5897" width="24.6640625" style="2488" customWidth="1"/>
    <col min="5898" max="6144" width="11.44140625" style="2488"/>
    <col min="6145" max="6145" width="15" style="2488" customWidth="1"/>
    <col min="6146" max="6146" width="21" style="2488" customWidth="1"/>
    <col min="6147" max="6147" width="11.44140625" style="2488"/>
    <col min="6148" max="6148" width="13" style="2488" customWidth="1"/>
    <col min="6149" max="6149" width="9.33203125" style="2488" customWidth="1"/>
    <col min="6150" max="6152" width="15.109375" style="2488" customWidth="1"/>
    <col min="6153" max="6153" width="24.6640625" style="2488" customWidth="1"/>
    <col min="6154" max="6400" width="11.44140625" style="2488"/>
    <col min="6401" max="6401" width="15" style="2488" customWidth="1"/>
    <col min="6402" max="6402" width="21" style="2488" customWidth="1"/>
    <col min="6403" max="6403" width="11.44140625" style="2488"/>
    <col min="6404" max="6404" width="13" style="2488" customWidth="1"/>
    <col min="6405" max="6405" width="9.33203125" style="2488" customWidth="1"/>
    <col min="6406" max="6408" width="15.109375" style="2488" customWidth="1"/>
    <col min="6409" max="6409" width="24.6640625" style="2488" customWidth="1"/>
    <col min="6410" max="6656" width="11.44140625" style="2488"/>
    <col min="6657" max="6657" width="15" style="2488" customWidth="1"/>
    <col min="6658" max="6658" width="21" style="2488" customWidth="1"/>
    <col min="6659" max="6659" width="11.44140625" style="2488"/>
    <col min="6660" max="6660" width="13" style="2488" customWidth="1"/>
    <col min="6661" max="6661" width="9.33203125" style="2488" customWidth="1"/>
    <col min="6662" max="6664" width="15.109375" style="2488" customWidth="1"/>
    <col min="6665" max="6665" width="24.6640625" style="2488" customWidth="1"/>
    <col min="6666" max="6912" width="11.44140625" style="2488"/>
    <col min="6913" max="6913" width="15" style="2488" customWidth="1"/>
    <col min="6914" max="6914" width="21" style="2488" customWidth="1"/>
    <col min="6915" max="6915" width="11.44140625" style="2488"/>
    <col min="6916" max="6916" width="13" style="2488" customWidth="1"/>
    <col min="6917" max="6917" width="9.33203125" style="2488" customWidth="1"/>
    <col min="6918" max="6920" width="15.109375" style="2488" customWidth="1"/>
    <col min="6921" max="6921" width="24.6640625" style="2488" customWidth="1"/>
    <col min="6922" max="7168" width="11.44140625" style="2488"/>
    <col min="7169" max="7169" width="15" style="2488" customWidth="1"/>
    <col min="7170" max="7170" width="21" style="2488" customWidth="1"/>
    <col min="7171" max="7171" width="11.44140625" style="2488"/>
    <col min="7172" max="7172" width="13" style="2488" customWidth="1"/>
    <col min="7173" max="7173" width="9.33203125" style="2488" customWidth="1"/>
    <col min="7174" max="7176" width="15.109375" style="2488" customWidth="1"/>
    <col min="7177" max="7177" width="24.6640625" style="2488" customWidth="1"/>
    <col min="7178" max="7424" width="11.44140625" style="2488"/>
    <col min="7425" max="7425" width="15" style="2488" customWidth="1"/>
    <col min="7426" max="7426" width="21" style="2488" customWidth="1"/>
    <col min="7427" max="7427" width="11.44140625" style="2488"/>
    <col min="7428" max="7428" width="13" style="2488" customWidth="1"/>
    <col min="7429" max="7429" width="9.33203125" style="2488" customWidth="1"/>
    <col min="7430" max="7432" width="15.109375" style="2488" customWidth="1"/>
    <col min="7433" max="7433" width="24.6640625" style="2488" customWidth="1"/>
    <col min="7434" max="7680" width="11.44140625" style="2488"/>
    <col min="7681" max="7681" width="15" style="2488" customWidth="1"/>
    <col min="7682" max="7682" width="21" style="2488" customWidth="1"/>
    <col min="7683" max="7683" width="11.44140625" style="2488"/>
    <col min="7684" max="7684" width="13" style="2488" customWidth="1"/>
    <col min="7685" max="7685" width="9.33203125" style="2488" customWidth="1"/>
    <col min="7686" max="7688" width="15.109375" style="2488" customWidth="1"/>
    <col min="7689" max="7689" width="24.6640625" style="2488" customWidth="1"/>
    <col min="7690" max="7936" width="11.44140625" style="2488"/>
    <col min="7937" max="7937" width="15" style="2488" customWidth="1"/>
    <col min="7938" max="7938" width="21" style="2488" customWidth="1"/>
    <col min="7939" max="7939" width="11.44140625" style="2488"/>
    <col min="7940" max="7940" width="13" style="2488" customWidth="1"/>
    <col min="7941" max="7941" width="9.33203125" style="2488" customWidth="1"/>
    <col min="7942" max="7944" width="15.109375" style="2488" customWidth="1"/>
    <col min="7945" max="7945" width="24.6640625" style="2488" customWidth="1"/>
    <col min="7946" max="8192" width="11.44140625" style="2488"/>
    <col min="8193" max="8193" width="15" style="2488" customWidth="1"/>
    <col min="8194" max="8194" width="21" style="2488" customWidth="1"/>
    <col min="8195" max="8195" width="11.44140625" style="2488"/>
    <col min="8196" max="8196" width="13" style="2488" customWidth="1"/>
    <col min="8197" max="8197" width="9.33203125" style="2488" customWidth="1"/>
    <col min="8198" max="8200" width="15.109375" style="2488" customWidth="1"/>
    <col min="8201" max="8201" width="24.6640625" style="2488" customWidth="1"/>
    <col min="8202" max="8448" width="11.44140625" style="2488"/>
    <col min="8449" max="8449" width="15" style="2488" customWidth="1"/>
    <col min="8450" max="8450" width="21" style="2488" customWidth="1"/>
    <col min="8451" max="8451" width="11.44140625" style="2488"/>
    <col min="8452" max="8452" width="13" style="2488" customWidth="1"/>
    <col min="8453" max="8453" width="9.33203125" style="2488" customWidth="1"/>
    <col min="8454" max="8456" width="15.109375" style="2488" customWidth="1"/>
    <col min="8457" max="8457" width="24.6640625" style="2488" customWidth="1"/>
    <col min="8458" max="8704" width="11.44140625" style="2488"/>
    <col min="8705" max="8705" width="15" style="2488" customWidth="1"/>
    <col min="8706" max="8706" width="21" style="2488" customWidth="1"/>
    <col min="8707" max="8707" width="11.44140625" style="2488"/>
    <col min="8708" max="8708" width="13" style="2488" customWidth="1"/>
    <col min="8709" max="8709" width="9.33203125" style="2488" customWidth="1"/>
    <col min="8710" max="8712" width="15.109375" style="2488" customWidth="1"/>
    <col min="8713" max="8713" width="24.6640625" style="2488" customWidth="1"/>
    <col min="8714" max="8960" width="11.44140625" style="2488"/>
    <col min="8961" max="8961" width="15" style="2488" customWidth="1"/>
    <col min="8962" max="8962" width="21" style="2488" customWidth="1"/>
    <col min="8963" max="8963" width="11.44140625" style="2488"/>
    <col min="8964" max="8964" width="13" style="2488" customWidth="1"/>
    <col min="8965" max="8965" width="9.33203125" style="2488" customWidth="1"/>
    <col min="8966" max="8968" width="15.109375" style="2488" customWidth="1"/>
    <col min="8969" max="8969" width="24.6640625" style="2488" customWidth="1"/>
    <col min="8970" max="9216" width="11.44140625" style="2488"/>
    <col min="9217" max="9217" width="15" style="2488" customWidth="1"/>
    <col min="9218" max="9218" width="21" style="2488" customWidth="1"/>
    <col min="9219" max="9219" width="11.44140625" style="2488"/>
    <col min="9220" max="9220" width="13" style="2488" customWidth="1"/>
    <col min="9221" max="9221" width="9.33203125" style="2488" customWidth="1"/>
    <col min="9222" max="9224" width="15.109375" style="2488" customWidth="1"/>
    <col min="9225" max="9225" width="24.6640625" style="2488" customWidth="1"/>
    <col min="9226" max="9472" width="11.44140625" style="2488"/>
    <col min="9473" max="9473" width="15" style="2488" customWidth="1"/>
    <col min="9474" max="9474" width="21" style="2488" customWidth="1"/>
    <col min="9475" max="9475" width="11.44140625" style="2488"/>
    <col min="9476" max="9476" width="13" style="2488" customWidth="1"/>
    <col min="9477" max="9477" width="9.33203125" style="2488" customWidth="1"/>
    <col min="9478" max="9480" width="15.109375" style="2488" customWidth="1"/>
    <col min="9481" max="9481" width="24.6640625" style="2488" customWidth="1"/>
    <col min="9482" max="9728" width="11.44140625" style="2488"/>
    <col min="9729" max="9729" width="15" style="2488" customWidth="1"/>
    <col min="9730" max="9730" width="21" style="2488" customWidth="1"/>
    <col min="9731" max="9731" width="11.44140625" style="2488"/>
    <col min="9732" max="9732" width="13" style="2488" customWidth="1"/>
    <col min="9733" max="9733" width="9.33203125" style="2488" customWidth="1"/>
    <col min="9734" max="9736" width="15.109375" style="2488" customWidth="1"/>
    <col min="9737" max="9737" width="24.6640625" style="2488" customWidth="1"/>
    <col min="9738" max="9984" width="11.44140625" style="2488"/>
    <col min="9985" max="9985" width="15" style="2488" customWidth="1"/>
    <col min="9986" max="9986" width="21" style="2488" customWidth="1"/>
    <col min="9987" max="9987" width="11.44140625" style="2488"/>
    <col min="9988" max="9988" width="13" style="2488" customWidth="1"/>
    <col min="9989" max="9989" width="9.33203125" style="2488" customWidth="1"/>
    <col min="9990" max="9992" width="15.109375" style="2488" customWidth="1"/>
    <col min="9993" max="9993" width="24.6640625" style="2488" customWidth="1"/>
    <col min="9994" max="10240" width="11.44140625" style="2488"/>
    <col min="10241" max="10241" width="15" style="2488" customWidth="1"/>
    <col min="10242" max="10242" width="21" style="2488" customWidth="1"/>
    <col min="10243" max="10243" width="11.44140625" style="2488"/>
    <col min="10244" max="10244" width="13" style="2488" customWidth="1"/>
    <col min="10245" max="10245" width="9.33203125" style="2488" customWidth="1"/>
    <col min="10246" max="10248" width="15.109375" style="2488" customWidth="1"/>
    <col min="10249" max="10249" width="24.6640625" style="2488" customWidth="1"/>
    <col min="10250" max="10496" width="11.44140625" style="2488"/>
    <col min="10497" max="10497" width="15" style="2488" customWidth="1"/>
    <col min="10498" max="10498" width="21" style="2488" customWidth="1"/>
    <col min="10499" max="10499" width="11.44140625" style="2488"/>
    <col min="10500" max="10500" width="13" style="2488" customWidth="1"/>
    <col min="10501" max="10501" width="9.33203125" style="2488" customWidth="1"/>
    <col min="10502" max="10504" width="15.109375" style="2488" customWidth="1"/>
    <col min="10505" max="10505" width="24.6640625" style="2488" customWidth="1"/>
    <col min="10506" max="10752" width="11.44140625" style="2488"/>
    <col min="10753" max="10753" width="15" style="2488" customWidth="1"/>
    <col min="10754" max="10754" width="21" style="2488" customWidth="1"/>
    <col min="10755" max="10755" width="11.44140625" style="2488"/>
    <col min="10756" max="10756" width="13" style="2488" customWidth="1"/>
    <col min="10757" max="10757" width="9.33203125" style="2488" customWidth="1"/>
    <col min="10758" max="10760" width="15.109375" style="2488" customWidth="1"/>
    <col min="10761" max="10761" width="24.6640625" style="2488" customWidth="1"/>
    <col min="10762" max="11008" width="11.44140625" style="2488"/>
    <col min="11009" max="11009" width="15" style="2488" customWidth="1"/>
    <col min="11010" max="11010" width="21" style="2488" customWidth="1"/>
    <col min="11011" max="11011" width="11.44140625" style="2488"/>
    <col min="11012" max="11012" width="13" style="2488" customWidth="1"/>
    <col min="11013" max="11013" width="9.33203125" style="2488" customWidth="1"/>
    <col min="11014" max="11016" width="15.109375" style="2488" customWidth="1"/>
    <col min="11017" max="11017" width="24.6640625" style="2488" customWidth="1"/>
    <col min="11018" max="11264" width="11.44140625" style="2488"/>
    <col min="11265" max="11265" width="15" style="2488" customWidth="1"/>
    <col min="11266" max="11266" width="21" style="2488" customWidth="1"/>
    <col min="11267" max="11267" width="11.44140625" style="2488"/>
    <col min="11268" max="11268" width="13" style="2488" customWidth="1"/>
    <col min="11269" max="11269" width="9.33203125" style="2488" customWidth="1"/>
    <col min="11270" max="11272" width="15.109375" style="2488" customWidth="1"/>
    <col min="11273" max="11273" width="24.6640625" style="2488" customWidth="1"/>
    <col min="11274" max="11520" width="11.44140625" style="2488"/>
    <col min="11521" max="11521" width="15" style="2488" customWidth="1"/>
    <col min="11522" max="11522" width="21" style="2488" customWidth="1"/>
    <col min="11523" max="11523" width="11.44140625" style="2488"/>
    <col min="11524" max="11524" width="13" style="2488" customWidth="1"/>
    <col min="11525" max="11525" width="9.33203125" style="2488" customWidth="1"/>
    <col min="11526" max="11528" width="15.109375" style="2488" customWidth="1"/>
    <col min="11529" max="11529" width="24.6640625" style="2488" customWidth="1"/>
    <col min="11530" max="11776" width="11.44140625" style="2488"/>
    <col min="11777" max="11777" width="15" style="2488" customWidth="1"/>
    <col min="11778" max="11778" width="21" style="2488" customWidth="1"/>
    <col min="11779" max="11779" width="11.44140625" style="2488"/>
    <col min="11780" max="11780" width="13" style="2488" customWidth="1"/>
    <col min="11781" max="11781" width="9.33203125" style="2488" customWidth="1"/>
    <col min="11782" max="11784" width="15.109375" style="2488" customWidth="1"/>
    <col min="11785" max="11785" width="24.6640625" style="2488" customWidth="1"/>
    <col min="11786" max="12032" width="11.44140625" style="2488"/>
    <col min="12033" max="12033" width="15" style="2488" customWidth="1"/>
    <col min="12034" max="12034" width="21" style="2488" customWidth="1"/>
    <col min="12035" max="12035" width="11.44140625" style="2488"/>
    <col min="12036" max="12036" width="13" style="2488" customWidth="1"/>
    <col min="12037" max="12037" width="9.33203125" style="2488" customWidth="1"/>
    <col min="12038" max="12040" width="15.109375" style="2488" customWidth="1"/>
    <col min="12041" max="12041" width="24.6640625" style="2488" customWidth="1"/>
    <col min="12042" max="12288" width="11.44140625" style="2488"/>
    <col min="12289" max="12289" width="15" style="2488" customWidth="1"/>
    <col min="12290" max="12290" width="21" style="2488" customWidth="1"/>
    <col min="12291" max="12291" width="11.44140625" style="2488"/>
    <col min="12292" max="12292" width="13" style="2488" customWidth="1"/>
    <col min="12293" max="12293" width="9.33203125" style="2488" customWidth="1"/>
    <col min="12294" max="12296" width="15.109375" style="2488" customWidth="1"/>
    <col min="12297" max="12297" width="24.6640625" style="2488" customWidth="1"/>
    <col min="12298" max="12544" width="11.44140625" style="2488"/>
    <col min="12545" max="12545" width="15" style="2488" customWidth="1"/>
    <col min="12546" max="12546" width="21" style="2488" customWidth="1"/>
    <col min="12547" max="12547" width="11.44140625" style="2488"/>
    <col min="12548" max="12548" width="13" style="2488" customWidth="1"/>
    <col min="12549" max="12549" width="9.33203125" style="2488" customWidth="1"/>
    <col min="12550" max="12552" width="15.109375" style="2488" customWidth="1"/>
    <col min="12553" max="12553" width="24.6640625" style="2488" customWidth="1"/>
    <col min="12554" max="12800" width="11.44140625" style="2488"/>
    <col min="12801" max="12801" width="15" style="2488" customWidth="1"/>
    <col min="12802" max="12802" width="21" style="2488" customWidth="1"/>
    <col min="12803" max="12803" width="11.44140625" style="2488"/>
    <col min="12804" max="12804" width="13" style="2488" customWidth="1"/>
    <col min="12805" max="12805" width="9.33203125" style="2488" customWidth="1"/>
    <col min="12806" max="12808" width="15.109375" style="2488" customWidth="1"/>
    <col min="12809" max="12809" width="24.6640625" style="2488" customWidth="1"/>
    <col min="12810" max="13056" width="11.44140625" style="2488"/>
    <col min="13057" max="13057" width="15" style="2488" customWidth="1"/>
    <col min="13058" max="13058" width="21" style="2488" customWidth="1"/>
    <col min="13059" max="13059" width="11.44140625" style="2488"/>
    <col min="13060" max="13060" width="13" style="2488" customWidth="1"/>
    <col min="13061" max="13061" width="9.33203125" style="2488" customWidth="1"/>
    <col min="13062" max="13064" width="15.109375" style="2488" customWidth="1"/>
    <col min="13065" max="13065" width="24.6640625" style="2488" customWidth="1"/>
    <col min="13066" max="13312" width="11.44140625" style="2488"/>
    <col min="13313" max="13313" width="15" style="2488" customWidth="1"/>
    <col min="13314" max="13314" width="21" style="2488" customWidth="1"/>
    <col min="13315" max="13315" width="11.44140625" style="2488"/>
    <col min="13316" max="13316" width="13" style="2488" customWidth="1"/>
    <col min="13317" max="13317" width="9.33203125" style="2488" customWidth="1"/>
    <col min="13318" max="13320" width="15.109375" style="2488" customWidth="1"/>
    <col min="13321" max="13321" width="24.6640625" style="2488" customWidth="1"/>
    <col min="13322" max="13568" width="11.44140625" style="2488"/>
    <col min="13569" max="13569" width="15" style="2488" customWidth="1"/>
    <col min="13570" max="13570" width="21" style="2488" customWidth="1"/>
    <col min="13571" max="13571" width="11.44140625" style="2488"/>
    <col min="13572" max="13572" width="13" style="2488" customWidth="1"/>
    <col min="13573" max="13573" width="9.33203125" style="2488" customWidth="1"/>
    <col min="13574" max="13576" width="15.109375" style="2488" customWidth="1"/>
    <col min="13577" max="13577" width="24.6640625" style="2488" customWidth="1"/>
    <col min="13578" max="13824" width="11.44140625" style="2488"/>
    <col min="13825" max="13825" width="15" style="2488" customWidth="1"/>
    <col min="13826" max="13826" width="21" style="2488" customWidth="1"/>
    <col min="13827" max="13827" width="11.44140625" style="2488"/>
    <col min="13828" max="13828" width="13" style="2488" customWidth="1"/>
    <col min="13829" max="13829" width="9.33203125" style="2488" customWidth="1"/>
    <col min="13830" max="13832" width="15.109375" style="2488" customWidth="1"/>
    <col min="13833" max="13833" width="24.6640625" style="2488" customWidth="1"/>
    <col min="13834" max="14080" width="11.44140625" style="2488"/>
    <col min="14081" max="14081" width="15" style="2488" customWidth="1"/>
    <col min="14082" max="14082" width="21" style="2488" customWidth="1"/>
    <col min="14083" max="14083" width="11.44140625" style="2488"/>
    <col min="14084" max="14084" width="13" style="2488" customWidth="1"/>
    <col min="14085" max="14085" width="9.33203125" style="2488" customWidth="1"/>
    <col min="14086" max="14088" width="15.109375" style="2488" customWidth="1"/>
    <col min="14089" max="14089" width="24.6640625" style="2488" customWidth="1"/>
    <col min="14090" max="14336" width="11.44140625" style="2488"/>
    <col min="14337" max="14337" width="15" style="2488" customWidth="1"/>
    <col min="14338" max="14338" width="21" style="2488" customWidth="1"/>
    <col min="14339" max="14339" width="11.44140625" style="2488"/>
    <col min="14340" max="14340" width="13" style="2488" customWidth="1"/>
    <col min="14341" max="14341" width="9.33203125" style="2488" customWidth="1"/>
    <col min="14342" max="14344" width="15.109375" style="2488" customWidth="1"/>
    <col min="14345" max="14345" width="24.6640625" style="2488" customWidth="1"/>
    <col min="14346" max="14592" width="11.44140625" style="2488"/>
    <col min="14593" max="14593" width="15" style="2488" customWidth="1"/>
    <col min="14594" max="14594" width="21" style="2488" customWidth="1"/>
    <col min="14595" max="14595" width="11.44140625" style="2488"/>
    <col min="14596" max="14596" width="13" style="2488" customWidth="1"/>
    <col min="14597" max="14597" width="9.33203125" style="2488" customWidth="1"/>
    <col min="14598" max="14600" width="15.109375" style="2488" customWidth="1"/>
    <col min="14601" max="14601" width="24.6640625" style="2488" customWidth="1"/>
    <col min="14602" max="14848" width="11.44140625" style="2488"/>
    <col min="14849" max="14849" width="15" style="2488" customWidth="1"/>
    <col min="14850" max="14850" width="21" style="2488" customWidth="1"/>
    <col min="14851" max="14851" width="11.44140625" style="2488"/>
    <col min="14852" max="14852" width="13" style="2488" customWidth="1"/>
    <col min="14853" max="14853" width="9.33203125" style="2488" customWidth="1"/>
    <col min="14854" max="14856" width="15.109375" style="2488" customWidth="1"/>
    <col min="14857" max="14857" width="24.6640625" style="2488" customWidth="1"/>
    <col min="14858" max="15104" width="11.44140625" style="2488"/>
    <col min="15105" max="15105" width="15" style="2488" customWidth="1"/>
    <col min="15106" max="15106" width="21" style="2488" customWidth="1"/>
    <col min="15107" max="15107" width="11.44140625" style="2488"/>
    <col min="15108" max="15108" width="13" style="2488" customWidth="1"/>
    <col min="15109" max="15109" width="9.33203125" style="2488" customWidth="1"/>
    <col min="15110" max="15112" width="15.109375" style="2488" customWidth="1"/>
    <col min="15113" max="15113" width="24.6640625" style="2488" customWidth="1"/>
    <col min="15114" max="15360" width="11.44140625" style="2488"/>
    <col min="15361" max="15361" width="15" style="2488" customWidth="1"/>
    <col min="15362" max="15362" width="21" style="2488" customWidth="1"/>
    <col min="15363" max="15363" width="11.44140625" style="2488"/>
    <col min="15364" max="15364" width="13" style="2488" customWidth="1"/>
    <col min="15365" max="15365" width="9.33203125" style="2488" customWidth="1"/>
    <col min="15366" max="15368" width="15.109375" style="2488" customWidth="1"/>
    <col min="15369" max="15369" width="24.6640625" style="2488" customWidth="1"/>
    <col min="15370" max="15616" width="11.44140625" style="2488"/>
    <col min="15617" max="15617" width="15" style="2488" customWidth="1"/>
    <col min="15618" max="15618" width="21" style="2488" customWidth="1"/>
    <col min="15619" max="15619" width="11.44140625" style="2488"/>
    <col min="15620" max="15620" width="13" style="2488" customWidth="1"/>
    <col min="15621" max="15621" width="9.33203125" style="2488" customWidth="1"/>
    <col min="15622" max="15624" width="15.109375" style="2488" customWidth="1"/>
    <col min="15625" max="15625" width="24.6640625" style="2488" customWidth="1"/>
    <col min="15626" max="15872" width="11.44140625" style="2488"/>
    <col min="15873" max="15873" width="15" style="2488" customWidth="1"/>
    <col min="15874" max="15874" width="21" style="2488" customWidth="1"/>
    <col min="15875" max="15875" width="11.44140625" style="2488"/>
    <col min="15876" max="15876" width="13" style="2488" customWidth="1"/>
    <col min="15877" max="15877" width="9.33203125" style="2488" customWidth="1"/>
    <col min="15878" max="15880" width="15.109375" style="2488" customWidth="1"/>
    <col min="15881" max="15881" width="24.6640625" style="2488" customWidth="1"/>
    <col min="15882" max="16128" width="11.44140625" style="2488"/>
    <col min="16129" max="16129" width="15" style="2488" customWidth="1"/>
    <col min="16130" max="16130" width="21" style="2488" customWidth="1"/>
    <col min="16131" max="16131" width="11.44140625" style="2488"/>
    <col min="16132" max="16132" width="13" style="2488" customWidth="1"/>
    <col min="16133" max="16133" width="9.33203125" style="2488" customWidth="1"/>
    <col min="16134" max="16136" width="15.109375" style="2488" customWidth="1"/>
    <col min="16137" max="16137" width="24.6640625" style="2488" customWidth="1"/>
    <col min="16138" max="16384" width="11.44140625" style="2488"/>
  </cols>
  <sheetData>
    <row r="1" spans="1:9" ht="20.25" customHeight="1">
      <c r="A1" s="4073"/>
      <c r="B1" s="4074"/>
      <c r="C1" s="4079" t="s">
        <v>8253</v>
      </c>
      <c r="D1" s="4080"/>
      <c r="E1" s="4080"/>
      <c r="F1" s="4080"/>
      <c r="G1" s="4081"/>
      <c r="H1" s="4088" t="s">
        <v>8254</v>
      </c>
      <c r="I1" s="4089"/>
    </row>
    <row r="2" spans="1:9" ht="16.5" customHeight="1">
      <c r="A2" s="4075"/>
      <c r="B2" s="4076"/>
      <c r="C2" s="4082"/>
      <c r="D2" s="4083"/>
      <c r="E2" s="4083"/>
      <c r="F2" s="4083"/>
      <c r="G2" s="4084"/>
      <c r="H2" s="4090"/>
      <c r="I2" s="4091"/>
    </row>
    <row r="3" spans="1:9" ht="10.5" customHeight="1">
      <c r="A3" s="4075"/>
      <c r="B3" s="4076"/>
      <c r="C3" s="4082"/>
      <c r="D3" s="4083"/>
      <c r="E3" s="4083"/>
      <c r="F3" s="4083"/>
      <c r="G3" s="4084"/>
      <c r="H3" s="4088" t="s">
        <v>8255</v>
      </c>
      <c r="I3" s="4089"/>
    </row>
    <row r="4" spans="1:9" ht="15.75" customHeight="1">
      <c r="A4" s="4075"/>
      <c r="B4" s="4076"/>
      <c r="C4" s="4082"/>
      <c r="D4" s="4083"/>
      <c r="E4" s="4083"/>
      <c r="F4" s="4083"/>
      <c r="G4" s="4084"/>
      <c r="H4" s="4092"/>
      <c r="I4" s="4093"/>
    </row>
    <row r="5" spans="1:9" ht="17.25" customHeight="1">
      <c r="A5" s="4077"/>
      <c r="B5" s="4078"/>
      <c r="C5" s="4085"/>
      <c r="D5" s="4086"/>
      <c r="E5" s="4086"/>
      <c r="F5" s="4086"/>
      <c r="G5" s="4087"/>
      <c r="H5" s="4088" t="s">
        <v>8256</v>
      </c>
      <c r="I5" s="4089"/>
    </row>
    <row r="6" spans="1:9" ht="12.6" customHeight="1">
      <c r="A6" s="4064"/>
      <c r="B6" s="4065"/>
      <c r="C6" s="4065"/>
      <c r="D6" s="4065"/>
      <c r="E6" s="4065"/>
      <c r="F6" s="4065"/>
      <c r="G6" s="4065"/>
      <c r="H6" s="4065"/>
      <c r="I6" s="4066"/>
    </row>
    <row r="7" spans="1:9">
      <c r="A7" s="4067" t="s">
        <v>8257</v>
      </c>
      <c r="B7" s="4068"/>
      <c r="C7" s="4068"/>
      <c r="D7" s="4068"/>
      <c r="E7" s="4068"/>
      <c r="F7" s="4068"/>
      <c r="G7" s="4068"/>
      <c r="H7" s="4068"/>
      <c r="I7" s="4069"/>
    </row>
    <row r="8" spans="1:9" ht="19.5" customHeight="1">
      <c r="A8" s="4070" t="s">
        <v>8258</v>
      </c>
      <c r="B8" s="4070"/>
      <c r="C8" s="4070"/>
      <c r="D8" s="4071" t="s">
        <v>8259</v>
      </c>
      <c r="E8" s="4071"/>
      <c r="F8" s="4071"/>
      <c r="G8" s="4071"/>
      <c r="H8" s="4071"/>
      <c r="I8" s="4071"/>
    </row>
    <row r="9" spans="1:9">
      <c r="A9" s="2489" t="s">
        <v>8260</v>
      </c>
      <c r="B9" s="4072" t="s">
        <v>8261</v>
      </c>
      <c r="C9" s="4072"/>
      <c r="D9" s="4072"/>
      <c r="E9" s="4071" t="s">
        <v>8262</v>
      </c>
      <c r="F9" s="4071"/>
      <c r="G9" s="4072" t="s">
        <v>8263</v>
      </c>
      <c r="H9" s="4072"/>
      <c r="I9" s="4072"/>
    </row>
    <row r="10" spans="1:9">
      <c r="A10" s="2489" t="s">
        <v>8264</v>
      </c>
      <c r="B10" s="4072" t="s">
        <v>8236</v>
      </c>
      <c r="C10" s="4072"/>
      <c r="D10" s="4072"/>
      <c r="E10" s="4072"/>
      <c r="F10" s="2489" t="s">
        <v>8265</v>
      </c>
      <c r="G10" s="4072" t="s">
        <v>8236</v>
      </c>
      <c r="H10" s="4072"/>
      <c r="I10" s="4072"/>
    </row>
    <row r="11" spans="1:9">
      <c r="A11" s="2490"/>
      <c r="B11" s="2491"/>
      <c r="C11" s="2491"/>
      <c r="D11" s="2491"/>
      <c r="E11" s="2491"/>
      <c r="F11" s="2491"/>
      <c r="G11" s="2491"/>
      <c r="H11" s="2491"/>
      <c r="I11" s="2492"/>
    </row>
    <row r="12" spans="1:9">
      <c r="A12" s="4099" t="s">
        <v>8266</v>
      </c>
      <c r="B12" s="4100"/>
      <c r="C12" s="4100"/>
      <c r="D12" s="4100"/>
      <c r="E12" s="4100"/>
      <c r="F12" s="4100"/>
      <c r="G12" s="4100"/>
      <c r="H12" s="4100"/>
      <c r="I12" s="4101"/>
    </row>
    <row r="13" spans="1:9">
      <c r="A13" s="2490"/>
      <c r="B13" s="2491"/>
      <c r="C13" s="2491"/>
      <c r="D13" s="4102" t="s">
        <v>8267</v>
      </c>
      <c r="E13" s="4102"/>
      <c r="F13" s="4102" t="s">
        <v>8268</v>
      </c>
      <c r="G13" s="4102"/>
      <c r="H13" s="4102" t="s">
        <v>8235</v>
      </c>
      <c r="I13" s="4102"/>
    </row>
    <row r="14" spans="1:9">
      <c r="A14" s="2490"/>
      <c r="B14" s="2491"/>
      <c r="C14" s="2491"/>
      <c r="D14" s="2493" t="s">
        <v>8269</v>
      </c>
      <c r="E14" s="2493" t="s">
        <v>8270</v>
      </c>
      <c r="F14" s="2493" t="s">
        <v>8269</v>
      </c>
      <c r="G14" s="2493" t="s">
        <v>8270</v>
      </c>
      <c r="H14" s="2493" t="s">
        <v>8269</v>
      </c>
      <c r="I14" s="2493" t="s">
        <v>8270</v>
      </c>
    </row>
    <row r="15" spans="1:9">
      <c r="A15" s="4094" t="s">
        <v>8271</v>
      </c>
      <c r="B15" s="4095"/>
      <c r="C15" s="4096"/>
      <c r="D15" s="2494">
        <v>3280</v>
      </c>
      <c r="E15" s="2494">
        <v>4003</v>
      </c>
      <c r="F15" s="2494">
        <v>3280</v>
      </c>
      <c r="G15" s="2495">
        <v>3634</v>
      </c>
      <c r="H15" s="2496">
        <f>+D15+F15</f>
        <v>6560</v>
      </c>
      <c r="I15" s="2496">
        <f t="shared" ref="H15:I18" si="0">+E15+G15</f>
        <v>7637</v>
      </c>
    </row>
    <row r="16" spans="1:9">
      <c r="A16" s="4094" t="s">
        <v>8272</v>
      </c>
      <c r="B16" s="4095"/>
      <c r="C16" s="4096"/>
      <c r="D16" s="2497">
        <v>20379</v>
      </c>
      <c r="E16" s="2497">
        <v>28849</v>
      </c>
      <c r="F16" s="2497">
        <v>14570</v>
      </c>
      <c r="G16" s="2497">
        <v>21140</v>
      </c>
      <c r="H16" s="2496">
        <f>+D16+F16</f>
        <v>34949</v>
      </c>
      <c r="I16" s="2496">
        <f t="shared" si="0"/>
        <v>49989</v>
      </c>
    </row>
    <row r="17" spans="1:9">
      <c r="A17" s="4094" t="s">
        <v>8273</v>
      </c>
      <c r="B17" s="4095"/>
      <c r="C17" s="4096"/>
      <c r="D17" s="2497">
        <f t="shared" ref="D17:G18" si="1">+D15</f>
        <v>3280</v>
      </c>
      <c r="E17" s="2497">
        <f t="shared" si="1"/>
        <v>4003</v>
      </c>
      <c r="F17" s="2497">
        <f t="shared" si="1"/>
        <v>3280</v>
      </c>
      <c r="G17" s="2498">
        <f t="shared" si="1"/>
        <v>3634</v>
      </c>
      <c r="H17" s="2496">
        <f t="shared" si="0"/>
        <v>6560</v>
      </c>
      <c r="I17" s="2496">
        <f t="shared" si="0"/>
        <v>7637</v>
      </c>
    </row>
    <row r="18" spans="1:9">
      <c r="A18" s="4094" t="s">
        <v>8274</v>
      </c>
      <c r="B18" s="4095"/>
      <c r="C18" s="4096"/>
      <c r="D18" s="2497">
        <f t="shared" si="1"/>
        <v>20379</v>
      </c>
      <c r="E18" s="2497">
        <f t="shared" si="1"/>
        <v>28849</v>
      </c>
      <c r="F18" s="2497">
        <f t="shared" si="1"/>
        <v>14570</v>
      </c>
      <c r="G18" s="2497">
        <f t="shared" si="1"/>
        <v>21140</v>
      </c>
      <c r="H18" s="2496">
        <f>+D18+F18</f>
        <v>34949</v>
      </c>
      <c r="I18" s="2496">
        <f t="shared" si="0"/>
        <v>49989</v>
      </c>
    </row>
    <row r="19" spans="1:9">
      <c r="A19" s="2490"/>
      <c r="B19" s="2491"/>
      <c r="C19" s="2491"/>
      <c r="D19" s="2499"/>
      <c r="E19" s="2499"/>
      <c r="F19" s="2499"/>
      <c r="G19" s="2499"/>
      <c r="H19" s="2491"/>
      <c r="I19" s="2492"/>
    </row>
    <row r="20" spans="1:9">
      <c r="A20" s="4097" t="s">
        <v>8275</v>
      </c>
      <c r="B20" s="4098"/>
      <c r="C20" s="4098"/>
      <c r="D20" s="4098"/>
      <c r="E20" s="2500" t="s">
        <v>8276</v>
      </c>
      <c r="F20" s="2501" t="s">
        <v>8277</v>
      </c>
      <c r="G20" s="2500" t="s">
        <v>8268</v>
      </c>
      <c r="H20" s="2502" t="s">
        <v>8277</v>
      </c>
      <c r="I20" s="2492"/>
    </row>
    <row r="21" spans="1:9">
      <c r="A21" s="2490"/>
      <c r="B21" s="2491"/>
      <c r="C21" s="2491"/>
      <c r="D21" s="2499"/>
      <c r="E21" s="2499"/>
      <c r="F21" s="2499"/>
      <c r="G21" s="2499"/>
      <c r="H21" s="2491"/>
      <c r="I21" s="2492"/>
    </row>
    <row r="22" spans="1:9">
      <c r="A22" s="4099" t="s">
        <v>8278</v>
      </c>
      <c r="B22" s="4100"/>
      <c r="C22" s="4100"/>
      <c r="D22" s="4100"/>
      <c r="E22" s="4100"/>
      <c r="F22" s="4100"/>
      <c r="G22" s="4100"/>
      <c r="H22" s="4100"/>
      <c r="I22" s="4101"/>
    </row>
    <row r="23" spans="1:9">
      <c r="A23" s="2490"/>
      <c r="B23" s="2491"/>
      <c r="C23" s="2491"/>
      <c r="D23" s="2491"/>
      <c r="E23" s="2491"/>
      <c r="F23" s="4102" t="s">
        <v>8267</v>
      </c>
      <c r="G23" s="4102"/>
      <c r="H23" s="4102" t="s">
        <v>8268</v>
      </c>
      <c r="I23" s="4102"/>
    </row>
    <row r="24" spans="1:9" s="2504" customFormat="1">
      <c r="A24" s="4107" t="s">
        <v>8231</v>
      </c>
      <c r="B24" s="4107"/>
      <c r="C24" s="4107"/>
      <c r="D24" s="4107"/>
      <c r="E24" s="4107"/>
      <c r="F24" s="2503" t="s">
        <v>8279</v>
      </c>
      <c r="G24" s="2503" t="s">
        <v>8280</v>
      </c>
      <c r="H24" s="2503" t="s">
        <v>8279</v>
      </c>
      <c r="I24" s="2503" t="s">
        <v>8280</v>
      </c>
    </row>
    <row r="25" spans="1:9">
      <c r="A25" s="4108" t="s">
        <v>8237</v>
      </c>
      <c r="B25" s="4108"/>
      <c r="C25" s="4108"/>
      <c r="D25" s="4108"/>
      <c r="E25" s="4108"/>
      <c r="F25" s="2505"/>
      <c r="G25" s="2505"/>
      <c r="H25" s="2505"/>
      <c r="I25" s="2505"/>
    </row>
    <row r="26" spans="1:9">
      <c r="A26" s="4104" t="s">
        <v>8281</v>
      </c>
      <c r="B26" s="4104"/>
      <c r="C26" s="4105" t="s">
        <v>8282</v>
      </c>
      <c r="D26" s="4105"/>
      <c r="E26" s="4105"/>
      <c r="F26" s="4109">
        <v>0.99</v>
      </c>
      <c r="G26" s="4109">
        <f>+F26</f>
        <v>0.99</v>
      </c>
      <c r="H26" s="4110" t="s">
        <v>8283</v>
      </c>
      <c r="I26" s="4110" t="str">
        <f>+H26</f>
        <v>N/A</v>
      </c>
    </row>
    <row r="27" spans="1:9">
      <c r="A27" s="2489"/>
      <c r="B27" s="2506"/>
      <c r="C27" s="4103" t="s">
        <v>8284</v>
      </c>
      <c r="D27" s="4103"/>
      <c r="E27" s="4103"/>
      <c r="F27" s="4109"/>
      <c r="G27" s="4109"/>
      <c r="H27" s="4110"/>
      <c r="I27" s="4110"/>
    </row>
    <row r="28" spans="1:9">
      <c r="A28" s="4104" t="s">
        <v>8285</v>
      </c>
      <c r="B28" s="4104"/>
      <c r="C28" s="4104"/>
      <c r="D28" s="4104"/>
      <c r="E28" s="2489"/>
      <c r="F28" s="2505"/>
      <c r="G28" s="2505"/>
      <c r="H28" s="2505"/>
      <c r="I28" s="2505"/>
    </row>
    <row r="29" spans="1:9">
      <c r="A29" s="4104" t="s">
        <v>8286</v>
      </c>
      <c r="B29" s="4104"/>
      <c r="C29" s="4105" t="s">
        <v>8287</v>
      </c>
      <c r="D29" s="4105"/>
      <c r="E29" s="4105"/>
      <c r="F29" s="4106">
        <v>68.2</v>
      </c>
      <c r="G29" s="4106">
        <v>100</v>
      </c>
      <c r="H29" s="4112" t="s">
        <v>8283</v>
      </c>
      <c r="I29" s="4112" t="str">
        <f>+H29</f>
        <v>N/A</v>
      </c>
    </row>
    <row r="30" spans="1:9">
      <c r="A30" s="2489"/>
      <c r="B30" s="2506"/>
      <c r="C30" s="4103" t="s">
        <v>8284</v>
      </c>
      <c r="D30" s="4103"/>
      <c r="E30" s="4103"/>
      <c r="F30" s="4106"/>
      <c r="G30" s="4106"/>
      <c r="H30" s="4112"/>
      <c r="I30" s="4112"/>
    </row>
    <row r="31" spans="1:9">
      <c r="A31" s="2506" t="s">
        <v>8288</v>
      </c>
      <c r="B31" s="2506"/>
      <c r="C31" s="4105" t="s">
        <v>8289</v>
      </c>
      <c r="D31" s="4105"/>
      <c r="E31" s="4105"/>
      <c r="F31" s="4110">
        <v>97.3</v>
      </c>
      <c r="G31" s="4110">
        <f>+F31</f>
        <v>97.3</v>
      </c>
      <c r="H31" s="4112" t="s">
        <v>8283</v>
      </c>
      <c r="I31" s="4112" t="str">
        <f>+H31</f>
        <v>N/A</v>
      </c>
    </row>
    <row r="32" spans="1:9">
      <c r="A32" s="2489"/>
      <c r="B32" s="2507"/>
      <c r="C32" s="4103" t="s">
        <v>8287</v>
      </c>
      <c r="D32" s="4103"/>
      <c r="E32" s="4103"/>
      <c r="F32" s="4110"/>
      <c r="G32" s="4110"/>
      <c r="H32" s="4112"/>
      <c r="I32" s="4112"/>
    </row>
    <row r="33" spans="1:9">
      <c r="A33" s="4070" t="s">
        <v>8290</v>
      </c>
      <c r="B33" s="4070"/>
      <c r="C33" s="4116" t="s">
        <v>8291</v>
      </c>
      <c r="D33" s="4116"/>
      <c r="E33" s="4116"/>
      <c r="F33" s="4117">
        <f>+(3.2*100)/24</f>
        <v>13.333333333333334</v>
      </c>
      <c r="G33" s="4117">
        <f>+F33</f>
        <v>13.333333333333334</v>
      </c>
      <c r="H33" s="4110" t="s">
        <v>8283</v>
      </c>
      <c r="I33" s="4110" t="str">
        <f>+H33</f>
        <v>N/A</v>
      </c>
    </row>
    <row r="34" spans="1:9">
      <c r="A34" s="4070"/>
      <c r="B34" s="4070"/>
      <c r="C34" s="4111" t="s">
        <v>8292</v>
      </c>
      <c r="D34" s="4111"/>
      <c r="E34" s="4111"/>
      <c r="F34" s="4117"/>
      <c r="G34" s="4117"/>
      <c r="H34" s="4110"/>
      <c r="I34" s="4110"/>
    </row>
    <row r="35" spans="1:9" ht="12" customHeight="1">
      <c r="A35" s="4071" t="s">
        <v>8293</v>
      </c>
      <c r="B35" s="4071"/>
      <c r="C35" s="4071"/>
      <c r="D35" s="4071"/>
      <c r="E35" s="4071"/>
      <c r="F35" s="2502">
        <v>0</v>
      </c>
      <c r="G35" s="2501">
        <f>+F35</f>
        <v>0</v>
      </c>
      <c r="H35" s="2501" t="s">
        <v>8283</v>
      </c>
      <c r="I35" s="2501" t="str">
        <f>+H35</f>
        <v>N/A</v>
      </c>
    </row>
    <row r="36" spans="1:9">
      <c r="A36" s="4108" t="s">
        <v>851</v>
      </c>
      <c r="B36" s="4108"/>
      <c r="C36" s="4108"/>
      <c r="D36" s="4108"/>
      <c r="E36" s="4108"/>
      <c r="F36" s="2505"/>
      <c r="G36" s="2505"/>
      <c r="H36" s="2505"/>
      <c r="I36" s="2505"/>
    </row>
    <row r="37" spans="1:9">
      <c r="A37" s="4113" t="s">
        <v>8281</v>
      </c>
      <c r="B37" s="4113"/>
      <c r="C37" s="4105" t="s">
        <v>8282</v>
      </c>
      <c r="D37" s="4105"/>
      <c r="E37" s="4105"/>
      <c r="F37" s="4114">
        <v>0.78200000000000003</v>
      </c>
      <c r="G37" s="4115">
        <f>+F37</f>
        <v>0.78200000000000003</v>
      </c>
      <c r="H37" s="4110" t="s">
        <v>8283</v>
      </c>
      <c r="I37" s="4110" t="str">
        <f>+H37</f>
        <v>N/A</v>
      </c>
    </row>
    <row r="38" spans="1:9">
      <c r="A38" s="4113"/>
      <c r="B38" s="4113"/>
      <c r="C38" s="4103" t="s">
        <v>8284</v>
      </c>
      <c r="D38" s="4103"/>
      <c r="E38" s="4103"/>
      <c r="F38" s="4114"/>
      <c r="G38" s="4110"/>
      <c r="H38" s="4110"/>
      <c r="I38" s="4110"/>
    </row>
    <row r="39" spans="1:9">
      <c r="A39" s="4108" t="s">
        <v>8294</v>
      </c>
      <c r="B39" s="4108"/>
      <c r="C39" s="4108"/>
      <c r="D39" s="4108"/>
      <c r="E39" s="4108"/>
      <c r="F39" s="2505"/>
      <c r="G39" s="2505"/>
      <c r="H39" s="2505"/>
      <c r="I39" s="2505"/>
    </row>
    <row r="40" spans="1:9" ht="15" customHeight="1">
      <c r="A40" s="4119" t="s">
        <v>8281</v>
      </c>
      <c r="B40" s="4119"/>
      <c r="C40" s="4105" t="s">
        <v>8295</v>
      </c>
      <c r="D40" s="4105"/>
      <c r="E40" s="4105"/>
      <c r="F40" s="4110">
        <v>68.400000000000006</v>
      </c>
      <c r="G40" s="4110">
        <f>+F40</f>
        <v>68.400000000000006</v>
      </c>
      <c r="H40" s="4110" t="s">
        <v>8283</v>
      </c>
      <c r="I40" s="4110" t="str">
        <f>+H40</f>
        <v>N/A</v>
      </c>
    </row>
    <row r="41" spans="1:9">
      <c r="A41" s="4119"/>
      <c r="B41" s="4119"/>
      <c r="C41" s="4103" t="s">
        <v>8284</v>
      </c>
      <c r="D41" s="4103"/>
      <c r="E41" s="4103"/>
      <c r="F41" s="4110"/>
      <c r="G41" s="4110"/>
      <c r="H41" s="4110"/>
      <c r="I41" s="4110"/>
    </row>
    <row r="42" spans="1:9">
      <c r="A42" s="4119"/>
      <c r="B42" s="4119"/>
      <c r="C42" s="4105" t="s">
        <v>8296</v>
      </c>
      <c r="D42" s="4105"/>
      <c r="E42" s="4105"/>
      <c r="F42" s="4110"/>
      <c r="G42" s="4110"/>
      <c r="H42" s="4110"/>
      <c r="I42" s="4110"/>
    </row>
    <row r="43" spans="1:9">
      <c r="A43" s="4118" t="s">
        <v>8297</v>
      </c>
      <c r="B43" s="4118"/>
      <c r="C43" s="4105" t="s">
        <v>8298</v>
      </c>
      <c r="D43" s="4105"/>
      <c r="E43" s="4105"/>
      <c r="F43" s="4112"/>
      <c r="G43" s="4112"/>
      <c r="H43" s="4112"/>
      <c r="I43" s="4112"/>
    </row>
    <row r="44" spans="1:9">
      <c r="A44" s="4118"/>
      <c r="B44" s="4118"/>
      <c r="C44" s="4105" t="s">
        <v>8299</v>
      </c>
      <c r="D44" s="4105"/>
      <c r="E44" s="4105"/>
      <c r="F44" s="4112"/>
      <c r="G44" s="4112"/>
      <c r="H44" s="4112"/>
      <c r="I44" s="4112"/>
    </row>
    <row r="45" spans="1:9">
      <c r="A45" s="2508"/>
      <c r="B45" s="2509"/>
      <c r="C45" s="2509"/>
      <c r="D45" s="2499"/>
      <c r="E45" s="2499"/>
      <c r="F45" s="2499"/>
      <c r="G45" s="2499"/>
      <c r="H45" s="2491"/>
      <c r="I45" s="2492"/>
    </row>
    <row r="46" spans="1:9">
      <c r="A46" s="4099" t="s">
        <v>8300</v>
      </c>
      <c r="B46" s="4100"/>
      <c r="C46" s="4100"/>
      <c r="D46" s="4100"/>
      <c r="E46" s="4100"/>
      <c r="F46" s="4100"/>
      <c r="G46" s="4100"/>
      <c r="H46" s="4100"/>
      <c r="I46" s="4101"/>
    </row>
    <row r="47" spans="1:9" ht="10.199999999999999" thickBot="1">
      <c r="A47" s="2490"/>
      <c r="B47" s="2491"/>
      <c r="C47" s="2491"/>
      <c r="D47" s="2491"/>
      <c r="E47" s="2491"/>
      <c r="F47" s="2491"/>
      <c r="G47" s="2491"/>
      <c r="H47" s="2491"/>
      <c r="I47" s="2492"/>
    </row>
    <row r="48" spans="1:9" ht="21.75" customHeight="1" thickBot="1">
      <c r="A48" s="2490"/>
      <c r="B48" s="2491"/>
      <c r="C48" s="2491"/>
      <c r="D48" s="4128" t="s">
        <v>8301</v>
      </c>
      <c r="E48" s="4129"/>
      <c r="F48" s="2510" t="s">
        <v>8302</v>
      </c>
      <c r="G48" s="4128" t="s">
        <v>8303</v>
      </c>
      <c r="H48" s="4130"/>
      <c r="I48" s="4131"/>
    </row>
    <row r="49" spans="1:9" ht="14.4" thickBot="1">
      <c r="A49" s="4120" t="s">
        <v>8304</v>
      </c>
      <c r="B49" s="4121"/>
      <c r="C49" s="4122"/>
      <c r="D49" s="4123" t="s">
        <v>8305</v>
      </c>
      <c r="E49" s="4124"/>
      <c r="F49" s="2511">
        <v>350</v>
      </c>
      <c r="G49" s="4125" t="s">
        <v>8306</v>
      </c>
      <c r="H49" s="4126"/>
      <c r="I49" s="4127"/>
    </row>
    <row r="50" spans="1:9" ht="14.4" thickBot="1">
      <c r="A50" s="2512"/>
      <c r="B50" s="2513"/>
      <c r="C50" s="2514"/>
      <c r="D50" s="4123"/>
      <c r="E50" s="4124"/>
      <c r="F50" s="2511"/>
      <c r="G50" s="4125"/>
      <c r="H50" s="4126"/>
      <c r="I50" s="4127"/>
    </row>
    <row r="51" spans="1:9" ht="14.4" thickBot="1">
      <c r="A51" s="2512"/>
      <c r="B51" s="2513"/>
      <c r="C51" s="2514"/>
      <c r="D51" s="4123"/>
      <c r="E51" s="4124"/>
      <c r="F51" s="2511"/>
      <c r="G51" s="4125"/>
      <c r="H51" s="4126"/>
      <c r="I51" s="4127"/>
    </row>
    <row r="52" spans="1:9" ht="14.4" thickBot="1">
      <c r="A52" s="2512"/>
      <c r="B52" s="2513"/>
      <c r="C52" s="2514"/>
      <c r="D52" s="4123"/>
      <c r="E52" s="4124"/>
      <c r="F52" s="2511"/>
      <c r="G52" s="4125"/>
      <c r="H52" s="4126"/>
      <c r="I52" s="4127"/>
    </row>
    <row r="53" spans="1:9" ht="14.4" thickBot="1">
      <c r="A53" s="2512"/>
      <c r="B53" s="2513"/>
      <c r="C53" s="2514"/>
      <c r="D53" s="4123"/>
      <c r="E53" s="4124"/>
      <c r="F53" s="2511"/>
      <c r="G53" s="4125"/>
      <c r="H53" s="4126"/>
      <c r="I53" s="4127"/>
    </row>
    <row r="54" spans="1:9" ht="14.4" thickBot="1">
      <c r="A54" s="2512"/>
      <c r="B54" s="2513"/>
      <c r="C54" s="2514"/>
      <c r="D54" s="4123" t="s">
        <v>8307</v>
      </c>
      <c r="E54" s="4124"/>
      <c r="F54" s="2511"/>
      <c r="G54" s="4125"/>
      <c r="H54" s="4126"/>
      <c r="I54" s="4127"/>
    </row>
    <row r="55" spans="1:9" ht="10.199999999999999" thickBot="1">
      <c r="A55" s="4120" t="s">
        <v>8308</v>
      </c>
      <c r="B55" s="4121"/>
      <c r="C55" s="4122"/>
      <c r="D55" s="4125"/>
      <c r="E55" s="4132"/>
      <c r="F55" s="2515"/>
      <c r="G55" s="4125"/>
      <c r="H55" s="4126"/>
      <c r="I55" s="4127"/>
    </row>
    <row r="56" spans="1:9" ht="10.199999999999999" thickBot="1">
      <c r="A56" s="2490"/>
      <c r="B56" s="2491"/>
      <c r="C56" s="2491"/>
      <c r="D56" s="2491"/>
      <c r="E56" s="2491"/>
      <c r="F56" s="2491"/>
      <c r="G56" s="2491"/>
      <c r="H56" s="2491"/>
      <c r="I56" s="2492"/>
    </row>
    <row r="57" spans="1:9" ht="14.25" customHeight="1" thickBot="1">
      <c r="A57" s="4133" t="s">
        <v>8231</v>
      </c>
      <c r="B57" s="4134"/>
      <c r="C57" s="4135"/>
      <c r="D57" s="2516" t="s">
        <v>8309</v>
      </c>
      <c r="E57" s="2516" t="s">
        <v>8310</v>
      </c>
      <c r="F57" s="4125" t="s">
        <v>8311</v>
      </c>
      <c r="G57" s="4132"/>
      <c r="H57" s="4139" t="s">
        <v>8312</v>
      </c>
      <c r="I57" s="4140"/>
    </row>
    <row r="58" spans="1:9" ht="15.75" customHeight="1" thickBot="1">
      <c r="A58" s="4136"/>
      <c r="B58" s="4137"/>
      <c r="C58" s="4138"/>
      <c r="D58" s="2517" t="s">
        <v>8313</v>
      </c>
      <c r="E58" s="2517" t="s">
        <v>8313</v>
      </c>
      <c r="F58" s="2517" t="s">
        <v>8279</v>
      </c>
      <c r="G58" s="2517" t="s">
        <v>8280</v>
      </c>
      <c r="H58" s="4141"/>
      <c r="I58" s="4142"/>
    </row>
    <row r="59" spans="1:9" ht="14.25" customHeight="1" thickBot="1">
      <c r="A59" s="4147" t="s">
        <v>8314</v>
      </c>
      <c r="B59" s="4148"/>
      <c r="C59" s="4149"/>
      <c r="D59" s="4150"/>
      <c r="E59" s="4151"/>
      <c r="F59" s="4151"/>
      <c r="G59" s="4151"/>
      <c r="H59" s="4151"/>
      <c r="I59" s="4152"/>
    </row>
    <row r="60" spans="1:9" ht="13.5" customHeight="1" thickBot="1">
      <c r="A60" s="2518" t="s">
        <v>8315</v>
      </c>
      <c r="B60" s="4125" t="s">
        <v>8316</v>
      </c>
      <c r="C60" s="4132"/>
      <c r="D60" s="2519" t="s">
        <v>8306</v>
      </c>
      <c r="E60" s="2519" t="s">
        <v>8306</v>
      </c>
      <c r="F60" s="2519" t="s">
        <v>8317</v>
      </c>
      <c r="G60" s="2519" t="s">
        <v>8318</v>
      </c>
      <c r="H60" s="4128"/>
      <c r="I60" s="4129"/>
    </row>
    <row r="61" spans="1:9" ht="15.75" customHeight="1" thickBot="1">
      <c r="A61" s="4145" t="s">
        <v>8319</v>
      </c>
      <c r="B61" s="4125" t="s">
        <v>8320</v>
      </c>
      <c r="C61" s="4132"/>
      <c r="D61" s="2519"/>
      <c r="E61" s="2519"/>
      <c r="F61" s="2519" t="s">
        <v>8321</v>
      </c>
      <c r="G61" s="2519" t="s">
        <v>8322</v>
      </c>
      <c r="H61" s="4128"/>
      <c r="I61" s="4129"/>
    </row>
    <row r="62" spans="1:9" ht="15.75" customHeight="1" thickBot="1">
      <c r="A62" s="4146"/>
      <c r="B62" s="4125" t="s">
        <v>4693</v>
      </c>
      <c r="C62" s="4132"/>
      <c r="D62" s="2519"/>
      <c r="E62" s="2519"/>
      <c r="F62" s="2520">
        <v>10416</v>
      </c>
      <c r="G62" s="2520">
        <v>10295</v>
      </c>
      <c r="H62" s="4128"/>
      <c r="I62" s="4131"/>
    </row>
    <row r="63" spans="1:9" ht="15.75" customHeight="1" thickBot="1">
      <c r="A63" s="2518" t="s">
        <v>8323</v>
      </c>
      <c r="B63" s="4125" t="s">
        <v>8316</v>
      </c>
      <c r="C63" s="4132"/>
      <c r="D63" s="2519" t="s">
        <v>8306</v>
      </c>
      <c r="E63" s="2519" t="s">
        <v>8306</v>
      </c>
      <c r="F63" s="2519" t="s">
        <v>8324</v>
      </c>
      <c r="G63" s="2519" t="s">
        <v>8318</v>
      </c>
      <c r="H63" s="4143"/>
      <c r="I63" s="4144"/>
    </row>
    <row r="64" spans="1:9" ht="24.75" customHeight="1" thickBot="1">
      <c r="A64" s="4145" t="s">
        <v>8325</v>
      </c>
      <c r="B64" s="4125" t="s">
        <v>8320</v>
      </c>
      <c r="C64" s="4132"/>
      <c r="D64" s="2519" t="s">
        <v>8306</v>
      </c>
      <c r="E64" s="2519" t="s">
        <v>8306</v>
      </c>
      <c r="F64" s="2520" t="s">
        <v>8326</v>
      </c>
      <c r="G64" s="2520" t="s">
        <v>8327</v>
      </c>
      <c r="H64" s="4143"/>
      <c r="I64" s="4144"/>
    </row>
    <row r="65" spans="1:9" ht="22.5" customHeight="1" thickBot="1">
      <c r="A65" s="4146"/>
      <c r="B65" s="4125" t="s">
        <v>4693</v>
      </c>
      <c r="C65" s="4132"/>
      <c r="D65" s="2519"/>
      <c r="E65" s="2519"/>
      <c r="F65" s="2521" t="s">
        <v>8328</v>
      </c>
      <c r="G65" s="2521" t="s">
        <v>8329</v>
      </c>
      <c r="H65" s="4143"/>
      <c r="I65" s="4144"/>
    </row>
    <row r="66" spans="1:9" ht="22.5" customHeight="1" thickBot="1">
      <c r="A66" s="2522" t="s">
        <v>8330</v>
      </c>
      <c r="B66" s="4125" t="s">
        <v>3639</v>
      </c>
      <c r="C66" s="4132"/>
      <c r="D66" s="2520" t="s">
        <v>8306</v>
      </c>
      <c r="E66" s="2520" t="s">
        <v>8306</v>
      </c>
      <c r="F66" s="2520">
        <f>1000+500+500+30+30+50+30+45</f>
        <v>2185</v>
      </c>
      <c r="G66" s="2520">
        <f>+F66+1000</f>
        <v>3185</v>
      </c>
      <c r="H66" s="4143"/>
      <c r="I66" s="4144"/>
    </row>
    <row r="67" spans="1:9" ht="24" customHeight="1" thickBot="1">
      <c r="A67" s="2523" t="s">
        <v>8331</v>
      </c>
      <c r="B67" s="4128" t="s">
        <v>8316</v>
      </c>
      <c r="C67" s="4129"/>
      <c r="D67" s="2520" t="s">
        <v>8306</v>
      </c>
      <c r="E67" s="2520" t="s">
        <v>8306</v>
      </c>
      <c r="F67" s="2520" t="s">
        <v>8332</v>
      </c>
      <c r="G67" s="2520" t="s">
        <v>8333</v>
      </c>
      <c r="H67" s="4125"/>
      <c r="I67" s="4127"/>
    </row>
    <row r="68" spans="1:9" ht="14.4" thickBot="1">
      <c r="A68" s="4153" t="s">
        <v>8334</v>
      </c>
      <c r="B68" s="4125" t="s">
        <v>8320</v>
      </c>
      <c r="C68" s="4132"/>
      <c r="D68" s="2519" t="s">
        <v>8306</v>
      </c>
      <c r="E68" s="2524" t="s">
        <v>8306</v>
      </c>
      <c r="F68" s="2525" t="s">
        <v>8335</v>
      </c>
      <c r="G68" s="2525" t="s">
        <v>8335</v>
      </c>
      <c r="H68" s="4143"/>
      <c r="I68" s="4144"/>
    </row>
    <row r="69" spans="1:9" ht="16.5" customHeight="1" thickBot="1">
      <c r="A69" s="4154"/>
      <c r="B69" s="4125" t="s">
        <v>4693</v>
      </c>
      <c r="C69" s="4132"/>
      <c r="D69" s="2519"/>
      <c r="E69" s="2524"/>
      <c r="F69" s="2526"/>
      <c r="G69" s="2526">
        <f>+F69</f>
        <v>0</v>
      </c>
      <c r="H69" s="4143"/>
      <c r="I69" s="4144"/>
    </row>
    <row r="70" spans="1:9" ht="21.75" customHeight="1" thickBot="1">
      <c r="A70" s="2523" t="s">
        <v>8336</v>
      </c>
      <c r="B70" s="4128" t="s">
        <v>1037</v>
      </c>
      <c r="C70" s="4162"/>
      <c r="D70" s="2520" t="s">
        <v>8306</v>
      </c>
      <c r="E70" s="2527" t="s">
        <v>8306</v>
      </c>
      <c r="F70" s="2527"/>
      <c r="G70" s="2520"/>
      <c r="H70" s="4143"/>
      <c r="I70" s="4144"/>
    </row>
    <row r="71" spans="1:9" ht="14.4" thickBot="1">
      <c r="A71" s="4153" t="s">
        <v>8337</v>
      </c>
      <c r="B71" s="4125" t="s">
        <v>8338</v>
      </c>
      <c r="C71" s="4164"/>
      <c r="D71" s="2519" t="s">
        <v>8306</v>
      </c>
      <c r="E71" s="2524" t="s">
        <v>8306</v>
      </c>
      <c r="F71" s="2526">
        <v>2235</v>
      </c>
      <c r="G71" s="2526">
        <f>+F71+2000</f>
        <v>4235</v>
      </c>
      <c r="H71" s="4143"/>
      <c r="I71" s="4144"/>
    </row>
    <row r="72" spans="1:9" ht="14.4" thickBot="1">
      <c r="A72" s="4163"/>
      <c r="B72" s="4125" t="s">
        <v>8339</v>
      </c>
      <c r="C72" s="4164"/>
      <c r="D72" s="2519"/>
      <c r="E72" s="2524"/>
      <c r="F72" s="2526">
        <f>+F71-60</f>
        <v>2175</v>
      </c>
      <c r="G72" s="2526">
        <f>+G71-60</f>
        <v>4175</v>
      </c>
      <c r="H72" s="4143"/>
      <c r="I72" s="4144"/>
    </row>
    <row r="73" spans="1:9" ht="10.199999999999999" thickBot="1">
      <c r="A73" s="4155" t="s">
        <v>8340</v>
      </c>
      <c r="B73" s="4156"/>
      <c r="C73" s="4157"/>
      <c r="D73" s="4150"/>
      <c r="E73" s="4151"/>
      <c r="F73" s="4151"/>
      <c r="G73" s="4151"/>
      <c r="H73" s="4151"/>
      <c r="I73" s="4152"/>
    </row>
    <row r="74" spans="1:9" ht="23.25" customHeight="1" thickBot="1">
      <c r="A74" s="4158" t="s">
        <v>8341</v>
      </c>
      <c r="B74" s="4125" t="s">
        <v>8320</v>
      </c>
      <c r="C74" s="4132"/>
      <c r="D74" s="2528" t="s">
        <v>8306</v>
      </c>
      <c r="E74" s="2528" t="s">
        <v>8306</v>
      </c>
      <c r="F74" s="2529" t="s">
        <v>8342</v>
      </c>
      <c r="G74" s="2529" t="s">
        <v>8342</v>
      </c>
      <c r="H74" s="4160"/>
      <c r="I74" s="4161"/>
    </row>
    <row r="75" spans="1:9" ht="15.75" customHeight="1" thickBot="1">
      <c r="A75" s="4159"/>
      <c r="B75" s="4125" t="s">
        <v>4693</v>
      </c>
      <c r="C75" s="4132"/>
      <c r="D75" s="2530"/>
      <c r="E75" s="2530"/>
      <c r="F75" s="2531">
        <v>2280</v>
      </c>
      <c r="G75" s="2532">
        <v>2280</v>
      </c>
      <c r="H75" s="4160"/>
      <c r="I75" s="4161"/>
    </row>
    <row r="76" spans="1:9" ht="10.5" customHeight="1" thickBot="1">
      <c r="A76" s="4158" t="s">
        <v>8343</v>
      </c>
      <c r="B76" s="4125" t="s">
        <v>8320</v>
      </c>
      <c r="C76" s="4132"/>
      <c r="D76" s="2528" t="s">
        <v>8344</v>
      </c>
      <c r="E76" s="2528" t="s">
        <v>8344</v>
      </c>
      <c r="F76" s="2515"/>
      <c r="G76" s="2533"/>
      <c r="H76" s="4160"/>
      <c r="I76" s="4161"/>
    </row>
    <row r="77" spans="1:9" ht="10.199999999999999" thickBot="1">
      <c r="A77" s="4159"/>
      <c r="B77" s="4125" t="s">
        <v>4693</v>
      </c>
      <c r="C77" s="4132"/>
      <c r="D77" s="2530"/>
      <c r="E77" s="2530"/>
      <c r="F77" s="2515"/>
      <c r="G77" s="2533"/>
      <c r="H77" s="4160"/>
      <c r="I77" s="4161"/>
    </row>
    <row r="78" spans="1:9" ht="21" customHeight="1" thickBot="1">
      <c r="A78" s="2523" t="s">
        <v>8336</v>
      </c>
      <c r="B78" s="4128" t="s">
        <v>1037</v>
      </c>
      <c r="C78" s="4162"/>
      <c r="D78" s="2529" t="s">
        <v>8306</v>
      </c>
      <c r="E78" s="2534" t="s">
        <v>8306</v>
      </c>
      <c r="F78" s="2534">
        <v>2564</v>
      </c>
      <c r="G78" s="2534">
        <v>2564</v>
      </c>
      <c r="H78" s="4160"/>
      <c r="I78" s="4161"/>
    </row>
    <row r="79" spans="1:9" ht="10.199999999999999" thickBot="1">
      <c r="A79" s="4158" t="s">
        <v>8345</v>
      </c>
      <c r="B79" s="4128" t="s">
        <v>8320</v>
      </c>
      <c r="C79" s="4129"/>
      <c r="D79" s="2529" t="s">
        <v>8306</v>
      </c>
      <c r="E79" s="2529" t="s">
        <v>8306</v>
      </c>
      <c r="F79" s="2529">
        <v>1.2</v>
      </c>
      <c r="G79" s="2535">
        <v>1.2</v>
      </c>
      <c r="H79" s="4160"/>
      <c r="I79" s="4161"/>
    </row>
    <row r="80" spans="1:9" ht="10.199999999999999" thickBot="1">
      <c r="A80" s="4159"/>
      <c r="B80" s="4128" t="s">
        <v>1037</v>
      </c>
      <c r="C80" s="4129"/>
      <c r="D80" s="2529"/>
      <c r="E80" s="2529"/>
      <c r="F80" s="2529">
        <v>340</v>
      </c>
      <c r="G80" s="2535">
        <v>340</v>
      </c>
      <c r="H80" s="4160"/>
      <c r="I80" s="4161"/>
    </row>
    <row r="81" spans="1:9" ht="19.2" thickBot="1">
      <c r="A81" s="2523" t="s">
        <v>8331</v>
      </c>
      <c r="B81" s="4128" t="s">
        <v>8316</v>
      </c>
      <c r="C81" s="4129"/>
      <c r="D81" s="2529" t="s">
        <v>8306</v>
      </c>
      <c r="E81" s="2529" t="s">
        <v>8306</v>
      </c>
      <c r="F81" s="2529">
        <v>30</v>
      </c>
      <c r="G81" s="2535">
        <v>30</v>
      </c>
      <c r="H81" s="4160"/>
      <c r="I81" s="4161"/>
    </row>
    <row r="82" spans="1:9">
      <c r="A82" s="4166" t="s">
        <v>8346</v>
      </c>
      <c r="B82" s="4167"/>
      <c r="C82" s="4168"/>
      <c r="D82" s="4169"/>
      <c r="E82" s="4170"/>
      <c r="F82" s="4170"/>
      <c r="G82" s="4170"/>
      <c r="H82" s="4170"/>
      <c r="I82" s="4171"/>
    </row>
    <row r="83" spans="1:9" ht="23.25" customHeight="1">
      <c r="A83" s="4165" t="s">
        <v>8347</v>
      </c>
      <c r="B83" s="2536" t="s">
        <v>8348</v>
      </c>
      <c r="C83" s="2536" t="s">
        <v>8349</v>
      </c>
      <c r="D83" s="2537" t="s">
        <v>8306</v>
      </c>
      <c r="E83" s="2537" t="s">
        <v>8306</v>
      </c>
      <c r="F83" s="2538"/>
      <c r="G83" s="2501"/>
      <c r="H83" s="4112"/>
      <c r="I83" s="4112"/>
    </row>
    <row r="84" spans="1:9" ht="23.25" customHeight="1">
      <c r="A84" s="4165"/>
      <c r="B84" s="2538"/>
      <c r="C84" s="2539" t="s">
        <v>8277</v>
      </c>
      <c r="D84" s="2538"/>
      <c r="E84" s="2538"/>
      <c r="F84" s="2538"/>
      <c r="G84" s="2501"/>
      <c r="H84" s="4112"/>
      <c r="I84" s="4112"/>
    </row>
    <row r="85" spans="1:9" ht="23.25" customHeight="1">
      <c r="A85" s="4165" t="s">
        <v>8350</v>
      </c>
      <c r="B85" s="2536" t="s">
        <v>8351</v>
      </c>
      <c r="C85" s="2536" t="s">
        <v>1065</v>
      </c>
      <c r="D85" s="2537" t="s">
        <v>8306</v>
      </c>
      <c r="E85" s="2537" t="s">
        <v>8306</v>
      </c>
      <c r="F85" s="2538"/>
      <c r="G85" s="2501"/>
      <c r="H85" s="4112"/>
      <c r="I85" s="4112"/>
    </row>
    <row r="86" spans="1:9" ht="23.25" customHeight="1">
      <c r="A86" s="4165"/>
      <c r="B86" s="2539" t="s">
        <v>8277</v>
      </c>
      <c r="C86" s="2538"/>
      <c r="D86" s="2538"/>
      <c r="E86" s="2538"/>
      <c r="F86" s="2538"/>
      <c r="G86" s="2501"/>
      <c r="H86" s="4112"/>
      <c r="I86" s="4112"/>
    </row>
    <row r="87" spans="1:9" ht="23.25" customHeight="1">
      <c r="A87" s="4165" t="s">
        <v>8352</v>
      </c>
      <c r="B87" s="2536" t="s">
        <v>8353</v>
      </c>
      <c r="C87" s="2536" t="s">
        <v>8354</v>
      </c>
      <c r="D87" s="2537" t="s">
        <v>8306</v>
      </c>
      <c r="E87" s="2537" t="s">
        <v>8306</v>
      </c>
      <c r="F87" s="2538"/>
      <c r="G87" s="2501"/>
      <c r="H87" s="4112"/>
      <c r="I87" s="4112"/>
    </row>
    <row r="88" spans="1:9" ht="23.25" customHeight="1">
      <c r="A88" s="4165"/>
      <c r="B88" s="2539" t="s">
        <v>8277</v>
      </c>
      <c r="C88" s="2538"/>
      <c r="D88" s="2538"/>
      <c r="E88" s="2538"/>
      <c r="F88" s="2538"/>
      <c r="G88" s="2501"/>
      <c r="H88" s="4112"/>
      <c r="I88" s="4112"/>
    </row>
    <row r="89" spans="1:9" ht="23.25" customHeight="1">
      <c r="A89" s="4165" t="s">
        <v>8355</v>
      </c>
      <c r="B89" s="2536" t="s">
        <v>8306</v>
      </c>
      <c r="C89" s="2536" t="s">
        <v>8344</v>
      </c>
      <c r="D89" s="2501" t="s">
        <v>8344</v>
      </c>
      <c r="E89" s="2501" t="s">
        <v>8344</v>
      </c>
      <c r="F89" s="2538"/>
      <c r="G89" s="2501"/>
      <c r="H89" s="4112"/>
      <c r="I89" s="4112"/>
    </row>
    <row r="90" spans="1:9" ht="23.25" customHeight="1">
      <c r="A90" s="4165"/>
      <c r="B90" s="2538"/>
      <c r="C90" s="2539" t="s">
        <v>8277</v>
      </c>
      <c r="D90" s="2538"/>
      <c r="E90" s="2538"/>
      <c r="F90" s="2538"/>
      <c r="G90" s="2501"/>
      <c r="H90" s="4112"/>
      <c r="I90" s="4112"/>
    </row>
    <row r="91" spans="1:9" ht="23.25" customHeight="1">
      <c r="A91" s="4165" t="s">
        <v>8356</v>
      </c>
      <c r="B91" s="2536" t="s">
        <v>8357</v>
      </c>
      <c r="C91" s="2540" t="s">
        <v>8358</v>
      </c>
      <c r="D91" s="2501" t="s">
        <v>8344</v>
      </c>
      <c r="E91" s="2501" t="s">
        <v>8344</v>
      </c>
      <c r="F91" s="2538"/>
      <c r="G91" s="2501"/>
      <c r="H91" s="4112"/>
      <c r="I91" s="4112"/>
    </row>
    <row r="92" spans="1:9" ht="23.25" customHeight="1">
      <c r="A92" s="4165"/>
      <c r="B92" s="2541" t="s">
        <v>8359</v>
      </c>
      <c r="C92" s="2541" t="s">
        <v>8359</v>
      </c>
      <c r="D92" s="2538"/>
      <c r="E92" s="2538"/>
      <c r="F92" s="2538"/>
      <c r="G92" s="2501"/>
      <c r="H92" s="4112"/>
      <c r="I92" s="4112"/>
    </row>
    <row r="93" spans="1:9" ht="23.25" customHeight="1">
      <c r="A93" s="4165" t="s">
        <v>8360</v>
      </c>
      <c r="B93" s="2536" t="s">
        <v>8361</v>
      </c>
      <c r="C93" s="2536" t="s">
        <v>8362</v>
      </c>
      <c r="D93" s="2537" t="s">
        <v>8306</v>
      </c>
      <c r="E93" s="2537" t="s">
        <v>8306</v>
      </c>
      <c r="F93" s="2538"/>
      <c r="G93" s="2501"/>
      <c r="H93" s="4112"/>
      <c r="I93" s="4112"/>
    </row>
    <row r="94" spans="1:9" ht="23.25" customHeight="1">
      <c r="A94" s="4165"/>
      <c r="B94" s="2539" t="s">
        <v>8277</v>
      </c>
      <c r="C94" s="2538"/>
      <c r="D94" s="2538"/>
      <c r="E94" s="2538"/>
      <c r="F94" s="2538"/>
      <c r="G94" s="2501"/>
      <c r="H94" s="4112"/>
      <c r="I94" s="4112"/>
    </row>
    <row r="95" spans="1:9" ht="23.25" customHeight="1">
      <c r="A95" s="4172" t="s">
        <v>8363</v>
      </c>
      <c r="B95" s="4172"/>
      <c r="C95" s="2542" t="s">
        <v>8364</v>
      </c>
      <c r="D95" s="2543" t="s">
        <v>8365</v>
      </c>
      <c r="E95" s="2542" t="s">
        <v>8366</v>
      </c>
      <c r="F95" s="2544"/>
      <c r="G95" s="2542" t="s">
        <v>8367</v>
      </c>
      <c r="H95" s="2500"/>
      <c r="I95" s="2545"/>
    </row>
    <row r="96" spans="1:9" ht="23.25" customHeight="1">
      <c r="A96" s="4165" t="s">
        <v>8368</v>
      </c>
      <c r="B96" s="4165"/>
      <c r="C96" s="2540" t="s">
        <v>8306</v>
      </c>
      <c r="D96" s="2546" t="s">
        <v>8369</v>
      </c>
      <c r="E96" s="2546"/>
      <c r="F96" s="2546" t="s">
        <v>8370</v>
      </c>
      <c r="G96" s="2540" t="s">
        <v>8371</v>
      </c>
      <c r="H96" s="2500"/>
      <c r="I96" s="2545"/>
    </row>
    <row r="97" spans="1:9" ht="23.25" customHeight="1">
      <c r="A97" s="4165"/>
      <c r="B97" s="4165"/>
      <c r="C97" s="2540" t="s">
        <v>8344</v>
      </c>
      <c r="D97" s="2546" t="s">
        <v>8372</v>
      </c>
      <c r="E97" s="2546"/>
      <c r="F97" s="2547"/>
      <c r="G97" s="2538"/>
      <c r="H97" s="2500"/>
      <c r="I97" s="2545"/>
    </row>
    <row r="98" spans="1:9">
      <c r="A98" s="2490" t="s">
        <v>8373</v>
      </c>
      <c r="B98" s="2491"/>
      <c r="C98" s="2499"/>
      <c r="D98" s="2499"/>
      <c r="E98" s="2499"/>
      <c r="F98" s="2491"/>
      <c r="G98" s="2491"/>
      <c r="H98" s="2491"/>
      <c r="I98" s="2492"/>
    </row>
    <row r="99" spans="1:9" ht="25.5" customHeight="1">
      <c r="A99" s="4173" t="s">
        <v>8374</v>
      </c>
      <c r="B99" s="4174"/>
      <c r="C99" s="4174"/>
      <c r="D99" s="4174"/>
      <c r="E99" s="4174"/>
      <c r="F99" s="4174"/>
      <c r="G99" s="4174"/>
      <c r="H99" s="4174"/>
      <c r="I99" s="4175"/>
    </row>
    <row r="100" spans="1:9" ht="15.75" customHeight="1" thickBot="1">
      <c r="A100" s="4176" t="s">
        <v>8375</v>
      </c>
      <c r="B100" s="4177"/>
      <c r="C100" s="4177"/>
      <c r="D100" s="4177"/>
      <c r="E100" s="4177"/>
      <c r="F100" s="4177"/>
      <c r="G100" s="4177"/>
      <c r="H100" s="4177"/>
      <c r="I100" s="4178"/>
    </row>
    <row r="101" spans="1:9" ht="10.5" customHeight="1" thickBot="1">
      <c r="A101" s="4179" t="s">
        <v>8376</v>
      </c>
      <c r="B101" s="4180"/>
      <c r="C101" s="4180"/>
      <c r="D101" s="4180"/>
      <c r="E101" s="4180"/>
      <c r="F101" s="4180"/>
      <c r="G101" s="4180"/>
      <c r="H101" s="4180"/>
      <c r="I101" s="4181"/>
    </row>
    <row r="102" spans="1:9" ht="12.75" customHeight="1">
      <c r="A102" s="4182" t="s">
        <v>8377</v>
      </c>
      <c r="B102" s="4183"/>
      <c r="C102" s="4183"/>
      <c r="D102" s="4183"/>
      <c r="E102" s="4183"/>
      <c r="F102" s="2509"/>
      <c r="G102" s="2509"/>
      <c r="H102" s="2509"/>
      <c r="I102" s="2548"/>
    </row>
    <row r="103" spans="1:9" ht="103.5" customHeight="1" thickBot="1">
      <c r="A103" s="4194" t="s">
        <v>8378</v>
      </c>
      <c r="B103" s="4195"/>
      <c r="C103" s="4195"/>
      <c r="D103" s="4195"/>
      <c r="E103" s="4195"/>
      <c r="F103" s="4195"/>
      <c r="G103" s="4195"/>
      <c r="H103" s="4195"/>
      <c r="I103" s="4196"/>
    </row>
    <row r="104" spans="1:9" ht="12" customHeight="1">
      <c r="A104" s="4182" t="s">
        <v>8379</v>
      </c>
      <c r="B104" s="4183"/>
      <c r="C104" s="4183"/>
      <c r="D104" s="4183"/>
      <c r="E104" s="2509"/>
      <c r="F104" s="2509"/>
      <c r="G104" s="2509"/>
      <c r="H104" s="2509"/>
      <c r="I104" s="2548"/>
    </row>
    <row r="105" spans="1:9" ht="51.75" customHeight="1" thickBot="1">
      <c r="A105" s="4197" t="s">
        <v>8380</v>
      </c>
      <c r="B105" s="4198"/>
      <c r="C105" s="4198"/>
      <c r="D105" s="4198"/>
      <c r="E105" s="4198"/>
      <c r="F105" s="4198"/>
      <c r="G105" s="4198"/>
      <c r="H105" s="4198"/>
      <c r="I105" s="4199"/>
    </row>
    <row r="106" spans="1:9">
      <c r="A106" s="4200" t="s">
        <v>8381</v>
      </c>
      <c r="B106" s="4201"/>
      <c r="C106" s="4201"/>
      <c r="D106" s="4201"/>
      <c r="E106" s="4201"/>
      <c r="F106" s="4201"/>
      <c r="G106" s="2509"/>
      <c r="H106" s="2509"/>
      <c r="I106" s="2548"/>
    </row>
    <row r="107" spans="1:9" ht="30.75" customHeight="1">
      <c r="A107" s="4202" t="s">
        <v>8382</v>
      </c>
      <c r="B107" s="4202"/>
      <c r="C107" s="4202"/>
      <c r="D107" s="4202"/>
      <c r="E107" s="4202"/>
      <c r="F107" s="4202"/>
      <c r="G107" s="4202"/>
      <c r="H107" s="4202"/>
      <c r="I107" s="4202"/>
    </row>
    <row r="108" spans="1:9">
      <c r="A108" s="2508"/>
      <c r="B108" s="2509"/>
      <c r="C108" s="2509"/>
      <c r="D108" s="2509"/>
      <c r="E108" s="2509"/>
      <c r="F108" s="2509"/>
      <c r="G108" s="2509"/>
      <c r="H108" s="2509"/>
      <c r="I108" s="2548"/>
    </row>
    <row r="109" spans="1:9" ht="10.199999999999999" thickBot="1">
      <c r="A109" s="4203" t="s">
        <v>8383</v>
      </c>
      <c r="B109" s="4204"/>
      <c r="C109" s="4204"/>
      <c r="D109" s="4204"/>
      <c r="E109" s="2509"/>
      <c r="F109" s="2509"/>
      <c r="G109" s="2509"/>
      <c r="H109" s="2509"/>
      <c r="I109" s="2548"/>
    </row>
    <row r="110" spans="1:9" ht="10.199999999999999" thickBot="1">
      <c r="A110" s="4184" t="s">
        <v>8384</v>
      </c>
      <c r="B110" s="4185"/>
      <c r="C110" s="4185"/>
      <c r="D110" s="4185"/>
      <c r="E110" s="4186"/>
      <c r="F110" s="4187" t="s">
        <v>8385</v>
      </c>
      <c r="G110" s="4185"/>
      <c r="H110" s="4185"/>
      <c r="I110" s="4188"/>
    </row>
    <row r="111" spans="1:9" ht="10.199999999999999" thickBot="1">
      <c r="A111" s="4189" t="s">
        <v>8386</v>
      </c>
      <c r="B111" s="4190"/>
      <c r="C111" s="4191"/>
      <c r="D111" s="2549"/>
      <c r="E111" s="2550"/>
      <c r="F111" s="4192" t="s">
        <v>8387</v>
      </c>
      <c r="G111" s="4190"/>
      <c r="H111" s="4193"/>
      <c r="I111" s="2551" t="s">
        <v>8388</v>
      </c>
    </row>
    <row r="112" spans="1:9" ht="10.199999999999999" thickBot="1">
      <c r="A112" s="4189" t="s">
        <v>8389</v>
      </c>
      <c r="B112" s="4190"/>
      <c r="C112" s="4191"/>
      <c r="D112" s="2528" t="s">
        <v>8390</v>
      </c>
      <c r="E112" s="2552">
        <v>34949</v>
      </c>
      <c r="F112" s="4192" t="s">
        <v>8391</v>
      </c>
      <c r="G112" s="4190"/>
      <c r="H112" s="4193"/>
      <c r="I112" s="2551" t="s">
        <v>8388</v>
      </c>
    </row>
    <row r="113" spans="1:9" ht="10.199999999999999" thickBot="1">
      <c r="A113" s="4189" t="s">
        <v>8392</v>
      </c>
      <c r="B113" s="4190"/>
      <c r="C113" s="4191"/>
      <c r="D113" s="2528" t="s">
        <v>283</v>
      </c>
      <c r="E113" s="2553">
        <v>1.4</v>
      </c>
      <c r="F113" s="4192" t="s">
        <v>8393</v>
      </c>
      <c r="G113" s="4190"/>
      <c r="H113" s="4193"/>
      <c r="I113" s="2551" t="s">
        <v>8394</v>
      </c>
    </row>
    <row r="114" spans="1:9" ht="15.75" customHeight="1" thickBot="1">
      <c r="A114" s="4189" t="s">
        <v>8395</v>
      </c>
      <c r="B114" s="4190"/>
      <c r="C114" s="4191"/>
      <c r="D114" s="2528" t="s">
        <v>8396</v>
      </c>
      <c r="E114" s="2554">
        <v>25</v>
      </c>
      <c r="F114" s="4192" t="s">
        <v>8397</v>
      </c>
      <c r="G114" s="4190"/>
      <c r="H114" s="4193"/>
      <c r="I114" s="2551"/>
    </row>
    <row r="115" spans="1:9" ht="10.199999999999999" thickBot="1">
      <c r="A115" s="4189" t="s">
        <v>8398</v>
      </c>
      <c r="B115" s="4190"/>
      <c r="C115" s="4191"/>
      <c r="D115" s="2528" t="s">
        <v>8390</v>
      </c>
      <c r="E115" s="2552">
        <v>49989</v>
      </c>
      <c r="F115" s="4187" t="s">
        <v>8399</v>
      </c>
      <c r="G115" s="4185"/>
      <c r="H115" s="4185"/>
      <c r="I115" s="4188"/>
    </row>
    <row r="116" spans="1:9" ht="10.199999999999999" thickBot="1">
      <c r="A116" s="4184" t="s">
        <v>8237</v>
      </c>
      <c r="B116" s="4185"/>
      <c r="C116" s="4185"/>
      <c r="D116" s="4185"/>
      <c r="E116" s="4205"/>
      <c r="F116" s="4206" t="s">
        <v>8400</v>
      </c>
      <c r="G116" s="4191"/>
      <c r="H116" s="2528"/>
      <c r="I116" s="2555"/>
    </row>
    <row r="117" spans="1:9" ht="10.199999999999999" thickBot="1">
      <c r="A117" s="4189" t="s">
        <v>8401</v>
      </c>
      <c r="B117" s="4190"/>
      <c r="C117" s="4191"/>
      <c r="D117" s="2528" t="s">
        <v>8402</v>
      </c>
      <c r="E117" s="2549">
        <v>130</v>
      </c>
      <c r="F117" s="4192" t="s">
        <v>8403</v>
      </c>
      <c r="G117" s="4191"/>
      <c r="H117" s="2528" t="s">
        <v>8404</v>
      </c>
      <c r="I117" s="2555"/>
    </row>
    <row r="118" spans="1:9" ht="10.199999999999999" thickBot="1">
      <c r="A118" s="4189" t="s">
        <v>8405</v>
      </c>
      <c r="B118" s="4190"/>
      <c r="C118" s="4191"/>
      <c r="D118" s="2528" t="s">
        <v>283</v>
      </c>
      <c r="E118" s="2549">
        <v>25</v>
      </c>
      <c r="F118" s="4192" t="s">
        <v>8406</v>
      </c>
      <c r="G118" s="4191"/>
      <c r="H118" s="2528" t="s">
        <v>8407</v>
      </c>
      <c r="I118" s="2555"/>
    </row>
    <row r="119" spans="1:9" ht="10.199999999999999" thickBot="1">
      <c r="A119" s="4189" t="s">
        <v>8408</v>
      </c>
      <c r="B119" s="4190"/>
      <c r="C119" s="4191"/>
      <c r="D119" s="2528" t="s">
        <v>8402</v>
      </c>
      <c r="E119" s="2549">
        <v>173</v>
      </c>
      <c r="F119" s="4192" t="s">
        <v>8409</v>
      </c>
      <c r="G119" s="4191"/>
      <c r="H119" s="2528"/>
      <c r="I119" s="2555"/>
    </row>
    <row r="120" spans="1:9" ht="10.199999999999999" thickBot="1">
      <c r="A120" s="4189" t="s">
        <v>8410</v>
      </c>
      <c r="B120" s="4190"/>
      <c r="C120" s="4191"/>
      <c r="D120" s="2528" t="s">
        <v>8411</v>
      </c>
      <c r="E120" s="2549">
        <v>1.2</v>
      </c>
      <c r="F120" s="4187" t="s">
        <v>8412</v>
      </c>
      <c r="G120" s="4185"/>
      <c r="H120" s="4185"/>
      <c r="I120" s="4188"/>
    </row>
    <row r="121" spans="1:9" ht="10.199999999999999" thickBot="1">
      <c r="A121" s="4189" t="s">
        <v>8413</v>
      </c>
      <c r="B121" s="4190"/>
      <c r="C121" s="4191"/>
      <c r="D121" s="2528" t="s">
        <v>8414</v>
      </c>
      <c r="E121" s="2549">
        <v>1.5</v>
      </c>
      <c r="F121" s="4192" t="s">
        <v>8415</v>
      </c>
      <c r="G121" s="4193"/>
      <c r="H121" s="2528"/>
      <c r="I121" s="2556"/>
    </row>
    <row r="122" spans="1:9" ht="10.199999999999999" thickBot="1">
      <c r="A122" s="4189" t="s">
        <v>8416</v>
      </c>
      <c r="B122" s="4190"/>
      <c r="C122" s="4191"/>
      <c r="D122" s="2528" t="s">
        <v>8316</v>
      </c>
      <c r="E122" s="2549">
        <v>100</v>
      </c>
      <c r="F122" s="4192" t="s">
        <v>8417</v>
      </c>
      <c r="G122" s="4193"/>
      <c r="H122" s="2528" t="s">
        <v>8418</v>
      </c>
      <c r="I122" s="2556"/>
    </row>
    <row r="123" spans="1:9" ht="10.199999999999999" thickBot="1">
      <c r="A123" s="4189" t="s">
        <v>8419</v>
      </c>
      <c r="B123" s="4190"/>
      <c r="C123" s="4191"/>
      <c r="D123" s="2528" t="s">
        <v>8316</v>
      </c>
      <c r="E123" s="2549">
        <v>120</v>
      </c>
      <c r="F123" s="4192" t="s">
        <v>8420</v>
      </c>
      <c r="G123" s="4193"/>
      <c r="H123" s="2528" t="s">
        <v>8421</v>
      </c>
      <c r="I123" s="2557"/>
    </row>
    <row r="124" spans="1:9" ht="10.199999999999999" thickBot="1">
      <c r="A124" s="4207" t="s">
        <v>8422</v>
      </c>
      <c r="B124" s="4208"/>
      <c r="C124" s="4209"/>
      <c r="D124" s="2558" t="s">
        <v>8316</v>
      </c>
      <c r="E124" s="2559">
        <v>181</v>
      </c>
      <c r="F124" s="4192" t="s">
        <v>8423</v>
      </c>
      <c r="G124" s="4193"/>
      <c r="H124" s="2528" t="s">
        <v>8316</v>
      </c>
      <c r="I124" s="2556"/>
    </row>
    <row r="125" spans="1:9" ht="10.199999999999999" thickBot="1">
      <c r="A125" s="4187" t="s">
        <v>8424</v>
      </c>
      <c r="B125" s="4185"/>
      <c r="C125" s="4185"/>
      <c r="D125" s="4185"/>
      <c r="E125" s="4186"/>
      <c r="F125" s="4192" t="s">
        <v>8425</v>
      </c>
      <c r="G125" s="4193"/>
      <c r="H125" s="2528" t="s">
        <v>8426</v>
      </c>
      <c r="I125" s="2560"/>
    </row>
    <row r="126" spans="1:9" ht="14.25" customHeight="1" thickBot="1">
      <c r="A126" s="4189" t="s">
        <v>8427</v>
      </c>
      <c r="B126" s="4190"/>
      <c r="C126" s="4191"/>
      <c r="D126" s="2517" t="s">
        <v>8428</v>
      </c>
      <c r="E126" s="2549">
        <v>1.758</v>
      </c>
      <c r="F126" s="4192" t="s">
        <v>8429</v>
      </c>
      <c r="G126" s="4193"/>
      <c r="H126" s="2528" t="s">
        <v>8426</v>
      </c>
      <c r="I126" s="2561"/>
    </row>
    <row r="127" spans="1:9" ht="10.199999999999999" thickBot="1">
      <c r="A127" s="4189" t="s">
        <v>8430</v>
      </c>
      <c r="B127" s="4190"/>
      <c r="C127" s="4191"/>
      <c r="D127" s="2517" t="s">
        <v>8431</v>
      </c>
      <c r="E127" s="2549">
        <v>15.25</v>
      </c>
      <c r="F127" s="4219" t="s">
        <v>8432</v>
      </c>
      <c r="G127" s="4220"/>
      <c r="H127" s="4220"/>
      <c r="I127" s="4221"/>
    </row>
    <row r="128" spans="1:9" ht="12" customHeight="1" thickBot="1">
      <c r="A128" s="4189" t="s">
        <v>8433</v>
      </c>
      <c r="B128" s="4190"/>
      <c r="C128" s="4191"/>
      <c r="D128" s="2517" t="s">
        <v>8428</v>
      </c>
      <c r="E128" s="2549">
        <v>36.96</v>
      </c>
      <c r="F128" s="4210"/>
      <c r="G128" s="4211"/>
      <c r="H128" s="4211"/>
      <c r="I128" s="4212"/>
    </row>
    <row r="129" spans="1:9" ht="10.199999999999999" thickBot="1">
      <c r="A129" s="4189" t="s">
        <v>8434</v>
      </c>
      <c r="B129" s="4190"/>
      <c r="C129" s="4191"/>
      <c r="D129" s="2517" t="s">
        <v>8435</v>
      </c>
      <c r="E129" s="2549">
        <v>150.66</v>
      </c>
      <c r="F129" s="4213"/>
      <c r="G129" s="4214"/>
      <c r="H129" s="4214"/>
      <c r="I129" s="4215"/>
    </row>
    <row r="130" spans="1:9" ht="10.199999999999999" thickBot="1">
      <c r="A130" s="4189" t="s">
        <v>8436</v>
      </c>
      <c r="B130" s="4190"/>
      <c r="C130" s="4191"/>
      <c r="D130" s="2517" t="s">
        <v>8435</v>
      </c>
      <c r="E130" s="2549">
        <v>192</v>
      </c>
      <c r="F130" s="4213"/>
      <c r="G130" s="4214"/>
      <c r="H130" s="4214"/>
      <c r="I130" s="4215"/>
    </row>
    <row r="131" spans="1:9" ht="10.199999999999999" thickBot="1">
      <c r="A131" s="4189" t="s">
        <v>8437</v>
      </c>
      <c r="B131" s="4190"/>
      <c r="C131" s="4191"/>
      <c r="D131" s="2517" t="s">
        <v>1292</v>
      </c>
      <c r="E131" s="2549">
        <v>50</v>
      </c>
      <c r="F131" s="4213"/>
      <c r="G131" s="4214"/>
      <c r="H131" s="4214"/>
      <c r="I131" s="4215"/>
    </row>
    <row r="132" spans="1:9" ht="10.199999999999999" thickBot="1">
      <c r="A132" s="4189" t="s">
        <v>8438</v>
      </c>
      <c r="B132" s="4190"/>
      <c r="C132" s="4191"/>
      <c r="D132" s="2517" t="s">
        <v>8439</v>
      </c>
      <c r="E132" s="2549"/>
      <c r="F132" s="4216"/>
      <c r="G132" s="4217"/>
      <c r="H132" s="4217"/>
      <c r="I132" s="4218"/>
    </row>
    <row r="133" spans="1:9" ht="10.8">
      <c r="A133" s="4223" t="s">
        <v>8440</v>
      </c>
      <c r="B133" s="4224"/>
      <c r="C133" s="4224"/>
      <c r="D133" s="4224"/>
      <c r="E133" s="4224"/>
      <c r="F133" s="4224"/>
      <c r="G133" s="4224"/>
      <c r="H133" s="2509"/>
      <c r="I133" s="2548"/>
    </row>
    <row r="134" spans="1:9" ht="10.8">
      <c r="A134" s="2562" t="s">
        <v>8441</v>
      </c>
      <c r="B134" s="2563"/>
      <c r="C134" s="2564"/>
      <c r="D134" s="2538" t="s">
        <v>8442</v>
      </c>
      <c r="E134" s="2538"/>
      <c r="F134" s="2565" t="s">
        <v>8443</v>
      </c>
      <c r="G134" s="2565"/>
      <c r="H134" s="2509"/>
      <c r="I134" s="2548"/>
    </row>
    <row r="135" spans="1:9" ht="10.8">
      <c r="A135" s="2562" t="s">
        <v>8444</v>
      </c>
      <c r="B135" s="2563"/>
      <c r="C135" s="2564"/>
      <c r="D135" s="2538" t="s">
        <v>8442</v>
      </c>
      <c r="E135" s="2538"/>
      <c r="F135" s="2565" t="s">
        <v>8443</v>
      </c>
      <c r="G135" s="2565"/>
      <c r="H135" s="2509"/>
      <c r="I135" s="2548"/>
    </row>
    <row r="136" spans="1:9" ht="10.8">
      <c r="A136" s="2562" t="s">
        <v>8445</v>
      </c>
      <c r="B136" s="2563"/>
      <c r="C136" s="2564"/>
      <c r="D136" s="2538" t="s">
        <v>8442</v>
      </c>
      <c r="E136" s="2538"/>
      <c r="F136" s="2565" t="s">
        <v>8443</v>
      </c>
      <c r="G136" s="2565"/>
      <c r="H136" s="2509"/>
      <c r="I136" s="2548"/>
    </row>
    <row r="137" spans="1:9" ht="10.8">
      <c r="A137" s="2562" t="s">
        <v>8446</v>
      </c>
      <c r="B137" s="2566" t="s">
        <v>8447</v>
      </c>
      <c r="C137" s="2563"/>
      <c r="D137" s="2538" t="s">
        <v>8442</v>
      </c>
      <c r="E137" s="2538"/>
      <c r="F137" s="2565" t="s">
        <v>8443</v>
      </c>
      <c r="G137" s="2565"/>
      <c r="H137" s="2509"/>
      <c r="I137" s="2548"/>
    </row>
    <row r="138" spans="1:9" ht="10.8">
      <c r="A138" s="2562"/>
      <c r="B138" s="2538" t="s">
        <v>8448</v>
      </c>
      <c r="C138" s="2563"/>
      <c r="D138" s="2538" t="s">
        <v>8442</v>
      </c>
      <c r="E138" s="2538"/>
      <c r="F138" s="2565" t="s">
        <v>8443</v>
      </c>
      <c r="G138" s="2565"/>
      <c r="H138" s="2509"/>
      <c r="I138" s="2548"/>
    </row>
    <row r="139" spans="1:9" ht="10.8">
      <c r="A139" s="2562"/>
      <c r="B139" s="2538" t="s">
        <v>8449</v>
      </c>
      <c r="C139" s="2564"/>
      <c r="D139" s="2538" t="s">
        <v>8442</v>
      </c>
      <c r="E139" s="2538"/>
      <c r="F139" s="2565" t="s">
        <v>8443</v>
      </c>
      <c r="G139" s="2565"/>
      <c r="H139" s="2509"/>
      <c r="I139" s="2548"/>
    </row>
    <row r="140" spans="1:9" ht="11.4" thickBot="1">
      <c r="A140" s="4225" t="s">
        <v>8450</v>
      </c>
      <c r="B140" s="4226"/>
      <c r="C140" s="4226"/>
      <c r="D140" s="4226"/>
      <c r="E140" s="4226"/>
      <c r="F140" s="4226"/>
      <c r="G140" s="4226"/>
      <c r="H140" s="2509"/>
      <c r="I140" s="2548"/>
    </row>
    <row r="141" spans="1:9" ht="10.8">
      <c r="A141" s="4227" t="s">
        <v>8294</v>
      </c>
      <c r="B141" s="4227"/>
      <c r="C141" s="4227"/>
      <c r="D141" s="4227"/>
      <c r="E141" s="2567" t="s">
        <v>8451</v>
      </c>
      <c r="F141" s="2567" t="s">
        <v>8452</v>
      </c>
      <c r="G141" s="2567" t="s">
        <v>8453</v>
      </c>
      <c r="H141" s="2509"/>
      <c r="I141" s="2548"/>
    </row>
    <row r="142" spans="1:9" ht="10.8">
      <c r="A142" s="4165" t="s">
        <v>8454</v>
      </c>
      <c r="B142" s="4222" t="s">
        <v>283</v>
      </c>
      <c r="C142" s="2536" t="s">
        <v>8348</v>
      </c>
      <c r="D142" s="2536" t="s">
        <v>8349</v>
      </c>
      <c r="E142" s="2568"/>
      <c r="F142" s="2538"/>
      <c r="G142" s="2538"/>
      <c r="H142" s="2509"/>
      <c r="I142" s="2548"/>
    </row>
    <row r="143" spans="1:9">
      <c r="A143" s="4165"/>
      <c r="B143" s="4222"/>
      <c r="C143" s="2538"/>
      <c r="D143" s="2568">
        <v>100</v>
      </c>
      <c r="E143" s="2568" t="s">
        <v>8306</v>
      </c>
      <c r="F143" s="2568"/>
      <c r="G143" s="2568"/>
      <c r="H143" s="2509"/>
      <c r="I143" s="2548"/>
    </row>
    <row r="144" spans="1:9" ht="10.8">
      <c r="A144" s="4165" t="s">
        <v>8455</v>
      </c>
      <c r="B144" s="4222" t="s">
        <v>1292</v>
      </c>
      <c r="C144" s="2536" t="s">
        <v>8351</v>
      </c>
      <c r="D144" s="2536" t="s">
        <v>1065</v>
      </c>
      <c r="E144" s="2568"/>
      <c r="F144" s="2538"/>
      <c r="G144" s="2538"/>
      <c r="H144" s="2509"/>
      <c r="I144" s="2548"/>
    </row>
    <row r="145" spans="1:9">
      <c r="A145" s="4165"/>
      <c r="B145" s="4222"/>
      <c r="C145" s="2568">
        <v>12.2</v>
      </c>
      <c r="D145" s="2538"/>
      <c r="E145" s="2568" t="s">
        <v>8306</v>
      </c>
      <c r="F145" s="2568"/>
      <c r="G145" s="2568"/>
      <c r="H145" s="2509"/>
      <c r="I145" s="2548"/>
    </row>
    <row r="146" spans="1:9" ht="10.8">
      <c r="A146" s="4165" t="s">
        <v>8456</v>
      </c>
      <c r="B146" s="4222" t="s">
        <v>8457</v>
      </c>
      <c r="C146" s="2536" t="s">
        <v>8353</v>
      </c>
      <c r="D146" s="2536" t="s">
        <v>8354</v>
      </c>
      <c r="E146" s="2568"/>
      <c r="F146" s="2538"/>
      <c r="G146" s="2538"/>
      <c r="H146" s="2509"/>
      <c r="I146" s="2548"/>
    </row>
    <row r="147" spans="1:9">
      <c r="A147" s="4165"/>
      <c r="B147" s="4222"/>
      <c r="C147" s="2568">
        <v>3091</v>
      </c>
      <c r="D147" s="2538"/>
      <c r="E147" s="2568" t="s">
        <v>8306</v>
      </c>
      <c r="F147" s="2568"/>
      <c r="G147" s="2568"/>
      <c r="H147" s="2509"/>
      <c r="I147" s="2548"/>
    </row>
    <row r="148" spans="1:9" ht="10.8">
      <c r="A148" s="4165" t="s">
        <v>8458</v>
      </c>
      <c r="B148" s="4222" t="s">
        <v>363</v>
      </c>
      <c r="C148" s="2536" t="s">
        <v>8306</v>
      </c>
      <c r="D148" s="2536" t="s">
        <v>8344</v>
      </c>
      <c r="E148" s="2568"/>
      <c r="F148" s="2538"/>
      <c r="G148" s="2538"/>
      <c r="H148" s="2509"/>
      <c r="I148" s="2548"/>
    </row>
    <row r="149" spans="1:9" ht="10.8">
      <c r="A149" s="4165"/>
      <c r="B149" s="4222"/>
      <c r="C149" s="2540"/>
      <c r="D149" s="2568" t="s">
        <v>8277</v>
      </c>
      <c r="E149" s="2568" t="s">
        <v>8344</v>
      </c>
      <c r="F149" s="2538"/>
      <c r="G149" s="2538"/>
      <c r="H149" s="2509"/>
      <c r="I149" s="2548"/>
    </row>
    <row r="150" spans="1:9" ht="10.8">
      <c r="A150" s="4165" t="s">
        <v>8356</v>
      </c>
      <c r="B150" s="4222" t="s">
        <v>8459</v>
      </c>
      <c r="C150" s="2540" t="s">
        <v>8357</v>
      </c>
      <c r="D150" s="2540" t="s">
        <v>8358</v>
      </c>
      <c r="E150" s="2568"/>
      <c r="F150" s="2538"/>
      <c r="G150" s="2538"/>
      <c r="H150" s="2509"/>
      <c r="I150" s="2548"/>
    </row>
    <row r="151" spans="1:9">
      <c r="A151" s="4165"/>
      <c r="B151" s="4222"/>
      <c r="C151" s="2568">
        <v>0</v>
      </c>
      <c r="D151" s="2568">
        <v>0</v>
      </c>
      <c r="E151" s="2568" t="s">
        <v>8344</v>
      </c>
      <c r="F151" s="2538"/>
      <c r="G151" s="2538"/>
      <c r="H151" s="2509"/>
      <c r="I151" s="2548"/>
    </row>
    <row r="152" spans="1:9" ht="10.8">
      <c r="A152" s="4165" t="s">
        <v>8360</v>
      </c>
      <c r="B152" s="4222" t="s">
        <v>8459</v>
      </c>
      <c r="C152" s="2569" t="s">
        <v>8361</v>
      </c>
      <c r="D152" s="2569" t="s">
        <v>8362</v>
      </c>
      <c r="E152" s="2568"/>
      <c r="F152" s="2538"/>
      <c r="G152" s="2538"/>
      <c r="H152" s="2509"/>
      <c r="I152" s="2548"/>
    </row>
    <row r="153" spans="1:9" ht="10.199999999999999" thickBot="1">
      <c r="A153" s="4235"/>
      <c r="B153" s="4236"/>
      <c r="C153" s="2570">
        <v>1604.01</v>
      </c>
      <c r="D153" s="2570">
        <v>0</v>
      </c>
      <c r="E153" s="2568" t="s">
        <v>8306</v>
      </c>
      <c r="F153" s="2570"/>
      <c r="G153" s="2570"/>
      <c r="H153" s="2509"/>
      <c r="I153" s="2548"/>
    </row>
    <row r="154" spans="1:9">
      <c r="A154" s="2571"/>
      <c r="B154" s="2499"/>
      <c r="C154" s="2509"/>
      <c r="D154" s="2491"/>
      <c r="E154" s="2509"/>
      <c r="F154" s="2509"/>
      <c r="G154" s="2509"/>
      <c r="H154" s="2509"/>
      <c r="I154" s="2548"/>
    </row>
    <row r="155" spans="1:9">
      <c r="A155" s="4237" t="s">
        <v>8460</v>
      </c>
      <c r="B155" s="4238"/>
      <c r="C155" s="4238"/>
      <c r="D155" s="4238"/>
      <c r="E155" s="4238"/>
      <c r="F155" s="2509"/>
      <c r="G155" s="2509"/>
      <c r="H155" s="2509"/>
      <c r="I155" s="2548"/>
    </row>
    <row r="156" spans="1:9" ht="10.199999999999999" thickBot="1">
      <c r="A156" s="2572"/>
      <c r="B156" s="2573"/>
      <c r="C156" s="2574"/>
      <c r="D156" s="2575"/>
      <c r="E156" s="2574"/>
      <c r="F156" s="2574"/>
      <c r="G156" s="2574"/>
      <c r="H156" s="2574"/>
      <c r="I156" s="2555"/>
    </row>
    <row r="157" spans="1:9" ht="10.199999999999999" thickBot="1">
      <c r="A157" s="4239" t="s">
        <v>8461</v>
      </c>
      <c r="B157" s="4240"/>
      <c r="C157" s="4240"/>
      <c r="D157" s="4240"/>
      <c r="E157" s="4240"/>
      <c r="F157" s="4240"/>
      <c r="G157" s="2509"/>
      <c r="H157" s="2509"/>
      <c r="I157" s="2548"/>
    </row>
    <row r="158" spans="1:9" ht="27" customHeight="1" thickBot="1">
      <c r="A158" s="4241" t="s">
        <v>6164</v>
      </c>
      <c r="B158" s="4242"/>
      <c r="C158" s="2576" t="s">
        <v>3818</v>
      </c>
      <c r="D158" s="2576" t="s">
        <v>1037</v>
      </c>
      <c r="E158" s="4243" t="s">
        <v>8462</v>
      </c>
      <c r="F158" s="4244"/>
      <c r="G158" s="4228" t="s">
        <v>8463</v>
      </c>
      <c r="H158" s="4229"/>
      <c r="I158" s="2577" t="s">
        <v>8235</v>
      </c>
    </row>
    <row r="159" spans="1:9" ht="12.75" customHeight="1" thickBot="1">
      <c r="A159" s="4230" t="s">
        <v>8464</v>
      </c>
      <c r="B159" s="4230"/>
      <c r="C159" s="4230"/>
      <c r="D159" s="4230"/>
      <c r="E159" s="4230"/>
      <c r="F159" s="4230"/>
      <c r="G159" s="4230"/>
      <c r="H159" s="4230"/>
      <c r="I159" s="4230"/>
    </row>
    <row r="160" spans="1:9" s="2582" customFormat="1" ht="12.6" thickBot="1">
      <c r="A160" s="2578" t="s">
        <v>5737</v>
      </c>
      <c r="B160" s="2579"/>
      <c r="C160" s="2580"/>
      <c r="D160" s="2580"/>
      <c r="E160" s="2580"/>
      <c r="F160" s="2580"/>
      <c r="G160" s="2580"/>
      <c r="H160" s="2580"/>
      <c r="I160" s="2581"/>
    </row>
    <row r="161" spans="1:9" ht="15.75" customHeight="1" thickBot="1">
      <c r="A161" s="4231" t="str">
        <f>+CONSOLIDADO!B6</f>
        <v>LINEA PRIMARIA DE MT</v>
      </c>
      <c r="B161" s="4232"/>
      <c r="C161" s="2549" t="s">
        <v>427</v>
      </c>
      <c r="D161" s="2535">
        <v>1</v>
      </c>
      <c r="E161" s="4233">
        <f>+CONSOLIDADO!F6</f>
        <v>4669781</v>
      </c>
      <c r="F161" s="4234"/>
      <c r="G161" s="2583"/>
      <c r="H161" s="2584"/>
      <c r="I161" s="2585">
        <f>+E161</f>
        <v>4669781</v>
      </c>
    </row>
    <row r="162" spans="1:9" ht="21" customHeight="1" thickBot="1">
      <c r="A162" s="4231" t="str">
        <f>+CONSOLIDADO!B10</f>
        <v>LINEA PRIMARIA  DE MT  13.2 KV SUBTERRANEA</v>
      </c>
      <c r="B162" s="4232"/>
      <c r="C162" s="2549"/>
      <c r="D162" s="2535"/>
      <c r="E162" s="4233">
        <f>+CONSOLIDADO!F10</f>
        <v>9252736</v>
      </c>
      <c r="F162" s="4234"/>
      <c r="G162" s="2583"/>
      <c r="H162" s="2584"/>
      <c r="I162" s="2585">
        <f>+E162</f>
        <v>9252736</v>
      </c>
    </row>
    <row r="163" spans="1:9" ht="15.6" customHeight="1" thickBot="1">
      <c r="A163" s="4231" t="str">
        <f>+CONSOLIDADO!B16</f>
        <v>CAJA DE INSPECCION</v>
      </c>
      <c r="B163" s="4232"/>
      <c r="C163" s="2549" t="s">
        <v>427</v>
      </c>
      <c r="D163" s="2535">
        <v>1</v>
      </c>
      <c r="E163" s="4233">
        <f>+CONSOLIDADO!F16</f>
        <v>1525760</v>
      </c>
      <c r="F163" s="4234"/>
      <c r="G163" s="2586"/>
      <c r="H163" s="2587"/>
      <c r="I163" s="2585">
        <f t="shared" ref="I163:I175" si="2">+E163</f>
        <v>1525760</v>
      </c>
    </row>
    <row r="164" spans="1:9" ht="18" customHeight="1" thickBot="1">
      <c r="A164" s="4231" t="str">
        <f>+CONSOLIDADO!B19</f>
        <v>MALLA A TIERRA</v>
      </c>
      <c r="B164" s="4232"/>
      <c r="C164" s="2535" t="s">
        <v>427</v>
      </c>
      <c r="D164" s="2535">
        <v>1</v>
      </c>
      <c r="E164" s="4233">
        <f>+CONSOLIDADO!F19</f>
        <v>1202333</v>
      </c>
      <c r="F164" s="4234"/>
      <c r="G164" s="2586"/>
      <c r="H164" s="2587"/>
      <c r="I164" s="2585">
        <f t="shared" si="2"/>
        <v>1202333</v>
      </c>
    </row>
    <row r="165" spans="1:9" ht="30.75" customHeight="1" thickBot="1">
      <c r="A165" s="4231" t="str">
        <f>+CONSOLIDADO!B22</f>
        <v>ACOMETIDA SECUNDARIA DESDE TRANSFORMADOR A TRANSFERENCIA AUTOMATICA</v>
      </c>
      <c r="B165" s="4232"/>
      <c r="C165" s="2549" t="s">
        <v>427</v>
      </c>
      <c r="D165" s="2535">
        <v>1</v>
      </c>
      <c r="E165" s="4233">
        <f>+CONSOLIDADO!F22</f>
        <v>552430</v>
      </c>
      <c r="F165" s="4234"/>
      <c r="G165" s="2586"/>
      <c r="H165" s="2587"/>
      <c r="I165" s="2585">
        <f t="shared" si="2"/>
        <v>552430</v>
      </c>
    </row>
    <row r="166" spans="1:9" ht="27" customHeight="1" thickBot="1">
      <c r="A166" s="4231" t="str">
        <f>+CONSOLIDADO!B24</f>
        <v>TABLERO GENERAL CON TRANSFERENCIA AUTOMATICA Y TRANSFORMADOR SECO</v>
      </c>
      <c r="B166" s="4232"/>
      <c r="C166" s="2549" t="s">
        <v>427</v>
      </c>
      <c r="D166" s="2535">
        <v>1</v>
      </c>
      <c r="E166" s="4233">
        <f>+CONSOLIDADO!F24</f>
        <v>2946295</v>
      </c>
      <c r="F166" s="4234"/>
      <c r="G166" s="2586"/>
      <c r="H166" s="2587"/>
      <c r="I166" s="2585">
        <f t="shared" si="2"/>
        <v>2946295</v>
      </c>
    </row>
    <row r="167" spans="1:9" ht="33" customHeight="1" thickBot="1">
      <c r="A167" s="4231" t="str">
        <f>+CONSOLIDADO!B26</f>
        <v>ACOMETIDA SECUNDARIA DESDE  TRANSFERENCIA AUTOMATICA A CENTRO DE CONTROL DE MOTORES</v>
      </c>
      <c r="B167" s="4232"/>
      <c r="C167" s="2549" t="s">
        <v>427</v>
      </c>
      <c r="D167" s="2535">
        <v>1</v>
      </c>
      <c r="E167" s="4233">
        <f>+CONSOLIDADO!F26</f>
        <v>957546</v>
      </c>
      <c r="F167" s="4234"/>
      <c r="G167" s="2586"/>
      <c r="H167" s="2587"/>
      <c r="I167" s="2585">
        <f t="shared" si="2"/>
        <v>957546</v>
      </c>
    </row>
    <row r="168" spans="1:9" ht="33" customHeight="1" thickBot="1">
      <c r="A168" s="4231" t="str">
        <f>+CONSOLIDADO!B28</f>
        <v>ACOMETIDA SECUNDARIA DESDE  TRANSFERENCIA AUTOMATICA A PLANTA DE EMERGENCIA</v>
      </c>
      <c r="B168" s="4232"/>
      <c r="C168" s="2549" t="s">
        <v>427</v>
      </c>
      <c r="D168" s="2535">
        <v>1</v>
      </c>
      <c r="E168" s="4233">
        <f>+CONSOLIDADO!F28</f>
        <v>810231</v>
      </c>
      <c r="F168" s="4234"/>
      <c r="G168" s="2586"/>
      <c r="H168" s="2587"/>
      <c r="I168" s="2585">
        <f t="shared" si="2"/>
        <v>810231</v>
      </c>
    </row>
    <row r="169" spans="1:9" s="2642" customFormat="1" ht="24.75" customHeight="1" thickBot="1">
      <c r="A169" s="4245" t="str">
        <f>+CONSOLIDADO!B31</f>
        <v>PLANTA ELECTRICA</v>
      </c>
      <c r="B169" s="4246"/>
      <c r="C169" s="2637" t="s">
        <v>427</v>
      </c>
      <c r="D169" s="2638">
        <v>1</v>
      </c>
      <c r="E169" s="4247">
        <f>+CONSOLIDADO!F31</f>
        <v>2454496</v>
      </c>
      <c r="F169" s="4248"/>
      <c r="G169" s="2639"/>
      <c r="H169" s="2640"/>
      <c r="I169" s="2641">
        <f t="shared" si="2"/>
        <v>2454496</v>
      </c>
    </row>
    <row r="170" spans="1:9" s="2642" customFormat="1" ht="24.75" customHeight="1" thickBot="1">
      <c r="A170" s="4245" t="str">
        <f>+CONSOLIDADO!B33</f>
        <v>CENTRO CONTROL DE MOTORES</v>
      </c>
      <c r="B170" s="4246"/>
      <c r="C170" s="2637" t="s">
        <v>427</v>
      </c>
      <c r="D170" s="2638">
        <v>1</v>
      </c>
      <c r="E170" s="4247">
        <f>+CONSOLIDADO!F33</f>
        <v>2455246</v>
      </c>
      <c r="F170" s="4248"/>
      <c r="G170" s="2639"/>
      <c r="H170" s="2640"/>
      <c r="I170" s="2641">
        <f t="shared" si="2"/>
        <v>2455246</v>
      </c>
    </row>
    <row r="171" spans="1:9" s="2642" customFormat="1" ht="24.75" customHeight="1" thickBot="1">
      <c r="A171" s="4245" t="str">
        <f>+CONSOLIDADO!B35</f>
        <v>ALIMENTADORES  DESDE CCM A TABLEROS PARCIALES Y MOTORES</v>
      </c>
      <c r="B171" s="4246"/>
      <c r="C171" s="2637" t="s">
        <v>427</v>
      </c>
      <c r="D171" s="2638">
        <v>1</v>
      </c>
      <c r="E171" s="4247">
        <f>+CONSOLIDADO!F35</f>
        <v>2349339</v>
      </c>
      <c r="F171" s="4248"/>
      <c r="G171" s="2639"/>
      <c r="H171" s="2640"/>
      <c r="I171" s="2641">
        <f t="shared" si="2"/>
        <v>2349339</v>
      </c>
    </row>
    <row r="172" spans="1:9" s="2642" customFormat="1" ht="24.75" customHeight="1" thickBot="1">
      <c r="A172" s="4245" t="str">
        <f>+CONSOLIDADO!B40</f>
        <v>SALIDAS PARA ALUMBRADO Y TOMAS</v>
      </c>
      <c r="B172" s="4246"/>
      <c r="C172" s="2637" t="s">
        <v>427</v>
      </c>
      <c r="D172" s="2638">
        <v>1</v>
      </c>
      <c r="E172" s="4247">
        <f>+CONSOLIDADO!F40</f>
        <v>2566557</v>
      </c>
      <c r="F172" s="4248"/>
      <c r="G172" s="2639"/>
      <c r="H172" s="2640"/>
      <c r="I172" s="2641">
        <f t="shared" si="2"/>
        <v>2566557</v>
      </c>
    </row>
    <row r="173" spans="1:9" s="2642" customFormat="1" ht="24.75" customHeight="1" thickBot="1">
      <c r="A173" s="4245" t="str">
        <f>+CONSOLIDADO!B48</f>
        <v>ALUMBRADO PERIMETRAL</v>
      </c>
      <c r="B173" s="4246"/>
      <c r="C173" s="2637" t="s">
        <v>427</v>
      </c>
      <c r="D173" s="2638">
        <v>1</v>
      </c>
      <c r="E173" s="4247">
        <f>+CONSOLIDADO!F48</f>
        <v>2769977</v>
      </c>
      <c r="F173" s="4248"/>
      <c r="G173" s="2639"/>
      <c r="H173" s="2640"/>
      <c r="I173" s="2641">
        <f t="shared" si="2"/>
        <v>2769977</v>
      </c>
    </row>
    <row r="174" spans="1:9" ht="20.25" customHeight="1" thickBot="1">
      <c r="A174" s="4231" t="str">
        <f>+CONSOLIDADO!B52</f>
        <v>TELEMETRIA</v>
      </c>
      <c r="B174" s="4232"/>
      <c r="C174" s="2549" t="s">
        <v>427</v>
      </c>
      <c r="D174" s="2535">
        <v>1</v>
      </c>
      <c r="E174" s="4233">
        <f>+CONSOLIDADO!F52</f>
        <v>1604199</v>
      </c>
      <c r="F174" s="4234"/>
      <c r="G174" s="2586"/>
      <c r="H174" s="2587"/>
      <c r="I174" s="2585">
        <f t="shared" si="2"/>
        <v>1604199</v>
      </c>
    </row>
    <row r="175" spans="1:9" ht="18" customHeight="1" thickBot="1">
      <c r="A175" s="4231" t="str">
        <f>+CONSOLIDADO!B54</f>
        <v>EQUIPOS DE BOMBEO</v>
      </c>
      <c r="B175" s="4232"/>
      <c r="C175" s="2549" t="s">
        <v>427</v>
      </c>
      <c r="D175" s="2535">
        <v>1</v>
      </c>
      <c r="E175" s="4233">
        <f>+CONSOLIDADO!F54</f>
        <v>2362500</v>
      </c>
      <c r="F175" s="4234"/>
      <c r="G175" s="2586"/>
      <c r="H175" s="2587"/>
      <c r="I175" s="2585">
        <f t="shared" si="2"/>
        <v>2362500</v>
      </c>
    </row>
    <row r="176" spans="1:9" ht="15.75" customHeight="1" thickBot="1">
      <c r="A176" s="2579" t="s">
        <v>5738</v>
      </c>
      <c r="B176" s="2579"/>
      <c r="C176" s="2580"/>
      <c r="D176" s="2580"/>
      <c r="E176" s="2580"/>
      <c r="F176" s="2580"/>
      <c r="G176" s="2580"/>
      <c r="H176" s="2580"/>
      <c r="I176" s="2581"/>
    </row>
    <row r="177" spans="1:9" s="2642" customFormat="1" ht="23.25" customHeight="1" thickBot="1">
      <c r="A177" s="4245" t="str">
        <f>+CONSOLIDADO!B58</f>
        <v xml:space="preserve">INSTALACIÓN DE TUBERÍAS, ACCESORIOS Y EQUIPOS </v>
      </c>
      <c r="B177" s="4246"/>
      <c r="C177" s="2637" t="s">
        <v>427</v>
      </c>
      <c r="D177" s="2638">
        <v>1</v>
      </c>
      <c r="E177" s="4249">
        <f>+CONSOLIDADO!F58</f>
        <v>36778852</v>
      </c>
      <c r="F177" s="4250"/>
      <c r="G177" s="2639"/>
      <c r="H177" s="2640"/>
      <c r="I177" s="2641">
        <f>+E177</f>
        <v>36778852</v>
      </c>
    </row>
    <row r="178" spans="1:9" ht="15.75" customHeight="1" thickBot="1">
      <c r="A178" s="2579" t="s">
        <v>6181</v>
      </c>
      <c r="B178" s="2579"/>
      <c r="C178" s="2580"/>
      <c r="D178" s="2580"/>
      <c r="E178" s="2580"/>
      <c r="F178" s="2580"/>
      <c r="G178" s="2580"/>
      <c r="H178" s="2580"/>
      <c r="I178" s="2581"/>
    </row>
    <row r="179" spans="1:9" ht="9.75" customHeight="1" thickBot="1">
      <c r="A179" s="4231" t="str">
        <f>+CONSOLIDADO!B103</f>
        <v>ACTIVIDADES PRELIMINARES</v>
      </c>
      <c r="B179" s="4232"/>
      <c r="C179" s="2549" t="s">
        <v>427</v>
      </c>
      <c r="D179" s="2535">
        <v>1</v>
      </c>
      <c r="E179" s="4233">
        <f>+CONSOLIDADO!F103</f>
        <v>24257376</v>
      </c>
      <c r="F179" s="4234"/>
      <c r="G179" s="2586"/>
      <c r="H179" s="2587"/>
      <c r="I179" s="2585">
        <f>+E179</f>
        <v>24257376</v>
      </c>
    </row>
    <row r="180" spans="1:9" ht="12.75" customHeight="1" thickBot="1">
      <c r="A180" s="4231" t="str">
        <f>+CONSOLIDADO!B105</f>
        <v>DEMOLICIONES</v>
      </c>
      <c r="B180" s="4232"/>
      <c r="C180" s="2549" t="s">
        <v>427</v>
      </c>
      <c r="D180" s="2535">
        <v>1</v>
      </c>
      <c r="E180" s="4233">
        <f>+CONSOLIDADO!F105</f>
        <v>114229441</v>
      </c>
      <c r="F180" s="4234"/>
      <c r="G180" s="2586"/>
      <c r="H180" s="2587"/>
      <c r="I180" s="2585">
        <f>+E180</f>
        <v>114229441</v>
      </c>
    </row>
    <row r="181" spans="1:9" ht="10.8" thickBot="1">
      <c r="A181" s="4231" t="str">
        <f>+CONSOLIDADO!B111</f>
        <v>EXCAVACIONES Y LLENOS</v>
      </c>
      <c r="B181" s="4232"/>
      <c r="C181" s="2549" t="s">
        <v>427</v>
      </c>
      <c r="D181" s="2535">
        <v>1</v>
      </c>
      <c r="E181" s="4233">
        <f>+CONSOLIDADO!F111</f>
        <v>1185268163</v>
      </c>
      <c r="F181" s="4234"/>
      <c r="G181" s="2586"/>
      <c r="H181" s="2587"/>
      <c r="I181" s="2585">
        <f>+E181</f>
        <v>1185268163</v>
      </c>
    </row>
    <row r="182" spans="1:9" ht="10.8" thickBot="1">
      <c r="A182" s="4231" t="str">
        <f>+CONSOLIDADO!B122</f>
        <v>OBRAS EN CONCRETO Y ACERO</v>
      </c>
      <c r="B182" s="4232"/>
      <c r="C182" s="2549" t="s">
        <v>427</v>
      </c>
      <c r="D182" s="2535">
        <v>1</v>
      </c>
      <c r="E182" s="4233">
        <f>+CONSOLIDADO!F122</f>
        <v>476464015</v>
      </c>
      <c r="F182" s="4234"/>
      <c r="G182" s="2586"/>
      <c r="H182" s="2587"/>
      <c r="I182" s="2585">
        <f>+E182</f>
        <v>476464015</v>
      </c>
    </row>
    <row r="183" spans="1:9" ht="10.5" customHeight="1" thickBot="1">
      <c r="A183" s="4231" t="str">
        <f>+CONSOLIDADO!B132</f>
        <v xml:space="preserve">INSTALACIÓN DE TUBERÍAS, ACCESORIOS Y EQUIPOS </v>
      </c>
      <c r="B183" s="4232"/>
      <c r="C183" s="2549" t="s">
        <v>427</v>
      </c>
      <c r="D183" s="2535">
        <v>1</v>
      </c>
      <c r="E183" s="4233">
        <f>+CONSOLIDADO!F132</f>
        <v>303994402</v>
      </c>
      <c r="F183" s="4234"/>
      <c r="G183" s="2586"/>
      <c r="H183" s="2587"/>
      <c r="I183" s="2585">
        <f>+E183</f>
        <v>303994402</v>
      </c>
    </row>
    <row r="184" spans="1:9" ht="12.6" thickBot="1">
      <c r="A184" s="2578" t="s">
        <v>5707</v>
      </c>
      <c r="B184" s="2579"/>
      <c r="C184" s="2580"/>
      <c r="D184" s="2580"/>
      <c r="E184" s="2580"/>
      <c r="F184" s="2580"/>
      <c r="G184" s="2580"/>
      <c r="H184" s="2580"/>
      <c r="I184" s="2581"/>
    </row>
    <row r="185" spans="1:9" s="2642" customFormat="1" ht="10.8" thickBot="1">
      <c r="A185" s="4245" t="str">
        <f>+CONSOLIDADO!B147</f>
        <v>PRELIMINARES</v>
      </c>
      <c r="B185" s="4246"/>
      <c r="C185" s="2637" t="s">
        <v>427</v>
      </c>
      <c r="D185" s="2638">
        <v>1</v>
      </c>
      <c r="E185" s="4247">
        <f>+CONSOLIDADO!F147</f>
        <v>436691</v>
      </c>
      <c r="F185" s="4248"/>
      <c r="G185" s="2639"/>
      <c r="H185" s="2640"/>
      <c r="I185" s="2641">
        <f>+E185</f>
        <v>436691</v>
      </c>
    </row>
    <row r="186" spans="1:9" s="2642" customFormat="1" ht="10.8" thickBot="1">
      <c r="A186" s="4245" t="str">
        <f>+CONSOLIDADO!B150</f>
        <v>DESMONTE Y DEMOLICIONES</v>
      </c>
      <c r="B186" s="4246"/>
      <c r="C186" s="2637" t="s">
        <v>427</v>
      </c>
      <c r="D186" s="2638">
        <v>1</v>
      </c>
      <c r="E186" s="4247">
        <f>+CONSOLIDADO!F150</f>
        <v>33797289</v>
      </c>
      <c r="F186" s="4248"/>
      <c r="G186" s="2639"/>
      <c r="H186" s="2640"/>
      <c r="I186" s="2641">
        <f t="shared" ref="I186:I192" si="3">+E186</f>
        <v>33797289</v>
      </c>
    </row>
    <row r="187" spans="1:9" ht="10.8" thickBot="1">
      <c r="A187" s="4231" t="str">
        <f>+CONSOLIDADO!B167</f>
        <v>RETIRO DE SOBRANTES</v>
      </c>
      <c r="B187" s="4232"/>
      <c r="C187" s="2549" t="s">
        <v>427</v>
      </c>
      <c r="D187" s="2535">
        <v>1</v>
      </c>
      <c r="E187" s="4233">
        <f>+CONSOLIDADO!F167</f>
        <v>1298787</v>
      </c>
      <c r="F187" s="4234"/>
      <c r="G187" s="2586"/>
      <c r="H187" s="2587"/>
      <c r="I187" s="2585">
        <f t="shared" si="3"/>
        <v>1298787</v>
      </c>
    </row>
    <row r="188" spans="1:9" s="2642" customFormat="1" ht="10.8" thickBot="1">
      <c r="A188" s="4245" t="str">
        <f>+CONSOLIDADO!B169</f>
        <v>PREFABRICADO</v>
      </c>
      <c r="B188" s="4246"/>
      <c r="C188" s="2637" t="s">
        <v>427</v>
      </c>
      <c r="D188" s="2638">
        <v>1</v>
      </c>
      <c r="E188" s="4247">
        <f>+CONSOLIDADO!F169</f>
        <v>200614</v>
      </c>
      <c r="F188" s="4248"/>
      <c r="G188" s="2639"/>
      <c r="H188" s="2640"/>
      <c r="I188" s="2641">
        <f t="shared" si="3"/>
        <v>200614</v>
      </c>
    </row>
    <row r="189" spans="1:9" ht="10.8" thickBot="1">
      <c r="A189" s="4231" t="str">
        <f>+CONSOLIDADO!B171</f>
        <v>PERFORACIONES Y ANCLAJES</v>
      </c>
      <c r="B189" s="4232"/>
      <c r="C189" s="2549" t="s">
        <v>427</v>
      </c>
      <c r="D189" s="2535">
        <v>1</v>
      </c>
      <c r="E189" s="4233">
        <f>+CONSOLIDADO!F171</f>
        <v>1339263</v>
      </c>
      <c r="F189" s="4234"/>
      <c r="G189" s="2586"/>
      <c r="H189" s="2587"/>
      <c r="I189" s="2585">
        <f t="shared" si="3"/>
        <v>1339263</v>
      </c>
    </row>
    <row r="190" spans="1:9" ht="10.8" thickBot="1">
      <c r="A190" s="4231" t="str">
        <f>+CONSOLIDADO!B173</f>
        <v>ACERO DE REFUERZO</v>
      </c>
      <c r="B190" s="4232"/>
      <c r="C190" s="2549" t="s">
        <v>427</v>
      </c>
      <c r="D190" s="2535">
        <v>1</v>
      </c>
      <c r="E190" s="4233">
        <f>+CONSOLIDADO!F173</f>
        <v>6749569</v>
      </c>
      <c r="F190" s="4234"/>
      <c r="G190" s="2586"/>
      <c r="H190" s="2587"/>
      <c r="I190" s="2585">
        <f t="shared" si="3"/>
        <v>6749569</v>
      </c>
    </row>
    <row r="191" spans="1:9" ht="10.8" thickBot="1">
      <c r="A191" s="4231" t="str">
        <f>+CONSOLIDADO!B175</f>
        <v>CONCRETOS</v>
      </c>
      <c r="B191" s="4232"/>
      <c r="C191" s="2549" t="s">
        <v>427</v>
      </c>
      <c r="D191" s="2535">
        <v>1</v>
      </c>
      <c r="E191" s="4233">
        <f>+CONSOLIDADO!F175</f>
        <v>76257178</v>
      </c>
      <c r="F191" s="4234"/>
      <c r="G191" s="2586"/>
      <c r="H191" s="2587"/>
      <c r="I191" s="2585">
        <f t="shared" si="3"/>
        <v>76257178</v>
      </c>
    </row>
    <row r="192" spans="1:9" s="2642" customFormat="1" ht="10.8" thickBot="1">
      <c r="A192" s="4245" t="str">
        <f>+CONSOLIDADO!B184</f>
        <v>CASETA DE BOMBEO</v>
      </c>
      <c r="B192" s="4246"/>
      <c r="C192" s="2637" t="s">
        <v>427</v>
      </c>
      <c r="D192" s="2638">
        <v>1</v>
      </c>
      <c r="E192" s="4247">
        <f>+CONSOLIDADO!F184</f>
        <v>24814200</v>
      </c>
      <c r="F192" s="4248"/>
      <c r="G192" s="2639"/>
      <c r="H192" s="2640"/>
      <c r="I192" s="2641">
        <f t="shared" si="3"/>
        <v>24814200</v>
      </c>
    </row>
    <row r="193" spans="1:9" ht="10.8" thickBot="1">
      <c r="A193" s="4231" t="str">
        <f>+CONSOLIDADO!B218</f>
        <v xml:space="preserve">INSTALACION DE ACCESORIOS </v>
      </c>
      <c r="B193" s="4232"/>
      <c r="C193" s="2549" t="s">
        <v>427</v>
      </c>
      <c r="D193" s="2535">
        <v>1</v>
      </c>
      <c r="E193" s="4233">
        <f>+CONSOLIDADO!F218</f>
        <v>45821728</v>
      </c>
      <c r="F193" s="4234"/>
      <c r="G193" s="2586"/>
      <c r="H193" s="2587"/>
      <c r="I193" s="2585">
        <f>+E193</f>
        <v>45821728</v>
      </c>
    </row>
    <row r="194" spans="1:9" ht="10.8" thickBot="1">
      <c r="A194" s="4231" t="str">
        <f>+CONSOLIDADO!B231</f>
        <v>INSTALACION OBRAS DE ORNAMENTACION</v>
      </c>
      <c r="B194" s="4232"/>
      <c r="C194" s="2549" t="s">
        <v>427</v>
      </c>
      <c r="D194" s="2535">
        <v>1</v>
      </c>
      <c r="E194" s="4233">
        <f>+CONSOLIDADO!F231</f>
        <v>1181403</v>
      </c>
      <c r="F194" s="4234"/>
      <c r="G194" s="2586"/>
      <c r="H194" s="2587"/>
      <c r="I194" s="2585">
        <f t="shared" ref="I194:I195" si="4">+E194</f>
        <v>1181403</v>
      </c>
    </row>
    <row r="195" spans="1:9" ht="10.8" thickBot="1">
      <c r="A195" s="4231" t="str">
        <f>+CONSOLIDADO!B235</f>
        <v>INSTALACION COMPUERTAS</v>
      </c>
      <c r="B195" s="4232"/>
      <c r="C195" s="2549" t="s">
        <v>427</v>
      </c>
      <c r="D195" s="2535">
        <v>1</v>
      </c>
      <c r="E195" s="4233">
        <f>+CONSOLIDADO!F235</f>
        <v>45851440</v>
      </c>
      <c r="F195" s="4234"/>
      <c r="G195" s="2586"/>
      <c r="H195" s="2587"/>
      <c r="I195" s="2585">
        <f t="shared" si="4"/>
        <v>45851440</v>
      </c>
    </row>
    <row r="196" spans="1:9" ht="10.8" thickBot="1">
      <c r="A196" s="4231" t="str">
        <f>+CONSOLIDADO!B239</f>
        <v>INSTALACION OBRAS COMPLEMENTARIAS</v>
      </c>
      <c r="B196" s="4232"/>
      <c r="C196" s="2549" t="s">
        <v>427</v>
      </c>
      <c r="D196" s="2535">
        <v>1</v>
      </c>
      <c r="E196" s="4233">
        <f>+CONSOLIDADO!F239</f>
        <v>113271880</v>
      </c>
      <c r="F196" s="4234"/>
      <c r="G196" s="2586"/>
      <c r="H196" s="2587"/>
      <c r="I196" s="2585">
        <f>+E196</f>
        <v>113271880</v>
      </c>
    </row>
    <row r="197" spans="1:9" ht="12.6" thickBot="1">
      <c r="A197" s="2578" t="s">
        <v>6196</v>
      </c>
      <c r="B197" s="2579"/>
      <c r="C197" s="2580"/>
      <c r="D197" s="2580"/>
      <c r="E197" s="2580"/>
      <c r="F197" s="2580"/>
      <c r="G197" s="2580"/>
      <c r="H197" s="2580"/>
      <c r="I197" s="2581"/>
    </row>
    <row r="198" spans="1:9" ht="12" customHeight="1" thickBot="1">
      <c r="A198" s="4231" t="str">
        <f>+CONSOLIDADO!B255</f>
        <v>PRELIMINARES</v>
      </c>
      <c r="B198" s="4232"/>
      <c r="C198" s="2549" t="s">
        <v>427</v>
      </c>
      <c r="D198" s="2535">
        <v>1</v>
      </c>
      <c r="E198" s="4233">
        <f>+CONSOLIDADO!F255</f>
        <v>5523852</v>
      </c>
      <c r="F198" s="4234"/>
      <c r="G198" s="2586"/>
      <c r="H198" s="2587"/>
      <c r="I198" s="2585">
        <f>+E198</f>
        <v>5523852</v>
      </c>
    </row>
    <row r="199" spans="1:9" ht="9.75" customHeight="1" thickBot="1">
      <c r="A199" s="4231" t="str">
        <f>+CONSOLIDADO!B258</f>
        <v>EXCAVACIONES</v>
      </c>
      <c r="B199" s="4232"/>
      <c r="C199" s="2549" t="s">
        <v>427</v>
      </c>
      <c r="D199" s="2535">
        <v>1</v>
      </c>
      <c r="E199" s="4233">
        <f>+CONSOLIDADO!F258</f>
        <v>29633480</v>
      </c>
      <c r="F199" s="4234"/>
      <c r="G199" s="2586"/>
      <c r="H199" s="2587"/>
      <c r="I199" s="2585">
        <f>+E199</f>
        <v>29633480</v>
      </c>
    </row>
    <row r="200" spans="1:9" ht="9.75" customHeight="1" thickBot="1">
      <c r="A200" s="4231" t="str">
        <f>+CONSOLIDADO!B261</f>
        <v>CONCRETOS</v>
      </c>
      <c r="B200" s="4232"/>
      <c r="C200" s="2549" t="s">
        <v>427</v>
      </c>
      <c r="D200" s="2535">
        <v>1</v>
      </c>
      <c r="E200" s="4233">
        <f>+CONSOLIDADO!F261</f>
        <v>496273675</v>
      </c>
      <c r="F200" s="4234"/>
      <c r="G200" s="2586"/>
      <c r="H200" s="2587"/>
      <c r="I200" s="2585">
        <f>+E200</f>
        <v>496273675</v>
      </c>
    </row>
    <row r="201" spans="1:9" ht="10.8" thickBot="1">
      <c r="A201" s="4231" t="str">
        <f>+CONSOLIDADO!B268</f>
        <v>INSTALACION DE ACCESORIOS Y EQUIPOS</v>
      </c>
      <c r="B201" s="4232"/>
      <c r="C201" s="2549" t="s">
        <v>427</v>
      </c>
      <c r="D201" s="2535">
        <v>1</v>
      </c>
      <c r="E201" s="4233">
        <f>+CONSOLIDADO!F268</f>
        <v>23949989</v>
      </c>
      <c r="F201" s="4234"/>
      <c r="G201" s="2586"/>
      <c r="H201" s="2587"/>
      <c r="I201" s="2585">
        <f>+E201</f>
        <v>23949989</v>
      </c>
    </row>
    <row r="202" spans="1:9" ht="10.8" thickBot="1">
      <c r="A202" s="4231" t="str">
        <f>+CONSOLIDADO!B337</f>
        <v>INSTALACIONES ELECTRICAS</v>
      </c>
      <c r="B202" s="4232"/>
      <c r="C202" s="2549" t="s">
        <v>427</v>
      </c>
      <c r="D202" s="2535">
        <v>1</v>
      </c>
      <c r="E202" s="4233">
        <f>+CONSOLIDADO!F337</f>
        <v>6177101</v>
      </c>
      <c r="F202" s="4234"/>
      <c r="G202" s="2586"/>
      <c r="H202" s="2587"/>
      <c r="I202" s="2585">
        <f>+E202</f>
        <v>6177101</v>
      </c>
    </row>
    <row r="203" spans="1:9" ht="12.6" thickBot="1">
      <c r="A203" s="2578" t="s">
        <v>1205</v>
      </c>
      <c r="B203" s="2579"/>
      <c r="C203" s="2580"/>
      <c r="D203" s="2580"/>
      <c r="E203" s="2580"/>
      <c r="F203" s="2580"/>
      <c r="G203" s="2580"/>
      <c r="H203" s="2580"/>
      <c r="I203" s="2581"/>
    </row>
    <row r="204" spans="1:9" s="2642" customFormat="1" ht="15.75" customHeight="1" thickBot="1">
      <c r="A204" s="4245" t="str">
        <f>+CONSOLIDADO!B348</f>
        <v>LINEA PRIMARIA DE MT</v>
      </c>
      <c r="B204" s="4246"/>
      <c r="C204" s="2637" t="s">
        <v>427</v>
      </c>
      <c r="D204" s="2638">
        <v>1</v>
      </c>
      <c r="E204" s="4247">
        <f>+CONSOLIDADO!F348</f>
        <v>6409110</v>
      </c>
      <c r="F204" s="4248"/>
      <c r="G204" s="2653"/>
      <c r="H204" s="2654"/>
      <c r="I204" s="2641">
        <f>+E204</f>
        <v>6409110</v>
      </c>
    </row>
    <row r="205" spans="1:9" ht="13.95" customHeight="1" thickBot="1">
      <c r="A205" s="4231" t="str">
        <f>+CONSOLIDADO!B355</f>
        <v>CAJA DE INSPECCION</v>
      </c>
      <c r="B205" s="4232"/>
      <c r="C205" s="2549" t="s">
        <v>427</v>
      </c>
      <c r="D205" s="2535">
        <v>1</v>
      </c>
      <c r="E205" s="4233">
        <f>+CONSOLIDADO!F355</f>
        <v>2471730</v>
      </c>
      <c r="F205" s="4234"/>
      <c r="G205" s="2586"/>
      <c r="H205" s="2587"/>
      <c r="I205" s="2585">
        <f t="shared" ref="I205:I216" si="5">+E205</f>
        <v>2471730</v>
      </c>
    </row>
    <row r="206" spans="1:9" ht="18" customHeight="1" thickBot="1">
      <c r="A206" s="4231" t="str">
        <f>+CONSOLIDADO!B357</f>
        <v>MALLA A TIERRA</v>
      </c>
      <c r="B206" s="4232"/>
      <c r="C206" s="2535" t="s">
        <v>427</v>
      </c>
      <c r="D206" s="2535">
        <v>1</v>
      </c>
      <c r="E206" s="4233">
        <f>+CONSOLIDADO!F357</f>
        <v>1168995</v>
      </c>
      <c r="F206" s="4234"/>
      <c r="G206" s="2586"/>
      <c r="H206" s="2587"/>
      <c r="I206" s="2585">
        <f t="shared" si="5"/>
        <v>1168995</v>
      </c>
    </row>
    <row r="207" spans="1:9" s="2504" customFormat="1" ht="35.25" customHeight="1" thickBot="1">
      <c r="A207" s="4231" t="str">
        <f>+CONSOLIDADO!B360</f>
        <v>ACOMETIDA SECUNDARIA DESDE TRANSFORMADOR A TRANSFERENCIA AUTOMATICA</v>
      </c>
      <c r="B207" s="4232"/>
      <c r="C207" s="2535" t="s">
        <v>427</v>
      </c>
      <c r="D207" s="2535">
        <v>1</v>
      </c>
      <c r="E207" s="4251">
        <f>+CONSOLIDADO!F360</f>
        <v>420899</v>
      </c>
      <c r="F207" s="4252"/>
      <c r="G207" s="2643"/>
      <c r="H207" s="2644"/>
      <c r="I207" s="2592">
        <f t="shared" si="5"/>
        <v>420899</v>
      </c>
    </row>
    <row r="208" spans="1:9" ht="27" customHeight="1" thickBot="1">
      <c r="A208" s="4231" t="str">
        <f>+CONSOLIDADO!B362</f>
        <v>TABLERO GENERAL CON TRANSFERENCIA AUTOMATICA Y TRANSFORMADOR SECO</v>
      </c>
      <c r="B208" s="4232"/>
      <c r="C208" s="2549" t="s">
        <v>427</v>
      </c>
      <c r="D208" s="2535">
        <v>1</v>
      </c>
      <c r="E208" s="4233">
        <f>+CONSOLIDADO!F362</f>
        <v>2455246</v>
      </c>
      <c r="F208" s="4234"/>
      <c r="G208" s="2586"/>
      <c r="H208" s="2587"/>
      <c r="I208" s="2585">
        <f t="shared" si="5"/>
        <v>2455246</v>
      </c>
    </row>
    <row r="209" spans="1:9" ht="36" customHeight="1" thickBot="1">
      <c r="A209" s="4231" t="str">
        <f>+CONSOLIDADO!B364</f>
        <v>ACOMETIDA SECUNDARIA DESDE  TRANSFERENCIA AUTOMATICA A CENTRO DE CONTROL DE MOTORES</v>
      </c>
      <c r="B209" s="4232"/>
      <c r="C209" s="2549" t="s">
        <v>427</v>
      </c>
      <c r="D209" s="2535">
        <v>1</v>
      </c>
      <c r="E209" s="4233">
        <f>+CONSOLIDADO!F364</f>
        <v>252540</v>
      </c>
      <c r="F209" s="4234"/>
      <c r="G209" s="2586"/>
      <c r="H209" s="2587"/>
      <c r="I209" s="2585">
        <f t="shared" si="5"/>
        <v>252540</v>
      </c>
    </row>
    <row r="210" spans="1:9" ht="35.25" customHeight="1" thickBot="1">
      <c r="A210" s="4231" t="str">
        <f>+CONSOLIDADO!B366</f>
        <v>ACOMETIDA SECUNDARIA DESDE  TRANSFERENCIA AUTOMATICA A PLANTA DE EMERGENCIA</v>
      </c>
      <c r="B210" s="4232"/>
      <c r="C210" s="2549" t="s">
        <v>427</v>
      </c>
      <c r="D210" s="2535">
        <v>1</v>
      </c>
      <c r="E210" s="4233">
        <f>+CONSOLIDADO!F366</f>
        <v>315674</v>
      </c>
      <c r="F210" s="4234"/>
      <c r="G210" s="2586"/>
      <c r="H210" s="2587"/>
      <c r="I210" s="2585">
        <f t="shared" si="5"/>
        <v>315674</v>
      </c>
    </row>
    <row r="211" spans="1:9" ht="24.75" customHeight="1" thickBot="1">
      <c r="A211" s="4231" t="str">
        <f>+CONSOLIDADO!B368</f>
        <v>PLANTA ELECTRICA</v>
      </c>
      <c r="B211" s="4232"/>
      <c r="C211" s="2549" t="s">
        <v>427</v>
      </c>
      <c r="D211" s="2535">
        <v>1</v>
      </c>
      <c r="E211" s="4233">
        <f>+CONSOLIDADO!F368</f>
        <v>2454496</v>
      </c>
      <c r="F211" s="4234"/>
      <c r="G211" s="2586"/>
      <c r="H211" s="2587"/>
      <c r="I211" s="2585">
        <f t="shared" si="5"/>
        <v>2454496</v>
      </c>
    </row>
    <row r="212" spans="1:9" s="2642" customFormat="1" ht="24.75" customHeight="1" thickBot="1">
      <c r="A212" s="4245" t="str">
        <f>+CONSOLIDADO!B370</f>
        <v>CENTRO CONTROL DE MOTORES</v>
      </c>
      <c r="B212" s="4246"/>
      <c r="C212" s="2637" t="s">
        <v>427</v>
      </c>
      <c r="D212" s="2638">
        <v>1</v>
      </c>
      <c r="E212" s="4247">
        <f>+CONSOLIDADO!F370</f>
        <v>2552713</v>
      </c>
      <c r="F212" s="4248"/>
      <c r="G212" s="2639"/>
      <c r="H212" s="2640"/>
      <c r="I212" s="2641">
        <f t="shared" si="5"/>
        <v>2552713</v>
      </c>
    </row>
    <row r="213" spans="1:9" ht="24.75" customHeight="1" thickBot="1">
      <c r="A213" s="4231" t="str">
        <f>+CONSOLIDADO!B372</f>
        <v>ALIMENTADORES  DESDE CCM A TABLEROS PARCIALES Y MOTORES</v>
      </c>
      <c r="B213" s="4232"/>
      <c r="C213" s="2549" t="s">
        <v>427</v>
      </c>
      <c r="D213" s="2535">
        <v>1</v>
      </c>
      <c r="E213" s="4233">
        <f>+CONSOLIDADO!F372</f>
        <v>2013302</v>
      </c>
      <c r="F213" s="4234"/>
      <c r="G213" s="2586"/>
      <c r="H213" s="2587"/>
      <c r="I213" s="2585">
        <f t="shared" si="5"/>
        <v>2013302</v>
      </c>
    </row>
    <row r="214" spans="1:9" ht="24.75" customHeight="1" thickBot="1">
      <c r="A214" s="4231" t="str">
        <f>+CONSOLIDADO!B376</f>
        <v>SALIDAS PARA ALUMBRADO Y TOMAS</v>
      </c>
      <c r="B214" s="4232"/>
      <c r="C214" s="2549" t="s">
        <v>427</v>
      </c>
      <c r="D214" s="2535">
        <v>1</v>
      </c>
      <c r="E214" s="4233">
        <f>+CONSOLIDADO!F376</f>
        <v>1312855</v>
      </c>
      <c r="F214" s="4234"/>
      <c r="G214" s="2586"/>
      <c r="H214" s="2587"/>
      <c r="I214" s="2585">
        <f t="shared" si="5"/>
        <v>1312855</v>
      </c>
    </row>
    <row r="215" spans="1:9" ht="24.75" customHeight="1" thickBot="1">
      <c r="A215" s="4231" t="str">
        <f>+CONSOLIDADO!B384</f>
        <v>ALUMBRADO PERIMETRAL</v>
      </c>
      <c r="B215" s="4232"/>
      <c r="C215" s="2549" t="s">
        <v>427</v>
      </c>
      <c r="D215" s="2535">
        <v>1</v>
      </c>
      <c r="E215" s="4233">
        <f>+CONSOLIDADO!F384</f>
        <v>5076046</v>
      </c>
      <c r="F215" s="4234"/>
      <c r="G215" s="2586"/>
      <c r="H215" s="2587"/>
      <c r="I215" s="2585">
        <f t="shared" si="5"/>
        <v>5076046</v>
      </c>
    </row>
    <row r="216" spans="1:9" s="2642" customFormat="1" ht="20.25" customHeight="1" thickBot="1">
      <c r="A216" s="4245" t="str">
        <f>+CONSOLIDADO!B388</f>
        <v>TELEMETRIA</v>
      </c>
      <c r="B216" s="4246"/>
      <c r="C216" s="2637" t="s">
        <v>427</v>
      </c>
      <c r="D216" s="2638">
        <v>1</v>
      </c>
      <c r="E216" s="4247">
        <f>+CONSOLIDADO!F388</f>
        <v>1604199</v>
      </c>
      <c r="F216" s="4248"/>
      <c r="G216" s="2639"/>
      <c r="H216" s="2640"/>
      <c r="I216" s="2641">
        <f t="shared" si="5"/>
        <v>1604199</v>
      </c>
    </row>
    <row r="217" spans="1:9" ht="27.75" customHeight="1" thickBot="1">
      <c r="A217" s="4231" t="str">
        <f>+CONSOLIDADO!B390</f>
        <v xml:space="preserve">LEGALIZACION DE PLANOS Y CERTIFICACION RETIE </v>
      </c>
      <c r="B217" s="4232"/>
      <c r="C217" s="2549" t="s">
        <v>427</v>
      </c>
      <c r="D217" s="2535">
        <v>1</v>
      </c>
      <c r="E217" s="4233">
        <f>+CONSOLIDADO!F390</f>
        <v>6810000</v>
      </c>
      <c r="F217" s="4234"/>
      <c r="G217" s="2586"/>
      <c r="H217" s="2587"/>
      <c r="I217" s="2585"/>
    </row>
    <row r="218" spans="1:9" ht="18" customHeight="1" thickBot="1">
      <c r="A218" s="4231" t="str">
        <f>+CONSOLIDADO!B392</f>
        <v>EQUIPOS DE BOMBEO</v>
      </c>
      <c r="B218" s="4232"/>
      <c r="C218" s="2549" t="s">
        <v>427</v>
      </c>
      <c r="D218" s="2535">
        <v>1</v>
      </c>
      <c r="E218" s="4233">
        <f>+CONSOLIDADO!F392</f>
        <v>3780000</v>
      </c>
      <c r="F218" s="4234"/>
      <c r="G218" s="2586"/>
      <c r="H218" s="2587"/>
      <c r="I218" s="2585">
        <f>+E217</f>
        <v>6810000</v>
      </c>
    </row>
    <row r="219" spans="1:9" ht="12.6" thickBot="1">
      <c r="A219" s="2578" t="s">
        <v>5749</v>
      </c>
      <c r="B219" s="2579"/>
      <c r="C219" s="2580"/>
      <c r="D219" s="2580"/>
      <c r="E219" s="2580"/>
      <c r="F219" s="2580"/>
      <c r="G219" s="2580"/>
      <c r="H219" s="2580"/>
      <c r="I219" s="2581"/>
    </row>
    <row r="220" spans="1:9" s="2504" customFormat="1" ht="21.75" customHeight="1" thickBot="1">
      <c r="A220" s="4231" t="str">
        <f>+CONSOLIDADO!B397</f>
        <v xml:space="preserve">INSTALACIÓN DE TUBERÍAS, ACCESORIOS Y EQUIPOS </v>
      </c>
      <c r="B220" s="4232"/>
      <c r="C220" s="2535" t="s">
        <v>427</v>
      </c>
      <c r="D220" s="2535">
        <v>1</v>
      </c>
      <c r="E220" s="4251">
        <f>+CONSOLIDADO!F397</f>
        <v>4222464</v>
      </c>
      <c r="F220" s="4252"/>
      <c r="G220" s="2645"/>
      <c r="H220" s="2644"/>
      <c r="I220" s="2592">
        <f>+E220</f>
        <v>4222464</v>
      </c>
    </row>
    <row r="221" spans="1:9" ht="12.6" thickBot="1">
      <c r="A221" s="2578" t="s">
        <v>5708</v>
      </c>
      <c r="B221" s="2579"/>
      <c r="C221" s="2580"/>
      <c r="D221" s="2580"/>
      <c r="E221" s="2580"/>
      <c r="F221" s="2580"/>
      <c r="G221" s="2580"/>
      <c r="H221" s="2580"/>
      <c r="I221" s="2581"/>
    </row>
    <row r="222" spans="1:9" ht="10.8" thickBot="1">
      <c r="A222" s="4231" t="str">
        <f>+CONSOLIDADO!B420</f>
        <v>ACTIVIDADES PRELIMINARES</v>
      </c>
      <c r="B222" s="4232"/>
      <c r="C222" s="2549" t="s">
        <v>427</v>
      </c>
      <c r="D222" s="2535">
        <v>1</v>
      </c>
      <c r="E222" s="4233">
        <f>+CONSOLIDADO!F420</f>
        <v>24723110</v>
      </c>
      <c r="F222" s="4234"/>
      <c r="G222" s="2586"/>
      <c r="H222" s="2587"/>
      <c r="I222" s="2585">
        <f t="shared" ref="I222:I227" si="6">+E222</f>
        <v>24723110</v>
      </c>
    </row>
    <row r="223" spans="1:9" ht="9.75" customHeight="1" thickBot="1">
      <c r="A223" s="4231" t="str">
        <f>+CONSOLIDADO!B422</f>
        <v>DEMOLICIONES</v>
      </c>
      <c r="B223" s="4232"/>
      <c r="C223" s="2549" t="s">
        <v>427</v>
      </c>
      <c r="D223" s="2535">
        <v>1</v>
      </c>
      <c r="E223" s="4233">
        <f>+CONSOLIDADO!F422</f>
        <v>25524375</v>
      </c>
      <c r="F223" s="4234"/>
      <c r="G223" s="2586"/>
      <c r="H223" s="2587"/>
      <c r="I223" s="2585">
        <f t="shared" si="6"/>
        <v>25524375</v>
      </c>
    </row>
    <row r="224" spans="1:9" ht="10.8" thickBot="1">
      <c r="A224" s="4231" t="str">
        <f>+CONSOLIDADO!B429</f>
        <v>EXCAVACIONES Y LLENOS</v>
      </c>
      <c r="B224" s="4232"/>
      <c r="C224" s="2549" t="s">
        <v>427</v>
      </c>
      <c r="D224" s="2535">
        <v>1</v>
      </c>
      <c r="E224" s="4233">
        <f>+CONSOLIDADO!F429</f>
        <v>520938851</v>
      </c>
      <c r="F224" s="4234"/>
      <c r="G224" s="2586"/>
      <c r="H224" s="2587"/>
      <c r="I224" s="2585">
        <f t="shared" si="6"/>
        <v>520938851</v>
      </c>
    </row>
    <row r="225" spans="1:9" ht="18.75" customHeight="1" thickBot="1">
      <c r="A225" s="4231" t="str">
        <f>+CONSOLIDADO!B438</f>
        <v>OBRAS EN CONCRETO Y ACERO</v>
      </c>
      <c r="B225" s="4232"/>
      <c r="C225" s="2549" t="s">
        <v>427</v>
      </c>
      <c r="D225" s="2535">
        <v>1</v>
      </c>
      <c r="E225" s="4233">
        <f>+CONSOLIDADO!F438</f>
        <v>197103050</v>
      </c>
      <c r="F225" s="4234"/>
      <c r="G225" s="2586"/>
      <c r="H225" s="2587"/>
      <c r="I225" s="2585">
        <f t="shared" si="6"/>
        <v>197103050</v>
      </c>
    </row>
    <row r="226" spans="1:9" ht="13.5" customHeight="1" thickBot="1">
      <c r="A226" s="4231" t="str">
        <f>+CONSOLIDADO!B446</f>
        <v>OBRAS COMPLEMENTARIAS</v>
      </c>
      <c r="B226" s="4232"/>
      <c r="C226" s="2549" t="s">
        <v>427</v>
      </c>
      <c r="D226" s="2535">
        <v>1</v>
      </c>
      <c r="E226" s="4233">
        <f>+CONSOLIDADO!F446</f>
        <v>240774300</v>
      </c>
      <c r="F226" s="4234"/>
      <c r="G226" s="2586"/>
      <c r="H226" s="2587"/>
      <c r="I226" s="2585">
        <f t="shared" si="6"/>
        <v>240774300</v>
      </c>
    </row>
    <row r="227" spans="1:9" ht="18.75" customHeight="1" thickBot="1">
      <c r="A227" s="4231" t="str">
        <f>+CONSOLIDADO!B448</f>
        <v xml:space="preserve">INSTALACIÓN DE TUBERÍAS, ACCESORIOS Y EQUIPOS </v>
      </c>
      <c r="B227" s="4232"/>
      <c r="C227" s="2549" t="s">
        <v>427</v>
      </c>
      <c r="D227" s="2535">
        <v>1</v>
      </c>
      <c r="E227" s="4233" t="e">
        <f>+CONSOLIDADO!F448</f>
        <v>#REF!</v>
      </c>
      <c r="F227" s="4234"/>
      <c r="G227" s="2586"/>
      <c r="H227" s="2587"/>
      <c r="I227" s="2585" t="e">
        <f t="shared" si="6"/>
        <v>#REF!</v>
      </c>
    </row>
    <row r="228" spans="1:9" ht="12" customHeight="1" thickBot="1">
      <c r="A228" s="2578" t="s">
        <v>6219</v>
      </c>
      <c r="B228" s="2579"/>
      <c r="C228" s="2580"/>
      <c r="D228" s="2580"/>
      <c r="E228" s="2580"/>
      <c r="F228" s="2580"/>
      <c r="G228" s="2580"/>
      <c r="H228" s="2580"/>
      <c r="I228" s="2581"/>
    </row>
    <row r="229" spans="1:9" ht="12.75" customHeight="1" thickBot="1">
      <c r="A229" s="4231" t="str">
        <f>+CONSOLIDADO!B466</f>
        <v>PRELIMINARES</v>
      </c>
      <c r="B229" s="4232"/>
      <c r="C229" s="2549" t="s">
        <v>427</v>
      </c>
      <c r="D229" s="2535">
        <v>1</v>
      </c>
      <c r="E229" s="4233">
        <f>+CONSOLIDADO!F466</f>
        <v>4031477</v>
      </c>
      <c r="F229" s="4234"/>
      <c r="G229" s="2586"/>
      <c r="H229" s="2587"/>
      <c r="I229" s="2585">
        <f t="shared" ref="I229:I235" si="7">+E229</f>
        <v>4031477</v>
      </c>
    </row>
    <row r="230" spans="1:9" ht="20.25" customHeight="1" thickBot="1">
      <c r="A230" s="4231" t="str">
        <f>+CONSOLIDADO!B472</f>
        <v>EXCAVACIÓN EN MATERIAL COMÚN</v>
      </c>
      <c r="B230" s="4232"/>
      <c r="C230" s="2549" t="s">
        <v>427</v>
      </c>
      <c r="D230" s="2535">
        <v>1</v>
      </c>
      <c r="E230" s="4233">
        <f>+CONSOLIDADO!F472</f>
        <v>40703892</v>
      </c>
      <c r="F230" s="4234"/>
      <c r="G230" s="2586"/>
      <c r="H230" s="2587"/>
      <c r="I230" s="2585">
        <f t="shared" si="7"/>
        <v>40703892</v>
      </c>
    </row>
    <row r="231" spans="1:9" ht="19.5" customHeight="1" thickBot="1">
      <c r="A231" s="4231" t="str">
        <f>+CONSOLIDADO!B476</f>
        <v>ENTIBADOS DE MADERA</v>
      </c>
      <c r="B231" s="4232"/>
      <c r="C231" s="2549" t="s">
        <v>427</v>
      </c>
      <c r="D231" s="2535">
        <v>1</v>
      </c>
      <c r="E231" s="4233">
        <f>+CONSOLIDADO!F476</f>
        <v>9489050</v>
      </c>
      <c r="F231" s="4234"/>
      <c r="G231" s="2586"/>
      <c r="H231" s="2587"/>
      <c r="I231" s="2585">
        <f t="shared" si="7"/>
        <v>9489050</v>
      </c>
    </row>
    <row r="232" spans="1:9" ht="12.75" customHeight="1" thickBot="1">
      <c r="A232" s="4231" t="str">
        <f>+CONSOLIDADO!B479</f>
        <v xml:space="preserve">LLENOS </v>
      </c>
      <c r="B232" s="4232"/>
      <c r="C232" s="2549" t="s">
        <v>427</v>
      </c>
      <c r="D232" s="2535">
        <v>1</v>
      </c>
      <c r="E232" s="4233">
        <f>+CONSOLIDADO!F479</f>
        <v>12126528</v>
      </c>
      <c r="F232" s="4234"/>
      <c r="G232" s="2586"/>
      <c r="H232" s="2587"/>
      <c r="I232" s="2585">
        <f t="shared" si="7"/>
        <v>12126528</v>
      </c>
    </row>
    <row r="233" spans="1:9" ht="12.75" customHeight="1" thickBot="1">
      <c r="A233" s="4231" t="str">
        <f>+CONSOLIDADO!B483</f>
        <v>BOTADA DE SOBRANTES</v>
      </c>
      <c r="B233" s="4232"/>
      <c r="C233" s="2549" t="s">
        <v>427</v>
      </c>
      <c r="D233" s="2535">
        <v>1</v>
      </c>
      <c r="E233" s="4233">
        <f>+CONSOLIDADO!F483</f>
        <v>70333900</v>
      </c>
      <c r="F233" s="4234"/>
      <c r="G233" s="2586"/>
      <c r="H233" s="2587"/>
      <c r="I233" s="2585">
        <f t="shared" si="7"/>
        <v>70333900</v>
      </c>
    </row>
    <row r="234" spans="1:9" ht="21.75" customHeight="1" thickBot="1">
      <c r="A234" s="4231" t="str">
        <f>+CONSOLIDADO!B485</f>
        <v>CONCRETOS</v>
      </c>
      <c r="B234" s="4232"/>
      <c r="C234" s="2549" t="s">
        <v>427</v>
      </c>
      <c r="D234" s="2535">
        <v>1</v>
      </c>
      <c r="E234" s="4233">
        <f>+CONSOLIDADO!F485</f>
        <v>300381057</v>
      </c>
      <c r="F234" s="4234"/>
      <c r="G234" s="2586"/>
      <c r="H234" s="2587"/>
      <c r="I234" s="2585">
        <f t="shared" si="7"/>
        <v>300381057</v>
      </c>
    </row>
    <row r="235" spans="1:9" ht="21.75" customHeight="1" thickBot="1">
      <c r="A235" s="4231" t="str">
        <f>+CONSOLIDADO!B493</f>
        <v>ACERO DE REFUERZO</v>
      </c>
      <c r="B235" s="4232"/>
      <c r="C235" s="2549"/>
      <c r="D235" s="2535"/>
      <c r="E235" s="4233">
        <f>+CONSOLIDADO!F493</f>
        <v>111694591</v>
      </c>
      <c r="F235" s="4234"/>
      <c r="G235" s="2586"/>
      <c r="H235" s="2587"/>
      <c r="I235" s="2585">
        <f t="shared" si="7"/>
        <v>111694591</v>
      </c>
    </row>
    <row r="236" spans="1:9" ht="12" customHeight="1" thickBot="1">
      <c r="A236" s="4231" t="str">
        <f>+CONSOLIDADO!B495</f>
        <v>JUNTAS DE CONSTRUCCIÓN</v>
      </c>
      <c r="B236" s="4232"/>
      <c r="C236" s="2549" t="s">
        <v>427</v>
      </c>
      <c r="D236" s="2535">
        <v>1</v>
      </c>
      <c r="E236" s="4233">
        <f>+CONSOLIDADO!F495</f>
        <v>18551413</v>
      </c>
      <c r="F236" s="4234"/>
      <c r="G236" s="2586"/>
      <c r="H236" s="2587"/>
      <c r="I236" s="2585">
        <f>+E236</f>
        <v>18551413</v>
      </c>
    </row>
    <row r="237" spans="1:9" ht="12" customHeight="1" thickBot="1">
      <c r="A237" s="4231" t="str">
        <f>+CONSOLIDADO!B497</f>
        <v>COLOCACIÓN DE FILTROS PERIMETRAL</v>
      </c>
      <c r="B237" s="4232"/>
      <c r="C237" s="2549" t="s">
        <v>427</v>
      </c>
      <c r="D237" s="2535">
        <v>1</v>
      </c>
      <c r="E237" s="4233">
        <f>+CONSOLIDADO!F497</f>
        <v>19945908</v>
      </c>
      <c r="F237" s="4234"/>
      <c r="G237" s="2586"/>
      <c r="H237" s="2587"/>
      <c r="I237" s="2585">
        <f>+E237</f>
        <v>19945908</v>
      </c>
    </row>
    <row r="238" spans="1:9" ht="30" customHeight="1" thickBot="1">
      <c r="A238" s="4231" t="str">
        <f>+CONSOLIDADO!B499</f>
        <v>MH PARA DESAGUE</v>
      </c>
      <c r="B238" s="4232"/>
      <c r="C238" s="2549" t="s">
        <v>427</v>
      </c>
      <c r="D238" s="2535">
        <v>1</v>
      </c>
      <c r="E238" s="4233">
        <f>+CONSOLIDADO!F499</f>
        <v>2438618</v>
      </c>
      <c r="F238" s="4234"/>
      <c r="G238" s="2586"/>
      <c r="H238" s="2587"/>
      <c r="I238" s="2585">
        <f>+E238</f>
        <v>2438618</v>
      </c>
    </row>
    <row r="239" spans="1:9" ht="12" customHeight="1" thickBot="1">
      <c r="A239" s="4231" t="s">
        <v>6205</v>
      </c>
      <c r="B239" s="4232"/>
      <c r="C239" s="2549"/>
      <c r="D239" s="2535"/>
      <c r="E239" s="4233"/>
      <c r="F239" s="4234"/>
      <c r="G239" s="2586"/>
      <c r="H239" s="2587"/>
      <c r="I239" s="2585"/>
    </row>
    <row r="240" spans="1:9" ht="21.75" customHeight="1" thickBot="1">
      <c r="A240" s="4231" t="str">
        <f>+CONSOLIDADO!B502</f>
        <v>INSTALACIÓN DE TUBERÍA</v>
      </c>
      <c r="B240" s="4232"/>
      <c r="C240" s="2549" t="s">
        <v>427</v>
      </c>
      <c r="D240" s="2535">
        <v>1</v>
      </c>
      <c r="E240" s="4233">
        <f>+CONSOLIDADO!F502</f>
        <v>344610</v>
      </c>
      <c r="F240" s="4234"/>
      <c r="G240" s="2586"/>
      <c r="H240" s="2587"/>
      <c r="I240" s="2585">
        <f>+E240</f>
        <v>344610</v>
      </c>
    </row>
    <row r="241" spans="1:9" ht="12" customHeight="1" thickBot="1">
      <c r="A241" s="4231" t="str">
        <f>+CONSOLIDADO!B504</f>
        <v>INSTALACION DE ACCESORIOS</v>
      </c>
      <c r="B241" s="4232"/>
      <c r="C241" s="2549" t="s">
        <v>427</v>
      </c>
      <c r="D241" s="2535">
        <v>1</v>
      </c>
      <c r="E241" s="4233">
        <f>+CONSOLIDADO!F504</f>
        <v>708558</v>
      </c>
      <c r="F241" s="4234"/>
      <c r="G241" s="2586"/>
      <c r="H241" s="2587"/>
      <c r="I241" s="2585">
        <f>+E241</f>
        <v>708558</v>
      </c>
    </row>
    <row r="242" spans="1:9" ht="10.8" thickBot="1">
      <c r="A242" s="4231" t="str">
        <f>+CONSOLIDADO!B507</f>
        <v>OBRAS COMPLEMENTARIAS</v>
      </c>
      <c r="B242" s="4232"/>
      <c r="C242" s="2549" t="s">
        <v>427</v>
      </c>
      <c r="D242" s="2535">
        <v>1</v>
      </c>
      <c r="E242" s="4233">
        <f>+CONSOLIDADO!F507</f>
        <v>1041507</v>
      </c>
      <c r="F242" s="4234"/>
      <c r="G242" s="2586"/>
      <c r="H242" s="2587"/>
      <c r="I242" s="2585">
        <f>+E242</f>
        <v>1041507</v>
      </c>
    </row>
    <row r="243" spans="1:9" ht="12" customHeight="1" thickBot="1">
      <c r="A243" s="2578" t="s">
        <v>5709</v>
      </c>
      <c r="B243" s="2579"/>
      <c r="C243" s="2580"/>
      <c r="D243" s="2580"/>
      <c r="E243" s="2580"/>
      <c r="F243" s="2580"/>
      <c r="G243" s="2580"/>
      <c r="H243" s="2580"/>
      <c r="I243" s="2581"/>
    </row>
    <row r="244" spans="1:9" s="2504" customFormat="1" ht="18.75" customHeight="1" thickBot="1">
      <c r="A244" s="4231" t="str">
        <f>+CONSOLIDADO!B512</f>
        <v xml:space="preserve">INSTALACIÓN DE TUBERÍAS, ACCESORIOS Y EQUIPOS </v>
      </c>
      <c r="B244" s="4232"/>
      <c r="C244" s="2535" t="s">
        <v>427</v>
      </c>
      <c r="D244" s="2535">
        <v>1</v>
      </c>
      <c r="E244" s="4251">
        <f>+CONSOLIDADO!F512</f>
        <v>20845315</v>
      </c>
      <c r="F244" s="4252"/>
      <c r="G244" s="2643"/>
      <c r="H244" s="2644"/>
      <c r="I244" s="2592">
        <f>+E244</f>
        <v>20845315</v>
      </c>
    </row>
    <row r="245" spans="1:9" ht="12" customHeight="1" thickBot="1">
      <c r="A245" s="2578" t="s">
        <v>6221</v>
      </c>
      <c r="B245" s="2579"/>
      <c r="C245" s="2580"/>
      <c r="D245" s="2580"/>
      <c r="E245" s="2580"/>
      <c r="F245" s="2580"/>
      <c r="G245" s="2580"/>
      <c r="H245" s="2580"/>
      <c r="I245" s="2581"/>
    </row>
    <row r="246" spans="1:9" ht="12.75" customHeight="1" thickBot="1">
      <c r="A246" s="4231" t="str">
        <f>+CONSOLIDADO!B538</f>
        <v>ACTIVIDADES PRELIMINARES</v>
      </c>
      <c r="B246" s="4232"/>
      <c r="C246" s="2549" t="s">
        <v>427</v>
      </c>
      <c r="D246" s="2535">
        <v>1</v>
      </c>
      <c r="E246" s="4233">
        <f>+CONSOLIDADO!F538</f>
        <v>17810182</v>
      </c>
      <c r="F246" s="4234"/>
      <c r="G246" s="2586"/>
      <c r="H246" s="2587"/>
      <c r="I246" s="2585">
        <f t="shared" ref="I246:I258" si="8">+E246</f>
        <v>17810182</v>
      </c>
    </row>
    <row r="247" spans="1:9" ht="20.25" customHeight="1" thickBot="1">
      <c r="A247" s="4231" t="str">
        <f>+CONSOLIDADO!B540</f>
        <v>DEMOLICIONES</v>
      </c>
      <c r="B247" s="4232"/>
      <c r="C247" s="2549" t="s">
        <v>427</v>
      </c>
      <c r="D247" s="2535">
        <v>1</v>
      </c>
      <c r="E247" s="4233">
        <f>+CONSOLIDADO!F540</f>
        <v>12435278</v>
      </c>
      <c r="F247" s="4234"/>
      <c r="G247" s="2586"/>
      <c r="H247" s="2587"/>
      <c r="I247" s="2585">
        <f t="shared" si="8"/>
        <v>12435278</v>
      </c>
    </row>
    <row r="248" spans="1:9" ht="19.5" customHeight="1" thickBot="1">
      <c r="A248" s="4231" t="str">
        <f>+CONSOLIDADO!B546</f>
        <v>EXCAVACIONES Y LLENOS</v>
      </c>
      <c r="B248" s="4232"/>
      <c r="C248" s="2549" t="s">
        <v>427</v>
      </c>
      <c r="D248" s="2535">
        <v>1</v>
      </c>
      <c r="E248" s="4233">
        <f>+CONSOLIDADO!F546</f>
        <v>434179792</v>
      </c>
      <c r="F248" s="4234"/>
      <c r="G248" s="2586"/>
      <c r="H248" s="2587"/>
      <c r="I248" s="2585">
        <f t="shared" si="8"/>
        <v>434179792</v>
      </c>
    </row>
    <row r="249" spans="1:9" s="2642" customFormat="1" ht="12.75" customHeight="1" thickBot="1">
      <c r="A249" s="4245" t="str">
        <f>+CONSOLIDADO!B554</f>
        <v>OBRAS EN CONCRETO Y ACERO</v>
      </c>
      <c r="B249" s="4246"/>
      <c r="C249" s="2637" t="s">
        <v>427</v>
      </c>
      <c r="D249" s="2638">
        <v>1</v>
      </c>
      <c r="E249" s="4247">
        <f>+CONSOLIDADO!F554</f>
        <v>257705176</v>
      </c>
      <c r="F249" s="4248"/>
      <c r="G249" s="2639"/>
      <c r="H249" s="2640"/>
      <c r="I249" s="2641">
        <f t="shared" si="8"/>
        <v>257705176</v>
      </c>
    </row>
    <row r="250" spans="1:9" ht="12.75" customHeight="1" thickBot="1">
      <c r="A250" s="4231" t="str">
        <f>+CONSOLIDADO!B561</f>
        <v>OBRAS COMPLEMENTARIAS</v>
      </c>
      <c r="B250" s="4232"/>
      <c r="C250" s="2549" t="s">
        <v>427</v>
      </c>
      <c r="D250" s="2535">
        <v>1</v>
      </c>
      <c r="E250" s="4233">
        <f>+CONSOLIDADO!F561</f>
        <v>129647700</v>
      </c>
      <c r="F250" s="4234"/>
      <c r="G250" s="2586"/>
      <c r="H250" s="2587"/>
      <c r="I250" s="2585">
        <f t="shared" si="8"/>
        <v>129647700</v>
      </c>
    </row>
    <row r="251" spans="1:9" ht="21.75" customHeight="1" thickBot="1">
      <c r="A251" s="4231" t="str">
        <f>+CONSOLIDADO!B563</f>
        <v xml:space="preserve">INSTALACIÓN DE TUBERÍAS, ACCESORIOS Y EQUIPOS </v>
      </c>
      <c r="B251" s="4232"/>
      <c r="C251" s="2549" t="s">
        <v>427</v>
      </c>
      <c r="D251" s="2535">
        <v>1</v>
      </c>
      <c r="E251" s="4233">
        <f>+CONSOLIDADO!F563</f>
        <v>83586327</v>
      </c>
      <c r="F251" s="4234"/>
      <c r="G251" s="2586"/>
      <c r="H251" s="2587"/>
      <c r="I251" s="2585">
        <f t="shared" si="8"/>
        <v>83586327</v>
      </c>
    </row>
    <row r="252" spans="1:9" ht="17.399999999999999" customHeight="1" thickBot="1">
      <c r="A252" s="2588"/>
      <c r="B252" s="2589"/>
      <c r="C252" s="2549"/>
      <c r="D252" s="2590"/>
      <c r="E252" s="4233"/>
      <c r="F252" s="4234"/>
      <c r="G252" s="2586"/>
      <c r="H252" s="2587"/>
      <c r="I252" s="2585">
        <f t="shared" si="8"/>
        <v>0</v>
      </c>
    </row>
    <row r="253" spans="1:9" ht="21" customHeight="1" thickBot="1">
      <c r="A253" s="4257" t="s">
        <v>8465</v>
      </c>
      <c r="B253" s="4258"/>
      <c r="C253" s="2591"/>
      <c r="D253" s="2591"/>
      <c r="E253" s="4259" t="e">
        <f>+SUM(E161:F252)</f>
        <v>#REF!</v>
      </c>
      <c r="F253" s="4260"/>
      <c r="G253" s="2586"/>
      <c r="H253" s="2646"/>
      <c r="I253" s="2592" t="e">
        <f t="shared" si="8"/>
        <v>#REF!</v>
      </c>
    </row>
    <row r="254" spans="1:9" ht="21" customHeight="1" thickBot="1">
      <c r="A254" s="4253" t="s">
        <v>139</v>
      </c>
      <c r="B254" s="4254"/>
      <c r="C254" s="2591" t="s">
        <v>283</v>
      </c>
      <c r="D254" s="2648">
        <f>+AIU</f>
        <v>0.29572249606750989</v>
      </c>
      <c r="E254" s="4255">
        <f>+'RESUMEN 2'!H12</f>
        <v>1724083693</v>
      </c>
      <c r="F254" s="4256"/>
      <c r="G254" s="2586"/>
      <c r="H254" s="2646"/>
      <c r="I254" s="2592">
        <f t="shared" si="8"/>
        <v>1724083693</v>
      </c>
    </row>
    <row r="255" spans="1:9" ht="21" customHeight="1" thickBot="1">
      <c r="A255" s="4253" t="s">
        <v>8466</v>
      </c>
      <c r="B255" s="4254"/>
      <c r="C255" s="2591"/>
      <c r="D255" s="2593"/>
      <c r="E255" s="4255" t="e">
        <f>+SUM(E253:F254)</f>
        <v>#REF!</v>
      </c>
      <c r="F255" s="4256"/>
      <c r="G255" s="2586"/>
      <c r="I255" s="2592" t="e">
        <f t="shared" si="8"/>
        <v>#REF!</v>
      </c>
    </row>
    <row r="256" spans="1:9" ht="21" customHeight="1" thickBot="1">
      <c r="A256" s="4253" t="s">
        <v>4283</v>
      </c>
      <c r="B256" s="4254"/>
      <c r="C256" s="2591" t="s">
        <v>283</v>
      </c>
      <c r="D256" s="2647">
        <f>+'PRESUPUESTO-INTERV'!J50</f>
        <v>0.16163254000625432</v>
      </c>
      <c r="E256" s="4255">
        <f>+'RESUMEN 2'!J12</f>
        <v>1220997510</v>
      </c>
      <c r="F256" s="4256"/>
      <c r="G256" s="2586"/>
      <c r="H256" s="2646"/>
      <c r="I256" s="2592">
        <f t="shared" si="8"/>
        <v>1220997510</v>
      </c>
    </row>
    <row r="257" spans="1:9" ht="21" customHeight="1" thickBot="1">
      <c r="A257" s="4253" t="s">
        <v>8467</v>
      </c>
      <c r="B257" s="4254"/>
      <c r="C257" s="2591" t="s">
        <v>283</v>
      </c>
      <c r="D257" s="2594">
        <v>2</v>
      </c>
      <c r="E257" s="4255">
        <f>+'RESUMEN 2'!K12</f>
        <v>151083131</v>
      </c>
      <c r="F257" s="4256"/>
      <c r="G257" s="2586"/>
      <c r="H257" s="2646"/>
      <c r="I257" s="2592">
        <f t="shared" si="8"/>
        <v>151083131</v>
      </c>
    </row>
    <row r="258" spans="1:9" ht="21" customHeight="1" thickBot="1">
      <c r="A258" s="4253" t="s">
        <v>8468</v>
      </c>
      <c r="B258" s="4254"/>
      <c r="C258" s="2591"/>
      <c r="D258" s="2591"/>
      <c r="E258" s="4263" t="e">
        <f>ROUNDUP(+SUM(E255:F257),0)</f>
        <v>#REF!</v>
      </c>
      <c r="F258" s="4264"/>
      <c r="G258" s="2586"/>
      <c r="H258" s="2646"/>
      <c r="I258" s="2595" t="e">
        <f t="shared" si="8"/>
        <v>#REF!</v>
      </c>
    </row>
    <row r="259" spans="1:9" ht="21" customHeight="1" thickBot="1">
      <c r="A259" s="2596"/>
      <c r="B259" s="2596"/>
      <c r="C259" s="2597"/>
      <c r="D259" s="2597"/>
      <c r="E259" s="2598"/>
      <c r="F259" s="2598"/>
      <c r="G259" s="2599"/>
      <c r="H259" s="2599"/>
      <c r="I259" s="2600"/>
    </row>
    <row r="260" spans="1:9" ht="16.5" customHeight="1" thickBot="1">
      <c r="A260" s="4230" t="s">
        <v>4193</v>
      </c>
      <c r="B260" s="4230"/>
      <c r="C260" s="4230"/>
      <c r="D260" s="4230"/>
      <c r="E260" s="4230"/>
      <c r="F260" s="4230"/>
      <c r="G260" s="4230"/>
      <c r="H260" s="4230"/>
      <c r="I260" s="4230"/>
    </row>
    <row r="261" spans="1:9" ht="12.6" thickBot="1">
      <c r="A261" s="2578" t="s">
        <v>5737</v>
      </c>
      <c r="B261" s="2579"/>
      <c r="C261" s="2580"/>
      <c r="D261" s="2580"/>
      <c r="E261" s="2580"/>
      <c r="F261" s="2580"/>
      <c r="G261" s="2580"/>
      <c r="H261" s="2580"/>
      <c r="I261" s="2581"/>
    </row>
    <row r="262" spans="1:9" ht="15.75" customHeight="1" thickBot="1">
      <c r="A262" s="4231" t="str">
        <f>+CONSOLIDADO!B587</f>
        <v>LINEA PRIMARIA DE MT</v>
      </c>
      <c r="B262" s="4232"/>
      <c r="C262" s="2535" t="s">
        <v>427</v>
      </c>
      <c r="D262" s="2535">
        <v>1</v>
      </c>
      <c r="E262" s="4251"/>
      <c r="F262" s="4252"/>
      <c r="G262" s="4261">
        <f>+CONSOLIDADO!F587</f>
        <v>1705350</v>
      </c>
      <c r="H262" s="4262"/>
      <c r="I262" s="2592">
        <f>+G262</f>
        <v>1705350</v>
      </c>
    </row>
    <row r="263" spans="1:9" ht="27" customHeight="1" thickBot="1">
      <c r="A263" s="4231" t="str">
        <f>+CONSOLIDADO!B590</f>
        <v>LINEA PRIMARIA  DE MT  13.2 KV SUBTERRANEA</v>
      </c>
      <c r="B263" s="4232"/>
      <c r="C263" s="2535" t="s">
        <v>427</v>
      </c>
      <c r="D263" s="2535">
        <v>1</v>
      </c>
      <c r="E263" s="4251"/>
      <c r="F263" s="4252"/>
      <c r="G263" s="4261">
        <f>+CONSOLIDADO!F590</f>
        <v>66131900</v>
      </c>
      <c r="H263" s="4262"/>
      <c r="I263" s="2592">
        <f t="shared" ref="I263:I279" si="9">+G263</f>
        <v>66131900</v>
      </c>
    </row>
    <row r="264" spans="1:9" ht="15" customHeight="1" thickBot="1">
      <c r="A264" s="4231" t="str">
        <f>+CONSOLIDADO!B596</f>
        <v>CAJA DE INSPECCION</v>
      </c>
      <c r="B264" s="4232"/>
      <c r="C264" s="2535" t="s">
        <v>427</v>
      </c>
      <c r="D264" s="2535">
        <v>1</v>
      </c>
      <c r="E264" s="4251"/>
      <c r="F264" s="4252"/>
      <c r="G264" s="4261">
        <f>+CONSOLIDADO!F596</f>
        <v>1405005</v>
      </c>
      <c r="H264" s="4262"/>
      <c r="I264" s="2592">
        <f t="shared" si="9"/>
        <v>1405005</v>
      </c>
    </row>
    <row r="265" spans="1:9" ht="18" customHeight="1" thickBot="1">
      <c r="A265" s="4231" t="str">
        <f>+CONSOLIDADO!B599</f>
        <v>MALLA A TIERRA</v>
      </c>
      <c r="B265" s="4232"/>
      <c r="C265" s="2535" t="s">
        <v>427</v>
      </c>
      <c r="D265" s="2535">
        <v>1</v>
      </c>
      <c r="E265" s="4251"/>
      <c r="F265" s="4252"/>
      <c r="G265" s="4261">
        <f>+CONSOLIDADO!F599</f>
        <v>4800000</v>
      </c>
      <c r="H265" s="4262"/>
      <c r="I265" s="2592">
        <f t="shared" si="9"/>
        <v>4800000</v>
      </c>
    </row>
    <row r="266" spans="1:9" ht="34.5" customHeight="1" thickBot="1">
      <c r="A266" s="4231" t="str">
        <f>+CONSOLIDADO!B602</f>
        <v>ACOMETIDA SECUNDARIA DESDE TRANSFORMADOR A TRANSFERENCIA AUTOMATICA</v>
      </c>
      <c r="B266" s="4232"/>
      <c r="C266" s="2535" t="s">
        <v>427</v>
      </c>
      <c r="D266" s="2535">
        <v>1</v>
      </c>
      <c r="E266" s="4251"/>
      <c r="F266" s="4252"/>
      <c r="G266" s="4261">
        <f>+CONSOLIDADO!F602</f>
        <v>10815000</v>
      </c>
      <c r="H266" s="4262"/>
      <c r="I266" s="2592">
        <f t="shared" si="9"/>
        <v>10815000</v>
      </c>
    </row>
    <row r="267" spans="1:9" ht="27" customHeight="1" thickBot="1">
      <c r="A267" s="4231" t="str">
        <f>+CONSOLIDADO!B604</f>
        <v>TABLERO GENERAL CON TRANSFERENCIA AUTOMATICA Y TRANSFORMADOR SECO</v>
      </c>
      <c r="B267" s="4232"/>
      <c r="C267" s="2535" t="s">
        <v>427</v>
      </c>
      <c r="D267" s="2535">
        <v>1</v>
      </c>
      <c r="E267" s="4251"/>
      <c r="F267" s="4252"/>
      <c r="G267" s="4261">
        <f>+CONSOLIDADO!F604</f>
        <v>33280000</v>
      </c>
      <c r="H267" s="4262"/>
      <c r="I267" s="2592">
        <f t="shared" si="9"/>
        <v>33280000</v>
      </c>
    </row>
    <row r="268" spans="1:9" ht="34.5" customHeight="1" thickBot="1">
      <c r="A268" s="4231" t="str">
        <f>+CONSOLIDADO!B606</f>
        <v>ACOMETIDA SECUNDARIA DESDE  TRANSFERENCIA AUTOMATICA A CENTRO DE CONTROL DE MOTORES</v>
      </c>
      <c r="B268" s="4232"/>
      <c r="C268" s="2535" t="s">
        <v>427</v>
      </c>
      <c r="D268" s="2535">
        <v>1</v>
      </c>
      <c r="E268" s="4251"/>
      <c r="F268" s="4252"/>
      <c r="G268" s="4261">
        <f>+CONSOLIDADO!F606</f>
        <v>17810000</v>
      </c>
      <c r="H268" s="4262"/>
      <c r="I268" s="2592">
        <f t="shared" si="9"/>
        <v>17810000</v>
      </c>
    </row>
    <row r="269" spans="1:9" ht="31.5" customHeight="1" thickBot="1">
      <c r="A269" s="4231" t="str">
        <f>+CONSOLIDADO!B608</f>
        <v>ACOMETIDA SECUNDARIA DESDE  TRANSFERENCIA AUTOMATICA A PLANTA DE EMERGENCIA</v>
      </c>
      <c r="B269" s="4232"/>
      <c r="C269" s="2535" t="s">
        <v>427</v>
      </c>
      <c r="D269" s="2535">
        <v>1</v>
      </c>
      <c r="E269" s="4251"/>
      <c r="F269" s="4252"/>
      <c r="G269" s="4261">
        <f>+CONSOLIDADO!F608</f>
        <v>11052000</v>
      </c>
      <c r="H269" s="4262"/>
      <c r="I269" s="2592">
        <f t="shared" si="9"/>
        <v>11052000</v>
      </c>
    </row>
    <row r="270" spans="1:9" ht="24.75" customHeight="1" thickBot="1">
      <c r="A270" s="4231" t="str">
        <f>+CONSOLIDADO!B611</f>
        <v>PLANTA ELECTRICA</v>
      </c>
      <c r="B270" s="4232"/>
      <c r="C270" s="2535" t="s">
        <v>427</v>
      </c>
      <c r="D270" s="2535">
        <v>1</v>
      </c>
      <c r="E270" s="4251"/>
      <c r="F270" s="4252"/>
      <c r="G270" s="4261">
        <f>+CONSOLIDADO!F611</f>
        <v>195214714</v>
      </c>
      <c r="H270" s="4262"/>
      <c r="I270" s="2592">
        <f t="shared" si="9"/>
        <v>195214714</v>
      </c>
    </row>
    <row r="271" spans="1:9" s="2642" customFormat="1" ht="24.75" customHeight="1" thickBot="1">
      <c r="A271" s="4245" t="str">
        <f>+CONSOLIDADO!B613</f>
        <v>CENTRO CONTROL DE MOTORES</v>
      </c>
      <c r="B271" s="4246"/>
      <c r="C271" s="2638" t="s">
        <v>427</v>
      </c>
      <c r="D271" s="2638">
        <v>1</v>
      </c>
      <c r="E271" s="4249"/>
      <c r="F271" s="4250"/>
      <c r="G271" s="4265">
        <f>+CONSOLIDADO!F613</f>
        <v>135473000</v>
      </c>
      <c r="H271" s="4266"/>
      <c r="I271" s="2649">
        <f t="shared" si="9"/>
        <v>135473000</v>
      </c>
    </row>
    <row r="272" spans="1:9" ht="24.75" customHeight="1" thickBot="1">
      <c r="A272" s="4231" t="str">
        <f>+CONSOLIDADO!B615</f>
        <v>ALIMENTADORES  DESDE CCM A TABLEROS PARCIALES Y MOTORES</v>
      </c>
      <c r="B272" s="4232"/>
      <c r="C272" s="2535" t="s">
        <v>427</v>
      </c>
      <c r="D272" s="2535">
        <v>1</v>
      </c>
      <c r="E272" s="4251"/>
      <c r="F272" s="4252"/>
      <c r="G272" s="4261">
        <f>+CONSOLIDADO!F615</f>
        <v>11352800</v>
      </c>
      <c r="H272" s="4262"/>
      <c r="I272" s="2592">
        <f t="shared" si="9"/>
        <v>11352800</v>
      </c>
    </row>
    <row r="273" spans="1:9" ht="24.75" customHeight="1" thickBot="1">
      <c r="A273" s="4231" t="str">
        <f>+CONSOLIDADO!B620</f>
        <v>SALIDAS PARA ALUMBRADO Y TOMAS</v>
      </c>
      <c r="B273" s="4232"/>
      <c r="C273" s="2535" t="s">
        <v>427</v>
      </c>
      <c r="D273" s="2535">
        <v>1</v>
      </c>
      <c r="E273" s="4251"/>
      <c r="F273" s="4252"/>
      <c r="G273" s="4261">
        <f>+CONSOLIDADO!F620</f>
        <v>7660400</v>
      </c>
      <c r="H273" s="4262"/>
      <c r="I273" s="2592">
        <f t="shared" si="9"/>
        <v>7660400</v>
      </c>
    </row>
    <row r="274" spans="1:9" ht="24.75" customHeight="1" thickBot="1">
      <c r="A274" s="4231" t="str">
        <f>+CONSOLIDADO!B628</f>
        <v>ALUMBRADO PERIMETRAL</v>
      </c>
      <c r="B274" s="4232"/>
      <c r="C274" s="2535" t="s">
        <v>427</v>
      </c>
      <c r="D274" s="2535">
        <v>1</v>
      </c>
      <c r="E274" s="4251"/>
      <c r="F274" s="4252"/>
      <c r="G274" s="4261">
        <f>+CONSOLIDADO!F628</f>
        <v>6304000</v>
      </c>
      <c r="H274" s="4262"/>
      <c r="I274" s="2592">
        <f t="shared" si="9"/>
        <v>6304000</v>
      </c>
    </row>
    <row r="275" spans="1:9" ht="20.25" customHeight="1" thickBot="1">
      <c r="A275" s="4231" t="str">
        <f>+CONSOLIDADO!B632</f>
        <v>TELEMETRIA</v>
      </c>
      <c r="B275" s="4232"/>
      <c r="C275" s="2535" t="s">
        <v>427</v>
      </c>
      <c r="D275" s="2535">
        <v>1</v>
      </c>
      <c r="E275" s="4251"/>
      <c r="F275" s="4252"/>
      <c r="G275" s="4261">
        <f>+CONSOLIDADO!F632</f>
        <v>24420000</v>
      </c>
      <c r="H275" s="4262"/>
      <c r="I275" s="2592">
        <f t="shared" si="9"/>
        <v>24420000</v>
      </c>
    </row>
    <row r="276" spans="1:9" ht="18" customHeight="1" thickBot="1">
      <c r="A276" s="4231" t="str">
        <f>+CONSOLIDADO!B634</f>
        <v>EQUIPOS DE BOMBEO</v>
      </c>
      <c r="B276" s="4232"/>
      <c r="C276" s="2535" t="s">
        <v>427</v>
      </c>
      <c r="D276" s="2535">
        <v>1</v>
      </c>
      <c r="E276" s="4251"/>
      <c r="F276" s="4252"/>
      <c r="G276" s="4261">
        <f>+CONSOLIDADO!F634</f>
        <v>131111216</v>
      </c>
      <c r="H276" s="4262"/>
      <c r="I276" s="2592">
        <f t="shared" si="9"/>
        <v>131111216</v>
      </c>
    </row>
    <row r="277" spans="1:9" s="2642" customFormat="1" ht="26.25" customHeight="1" thickBot="1">
      <c r="A277" s="4245" t="str">
        <f>+CONSOLIDADO!B636</f>
        <v xml:space="preserve">LEGALIZACION DE PLANOS Y CERTIFICACION RETIE </v>
      </c>
      <c r="B277" s="4246"/>
      <c r="C277" s="2638" t="s">
        <v>427</v>
      </c>
      <c r="D277" s="2638">
        <v>1</v>
      </c>
      <c r="E277" s="4249"/>
      <c r="F277" s="4250"/>
      <c r="G277" s="4265">
        <f>+CONSOLIDADO!F636</f>
        <v>6810000</v>
      </c>
      <c r="H277" s="4266"/>
      <c r="I277" s="2649">
        <f t="shared" si="9"/>
        <v>6810000</v>
      </c>
    </row>
    <row r="278" spans="1:9" ht="12.6" thickBot="1">
      <c r="A278" s="2578" t="s">
        <v>5758</v>
      </c>
      <c r="B278" s="2579"/>
      <c r="C278" s="2580"/>
      <c r="D278" s="2580"/>
      <c r="E278" s="2580"/>
      <c r="F278" s="2580"/>
      <c r="G278" s="2580"/>
      <c r="H278" s="2580"/>
      <c r="I278" s="2581"/>
    </row>
    <row r="279" spans="1:9" ht="28.5" customHeight="1" thickBot="1">
      <c r="A279" s="4231" t="str">
        <f>+CONSOLIDADO!B640</f>
        <v>SUMINISTRO INCLUYE TRANSPORTE DE TUBERÍA, ACCESORIOS Y EQUIPOS</v>
      </c>
      <c r="B279" s="4232"/>
      <c r="C279" s="2549" t="s">
        <v>427</v>
      </c>
      <c r="D279" s="2535">
        <v>1</v>
      </c>
      <c r="E279" s="4233"/>
      <c r="F279" s="4234"/>
      <c r="G279" s="4261">
        <f>+CONSOLIDADO!F640</f>
        <v>244941123</v>
      </c>
      <c r="H279" s="4262"/>
      <c r="I279" s="2585">
        <f t="shared" si="9"/>
        <v>244941123</v>
      </c>
    </row>
    <row r="280" spans="1:9" ht="12.6" thickBot="1">
      <c r="A280" s="2578" t="s">
        <v>6181</v>
      </c>
      <c r="B280" s="2579"/>
      <c r="C280" s="2580"/>
      <c r="D280" s="2580"/>
      <c r="E280" s="2580"/>
      <c r="F280" s="2580"/>
      <c r="G280" s="2580"/>
      <c r="H280" s="2580"/>
      <c r="I280" s="2581"/>
    </row>
    <row r="281" spans="1:9" ht="23.25" customHeight="1" thickBot="1">
      <c r="A281" s="4231" t="str">
        <f>+CONSOLIDADO!B683</f>
        <v>SUMINISTRO INCLUYE TRANSPORTE DE TUBERÍA, ACCESORIOS Y EQUIPOS</v>
      </c>
      <c r="B281" s="4232"/>
      <c r="C281" s="2535" t="s">
        <v>427</v>
      </c>
      <c r="D281" s="2535">
        <v>1</v>
      </c>
      <c r="E281" s="4267"/>
      <c r="F281" s="4268"/>
      <c r="G281" s="4261">
        <f>+CONSOLIDADO!F683</f>
        <v>3405599240</v>
      </c>
      <c r="H281" s="4262"/>
      <c r="I281" s="2592">
        <f>+G281</f>
        <v>3405599240</v>
      </c>
    </row>
    <row r="282" spans="1:9" ht="12.6" thickBot="1">
      <c r="A282" s="2578" t="s">
        <v>6212</v>
      </c>
      <c r="B282" s="2579"/>
      <c r="C282" s="2580"/>
      <c r="D282" s="2580"/>
      <c r="E282" s="2580"/>
      <c r="F282" s="2580"/>
      <c r="G282" s="2580"/>
      <c r="H282" s="2580"/>
      <c r="I282" s="2581"/>
    </row>
    <row r="283" spans="1:9" s="2642" customFormat="1" ht="16.5" customHeight="1" thickBot="1">
      <c r="A283" s="4245" t="str">
        <f>+CONSOLIDADO!B698</f>
        <v xml:space="preserve">SUMINISTRO DE ACCESORIOS </v>
      </c>
      <c r="B283" s="4246"/>
      <c r="C283" s="2638" t="s">
        <v>427</v>
      </c>
      <c r="D283" s="2638">
        <v>1</v>
      </c>
      <c r="E283" s="4269"/>
      <c r="F283" s="4270"/>
      <c r="G283" s="4265">
        <f>+CONSOLIDADO!F698</f>
        <v>308584641</v>
      </c>
      <c r="H283" s="4266"/>
      <c r="I283" s="2649">
        <f>+G283</f>
        <v>308584641</v>
      </c>
    </row>
    <row r="284" spans="1:9" ht="15.75" customHeight="1" thickBot="1">
      <c r="A284" s="4231" t="str">
        <f>+CONSOLIDADO!B711</f>
        <v>SUMINISTRO OBRAS DE ORNAMENTACION</v>
      </c>
      <c r="B284" s="4232"/>
      <c r="C284" s="2535" t="s">
        <v>427</v>
      </c>
      <c r="D284" s="2535">
        <v>1</v>
      </c>
      <c r="E284" s="4267"/>
      <c r="F284" s="4268"/>
      <c r="G284" s="4265">
        <f>+CONSOLIDADO!F711</f>
        <v>25548180</v>
      </c>
      <c r="H284" s="4266"/>
      <c r="I284" s="2592">
        <f>+G284</f>
        <v>25548180</v>
      </c>
    </row>
    <row r="285" spans="1:9" ht="15.75" customHeight="1" thickBot="1">
      <c r="A285" s="4231" t="str">
        <f>+CONSOLIDADO!B715</f>
        <v>SUMINISTRO COMPUERTAS</v>
      </c>
      <c r="B285" s="4232"/>
      <c r="C285" s="2535" t="s">
        <v>427</v>
      </c>
      <c r="D285" s="2535">
        <v>1</v>
      </c>
      <c r="E285" s="2601"/>
      <c r="F285" s="2602"/>
      <c r="G285" s="4261">
        <f>+CONSOLIDADO!F715</f>
        <v>308506760</v>
      </c>
      <c r="H285" s="4262"/>
      <c r="I285" s="2592">
        <f>+G285</f>
        <v>308506760</v>
      </c>
    </row>
    <row r="286" spans="1:9" ht="13.5" customHeight="1" thickBot="1">
      <c r="A286" s="4231" t="str">
        <f>+CONSOLIDADO!B719</f>
        <v>SUMINISTRO OBRAS COMPLEMENTARIAS</v>
      </c>
      <c r="B286" s="4232"/>
      <c r="C286" s="2535" t="s">
        <v>427</v>
      </c>
      <c r="D286" s="2535">
        <v>1</v>
      </c>
      <c r="E286" s="4267"/>
      <c r="F286" s="4268"/>
      <c r="G286" s="4261">
        <f>+CONSOLIDADO!F719</f>
        <v>826024741</v>
      </c>
      <c r="H286" s="4262"/>
      <c r="I286" s="2592">
        <f>+G286</f>
        <v>826024741</v>
      </c>
    </row>
    <row r="287" spans="1:9" ht="12.6" thickBot="1">
      <c r="A287" s="2578" t="s">
        <v>6196</v>
      </c>
      <c r="B287" s="2579"/>
      <c r="C287" s="2580"/>
      <c r="D287" s="2580"/>
      <c r="E287" s="2580"/>
      <c r="F287" s="2580"/>
      <c r="G287" s="2580"/>
      <c r="H287" s="2580"/>
      <c r="I287" s="2581"/>
    </row>
    <row r="288" spans="1:9" s="2642" customFormat="1" ht="15.75" customHeight="1" thickBot="1">
      <c r="A288" s="4271" t="str">
        <f>+CONSOLIDADO!B734</f>
        <v>SUMINISTRO ACCESORIOS Y EQUIPOS</v>
      </c>
      <c r="B288" s="4246"/>
      <c r="C288" s="2638" t="s">
        <v>427</v>
      </c>
      <c r="D288" s="2638">
        <v>1</v>
      </c>
      <c r="E288" s="4269"/>
      <c r="F288" s="4270"/>
      <c r="G288" s="4265">
        <f>+CONSOLIDADO!F734</f>
        <v>174671885</v>
      </c>
      <c r="H288" s="4266"/>
      <c r="I288" s="2649">
        <f>+G288</f>
        <v>174671885</v>
      </c>
    </row>
    <row r="289" spans="1:9" ht="13.5" customHeight="1" thickBot="1">
      <c r="A289" s="4231" t="str">
        <f>+CONSOLIDADO!B803</f>
        <v>SUMINISTROS ELECTRICOS</v>
      </c>
      <c r="B289" s="4232"/>
      <c r="C289" s="2535" t="s">
        <v>427</v>
      </c>
      <c r="D289" s="2535">
        <v>1</v>
      </c>
      <c r="E289" s="4267"/>
      <c r="F289" s="4268"/>
      <c r="G289" s="4265">
        <f>+CONSOLIDADO!F803</f>
        <v>34044500</v>
      </c>
      <c r="H289" s="4266"/>
      <c r="I289" s="2592">
        <f>+G289</f>
        <v>34044500</v>
      </c>
    </row>
    <row r="290" spans="1:9" ht="12.6" thickBot="1">
      <c r="A290" s="2578" t="s">
        <v>6218</v>
      </c>
      <c r="B290" s="2579"/>
      <c r="C290" s="2580"/>
      <c r="D290" s="2580"/>
      <c r="E290" s="2580"/>
      <c r="F290" s="2580"/>
      <c r="G290" s="2580"/>
      <c r="H290" s="2580"/>
      <c r="I290" s="2581"/>
    </row>
    <row r="291" spans="1:9" s="2650" customFormat="1" ht="15.75" customHeight="1" thickBot="1">
      <c r="A291" s="4245" t="str">
        <f>+CONSOLIDADO!B811</f>
        <v>LINEA PRIMARIA DE MT</v>
      </c>
      <c r="B291" s="4246"/>
      <c r="C291" s="2638" t="s">
        <v>427</v>
      </c>
      <c r="D291" s="2638">
        <v>1</v>
      </c>
      <c r="E291" s="4249"/>
      <c r="F291" s="4250"/>
      <c r="G291" s="4265">
        <f>+CONSOLIDADO!F811</f>
        <v>18397950</v>
      </c>
      <c r="H291" s="4266"/>
      <c r="I291" s="2649">
        <f>+G291</f>
        <v>18397950</v>
      </c>
    </row>
    <row r="292" spans="1:9" s="2650" customFormat="1" ht="13.95" customHeight="1" thickBot="1">
      <c r="A292" s="4245" t="str">
        <f>+CONSOLIDADO!B817</f>
        <v>CAJA DE INSPECCION</v>
      </c>
      <c r="B292" s="4246"/>
      <c r="C292" s="2638" t="s">
        <v>427</v>
      </c>
      <c r="D292" s="2638">
        <v>1</v>
      </c>
      <c r="E292" s="4249"/>
      <c r="F292" s="4250"/>
      <c r="G292" s="4265">
        <f>+CONSOLIDADO!F817</f>
        <v>2292728</v>
      </c>
      <c r="H292" s="4266"/>
      <c r="I292" s="2649">
        <f t="shared" ref="I292:I304" si="10">+G292</f>
        <v>2292728</v>
      </c>
    </row>
    <row r="293" spans="1:9" s="2504" customFormat="1" ht="18" customHeight="1" thickBot="1">
      <c r="A293" s="4231" t="str">
        <f>+CONSOLIDADO!B819</f>
        <v>MALLA A TIERRA</v>
      </c>
      <c r="B293" s="4232"/>
      <c r="C293" s="2535" t="s">
        <v>427</v>
      </c>
      <c r="D293" s="2535">
        <v>1</v>
      </c>
      <c r="E293" s="4251"/>
      <c r="F293" s="4252"/>
      <c r="G293" s="4265">
        <f>+CONSOLIDADO!F819</f>
        <v>4850000</v>
      </c>
      <c r="H293" s="4266"/>
      <c r="I293" s="2592">
        <f t="shared" si="10"/>
        <v>4850000</v>
      </c>
    </row>
    <row r="294" spans="1:9" s="2504" customFormat="1" ht="38.25" customHeight="1" thickBot="1">
      <c r="A294" s="4231" t="str">
        <f>+CONSOLIDADO!B822</f>
        <v>ACOMETIDA SECUNDARIA DESDE TRANSFORMADOR A TRANSFERENCIA AUTOMATICA</v>
      </c>
      <c r="B294" s="4232"/>
      <c r="C294" s="2535" t="s">
        <v>427</v>
      </c>
      <c r="D294" s="2535">
        <v>1</v>
      </c>
      <c r="E294" s="4251"/>
      <c r="F294" s="4252"/>
      <c r="G294" s="4265">
        <f>+CONSOLIDADO!F822</f>
        <v>3380000</v>
      </c>
      <c r="H294" s="4266"/>
      <c r="I294" s="2592">
        <f t="shared" si="10"/>
        <v>3380000</v>
      </c>
    </row>
    <row r="295" spans="1:9" s="2651" customFormat="1" ht="27" customHeight="1" thickBot="1">
      <c r="A295" s="4231" t="str">
        <f>+CONSOLIDADO!B824</f>
        <v>TABLERO GENERAL CON TRANSFERENCIA AUTOMATICA Y TRANSFORMADOR SECO</v>
      </c>
      <c r="B295" s="4232"/>
      <c r="C295" s="2535" t="s">
        <v>427</v>
      </c>
      <c r="D295" s="2535">
        <v>1</v>
      </c>
      <c r="E295" s="4251"/>
      <c r="F295" s="4252"/>
      <c r="G295" s="4265">
        <f>+CONSOLIDADO!F824</f>
        <v>17362000</v>
      </c>
      <c r="H295" s="4266"/>
      <c r="I295" s="2592">
        <f t="shared" si="10"/>
        <v>17362000</v>
      </c>
    </row>
    <row r="296" spans="1:9" s="2651" customFormat="1" ht="36" customHeight="1" thickBot="1">
      <c r="A296" s="4231" t="str">
        <f>+CONSOLIDADO!B826</f>
        <v>ACOMETIDA SECUNDARIA DESDE  TRANSFERENCIA AUTOMATICA A CENTRO DE CONTROL DE MOTORES</v>
      </c>
      <c r="B296" s="4232"/>
      <c r="C296" s="2535" t="s">
        <v>427</v>
      </c>
      <c r="D296" s="2535">
        <v>1</v>
      </c>
      <c r="E296" s="4251"/>
      <c r="F296" s="4252"/>
      <c r="G296" s="4265">
        <f>+CONSOLIDADO!F826</f>
        <v>2028000</v>
      </c>
      <c r="H296" s="4266"/>
      <c r="I296" s="2592">
        <f t="shared" si="10"/>
        <v>2028000</v>
      </c>
    </row>
    <row r="297" spans="1:9" s="2504" customFormat="1" ht="36" customHeight="1" thickBot="1">
      <c r="A297" s="4231" t="str">
        <f>+CONSOLIDADO!B828</f>
        <v>ACOMETIDA SECUNDARIA DESDE  TRANSFERENCIA AUTOMATICA A PLANTA DE EMERGENCIA</v>
      </c>
      <c r="B297" s="4232"/>
      <c r="C297" s="2535" t="s">
        <v>427</v>
      </c>
      <c r="D297" s="2535">
        <v>1</v>
      </c>
      <c r="E297" s="4251"/>
      <c r="F297" s="4252"/>
      <c r="G297" s="4265">
        <f>+CONSOLIDADO!F828</f>
        <v>2535000</v>
      </c>
      <c r="H297" s="4266"/>
      <c r="I297" s="2592">
        <f t="shared" si="10"/>
        <v>2535000</v>
      </c>
    </row>
    <row r="298" spans="1:9" s="2504" customFormat="1" ht="24.75" customHeight="1" thickBot="1">
      <c r="A298" s="4231" t="str">
        <f>+CONSOLIDADO!B830</f>
        <v>PLANTA ELECTRICA</v>
      </c>
      <c r="B298" s="4232"/>
      <c r="C298" s="2535" t="s">
        <v>427</v>
      </c>
      <c r="D298" s="2535">
        <v>1</v>
      </c>
      <c r="E298" s="4251"/>
      <c r="F298" s="4252"/>
      <c r="G298" s="4265">
        <f>+CONSOLIDADO!F830</f>
        <v>101793972</v>
      </c>
      <c r="H298" s="4266"/>
      <c r="I298" s="2592">
        <f t="shared" si="10"/>
        <v>101793972</v>
      </c>
    </row>
    <row r="299" spans="1:9" s="2504" customFormat="1" ht="24.75" customHeight="1" thickBot="1">
      <c r="A299" s="4231" t="str">
        <f>+CONSOLIDADO!B832</f>
        <v>CENTRO CONTROL DE MOTORES</v>
      </c>
      <c r="B299" s="4232"/>
      <c r="C299" s="2535" t="s">
        <v>427</v>
      </c>
      <c r="D299" s="2535">
        <v>1</v>
      </c>
      <c r="E299" s="4251"/>
      <c r="F299" s="4252"/>
      <c r="G299" s="4265">
        <f>+CONSOLIDADO!F832</f>
        <v>114736000</v>
      </c>
      <c r="H299" s="4266"/>
      <c r="I299" s="2592">
        <f t="shared" si="10"/>
        <v>114736000</v>
      </c>
    </row>
    <row r="300" spans="1:9" s="2504" customFormat="1" ht="24.75" customHeight="1" thickBot="1">
      <c r="A300" s="4231" t="str">
        <f>+CONSOLIDADO!B834</f>
        <v>ALIMENTADORES  DESDE CCM A TABLEROS PARCIALES Y MOTORES</v>
      </c>
      <c r="B300" s="4232"/>
      <c r="C300" s="2535" t="s">
        <v>427</v>
      </c>
      <c r="D300" s="2535">
        <v>1</v>
      </c>
      <c r="E300" s="4251"/>
      <c r="F300" s="4252"/>
      <c r="G300" s="4265">
        <f>+CONSOLIDADO!F834</f>
        <v>4720800</v>
      </c>
      <c r="H300" s="4266"/>
      <c r="I300" s="2592">
        <f t="shared" si="10"/>
        <v>4720800</v>
      </c>
    </row>
    <row r="301" spans="1:9" s="2504" customFormat="1" ht="24.75" customHeight="1" thickBot="1">
      <c r="A301" s="4231" t="str">
        <f>+CONSOLIDADO!B838</f>
        <v>SALIDAS PARA ALUMBRADO Y TOMAS</v>
      </c>
      <c r="B301" s="4232"/>
      <c r="C301" s="2535" t="s">
        <v>427</v>
      </c>
      <c r="D301" s="2535">
        <v>1</v>
      </c>
      <c r="E301" s="4251"/>
      <c r="F301" s="4252"/>
      <c r="G301" s="4265">
        <f>+CONSOLIDADO!F838</f>
        <v>3163100</v>
      </c>
      <c r="H301" s="4266"/>
      <c r="I301" s="2592">
        <f t="shared" si="10"/>
        <v>3163100</v>
      </c>
    </row>
    <row r="302" spans="1:9" s="2504" customFormat="1" ht="24.75" customHeight="1" thickBot="1">
      <c r="A302" s="4231" t="str">
        <f>+CONSOLIDADO!B846</f>
        <v>ALUMBRADO PERIMETRAL</v>
      </c>
      <c r="B302" s="4232"/>
      <c r="C302" s="2535" t="s">
        <v>427</v>
      </c>
      <c r="D302" s="2535">
        <v>1</v>
      </c>
      <c r="E302" s="4251"/>
      <c r="F302" s="4252"/>
      <c r="G302" s="4265">
        <f>+CONSOLIDADO!F846</f>
        <v>11682800</v>
      </c>
      <c r="H302" s="4266"/>
      <c r="I302" s="2592">
        <f t="shared" si="10"/>
        <v>11682800</v>
      </c>
    </row>
    <row r="303" spans="1:9" s="2504" customFormat="1" ht="20.25" customHeight="1" thickBot="1">
      <c r="A303" s="4231" t="str">
        <f>+CONSOLIDADO!B850</f>
        <v>TELEMETRIA</v>
      </c>
      <c r="B303" s="4232"/>
      <c r="C303" s="2535" t="s">
        <v>427</v>
      </c>
      <c r="D303" s="2535">
        <v>1</v>
      </c>
      <c r="E303" s="4251"/>
      <c r="F303" s="4252"/>
      <c r="G303" s="4265">
        <f>+CONSOLIDADO!F850</f>
        <v>24420000</v>
      </c>
      <c r="H303" s="4266"/>
      <c r="I303" s="2592">
        <f t="shared" si="10"/>
        <v>24420000</v>
      </c>
    </row>
    <row r="304" spans="1:9" s="2504" customFormat="1" ht="18" customHeight="1" thickBot="1">
      <c r="A304" s="4231" t="str">
        <f>+CONSOLIDADO!B852</f>
        <v>EQUIPOS DE BOMBEO</v>
      </c>
      <c r="B304" s="4232"/>
      <c r="C304" s="2535" t="s">
        <v>427</v>
      </c>
      <c r="D304" s="2535">
        <v>1</v>
      </c>
      <c r="E304" s="4251"/>
      <c r="F304" s="4252"/>
      <c r="G304" s="4265">
        <f>+CONSOLIDADO!F852</f>
        <v>254844788</v>
      </c>
      <c r="H304" s="4266"/>
      <c r="I304" s="2592">
        <f t="shared" si="10"/>
        <v>254844788</v>
      </c>
    </row>
    <row r="305" spans="1:9" ht="12.6" thickBot="1">
      <c r="A305" s="2578" t="s">
        <v>5749</v>
      </c>
      <c r="B305" s="2579"/>
      <c r="C305" s="2580"/>
      <c r="D305" s="2580"/>
      <c r="E305" s="2580"/>
      <c r="F305" s="2580"/>
      <c r="G305" s="2580"/>
      <c r="H305" s="2580"/>
      <c r="I305" s="2581"/>
    </row>
    <row r="306" spans="1:9" ht="25.5" customHeight="1" thickBot="1">
      <c r="A306" s="4231" t="str">
        <f>+CONSOLIDADO!B858</f>
        <v>SUMINISTRO INCLUYE TRANSPORTE DE TUBERÍA, ACCESORIOS Y EQUIPOS</v>
      </c>
      <c r="B306" s="4232"/>
      <c r="C306" s="2535" t="s">
        <v>427</v>
      </c>
      <c r="D306" s="2535">
        <v>1</v>
      </c>
      <c r="E306" s="4267"/>
      <c r="F306" s="4268"/>
      <c r="G306" s="4261">
        <f>+CONSOLIDADO!F858</f>
        <v>47061067</v>
      </c>
      <c r="H306" s="4262"/>
      <c r="I306" s="2592">
        <f>+G306</f>
        <v>47061067</v>
      </c>
    </row>
    <row r="307" spans="1:9" ht="12.6" thickBot="1">
      <c r="A307" s="2578" t="s">
        <v>5710</v>
      </c>
      <c r="B307" s="2579"/>
      <c r="C307" s="2580"/>
      <c r="D307" s="2580"/>
      <c r="E307" s="2580"/>
      <c r="F307" s="2580"/>
      <c r="G307" s="2580"/>
      <c r="H307" s="2580"/>
      <c r="I307" s="2581"/>
    </row>
    <row r="308" spans="1:9" ht="27.75" customHeight="1" thickBot="1">
      <c r="A308" s="4231" t="str">
        <f>+CONSOLIDADO!B879</f>
        <v>SUMINISTRO INCLUYE TRANSPORTE DE TUBERÍA, ACCESORIOS Y EQUIPOS</v>
      </c>
      <c r="B308" s="4232"/>
      <c r="C308" s="2535" t="s">
        <v>427</v>
      </c>
      <c r="D308" s="2535">
        <v>1</v>
      </c>
      <c r="E308" s="4267"/>
      <c r="F308" s="4268"/>
      <c r="G308" s="4261">
        <f>+CONSOLIDADO!F879</f>
        <v>745534458</v>
      </c>
      <c r="H308" s="4262"/>
      <c r="I308" s="2592">
        <f>+G308</f>
        <v>745534458</v>
      </c>
    </row>
    <row r="309" spans="1:9" ht="12.6" thickBot="1">
      <c r="A309" s="2578" t="s">
        <v>6219</v>
      </c>
      <c r="B309" s="2579"/>
      <c r="C309" s="2580"/>
      <c r="D309" s="2580"/>
      <c r="E309" s="2580"/>
      <c r="F309" s="2580"/>
      <c r="G309" s="2580"/>
      <c r="H309" s="2580"/>
      <c r="I309" s="2581"/>
    </row>
    <row r="310" spans="1:9" ht="24" customHeight="1" thickBot="1">
      <c r="A310" s="4274" t="str">
        <f>+CONSOLIDADO!B896</f>
        <v>SUMINISTRO ACCESORIOS TANQUE PATAGONIA</v>
      </c>
      <c r="B310" s="4232"/>
      <c r="C310" s="2535" t="s">
        <v>427</v>
      </c>
      <c r="D310" s="2535">
        <v>1</v>
      </c>
      <c r="E310" s="4267"/>
      <c r="F310" s="4268"/>
      <c r="G310" s="4261">
        <f>+CONSOLIDADO!F896</f>
        <v>15147950</v>
      </c>
      <c r="H310" s="4262"/>
      <c r="I310" s="2592">
        <f>+G310</f>
        <v>15147950</v>
      </c>
    </row>
    <row r="311" spans="1:9" ht="12.6" thickBot="1">
      <c r="A311" s="2578" t="s">
        <v>5709</v>
      </c>
      <c r="B311" s="2579"/>
      <c r="C311" s="2580"/>
      <c r="D311" s="2580"/>
      <c r="E311" s="2580"/>
      <c r="F311" s="2580"/>
      <c r="G311" s="2580"/>
      <c r="H311" s="2580"/>
      <c r="I311" s="2581"/>
    </row>
    <row r="312" spans="1:9" ht="18.75" customHeight="1" thickBot="1">
      <c r="A312" s="4231" t="str">
        <f>+CONSOLIDADO!B907</f>
        <v>SUMINISTRO ACCESORIOS Y EQUIPOS</v>
      </c>
      <c r="B312" s="4232"/>
      <c r="C312" s="2535" t="s">
        <v>427</v>
      </c>
      <c r="D312" s="2535">
        <v>1</v>
      </c>
      <c r="E312" s="4267"/>
      <c r="F312" s="4268"/>
      <c r="G312" s="4261">
        <f>+CONSOLIDADO!F907</f>
        <v>138326642</v>
      </c>
      <c r="H312" s="4262"/>
      <c r="I312" s="2592">
        <f>+G312</f>
        <v>138326642</v>
      </c>
    </row>
    <row r="313" spans="1:9" ht="12.6" thickBot="1">
      <c r="A313" s="2578" t="s">
        <v>6221</v>
      </c>
      <c r="B313" s="2579"/>
      <c r="C313" s="2580"/>
      <c r="D313" s="2580"/>
      <c r="E313" s="2580"/>
      <c r="F313" s="2580"/>
      <c r="G313" s="2580"/>
      <c r="H313" s="2580"/>
      <c r="I313" s="2581"/>
    </row>
    <row r="314" spans="1:9" ht="27.75" customHeight="1" thickBot="1">
      <c r="A314" s="4231" t="str">
        <f>+CONSOLIDADO!B931</f>
        <v>SUMINISTRO DE TUBERÍA, ACCESORIOS Y EQUIPOS</v>
      </c>
      <c r="B314" s="4232"/>
      <c r="C314" s="2535" t="s">
        <v>427</v>
      </c>
      <c r="D314" s="2535">
        <v>1</v>
      </c>
      <c r="E314" s="4267"/>
      <c r="F314" s="4268"/>
      <c r="G314" s="4261">
        <f>+CONSOLIDADO!F931</f>
        <v>666637294</v>
      </c>
      <c r="H314" s="4262"/>
      <c r="I314" s="2592">
        <f>+G314</f>
        <v>666637294</v>
      </c>
    </row>
    <row r="315" spans="1:9" ht="12" customHeight="1" thickBot="1">
      <c r="A315" s="2603"/>
      <c r="B315" s="2604"/>
      <c r="C315" s="2590"/>
      <c r="D315" s="2590"/>
      <c r="E315" s="4267"/>
      <c r="F315" s="4268"/>
      <c r="G315" s="2586"/>
      <c r="H315" s="2587"/>
      <c r="I315" s="2605"/>
    </row>
    <row r="316" spans="1:9" ht="12" customHeight="1" thickBot="1">
      <c r="A316" s="2603"/>
      <c r="B316" s="2604"/>
      <c r="C316" s="2590"/>
      <c r="D316" s="2590"/>
      <c r="E316" s="4267"/>
      <c r="F316" s="4268"/>
      <c r="G316" s="2586"/>
      <c r="H316" s="2587"/>
      <c r="I316" s="2605"/>
    </row>
    <row r="317" spans="1:9" ht="12" customHeight="1" thickBot="1">
      <c r="A317" s="4257" t="s">
        <v>8469</v>
      </c>
      <c r="B317" s="4258"/>
      <c r="C317" s="2590"/>
      <c r="D317" s="2590"/>
      <c r="E317" s="4267"/>
      <c r="F317" s="4268"/>
      <c r="G317" s="4272">
        <f>+SUM(G262:H314)</f>
        <v>8172181004</v>
      </c>
      <c r="H317" s="4273"/>
      <c r="I317" s="2585">
        <f t="shared" ref="I317:I323" si="11">+G317</f>
        <v>8172181004</v>
      </c>
    </row>
    <row r="318" spans="1:9" ht="11.25" customHeight="1" thickBot="1">
      <c r="A318" s="4253" t="s">
        <v>5049</v>
      </c>
      <c r="B318" s="4254"/>
      <c r="C318" s="2606" t="s">
        <v>283</v>
      </c>
      <c r="D318" s="2652">
        <f>+AIU!H47</f>
        <v>0.18358899999999997</v>
      </c>
      <c r="E318" s="4267"/>
      <c r="F318" s="4268"/>
      <c r="G318" s="4272">
        <f>+CRONOGRAMA!B281</f>
        <v>1500322539</v>
      </c>
      <c r="H318" s="4273"/>
      <c r="I318" s="2585">
        <f t="shared" si="11"/>
        <v>1500322539</v>
      </c>
    </row>
    <row r="319" spans="1:9" ht="14.25" customHeight="1" thickBot="1">
      <c r="A319" s="4253" t="s">
        <v>8470</v>
      </c>
      <c r="B319" s="4254"/>
      <c r="C319" s="2606" t="s">
        <v>283</v>
      </c>
      <c r="D319" s="2590"/>
      <c r="E319" s="4267"/>
      <c r="F319" s="4268"/>
      <c r="G319" s="4272">
        <f>+G318+G317</f>
        <v>9672503543</v>
      </c>
      <c r="H319" s="4273"/>
      <c r="I319" s="2585">
        <f t="shared" si="11"/>
        <v>9672503543</v>
      </c>
    </row>
    <row r="320" spans="1:9" ht="12" customHeight="1" thickBot="1">
      <c r="A320" s="4253" t="s">
        <v>4283</v>
      </c>
      <c r="B320" s="4254"/>
      <c r="C320" s="2606" t="s">
        <v>283</v>
      </c>
      <c r="D320" s="2590">
        <v>4</v>
      </c>
      <c r="E320" s="4267"/>
      <c r="F320" s="4268"/>
      <c r="G320" s="4272">
        <f>ROUND(0.01*G319,0)</f>
        <v>96725035</v>
      </c>
      <c r="H320" s="4273">
        <f>ROUND((H319*G320/100),0)</f>
        <v>0</v>
      </c>
      <c r="I320" s="2585">
        <f t="shared" si="11"/>
        <v>96725035</v>
      </c>
    </row>
    <row r="321" spans="1:9" ht="24" customHeight="1" thickBot="1">
      <c r="A321" s="4253" t="s">
        <v>8471</v>
      </c>
      <c r="B321" s="4254"/>
      <c r="C321" s="2607" t="s">
        <v>283</v>
      </c>
      <c r="D321" s="2591">
        <v>2</v>
      </c>
      <c r="E321" s="4267"/>
      <c r="F321" s="4268"/>
      <c r="G321" s="4344">
        <f>((G319)*0.02)</f>
        <v>193450070.86000001</v>
      </c>
      <c r="H321" s="4345">
        <f>ROUND((H319*G321/100),0)</f>
        <v>0</v>
      </c>
      <c r="I321" s="2585">
        <f t="shared" si="11"/>
        <v>193450070.86000001</v>
      </c>
    </row>
    <row r="322" spans="1:9" ht="12" customHeight="1" thickBot="1">
      <c r="A322" s="4253" t="s">
        <v>8468</v>
      </c>
      <c r="B322" s="4258"/>
      <c r="C322" s="2608"/>
      <c r="D322" s="2590"/>
      <c r="E322" s="4267"/>
      <c r="F322" s="4268"/>
      <c r="G322" s="4346">
        <f>ROUNDDOWN(+SUM(G319:H321),0)</f>
        <v>9962678648</v>
      </c>
      <c r="H322" s="4347"/>
      <c r="I322" s="2585">
        <f t="shared" si="11"/>
        <v>9962678648</v>
      </c>
    </row>
    <row r="323" spans="1:9" ht="20.25" customHeight="1" thickBot="1">
      <c r="A323" s="4253" t="s">
        <v>8472</v>
      </c>
      <c r="B323" s="4258"/>
      <c r="C323" s="2606"/>
      <c r="D323" s="2590"/>
      <c r="E323" s="4267"/>
      <c r="F323" s="4268"/>
      <c r="G323" s="4263">
        <f>+ROUNDDOWN(G322,0)</f>
        <v>9962678648</v>
      </c>
      <c r="H323" s="4264"/>
      <c r="I323" s="2585">
        <f t="shared" si="11"/>
        <v>9962678648</v>
      </c>
    </row>
    <row r="324" spans="1:9" ht="12" customHeight="1" thickBot="1">
      <c r="A324" s="2603"/>
      <c r="B324" s="2604"/>
      <c r="C324" s="2590"/>
      <c r="D324" s="2590"/>
      <c r="E324" s="4267"/>
      <c r="F324" s="4268"/>
      <c r="G324" s="4275"/>
      <c r="H324" s="4276"/>
      <c r="I324" s="2605"/>
    </row>
    <row r="325" spans="1:9" ht="12" customHeight="1" thickBot="1">
      <c r="A325" s="4277" t="s">
        <v>8468</v>
      </c>
      <c r="B325" s="4278"/>
      <c r="C325" s="4278"/>
      <c r="D325" s="4278"/>
      <c r="E325" s="4278"/>
      <c r="F325" s="4278"/>
      <c r="G325" s="4278"/>
      <c r="H325" s="4279"/>
      <c r="I325" s="2609" t="e">
        <f>ROUND(+E258+G323,0)</f>
        <v>#REF!</v>
      </c>
    </row>
    <row r="326" spans="1:9" ht="12" customHeight="1" thickBot="1">
      <c r="A326" s="2603"/>
      <c r="B326" s="2604"/>
      <c r="C326" s="2590"/>
      <c r="D326" s="2590"/>
      <c r="E326" s="2610"/>
      <c r="F326" s="2611"/>
      <c r="G326" s="2586"/>
      <c r="H326" s="2587"/>
      <c r="I326" s="2605"/>
    </row>
    <row r="327" spans="1:9" ht="10.199999999999999" thickBot="1">
      <c r="A327" s="4280"/>
      <c r="B327" s="4281"/>
      <c r="C327" s="2590"/>
      <c r="D327" s="2590"/>
      <c r="E327" s="2612"/>
      <c r="F327" s="2587"/>
      <c r="G327" s="2586"/>
      <c r="H327" s="2587"/>
      <c r="I327" s="2605"/>
    </row>
    <row r="328" spans="1:9" ht="5.0999999999999996" customHeight="1">
      <c r="A328" s="2508"/>
      <c r="B328" s="2509"/>
      <c r="C328" s="2509"/>
      <c r="D328" s="2509"/>
      <c r="E328" s="2509"/>
      <c r="F328" s="2509"/>
      <c r="G328" s="2509"/>
      <c r="H328" s="2509"/>
      <c r="I328" s="2548"/>
    </row>
    <row r="329" spans="1:9">
      <c r="A329" s="4097" t="s">
        <v>8473</v>
      </c>
      <c r="B329" s="4098"/>
      <c r="C329" s="4098"/>
      <c r="D329" s="4098"/>
      <c r="E329" s="2509"/>
      <c r="F329" s="2509"/>
      <c r="G329" s="2509"/>
      <c r="H329" s="2613"/>
      <c r="I329" s="2614"/>
    </row>
    <row r="330" spans="1:9" ht="10.199999999999999" thickBot="1">
      <c r="A330" s="2508"/>
      <c r="B330" s="2509"/>
      <c r="C330" s="2509"/>
      <c r="D330" s="2509"/>
      <c r="E330" s="2509"/>
      <c r="F330" s="2509"/>
      <c r="G330" s="2509"/>
      <c r="H330" s="2509"/>
      <c r="I330" s="2548"/>
    </row>
    <row r="331" spans="1:9" ht="23.25" customHeight="1" thickBot="1">
      <c r="A331" s="4282" t="s">
        <v>8231</v>
      </c>
      <c r="B331" s="4283"/>
      <c r="C331" s="4284" t="s">
        <v>8474</v>
      </c>
      <c r="D331" s="4242"/>
      <c r="E331" s="2615" t="s">
        <v>8242</v>
      </c>
      <c r="F331" s="2576" t="s">
        <v>8229</v>
      </c>
      <c r="G331" s="2576" t="s">
        <v>8475</v>
      </c>
      <c r="H331" s="4284" t="s">
        <v>8235</v>
      </c>
      <c r="I331" s="4285"/>
    </row>
    <row r="332" spans="1:9" ht="48" customHeight="1" thickBot="1">
      <c r="A332" s="4295" t="s">
        <v>8476</v>
      </c>
      <c r="B332" s="4296"/>
      <c r="C332" s="4297" t="e">
        <f>ROUND(+I255+I319,0)</f>
        <v>#REF!</v>
      </c>
      <c r="D332" s="4287"/>
      <c r="E332" s="2550"/>
      <c r="F332" s="2550"/>
      <c r="G332" s="2550"/>
      <c r="H332" s="4288" t="e">
        <f>+SUM(C332:G332)</f>
        <v>#REF!</v>
      </c>
      <c r="I332" s="4289"/>
    </row>
    <row r="333" spans="1:9" ht="53.25" customHeight="1" thickBot="1">
      <c r="A333" s="4298" t="s">
        <v>8477</v>
      </c>
      <c r="B333" s="4299"/>
      <c r="C333" s="4286">
        <f>ROUND(+E256+I320,0)</f>
        <v>1317722545</v>
      </c>
      <c r="D333" s="4287"/>
      <c r="E333" s="2550"/>
      <c r="F333" s="2550"/>
      <c r="G333" s="2550"/>
      <c r="H333" s="4288">
        <f>+SUM(C333:G333)</f>
        <v>1317722545</v>
      </c>
      <c r="I333" s="4289"/>
    </row>
    <row r="334" spans="1:9" ht="59.25" customHeight="1" thickBot="1">
      <c r="A334" s="4120" t="s">
        <v>8478</v>
      </c>
      <c r="B334" s="4122"/>
      <c r="C334" s="4286">
        <f>ROUND(+E257+G321,0)</f>
        <v>344533202</v>
      </c>
      <c r="D334" s="4287"/>
      <c r="E334" s="2550"/>
      <c r="F334" s="2550"/>
      <c r="G334" s="2550"/>
      <c r="H334" s="4288">
        <f>+SUM(C334:G334)</f>
        <v>344533202</v>
      </c>
      <c r="I334" s="4289"/>
    </row>
    <row r="335" spans="1:9" ht="12" customHeight="1" thickBot="1">
      <c r="A335" s="4290" t="s">
        <v>8235</v>
      </c>
      <c r="B335" s="4291"/>
      <c r="C335" s="4292" t="e">
        <f>SUM(C332:D334)</f>
        <v>#REF!</v>
      </c>
      <c r="D335" s="4293"/>
      <c r="E335" s="2550"/>
      <c r="F335" s="2550"/>
      <c r="G335" s="2550"/>
      <c r="H335" s="4294" t="e">
        <f>+C335</f>
        <v>#REF!</v>
      </c>
      <c r="I335" s="4291"/>
    </row>
    <row r="336" spans="1:9" ht="12" customHeight="1" thickBot="1">
      <c r="A336" s="4290" t="s">
        <v>8479</v>
      </c>
      <c r="B336" s="4291"/>
      <c r="C336" s="4310">
        <v>1</v>
      </c>
      <c r="D336" s="4291"/>
      <c r="E336" s="2550"/>
      <c r="F336" s="2550"/>
      <c r="G336" s="2550"/>
      <c r="H336" s="4310">
        <v>1</v>
      </c>
      <c r="I336" s="4291"/>
    </row>
    <row r="337" spans="1:9" ht="12" customHeight="1">
      <c r="A337" s="2616"/>
      <c r="B337" s="2509"/>
      <c r="C337" s="2509"/>
      <c r="D337" s="2509"/>
      <c r="E337" s="2509"/>
      <c r="F337" s="2509"/>
      <c r="G337" s="2509"/>
      <c r="H337" s="2509"/>
      <c r="I337" s="2617"/>
    </row>
    <row r="338" spans="1:9" ht="12" customHeight="1">
      <c r="A338" s="4311" t="s">
        <v>8480</v>
      </c>
      <c r="B338" s="4312"/>
      <c r="C338" s="4312"/>
      <c r="D338" s="4312"/>
      <c r="E338" s="2509"/>
      <c r="F338" s="2509"/>
      <c r="G338" s="2509"/>
      <c r="H338" s="2509"/>
      <c r="I338" s="2548"/>
    </row>
    <row r="339" spans="1:9" ht="12" customHeight="1" thickBot="1">
      <c r="A339" s="2508"/>
      <c r="B339" s="2509"/>
      <c r="C339" s="2509"/>
      <c r="D339" s="2509"/>
      <c r="E339" s="2509"/>
      <c r="F339" s="2509"/>
      <c r="G339" s="2509"/>
      <c r="H339" s="2509"/>
      <c r="I339" s="2548"/>
    </row>
    <row r="340" spans="1:9" ht="12" customHeight="1" thickBot="1">
      <c r="A340" s="4282" t="s">
        <v>8231</v>
      </c>
      <c r="B340" s="4283"/>
      <c r="C340" s="4275" t="s">
        <v>1219</v>
      </c>
      <c r="D340" s="4283"/>
      <c r="E340" s="4275" t="s">
        <v>8481</v>
      </c>
      <c r="F340" s="4276"/>
      <c r="G340" s="4313" t="s">
        <v>8482</v>
      </c>
      <c r="H340" s="4314"/>
      <c r="I340" s="4315"/>
    </row>
    <row r="341" spans="1:9" ht="33" customHeight="1" thickBot="1">
      <c r="A341" s="4300" t="s">
        <v>8483</v>
      </c>
      <c r="B341" s="4301"/>
      <c r="C341" s="4302" t="e">
        <f>+C332</f>
        <v>#REF!</v>
      </c>
      <c r="D341" s="4303"/>
      <c r="E341" s="4304" t="s">
        <v>8484</v>
      </c>
      <c r="F341" s="4305"/>
      <c r="G341" s="4306" t="s">
        <v>8485</v>
      </c>
      <c r="H341" s="4307"/>
      <c r="I341" s="4308"/>
    </row>
    <row r="342" spans="1:9" ht="10.199999999999999" thickBot="1">
      <c r="A342" s="4241"/>
      <c r="B342" s="4229"/>
      <c r="C342" s="4306"/>
      <c r="D342" s="4309"/>
      <c r="E342" s="4304"/>
      <c r="F342" s="4305"/>
      <c r="G342" s="4306"/>
      <c r="H342" s="4307"/>
      <c r="I342" s="4308"/>
    </row>
    <row r="343" spans="1:9" ht="25.5" customHeight="1" thickBot="1">
      <c r="A343" s="4324" t="s">
        <v>8486</v>
      </c>
      <c r="B343" s="4244"/>
      <c r="C343" s="4302">
        <f>+SUM(C333:D333)</f>
        <v>1317722545</v>
      </c>
      <c r="D343" s="4303"/>
      <c r="E343" s="4304" t="s">
        <v>8484</v>
      </c>
      <c r="F343" s="4305"/>
      <c r="G343" s="4306" t="s">
        <v>8485</v>
      </c>
      <c r="H343" s="4307"/>
      <c r="I343" s="4308"/>
    </row>
    <row r="344" spans="1:9" ht="10.199999999999999" thickBot="1">
      <c r="A344" s="4239"/>
      <c r="B344" s="4325"/>
      <c r="C344" s="4316"/>
      <c r="D344" s="4291"/>
      <c r="E344" s="4316"/>
      <c r="F344" s="4317"/>
      <c r="G344" s="4326"/>
      <c r="H344" s="4327"/>
      <c r="I344" s="4328"/>
    </row>
    <row r="345" spans="1:9" ht="10.199999999999999" thickBot="1">
      <c r="A345" s="4282" t="s">
        <v>8235</v>
      </c>
      <c r="B345" s="4283"/>
      <c r="C345" s="4275"/>
      <c r="D345" s="4283"/>
      <c r="E345" s="4316"/>
      <c r="F345" s="4317"/>
      <c r="G345" s="4313"/>
      <c r="H345" s="4314"/>
      <c r="I345" s="4315"/>
    </row>
    <row r="346" spans="1:9" ht="12.75" customHeight="1" thickBot="1">
      <c r="A346" s="4318" t="s">
        <v>8487</v>
      </c>
      <c r="B346" s="4319"/>
      <c r="C346" s="4319"/>
      <c r="D346" s="4319"/>
      <c r="E346" s="4319"/>
      <c r="F346" s="4319"/>
      <c r="G346" s="4319"/>
      <c r="H346" s="4319"/>
      <c r="I346" s="4320"/>
    </row>
    <row r="347" spans="1:9" ht="11.25" customHeight="1" thickBot="1">
      <c r="A347" s="4321" t="s">
        <v>8488</v>
      </c>
      <c r="B347" s="4322"/>
      <c r="C347" s="4322"/>
      <c r="D347" s="4322"/>
      <c r="E347" s="4322"/>
      <c r="F347" s="4323"/>
      <c r="G347" s="2618" t="s">
        <v>8489</v>
      </c>
      <c r="H347" s="2618" t="s">
        <v>8490</v>
      </c>
      <c r="I347" s="2619"/>
    </row>
    <row r="348" spans="1:9" ht="12" customHeight="1" thickBot="1">
      <c r="A348" s="4120" t="s">
        <v>8491</v>
      </c>
      <c r="B348" s="4121"/>
      <c r="C348" s="4121"/>
      <c r="D348" s="4121"/>
      <c r="E348" s="4121"/>
      <c r="F348" s="4122"/>
      <c r="G348" s="2620"/>
      <c r="H348" s="2621" t="s">
        <v>8277</v>
      </c>
      <c r="I348" s="2619"/>
    </row>
    <row r="349" spans="1:9" ht="13.5" customHeight="1" thickBot="1">
      <c r="A349" s="4120" t="s">
        <v>8492</v>
      </c>
      <c r="B349" s="4121"/>
      <c r="C349" s="4121"/>
      <c r="D349" s="4121"/>
      <c r="E349" s="4121"/>
      <c r="F349" s="4122"/>
      <c r="G349" s="2620"/>
      <c r="H349" s="2621" t="s">
        <v>8277</v>
      </c>
      <c r="I349" s="2619"/>
    </row>
    <row r="350" spans="1:9" ht="13.5" customHeight="1" thickBot="1">
      <c r="A350" s="4120" t="s">
        <v>8493</v>
      </c>
      <c r="B350" s="4121"/>
      <c r="C350" s="4121"/>
      <c r="D350" s="4121"/>
      <c r="E350" s="4121"/>
      <c r="F350" s="4122"/>
      <c r="G350" s="2620"/>
      <c r="H350" s="2621" t="s">
        <v>8277</v>
      </c>
      <c r="I350" s="2619"/>
    </row>
    <row r="351" spans="1:9" ht="10.199999999999999" thickBot="1">
      <c r="A351" s="4166"/>
      <c r="B351" s="4167"/>
      <c r="C351" s="4167"/>
      <c r="D351" s="4167"/>
      <c r="E351" s="4167"/>
      <c r="F351" s="4167"/>
      <c r="G351" s="4167"/>
      <c r="H351" s="4167"/>
      <c r="I351" s="4331"/>
    </row>
    <row r="352" spans="1:9" ht="38.25" customHeight="1" thickBot="1">
      <c r="A352" s="4300" t="s">
        <v>8494</v>
      </c>
      <c r="B352" s="4332"/>
      <c r="C352" s="4332"/>
      <c r="D352" s="4332"/>
      <c r="E352" s="4332"/>
      <c r="F352" s="4333"/>
      <c r="G352" s="4243" t="s">
        <v>8495</v>
      </c>
      <c r="H352" s="4334"/>
      <c r="I352" s="2619"/>
    </row>
    <row r="353" spans="1:9" ht="10.199999999999999" thickBot="1">
      <c r="A353" s="4147">
        <v>1</v>
      </c>
      <c r="B353" s="4148"/>
      <c r="C353" s="4148"/>
      <c r="D353" s="4148"/>
      <c r="E353" s="4148"/>
      <c r="F353" s="4149"/>
      <c r="G353" s="4329">
        <f>33096*0.7</f>
        <v>23167.199999999997</v>
      </c>
      <c r="H353" s="4149"/>
      <c r="I353" s="2619"/>
    </row>
    <row r="354" spans="1:9" ht="10.199999999999999" thickBot="1">
      <c r="A354" s="4147">
        <v>2</v>
      </c>
      <c r="B354" s="4148"/>
      <c r="C354" s="4148"/>
      <c r="D354" s="4148"/>
      <c r="E354" s="4148"/>
      <c r="F354" s="4149"/>
      <c r="G354" s="4329">
        <f>33096*0.3</f>
        <v>9928.7999999999993</v>
      </c>
      <c r="H354" s="4149"/>
      <c r="I354" s="2619"/>
    </row>
    <row r="355" spans="1:9" ht="10.199999999999999" thickBot="1">
      <c r="A355" s="4147">
        <v>3</v>
      </c>
      <c r="B355" s="4148"/>
      <c r="C355" s="4148"/>
      <c r="D355" s="4148"/>
      <c r="E355" s="4148"/>
      <c r="F355" s="4149"/>
      <c r="G355" s="4330">
        <v>0</v>
      </c>
      <c r="H355" s="4149"/>
      <c r="I355" s="2619"/>
    </row>
    <row r="356" spans="1:9" ht="10.199999999999999" thickBot="1">
      <c r="A356" s="4282" t="s">
        <v>8496</v>
      </c>
      <c r="B356" s="4314"/>
      <c r="C356" s="4314"/>
      <c r="D356" s="4314"/>
      <c r="E356" s="4314"/>
      <c r="F356" s="4283"/>
      <c r="G356" s="4330">
        <v>0</v>
      </c>
      <c r="H356" s="4149"/>
      <c r="I356" s="2548"/>
    </row>
    <row r="357" spans="1:9" ht="10.199999999999999" thickBot="1">
      <c r="A357" s="4239"/>
      <c r="B357" s="4240"/>
      <c r="C357" s="4240"/>
      <c r="D357" s="4240"/>
      <c r="E357" s="4240"/>
      <c r="F357" s="4240"/>
      <c r="G357" s="4121"/>
      <c r="H357" s="4121"/>
      <c r="I357" s="2548"/>
    </row>
    <row r="358" spans="1:9" ht="10.199999999999999" thickBot="1">
      <c r="A358" s="4339" t="s">
        <v>8497</v>
      </c>
      <c r="B358" s="4340"/>
      <c r="C358" s="4340"/>
      <c r="D358" s="4340"/>
      <c r="E358" s="4340"/>
      <c r="F358" s="4341"/>
      <c r="G358" s="4330" t="s">
        <v>8498</v>
      </c>
      <c r="H358" s="4149"/>
      <c r="I358" s="2548"/>
    </row>
    <row r="359" spans="1:9" ht="10.199999999999999" thickBot="1">
      <c r="A359" s="4239" t="s">
        <v>8499</v>
      </c>
      <c r="B359" s="4240"/>
      <c r="C359" s="4240"/>
      <c r="D359" s="4240"/>
      <c r="E359" s="4240"/>
      <c r="F359" s="4325"/>
      <c r="G359" s="4243">
        <v>3</v>
      </c>
      <c r="H359" s="4334"/>
      <c r="I359" s="2548"/>
    </row>
    <row r="360" spans="1:9" ht="10.199999999999999" thickBot="1">
      <c r="A360" s="4239" t="s">
        <v>8500</v>
      </c>
      <c r="B360" s="4240"/>
      <c r="C360" s="4240"/>
      <c r="D360" s="4240"/>
      <c r="E360" s="4240"/>
      <c r="F360" s="4325"/>
      <c r="G360" s="4330">
        <v>0</v>
      </c>
      <c r="H360" s="4149"/>
      <c r="I360" s="2622"/>
    </row>
    <row r="361" spans="1:9">
      <c r="A361" s="4097"/>
      <c r="B361" s="4098"/>
      <c r="C361" s="4098"/>
      <c r="D361" s="4098"/>
      <c r="E361" s="4098"/>
      <c r="F361" s="4098"/>
      <c r="G361" s="4098"/>
      <c r="H361" s="4098"/>
      <c r="I361" s="4335"/>
    </row>
    <row r="362" spans="1:9" ht="10.199999999999999" thickBot="1">
      <c r="A362" s="4336" t="s">
        <v>8501</v>
      </c>
      <c r="B362" s="4337"/>
      <c r="C362" s="4337"/>
      <c r="D362" s="4337"/>
      <c r="E362" s="4337"/>
      <c r="F362" s="4337"/>
      <c r="G362" s="4337"/>
      <c r="H362" s="4337"/>
      <c r="I362" s="4338"/>
    </row>
    <row r="363" spans="1:9" ht="10.199999999999999" thickBot="1">
      <c r="A363" s="4282"/>
      <c r="B363" s="4314"/>
      <c r="C363" s="4314"/>
      <c r="D363" s="4314"/>
      <c r="E363" s="4314"/>
      <c r="F363" s="4283"/>
      <c r="G363" s="2606" t="s">
        <v>8489</v>
      </c>
      <c r="H363" s="2606" t="s">
        <v>8344</v>
      </c>
      <c r="I363" s="2623"/>
    </row>
    <row r="364" spans="1:9" ht="10.199999999999999" thickBot="1">
      <c r="A364" s="4239" t="s">
        <v>8502</v>
      </c>
      <c r="B364" s="4240"/>
      <c r="C364" s="4240"/>
      <c r="D364" s="4240"/>
      <c r="E364" s="4240"/>
      <c r="F364" s="4325"/>
      <c r="G364" s="2590"/>
      <c r="H364" s="2590" t="s">
        <v>8277</v>
      </c>
      <c r="I364" s="2605"/>
    </row>
    <row r="365" spans="1:9" ht="10.199999999999999" thickBot="1">
      <c r="A365" s="4239" t="s">
        <v>8503</v>
      </c>
      <c r="B365" s="4240"/>
      <c r="C365" s="4240"/>
      <c r="D365" s="4240"/>
      <c r="E365" s="4240"/>
      <c r="F365" s="4325"/>
      <c r="G365" s="2590" t="s">
        <v>8277</v>
      </c>
      <c r="H365" s="2590"/>
      <c r="I365" s="2605"/>
    </row>
    <row r="366" spans="1:9" ht="10.199999999999999" thickBot="1">
      <c r="A366" s="4239" t="s">
        <v>8504</v>
      </c>
      <c r="B366" s="4240"/>
      <c r="C366" s="4240"/>
      <c r="D366" s="4240"/>
      <c r="E366" s="4240"/>
      <c r="F366" s="4325"/>
      <c r="G366" s="2550"/>
      <c r="H366" s="2590" t="s">
        <v>8277</v>
      </c>
      <c r="I366" s="2555"/>
    </row>
    <row r="367" spans="1:9" ht="10.199999999999999" thickBot="1">
      <c r="A367" s="4239" t="s">
        <v>8505</v>
      </c>
      <c r="B367" s="4240"/>
      <c r="C367" s="4240"/>
      <c r="D367" s="4240"/>
      <c r="E367" s="4240"/>
      <c r="F367" s="4325"/>
      <c r="G367" s="4342" t="s">
        <v>8506</v>
      </c>
      <c r="H367" s="4240"/>
      <c r="I367" s="4343"/>
    </row>
    <row r="368" spans="1:9" ht="10.199999999999999" thickBot="1">
      <c r="A368" s="4239" t="s">
        <v>8507</v>
      </c>
      <c r="B368" s="4240"/>
      <c r="C368" s="4240"/>
      <c r="D368" s="4240"/>
      <c r="E368" s="4240"/>
      <c r="F368" s="4325"/>
      <c r="G368" s="4342" t="s">
        <v>8508</v>
      </c>
      <c r="H368" s="4240"/>
      <c r="I368" s="4343"/>
    </row>
    <row r="369" spans="1:9">
      <c r="A369" s="4358"/>
      <c r="B369" s="4359"/>
      <c r="C369" s="4359"/>
      <c r="D369" s="4359"/>
      <c r="E369" s="4359"/>
      <c r="F369" s="4359"/>
      <c r="G369" s="2509"/>
      <c r="H369" s="2509"/>
      <c r="I369" s="2548"/>
    </row>
    <row r="370" spans="1:9">
      <c r="A370" s="4311" t="s">
        <v>8509</v>
      </c>
      <c r="B370" s="4312"/>
      <c r="C370" s="4312"/>
      <c r="D370" s="4312"/>
      <c r="E370" s="4312"/>
      <c r="F370" s="4312"/>
      <c r="G370" s="4312"/>
      <c r="H370" s="4312"/>
      <c r="I370" s="4360"/>
    </row>
    <row r="371" spans="1:9" ht="10.199999999999999" thickBot="1">
      <c r="A371" s="4203"/>
      <c r="B371" s="4204"/>
      <c r="C371" s="4204"/>
      <c r="D371" s="4204"/>
      <c r="E371" s="4204"/>
      <c r="F371" s="4204"/>
      <c r="G371" s="4204"/>
      <c r="H371" s="4204"/>
      <c r="I371" s="4361"/>
    </row>
    <row r="372" spans="1:9" ht="10.199999999999999" thickBot="1">
      <c r="A372" s="4282"/>
      <c r="B372" s="4314"/>
      <c r="C372" s="4314"/>
      <c r="D372" s="4314"/>
      <c r="E372" s="4314"/>
      <c r="F372" s="4283"/>
      <c r="G372" s="2606" t="s">
        <v>8489</v>
      </c>
      <c r="H372" s="2606" t="s">
        <v>8344</v>
      </c>
      <c r="I372" s="4361"/>
    </row>
    <row r="373" spans="1:9" ht="10.199999999999999" thickBot="1">
      <c r="A373" s="4239" t="s">
        <v>8510</v>
      </c>
      <c r="B373" s="4240"/>
      <c r="C373" s="4240"/>
      <c r="D373" s="4240"/>
      <c r="E373" s="4240"/>
      <c r="F373" s="4325"/>
      <c r="G373" s="2590" t="s">
        <v>8277</v>
      </c>
      <c r="H373" s="2590"/>
      <c r="I373" s="4361"/>
    </row>
    <row r="374" spans="1:9" ht="10.199999999999999" thickBot="1">
      <c r="A374" s="4239" t="s">
        <v>8511</v>
      </c>
      <c r="B374" s="4240"/>
      <c r="C374" s="4240"/>
      <c r="D374" s="4240"/>
      <c r="E374" s="4240"/>
      <c r="F374" s="4325"/>
      <c r="G374" s="2590"/>
      <c r="H374" s="2590" t="s">
        <v>8277</v>
      </c>
      <c r="I374" s="4361"/>
    </row>
    <row r="375" spans="1:9" ht="10.199999999999999" thickBot="1">
      <c r="A375" s="4239" t="s">
        <v>8512</v>
      </c>
      <c r="B375" s="4240"/>
      <c r="C375" s="4240"/>
      <c r="D375" s="4240"/>
      <c r="E375" s="4240"/>
      <c r="F375" s="4325"/>
      <c r="G375" s="2590"/>
      <c r="H375" s="2590" t="s">
        <v>8277</v>
      </c>
      <c r="I375" s="4361"/>
    </row>
    <row r="376" spans="1:9" ht="12" customHeight="1" thickBot="1">
      <c r="A376" s="4239" t="s">
        <v>8513</v>
      </c>
      <c r="B376" s="4240"/>
      <c r="C376" s="4240"/>
      <c r="D376" s="4240"/>
      <c r="E376" s="4240"/>
      <c r="F376" s="4325"/>
      <c r="G376" s="2590"/>
      <c r="H376" s="2590" t="s">
        <v>8277</v>
      </c>
      <c r="I376" s="4361"/>
    </row>
    <row r="377" spans="1:9" ht="12.75" customHeight="1" thickBot="1">
      <c r="A377" s="4239" t="s">
        <v>8514</v>
      </c>
      <c r="B377" s="4240"/>
      <c r="C377" s="4240"/>
      <c r="D377" s="4240"/>
      <c r="E377" s="4240"/>
      <c r="F377" s="4325"/>
      <c r="G377" s="2590" t="s">
        <v>8277</v>
      </c>
      <c r="H377" s="2590"/>
      <c r="I377" s="4362"/>
    </row>
    <row r="378" spans="1:9">
      <c r="A378" s="2624"/>
      <c r="B378" s="2491"/>
      <c r="C378" s="2491"/>
      <c r="D378" s="2491"/>
      <c r="E378" s="2491"/>
      <c r="F378" s="2491"/>
      <c r="G378" s="2491"/>
      <c r="H378" s="2491"/>
      <c r="I378" s="2492"/>
    </row>
    <row r="379" spans="1:9">
      <c r="A379" s="4097" t="s">
        <v>8515</v>
      </c>
      <c r="B379" s="4098"/>
      <c r="C379" s="4098"/>
      <c r="D379" s="4098"/>
      <c r="E379" s="4098"/>
      <c r="F379" s="4098" t="s">
        <v>8516</v>
      </c>
      <c r="G379" s="4098"/>
      <c r="H379" s="4098"/>
      <c r="I379" s="2548"/>
    </row>
    <row r="380" spans="1:9">
      <c r="A380" s="2625"/>
      <c r="B380" s="2626"/>
      <c r="C380" s="2626"/>
      <c r="D380" s="2626"/>
      <c r="E380" s="2626"/>
      <c r="F380" s="2626"/>
      <c r="G380" s="2626"/>
      <c r="H380" s="2626"/>
      <c r="I380" s="2627"/>
    </row>
    <row r="381" spans="1:9">
      <c r="A381" s="2625"/>
      <c r="B381" s="2626"/>
      <c r="C381" s="2626"/>
      <c r="D381" s="2626"/>
      <c r="E381" s="2626"/>
      <c r="F381" s="2626"/>
      <c r="G381" s="2626"/>
      <c r="H381" s="2626"/>
      <c r="I381" s="2627"/>
    </row>
    <row r="382" spans="1:9" ht="57.75" customHeight="1" thickBot="1">
      <c r="A382" s="2628"/>
      <c r="B382" s="2629"/>
      <c r="C382" s="2629"/>
      <c r="D382" s="2629"/>
      <c r="E382" s="2626"/>
      <c r="F382" s="2629"/>
      <c r="G382" s="2629"/>
      <c r="H382" s="2629"/>
      <c r="I382" s="2627"/>
    </row>
    <row r="383" spans="1:9">
      <c r="A383" s="2630" t="s">
        <v>8517</v>
      </c>
      <c r="B383" s="2631" t="s">
        <v>8518</v>
      </c>
      <c r="C383" s="2631"/>
      <c r="D383" s="2631"/>
      <c r="E383" s="2631"/>
      <c r="F383" s="2632" t="s">
        <v>799</v>
      </c>
      <c r="G383" s="4354" t="s">
        <v>8519</v>
      </c>
      <c r="H383" s="4354"/>
      <c r="I383" s="4355"/>
    </row>
    <row r="384" spans="1:9">
      <c r="A384" s="2633" t="s">
        <v>8520</v>
      </c>
      <c r="B384" s="4356" t="s">
        <v>8521</v>
      </c>
      <c r="C384" s="4356"/>
      <c r="D384" s="4356"/>
      <c r="E384" s="4356"/>
      <c r="F384" s="2634" t="s">
        <v>8522</v>
      </c>
      <c r="G384" s="4356" t="s">
        <v>8523</v>
      </c>
      <c r="H384" s="4356"/>
      <c r="I384" s="4357"/>
    </row>
    <row r="385" spans="1:9" ht="13.8">
      <c r="A385" s="2633" t="s">
        <v>8524</v>
      </c>
      <c r="B385" s="4348" t="s">
        <v>8525</v>
      </c>
      <c r="C385" s="4349"/>
      <c r="D385" s="4349"/>
      <c r="E385" s="4349"/>
      <c r="F385" s="2634" t="s">
        <v>8524</v>
      </c>
      <c r="G385" s="4350" t="s">
        <v>8526</v>
      </c>
      <c r="H385" s="4349"/>
      <c r="I385" s="4351"/>
    </row>
    <row r="386" spans="1:9">
      <c r="A386" s="2633" t="s">
        <v>8527</v>
      </c>
      <c r="B386" s="4352"/>
      <c r="C386" s="4352"/>
      <c r="D386" s="4352"/>
      <c r="E386" s="4352"/>
      <c r="F386" s="2635" t="s">
        <v>8527</v>
      </c>
      <c r="G386" s="4352"/>
      <c r="H386" s="4352"/>
      <c r="I386" s="4353"/>
    </row>
    <row r="387" spans="1:9">
      <c r="A387" s="2636"/>
      <c r="B387" s="2636"/>
      <c r="C387" s="2636"/>
      <c r="D387" s="2636"/>
      <c r="E387" s="2636"/>
      <c r="F387" s="2636"/>
      <c r="G387" s="2636"/>
      <c r="H387" s="2636"/>
      <c r="I387" s="2636"/>
    </row>
    <row r="388" spans="1:9">
      <c r="A388" s="2631"/>
      <c r="B388" s="2631"/>
      <c r="C388" s="2631"/>
      <c r="D388" s="2631"/>
      <c r="E388" s="2631"/>
      <c r="F388" s="2631"/>
      <c r="G388" s="2631"/>
      <c r="H388" s="2631"/>
      <c r="I388" s="2631"/>
    </row>
    <row r="389" spans="1:9">
      <c r="A389" s="2631"/>
      <c r="B389" s="2631"/>
      <c r="C389" s="2631"/>
      <c r="D389" s="2631"/>
      <c r="E389" s="2631"/>
      <c r="F389" s="2631"/>
      <c r="G389" s="2631"/>
      <c r="H389" s="2631"/>
      <c r="I389" s="2631"/>
    </row>
  </sheetData>
  <mergeCells count="681">
    <mergeCell ref="G320:H320"/>
    <mergeCell ref="G319:H319"/>
    <mergeCell ref="G321:H321"/>
    <mergeCell ref="G323:H323"/>
    <mergeCell ref="G322:H322"/>
    <mergeCell ref="G318:H318"/>
    <mergeCell ref="B385:E385"/>
    <mergeCell ref="G385:I385"/>
    <mergeCell ref="B386:E386"/>
    <mergeCell ref="G386:I386"/>
    <mergeCell ref="A376:F376"/>
    <mergeCell ref="A377:F377"/>
    <mergeCell ref="A379:E379"/>
    <mergeCell ref="F379:H379"/>
    <mergeCell ref="G383:I383"/>
    <mergeCell ref="B384:E384"/>
    <mergeCell ref="G384:I384"/>
    <mergeCell ref="A368:F368"/>
    <mergeCell ref="G368:I368"/>
    <mergeCell ref="A369:F369"/>
    <mergeCell ref="A370:I370"/>
    <mergeCell ref="A371:H371"/>
    <mergeCell ref="I371:I377"/>
    <mergeCell ref="A372:F372"/>
    <mergeCell ref="A373:F373"/>
    <mergeCell ref="A374:F374"/>
    <mergeCell ref="A375:F375"/>
    <mergeCell ref="A363:F363"/>
    <mergeCell ref="A364:F364"/>
    <mergeCell ref="A365:F365"/>
    <mergeCell ref="A366:F366"/>
    <mergeCell ref="A367:F367"/>
    <mergeCell ref="G367:I367"/>
    <mergeCell ref="A359:F359"/>
    <mergeCell ref="G359:H359"/>
    <mergeCell ref="A360:F360"/>
    <mergeCell ref="G360:H360"/>
    <mergeCell ref="A361:I361"/>
    <mergeCell ref="A362:I362"/>
    <mergeCell ref="A356:F356"/>
    <mergeCell ref="G356:H356"/>
    <mergeCell ref="A357:F357"/>
    <mergeCell ref="G357:H357"/>
    <mergeCell ref="A358:F358"/>
    <mergeCell ref="G358:H358"/>
    <mergeCell ref="A353:F353"/>
    <mergeCell ref="G353:H353"/>
    <mergeCell ref="A354:F354"/>
    <mergeCell ref="G354:H354"/>
    <mergeCell ref="A355:F355"/>
    <mergeCell ref="G355:H355"/>
    <mergeCell ref="A348:F348"/>
    <mergeCell ref="A349:F349"/>
    <mergeCell ref="A350:F350"/>
    <mergeCell ref="A351:I351"/>
    <mergeCell ref="A352:F352"/>
    <mergeCell ref="G352:H352"/>
    <mergeCell ref="A345:B345"/>
    <mergeCell ref="C345:D345"/>
    <mergeCell ref="E345:F345"/>
    <mergeCell ref="G345:I345"/>
    <mergeCell ref="A346:I346"/>
    <mergeCell ref="A347:F347"/>
    <mergeCell ref="A343:B343"/>
    <mergeCell ref="C343:D343"/>
    <mergeCell ref="E343:F343"/>
    <mergeCell ref="G343:I343"/>
    <mergeCell ref="A344:B344"/>
    <mergeCell ref="C344:D344"/>
    <mergeCell ref="E344:F344"/>
    <mergeCell ref="G344:I344"/>
    <mergeCell ref="A341:B341"/>
    <mergeCell ref="C341:D341"/>
    <mergeCell ref="E341:F341"/>
    <mergeCell ref="G341:I341"/>
    <mergeCell ref="A342:B342"/>
    <mergeCell ref="C342:D342"/>
    <mergeCell ref="E342:F342"/>
    <mergeCell ref="G342:I342"/>
    <mergeCell ref="A336:B336"/>
    <mergeCell ref="C336:D336"/>
    <mergeCell ref="H336:I336"/>
    <mergeCell ref="A338:D338"/>
    <mergeCell ref="A340:B340"/>
    <mergeCell ref="C340:D340"/>
    <mergeCell ref="E340:F340"/>
    <mergeCell ref="G340:I340"/>
    <mergeCell ref="A334:B334"/>
    <mergeCell ref="C334:D334"/>
    <mergeCell ref="H334:I334"/>
    <mergeCell ref="A335:B335"/>
    <mergeCell ref="C335:D335"/>
    <mergeCell ref="H335:I335"/>
    <mergeCell ref="A332:B332"/>
    <mergeCell ref="C332:D332"/>
    <mergeCell ref="H332:I332"/>
    <mergeCell ref="A333:B333"/>
    <mergeCell ref="C333:D333"/>
    <mergeCell ref="H333:I333"/>
    <mergeCell ref="E324:F324"/>
    <mergeCell ref="G324:H324"/>
    <mergeCell ref="A325:H325"/>
    <mergeCell ref="A327:B327"/>
    <mergeCell ref="A329:D329"/>
    <mergeCell ref="A331:B331"/>
    <mergeCell ref="C331:D331"/>
    <mergeCell ref="H331:I331"/>
    <mergeCell ref="A322:B322"/>
    <mergeCell ref="E322:F322"/>
    <mergeCell ref="A323:B323"/>
    <mergeCell ref="E323:F323"/>
    <mergeCell ref="A320:B320"/>
    <mergeCell ref="E320:F320"/>
    <mergeCell ref="A321:B321"/>
    <mergeCell ref="E321:F321"/>
    <mergeCell ref="A318:B318"/>
    <mergeCell ref="E318:F318"/>
    <mergeCell ref="A319:B319"/>
    <mergeCell ref="E319:F319"/>
    <mergeCell ref="A314:B314"/>
    <mergeCell ref="E314:F314"/>
    <mergeCell ref="G314:H314"/>
    <mergeCell ref="E315:F315"/>
    <mergeCell ref="E316:F316"/>
    <mergeCell ref="A317:B317"/>
    <mergeCell ref="E317:F317"/>
    <mergeCell ref="G317:H317"/>
    <mergeCell ref="A310:B310"/>
    <mergeCell ref="E310:F310"/>
    <mergeCell ref="G310:H310"/>
    <mergeCell ref="A312:B312"/>
    <mergeCell ref="E312:F312"/>
    <mergeCell ref="G312:H312"/>
    <mergeCell ref="A306:B306"/>
    <mergeCell ref="E306:F306"/>
    <mergeCell ref="G306:H306"/>
    <mergeCell ref="A308:B308"/>
    <mergeCell ref="E308:F308"/>
    <mergeCell ref="G308:H308"/>
    <mergeCell ref="A303:B303"/>
    <mergeCell ref="E303:F303"/>
    <mergeCell ref="G303:H303"/>
    <mergeCell ref="A304:B304"/>
    <mergeCell ref="E304:F304"/>
    <mergeCell ref="G304:H304"/>
    <mergeCell ref="A301:B301"/>
    <mergeCell ref="E301:F301"/>
    <mergeCell ref="G301:H301"/>
    <mergeCell ref="A302:B302"/>
    <mergeCell ref="E302:F302"/>
    <mergeCell ref="G302:H302"/>
    <mergeCell ref="A299:B299"/>
    <mergeCell ref="E299:F299"/>
    <mergeCell ref="G299:H299"/>
    <mergeCell ref="A300:B300"/>
    <mergeCell ref="E300:F300"/>
    <mergeCell ref="G300:H300"/>
    <mergeCell ref="A297:B297"/>
    <mergeCell ref="E297:F297"/>
    <mergeCell ref="G297:H297"/>
    <mergeCell ref="A298:B298"/>
    <mergeCell ref="E298:F298"/>
    <mergeCell ref="G298:H298"/>
    <mergeCell ref="A295:B295"/>
    <mergeCell ref="E295:F295"/>
    <mergeCell ref="G295:H295"/>
    <mergeCell ref="A296:B296"/>
    <mergeCell ref="E296:F296"/>
    <mergeCell ref="G296:H296"/>
    <mergeCell ref="A293:B293"/>
    <mergeCell ref="E293:F293"/>
    <mergeCell ref="G293:H293"/>
    <mergeCell ref="A294:B294"/>
    <mergeCell ref="E294:F294"/>
    <mergeCell ref="G294:H294"/>
    <mergeCell ref="A291:B291"/>
    <mergeCell ref="E291:F291"/>
    <mergeCell ref="G291:H291"/>
    <mergeCell ref="A292:B292"/>
    <mergeCell ref="E292:F292"/>
    <mergeCell ref="G292:H292"/>
    <mergeCell ref="A288:B288"/>
    <mergeCell ref="E288:F288"/>
    <mergeCell ref="G288:H288"/>
    <mergeCell ref="A289:B289"/>
    <mergeCell ref="E289:F289"/>
    <mergeCell ref="G289:H289"/>
    <mergeCell ref="A284:B284"/>
    <mergeCell ref="E284:F284"/>
    <mergeCell ref="G284:H284"/>
    <mergeCell ref="A285:B285"/>
    <mergeCell ref="G285:H285"/>
    <mergeCell ref="A286:B286"/>
    <mergeCell ref="E286:F286"/>
    <mergeCell ref="G286:H286"/>
    <mergeCell ref="A281:B281"/>
    <mergeCell ref="E281:F281"/>
    <mergeCell ref="G281:H281"/>
    <mergeCell ref="A283:B283"/>
    <mergeCell ref="E283:F283"/>
    <mergeCell ref="G283:H283"/>
    <mergeCell ref="A277:B277"/>
    <mergeCell ref="E277:F277"/>
    <mergeCell ref="G277:H277"/>
    <mergeCell ref="A279:B279"/>
    <mergeCell ref="E279:F279"/>
    <mergeCell ref="G279:H279"/>
    <mergeCell ref="A275:B275"/>
    <mergeCell ref="E275:F275"/>
    <mergeCell ref="G275:H275"/>
    <mergeCell ref="A276:B276"/>
    <mergeCell ref="E276:F276"/>
    <mergeCell ref="G276:H276"/>
    <mergeCell ref="A273:B273"/>
    <mergeCell ref="E273:F273"/>
    <mergeCell ref="G273:H273"/>
    <mergeCell ref="A274:B274"/>
    <mergeCell ref="E274:F274"/>
    <mergeCell ref="G274:H274"/>
    <mergeCell ref="A271:B271"/>
    <mergeCell ref="E271:F271"/>
    <mergeCell ref="G271:H271"/>
    <mergeCell ref="A272:B272"/>
    <mergeCell ref="E272:F272"/>
    <mergeCell ref="G272:H272"/>
    <mergeCell ref="A269:B269"/>
    <mergeCell ref="E269:F269"/>
    <mergeCell ref="G269:H269"/>
    <mergeCell ref="A270:B270"/>
    <mergeCell ref="E270:F270"/>
    <mergeCell ref="G270:H270"/>
    <mergeCell ref="A267:B267"/>
    <mergeCell ref="E267:F267"/>
    <mergeCell ref="G267:H267"/>
    <mergeCell ref="A268:B268"/>
    <mergeCell ref="E268:F268"/>
    <mergeCell ref="G268:H268"/>
    <mergeCell ref="A265:B265"/>
    <mergeCell ref="E265:F265"/>
    <mergeCell ref="G265:H265"/>
    <mergeCell ref="A266:B266"/>
    <mergeCell ref="E266:F266"/>
    <mergeCell ref="G266:H266"/>
    <mergeCell ref="A263:B263"/>
    <mergeCell ref="E263:F263"/>
    <mergeCell ref="G263:H263"/>
    <mergeCell ref="A264:B264"/>
    <mergeCell ref="E264:F264"/>
    <mergeCell ref="G264:H264"/>
    <mergeCell ref="A258:B258"/>
    <mergeCell ref="E258:F258"/>
    <mergeCell ref="A260:I260"/>
    <mergeCell ref="A262:B262"/>
    <mergeCell ref="E262:F262"/>
    <mergeCell ref="G262:H262"/>
    <mergeCell ref="A255:B255"/>
    <mergeCell ref="E255:F255"/>
    <mergeCell ref="A256:B256"/>
    <mergeCell ref="E256:F256"/>
    <mergeCell ref="A257:B257"/>
    <mergeCell ref="E257:F257"/>
    <mergeCell ref="A251:B251"/>
    <mergeCell ref="E251:F251"/>
    <mergeCell ref="E252:F252"/>
    <mergeCell ref="A253:B253"/>
    <mergeCell ref="E253:F253"/>
    <mergeCell ref="A254:B254"/>
    <mergeCell ref="E254:F254"/>
    <mergeCell ref="A248:B248"/>
    <mergeCell ref="E248:F248"/>
    <mergeCell ref="A249:B249"/>
    <mergeCell ref="E249:F249"/>
    <mergeCell ref="A250:B250"/>
    <mergeCell ref="E250:F250"/>
    <mergeCell ref="A244:B244"/>
    <mergeCell ref="E244:F244"/>
    <mergeCell ref="A246:B246"/>
    <mergeCell ref="E246:F246"/>
    <mergeCell ref="A247:B247"/>
    <mergeCell ref="E247:F247"/>
    <mergeCell ref="A240:B240"/>
    <mergeCell ref="E240:F240"/>
    <mergeCell ref="A241:B241"/>
    <mergeCell ref="E241:F241"/>
    <mergeCell ref="A242:B242"/>
    <mergeCell ref="E242:F242"/>
    <mergeCell ref="A237:B237"/>
    <mergeCell ref="E237:F237"/>
    <mergeCell ref="A238:B238"/>
    <mergeCell ref="E238:F238"/>
    <mergeCell ref="A239:B239"/>
    <mergeCell ref="E239:F239"/>
    <mergeCell ref="A234:B234"/>
    <mergeCell ref="E234:F234"/>
    <mergeCell ref="A235:B235"/>
    <mergeCell ref="E235:F235"/>
    <mergeCell ref="A236:B236"/>
    <mergeCell ref="E236:F236"/>
    <mergeCell ref="A231:B231"/>
    <mergeCell ref="E231:F231"/>
    <mergeCell ref="A232:B232"/>
    <mergeCell ref="E232:F232"/>
    <mergeCell ref="A233:B233"/>
    <mergeCell ref="E233:F233"/>
    <mergeCell ref="A227:B227"/>
    <mergeCell ref="E227:F227"/>
    <mergeCell ref="A229:B229"/>
    <mergeCell ref="E229:F229"/>
    <mergeCell ref="A230:B230"/>
    <mergeCell ref="E230:F230"/>
    <mergeCell ref="A224:B224"/>
    <mergeCell ref="E224:F224"/>
    <mergeCell ref="A225:B225"/>
    <mergeCell ref="E225:F225"/>
    <mergeCell ref="A226:B226"/>
    <mergeCell ref="E226:F226"/>
    <mergeCell ref="A220:B220"/>
    <mergeCell ref="E220:F220"/>
    <mergeCell ref="A222:B222"/>
    <mergeCell ref="E222:F222"/>
    <mergeCell ref="A223:B223"/>
    <mergeCell ref="E223:F223"/>
    <mergeCell ref="A216:B216"/>
    <mergeCell ref="E216:F216"/>
    <mergeCell ref="A217:B217"/>
    <mergeCell ref="E217:F217"/>
    <mergeCell ref="A218:B218"/>
    <mergeCell ref="E218:F218"/>
    <mergeCell ref="A213:B213"/>
    <mergeCell ref="E213:F213"/>
    <mergeCell ref="A214:B214"/>
    <mergeCell ref="E214:F214"/>
    <mergeCell ref="A215:B215"/>
    <mergeCell ref="E215:F215"/>
    <mergeCell ref="A210:B210"/>
    <mergeCell ref="E210:F210"/>
    <mergeCell ref="A211:B211"/>
    <mergeCell ref="E211:F211"/>
    <mergeCell ref="A212:B212"/>
    <mergeCell ref="E212:F212"/>
    <mergeCell ref="A207:B207"/>
    <mergeCell ref="E207:F207"/>
    <mergeCell ref="A208:B208"/>
    <mergeCell ref="E208:F208"/>
    <mergeCell ref="A209:B209"/>
    <mergeCell ref="E209:F209"/>
    <mergeCell ref="A204:B204"/>
    <mergeCell ref="E204:F204"/>
    <mergeCell ref="A205:B205"/>
    <mergeCell ref="E205:F205"/>
    <mergeCell ref="A206:B206"/>
    <mergeCell ref="E206:F206"/>
    <mergeCell ref="A200:B200"/>
    <mergeCell ref="E200:F200"/>
    <mergeCell ref="A201:B201"/>
    <mergeCell ref="E201:F201"/>
    <mergeCell ref="A202:B202"/>
    <mergeCell ref="E202:F202"/>
    <mergeCell ref="A196:B196"/>
    <mergeCell ref="E196:F196"/>
    <mergeCell ref="A198:B198"/>
    <mergeCell ref="E198:F198"/>
    <mergeCell ref="A199:B199"/>
    <mergeCell ref="E199:F199"/>
    <mergeCell ref="A193:B193"/>
    <mergeCell ref="E193:F193"/>
    <mergeCell ref="A194:B194"/>
    <mergeCell ref="E194:F194"/>
    <mergeCell ref="A195:B195"/>
    <mergeCell ref="E195:F195"/>
    <mergeCell ref="A190:B190"/>
    <mergeCell ref="E190:F190"/>
    <mergeCell ref="A191:B191"/>
    <mergeCell ref="E191:F191"/>
    <mergeCell ref="A192:B192"/>
    <mergeCell ref="E192:F192"/>
    <mergeCell ref="A187:B187"/>
    <mergeCell ref="E187:F187"/>
    <mergeCell ref="A188:B188"/>
    <mergeCell ref="E188:F188"/>
    <mergeCell ref="A189:B189"/>
    <mergeCell ref="E189:F189"/>
    <mergeCell ref="A183:B183"/>
    <mergeCell ref="E183:F183"/>
    <mergeCell ref="A185:B185"/>
    <mergeCell ref="E185:F185"/>
    <mergeCell ref="A186:B186"/>
    <mergeCell ref="E186:F186"/>
    <mergeCell ref="A180:B180"/>
    <mergeCell ref="E180:F180"/>
    <mergeCell ref="A181:B181"/>
    <mergeCell ref="E181:F181"/>
    <mergeCell ref="A182:B182"/>
    <mergeCell ref="E182:F182"/>
    <mergeCell ref="A175:B175"/>
    <mergeCell ref="E175:F175"/>
    <mergeCell ref="A177:B177"/>
    <mergeCell ref="E177:F177"/>
    <mergeCell ref="A179:B179"/>
    <mergeCell ref="E179:F179"/>
    <mergeCell ref="A172:B172"/>
    <mergeCell ref="E172:F172"/>
    <mergeCell ref="A173:B173"/>
    <mergeCell ref="E173:F173"/>
    <mergeCell ref="A174:B174"/>
    <mergeCell ref="E174:F174"/>
    <mergeCell ref="A169:B169"/>
    <mergeCell ref="E169:F169"/>
    <mergeCell ref="A170:B170"/>
    <mergeCell ref="E170:F170"/>
    <mergeCell ref="A171:B171"/>
    <mergeCell ref="E171:F171"/>
    <mergeCell ref="A166:B166"/>
    <mergeCell ref="E166:F166"/>
    <mergeCell ref="A167:B167"/>
    <mergeCell ref="E167:F167"/>
    <mergeCell ref="A168:B168"/>
    <mergeCell ref="E168:F168"/>
    <mergeCell ref="A163:B163"/>
    <mergeCell ref="E163:F163"/>
    <mergeCell ref="A164:B164"/>
    <mergeCell ref="E164:F164"/>
    <mergeCell ref="A165:B165"/>
    <mergeCell ref="E165:F165"/>
    <mergeCell ref="G158:H158"/>
    <mergeCell ref="A159:I159"/>
    <mergeCell ref="A161:B161"/>
    <mergeCell ref="E161:F161"/>
    <mergeCell ref="A162:B162"/>
    <mergeCell ref="E162:F162"/>
    <mergeCell ref="A152:A153"/>
    <mergeCell ref="B152:B153"/>
    <mergeCell ref="A155:E155"/>
    <mergeCell ref="A157:F157"/>
    <mergeCell ref="A158:B158"/>
    <mergeCell ref="E158:F158"/>
    <mergeCell ref="A146:A147"/>
    <mergeCell ref="B146:B147"/>
    <mergeCell ref="A148:A149"/>
    <mergeCell ref="B148:B149"/>
    <mergeCell ref="A150:A151"/>
    <mergeCell ref="B150:B151"/>
    <mergeCell ref="A133:G133"/>
    <mergeCell ref="A140:G140"/>
    <mergeCell ref="A141:D141"/>
    <mergeCell ref="A142:A143"/>
    <mergeCell ref="B142:B143"/>
    <mergeCell ref="A144:A145"/>
    <mergeCell ref="B144:B145"/>
    <mergeCell ref="A128:C128"/>
    <mergeCell ref="F128:I132"/>
    <mergeCell ref="A129:C129"/>
    <mergeCell ref="A130:C130"/>
    <mergeCell ref="A131:C131"/>
    <mergeCell ref="A132:C132"/>
    <mergeCell ref="A125:E125"/>
    <mergeCell ref="F125:G125"/>
    <mergeCell ref="A126:C126"/>
    <mergeCell ref="F126:G126"/>
    <mergeCell ref="A127:C127"/>
    <mergeCell ref="F127:I127"/>
    <mergeCell ref="A122:C122"/>
    <mergeCell ref="F122:G122"/>
    <mergeCell ref="A123:C123"/>
    <mergeCell ref="F123:G123"/>
    <mergeCell ref="A124:C124"/>
    <mergeCell ref="F124:G124"/>
    <mergeCell ref="A119:C119"/>
    <mergeCell ref="F119:G119"/>
    <mergeCell ref="A120:C120"/>
    <mergeCell ref="F120:I120"/>
    <mergeCell ref="A121:C121"/>
    <mergeCell ref="F121:G121"/>
    <mergeCell ref="A116:E116"/>
    <mergeCell ref="F116:G116"/>
    <mergeCell ref="A117:C117"/>
    <mergeCell ref="F117:G117"/>
    <mergeCell ref="A118:C118"/>
    <mergeCell ref="F118:G118"/>
    <mergeCell ref="A113:C113"/>
    <mergeCell ref="F113:H113"/>
    <mergeCell ref="A114:C114"/>
    <mergeCell ref="F114:H114"/>
    <mergeCell ref="A115:C115"/>
    <mergeCell ref="F115:I115"/>
    <mergeCell ref="A110:E110"/>
    <mergeCell ref="F110:I110"/>
    <mergeCell ref="A111:C111"/>
    <mergeCell ref="F111:H111"/>
    <mergeCell ref="A112:C112"/>
    <mergeCell ref="F112:H112"/>
    <mergeCell ref="A103:I103"/>
    <mergeCell ref="A104:D104"/>
    <mergeCell ref="A105:I105"/>
    <mergeCell ref="A106:F106"/>
    <mergeCell ref="A107:I107"/>
    <mergeCell ref="A109:D109"/>
    <mergeCell ref="A95:B95"/>
    <mergeCell ref="A96:B97"/>
    <mergeCell ref="A99:I99"/>
    <mergeCell ref="A100:I100"/>
    <mergeCell ref="A101:I101"/>
    <mergeCell ref="A102:E102"/>
    <mergeCell ref="A91:A92"/>
    <mergeCell ref="H91:I91"/>
    <mergeCell ref="H92:I92"/>
    <mergeCell ref="A93:A94"/>
    <mergeCell ref="H93:I93"/>
    <mergeCell ref="H94:I94"/>
    <mergeCell ref="A87:A88"/>
    <mergeCell ref="H87:I87"/>
    <mergeCell ref="H88:I88"/>
    <mergeCell ref="A89:A90"/>
    <mergeCell ref="H89:I89"/>
    <mergeCell ref="H90:I90"/>
    <mergeCell ref="A82:C82"/>
    <mergeCell ref="D82:I82"/>
    <mergeCell ref="A83:A84"/>
    <mergeCell ref="H83:I83"/>
    <mergeCell ref="H84:I84"/>
    <mergeCell ref="A85:A86"/>
    <mergeCell ref="H85:I85"/>
    <mergeCell ref="H86:I86"/>
    <mergeCell ref="A79:A80"/>
    <mergeCell ref="B79:C79"/>
    <mergeCell ref="H79:I79"/>
    <mergeCell ref="B80:C80"/>
    <mergeCell ref="H80:I80"/>
    <mergeCell ref="B81:C81"/>
    <mergeCell ref="H81:I81"/>
    <mergeCell ref="A76:A77"/>
    <mergeCell ref="B76:C76"/>
    <mergeCell ref="H76:I76"/>
    <mergeCell ref="B77:C77"/>
    <mergeCell ref="H77:I77"/>
    <mergeCell ref="B78:C78"/>
    <mergeCell ref="H78:I78"/>
    <mergeCell ref="A73:C73"/>
    <mergeCell ref="D73:I73"/>
    <mergeCell ref="A74:A75"/>
    <mergeCell ref="B74:C74"/>
    <mergeCell ref="H74:I74"/>
    <mergeCell ref="B75:C75"/>
    <mergeCell ref="H75:I75"/>
    <mergeCell ref="B70:C70"/>
    <mergeCell ref="H70:I70"/>
    <mergeCell ref="A71:A72"/>
    <mergeCell ref="B71:C71"/>
    <mergeCell ref="H71:I71"/>
    <mergeCell ref="B72:C72"/>
    <mergeCell ref="H72:I72"/>
    <mergeCell ref="B66:C66"/>
    <mergeCell ref="H66:I66"/>
    <mergeCell ref="B67:C67"/>
    <mergeCell ref="H67:I67"/>
    <mergeCell ref="A68:A69"/>
    <mergeCell ref="B68:C68"/>
    <mergeCell ref="H68:I68"/>
    <mergeCell ref="B69:C69"/>
    <mergeCell ref="H69:I69"/>
    <mergeCell ref="B63:C63"/>
    <mergeCell ref="H63:I63"/>
    <mergeCell ref="A64:A65"/>
    <mergeCell ref="B64:C64"/>
    <mergeCell ref="H64:I64"/>
    <mergeCell ref="B65:C65"/>
    <mergeCell ref="H65:I65"/>
    <mergeCell ref="A59:C59"/>
    <mergeCell ref="D59:I59"/>
    <mergeCell ref="B60:C60"/>
    <mergeCell ref="H60:I60"/>
    <mergeCell ref="A61:A62"/>
    <mergeCell ref="B61:C61"/>
    <mergeCell ref="H61:I61"/>
    <mergeCell ref="B62:C62"/>
    <mergeCell ref="H62:I62"/>
    <mergeCell ref="A55:C55"/>
    <mergeCell ref="D55:E55"/>
    <mergeCell ref="G55:I55"/>
    <mergeCell ref="A57:C58"/>
    <mergeCell ref="F57:G57"/>
    <mergeCell ref="H57:I58"/>
    <mergeCell ref="D52:E52"/>
    <mergeCell ref="G52:I52"/>
    <mergeCell ref="D53:E53"/>
    <mergeCell ref="G53:I53"/>
    <mergeCell ref="D54:E54"/>
    <mergeCell ref="G54:I54"/>
    <mergeCell ref="A49:C49"/>
    <mergeCell ref="D49:E49"/>
    <mergeCell ref="G49:I49"/>
    <mergeCell ref="D50:E50"/>
    <mergeCell ref="G50:I50"/>
    <mergeCell ref="D51:E51"/>
    <mergeCell ref="G51:I51"/>
    <mergeCell ref="H43:H44"/>
    <mergeCell ref="I43:I44"/>
    <mergeCell ref="C44:E44"/>
    <mergeCell ref="A46:I46"/>
    <mergeCell ref="D48:E48"/>
    <mergeCell ref="G48:I48"/>
    <mergeCell ref="C41:E41"/>
    <mergeCell ref="C42:E42"/>
    <mergeCell ref="A43:B44"/>
    <mergeCell ref="C43:E43"/>
    <mergeCell ref="F43:F44"/>
    <mergeCell ref="G43:G44"/>
    <mergeCell ref="H37:H38"/>
    <mergeCell ref="I37:I38"/>
    <mergeCell ref="C38:E38"/>
    <mergeCell ref="A39:E39"/>
    <mergeCell ref="A40:B42"/>
    <mergeCell ref="C40:E40"/>
    <mergeCell ref="F40:F42"/>
    <mergeCell ref="G40:G42"/>
    <mergeCell ref="H40:H42"/>
    <mergeCell ref="I40:I42"/>
    <mergeCell ref="A35:E35"/>
    <mergeCell ref="A36:E36"/>
    <mergeCell ref="A37:B38"/>
    <mergeCell ref="C37:E37"/>
    <mergeCell ref="F37:F38"/>
    <mergeCell ref="G37:G38"/>
    <mergeCell ref="A33:B34"/>
    <mergeCell ref="C33:E33"/>
    <mergeCell ref="F33:F34"/>
    <mergeCell ref="G33:G34"/>
    <mergeCell ref="H33:H34"/>
    <mergeCell ref="I33:I34"/>
    <mergeCell ref="C34:E34"/>
    <mergeCell ref="H29:H30"/>
    <mergeCell ref="I29:I30"/>
    <mergeCell ref="C30:E30"/>
    <mergeCell ref="C31:E31"/>
    <mergeCell ref="F31:F32"/>
    <mergeCell ref="G31:G32"/>
    <mergeCell ref="H31:H32"/>
    <mergeCell ref="I31:I32"/>
    <mergeCell ref="C32:E32"/>
    <mergeCell ref="C27:E27"/>
    <mergeCell ref="A28:D28"/>
    <mergeCell ref="A29:B29"/>
    <mergeCell ref="C29:E29"/>
    <mergeCell ref="F29:F30"/>
    <mergeCell ref="G29:G30"/>
    <mergeCell ref="F23:G23"/>
    <mergeCell ref="H23:I23"/>
    <mergeCell ref="A24:E24"/>
    <mergeCell ref="A25:E25"/>
    <mergeCell ref="A26:B26"/>
    <mergeCell ref="C26:E26"/>
    <mergeCell ref="F26:F27"/>
    <mergeCell ref="G26:G27"/>
    <mergeCell ref="H26:H27"/>
    <mergeCell ref="I26:I27"/>
    <mergeCell ref="A15:C15"/>
    <mergeCell ref="A16:C16"/>
    <mergeCell ref="A17:C17"/>
    <mergeCell ref="A18:C18"/>
    <mergeCell ref="A20:D20"/>
    <mergeCell ref="A22:I22"/>
    <mergeCell ref="B10:E10"/>
    <mergeCell ref="G10:I10"/>
    <mergeCell ref="A12:I12"/>
    <mergeCell ref="D13:E13"/>
    <mergeCell ref="F13:G13"/>
    <mergeCell ref="H13:I13"/>
    <mergeCell ref="A6:I6"/>
    <mergeCell ref="A7:I7"/>
    <mergeCell ref="A8:C8"/>
    <mergeCell ref="D8:I8"/>
    <mergeCell ref="B9:D9"/>
    <mergeCell ref="E9:F9"/>
    <mergeCell ref="G9:I9"/>
    <mergeCell ref="A1:B5"/>
    <mergeCell ref="C1:G5"/>
    <mergeCell ref="H1:I1"/>
    <mergeCell ref="H2:I2"/>
    <mergeCell ref="H3:I3"/>
    <mergeCell ref="H4:I4"/>
    <mergeCell ref="H5:I5"/>
  </mergeCells>
  <hyperlinks>
    <hyperlink ref="B385" r:id="rId1"/>
  </hyperlinks>
  <printOptions horizontalCentered="1" verticalCentered="1"/>
  <pageMargins left="0.70866141732283472" right="0.70866141732283472" top="0.74803149606299213" bottom="0.74803149606299213" header="0.31496062992125984" footer="0.31496062992125984"/>
  <pageSetup scale="64" fitToHeight="5" orientation="portrait" r:id="rId2"/>
  <headerFooter>
    <oddFooter>&amp;R&amp;"Arial Narrow,Normal"&amp;8Página &amp;P de &amp;N</oddFooter>
  </headerFooter>
  <rowBreaks count="3" manualBreakCount="3">
    <brk id="81" max="16383" man="1"/>
    <brk id="140" max="16383" man="1"/>
    <brk id="345" max="16383" man="1"/>
  </rowBreaks>
  <drawing r:id="rId3"/>
  <legacyDrawing r:id="rId4"/>
  <oleObjects>
    <mc:AlternateContent xmlns:mc="http://schemas.openxmlformats.org/markup-compatibility/2006">
      <mc:Choice Requires="x14">
        <oleObject progId="PBrush" shapeId="180225" r:id="rId5">
          <objectPr defaultSize="0" autoPict="0" r:id="rId6">
            <anchor moveWithCells="1" sizeWithCells="1">
              <from>
                <xdr:col>0</xdr:col>
                <xdr:colOff>327660</xdr:colOff>
                <xdr:row>1</xdr:row>
                <xdr:rowOff>83820</xdr:rowOff>
              </from>
              <to>
                <xdr:col>1</xdr:col>
                <xdr:colOff>868680</xdr:colOff>
                <xdr:row>3</xdr:row>
                <xdr:rowOff>30480</xdr:rowOff>
              </to>
            </anchor>
          </objectPr>
        </oleObject>
      </mc:Choice>
      <mc:Fallback>
        <oleObject progId="PBrush" shapeId="180225" r:id="rId5"/>
      </mc:Fallback>
    </mc:AlternateContent>
  </oleObjec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56"/>
  <sheetViews>
    <sheetView view="pageBreakPreview" topLeftCell="A34" zoomScale="83" zoomScaleNormal="30" zoomScaleSheetLayoutView="83" workbookViewId="0">
      <selection activeCell="D54" sqref="D54"/>
    </sheetView>
  </sheetViews>
  <sheetFormatPr baseColWidth="10" defaultColWidth="12.109375" defaultRowHeight="13.8"/>
  <cols>
    <col min="1" max="1" width="12.109375" style="1944"/>
    <col min="2" max="2" width="10.6640625" style="1953" customWidth="1"/>
    <col min="3" max="3" width="35.5546875" style="1944" customWidth="1"/>
    <col min="4" max="4" width="14.33203125" style="1953" customWidth="1"/>
    <col min="5" max="5" width="14.33203125" style="1944" customWidth="1"/>
    <col min="6" max="6" width="15" style="1944" customWidth="1"/>
    <col min="7" max="7" width="14.33203125" style="1944" customWidth="1"/>
    <col min="8" max="8" width="12.109375" style="1944" customWidth="1"/>
    <col min="9" max="9" width="14.33203125" style="1944" customWidth="1"/>
    <col min="10" max="10" width="17.44140625" style="1944" customWidth="1"/>
    <col min="11" max="11" width="12.109375" style="1944"/>
    <col min="12" max="12" width="15.6640625" style="1944" bestFit="1" customWidth="1"/>
    <col min="13" max="13" width="13.6640625" style="1944" bestFit="1" customWidth="1"/>
    <col min="14" max="14" width="12.109375" style="1944"/>
    <col min="15" max="15" width="25" style="1944" customWidth="1"/>
    <col min="16" max="16" width="11.5546875" style="1944" customWidth="1"/>
    <col min="17" max="257" width="12.109375" style="1944"/>
    <col min="258" max="258" width="10.6640625" style="1944" customWidth="1"/>
    <col min="259" max="259" width="32.33203125" style="1944" customWidth="1"/>
    <col min="260" max="266" width="14.33203125" style="1944" customWidth="1"/>
    <col min="267" max="267" width="12.109375" style="1944"/>
    <col min="268" max="268" width="15.6640625" style="1944" bestFit="1" customWidth="1"/>
    <col min="269" max="269" width="13.6640625" style="1944" bestFit="1" customWidth="1"/>
    <col min="270" max="513" width="12.109375" style="1944"/>
    <col min="514" max="514" width="10.6640625" style="1944" customWidth="1"/>
    <col min="515" max="515" width="32.33203125" style="1944" customWidth="1"/>
    <col min="516" max="522" width="14.33203125" style="1944" customWidth="1"/>
    <col min="523" max="523" width="12.109375" style="1944"/>
    <col min="524" max="524" width="15.6640625" style="1944" bestFit="1" customWidth="1"/>
    <col min="525" max="525" width="13.6640625" style="1944" bestFit="1" customWidth="1"/>
    <col min="526" max="769" width="12.109375" style="1944"/>
    <col min="770" max="770" width="10.6640625" style="1944" customWidth="1"/>
    <col min="771" max="771" width="32.33203125" style="1944" customWidth="1"/>
    <col min="772" max="778" width="14.33203125" style="1944" customWidth="1"/>
    <col min="779" max="779" width="12.109375" style="1944"/>
    <col min="780" max="780" width="15.6640625" style="1944" bestFit="1" customWidth="1"/>
    <col min="781" max="781" width="13.6640625" style="1944" bestFit="1" customWidth="1"/>
    <col min="782" max="1025" width="12.109375" style="1944"/>
    <col min="1026" max="1026" width="10.6640625" style="1944" customWidth="1"/>
    <col min="1027" max="1027" width="32.33203125" style="1944" customWidth="1"/>
    <col min="1028" max="1034" width="14.33203125" style="1944" customWidth="1"/>
    <col min="1035" max="1035" width="12.109375" style="1944"/>
    <col min="1036" max="1036" width="15.6640625" style="1944" bestFit="1" customWidth="1"/>
    <col min="1037" max="1037" width="13.6640625" style="1944" bestFit="1" customWidth="1"/>
    <col min="1038" max="1281" width="12.109375" style="1944"/>
    <col min="1282" max="1282" width="10.6640625" style="1944" customWidth="1"/>
    <col min="1283" max="1283" width="32.33203125" style="1944" customWidth="1"/>
    <col min="1284" max="1290" width="14.33203125" style="1944" customWidth="1"/>
    <col min="1291" max="1291" width="12.109375" style="1944"/>
    <col min="1292" max="1292" width="15.6640625" style="1944" bestFit="1" customWidth="1"/>
    <col min="1293" max="1293" width="13.6640625" style="1944" bestFit="1" customWidth="1"/>
    <col min="1294" max="1537" width="12.109375" style="1944"/>
    <col min="1538" max="1538" width="10.6640625" style="1944" customWidth="1"/>
    <col min="1539" max="1539" width="32.33203125" style="1944" customWidth="1"/>
    <col min="1540" max="1546" width="14.33203125" style="1944" customWidth="1"/>
    <col min="1547" max="1547" width="12.109375" style="1944"/>
    <col min="1548" max="1548" width="15.6640625" style="1944" bestFit="1" customWidth="1"/>
    <col min="1549" max="1549" width="13.6640625" style="1944" bestFit="1" customWidth="1"/>
    <col min="1550" max="1793" width="12.109375" style="1944"/>
    <col min="1794" max="1794" width="10.6640625" style="1944" customWidth="1"/>
    <col min="1795" max="1795" width="32.33203125" style="1944" customWidth="1"/>
    <col min="1796" max="1802" width="14.33203125" style="1944" customWidth="1"/>
    <col min="1803" max="1803" width="12.109375" style="1944"/>
    <col min="1804" max="1804" width="15.6640625" style="1944" bestFit="1" customWidth="1"/>
    <col min="1805" max="1805" width="13.6640625" style="1944" bestFit="1" customWidth="1"/>
    <col min="1806" max="2049" width="12.109375" style="1944"/>
    <col min="2050" max="2050" width="10.6640625" style="1944" customWidth="1"/>
    <col min="2051" max="2051" width="32.33203125" style="1944" customWidth="1"/>
    <col min="2052" max="2058" width="14.33203125" style="1944" customWidth="1"/>
    <col min="2059" max="2059" width="12.109375" style="1944"/>
    <col min="2060" max="2060" width="15.6640625" style="1944" bestFit="1" customWidth="1"/>
    <col min="2061" max="2061" width="13.6640625" style="1944" bestFit="1" customWidth="1"/>
    <col min="2062" max="2305" width="12.109375" style="1944"/>
    <col min="2306" max="2306" width="10.6640625" style="1944" customWidth="1"/>
    <col min="2307" max="2307" width="32.33203125" style="1944" customWidth="1"/>
    <col min="2308" max="2314" width="14.33203125" style="1944" customWidth="1"/>
    <col min="2315" max="2315" width="12.109375" style="1944"/>
    <col min="2316" max="2316" width="15.6640625" style="1944" bestFit="1" customWidth="1"/>
    <col min="2317" max="2317" width="13.6640625" style="1944" bestFit="1" customWidth="1"/>
    <col min="2318" max="2561" width="12.109375" style="1944"/>
    <col min="2562" max="2562" width="10.6640625" style="1944" customWidth="1"/>
    <col min="2563" max="2563" width="32.33203125" style="1944" customWidth="1"/>
    <col min="2564" max="2570" width="14.33203125" style="1944" customWidth="1"/>
    <col min="2571" max="2571" width="12.109375" style="1944"/>
    <col min="2572" max="2572" width="15.6640625" style="1944" bestFit="1" customWidth="1"/>
    <col min="2573" max="2573" width="13.6640625" style="1944" bestFit="1" customWidth="1"/>
    <col min="2574" max="2817" width="12.109375" style="1944"/>
    <col min="2818" max="2818" width="10.6640625" style="1944" customWidth="1"/>
    <col min="2819" max="2819" width="32.33203125" style="1944" customWidth="1"/>
    <col min="2820" max="2826" width="14.33203125" style="1944" customWidth="1"/>
    <col min="2827" max="2827" width="12.109375" style="1944"/>
    <col min="2828" max="2828" width="15.6640625" style="1944" bestFit="1" customWidth="1"/>
    <col min="2829" max="2829" width="13.6640625" style="1944" bestFit="1" customWidth="1"/>
    <col min="2830" max="3073" width="12.109375" style="1944"/>
    <col min="3074" max="3074" width="10.6640625" style="1944" customWidth="1"/>
    <col min="3075" max="3075" width="32.33203125" style="1944" customWidth="1"/>
    <col min="3076" max="3082" width="14.33203125" style="1944" customWidth="1"/>
    <col min="3083" max="3083" width="12.109375" style="1944"/>
    <col min="3084" max="3084" width="15.6640625" style="1944" bestFit="1" customWidth="1"/>
    <col min="3085" max="3085" width="13.6640625" style="1944" bestFit="1" customWidth="1"/>
    <col min="3086" max="3329" width="12.109375" style="1944"/>
    <col min="3330" max="3330" width="10.6640625" style="1944" customWidth="1"/>
    <col min="3331" max="3331" width="32.33203125" style="1944" customWidth="1"/>
    <col min="3332" max="3338" width="14.33203125" style="1944" customWidth="1"/>
    <col min="3339" max="3339" width="12.109375" style="1944"/>
    <col min="3340" max="3340" width="15.6640625" style="1944" bestFit="1" customWidth="1"/>
    <col min="3341" max="3341" width="13.6640625" style="1944" bestFit="1" customWidth="1"/>
    <col min="3342" max="3585" width="12.109375" style="1944"/>
    <col min="3586" max="3586" width="10.6640625" style="1944" customWidth="1"/>
    <col min="3587" max="3587" width="32.33203125" style="1944" customWidth="1"/>
    <col min="3588" max="3594" width="14.33203125" style="1944" customWidth="1"/>
    <col min="3595" max="3595" width="12.109375" style="1944"/>
    <col min="3596" max="3596" width="15.6640625" style="1944" bestFit="1" customWidth="1"/>
    <col min="3597" max="3597" width="13.6640625" style="1944" bestFit="1" customWidth="1"/>
    <col min="3598" max="3841" width="12.109375" style="1944"/>
    <col min="3842" max="3842" width="10.6640625" style="1944" customWidth="1"/>
    <col min="3843" max="3843" width="32.33203125" style="1944" customWidth="1"/>
    <col min="3844" max="3850" width="14.33203125" style="1944" customWidth="1"/>
    <col min="3851" max="3851" width="12.109375" style="1944"/>
    <col min="3852" max="3852" width="15.6640625" style="1944" bestFit="1" customWidth="1"/>
    <col min="3853" max="3853" width="13.6640625" style="1944" bestFit="1" customWidth="1"/>
    <col min="3854" max="4097" width="12.109375" style="1944"/>
    <col min="4098" max="4098" width="10.6640625" style="1944" customWidth="1"/>
    <col min="4099" max="4099" width="32.33203125" style="1944" customWidth="1"/>
    <col min="4100" max="4106" width="14.33203125" style="1944" customWidth="1"/>
    <col min="4107" max="4107" width="12.109375" style="1944"/>
    <col min="4108" max="4108" width="15.6640625" style="1944" bestFit="1" customWidth="1"/>
    <col min="4109" max="4109" width="13.6640625" style="1944" bestFit="1" customWidth="1"/>
    <col min="4110" max="4353" width="12.109375" style="1944"/>
    <col min="4354" max="4354" width="10.6640625" style="1944" customWidth="1"/>
    <col min="4355" max="4355" width="32.33203125" style="1944" customWidth="1"/>
    <col min="4356" max="4362" width="14.33203125" style="1944" customWidth="1"/>
    <col min="4363" max="4363" width="12.109375" style="1944"/>
    <col min="4364" max="4364" width="15.6640625" style="1944" bestFit="1" customWidth="1"/>
    <col min="4365" max="4365" width="13.6640625" style="1944" bestFit="1" customWidth="1"/>
    <col min="4366" max="4609" width="12.109375" style="1944"/>
    <col min="4610" max="4610" width="10.6640625" style="1944" customWidth="1"/>
    <col min="4611" max="4611" width="32.33203125" style="1944" customWidth="1"/>
    <col min="4612" max="4618" width="14.33203125" style="1944" customWidth="1"/>
    <col min="4619" max="4619" width="12.109375" style="1944"/>
    <col min="4620" max="4620" width="15.6640625" style="1944" bestFit="1" customWidth="1"/>
    <col min="4621" max="4621" width="13.6640625" style="1944" bestFit="1" customWidth="1"/>
    <col min="4622" max="4865" width="12.109375" style="1944"/>
    <col min="4866" max="4866" width="10.6640625" style="1944" customWidth="1"/>
    <col min="4867" max="4867" width="32.33203125" style="1944" customWidth="1"/>
    <col min="4868" max="4874" width="14.33203125" style="1944" customWidth="1"/>
    <col min="4875" max="4875" width="12.109375" style="1944"/>
    <col min="4876" max="4876" width="15.6640625" style="1944" bestFit="1" customWidth="1"/>
    <col min="4877" max="4877" width="13.6640625" style="1944" bestFit="1" customWidth="1"/>
    <col min="4878" max="5121" width="12.109375" style="1944"/>
    <col min="5122" max="5122" width="10.6640625" style="1944" customWidth="1"/>
    <col min="5123" max="5123" width="32.33203125" style="1944" customWidth="1"/>
    <col min="5124" max="5130" width="14.33203125" style="1944" customWidth="1"/>
    <col min="5131" max="5131" width="12.109375" style="1944"/>
    <col min="5132" max="5132" width="15.6640625" style="1944" bestFit="1" customWidth="1"/>
    <col min="5133" max="5133" width="13.6640625" style="1944" bestFit="1" customWidth="1"/>
    <col min="5134" max="5377" width="12.109375" style="1944"/>
    <col min="5378" max="5378" width="10.6640625" style="1944" customWidth="1"/>
    <col min="5379" max="5379" width="32.33203125" style="1944" customWidth="1"/>
    <col min="5380" max="5386" width="14.33203125" style="1944" customWidth="1"/>
    <col min="5387" max="5387" width="12.109375" style="1944"/>
    <col min="5388" max="5388" width="15.6640625" style="1944" bestFit="1" customWidth="1"/>
    <col min="5389" max="5389" width="13.6640625" style="1944" bestFit="1" customWidth="1"/>
    <col min="5390" max="5633" width="12.109375" style="1944"/>
    <col min="5634" max="5634" width="10.6640625" style="1944" customWidth="1"/>
    <col min="5635" max="5635" width="32.33203125" style="1944" customWidth="1"/>
    <col min="5636" max="5642" width="14.33203125" style="1944" customWidth="1"/>
    <col min="5643" max="5643" width="12.109375" style="1944"/>
    <col min="5644" max="5644" width="15.6640625" style="1944" bestFit="1" customWidth="1"/>
    <col min="5645" max="5645" width="13.6640625" style="1944" bestFit="1" customWidth="1"/>
    <col min="5646" max="5889" width="12.109375" style="1944"/>
    <col min="5890" max="5890" width="10.6640625" style="1944" customWidth="1"/>
    <col min="5891" max="5891" width="32.33203125" style="1944" customWidth="1"/>
    <col min="5892" max="5898" width="14.33203125" style="1944" customWidth="1"/>
    <col min="5899" max="5899" width="12.109375" style="1944"/>
    <col min="5900" max="5900" width="15.6640625" style="1944" bestFit="1" customWidth="1"/>
    <col min="5901" max="5901" width="13.6640625" style="1944" bestFit="1" customWidth="1"/>
    <col min="5902" max="6145" width="12.109375" style="1944"/>
    <col min="6146" max="6146" width="10.6640625" style="1944" customWidth="1"/>
    <col min="6147" max="6147" width="32.33203125" style="1944" customWidth="1"/>
    <col min="6148" max="6154" width="14.33203125" style="1944" customWidth="1"/>
    <col min="6155" max="6155" width="12.109375" style="1944"/>
    <col min="6156" max="6156" width="15.6640625" style="1944" bestFit="1" customWidth="1"/>
    <col min="6157" max="6157" width="13.6640625" style="1944" bestFit="1" customWidth="1"/>
    <col min="6158" max="6401" width="12.109375" style="1944"/>
    <col min="6402" max="6402" width="10.6640625" style="1944" customWidth="1"/>
    <col min="6403" max="6403" width="32.33203125" style="1944" customWidth="1"/>
    <col min="6404" max="6410" width="14.33203125" style="1944" customWidth="1"/>
    <col min="6411" max="6411" width="12.109375" style="1944"/>
    <col min="6412" max="6412" width="15.6640625" style="1944" bestFit="1" customWidth="1"/>
    <col min="6413" max="6413" width="13.6640625" style="1944" bestFit="1" customWidth="1"/>
    <col min="6414" max="6657" width="12.109375" style="1944"/>
    <col min="6658" max="6658" width="10.6640625" style="1944" customWidth="1"/>
    <col min="6659" max="6659" width="32.33203125" style="1944" customWidth="1"/>
    <col min="6660" max="6666" width="14.33203125" style="1944" customWidth="1"/>
    <col min="6667" max="6667" width="12.109375" style="1944"/>
    <col min="6668" max="6668" width="15.6640625" style="1944" bestFit="1" customWidth="1"/>
    <col min="6669" max="6669" width="13.6640625" style="1944" bestFit="1" customWidth="1"/>
    <col min="6670" max="6913" width="12.109375" style="1944"/>
    <col min="6914" max="6914" width="10.6640625" style="1944" customWidth="1"/>
    <col min="6915" max="6915" width="32.33203125" style="1944" customWidth="1"/>
    <col min="6916" max="6922" width="14.33203125" style="1944" customWidth="1"/>
    <col min="6923" max="6923" width="12.109375" style="1944"/>
    <col min="6924" max="6924" width="15.6640625" style="1944" bestFit="1" customWidth="1"/>
    <col min="6925" max="6925" width="13.6640625" style="1944" bestFit="1" customWidth="1"/>
    <col min="6926" max="7169" width="12.109375" style="1944"/>
    <col min="7170" max="7170" width="10.6640625" style="1944" customWidth="1"/>
    <col min="7171" max="7171" width="32.33203125" style="1944" customWidth="1"/>
    <col min="7172" max="7178" width="14.33203125" style="1944" customWidth="1"/>
    <col min="7179" max="7179" width="12.109375" style="1944"/>
    <col min="7180" max="7180" width="15.6640625" style="1944" bestFit="1" customWidth="1"/>
    <col min="7181" max="7181" width="13.6640625" style="1944" bestFit="1" customWidth="1"/>
    <col min="7182" max="7425" width="12.109375" style="1944"/>
    <col min="7426" max="7426" width="10.6640625" style="1944" customWidth="1"/>
    <col min="7427" max="7427" width="32.33203125" style="1944" customWidth="1"/>
    <col min="7428" max="7434" width="14.33203125" style="1944" customWidth="1"/>
    <col min="7435" max="7435" width="12.109375" style="1944"/>
    <col min="7436" max="7436" width="15.6640625" style="1944" bestFit="1" customWidth="1"/>
    <col min="7437" max="7437" width="13.6640625" style="1944" bestFit="1" customWidth="1"/>
    <col min="7438" max="7681" width="12.109375" style="1944"/>
    <col min="7682" max="7682" width="10.6640625" style="1944" customWidth="1"/>
    <col min="7683" max="7683" width="32.33203125" style="1944" customWidth="1"/>
    <col min="7684" max="7690" width="14.33203125" style="1944" customWidth="1"/>
    <col min="7691" max="7691" width="12.109375" style="1944"/>
    <col min="7692" max="7692" width="15.6640625" style="1944" bestFit="1" customWidth="1"/>
    <col min="7693" max="7693" width="13.6640625" style="1944" bestFit="1" customWidth="1"/>
    <col min="7694" max="7937" width="12.109375" style="1944"/>
    <col min="7938" max="7938" width="10.6640625" style="1944" customWidth="1"/>
    <col min="7939" max="7939" width="32.33203125" style="1944" customWidth="1"/>
    <col min="7940" max="7946" width="14.33203125" style="1944" customWidth="1"/>
    <col min="7947" max="7947" width="12.109375" style="1944"/>
    <col min="7948" max="7948" width="15.6640625" style="1944" bestFit="1" customWidth="1"/>
    <col min="7949" max="7949" width="13.6640625" style="1944" bestFit="1" customWidth="1"/>
    <col min="7950" max="8193" width="12.109375" style="1944"/>
    <col min="8194" max="8194" width="10.6640625" style="1944" customWidth="1"/>
    <col min="8195" max="8195" width="32.33203125" style="1944" customWidth="1"/>
    <col min="8196" max="8202" width="14.33203125" style="1944" customWidth="1"/>
    <col min="8203" max="8203" width="12.109375" style="1944"/>
    <col min="8204" max="8204" width="15.6640625" style="1944" bestFit="1" customWidth="1"/>
    <col min="8205" max="8205" width="13.6640625" style="1944" bestFit="1" customWidth="1"/>
    <col min="8206" max="8449" width="12.109375" style="1944"/>
    <col min="8450" max="8450" width="10.6640625" style="1944" customWidth="1"/>
    <col min="8451" max="8451" width="32.33203125" style="1944" customWidth="1"/>
    <col min="8452" max="8458" width="14.33203125" style="1944" customWidth="1"/>
    <col min="8459" max="8459" width="12.109375" style="1944"/>
    <col min="8460" max="8460" width="15.6640625" style="1944" bestFit="1" customWidth="1"/>
    <col min="8461" max="8461" width="13.6640625" style="1944" bestFit="1" customWidth="1"/>
    <col min="8462" max="8705" width="12.109375" style="1944"/>
    <col min="8706" max="8706" width="10.6640625" style="1944" customWidth="1"/>
    <col min="8707" max="8707" width="32.33203125" style="1944" customWidth="1"/>
    <col min="8708" max="8714" width="14.33203125" style="1944" customWidth="1"/>
    <col min="8715" max="8715" width="12.109375" style="1944"/>
    <col min="8716" max="8716" width="15.6640625" style="1944" bestFit="1" customWidth="1"/>
    <col min="8717" max="8717" width="13.6640625" style="1944" bestFit="1" customWidth="1"/>
    <col min="8718" max="8961" width="12.109375" style="1944"/>
    <col min="8962" max="8962" width="10.6640625" style="1944" customWidth="1"/>
    <col min="8963" max="8963" width="32.33203125" style="1944" customWidth="1"/>
    <col min="8964" max="8970" width="14.33203125" style="1944" customWidth="1"/>
    <col min="8971" max="8971" width="12.109375" style="1944"/>
    <col min="8972" max="8972" width="15.6640625" style="1944" bestFit="1" customWidth="1"/>
    <col min="8973" max="8973" width="13.6640625" style="1944" bestFit="1" customWidth="1"/>
    <col min="8974" max="9217" width="12.109375" style="1944"/>
    <col min="9218" max="9218" width="10.6640625" style="1944" customWidth="1"/>
    <col min="9219" max="9219" width="32.33203125" style="1944" customWidth="1"/>
    <col min="9220" max="9226" width="14.33203125" style="1944" customWidth="1"/>
    <col min="9227" max="9227" width="12.109375" style="1944"/>
    <col min="9228" max="9228" width="15.6640625" style="1944" bestFit="1" customWidth="1"/>
    <col min="9229" max="9229" width="13.6640625" style="1944" bestFit="1" customWidth="1"/>
    <col min="9230" max="9473" width="12.109375" style="1944"/>
    <col min="9474" max="9474" width="10.6640625" style="1944" customWidth="1"/>
    <col min="9475" max="9475" width="32.33203125" style="1944" customWidth="1"/>
    <col min="9476" max="9482" width="14.33203125" style="1944" customWidth="1"/>
    <col min="9483" max="9483" width="12.109375" style="1944"/>
    <col min="9484" max="9484" width="15.6640625" style="1944" bestFit="1" customWidth="1"/>
    <col min="9485" max="9485" width="13.6640625" style="1944" bestFit="1" customWidth="1"/>
    <col min="9486" max="9729" width="12.109375" style="1944"/>
    <col min="9730" max="9730" width="10.6640625" style="1944" customWidth="1"/>
    <col min="9731" max="9731" width="32.33203125" style="1944" customWidth="1"/>
    <col min="9732" max="9738" width="14.33203125" style="1944" customWidth="1"/>
    <col min="9739" max="9739" width="12.109375" style="1944"/>
    <col min="9740" max="9740" width="15.6640625" style="1944" bestFit="1" customWidth="1"/>
    <col min="9741" max="9741" width="13.6640625" style="1944" bestFit="1" customWidth="1"/>
    <col min="9742" max="9985" width="12.109375" style="1944"/>
    <col min="9986" max="9986" width="10.6640625" style="1944" customWidth="1"/>
    <col min="9987" max="9987" width="32.33203125" style="1944" customWidth="1"/>
    <col min="9988" max="9994" width="14.33203125" style="1944" customWidth="1"/>
    <col min="9995" max="9995" width="12.109375" style="1944"/>
    <col min="9996" max="9996" width="15.6640625" style="1944" bestFit="1" customWidth="1"/>
    <col min="9997" max="9997" width="13.6640625" style="1944" bestFit="1" customWidth="1"/>
    <col min="9998" max="10241" width="12.109375" style="1944"/>
    <col min="10242" max="10242" width="10.6640625" style="1944" customWidth="1"/>
    <col min="10243" max="10243" width="32.33203125" style="1944" customWidth="1"/>
    <col min="10244" max="10250" width="14.33203125" style="1944" customWidth="1"/>
    <col min="10251" max="10251" width="12.109375" style="1944"/>
    <col min="10252" max="10252" width="15.6640625" style="1944" bestFit="1" customWidth="1"/>
    <col min="10253" max="10253" width="13.6640625" style="1944" bestFit="1" customWidth="1"/>
    <col min="10254" max="10497" width="12.109375" style="1944"/>
    <col min="10498" max="10498" width="10.6640625" style="1944" customWidth="1"/>
    <col min="10499" max="10499" width="32.33203125" style="1944" customWidth="1"/>
    <col min="10500" max="10506" width="14.33203125" style="1944" customWidth="1"/>
    <col min="10507" max="10507" width="12.109375" style="1944"/>
    <col min="10508" max="10508" width="15.6640625" style="1944" bestFit="1" customWidth="1"/>
    <col min="10509" max="10509" width="13.6640625" style="1944" bestFit="1" customWidth="1"/>
    <col min="10510" max="10753" width="12.109375" style="1944"/>
    <col min="10754" max="10754" width="10.6640625" style="1944" customWidth="1"/>
    <col min="10755" max="10755" width="32.33203125" style="1944" customWidth="1"/>
    <col min="10756" max="10762" width="14.33203125" style="1944" customWidth="1"/>
    <col min="10763" max="10763" width="12.109375" style="1944"/>
    <col min="10764" max="10764" width="15.6640625" style="1944" bestFit="1" customWidth="1"/>
    <col min="10765" max="10765" width="13.6640625" style="1944" bestFit="1" customWidth="1"/>
    <col min="10766" max="11009" width="12.109375" style="1944"/>
    <col min="11010" max="11010" width="10.6640625" style="1944" customWidth="1"/>
    <col min="11011" max="11011" width="32.33203125" style="1944" customWidth="1"/>
    <col min="11012" max="11018" width="14.33203125" style="1944" customWidth="1"/>
    <col min="11019" max="11019" width="12.109375" style="1944"/>
    <col min="11020" max="11020" width="15.6640625" style="1944" bestFit="1" customWidth="1"/>
    <col min="11021" max="11021" width="13.6640625" style="1944" bestFit="1" customWidth="1"/>
    <col min="11022" max="11265" width="12.109375" style="1944"/>
    <col min="11266" max="11266" width="10.6640625" style="1944" customWidth="1"/>
    <col min="11267" max="11267" width="32.33203125" style="1944" customWidth="1"/>
    <col min="11268" max="11274" width="14.33203125" style="1944" customWidth="1"/>
    <col min="11275" max="11275" width="12.109375" style="1944"/>
    <col min="11276" max="11276" width="15.6640625" style="1944" bestFit="1" customWidth="1"/>
    <col min="11277" max="11277" width="13.6640625" style="1944" bestFit="1" customWidth="1"/>
    <col min="11278" max="11521" width="12.109375" style="1944"/>
    <col min="11522" max="11522" width="10.6640625" style="1944" customWidth="1"/>
    <col min="11523" max="11523" width="32.33203125" style="1944" customWidth="1"/>
    <col min="11524" max="11530" width="14.33203125" style="1944" customWidth="1"/>
    <col min="11531" max="11531" width="12.109375" style="1944"/>
    <col min="11532" max="11532" width="15.6640625" style="1944" bestFit="1" customWidth="1"/>
    <col min="11533" max="11533" width="13.6640625" style="1944" bestFit="1" customWidth="1"/>
    <col min="11534" max="11777" width="12.109375" style="1944"/>
    <col min="11778" max="11778" width="10.6640625" style="1944" customWidth="1"/>
    <col min="11779" max="11779" width="32.33203125" style="1944" customWidth="1"/>
    <col min="11780" max="11786" width="14.33203125" style="1944" customWidth="1"/>
    <col min="11787" max="11787" width="12.109375" style="1944"/>
    <col min="11788" max="11788" width="15.6640625" style="1944" bestFit="1" customWidth="1"/>
    <col min="11789" max="11789" width="13.6640625" style="1944" bestFit="1" customWidth="1"/>
    <col min="11790" max="12033" width="12.109375" style="1944"/>
    <col min="12034" max="12034" width="10.6640625" style="1944" customWidth="1"/>
    <col min="12035" max="12035" width="32.33203125" style="1944" customWidth="1"/>
    <col min="12036" max="12042" width="14.33203125" style="1944" customWidth="1"/>
    <col min="12043" max="12043" width="12.109375" style="1944"/>
    <col min="12044" max="12044" width="15.6640625" style="1944" bestFit="1" customWidth="1"/>
    <col min="12045" max="12045" width="13.6640625" style="1944" bestFit="1" customWidth="1"/>
    <col min="12046" max="12289" width="12.109375" style="1944"/>
    <col min="12290" max="12290" width="10.6640625" style="1944" customWidth="1"/>
    <col min="12291" max="12291" width="32.33203125" style="1944" customWidth="1"/>
    <col min="12292" max="12298" width="14.33203125" style="1944" customWidth="1"/>
    <col min="12299" max="12299" width="12.109375" style="1944"/>
    <col min="12300" max="12300" width="15.6640625" style="1944" bestFit="1" customWidth="1"/>
    <col min="12301" max="12301" width="13.6640625" style="1944" bestFit="1" customWidth="1"/>
    <col min="12302" max="12545" width="12.109375" style="1944"/>
    <col min="12546" max="12546" width="10.6640625" style="1944" customWidth="1"/>
    <col min="12547" max="12547" width="32.33203125" style="1944" customWidth="1"/>
    <col min="12548" max="12554" width="14.33203125" style="1944" customWidth="1"/>
    <col min="12555" max="12555" width="12.109375" style="1944"/>
    <col min="12556" max="12556" width="15.6640625" style="1944" bestFit="1" customWidth="1"/>
    <col min="12557" max="12557" width="13.6640625" style="1944" bestFit="1" customWidth="1"/>
    <col min="12558" max="12801" width="12.109375" style="1944"/>
    <col min="12802" max="12802" width="10.6640625" style="1944" customWidth="1"/>
    <col min="12803" max="12803" width="32.33203125" style="1944" customWidth="1"/>
    <col min="12804" max="12810" width="14.33203125" style="1944" customWidth="1"/>
    <col min="12811" max="12811" width="12.109375" style="1944"/>
    <col min="12812" max="12812" width="15.6640625" style="1944" bestFit="1" customWidth="1"/>
    <col min="12813" max="12813" width="13.6640625" style="1944" bestFit="1" customWidth="1"/>
    <col min="12814" max="13057" width="12.109375" style="1944"/>
    <col min="13058" max="13058" width="10.6640625" style="1944" customWidth="1"/>
    <col min="13059" max="13059" width="32.33203125" style="1944" customWidth="1"/>
    <col min="13060" max="13066" width="14.33203125" style="1944" customWidth="1"/>
    <col min="13067" max="13067" width="12.109375" style="1944"/>
    <col min="13068" max="13068" width="15.6640625" style="1944" bestFit="1" customWidth="1"/>
    <col min="13069" max="13069" width="13.6640625" style="1944" bestFit="1" customWidth="1"/>
    <col min="13070" max="13313" width="12.109375" style="1944"/>
    <col min="13314" max="13314" width="10.6640625" style="1944" customWidth="1"/>
    <col min="13315" max="13315" width="32.33203125" style="1944" customWidth="1"/>
    <col min="13316" max="13322" width="14.33203125" style="1944" customWidth="1"/>
    <col min="13323" max="13323" width="12.109375" style="1944"/>
    <col min="13324" max="13324" width="15.6640625" style="1944" bestFit="1" customWidth="1"/>
    <col min="13325" max="13325" width="13.6640625" style="1944" bestFit="1" customWidth="1"/>
    <col min="13326" max="13569" width="12.109375" style="1944"/>
    <col min="13570" max="13570" width="10.6640625" style="1944" customWidth="1"/>
    <col min="13571" max="13571" width="32.33203125" style="1944" customWidth="1"/>
    <col min="13572" max="13578" width="14.33203125" style="1944" customWidth="1"/>
    <col min="13579" max="13579" width="12.109375" style="1944"/>
    <col min="13580" max="13580" width="15.6640625" style="1944" bestFit="1" customWidth="1"/>
    <col min="13581" max="13581" width="13.6640625" style="1944" bestFit="1" customWidth="1"/>
    <col min="13582" max="13825" width="12.109375" style="1944"/>
    <col min="13826" max="13826" width="10.6640625" style="1944" customWidth="1"/>
    <col min="13827" max="13827" width="32.33203125" style="1944" customWidth="1"/>
    <col min="13828" max="13834" width="14.33203125" style="1944" customWidth="1"/>
    <col min="13835" max="13835" width="12.109375" style="1944"/>
    <col min="13836" max="13836" width="15.6640625" style="1944" bestFit="1" customWidth="1"/>
    <col min="13837" max="13837" width="13.6640625" style="1944" bestFit="1" customWidth="1"/>
    <col min="13838" max="14081" width="12.109375" style="1944"/>
    <col min="14082" max="14082" width="10.6640625" style="1944" customWidth="1"/>
    <col min="14083" max="14083" width="32.33203125" style="1944" customWidth="1"/>
    <col min="14084" max="14090" width="14.33203125" style="1944" customWidth="1"/>
    <col min="14091" max="14091" width="12.109375" style="1944"/>
    <col min="14092" max="14092" width="15.6640625" style="1944" bestFit="1" customWidth="1"/>
    <col min="14093" max="14093" width="13.6640625" style="1944" bestFit="1" customWidth="1"/>
    <col min="14094" max="14337" width="12.109375" style="1944"/>
    <col min="14338" max="14338" width="10.6640625" style="1944" customWidth="1"/>
    <col min="14339" max="14339" width="32.33203125" style="1944" customWidth="1"/>
    <col min="14340" max="14346" width="14.33203125" style="1944" customWidth="1"/>
    <col min="14347" max="14347" width="12.109375" style="1944"/>
    <col min="14348" max="14348" width="15.6640625" style="1944" bestFit="1" customWidth="1"/>
    <col min="14349" max="14349" width="13.6640625" style="1944" bestFit="1" customWidth="1"/>
    <col min="14350" max="14593" width="12.109375" style="1944"/>
    <col min="14594" max="14594" width="10.6640625" style="1944" customWidth="1"/>
    <col min="14595" max="14595" width="32.33203125" style="1944" customWidth="1"/>
    <col min="14596" max="14602" width="14.33203125" style="1944" customWidth="1"/>
    <col min="14603" max="14603" width="12.109375" style="1944"/>
    <col min="14604" max="14604" width="15.6640625" style="1944" bestFit="1" customWidth="1"/>
    <col min="14605" max="14605" width="13.6640625" style="1944" bestFit="1" customWidth="1"/>
    <col min="14606" max="14849" width="12.109375" style="1944"/>
    <col min="14850" max="14850" width="10.6640625" style="1944" customWidth="1"/>
    <col min="14851" max="14851" width="32.33203125" style="1944" customWidth="1"/>
    <col min="14852" max="14858" width="14.33203125" style="1944" customWidth="1"/>
    <col min="14859" max="14859" width="12.109375" style="1944"/>
    <col min="14860" max="14860" width="15.6640625" style="1944" bestFit="1" customWidth="1"/>
    <col min="14861" max="14861" width="13.6640625" style="1944" bestFit="1" customWidth="1"/>
    <col min="14862" max="15105" width="12.109375" style="1944"/>
    <col min="15106" max="15106" width="10.6640625" style="1944" customWidth="1"/>
    <col min="15107" max="15107" width="32.33203125" style="1944" customWidth="1"/>
    <col min="15108" max="15114" width="14.33203125" style="1944" customWidth="1"/>
    <col min="15115" max="15115" width="12.109375" style="1944"/>
    <col min="15116" max="15116" width="15.6640625" style="1944" bestFit="1" customWidth="1"/>
    <col min="15117" max="15117" width="13.6640625" style="1944" bestFit="1" customWidth="1"/>
    <col min="15118" max="15361" width="12.109375" style="1944"/>
    <col min="15362" max="15362" width="10.6640625" style="1944" customWidth="1"/>
    <col min="15363" max="15363" width="32.33203125" style="1944" customWidth="1"/>
    <col min="15364" max="15370" width="14.33203125" style="1944" customWidth="1"/>
    <col min="15371" max="15371" width="12.109375" style="1944"/>
    <col min="15372" max="15372" width="15.6640625" style="1944" bestFit="1" customWidth="1"/>
    <col min="15373" max="15373" width="13.6640625" style="1944" bestFit="1" customWidth="1"/>
    <col min="15374" max="15617" width="12.109375" style="1944"/>
    <col min="15618" max="15618" width="10.6640625" style="1944" customWidth="1"/>
    <col min="15619" max="15619" width="32.33203125" style="1944" customWidth="1"/>
    <col min="15620" max="15626" width="14.33203125" style="1944" customWidth="1"/>
    <col min="15627" max="15627" width="12.109375" style="1944"/>
    <col min="15628" max="15628" width="15.6640625" style="1944" bestFit="1" customWidth="1"/>
    <col min="15629" max="15629" width="13.6640625" style="1944" bestFit="1" customWidth="1"/>
    <col min="15630" max="15873" width="12.109375" style="1944"/>
    <col min="15874" max="15874" width="10.6640625" style="1944" customWidth="1"/>
    <col min="15875" max="15875" width="32.33203125" style="1944" customWidth="1"/>
    <col min="15876" max="15882" width="14.33203125" style="1944" customWidth="1"/>
    <col min="15883" max="15883" width="12.109375" style="1944"/>
    <col min="15884" max="15884" width="15.6640625" style="1944" bestFit="1" customWidth="1"/>
    <col min="15885" max="15885" width="13.6640625" style="1944" bestFit="1" customWidth="1"/>
    <col min="15886" max="16129" width="12.109375" style="1944"/>
    <col min="16130" max="16130" width="10.6640625" style="1944" customWidth="1"/>
    <col min="16131" max="16131" width="32.33203125" style="1944" customWidth="1"/>
    <col min="16132" max="16138" width="14.33203125" style="1944" customWidth="1"/>
    <col min="16139" max="16139" width="12.109375" style="1944"/>
    <col min="16140" max="16140" width="15.6640625" style="1944" bestFit="1" customWidth="1"/>
    <col min="16141" max="16141" width="13.6640625" style="1944" bestFit="1" customWidth="1"/>
    <col min="16142" max="16384" width="12.109375" style="1944"/>
  </cols>
  <sheetData>
    <row r="2" spans="2:22" ht="61.5" customHeight="1">
      <c r="B2" s="3257"/>
      <c r="C2" s="3258"/>
      <c r="D2" s="3263" t="s">
        <v>6345</v>
      </c>
      <c r="E2" s="3263"/>
      <c r="F2" s="3263"/>
      <c r="G2" s="3263"/>
      <c r="H2" s="3263"/>
      <c r="I2" s="3264"/>
      <c r="J2" s="3264"/>
    </row>
    <row r="3" spans="2:22" ht="21" customHeight="1">
      <c r="B3" s="3259"/>
      <c r="C3" s="3260"/>
      <c r="D3" s="3265" t="s">
        <v>6346</v>
      </c>
      <c r="E3" s="3265"/>
      <c r="F3" s="3265"/>
      <c r="G3" s="3265"/>
      <c r="H3" s="3265"/>
      <c r="I3" s="3264"/>
      <c r="J3" s="3264"/>
    </row>
    <row r="4" spans="2:22" ht="15.6">
      <c r="B4" s="3261"/>
      <c r="C4" s="3262"/>
      <c r="D4" s="3265" t="s">
        <v>8578</v>
      </c>
      <c r="E4" s="3265"/>
      <c r="F4" s="3265"/>
      <c r="G4" s="3265"/>
      <c r="H4" s="3265"/>
      <c r="I4" s="3264"/>
      <c r="J4" s="3264"/>
    </row>
    <row r="5" spans="2:22">
      <c r="B5" s="1945"/>
      <c r="C5" s="1945"/>
      <c r="D5" s="1945"/>
      <c r="E5" s="1945"/>
      <c r="F5" s="1945"/>
      <c r="G5" s="1945"/>
      <c r="J5" s="1946"/>
    </row>
    <row r="6" spans="2:22" ht="39" customHeight="1">
      <c r="B6" s="1947" t="s">
        <v>6347</v>
      </c>
      <c r="C6" s="3266" t="s">
        <v>6348</v>
      </c>
      <c r="D6" s="3267"/>
      <c r="E6" s="3267"/>
      <c r="F6" s="3267"/>
      <c r="G6" s="3267"/>
      <c r="H6" s="3267"/>
      <c r="I6" s="3267"/>
      <c r="J6" s="3268"/>
    </row>
    <row r="7" spans="2:22">
      <c r="B7" s="1948"/>
      <c r="C7" s="1949"/>
      <c r="D7" s="1950"/>
      <c r="E7" s="1949"/>
      <c r="F7" s="1949"/>
      <c r="G7" s="1949"/>
      <c r="H7" s="1949"/>
      <c r="I7" s="1949"/>
      <c r="J7" s="1949"/>
    </row>
    <row r="8" spans="2:22" ht="21" customHeight="1">
      <c r="B8" s="1951">
        <v>1</v>
      </c>
      <c r="C8" s="1952" t="s">
        <v>6349</v>
      </c>
    </row>
    <row r="9" spans="2:22" ht="27.6">
      <c r="B9" s="3255" t="s">
        <v>22</v>
      </c>
      <c r="C9" s="3255" t="s">
        <v>23</v>
      </c>
      <c r="D9" s="1954" t="s">
        <v>1037</v>
      </c>
      <c r="E9" s="1954" t="s">
        <v>6350</v>
      </c>
      <c r="F9" s="1954" t="s">
        <v>6351</v>
      </c>
      <c r="G9" s="1954" t="s">
        <v>6352</v>
      </c>
      <c r="H9" s="1954" t="s">
        <v>6353</v>
      </c>
      <c r="I9" s="1954" t="s">
        <v>6354</v>
      </c>
      <c r="J9" s="1954" t="s">
        <v>6355</v>
      </c>
    </row>
    <row r="10" spans="2:22">
      <c r="B10" s="3256"/>
      <c r="C10" s="3256"/>
      <c r="D10" s="1955" t="s">
        <v>6356</v>
      </c>
      <c r="E10" s="1955" t="s">
        <v>6357</v>
      </c>
      <c r="F10" s="1956" t="s">
        <v>6358</v>
      </c>
      <c r="G10" s="1955" t="s">
        <v>6359</v>
      </c>
      <c r="H10" s="1955" t="s">
        <v>6360</v>
      </c>
      <c r="I10" s="1956" t="s">
        <v>6361</v>
      </c>
      <c r="J10" s="1956" t="s">
        <v>6362</v>
      </c>
    </row>
    <row r="11" spans="2:22" ht="15" customHeight="1">
      <c r="B11" s="1951">
        <v>1.1000000000000001</v>
      </c>
      <c r="C11" s="1952" t="s">
        <v>6363</v>
      </c>
      <c r="D11" s="1957"/>
      <c r="E11" s="1958"/>
      <c r="F11" s="1958"/>
      <c r="G11" s="1958"/>
      <c r="H11" s="1958"/>
      <c r="I11" s="1958"/>
      <c r="J11" s="1958"/>
    </row>
    <row r="12" spans="2:22" ht="27.75" customHeight="1">
      <c r="B12" s="1959" t="s">
        <v>5772</v>
      </c>
      <c r="C12" s="1960" t="s">
        <v>6364</v>
      </c>
      <c r="D12" s="1961">
        <v>1</v>
      </c>
      <c r="E12" s="1962">
        <f>+AIU!M6</f>
        <v>6500000</v>
      </c>
      <c r="F12" s="1962">
        <f>+D12*E12</f>
        <v>6500000</v>
      </c>
      <c r="G12" s="1963">
        <v>0.5</v>
      </c>
      <c r="H12" s="1964">
        <v>12</v>
      </c>
      <c r="I12" s="1961">
        <f>H12*G12</f>
        <v>6</v>
      </c>
      <c r="J12" s="1962">
        <f>I12*F12</f>
        <v>39000000</v>
      </c>
      <c r="N12" s="1944" t="s">
        <v>1444</v>
      </c>
      <c r="O12" s="1944" t="s">
        <v>4226</v>
      </c>
    </row>
    <row r="13" spans="2:22">
      <c r="B13" s="1959" t="s">
        <v>6365</v>
      </c>
      <c r="C13" s="1960" t="s">
        <v>6366</v>
      </c>
      <c r="D13" s="1961">
        <v>2</v>
      </c>
      <c r="E13" s="1962">
        <f>+AIU!M10</f>
        <v>4500000</v>
      </c>
      <c r="F13" s="1962">
        <f>+D13*E13</f>
        <v>9000000</v>
      </c>
      <c r="G13" s="1963">
        <v>1</v>
      </c>
      <c r="H13" s="1964">
        <f>+$H$12</f>
        <v>12</v>
      </c>
      <c r="I13" s="1961">
        <f>H13*G13</f>
        <v>12</v>
      </c>
      <c r="J13" s="1962">
        <f t="shared" ref="J13:J26" si="0">I13*F13</f>
        <v>108000000</v>
      </c>
      <c r="N13" s="1944" t="s">
        <v>4227</v>
      </c>
      <c r="O13" s="1994" t="s">
        <v>4228</v>
      </c>
      <c r="P13" s="1944" t="s">
        <v>346</v>
      </c>
      <c r="Q13" s="1944">
        <v>360</v>
      </c>
      <c r="R13" s="1944">
        <v>0.5</v>
      </c>
      <c r="S13" s="1944">
        <v>393943.33333333331</v>
      </c>
      <c r="U13" s="1944">
        <v>5.1999999999999998E-3</v>
      </c>
      <c r="V13" s="1944">
        <v>70909800</v>
      </c>
    </row>
    <row r="14" spans="2:22" ht="27" customHeight="1">
      <c r="B14" s="1959" t="s">
        <v>6367</v>
      </c>
      <c r="C14" s="1960" t="s">
        <v>6314</v>
      </c>
      <c r="D14" s="1961">
        <v>1</v>
      </c>
      <c r="E14" s="1962">
        <f>+AIU!M13</f>
        <v>3500000</v>
      </c>
      <c r="F14" s="1962">
        <f>+D14*E14</f>
        <v>3500000</v>
      </c>
      <c r="G14" s="1963">
        <v>0.5</v>
      </c>
      <c r="H14" s="1964">
        <f>+$H$12</f>
        <v>12</v>
      </c>
      <c r="I14" s="1961">
        <f>H14*G14</f>
        <v>6</v>
      </c>
      <c r="J14" s="1962">
        <f t="shared" si="0"/>
        <v>21000000</v>
      </c>
      <c r="N14" s="1944" t="s">
        <v>4229</v>
      </c>
      <c r="O14" s="1994" t="s">
        <v>6318</v>
      </c>
      <c r="P14" s="1944" t="s">
        <v>346</v>
      </c>
      <c r="Q14" s="1944">
        <v>360</v>
      </c>
      <c r="R14" s="1944">
        <v>2</v>
      </c>
      <c r="S14" s="1944">
        <v>272730</v>
      </c>
      <c r="U14" s="1944">
        <v>1.4500000000000001E-2</v>
      </c>
      <c r="V14" s="1944">
        <v>196365600</v>
      </c>
    </row>
    <row r="15" spans="2:22" ht="15" customHeight="1">
      <c r="B15" s="1959" t="s">
        <v>7931</v>
      </c>
      <c r="C15" s="1960" t="s">
        <v>6341</v>
      </c>
      <c r="D15" s="1961">
        <v>1</v>
      </c>
      <c r="E15" s="1962">
        <f>+AIU!M14</f>
        <v>3500000</v>
      </c>
      <c r="F15" s="1962">
        <f>+D15*E15</f>
        <v>3500000</v>
      </c>
      <c r="G15" s="1963">
        <v>0.3</v>
      </c>
      <c r="H15" s="1964">
        <f>+$H$12</f>
        <v>12</v>
      </c>
      <c r="I15" s="1961">
        <f>H15*G15</f>
        <v>3.5999999999999996</v>
      </c>
      <c r="J15" s="1962">
        <f t="shared" ref="J15" si="1">I15*F15</f>
        <v>12599999.999999998</v>
      </c>
      <c r="N15" s="1944" t="s">
        <v>4230</v>
      </c>
      <c r="O15" s="1994" t="s">
        <v>6319</v>
      </c>
      <c r="P15" s="1944" t="s">
        <v>346</v>
      </c>
      <c r="Q15" s="1944">
        <v>360</v>
      </c>
      <c r="R15" s="1944">
        <v>2</v>
      </c>
      <c r="S15" s="1944">
        <v>90910</v>
      </c>
      <c r="U15" s="1944">
        <v>4.7999999999999996E-3</v>
      </c>
      <c r="V15" s="1944">
        <v>65455200</v>
      </c>
    </row>
    <row r="16" spans="2:22" ht="15" customHeight="1">
      <c r="B16" s="1959" t="s">
        <v>7932</v>
      </c>
      <c r="C16" s="1960" t="s">
        <v>6335</v>
      </c>
      <c r="D16" s="1961">
        <v>1</v>
      </c>
      <c r="E16" s="1962">
        <f>+AIU!M7</f>
        <v>6500000</v>
      </c>
      <c r="F16" s="1962">
        <f t="shared" ref="F16:F18" si="2">+D16*E16</f>
        <v>6500000</v>
      </c>
      <c r="G16" s="1963">
        <v>0.15</v>
      </c>
      <c r="H16" s="1964">
        <f t="shared" ref="H16:H18" si="3">+$H$12</f>
        <v>12</v>
      </c>
      <c r="I16" s="1961">
        <f t="shared" ref="I16:I18" si="4">H16*G16</f>
        <v>1.7999999999999998</v>
      </c>
      <c r="J16" s="1962">
        <f t="shared" ref="J16:J18" si="5">I16*F16</f>
        <v>11699999.999999998</v>
      </c>
      <c r="N16" s="1944" t="s">
        <v>4232</v>
      </c>
      <c r="O16" s="1994" t="s">
        <v>6321</v>
      </c>
      <c r="P16" s="1944" t="s">
        <v>346</v>
      </c>
      <c r="Q16" s="1944">
        <v>360</v>
      </c>
      <c r="R16" s="1944">
        <v>1</v>
      </c>
      <c r="S16" s="1944">
        <v>212123.33333333334</v>
      </c>
      <c r="U16" s="1944">
        <v>5.5999999999999999E-3</v>
      </c>
      <c r="V16" s="1944">
        <v>76364400</v>
      </c>
    </row>
    <row r="17" spans="2:22" ht="15" customHeight="1">
      <c r="B17" s="1959" t="s">
        <v>7933</v>
      </c>
      <c r="C17" s="1960" t="s">
        <v>6336</v>
      </c>
      <c r="D17" s="1961">
        <v>1</v>
      </c>
      <c r="E17" s="1962">
        <f>+AIU!M8</f>
        <v>6500000</v>
      </c>
      <c r="F17" s="1962">
        <f t="shared" si="2"/>
        <v>6500000</v>
      </c>
      <c r="G17" s="1963">
        <v>0.15</v>
      </c>
      <c r="H17" s="1964">
        <f t="shared" si="3"/>
        <v>12</v>
      </c>
      <c r="I17" s="1961">
        <f t="shared" si="4"/>
        <v>1.7999999999999998</v>
      </c>
      <c r="J17" s="1962">
        <f t="shared" si="5"/>
        <v>11699999.999999998</v>
      </c>
      <c r="M17" s="1967"/>
      <c r="O17" s="1994" t="s">
        <v>6341</v>
      </c>
      <c r="P17" s="1944" t="s">
        <v>346</v>
      </c>
      <c r="Q17" s="1944">
        <v>360</v>
      </c>
      <c r="R17" s="1944">
        <v>1</v>
      </c>
      <c r="S17" s="1944">
        <v>212123.33333333334</v>
      </c>
      <c r="U17" s="1944">
        <v>5.5999999999999999E-3</v>
      </c>
      <c r="V17" s="1944">
        <v>76364400</v>
      </c>
    </row>
    <row r="18" spans="2:22" ht="15" customHeight="1">
      <c r="B18" s="1959" t="s">
        <v>7934</v>
      </c>
      <c r="C18" s="1960" t="s">
        <v>6337</v>
      </c>
      <c r="D18" s="1961">
        <v>1</v>
      </c>
      <c r="E18" s="1962">
        <f>+AIU!M9</f>
        <v>6500000</v>
      </c>
      <c r="F18" s="1962">
        <f t="shared" si="2"/>
        <v>6500000</v>
      </c>
      <c r="G18" s="1963">
        <v>0.15</v>
      </c>
      <c r="H18" s="1964">
        <f t="shared" si="3"/>
        <v>12</v>
      </c>
      <c r="I18" s="1961">
        <f t="shared" si="4"/>
        <v>1.7999999999999998</v>
      </c>
      <c r="J18" s="1962">
        <f t="shared" si="5"/>
        <v>11699999.999999998</v>
      </c>
      <c r="N18" s="1944" t="s">
        <v>4233</v>
      </c>
      <c r="O18" s="1944" t="s">
        <v>4231</v>
      </c>
      <c r="P18" s="1944" t="s">
        <v>346</v>
      </c>
      <c r="Q18" s="1944">
        <v>360</v>
      </c>
      <c r="R18" s="1944">
        <v>1</v>
      </c>
      <c r="S18" s="1944">
        <v>90910</v>
      </c>
      <c r="U18" s="1944">
        <v>2.3999999999999998E-3</v>
      </c>
      <c r="V18" s="1944">
        <v>32727600</v>
      </c>
    </row>
    <row r="19" spans="2:22" ht="15" customHeight="1">
      <c r="B19" s="1951">
        <v>1.2</v>
      </c>
      <c r="C19" s="1965" t="s">
        <v>6368</v>
      </c>
      <c r="D19" s="1961"/>
      <c r="E19" s="1962"/>
      <c r="F19" s="1962"/>
      <c r="G19" s="1958"/>
      <c r="H19" s="1964"/>
      <c r="I19" s="1966"/>
      <c r="J19" s="1962"/>
      <c r="O19" s="1994" t="s">
        <v>6335</v>
      </c>
      <c r="P19" s="1944" t="s">
        <v>346</v>
      </c>
      <c r="Q19" s="1944">
        <v>360</v>
      </c>
      <c r="R19" s="1944">
        <v>0.3</v>
      </c>
      <c r="S19" s="1944">
        <v>393943.33333333331</v>
      </c>
      <c r="U19" s="1944">
        <v>3.0999999999999999E-3</v>
      </c>
      <c r="V19" s="1944">
        <v>42545880</v>
      </c>
    </row>
    <row r="20" spans="2:22" ht="15" customHeight="1">
      <c r="B20" s="1959" t="s">
        <v>6369</v>
      </c>
      <c r="C20" s="1958" t="s">
        <v>6319</v>
      </c>
      <c r="D20" s="1961">
        <v>2</v>
      </c>
      <c r="E20" s="1962">
        <f>+AIU!M12</f>
        <v>1500000</v>
      </c>
      <c r="F20" s="1962">
        <f>+D20*E20</f>
        <v>3000000</v>
      </c>
      <c r="G20" s="1963">
        <v>1</v>
      </c>
      <c r="H20" s="1964">
        <f>+$H$12</f>
        <v>12</v>
      </c>
      <c r="I20" s="1961">
        <f>H20*G20</f>
        <v>12</v>
      </c>
      <c r="J20" s="1962">
        <f t="shared" si="0"/>
        <v>36000000</v>
      </c>
      <c r="O20" s="1994" t="s">
        <v>6336</v>
      </c>
      <c r="P20" s="1944" t="s">
        <v>346</v>
      </c>
      <c r="Q20" s="1944">
        <v>360</v>
      </c>
      <c r="R20" s="1944">
        <v>0.3</v>
      </c>
      <c r="S20" s="1944">
        <v>393943.33333333331</v>
      </c>
      <c r="U20" s="1944">
        <v>3.0999999999999999E-3</v>
      </c>
      <c r="V20" s="1944">
        <v>42545880</v>
      </c>
    </row>
    <row r="21" spans="2:22" ht="15" customHeight="1">
      <c r="B21" s="1959" t="s">
        <v>7929</v>
      </c>
      <c r="C21" s="1958" t="s">
        <v>6370</v>
      </c>
      <c r="D21" s="1961">
        <v>1</v>
      </c>
      <c r="E21" s="1962">
        <v>1500000</v>
      </c>
      <c r="F21" s="1962">
        <f>+D21*E21</f>
        <v>1500000</v>
      </c>
      <c r="G21" s="1963">
        <v>0.5</v>
      </c>
      <c r="H21" s="1964">
        <f>+$H$12</f>
        <v>12</v>
      </c>
      <c r="I21" s="1961">
        <f>H21*G21</f>
        <v>6</v>
      </c>
      <c r="J21" s="1962">
        <f t="shared" si="0"/>
        <v>9000000</v>
      </c>
      <c r="O21" s="1994" t="s">
        <v>6337</v>
      </c>
      <c r="P21" s="1944" t="s">
        <v>346</v>
      </c>
      <c r="Q21" s="1944">
        <v>360</v>
      </c>
      <c r="R21" s="1944">
        <v>0.2</v>
      </c>
      <c r="S21" s="1944">
        <v>393943.33333333331</v>
      </c>
      <c r="U21" s="1944">
        <v>2.0999999999999999E-3</v>
      </c>
      <c r="V21" s="1944">
        <v>28363920</v>
      </c>
    </row>
    <row r="22" spans="2:22" ht="15" customHeight="1">
      <c r="B22" s="1959" t="s">
        <v>7930</v>
      </c>
      <c r="C22" s="1958" t="s">
        <v>6393</v>
      </c>
      <c r="D22" s="1961">
        <v>1</v>
      </c>
      <c r="E22" s="1962">
        <v>1000000</v>
      </c>
      <c r="F22" s="1962">
        <f>+D22*E22</f>
        <v>1000000</v>
      </c>
      <c r="G22" s="1963">
        <v>0.5</v>
      </c>
      <c r="H22" s="1964">
        <f>+$H$12</f>
        <v>12</v>
      </c>
      <c r="I22" s="1961">
        <f>H22*G22</f>
        <v>6</v>
      </c>
      <c r="J22" s="1962">
        <f t="shared" ref="J22" si="6">I22*F22</f>
        <v>6000000</v>
      </c>
      <c r="O22" s="1994"/>
    </row>
    <row r="23" spans="2:22" ht="15" customHeight="1">
      <c r="B23" s="1951">
        <v>1.3</v>
      </c>
      <c r="C23" s="1965" t="s">
        <v>6371</v>
      </c>
      <c r="D23" s="1961"/>
      <c r="E23" s="1962"/>
      <c r="F23" s="1962"/>
      <c r="G23" s="1958"/>
      <c r="H23" s="1964"/>
      <c r="I23" s="1966"/>
      <c r="J23" s="1962"/>
      <c r="O23" s="1944" t="s">
        <v>6339</v>
      </c>
      <c r="P23" s="1944" t="s">
        <v>346</v>
      </c>
      <c r="Q23" s="1944">
        <v>360</v>
      </c>
      <c r="R23" s="1944">
        <v>0.15</v>
      </c>
      <c r="S23" s="1944">
        <v>272730</v>
      </c>
      <c r="U23" s="1944">
        <v>1.1000000000000001E-3</v>
      </c>
      <c r="V23" s="1944">
        <v>14727420</v>
      </c>
    </row>
    <row r="24" spans="2:22">
      <c r="B24" s="1959" t="s">
        <v>7926</v>
      </c>
      <c r="C24" s="1958" t="s">
        <v>6372</v>
      </c>
      <c r="D24" s="1961">
        <v>1</v>
      </c>
      <c r="E24" s="1962">
        <f>+AIU!M17</f>
        <v>1000000</v>
      </c>
      <c r="F24" s="1962">
        <f>+D24*E24</f>
        <v>1000000</v>
      </c>
      <c r="G24" s="1963">
        <v>1</v>
      </c>
      <c r="H24" s="1964">
        <f>+$H$12</f>
        <v>12</v>
      </c>
      <c r="I24" s="1961">
        <f>H24*G24</f>
        <v>12</v>
      </c>
      <c r="J24" s="1962">
        <f>I24*F24</f>
        <v>12000000</v>
      </c>
    </row>
    <row r="25" spans="2:22" ht="15" customHeight="1">
      <c r="B25" s="1959" t="s">
        <v>7927</v>
      </c>
      <c r="C25" s="1958" t="s">
        <v>7935</v>
      </c>
      <c r="D25" s="1961">
        <v>1</v>
      </c>
      <c r="E25" s="1962">
        <f>+AIU!M11</f>
        <v>2500000</v>
      </c>
      <c r="F25" s="1962">
        <f>+D25*E25</f>
        <v>2500000</v>
      </c>
      <c r="G25" s="1963">
        <v>1</v>
      </c>
      <c r="H25" s="1964">
        <f>+$H$12</f>
        <v>12</v>
      </c>
      <c r="I25" s="1961">
        <f>H25*G25</f>
        <v>12</v>
      </c>
      <c r="J25" s="1962">
        <f>I25*F25</f>
        <v>30000000</v>
      </c>
    </row>
    <row r="26" spans="2:22" ht="15" customHeight="1">
      <c r="B26" s="1959" t="s">
        <v>7928</v>
      </c>
      <c r="C26" s="1958" t="s">
        <v>6320</v>
      </c>
      <c r="D26" s="1961">
        <v>2</v>
      </c>
      <c r="E26" s="1962">
        <f>+AIU!M16</f>
        <v>1200000</v>
      </c>
      <c r="F26" s="1962">
        <f>+D26*E26</f>
        <v>2400000</v>
      </c>
      <c r="G26" s="1963">
        <v>1</v>
      </c>
      <c r="H26" s="1964">
        <f>+$H$12</f>
        <v>12</v>
      </c>
      <c r="I26" s="1961">
        <f>H26*G26</f>
        <v>12</v>
      </c>
      <c r="J26" s="1962">
        <f t="shared" si="0"/>
        <v>28800000</v>
      </c>
    </row>
    <row r="27" spans="2:22" ht="15" customHeight="1">
      <c r="B27" s="1969"/>
      <c r="C27" s="1970"/>
      <c r="D27" s="1971"/>
      <c r="E27" s="1972"/>
      <c r="F27" s="1972"/>
      <c r="G27" s="3269" t="s">
        <v>6373</v>
      </c>
      <c r="H27" s="3269"/>
      <c r="I27" s="3269"/>
      <c r="J27" s="1962">
        <f>SUM(J12:J26)</f>
        <v>337500000</v>
      </c>
    </row>
    <row r="28" spans="2:22" ht="15" customHeight="1">
      <c r="B28" s="1973"/>
      <c r="C28" s="1974"/>
      <c r="D28" s="1975"/>
      <c r="E28" s="1976"/>
      <c r="F28" s="1976"/>
      <c r="G28" s="3269" t="s">
        <v>6374</v>
      </c>
      <c r="H28" s="3269"/>
      <c r="I28" s="3269"/>
      <c r="J28" s="2294">
        <v>1.8222</v>
      </c>
      <c r="O28" s="1944" t="s">
        <v>6322</v>
      </c>
    </row>
    <row r="29" spans="2:22" ht="15" customHeight="1">
      <c r="B29" s="1973"/>
      <c r="C29" s="1974"/>
      <c r="D29" s="1975"/>
      <c r="E29" s="1976"/>
      <c r="F29" s="1976"/>
      <c r="G29" s="3254" t="s">
        <v>6375</v>
      </c>
      <c r="H29" s="3254"/>
      <c r="I29" s="3254"/>
      <c r="J29" s="1977">
        <f>+J27*J28</f>
        <v>614992500</v>
      </c>
      <c r="O29" s="1944" t="s">
        <v>949</v>
      </c>
      <c r="P29" s="1944">
        <v>6500000</v>
      </c>
    </row>
    <row r="30" spans="2:22" ht="15" customHeight="1">
      <c r="B30" s="1951">
        <v>2</v>
      </c>
      <c r="C30" s="1952" t="s">
        <v>6376</v>
      </c>
      <c r="O30" s="1944" t="s">
        <v>6316</v>
      </c>
      <c r="P30" s="1944">
        <v>4500000</v>
      </c>
    </row>
    <row r="31" spans="2:22" ht="29.25" customHeight="1">
      <c r="B31" s="3255" t="s">
        <v>22</v>
      </c>
      <c r="C31" s="3255" t="s">
        <v>23</v>
      </c>
      <c r="D31" s="1954" t="s">
        <v>1037</v>
      </c>
      <c r="E31" s="1954" t="s">
        <v>6350</v>
      </c>
      <c r="F31" s="1954" t="s">
        <v>6351</v>
      </c>
      <c r="G31" s="1954" t="s">
        <v>6377</v>
      </c>
      <c r="H31" s="1954" t="s">
        <v>6353</v>
      </c>
      <c r="I31" s="1954" t="s">
        <v>6378</v>
      </c>
      <c r="J31" s="1954" t="s">
        <v>6355</v>
      </c>
      <c r="O31" s="1944" t="s">
        <v>6317</v>
      </c>
      <c r="P31" s="1944">
        <v>1500000</v>
      </c>
    </row>
    <row r="32" spans="2:22" ht="15" customHeight="1">
      <c r="B32" s="3256"/>
      <c r="C32" s="3256"/>
      <c r="D32" s="1955" t="s">
        <v>6356</v>
      </c>
      <c r="E32" s="1955" t="s">
        <v>6357</v>
      </c>
      <c r="F32" s="1956" t="s">
        <v>6358</v>
      </c>
      <c r="G32" s="1955" t="s">
        <v>6359</v>
      </c>
      <c r="H32" s="1955" t="s">
        <v>6360</v>
      </c>
      <c r="I32" s="1956" t="s">
        <v>6361</v>
      </c>
      <c r="J32" s="1956" t="s">
        <v>6362</v>
      </c>
      <c r="O32" s="1944" t="s">
        <v>6314</v>
      </c>
      <c r="P32" s="1944">
        <v>3500000</v>
      </c>
    </row>
    <row r="33" spans="2:16" ht="15" customHeight="1">
      <c r="B33" s="1957">
        <v>2.1</v>
      </c>
      <c r="C33" s="1965" t="s">
        <v>6379</v>
      </c>
      <c r="D33" s="1961"/>
      <c r="E33" s="1962"/>
      <c r="F33" s="1962"/>
      <c r="G33" s="1968"/>
      <c r="H33" s="1978"/>
      <c r="I33" s="1979"/>
      <c r="J33" s="1962"/>
      <c r="O33" s="1944" t="s">
        <v>950</v>
      </c>
      <c r="P33" s="1944">
        <v>1500000</v>
      </c>
    </row>
    <row r="34" spans="2:16" ht="15" customHeight="1">
      <c r="B34" s="1968" t="s">
        <v>7925</v>
      </c>
      <c r="C34" s="1958" t="s">
        <v>6325</v>
      </c>
      <c r="D34" s="1961">
        <v>2</v>
      </c>
      <c r="E34" s="1962">
        <v>4500000</v>
      </c>
      <c r="F34" s="1962">
        <f>+E34*D34</f>
        <v>9000000</v>
      </c>
      <c r="G34" s="1963">
        <v>1</v>
      </c>
      <c r="H34" s="1964">
        <f>+$H$12</f>
        <v>12</v>
      </c>
      <c r="I34" s="1961">
        <f>H34*G34</f>
        <v>12</v>
      </c>
      <c r="J34" s="1962">
        <f>I34*F34</f>
        <v>108000000</v>
      </c>
      <c r="O34" s="1944" t="s">
        <v>6315</v>
      </c>
      <c r="P34" s="1944">
        <v>1200000</v>
      </c>
    </row>
    <row r="35" spans="2:16" ht="15" customHeight="1">
      <c r="B35" s="1957">
        <v>2.2000000000000002</v>
      </c>
      <c r="C35" s="1965" t="s">
        <v>6380</v>
      </c>
      <c r="D35" s="1961"/>
      <c r="E35" s="1962"/>
      <c r="F35" s="1962"/>
      <c r="G35" s="1963"/>
      <c r="H35" s="1964"/>
      <c r="I35" s="1961"/>
      <c r="J35" s="1962"/>
      <c r="O35" s="1944" t="s">
        <v>953</v>
      </c>
      <c r="P35" s="1944">
        <v>1000000</v>
      </c>
    </row>
    <row r="36" spans="2:16" ht="15" customHeight="1">
      <c r="B36" s="1968" t="s">
        <v>6381</v>
      </c>
      <c r="C36" s="1958" t="s">
        <v>6382</v>
      </c>
      <c r="D36" s="1961">
        <v>1</v>
      </c>
      <c r="E36" s="1962">
        <v>2500000</v>
      </c>
      <c r="F36" s="1962">
        <f>+D36*E36</f>
        <v>2500000</v>
      </c>
      <c r="G36" s="1963">
        <v>0.5</v>
      </c>
      <c r="H36" s="1964">
        <f>+$H$12</f>
        <v>12</v>
      </c>
      <c r="I36" s="1961">
        <f>H36*G36</f>
        <v>6</v>
      </c>
      <c r="J36" s="1962">
        <f>I36*F36</f>
        <v>15000000</v>
      </c>
      <c r="O36" s="1944" t="s">
        <v>1211</v>
      </c>
      <c r="P36" s="1944">
        <v>3500000</v>
      </c>
    </row>
    <row r="37" spans="2:16">
      <c r="B37" s="1968" t="s">
        <v>6383</v>
      </c>
      <c r="C37" s="1958" t="s">
        <v>6384</v>
      </c>
      <c r="D37" s="1961">
        <v>1</v>
      </c>
      <c r="E37" s="1962">
        <v>500000</v>
      </c>
      <c r="F37" s="1962">
        <f>+D37*E37</f>
        <v>500000</v>
      </c>
      <c r="G37" s="1963">
        <v>1</v>
      </c>
      <c r="H37" s="1964">
        <f>+$H$12</f>
        <v>12</v>
      </c>
      <c r="I37" s="1961">
        <f>H37*G37</f>
        <v>12</v>
      </c>
      <c r="J37" s="1962">
        <f>I37*F37</f>
        <v>6000000</v>
      </c>
      <c r="O37" s="1944" t="s">
        <v>1212</v>
      </c>
      <c r="P37" s="1944">
        <v>0.81820000000000004</v>
      </c>
    </row>
    <row r="38" spans="2:16" ht="15" customHeight="1">
      <c r="B38" s="2206" t="s">
        <v>7923</v>
      </c>
      <c r="C38" s="1958" t="s">
        <v>6386</v>
      </c>
      <c r="D38" s="1961">
        <v>1</v>
      </c>
      <c r="E38" s="1962">
        <v>3248865.9523034277</v>
      </c>
      <c r="F38" s="1962">
        <f>+D38*E38</f>
        <v>3248865.9523034277</v>
      </c>
      <c r="G38" s="1963">
        <v>1</v>
      </c>
      <c r="H38" s="1964">
        <v>1</v>
      </c>
      <c r="I38" s="1961">
        <f>H38*G38</f>
        <v>1</v>
      </c>
      <c r="J38" s="1962">
        <f>I38*F38</f>
        <v>3248865.9523034277</v>
      </c>
      <c r="L38" s="1989"/>
    </row>
    <row r="39" spans="2:16" ht="15" customHeight="1">
      <c r="B39" s="2206" t="s">
        <v>6385</v>
      </c>
      <c r="C39" s="1958" t="s">
        <v>6388</v>
      </c>
      <c r="D39" s="1961">
        <v>1</v>
      </c>
      <c r="E39" s="1962">
        <v>400000</v>
      </c>
      <c r="F39" s="1962">
        <f>+D39*E39</f>
        <v>400000</v>
      </c>
      <c r="G39" s="1963">
        <v>1</v>
      </c>
      <c r="H39" s="1964">
        <f>+$H$12</f>
        <v>12</v>
      </c>
      <c r="I39" s="1961">
        <f>H39*G39</f>
        <v>12</v>
      </c>
      <c r="J39" s="1962">
        <f>I39*F39</f>
        <v>4800000</v>
      </c>
    </row>
    <row r="40" spans="2:16" ht="15" customHeight="1">
      <c r="B40" s="2206" t="s">
        <v>6387</v>
      </c>
      <c r="C40" s="1958" t="s">
        <v>6395</v>
      </c>
      <c r="D40" s="1961">
        <v>1</v>
      </c>
      <c r="E40" s="1995">
        <v>1.38E-2</v>
      </c>
      <c r="F40" s="1962">
        <f>+D40*E40</f>
        <v>1.38E-2</v>
      </c>
      <c r="G40" s="1963"/>
      <c r="H40" s="1964"/>
      <c r="I40" s="1961"/>
      <c r="J40" s="1962">
        <f>+J52*1.38%</f>
        <v>16874640</v>
      </c>
    </row>
    <row r="41" spans="2:16">
      <c r="B41" s="2206" t="s">
        <v>7924</v>
      </c>
      <c r="C41" s="1958" t="s">
        <v>6396</v>
      </c>
      <c r="D41" s="1961"/>
      <c r="E41" s="2298">
        <v>0.13400000000000001</v>
      </c>
      <c r="F41" s="1962"/>
      <c r="G41" s="1963"/>
      <c r="H41" s="1964"/>
      <c r="I41" s="1961"/>
      <c r="J41" s="1962">
        <f>+J52*E41</f>
        <v>163855200</v>
      </c>
    </row>
    <row r="42" spans="2:16">
      <c r="B42" s="1969"/>
      <c r="C42" s="1970"/>
      <c r="D42" s="1971"/>
      <c r="E42" s="1972"/>
      <c r="F42" s="1972"/>
      <c r="G42" s="3254" t="s">
        <v>6389</v>
      </c>
      <c r="H42" s="3254"/>
      <c r="I42" s="3254"/>
      <c r="J42" s="1977">
        <f>SUM(J33:J41)</f>
        <v>317778705.95230341</v>
      </c>
    </row>
    <row r="43" spans="2:16">
      <c r="B43" s="1973"/>
      <c r="C43" s="1974"/>
      <c r="D43" s="1975"/>
      <c r="E43" s="1976"/>
      <c r="F43" s="1976"/>
      <c r="G43" s="1980"/>
      <c r="H43" s="1980"/>
      <c r="I43" s="1980"/>
      <c r="J43" s="1981"/>
    </row>
    <row r="44" spans="2:16">
      <c r="B44" s="1973"/>
      <c r="C44" s="1974"/>
      <c r="D44" s="1975"/>
      <c r="E44" s="1976"/>
      <c r="F44" s="1976"/>
      <c r="G44" s="1974"/>
      <c r="H44" s="1982"/>
      <c r="I44" s="1983"/>
      <c r="J44" s="1984"/>
    </row>
    <row r="45" spans="2:16" ht="14.4">
      <c r="C45" s="1985"/>
      <c r="D45" s="1973"/>
      <c r="E45" s="1974"/>
      <c r="F45" s="1976"/>
      <c r="G45" s="3254" t="s">
        <v>6390</v>
      </c>
      <c r="H45" s="3254"/>
      <c r="I45" s="3254"/>
      <c r="J45" s="1977">
        <f>J42+J29</f>
        <v>932771205.95230341</v>
      </c>
    </row>
    <row r="46" spans="2:16" ht="14.4">
      <c r="C46" s="1985"/>
      <c r="D46" s="1973"/>
      <c r="E46" s="1974"/>
      <c r="F46" s="1976"/>
      <c r="G46" s="3254" t="s">
        <v>841</v>
      </c>
      <c r="H46" s="3254"/>
      <c r="I46" s="3254"/>
      <c r="J46" s="1977">
        <f>+J45*0</f>
        <v>0</v>
      </c>
    </row>
    <row r="47" spans="2:16" ht="14.4">
      <c r="C47" s="1985"/>
      <c r="D47" s="1973"/>
      <c r="E47" s="1974"/>
      <c r="F47" s="1976"/>
      <c r="G47" s="3254" t="s">
        <v>6394</v>
      </c>
      <c r="H47" s="3254"/>
      <c r="I47" s="3254"/>
      <c r="J47" s="1977">
        <f>+J45*10%</f>
        <v>93277120.595230341</v>
      </c>
    </row>
    <row r="48" spans="2:16" ht="18">
      <c r="C48" s="1986"/>
      <c r="D48" s="1987"/>
      <c r="E48" s="1988"/>
      <c r="F48" s="1976"/>
      <c r="G48" s="3254" t="s">
        <v>6391</v>
      </c>
      <c r="H48" s="3254"/>
      <c r="I48" s="3254"/>
      <c r="J48" s="1977">
        <f>SUM(J45:J47)*0.19</f>
        <v>194949182.04403141</v>
      </c>
    </row>
    <row r="49" spans="3:10" ht="14.4">
      <c r="C49" s="1973"/>
      <c r="D49" s="1987"/>
      <c r="E49" s="1988"/>
      <c r="F49" s="1976"/>
      <c r="G49" s="3254" t="s">
        <v>6392</v>
      </c>
      <c r="H49" s="3254"/>
      <c r="I49" s="3254"/>
      <c r="J49" s="1990">
        <f>ROUND(SUM(J45:J48),0)</f>
        <v>1220997509</v>
      </c>
    </row>
    <row r="50" spans="3:10">
      <c r="G50" s="3253" t="s">
        <v>7939</v>
      </c>
      <c r="H50" s="3253"/>
      <c r="I50" s="3253"/>
      <c r="J50" s="2792">
        <f>+J49/(AIU!M2*(1+AIU))</f>
        <v>0.16163254000625432</v>
      </c>
    </row>
    <row r="51" spans="3:10">
      <c r="J51" s="1991"/>
    </row>
    <row r="52" spans="3:10">
      <c r="J52" s="1992">
        <v>1222800000</v>
      </c>
    </row>
    <row r="53" spans="3:10">
      <c r="J53" s="1993"/>
    </row>
    <row r="56" spans="3:10">
      <c r="J56" s="1991"/>
    </row>
  </sheetData>
  <mergeCells count="20">
    <mergeCell ref="G48:I48"/>
    <mergeCell ref="G49:I49"/>
    <mergeCell ref="G46:I46"/>
    <mergeCell ref="G47:I47"/>
    <mergeCell ref="G50:I50"/>
    <mergeCell ref="G42:I42"/>
    <mergeCell ref="G45:I45"/>
    <mergeCell ref="B31:B32"/>
    <mergeCell ref="C31:C32"/>
    <mergeCell ref="B2:C4"/>
    <mergeCell ref="D2:H2"/>
    <mergeCell ref="I2:J4"/>
    <mergeCell ref="D3:H3"/>
    <mergeCell ref="D4:H4"/>
    <mergeCell ref="C6:J6"/>
    <mergeCell ref="B9:B10"/>
    <mergeCell ref="C9:C10"/>
    <mergeCell ref="G27:I27"/>
    <mergeCell ref="G28:I28"/>
    <mergeCell ref="G29:I29"/>
  </mergeCells>
  <printOptions horizontalCentered="1"/>
  <pageMargins left="0.39370078740157483" right="0.39370078740157483" top="0.59055118110236227" bottom="0.39370078740157483" header="0" footer="0"/>
  <pageSetup paperSize="119" scale="24"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6"/>
  <sheetViews>
    <sheetView workbookViewId="0"/>
  </sheetViews>
  <sheetFormatPr baseColWidth="10" defaultColWidth="10.6640625" defaultRowHeight="13.2"/>
  <cols>
    <col min="1" max="1" width="8.33203125" customWidth="1"/>
    <col min="7" max="7" width="18.33203125" bestFit="1" customWidth="1"/>
    <col min="8" max="10" width="17.109375" bestFit="1" customWidth="1"/>
    <col min="11" max="11" width="17.6640625" customWidth="1"/>
    <col min="12" max="12" width="27.33203125" customWidth="1"/>
  </cols>
  <sheetData>
    <row r="2" spans="1:15" s="150" customFormat="1" ht="21.6">
      <c r="A2" s="3995" t="s">
        <v>4325</v>
      </c>
      <c r="B2" s="3995"/>
      <c r="C2" s="3995"/>
      <c r="D2" s="3995"/>
      <c r="E2" s="3995"/>
      <c r="F2" s="3995"/>
      <c r="G2" s="3995"/>
      <c r="H2" s="3995"/>
      <c r="I2" s="3995"/>
      <c r="J2" s="3995"/>
      <c r="K2" s="3995"/>
      <c r="L2" s="3995"/>
      <c r="M2" s="3995"/>
      <c r="N2" s="153"/>
      <c r="O2" s="153"/>
    </row>
    <row r="3" spans="1:15" ht="21" customHeight="1">
      <c r="A3" s="3996" t="s">
        <v>1323</v>
      </c>
      <c r="B3" s="3996"/>
      <c r="C3" s="3996"/>
      <c r="D3" s="3996"/>
      <c r="E3" s="3996"/>
      <c r="F3" s="3996"/>
      <c r="G3" s="3996"/>
      <c r="H3" s="3996"/>
      <c r="I3" s="3996"/>
      <c r="J3" s="3996"/>
      <c r="K3" s="3996"/>
      <c r="L3" s="3996"/>
      <c r="M3" s="3996"/>
      <c r="N3" s="153"/>
      <c r="O3" s="153"/>
    </row>
    <row r="4" spans="1:15" s="492" customFormat="1" ht="62.25" customHeight="1">
      <c r="A4" s="490" t="s">
        <v>22</v>
      </c>
      <c r="B4" s="3997" t="s">
        <v>23</v>
      </c>
      <c r="C4" s="3997"/>
      <c r="D4" s="3997"/>
      <c r="E4" s="3997"/>
      <c r="F4" s="3997"/>
      <c r="G4" s="491" t="s">
        <v>850</v>
      </c>
      <c r="H4" s="489" t="str">
        <f>+CONCATENATE("AIU"," ",AIU*100,"%")</f>
        <v>AIU 29,572249606751%</v>
      </c>
      <c r="I4" s="489" t="str">
        <f>+CONCATENATE("ADMINISTRACIÓN"," ",ADMINISTRA*100,"%"," ","SUMINISTRO Y TRANSPORTE")</f>
        <v>ADMINISTRACIÓN 24,572249606751% SUMINISTRO Y TRANSPORTE</v>
      </c>
      <c r="J4" s="489" t="s">
        <v>4324</v>
      </c>
      <c r="K4" s="489" t="s">
        <v>4305</v>
      </c>
      <c r="L4" s="491" t="s">
        <v>849</v>
      </c>
      <c r="M4" s="491" t="s">
        <v>283</v>
      </c>
    </row>
    <row r="5" spans="1:15" s="181" customFormat="1" ht="34.5" customHeight="1">
      <c r="A5" s="236">
        <v>6</v>
      </c>
      <c r="B5" s="3999" t="s">
        <v>1207</v>
      </c>
      <c r="C5" s="4000"/>
      <c r="D5" s="4000"/>
      <c r="E5" s="4000"/>
      <c r="F5" s="4001"/>
      <c r="G5" s="233">
        <f>+' TANQUE PATAGONIA'!G53</f>
        <v>591791109</v>
      </c>
      <c r="H5" s="233">
        <f t="shared" ref="H5:H6" si="0">+G5*AIU</f>
        <v>175005943.90403983</v>
      </c>
      <c r="I5" s="233"/>
      <c r="J5" s="233"/>
      <c r="K5" s="233">
        <f t="shared" ref="K5:K6" si="1">0.02*(G5+H5)</f>
        <v>15335941.058080798</v>
      </c>
      <c r="L5" s="234">
        <f t="shared" ref="L5:L6" si="2">SUM(G5:K5)</f>
        <v>782132993.96212065</v>
      </c>
      <c r="M5" s="493">
        <f>+L5/$L$7</f>
        <v>0.38751200136412561</v>
      </c>
    </row>
    <row r="6" spans="1:15" s="181" customFormat="1" ht="32.25" customHeight="1">
      <c r="A6" s="236">
        <v>7</v>
      </c>
      <c r="B6" s="3999" t="s">
        <v>1298</v>
      </c>
      <c r="C6" s="4000"/>
      <c r="D6" s="4000"/>
      <c r="E6" s="4000"/>
      <c r="F6" s="4001"/>
      <c r="G6" s="233">
        <f>+'LINEAS IMPULSIÓN-CONDUCCIÓN'!F193</f>
        <v>935364455</v>
      </c>
      <c r="H6" s="233">
        <f t="shared" si="0"/>
        <v>276608311.365426</v>
      </c>
      <c r="I6" s="233"/>
      <c r="J6" s="233"/>
      <c r="K6" s="233">
        <f t="shared" si="1"/>
        <v>24239455.327308521</v>
      </c>
      <c r="L6" s="234">
        <f t="shared" si="2"/>
        <v>1236212221.6927345</v>
      </c>
      <c r="M6" s="493">
        <f>+L6/$L$7</f>
        <v>0.61248799863587433</v>
      </c>
    </row>
    <row r="7" spans="1:15" s="181" customFormat="1" ht="18">
      <c r="A7" s="408"/>
      <c r="B7" s="3994" t="s">
        <v>1069</v>
      </c>
      <c r="C7" s="3994"/>
      <c r="D7" s="3994"/>
      <c r="E7" s="3994"/>
      <c r="F7" s="3994"/>
      <c r="G7" s="409">
        <f>SUM(G5:G6)</f>
        <v>1527155564</v>
      </c>
      <c r="H7" s="409">
        <f>SUM(H5:H6)</f>
        <v>451614255.2694658</v>
      </c>
      <c r="I7" s="409">
        <f>SUM(I5:I6)</f>
        <v>0</v>
      </c>
      <c r="J7" s="1076">
        <f>+SUM(J5:J6)</f>
        <v>0</v>
      </c>
      <c r="K7" s="409">
        <f>+SUM(K5:K6)</f>
        <v>39575396.385389321</v>
      </c>
      <c r="L7" s="409">
        <f>SUM(L5:L6)</f>
        <v>2018345215.6548553</v>
      </c>
      <c r="M7" s="410">
        <f>SUM(M5:M6)</f>
        <v>1</v>
      </c>
    </row>
    <row r="8" spans="1:15" s="181" customFormat="1" ht="18">
      <c r="A8" s="4002" t="s">
        <v>1070</v>
      </c>
      <c r="B8" s="4002"/>
      <c r="C8" s="4002"/>
      <c r="D8" s="4002"/>
      <c r="E8" s="4002"/>
      <c r="F8" s="4002"/>
      <c r="G8" s="4002"/>
      <c r="H8" s="4002"/>
      <c r="I8" s="4002"/>
      <c r="J8" s="4002"/>
      <c r="K8" s="4002"/>
      <c r="L8" s="4002"/>
      <c r="M8" s="4002"/>
    </row>
    <row r="9" spans="1:15" s="181" customFormat="1" ht="35.25" customHeight="1">
      <c r="A9" s="236">
        <f>+A5</f>
        <v>6</v>
      </c>
      <c r="B9" s="3998" t="str">
        <f>+B5</f>
        <v>TANQUE DE ALMACENAMIENTO PATAGONIA V=1000 m3</v>
      </c>
      <c r="C9" s="3998"/>
      <c r="D9" s="3998"/>
      <c r="E9" s="3998"/>
      <c r="F9" s="3998"/>
      <c r="G9" s="233">
        <f>+' TANQUE PATAGONIA'!G69</f>
        <v>15147950</v>
      </c>
      <c r="H9" s="233"/>
      <c r="I9" s="233">
        <f t="shared" ref="I9:I10" si="3">+G9*ADMINISTRA</f>
        <v>3722192.0843058368</v>
      </c>
      <c r="J9" s="233"/>
      <c r="K9" s="233">
        <f t="shared" ref="K9:K10" si="4">0.02*(G9+I9)</f>
        <v>377402.84168611676</v>
      </c>
      <c r="L9" s="234">
        <f t="shared" ref="L9:L10" si="5">SUM(G9:K9)</f>
        <v>19247544.925991956</v>
      </c>
      <c r="M9" s="235">
        <f>+L9/$L$11</f>
        <v>2.2218066661472073E-2</v>
      </c>
    </row>
    <row r="10" spans="1:15" s="181" customFormat="1" ht="35.25" customHeight="1">
      <c r="A10" s="236">
        <f>+A6</f>
        <v>7</v>
      </c>
      <c r="B10" s="3998" t="str">
        <f>+B6</f>
        <v>CONDUCCIÓN TANQUE DE PATAGONIA - EL PORVENIR Y ECOPETROL (L=7557.6m PVC, Ø=10,8,6"</v>
      </c>
      <c r="C10" s="3998"/>
      <c r="D10" s="3998"/>
      <c r="E10" s="3998"/>
      <c r="F10" s="3998"/>
      <c r="G10" s="233">
        <f>+'LINEAS IMPULSIÓN-CONDUCCIÓN'!F214</f>
        <v>666637294</v>
      </c>
      <c r="H10" s="233"/>
      <c r="I10" s="233">
        <f t="shared" si="3"/>
        <v>163807779.85337046</v>
      </c>
      <c r="J10" s="233"/>
      <c r="K10" s="233">
        <f t="shared" si="4"/>
        <v>16608901.477067409</v>
      </c>
      <c r="L10" s="234">
        <f t="shared" si="5"/>
        <v>847053975.33043778</v>
      </c>
      <c r="M10" s="235">
        <f>+L10/$L$11</f>
        <v>0.97778193333852781</v>
      </c>
    </row>
    <row r="11" spans="1:15" s="181" customFormat="1" ht="17.25" customHeight="1">
      <c r="A11" s="408"/>
      <c r="B11" s="4003" t="s">
        <v>1071</v>
      </c>
      <c r="C11" s="4004"/>
      <c r="D11" s="4004"/>
      <c r="E11" s="4004"/>
      <c r="F11" s="4005"/>
      <c r="G11" s="409">
        <f>SUM(G9:G10)</f>
        <v>681785244</v>
      </c>
      <c r="H11" s="409">
        <f>SUM(H7:H10)</f>
        <v>451614255.2694658</v>
      </c>
      <c r="I11" s="409">
        <f>SUM(I7:I10)</f>
        <v>167529971.93767628</v>
      </c>
      <c r="J11" s="1076">
        <f>+SUM(J9:J10)</f>
        <v>0</v>
      </c>
      <c r="K11" s="409">
        <f>+SUM(K9:K10)</f>
        <v>16986304.318753526</v>
      </c>
      <c r="L11" s="409">
        <f>SUM(L9:L10)</f>
        <v>866301520.25642979</v>
      </c>
      <c r="M11" s="410">
        <f>SUM(M9:M10)</f>
        <v>0.99999999999999989</v>
      </c>
    </row>
    <row r="12" spans="1:15" s="181" customFormat="1" ht="17.25" customHeight="1">
      <c r="A12" s="4002" t="s">
        <v>1072</v>
      </c>
      <c r="B12" s="4002"/>
      <c r="C12" s="4002"/>
      <c r="D12" s="4002"/>
      <c r="E12" s="4002"/>
      <c r="F12" s="4002"/>
      <c r="G12" s="4002"/>
      <c r="H12" s="4002"/>
      <c r="I12" s="4002"/>
      <c r="J12" s="4002"/>
      <c r="K12" s="4002"/>
      <c r="L12" s="4002"/>
      <c r="M12" s="4002"/>
    </row>
    <row r="13" spans="1:15" s="181" customFormat="1" ht="34.5" customHeight="1">
      <c r="A13" s="236">
        <f>+A5</f>
        <v>6</v>
      </c>
      <c r="B13" s="3999" t="str">
        <f>+B5</f>
        <v>TANQUE DE ALMACENAMIENTO PATAGONIA V=1000 m3</v>
      </c>
      <c r="C13" s="4000"/>
      <c r="D13" s="4000"/>
      <c r="E13" s="4000"/>
      <c r="F13" s="4001"/>
      <c r="G13" s="233">
        <f>+G9+G5</f>
        <v>606939059</v>
      </c>
      <c r="H13" s="233">
        <f>+H5</f>
        <v>175005943.90403983</v>
      </c>
      <c r="I13" s="233">
        <f>+I9+I5</f>
        <v>3722192.0843058368</v>
      </c>
      <c r="J13" s="233"/>
      <c r="K13" s="233">
        <f>+K5+K9</f>
        <v>15713343.899766915</v>
      </c>
      <c r="L13" s="234">
        <f t="shared" ref="L13" si="6">ROUND(SUM(G13:K13),0)</f>
        <v>801380539</v>
      </c>
      <c r="M13" s="235">
        <f>+L13/$L$15</f>
        <v>0.2778089008261842</v>
      </c>
    </row>
    <row r="14" spans="1:15" s="181" customFormat="1" ht="32.25" customHeight="1">
      <c r="A14" s="236">
        <f>+A6</f>
        <v>7</v>
      </c>
      <c r="B14" s="3999" t="str">
        <f>+B6</f>
        <v>CONDUCCIÓN TANQUE DE PATAGONIA - EL PORVENIR Y ECOPETROL (L=7557.6m PVC, Ø=10,8,6"</v>
      </c>
      <c r="C14" s="4000"/>
      <c r="D14" s="4000"/>
      <c r="E14" s="4000"/>
      <c r="F14" s="4001"/>
      <c r="G14" s="233">
        <f>+G10+G6</f>
        <v>1602001749</v>
      </c>
      <c r="H14" s="233">
        <f>+H6</f>
        <v>276608311.365426</v>
      </c>
      <c r="I14" s="233">
        <f>+I10+I6</f>
        <v>163807779.85337046</v>
      </c>
      <c r="J14" s="233"/>
      <c r="K14" s="233">
        <f>+K6+K10</f>
        <v>40848356.804375932</v>
      </c>
      <c r="L14" s="234">
        <f>ROUNDDOWN(SUM(G14:K14),0)</f>
        <v>2083266197</v>
      </c>
      <c r="M14" s="235">
        <f>+L14/$L$15</f>
        <v>0.72219109917381574</v>
      </c>
    </row>
    <row r="15" spans="1:15" s="181" customFormat="1" ht="18">
      <c r="A15" s="408"/>
      <c r="B15" s="3994" t="s">
        <v>1078</v>
      </c>
      <c r="C15" s="3994"/>
      <c r="D15" s="3994"/>
      <c r="E15" s="3994"/>
      <c r="F15" s="3994"/>
      <c r="G15" s="409">
        <f t="shared" ref="G15:L15" si="7">ROUND(SUM(G13:G14),0)</f>
        <v>2208940808</v>
      </c>
      <c r="H15" s="409">
        <f t="shared" si="7"/>
        <v>451614255</v>
      </c>
      <c r="I15" s="409">
        <f t="shared" si="7"/>
        <v>167529972</v>
      </c>
      <c r="J15" s="409">
        <f t="shared" si="7"/>
        <v>0</v>
      </c>
      <c r="K15" s="409">
        <f t="shared" si="7"/>
        <v>56561701</v>
      </c>
      <c r="L15" s="1232">
        <f t="shared" si="7"/>
        <v>2884646736</v>
      </c>
      <c r="M15" s="494">
        <f>SUM(M13:M14)</f>
        <v>1</v>
      </c>
    </row>
    <row r="16" spans="1:15">
      <c r="L16" s="1404"/>
    </row>
  </sheetData>
  <mergeCells count="14">
    <mergeCell ref="B15:F15"/>
    <mergeCell ref="B13:F13"/>
    <mergeCell ref="B14:F14"/>
    <mergeCell ref="B9:F9"/>
    <mergeCell ref="B10:F10"/>
    <mergeCell ref="B11:F11"/>
    <mergeCell ref="A12:M12"/>
    <mergeCell ref="A8:M8"/>
    <mergeCell ref="B5:F5"/>
    <mergeCell ref="B6:F6"/>
    <mergeCell ref="B7:F7"/>
    <mergeCell ref="A2:M2"/>
    <mergeCell ref="A3:M3"/>
    <mergeCell ref="B4:F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8"/>
  <sheetViews>
    <sheetView workbookViewId="0"/>
  </sheetViews>
  <sheetFormatPr baseColWidth="10" defaultColWidth="10.6640625" defaultRowHeight="13.2"/>
  <cols>
    <col min="1" max="1" width="8.33203125" customWidth="1"/>
    <col min="7" max="7" width="18.33203125" bestFit="1" customWidth="1"/>
    <col min="8" max="10" width="17.109375" bestFit="1" customWidth="1"/>
    <col min="11" max="11" width="17.6640625" customWidth="1"/>
    <col min="12" max="12" width="21.33203125" bestFit="1" customWidth="1"/>
  </cols>
  <sheetData>
    <row r="2" spans="1:15" s="150" customFormat="1" ht="21.6">
      <c r="A2" s="3995" t="s">
        <v>4325</v>
      </c>
      <c r="B2" s="3995"/>
      <c r="C2" s="3995"/>
      <c r="D2" s="3995"/>
      <c r="E2" s="3995"/>
      <c r="F2" s="3995"/>
      <c r="G2" s="3995"/>
      <c r="H2" s="3995"/>
      <c r="I2" s="3995"/>
      <c r="J2" s="3995"/>
      <c r="K2" s="3995"/>
      <c r="L2" s="3995"/>
      <c r="M2" s="3995"/>
      <c r="N2" s="153"/>
      <c r="O2" s="153"/>
    </row>
    <row r="3" spans="1:15" ht="21" customHeight="1">
      <c r="A3" s="3996" t="s">
        <v>1323</v>
      </c>
      <c r="B3" s="3996"/>
      <c r="C3" s="3996"/>
      <c r="D3" s="3996"/>
      <c r="E3" s="3996"/>
      <c r="F3" s="3996"/>
      <c r="G3" s="3996"/>
      <c r="H3" s="3996"/>
      <c r="I3" s="3996"/>
      <c r="J3" s="3996"/>
      <c r="K3" s="3996"/>
      <c r="L3" s="3996"/>
      <c r="M3" s="3996"/>
      <c r="N3" s="153"/>
      <c r="O3" s="153"/>
    </row>
    <row r="4" spans="1:15" s="492" customFormat="1" ht="62.25" customHeight="1">
      <c r="A4" s="490" t="s">
        <v>22</v>
      </c>
      <c r="B4" s="3997" t="s">
        <v>23</v>
      </c>
      <c r="C4" s="3997"/>
      <c r="D4" s="3997"/>
      <c r="E4" s="3997"/>
      <c r="F4" s="3997"/>
      <c r="G4" s="491" t="s">
        <v>850</v>
      </c>
      <c r="H4" s="489" t="str">
        <f>+CONCATENATE("AIU"," ",AIU*100,"%")</f>
        <v>AIU 29,572249606751%</v>
      </c>
      <c r="I4" s="489" t="str">
        <f>+CONCATENATE("ADMINISTRACIÓN"," ",ADMINISTRA*100,"%"," ","SUMINISTRO Y TRANSPORTE")</f>
        <v>ADMINISTRACIÓN 24,572249606751% SUMINISTRO Y TRANSPORTE</v>
      </c>
      <c r="J4" s="489" t="s">
        <v>4324</v>
      </c>
      <c r="K4" s="489" t="s">
        <v>4305</v>
      </c>
      <c r="L4" s="491" t="s">
        <v>849</v>
      </c>
      <c r="M4" s="491" t="s">
        <v>283</v>
      </c>
    </row>
    <row r="5" spans="1:15" s="181" customFormat="1" ht="35.25" customHeight="1">
      <c r="A5" s="236">
        <v>1</v>
      </c>
      <c r="B5" s="3998" t="s">
        <v>1203</v>
      </c>
      <c r="C5" s="3998"/>
      <c r="D5" s="3998"/>
      <c r="E5" s="3998"/>
      <c r="F5" s="3998"/>
      <c r="G5" s="233" t="e">
        <f>+'CAPTACION RIO SINÚ'!#REF!</f>
        <v>#REF!</v>
      </c>
      <c r="H5" s="233" t="e">
        <f t="shared" ref="H5:H9" si="0">+G5*AIU</f>
        <v>#REF!</v>
      </c>
      <c r="I5" s="233"/>
      <c r="J5" s="233"/>
      <c r="K5" s="233" t="e">
        <f>0.02*(G5+H5)</f>
        <v>#REF!</v>
      </c>
      <c r="L5" s="234" t="e">
        <f t="shared" ref="L5:L9" si="1">SUM(G5:K5)</f>
        <v>#REF!</v>
      </c>
      <c r="M5" s="493" t="e">
        <f>+L5/$L$11</f>
        <v>#REF!</v>
      </c>
    </row>
    <row r="6" spans="1:15" s="181" customFormat="1" ht="34.5" customHeight="1">
      <c r="A6" s="236" t="s">
        <v>260</v>
      </c>
      <c r="B6" s="3998" t="s">
        <v>1202</v>
      </c>
      <c r="C6" s="3998"/>
      <c r="D6" s="3998"/>
      <c r="E6" s="3998"/>
      <c r="F6" s="3998"/>
      <c r="G6" s="233">
        <f>+'LINEAS IMPULSIÓN-CONDUCCIÓN'!F54</f>
        <v>2104213397</v>
      </c>
      <c r="H6" s="233">
        <f t="shared" si="0"/>
        <v>622263238.01953411</v>
      </c>
      <c r="I6" s="233"/>
      <c r="J6" s="233"/>
      <c r="K6" s="233">
        <f t="shared" ref="K6:K9" si="2">0.02*(G6+H6)</f>
        <v>54529532.700390682</v>
      </c>
      <c r="L6" s="234">
        <f t="shared" si="1"/>
        <v>2781006167.7199249</v>
      </c>
      <c r="M6" s="493" t="e">
        <f>+L6/$L$11</f>
        <v>#REF!</v>
      </c>
    </row>
    <row r="7" spans="1:15" s="181" customFormat="1" ht="34.5" customHeight="1">
      <c r="A7" s="236">
        <v>3</v>
      </c>
      <c r="B7" s="3998" t="s">
        <v>1204</v>
      </c>
      <c r="C7" s="3998"/>
      <c r="D7" s="3998"/>
      <c r="E7" s="3998"/>
      <c r="F7" s="3998"/>
      <c r="G7" s="233" t="e">
        <f>+'PTAP TIJERETAS'!F114+'PTAP TIJERETAS'!#REF!</f>
        <v>#REF!</v>
      </c>
      <c r="H7" s="233" t="e">
        <f t="shared" si="0"/>
        <v>#REF!</v>
      </c>
      <c r="I7" s="233"/>
      <c r="J7" s="233"/>
      <c r="K7" s="233" t="e">
        <f t="shared" si="2"/>
        <v>#REF!</v>
      </c>
      <c r="L7" s="234" t="e">
        <f t="shared" si="1"/>
        <v>#REF!</v>
      </c>
      <c r="M7" s="493" t="e">
        <f>+L7/$L$11</f>
        <v>#REF!</v>
      </c>
    </row>
    <row r="8" spans="1:15" s="181" customFormat="1" ht="34.5" customHeight="1">
      <c r="A8" s="236">
        <v>4</v>
      </c>
      <c r="B8" s="3998" t="s">
        <v>1205</v>
      </c>
      <c r="C8" s="3998"/>
      <c r="D8" s="3998"/>
      <c r="E8" s="3998"/>
      <c r="F8" s="3998"/>
      <c r="G8" s="233" t="e">
        <f>+#REF!</f>
        <v>#REF!</v>
      </c>
      <c r="H8" s="233" t="e">
        <f t="shared" si="0"/>
        <v>#REF!</v>
      </c>
      <c r="I8" s="233"/>
      <c r="J8" s="233"/>
      <c r="K8" s="233" t="e">
        <f t="shared" si="2"/>
        <v>#REF!</v>
      </c>
      <c r="L8" s="234" t="e">
        <f t="shared" si="1"/>
        <v>#REF!</v>
      </c>
      <c r="M8" s="493" t="e">
        <f>+L8/$L$11</f>
        <v>#REF!</v>
      </c>
    </row>
    <row r="9" spans="1:15" s="181" customFormat="1" ht="34.5" customHeight="1">
      <c r="A9" s="236">
        <v>5</v>
      </c>
      <c r="B9" s="3998" t="s">
        <v>1206</v>
      </c>
      <c r="C9" s="3998"/>
      <c r="D9" s="3998"/>
      <c r="E9" s="3998"/>
      <c r="F9" s="3998"/>
      <c r="G9" s="233">
        <f>+'LINEAS IMPULSIÓN-CONDUCCIÓN'!F123</f>
        <v>1146701883</v>
      </c>
      <c r="H9" s="233">
        <f t="shared" si="0"/>
        <v>339105543.0860737</v>
      </c>
      <c r="I9" s="233"/>
      <c r="J9" s="233"/>
      <c r="K9" s="233">
        <f t="shared" si="2"/>
        <v>29716148.521721475</v>
      </c>
      <c r="L9" s="234">
        <f t="shared" si="1"/>
        <v>1515523574.607795</v>
      </c>
      <c r="M9" s="493" t="e">
        <f>+L9/$L$11</f>
        <v>#REF!</v>
      </c>
    </row>
    <row r="10" spans="1:15" s="181" customFormat="1" ht="32.25" customHeight="1">
      <c r="A10" s="236"/>
      <c r="B10" s="3999" t="s">
        <v>4341</v>
      </c>
      <c r="C10" s="4000"/>
      <c r="D10" s="4000"/>
      <c r="E10" s="4000"/>
      <c r="F10" s="4001"/>
      <c r="G10" s="233"/>
      <c r="H10" s="233"/>
      <c r="I10" s="233"/>
      <c r="J10" s="233"/>
      <c r="K10" s="233"/>
      <c r="L10" s="234"/>
      <c r="M10" s="493"/>
    </row>
    <row r="11" spans="1:15" s="181" customFormat="1" ht="18">
      <c r="A11" s="408"/>
      <c r="B11" s="3994" t="s">
        <v>1069</v>
      </c>
      <c r="C11" s="3994"/>
      <c r="D11" s="3994"/>
      <c r="E11" s="3994"/>
      <c r="F11" s="3994"/>
      <c r="G11" s="409" t="e">
        <f>SUM(G5:G9)</f>
        <v>#REF!</v>
      </c>
      <c r="H11" s="409" t="e">
        <f>SUM(H5:H9)</f>
        <v>#REF!</v>
      </c>
      <c r="I11" s="409">
        <f>SUM(I5:I9)</f>
        <v>0</v>
      </c>
      <c r="J11" s="1076"/>
      <c r="K11" s="409" t="e">
        <f>+SUM(K5:K9)</f>
        <v>#REF!</v>
      </c>
      <c r="L11" s="409" t="e">
        <f>SUM(L5:L9)</f>
        <v>#REF!</v>
      </c>
      <c r="M11" s="410" t="e">
        <f>SUM(M5:M9)</f>
        <v>#REF!</v>
      </c>
    </row>
    <row r="12" spans="1:15" s="181" customFormat="1" ht="18">
      <c r="A12" s="4002" t="s">
        <v>1070</v>
      </c>
      <c r="B12" s="4002"/>
      <c r="C12" s="4002"/>
      <c r="D12" s="4002"/>
      <c r="E12" s="4002"/>
      <c r="F12" s="4002"/>
      <c r="G12" s="4002"/>
      <c r="H12" s="4002"/>
      <c r="I12" s="4002"/>
      <c r="J12" s="4002"/>
      <c r="K12" s="4002"/>
      <c r="L12" s="4002"/>
      <c r="M12" s="4002"/>
    </row>
    <row r="13" spans="1:15" s="181" customFormat="1" ht="39" customHeight="1">
      <c r="A13" s="236">
        <f t="shared" ref="A13:B17" si="3">+A5</f>
        <v>1</v>
      </c>
      <c r="B13" s="3998" t="str">
        <f t="shared" si="3"/>
        <v>COMPONENTE ELECTRICO Y MECANICO DEL SISTEMA DE BOMBEO RÍO SINÚ - PTAP TIJERETAS</v>
      </c>
      <c r="C13" s="3998"/>
      <c r="D13" s="3998"/>
      <c r="E13" s="3998"/>
      <c r="F13" s="3998"/>
      <c r="G13" s="233" t="e">
        <f>+'CAPTACION RIO SINÚ'!#REF!</f>
        <v>#REF!</v>
      </c>
      <c r="H13" s="233"/>
      <c r="I13" s="233" t="e">
        <f t="shared" ref="I13:I17" si="4">+G13*ADMINISTRA</f>
        <v>#REF!</v>
      </c>
      <c r="J13" s="233"/>
      <c r="K13" s="233" t="e">
        <f>0.02*(G13+I13)</f>
        <v>#REF!</v>
      </c>
      <c r="L13" s="234" t="e">
        <f>SUM(G13:K13)</f>
        <v>#REF!</v>
      </c>
      <c r="M13" s="235" t="e">
        <f t="shared" ref="M13:M18" si="5">+L13/$L$19</f>
        <v>#REF!</v>
      </c>
    </row>
    <row r="14" spans="1:15" s="181" customFormat="1" ht="39" customHeight="1">
      <c r="A14" s="236" t="str">
        <f t="shared" si="3"/>
        <v>2</v>
      </c>
      <c r="B14" s="3998" t="str">
        <f t="shared" si="3"/>
        <v xml:space="preserve"> LÍNEA DE IMPULSIÓN RÍO SINÚ - PTAP TIJERETAS (tuberia 400 mm PN12.5 RDE 13.6 en PEAD L=10133 Q=120 l/s )</v>
      </c>
      <c r="C14" s="3998"/>
      <c r="D14" s="3998"/>
      <c r="E14" s="3998"/>
      <c r="F14" s="3998"/>
      <c r="G14" s="233">
        <f>+'LINEAS IMPULSIÓN-CONDUCCIÓN'!F71</f>
        <v>3405599240</v>
      </c>
      <c r="H14" s="233"/>
      <c r="I14" s="233">
        <f t="shared" si="4"/>
        <v>836832345.85841477</v>
      </c>
      <c r="J14" s="233"/>
      <c r="K14" s="233">
        <f t="shared" ref="K14:K17" si="6">0.02*(G14+I14)</f>
        <v>84848631.717168301</v>
      </c>
      <c r="L14" s="234">
        <f t="shared" ref="L14:L17" si="7">SUM(G14:K14)</f>
        <v>4327280217.5755825</v>
      </c>
      <c r="M14" s="235" t="e">
        <f t="shared" si="5"/>
        <v>#REF!</v>
      </c>
    </row>
    <row r="15" spans="1:15" s="181" customFormat="1" ht="39" customHeight="1">
      <c r="A15" s="236">
        <f t="shared" si="3"/>
        <v>3</v>
      </c>
      <c r="B15" s="3998" t="str">
        <f t="shared" si="3"/>
        <v>OPTIMIZACION PLANTA DE TRATAMIENTO DE AGUA POTABLE (Q= 120 l/s)</v>
      </c>
      <c r="C15" s="3998"/>
      <c r="D15" s="3998"/>
      <c r="E15" s="3998"/>
      <c r="F15" s="3998"/>
      <c r="G15" s="233">
        <f>+'PTAP TIJERETAS'!F154+'PTAP TIJERETAS'!F330</f>
        <v>1677380707</v>
      </c>
      <c r="H15" s="233"/>
      <c r="I15" s="233">
        <f t="shared" si="4"/>
        <v>412170174.17952454</v>
      </c>
      <c r="J15" s="233"/>
      <c r="K15" s="233">
        <f t="shared" si="6"/>
        <v>41791017.623590492</v>
      </c>
      <c r="L15" s="234">
        <f t="shared" si="7"/>
        <v>2131341898.8031149</v>
      </c>
      <c r="M15" s="235" t="e">
        <f t="shared" si="5"/>
        <v>#REF!</v>
      </c>
    </row>
    <row r="16" spans="1:15" s="181" customFormat="1" ht="39" customHeight="1">
      <c r="A16" s="236">
        <f t="shared" si="3"/>
        <v>4</v>
      </c>
      <c r="B16" s="3998" t="str">
        <f t="shared" si="3"/>
        <v>COMPONENTE ELECTRICO Y MECANICO DEL SISTEMA DE BOMBEO PTAP TIJERETAS - TANQUE PATAGONIA</v>
      </c>
      <c r="C16" s="3998"/>
      <c r="D16" s="3998"/>
      <c r="E16" s="3998"/>
      <c r="F16" s="3998"/>
      <c r="G16" s="233" t="e">
        <f>+#REF!</f>
        <v>#REF!</v>
      </c>
      <c r="H16" s="233"/>
      <c r="I16" s="233" t="e">
        <f t="shared" si="4"/>
        <v>#REF!</v>
      </c>
      <c r="J16" s="233"/>
      <c r="K16" s="233" t="e">
        <f t="shared" si="6"/>
        <v>#REF!</v>
      </c>
      <c r="L16" s="234" t="e">
        <f t="shared" si="7"/>
        <v>#REF!</v>
      </c>
      <c r="M16" s="235" t="e">
        <f t="shared" si="5"/>
        <v>#REF!</v>
      </c>
    </row>
    <row r="17" spans="1:13" s="181" customFormat="1" ht="35.25" customHeight="1">
      <c r="A17" s="236">
        <f t="shared" si="3"/>
        <v>5</v>
      </c>
      <c r="B17" s="3998" t="str">
        <f t="shared" si="3"/>
        <v>LÍNEA DE IMPULSIÓN PTAP TIJERETAS -  (tuberia 160 mm  PEAD L=10368 Q=20 l/s )</v>
      </c>
      <c r="C17" s="3998"/>
      <c r="D17" s="3998"/>
      <c r="E17" s="3998"/>
      <c r="F17" s="3998"/>
      <c r="G17" s="233">
        <f>+'LINEAS IMPULSIÓN-CONDUCCIÓN'!F143</f>
        <v>745534458</v>
      </c>
      <c r="H17" s="233"/>
      <c r="I17" s="233">
        <f t="shared" si="4"/>
        <v>183194587.92409813</v>
      </c>
      <c r="J17" s="233"/>
      <c r="K17" s="233">
        <f t="shared" si="6"/>
        <v>18574580.918481965</v>
      </c>
      <c r="L17" s="234">
        <f t="shared" si="7"/>
        <v>947303626.84258008</v>
      </c>
      <c r="M17" s="235" t="e">
        <f t="shared" si="5"/>
        <v>#REF!</v>
      </c>
    </row>
    <row r="18" spans="1:13" s="181" customFormat="1" ht="35.25" customHeight="1">
      <c r="A18" s="236"/>
      <c r="B18" s="3999" t="s">
        <v>4341</v>
      </c>
      <c r="C18" s="4000"/>
      <c r="D18" s="4000"/>
      <c r="E18" s="4000"/>
      <c r="F18" s="4001"/>
      <c r="G18" s="233">
        <f>+'TOTAL OC E INST + SUM'!F877</f>
        <v>9000000</v>
      </c>
      <c r="H18" s="233"/>
      <c r="I18" s="233"/>
      <c r="J18" s="233"/>
      <c r="K18" s="233"/>
      <c r="L18" s="234">
        <f>SUM(G18:K18)</f>
        <v>9000000</v>
      </c>
      <c r="M18" s="235" t="e">
        <f t="shared" si="5"/>
        <v>#REF!</v>
      </c>
    </row>
    <row r="19" spans="1:13" s="181" customFormat="1" ht="17.25" customHeight="1">
      <c r="A19" s="408"/>
      <c r="B19" s="4003" t="s">
        <v>1071</v>
      </c>
      <c r="C19" s="4004"/>
      <c r="D19" s="4004"/>
      <c r="E19" s="4004"/>
      <c r="F19" s="4005"/>
      <c r="G19" s="409" t="e">
        <f>SUM(G13:G18)</f>
        <v>#REF!</v>
      </c>
      <c r="H19" s="409" t="e">
        <f>SUM(H11:H17)</f>
        <v>#REF!</v>
      </c>
      <c r="I19" s="409" t="e">
        <f>SUM(I11:I18)</f>
        <v>#REF!</v>
      </c>
      <c r="J19" s="1076"/>
      <c r="K19" s="409" t="e">
        <f>+SUM(K13:K18)</f>
        <v>#REF!</v>
      </c>
      <c r="L19" s="409" t="e">
        <f>SUM(L13:L18)</f>
        <v>#REF!</v>
      </c>
      <c r="M19" s="410" t="e">
        <f>SUM(M13:M17)</f>
        <v>#REF!</v>
      </c>
    </row>
    <row r="20" spans="1:13" s="181" customFormat="1" ht="17.25" customHeight="1">
      <c r="A20" s="4002" t="s">
        <v>1072</v>
      </c>
      <c r="B20" s="4002"/>
      <c r="C20" s="4002"/>
      <c r="D20" s="4002"/>
      <c r="E20" s="4002"/>
      <c r="F20" s="4002"/>
      <c r="G20" s="4002"/>
      <c r="H20" s="4002"/>
      <c r="I20" s="4002"/>
      <c r="J20" s="4002"/>
      <c r="K20" s="4002"/>
      <c r="L20" s="4002"/>
      <c r="M20" s="4002"/>
    </row>
    <row r="21" spans="1:13" s="181" customFormat="1" ht="33" customHeight="1">
      <c r="A21" s="236">
        <f t="shared" ref="A21:B25" si="8">+A5</f>
        <v>1</v>
      </c>
      <c r="B21" s="3999" t="str">
        <f t="shared" si="8"/>
        <v>COMPONENTE ELECTRICO Y MECANICO DEL SISTEMA DE BOMBEO RÍO SINÚ - PTAP TIJERETAS</v>
      </c>
      <c r="C21" s="4000"/>
      <c r="D21" s="4000"/>
      <c r="E21" s="4000"/>
      <c r="F21" s="4001"/>
      <c r="G21" s="233" t="e">
        <f t="shared" ref="G21:G26" si="9">+G13+G5</f>
        <v>#REF!</v>
      </c>
      <c r="H21" s="233" t="e">
        <f>+H5</f>
        <v>#REF!</v>
      </c>
      <c r="I21" s="233" t="e">
        <f>+I13+I5</f>
        <v>#REF!</v>
      </c>
      <c r="J21" s="233"/>
      <c r="K21" s="233" t="e">
        <f>+K5+K13</f>
        <v>#REF!</v>
      </c>
      <c r="L21" s="234" t="e">
        <f>ROUND(SUM(G21:K21),0)</f>
        <v>#REF!</v>
      </c>
      <c r="M21" s="235" t="e">
        <f t="shared" ref="M21:M26" si="10">+L21/$L$27</f>
        <v>#REF!</v>
      </c>
    </row>
    <row r="22" spans="1:13" s="181" customFormat="1" ht="33" customHeight="1">
      <c r="A22" s="236" t="str">
        <f t="shared" si="8"/>
        <v>2</v>
      </c>
      <c r="B22" s="3999" t="str">
        <f t="shared" si="8"/>
        <v xml:space="preserve"> LÍNEA DE IMPULSIÓN RÍO SINÚ - PTAP TIJERETAS (tuberia 400 mm PN12.5 RDE 13.6 en PEAD L=10133 Q=120 l/s )</v>
      </c>
      <c r="C22" s="4000"/>
      <c r="D22" s="4000"/>
      <c r="E22" s="4000"/>
      <c r="F22" s="4001"/>
      <c r="G22" s="233">
        <f t="shared" si="9"/>
        <v>5509812637</v>
      </c>
      <c r="H22" s="233">
        <f>+H6</f>
        <v>622263238.01953411</v>
      </c>
      <c r="I22" s="233">
        <f>+I14+I6</f>
        <v>836832345.85841477</v>
      </c>
      <c r="J22" s="233"/>
      <c r="K22" s="233">
        <f>+K6+K14</f>
        <v>139378164.41755897</v>
      </c>
      <c r="L22" s="234">
        <f>ROUND(SUM(G22:K22),0)</f>
        <v>7108286385</v>
      </c>
      <c r="M22" s="235" t="e">
        <f t="shared" si="10"/>
        <v>#REF!</v>
      </c>
    </row>
    <row r="23" spans="1:13" s="181" customFormat="1" ht="33" customHeight="1">
      <c r="A23" s="236">
        <f t="shared" si="8"/>
        <v>3</v>
      </c>
      <c r="B23" s="3999" t="str">
        <f t="shared" si="8"/>
        <v>OPTIMIZACION PLANTA DE TRATAMIENTO DE AGUA POTABLE (Q= 120 l/s)</v>
      </c>
      <c r="C23" s="4000"/>
      <c r="D23" s="4000"/>
      <c r="E23" s="4000"/>
      <c r="F23" s="4001"/>
      <c r="G23" s="233" t="e">
        <f t="shared" si="9"/>
        <v>#REF!</v>
      </c>
      <c r="H23" s="233" t="e">
        <f>+H7</f>
        <v>#REF!</v>
      </c>
      <c r="I23" s="233">
        <f>+I15+I7</f>
        <v>412170174.17952454</v>
      </c>
      <c r="J23" s="233"/>
      <c r="K23" s="233" t="e">
        <f>+K7+K15</f>
        <v>#REF!</v>
      </c>
      <c r="L23" s="234" t="e">
        <f>ROUNDUP(SUM(G23:K23),0)</f>
        <v>#REF!</v>
      </c>
      <c r="M23" s="235" t="e">
        <f t="shared" si="10"/>
        <v>#REF!</v>
      </c>
    </row>
    <row r="24" spans="1:13" s="181" customFormat="1" ht="33" customHeight="1">
      <c r="A24" s="236">
        <f t="shared" si="8"/>
        <v>4</v>
      </c>
      <c r="B24" s="3999" t="str">
        <f t="shared" si="8"/>
        <v>COMPONENTE ELECTRICO Y MECANICO DEL SISTEMA DE BOMBEO PTAP TIJERETAS - TANQUE PATAGONIA</v>
      </c>
      <c r="C24" s="4000"/>
      <c r="D24" s="4000"/>
      <c r="E24" s="4000"/>
      <c r="F24" s="4001"/>
      <c r="G24" s="233" t="e">
        <f t="shared" si="9"/>
        <v>#REF!</v>
      </c>
      <c r="H24" s="233" t="e">
        <f>+H8</f>
        <v>#REF!</v>
      </c>
      <c r="I24" s="233" t="e">
        <f>+I16+I8</f>
        <v>#REF!</v>
      </c>
      <c r="J24" s="233"/>
      <c r="K24" s="233" t="e">
        <f>+K8+K16</f>
        <v>#REF!</v>
      </c>
      <c r="L24" s="234" t="e">
        <f t="shared" ref="L24:L25" si="11">ROUND(SUM(G24:K24),0)</f>
        <v>#REF!</v>
      </c>
      <c r="M24" s="235" t="e">
        <f t="shared" si="10"/>
        <v>#REF!</v>
      </c>
    </row>
    <row r="25" spans="1:13" s="181" customFormat="1" ht="34.5" customHeight="1">
      <c r="A25" s="236">
        <f t="shared" si="8"/>
        <v>5</v>
      </c>
      <c r="B25" s="3999" t="str">
        <f t="shared" si="8"/>
        <v>LÍNEA DE IMPULSIÓN PTAP TIJERETAS -  (tuberia 160 mm  PEAD L=10368 Q=20 l/s )</v>
      </c>
      <c r="C25" s="4000"/>
      <c r="D25" s="4000"/>
      <c r="E25" s="4000"/>
      <c r="F25" s="4001"/>
      <c r="G25" s="233">
        <f t="shared" si="9"/>
        <v>1892236341</v>
      </c>
      <c r="H25" s="233">
        <f>+H9</f>
        <v>339105543.0860737</v>
      </c>
      <c r="I25" s="233">
        <f>+I17+I9</f>
        <v>183194587.92409813</v>
      </c>
      <c r="J25" s="233"/>
      <c r="K25" s="233">
        <f>+K9+K17</f>
        <v>48290729.440203443</v>
      </c>
      <c r="L25" s="234">
        <f t="shared" si="11"/>
        <v>2462827201</v>
      </c>
      <c r="M25" s="235" t="e">
        <f t="shared" si="10"/>
        <v>#REF!</v>
      </c>
    </row>
    <row r="26" spans="1:13" s="181" customFormat="1" ht="32.25" customHeight="1">
      <c r="A26" s="236"/>
      <c r="B26" s="3999" t="s">
        <v>4341</v>
      </c>
      <c r="C26" s="4000"/>
      <c r="D26" s="4000"/>
      <c r="E26" s="4000"/>
      <c r="F26" s="4001"/>
      <c r="G26" s="233">
        <f t="shared" si="9"/>
        <v>9000000</v>
      </c>
      <c r="H26" s="233">
        <f>+H18+H10</f>
        <v>0</v>
      </c>
      <c r="I26" s="233"/>
      <c r="J26" s="233"/>
      <c r="K26" s="233">
        <f>+K18+K10</f>
        <v>0</v>
      </c>
      <c r="L26" s="234">
        <f>+L18+L10</f>
        <v>9000000</v>
      </c>
      <c r="M26" s="235" t="e">
        <f t="shared" si="10"/>
        <v>#REF!</v>
      </c>
    </row>
    <row r="27" spans="1:13" s="181" customFormat="1" ht="18">
      <c r="A27" s="408"/>
      <c r="B27" s="3994" t="s">
        <v>1078</v>
      </c>
      <c r="C27" s="3994"/>
      <c r="D27" s="3994"/>
      <c r="E27" s="3994"/>
      <c r="F27" s="3994"/>
      <c r="G27" s="409" t="e">
        <f>ROUND(SUM(G21:G26),0)</f>
        <v>#REF!</v>
      </c>
      <c r="H27" s="409" t="e">
        <f>ROUND(SUM(H21:H26),0)</f>
        <v>#REF!</v>
      </c>
      <c r="I27" s="409" t="e">
        <f>ROUND(SUM(I21:I26),0)</f>
        <v>#REF!</v>
      </c>
      <c r="J27" s="409"/>
      <c r="K27" s="409" t="e">
        <f>ROUND(SUM(K21:K26),0)</f>
        <v>#REF!</v>
      </c>
      <c r="L27" s="1232" t="e">
        <f>ROUND(SUM(L21:L26),0)</f>
        <v>#REF!</v>
      </c>
      <c r="M27" s="494" t="e">
        <f>SUM(M21:M26)</f>
        <v>#REF!</v>
      </c>
    </row>
    <row r="28" spans="1:13">
      <c r="L28" s="1404"/>
    </row>
  </sheetData>
  <dataConsolidate>
    <dataRefs count="2">
      <dataRef ref="A1:H78" sheet=" TANQUE PATAGONIA"/>
      <dataRef ref="A1:I75" sheet="PTAP TIJERETAS"/>
    </dataRefs>
  </dataConsolidate>
  <mergeCells count="26">
    <mergeCell ref="B26:F26"/>
    <mergeCell ref="B27:F27"/>
    <mergeCell ref="B22:F22"/>
    <mergeCell ref="B23:F23"/>
    <mergeCell ref="B24:F24"/>
    <mergeCell ref="B25:F25"/>
    <mergeCell ref="B18:F18"/>
    <mergeCell ref="B19:F19"/>
    <mergeCell ref="A20:M20"/>
    <mergeCell ref="B21:F21"/>
    <mergeCell ref="A12:M12"/>
    <mergeCell ref="B13:F13"/>
    <mergeCell ref="B14:F14"/>
    <mergeCell ref="B15:F15"/>
    <mergeCell ref="B16:F16"/>
    <mergeCell ref="B17:F17"/>
    <mergeCell ref="B8:F8"/>
    <mergeCell ref="B9:F9"/>
    <mergeCell ref="B10:F10"/>
    <mergeCell ref="B11:F11"/>
    <mergeCell ref="A2:M2"/>
    <mergeCell ref="A3:M3"/>
    <mergeCell ref="B4:F4"/>
    <mergeCell ref="B5:F5"/>
    <mergeCell ref="B6:F6"/>
    <mergeCell ref="B7:F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I515"/>
  <sheetViews>
    <sheetView workbookViewId="0"/>
  </sheetViews>
  <sheetFormatPr baseColWidth="10" defaultColWidth="10.6640625" defaultRowHeight="13.2"/>
  <cols>
    <col min="2" max="2" width="49.88671875" customWidth="1"/>
    <col min="5" max="5" width="11.88671875" bestFit="1" customWidth="1"/>
    <col min="7" max="7" width="12.33203125" customWidth="1"/>
  </cols>
  <sheetData>
    <row r="5" spans="1:9" ht="14.4">
      <c r="A5" s="1342">
        <v>2.2999999999999998</v>
      </c>
      <c r="B5" s="3555" t="s">
        <v>5414</v>
      </c>
      <c r="C5" s="3556"/>
      <c r="D5" s="3556"/>
      <c r="E5" s="3556"/>
      <c r="F5" s="3556"/>
      <c r="G5" s="3556"/>
      <c r="H5" s="3556"/>
      <c r="I5" s="3557"/>
    </row>
    <row r="6" spans="1:9" ht="14.4">
      <c r="A6" s="809"/>
      <c r="B6" s="807"/>
      <c r="C6" s="808" t="s">
        <v>140</v>
      </c>
      <c r="D6" s="11" t="s">
        <v>343</v>
      </c>
      <c r="E6" s="33" t="s">
        <v>344</v>
      </c>
      <c r="F6" s="33" t="s">
        <v>482</v>
      </c>
      <c r="G6" s="33" t="s">
        <v>483</v>
      </c>
      <c r="H6" s="33" t="s">
        <v>170</v>
      </c>
      <c r="I6" s="33" t="s">
        <v>171</v>
      </c>
    </row>
    <row r="7" spans="1:9" ht="14.4">
      <c r="A7" s="809" t="s">
        <v>172</v>
      </c>
      <c r="B7" s="807" t="s">
        <v>189</v>
      </c>
      <c r="C7" s="814">
        <v>1</v>
      </c>
      <c r="D7" s="9" t="s">
        <v>583</v>
      </c>
      <c r="E7" s="810">
        <f>+H10*0.05</f>
        <v>2338.3294306666667</v>
      </c>
      <c r="F7" s="810"/>
      <c r="G7" s="810"/>
      <c r="H7" s="810"/>
      <c r="I7" s="810">
        <f>+E7*C7</f>
        <v>2338.3294306666667</v>
      </c>
    </row>
    <row r="8" spans="1:9" ht="14.4">
      <c r="A8" s="809" t="s">
        <v>348</v>
      </c>
      <c r="B8" s="807" t="str">
        <f>IF(PRESTA&gt;0,"AYUD. RASO (INCLUYE "&amp;""&amp;PRESTA*100&amp;"% PRESTACIONES)",0)</f>
        <v>AYUD. RASO (INCLUYE 82,22% PRESTACIONES)</v>
      </c>
      <c r="C8" s="814">
        <v>0.33333333333333331</v>
      </c>
      <c r="D8" s="9" t="s">
        <v>346</v>
      </c>
      <c r="E8" s="810">
        <f>+AYUDR</f>
        <v>50299.76584</v>
      </c>
      <c r="F8" s="810"/>
      <c r="G8" s="810"/>
      <c r="H8" s="810">
        <f>+E8*C8</f>
        <v>16766.588613333333</v>
      </c>
      <c r="I8" s="810"/>
    </row>
    <row r="9" spans="1:9" ht="14.4">
      <c r="A9" s="809"/>
      <c r="B9" s="811" t="s">
        <v>5104</v>
      </c>
      <c r="C9" s="814">
        <v>0.33333333333333331</v>
      </c>
      <c r="D9" s="9" t="s">
        <v>717</v>
      </c>
      <c r="E9" s="810">
        <v>90000</v>
      </c>
      <c r="F9" s="810"/>
      <c r="G9" s="810"/>
      <c r="H9" s="810">
        <f>+E9*C9</f>
        <v>30000</v>
      </c>
      <c r="I9" s="810"/>
    </row>
    <row r="10" spans="1:9" ht="14.4">
      <c r="A10" s="1424" t="s">
        <v>190</v>
      </c>
      <c r="B10" s="813">
        <f>SUM(F10:I10)</f>
        <v>49104.918043999998</v>
      </c>
      <c r="C10" s="814"/>
      <c r="D10" s="9"/>
      <c r="E10" s="810"/>
      <c r="F10" s="810">
        <f>+SUM(F7:F9)</f>
        <v>0</v>
      </c>
      <c r="G10" s="810">
        <f>+SUM(G7:G9)</f>
        <v>0</v>
      </c>
      <c r="H10" s="810">
        <f>+SUM(H7:H9)</f>
        <v>46766.588613333333</v>
      </c>
      <c r="I10" s="810">
        <f>+SUM(I7:I9)</f>
        <v>2338.3294306666667</v>
      </c>
    </row>
    <row r="11" spans="1:9" ht="14.4">
      <c r="A11" s="1424" t="s">
        <v>191</v>
      </c>
      <c r="B11" s="813">
        <f>+B10</f>
        <v>49104.918043999998</v>
      </c>
      <c r="C11" s="815" t="s">
        <v>45</v>
      </c>
      <c r="D11" s="816"/>
      <c r="E11" s="817"/>
      <c r="F11" s="817"/>
      <c r="G11" s="817"/>
      <c r="H11" s="817"/>
      <c r="I11" s="817"/>
    </row>
    <row r="12" spans="1:9" ht="14.4">
      <c r="A12" s="1425"/>
      <c r="B12" s="1425"/>
      <c r="C12" s="1425"/>
      <c r="D12" s="1425"/>
      <c r="E12" s="1425"/>
      <c r="F12" s="1425"/>
      <c r="G12" s="1425"/>
      <c r="H12" s="1425"/>
      <c r="I12" s="1425"/>
    </row>
    <row r="13" spans="1:9" ht="14.4">
      <c r="A13" s="1342">
        <v>2.2999999999999998</v>
      </c>
      <c r="B13" s="3555" t="s">
        <v>5415</v>
      </c>
      <c r="C13" s="3556"/>
      <c r="D13" s="3556"/>
      <c r="E13" s="3556"/>
      <c r="F13" s="3556"/>
      <c r="G13" s="3556"/>
      <c r="H13" s="3556"/>
      <c r="I13" s="3557"/>
    </row>
    <row r="14" spans="1:9" ht="14.4">
      <c r="A14" s="809"/>
      <c r="B14" s="807"/>
      <c r="C14" s="808" t="s">
        <v>140</v>
      </c>
      <c r="D14" s="11" t="s">
        <v>343</v>
      </c>
      <c r="E14" s="33" t="s">
        <v>344</v>
      </c>
      <c r="F14" s="33" t="s">
        <v>482</v>
      </c>
      <c r="G14" s="33" t="s">
        <v>483</v>
      </c>
      <c r="H14" s="33" t="s">
        <v>170</v>
      </c>
      <c r="I14" s="33" t="s">
        <v>171</v>
      </c>
    </row>
    <row r="15" spans="1:9" ht="14.4">
      <c r="A15" s="809"/>
      <c r="B15" s="1441" t="s">
        <v>5416</v>
      </c>
      <c r="C15" s="814">
        <v>3</v>
      </c>
      <c r="D15" s="9" t="s">
        <v>45</v>
      </c>
      <c r="E15" s="810">
        <v>51000</v>
      </c>
      <c r="F15" s="810"/>
      <c r="G15" s="810">
        <f>+E15*C15</f>
        <v>153000</v>
      </c>
      <c r="H15" s="810"/>
      <c r="I15" s="810"/>
    </row>
    <row r="16" spans="1:9" ht="14.4">
      <c r="A16" s="809"/>
      <c r="B16" s="1441" t="s">
        <v>5417</v>
      </c>
      <c r="C16" s="814">
        <v>2</v>
      </c>
      <c r="D16" s="9" t="s">
        <v>45</v>
      </c>
      <c r="E16" s="810">
        <v>10000</v>
      </c>
      <c r="F16" s="810"/>
      <c r="G16" s="810">
        <f t="shared" ref="G16" si="0">+E16*C16</f>
        <v>20000</v>
      </c>
      <c r="H16" s="810"/>
      <c r="I16" s="810"/>
    </row>
    <row r="17" spans="1:9" ht="14.4">
      <c r="A17" s="809"/>
      <c r="B17" s="807" t="s">
        <v>5117</v>
      </c>
      <c r="C17" s="814">
        <v>1</v>
      </c>
      <c r="D17" s="9" t="s">
        <v>772</v>
      </c>
      <c r="E17" s="810">
        <v>1500</v>
      </c>
      <c r="F17" s="810"/>
      <c r="G17" s="1425"/>
      <c r="H17" s="810"/>
      <c r="I17" s="810">
        <f>+E17*C17</f>
        <v>1500</v>
      </c>
    </row>
    <row r="18" spans="1:9" ht="14.4">
      <c r="A18" s="1424" t="s">
        <v>190</v>
      </c>
      <c r="B18" s="813">
        <f>SUM(F18:I18)</f>
        <v>174500</v>
      </c>
      <c r="C18" s="814"/>
      <c r="D18" s="9"/>
      <c r="E18" s="810"/>
      <c r="F18" s="810">
        <f>+SUM(F15:F17)</f>
        <v>0</v>
      </c>
      <c r="G18" s="810">
        <f>+SUM(G15:G17)</f>
        <v>173000</v>
      </c>
      <c r="H18" s="810">
        <f>+SUM(H15:H17)</f>
        <v>0</v>
      </c>
      <c r="I18" s="810">
        <f>+SUM(I15:I17)</f>
        <v>1500</v>
      </c>
    </row>
    <row r="19" spans="1:9" ht="14.4">
      <c r="A19" s="1424" t="s">
        <v>191</v>
      </c>
      <c r="B19" s="813">
        <f>+B18</f>
        <v>174500</v>
      </c>
      <c r="C19" s="815" t="s">
        <v>45</v>
      </c>
      <c r="D19" s="816"/>
      <c r="E19" s="817"/>
      <c r="F19" s="817"/>
      <c r="G19" s="817"/>
      <c r="H19" s="817"/>
      <c r="I19" s="817"/>
    </row>
    <row r="21" spans="1:9" ht="14.4">
      <c r="A21" s="1342">
        <v>2.4</v>
      </c>
      <c r="B21" s="3555" t="s">
        <v>5418</v>
      </c>
      <c r="C21" s="3556"/>
      <c r="D21" s="3556"/>
      <c r="E21" s="3556"/>
      <c r="F21" s="3556"/>
      <c r="G21" s="3556"/>
      <c r="H21" s="3556"/>
      <c r="I21" s="3557"/>
    </row>
    <row r="22" spans="1:9" ht="14.4">
      <c r="A22" s="809"/>
      <c r="B22" s="807"/>
      <c r="C22" s="808" t="s">
        <v>140</v>
      </c>
      <c r="D22" s="11" t="s">
        <v>343</v>
      </c>
      <c r="E22" s="33" t="s">
        <v>344</v>
      </c>
      <c r="F22" s="33" t="s">
        <v>482</v>
      </c>
      <c r="G22" s="33" t="s">
        <v>483</v>
      </c>
      <c r="H22" s="33" t="s">
        <v>170</v>
      </c>
      <c r="I22" s="33" t="s">
        <v>171</v>
      </c>
    </row>
    <row r="23" spans="1:9" ht="14.4">
      <c r="A23" s="809" t="s">
        <v>172</v>
      </c>
      <c r="B23" s="807" t="s">
        <v>189</v>
      </c>
      <c r="C23" s="814">
        <v>1</v>
      </c>
      <c r="D23" s="9" t="s">
        <v>583</v>
      </c>
      <c r="E23" s="810">
        <f>+H26*0.05</f>
        <v>35074.941460000002</v>
      </c>
      <c r="F23" s="810"/>
      <c r="G23" s="810"/>
      <c r="H23" s="810"/>
      <c r="I23" s="810">
        <f>+E23*C23</f>
        <v>35074.941460000002</v>
      </c>
    </row>
    <row r="24" spans="1:9" ht="14.4">
      <c r="A24" s="809" t="s">
        <v>348</v>
      </c>
      <c r="B24" s="807" t="str">
        <f>IF(PRESTA&gt;0,"AYUD. RASO (INCLUYE "&amp;""&amp;PRESTA*100&amp;"% PRESTACIONES)",0)</f>
        <v>AYUD. RASO (INCLUYE 82,22% PRESTACIONES)</v>
      </c>
      <c r="C24" s="814">
        <f>1/0.2</f>
        <v>5</v>
      </c>
      <c r="D24" s="9" t="s">
        <v>346</v>
      </c>
      <c r="E24" s="810">
        <f>+AYUDR</f>
        <v>50299.76584</v>
      </c>
      <c r="F24" s="810"/>
      <c r="G24" s="810"/>
      <c r="H24" s="810">
        <f>+E24*C24</f>
        <v>251498.82920000001</v>
      </c>
      <c r="I24" s="810"/>
    </row>
    <row r="25" spans="1:9" ht="14.4">
      <c r="A25" s="809"/>
      <c r="B25" s="811" t="s">
        <v>5104</v>
      </c>
      <c r="C25" s="814">
        <f>1/0.2</f>
        <v>5</v>
      </c>
      <c r="D25" s="9" t="s">
        <v>717</v>
      </c>
      <c r="E25" s="810">
        <v>90000</v>
      </c>
      <c r="F25" s="810"/>
      <c r="G25" s="810"/>
      <c r="H25" s="810">
        <f>+E25*C25</f>
        <v>450000</v>
      </c>
      <c r="I25" s="810"/>
    </row>
    <row r="26" spans="1:9" ht="14.4">
      <c r="A26" s="1424" t="s">
        <v>190</v>
      </c>
      <c r="B26" s="813">
        <f>SUM(F26:I26)</f>
        <v>736573.77066000004</v>
      </c>
      <c r="C26" s="814"/>
      <c r="D26" s="9"/>
      <c r="E26" s="810"/>
      <c r="F26" s="810">
        <f>+SUM(F23:F25)</f>
        <v>0</v>
      </c>
      <c r="G26" s="810">
        <f>+SUM(G23:G25)</f>
        <v>0</v>
      </c>
      <c r="H26" s="810">
        <f>+SUM(H23:H25)</f>
        <v>701498.82920000004</v>
      </c>
      <c r="I26" s="810">
        <f>+SUM(I23:I25)</f>
        <v>35074.941460000002</v>
      </c>
    </row>
    <row r="27" spans="1:9" ht="14.4">
      <c r="A27" s="1424" t="s">
        <v>191</v>
      </c>
      <c r="B27" s="813">
        <f>+B26</f>
        <v>736573.77066000004</v>
      </c>
      <c r="C27" s="815" t="s">
        <v>772</v>
      </c>
      <c r="D27" s="816"/>
      <c r="E27" s="817"/>
      <c r="F27" s="817"/>
      <c r="G27" s="817"/>
      <c r="H27" s="817"/>
      <c r="I27" s="817"/>
    </row>
    <row r="28" spans="1:9" ht="14.4">
      <c r="A28" s="1425"/>
      <c r="B28" s="1425"/>
      <c r="C28" s="1425"/>
      <c r="D28" s="1425"/>
      <c r="E28" s="1425"/>
      <c r="F28" s="1425"/>
      <c r="G28" s="1425"/>
      <c r="H28" s="1425"/>
      <c r="I28" s="1425"/>
    </row>
    <row r="29" spans="1:9" ht="14.4">
      <c r="A29" s="1342">
        <v>2.4</v>
      </c>
      <c r="B29" s="3555" t="s">
        <v>5419</v>
      </c>
      <c r="C29" s="3556"/>
      <c r="D29" s="3556"/>
      <c r="E29" s="3556"/>
      <c r="F29" s="3556"/>
      <c r="G29" s="3556"/>
      <c r="H29" s="3556"/>
      <c r="I29" s="3557"/>
    </row>
    <row r="30" spans="1:9" ht="14.4">
      <c r="A30" s="809"/>
      <c r="B30" s="807"/>
      <c r="C30" s="808" t="s">
        <v>140</v>
      </c>
      <c r="D30" s="11" t="s">
        <v>343</v>
      </c>
      <c r="E30" s="33" t="s">
        <v>344</v>
      </c>
      <c r="F30" s="33" t="s">
        <v>482</v>
      </c>
      <c r="G30" s="33" t="s">
        <v>483</v>
      </c>
      <c r="H30" s="33" t="s">
        <v>170</v>
      </c>
      <c r="I30" s="33" t="s">
        <v>171</v>
      </c>
    </row>
    <row r="31" spans="1:9" ht="14.4">
      <c r="A31" s="809"/>
      <c r="B31" s="1442" t="s">
        <v>5428</v>
      </c>
      <c r="C31" s="808">
        <v>1</v>
      </c>
      <c r="D31" s="11" t="s">
        <v>1058</v>
      </c>
      <c r="E31" s="33">
        <v>820000</v>
      </c>
      <c r="F31" s="33"/>
      <c r="G31" s="810">
        <f t="shared" ref="G31:G37" si="1">+E31*C31</f>
        <v>820000</v>
      </c>
      <c r="H31" s="33"/>
      <c r="I31" s="33"/>
    </row>
    <row r="32" spans="1:9" ht="14.4">
      <c r="A32" s="809"/>
      <c r="B32" s="1443" t="s">
        <v>5420</v>
      </c>
      <c r="C32" s="808">
        <v>6</v>
      </c>
      <c r="D32" s="11" t="s">
        <v>45</v>
      </c>
      <c r="E32" s="33">
        <v>45000</v>
      </c>
      <c r="F32" s="33"/>
      <c r="G32" s="810">
        <f t="shared" si="1"/>
        <v>270000</v>
      </c>
      <c r="H32" s="33"/>
      <c r="I32" s="33"/>
    </row>
    <row r="33" spans="1:9" ht="14.4">
      <c r="A33" s="809"/>
      <c r="B33" s="1441" t="s">
        <v>5421</v>
      </c>
      <c r="C33" s="808">
        <v>6</v>
      </c>
      <c r="D33" s="11" t="s">
        <v>363</v>
      </c>
      <c r="E33" s="33">
        <v>4200</v>
      </c>
      <c r="F33" s="33"/>
      <c r="G33" s="810">
        <f t="shared" si="1"/>
        <v>25200</v>
      </c>
      <c r="H33" s="33"/>
      <c r="I33" s="33"/>
    </row>
    <row r="34" spans="1:9" ht="14.4">
      <c r="A34" s="809"/>
      <c r="B34" s="1441" t="s">
        <v>5422</v>
      </c>
      <c r="C34" s="808">
        <v>7</v>
      </c>
      <c r="D34" s="11" t="s">
        <v>363</v>
      </c>
      <c r="E34" s="33">
        <v>1500</v>
      </c>
      <c r="F34" s="33"/>
      <c r="G34" s="810">
        <f t="shared" si="1"/>
        <v>10500</v>
      </c>
      <c r="H34" s="33"/>
      <c r="I34" s="33"/>
    </row>
    <row r="35" spans="1:9" ht="14.4">
      <c r="A35" s="809"/>
      <c r="B35" s="1443" t="s">
        <v>5423</v>
      </c>
      <c r="C35" s="808">
        <v>1</v>
      </c>
      <c r="D35" s="11" t="s">
        <v>363</v>
      </c>
      <c r="E35" s="33">
        <v>22000</v>
      </c>
      <c r="F35" s="33"/>
      <c r="G35" s="810">
        <f t="shared" si="1"/>
        <v>22000</v>
      </c>
      <c r="H35" s="33"/>
      <c r="I35" s="33"/>
    </row>
    <row r="36" spans="1:9" ht="14.4">
      <c r="A36" s="809"/>
      <c r="B36" s="1441" t="s">
        <v>5424</v>
      </c>
      <c r="C36" s="808">
        <v>1</v>
      </c>
      <c r="D36" s="11" t="s">
        <v>363</v>
      </c>
      <c r="E36" s="33">
        <v>42000</v>
      </c>
      <c r="F36" s="33"/>
      <c r="G36" s="810">
        <f t="shared" si="1"/>
        <v>42000</v>
      </c>
      <c r="H36" s="33"/>
      <c r="I36" s="33"/>
    </row>
    <row r="37" spans="1:9" ht="14.4">
      <c r="A37" s="809"/>
      <c r="B37" s="1443" t="s">
        <v>5425</v>
      </c>
      <c r="C37" s="808">
        <v>1</v>
      </c>
      <c r="D37" s="11" t="s">
        <v>363</v>
      </c>
      <c r="E37" s="33">
        <v>15000</v>
      </c>
      <c r="F37" s="33"/>
      <c r="G37" s="810">
        <f t="shared" si="1"/>
        <v>15000</v>
      </c>
      <c r="H37" s="33"/>
      <c r="I37" s="33"/>
    </row>
    <row r="38" spans="1:9" ht="14.4">
      <c r="A38" s="809"/>
      <c r="B38" s="1443" t="s">
        <v>5426</v>
      </c>
      <c r="C38" s="814">
        <v>2</v>
      </c>
      <c r="D38" s="11" t="s">
        <v>363</v>
      </c>
      <c r="E38" s="810">
        <v>14000</v>
      </c>
      <c r="F38" s="810"/>
      <c r="G38" s="810">
        <f>+E38*C38</f>
        <v>28000</v>
      </c>
      <c r="H38" s="810"/>
      <c r="I38" s="810"/>
    </row>
    <row r="39" spans="1:9" ht="14.4">
      <c r="A39" s="809"/>
      <c r="B39" s="1441" t="s">
        <v>5427</v>
      </c>
      <c r="C39" s="814">
        <v>6</v>
      </c>
      <c r="D39" s="9" t="s">
        <v>45</v>
      </c>
      <c r="E39" s="810">
        <v>2800</v>
      </c>
      <c r="F39" s="810"/>
      <c r="G39" s="810">
        <f t="shared" ref="G39" si="2">+E39*C39</f>
        <v>16800</v>
      </c>
      <c r="H39" s="810"/>
      <c r="I39" s="810"/>
    </row>
    <row r="40" spans="1:9" ht="14.4">
      <c r="A40" s="809"/>
      <c r="B40" s="807" t="s">
        <v>5429</v>
      </c>
      <c r="C40" s="814">
        <v>1</v>
      </c>
      <c r="D40" s="9" t="s">
        <v>772</v>
      </c>
      <c r="E40" s="810">
        <v>20000</v>
      </c>
      <c r="F40" s="810"/>
      <c r="G40" s="1425"/>
      <c r="H40" s="810"/>
      <c r="I40" s="810">
        <f>+E40*C40</f>
        <v>20000</v>
      </c>
    </row>
    <row r="41" spans="1:9" ht="14.4">
      <c r="A41" s="1424" t="s">
        <v>190</v>
      </c>
      <c r="B41" s="813">
        <f>SUM(F41:I41)</f>
        <v>1269500</v>
      </c>
      <c r="C41" s="814"/>
      <c r="D41" s="9"/>
      <c r="E41" s="810"/>
      <c r="F41" s="810">
        <f>+SUM(F38:F40)</f>
        <v>0</v>
      </c>
      <c r="G41" s="810">
        <f>+SUM(G31:G40)</f>
        <v>1249500</v>
      </c>
      <c r="H41" s="810">
        <f>+SUM(H38:H40)</f>
        <v>0</v>
      </c>
      <c r="I41" s="810">
        <f>+SUM(I38:I40)</f>
        <v>20000</v>
      </c>
    </row>
    <row r="42" spans="1:9" ht="14.4">
      <c r="A42" s="1424" t="s">
        <v>191</v>
      </c>
      <c r="B42" s="813">
        <f>+B41</f>
        <v>1269500</v>
      </c>
      <c r="C42" s="815" t="s">
        <v>772</v>
      </c>
      <c r="D42" s="816"/>
      <c r="E42" s="817"/>
      <c r="F42" s="817"/>
      <c r="G42" s="817"/>
      <c r="H42" s="817"/>
      <c r="I42" s="817"/>
    </row>
    <row r="44" spans="1:9" ht="31.5" customHeight="1">
      <c r="A44" s="1342">
        <v>2.5</v>
      </c>
      <c r="B44" s="3552" t="s">
        <v>5430</v>
      </c>
      <c r="C44" s="3553"/>
      <c r="D44" s="3553"/>
      <c r="E44" s="3553"/>
      <c r="F44" s="3553"/>
      <c r="G44" s="3553"/>
      <c r="H44" s="3553"/>
      <c r="I44" s="3554"/>
    </row>
    <row r="45" spans="1:9" ht="14.4">
      <c r="A45" s="809"/>
      <c r="B45" s="807"/>
      <c r="C45" s="808" t="s">
        <v>140</v>
      </c>
      <c r="D45" s="11" t="s">
        <v>343</v>
      </c>
      <c r="E45" s="33" t="s">
        <v>344</v>
      </c>
      <c r="F45" s="33" t="s">
        <v>482</v>
      </c>
      <c r="G45" s="33" t="s">
        <v>483</v>
      </c>
      <c r="H45" s="33" t="s">
        <v>170</v>
      </c>
      <c r="I45" s="33" t="s">
        <v>171</v>
      </c>
    </row>
    <row r="46" spans="1:9" ht="14.4">
      <c r="A46" s="809" t="s">
        <v>172</v>
      </c>
      <c r="B46" s="807" t="s">
        <v>189</v>
      </c>
      <c r="C46" s="814">
        <v>1</v>
      </c>
      <c r="D46" s="9" t="s">
        <v>583</v>
      </c>
      <c r="E46" s="810">
        <f>+H51*0.05</f>
        <v>116916.47153333333</v>
      </c>
      <c r="F46" s="810"/>
      <c r="G46" s="810"/>
      <c r="H46" s="810"/>
      <c r="I46" s="810">
        <f>+E46*C46</f>
        <v>116916.47153333333</v>
      </c>
    </row>
    <row r="47" spans="1:9" ht="16.8">
      <c r="A47" s="540" t="s">
        <v>5406</v>
      </c>
      <c r="B47" s="534" t="s">
        <v>5330</v>
      </c>
      <c r="C47" s="583">
        <v>1</v>
      </c>
      <c r="D47" s="160" t="s">
        <v>363</v>
      </c>
      <c r="E47" s="585">
        <f>+CINT</f>
        <v>10000</v>
      </c>
      <c r="F47" s="65">
        <f>+C47*E47</f>
        <v>10000</v>
      </c>
      <c r="G47" s="65"/>
      <c r="H47" s="585"/>
      <c r="I47" s="585"/>
    </row>
    <row r="48" spans="1:9" ht="16.8">
      <c r="A48" s="2" t="s">
        <v>5401</v>
      </c>
      <c r="B48" s="18" t="s">
        <v>5363</v>
      </c>
      <c r="C48" s="589">
        <f>1/0.6</f>
        <v>1.6666666666666667</v>
      </c>
      <c r="D48" s="6" t="s">
        <v>5402</v>
      </c>
      <c r="E48" s="585">
        <f>+GRUA</f>
        <v>150000</v>
      </c>
      <c r="F48" s="585">
        <f>+C48*E48</f>
        <v>250000</v>
      </c>
      <c r="G48" s="585"/>
      <c r="H48" s="585"/>
      <c r="I48" s="585"/>
    </row>
    <row r="49" spans="1:9" ht="14.4">
      <c r="A49" s="809" t="s">
        <v>348</v>
      </c>
      <c r="B49" s="807" t="str">
        <f>IF(PRESTA&gt;0,"AYUD. RASO (INCLUYE "&amp;""&amp;PRESTA*100&amp;"% PRESTACIONES)",0)</f>
        <v>AYUD. RASO (INCLUYE 82,22% PRESTACIONES)</v>
      </c>
      <c r="C49" s="814">
        <f>1/0.06</f>
        <v>16.666666666666668</v>
      </c>
      <c r="D49" s="9" t="s">
        <v>346</v>
      </c>
      <c r="E49" s="810">
        <f>+AYUDR</f>
        <v>50299.76584</v>
      </c>
      <c r="F49" s="810"/>
      <c r="G49" s="810"/>
      <c r="H49" s="810">
        <f>+E49*C49</f>
        <v>838329.43066666671</v>
      </c>
      <c r="I49" s="810"/>
    </row>
    <row r="50" spans="1:9" ht="14.4">
      <c r="A50" s="809"/>
      <c r="B50" s="811" t="s">
        <v>5104</v>
      </c>
      <c r="C50" s="814">
        <f>1/0.06</f>
        <v>16.666666666666668</v>
      </c>
      <c r="D50" s="9" t="s">
        <v>717</v>
      </c>
      <c r="E50" s="810">
        <v>90000</v>
      </c>
      <c r="F50" s="810"/>
      <c r="G50" s="810"/>
      <c r="H50" s="810">
        <f>+E50*C50</f>
        <v>1500000</v>
      </c>
      <c r="I50" s="810"/>
    </row>
    <row r="51" spans="1:9" ht="14.4">
      <c r="A51" s="1424" t="s">
        <v>190</v>
      </c>
      <c r="B51" s="813">
        <f>SUM(F51:I51)</f>
        <v>2715245.9021999999</v>
      </c>
      <c r="C51" s="814"/>
      <c r="D51" s="9"/>
      <c r="E51" s="810"/>
      <c r="F51" s="810">
        <f>+SUM(F46:F50)</f>
        <v>260000</v>
      </c>
      <c r="G51" s="810">
        <f>+SUM(G46:G50)</f>
        <v>0</v>
      </c>
      <c r="H51" s="810">
        <f>+SUM(H46:H50)</f>
        <v>2338329.4306666665</v>
      </c>
      <c r="I51" s="810">
        <f>+SUM(I46:I50)</f>
        <v>116916.47153333333</v>
      </c>
    </row>
    <row r="52" spans="1:9" ht="14.4">
      <c r="A52" s="1424" t="s">
        <v>191</v>
      </c>
      <c r="B52" s="813">
        <f>+B51</f>
        <v>2715245.9021999999</v>
      </c>
      <c r="C52" s="815" t="s">
        <v>133</v>
      </c>
      <c r="D52" s="816"/>
      <c r="E52" s="817"/>
      <c r="F52" s="817"/>
      <c r="G52" s="817"/>
      <c r="H52" s="817"/>
      <c r="I52" s="817"/>
    </row>
    <row r="53" spans="1:9" ht="14.4">
      <c r="A53" s="1425"/>
      <c r="B53" s="1425"/>
      <c r="C53" s="1425"/>
      <c r="D53" s="1425"/>
      <c r="E53" s="1425"/>
      <c r="F53" s="1425"/>
      <c r="G53" s="1425"/>
      <c r="H53" s="1425"/>
      <c r="I53" s="1425"/>
    </row>
    <row r="54" spans="1:9" ht="31.5" customHeight="1">
      <c r="A54" s="1342">
        <v>2.5</v>
      </c>
      <c r="B54" s="3552" t="s">
        <v>5431</v>
      </c>
      <c r="C54" s="3553"/>
      <c r="D54" s="3553"/>
      <c r="E54" s="3553"/>
      <c r="F54" s="3553"/>
      <c r="G54" s="3553"/>
      <c r="H54" s="3553"/>
      <c r="I54" s="3554"/>
    </row>
    <row r="55" spans="1:9" ht="14.4">
      <c r="A55" s="809"/>
      <c r="B55" s="807"/>
      <c r="C55" s="808" t="s">
        <v>140</v>
      </c>
      <c r="D55" s="11" t="s">
        <v>343</v>
      </c>
      <c r="E55" s="33" t="s">
        <v>344</v>
      </c>
      <c r="F55" s="33" t="s">
        <v>482</v>
      </c>
      <c r="G55" s="33" t="s">
        <v>483</v>
      </c>
      <c r="H55" s="33" t="s">
        <v>170</v>
      </c>
      <c r="I55" s="33" t="s">
        <v>171</v>
      </c>
    </row>
    <row r="56" spans="1:9" ht="14.4">
      <c r="A56" s="809"/>
      <c r="B56" s="1442" t="s">
        <v>5432</v>
      </c>
      <c r="C56" s="808">
        <v>1</v>
      </c>
      <c r="D56" s="11" t="s">
        <v>133</v>
      </c>
      <c r="E56" s="33">
        <v>32000000</v>
      </c>
      <c r="F56" s="33"/>
      <c r="G56" s="810">
        <f t="shared" ref="G56" si="3">+E56*C56</f>
        <v>32000000</v>
      </c>
      <c r="H56" s="33"/>
      <c r="I56" s="33"/>
    </row>
    <row r="57" spans="1:9" ht="14.4">
      <c r="A57" s="809"/>
      <c r="B57" s="807" t="s">
        <v>5433</v>
      </c>
      <c r="C57" s="814">
        <v>1</v>
      </c>
      <c r="D57" s="9" t="s">
        <v>772</v>
      </c>
      <c r="E57" s="810">
        <v>200000</v>
      </c>
      <c r="F57" s="810"/>
      <c r="G57" s="1425"/>
      <c r="H57" s="810"/>
      <c r="I57" s="810">
        <f>+E57*C57</f>
        <v>200000</v>
      </c>
    </row>
    <row r="58" spans="1:9" ht="14.4">
      <c r="A58" s="1424" t="s">
        <v>190</v>
      </c>
      <c r="B58" s="813">
        <f>SUM(F58:I58)</f>
        <v>32200000</v>
      </c>
      <c r="C58" s="814"/>
      <c r="D58" s="9"/>
      <c r="E58" s="810"/>
      <c r="F58" s="810">
        <f>+SUM(F57:F57)</f>
        <v>0</v>
      </c>
      <c r="G58" s="810">
        <f>+SUM(G56:G57)</f>
        <v>32000000</v>
      </c>
      <c r="H58" s="810">
        <f>+SUM(H57:H57)</f>
        <v>0</v>
      </c>
      <c r="I58" s="810">
        <f>+SUM(I57:I57)</f>
        <v>200000</v>
      </c>
    </row>
    <row r="59" spans="1:9" ht="14.4">
      <c r="A59" s="1424" t="s">
        <v>191</v>
      </c>
      <c r="B59" s="813">
        <f>+B58</f>
        <v>32200000</v>
      </c>
      <c r="C59" s="815" t="s">
        <v>133</v>
      </c>
      <c r="D59" s="816"/>
      <c r="E59" s="817"/>
      <c r="F59" s="817"/>
      <c r="G59" s="817"/>
      <c r="H59" s="817"/>
      <c r="I59" s="817"/>
    </row>
    <row r="61" spans="1:9" ht="14.4">
      <c r="A61" s="1342">
        <v>2.6</v>
      </c>
      <c r="B61" s="3552" t="s">
        <v>5435</v>
      </c>
      <c r="C61" s="3553"/>
      <c r="D61" s="3553"/>
      <c r="E61" s="3553"/>
      <c r="F61" s="3553"/>
      <c r="G61" s="3553"/>
      <c r="H61" s="3553"/>
      <c r="I61" s="3554"/>
    </row>
    <row r="62" spans="1:9" ht="14.4">
      <c r="A62" s="809"/>
      <c r="B62" s="807"/>
      <c r="C62" s="808" t="s">
        <v>140</v>
      </c>
      <c r="D62" s="11" t="s">
        <v>343</v>
      </c>
      <c r="E62" s="33" t="s">
        <v>344</v>
      </c>
      <c r="F62" s="33" t="s">
        <v>482</v>
      </c>
      <c r="G62" s="33" t="s">
        <v>483</v>
      </c>
      <c r="H62" s="33" t="s">
        <v>170</v>
      </c>
      <c r="I62" s="33" t="s">
        <v>171</v>
      </c>
    </row>
    <row r="63" spans="1:9" ht="14.4">
      <c r="A63" s="809" t="s">
        <v>172</v>
      </c>
      <c r="B63" s="807" t="s">
        <v>189</v>
      </c>
      <c r="C63" s="814">
        <v>1</v>
      </c>
      <c r="D63" s="9" t="s">
        <v>583</v>
      </c>
      <c r="E63" s="810">
        <f>+H66*0.05</f>
        <v>35074.941460000002</v>
      </c>
      <c r="F63" s="810"/>
      <c r="G63" s="810"/>
      <c r="H63" s="810"/>
      <c r="I63" s="810">
        <f>+E63*C63</f>
        <v>35074.941460000002</v>
      </c>
    </row>
    <row r="64" spans="1:9" ht="14.4">
      <c r="A64" s="809" t="s">
        <v>348</v>
      </c>
      <c r="B64" s="807" t="str">
        <f>IF(PRESTA&gt;0,"AYUD. RASO (INCLUYE "&amp;""&amp;PRESTA*100&amp;"% PRESTACIONES)",0)</f>
        <v>AYUD. RASO (INCLUYE 82,22% PRESTACIONES)</v>
      </c>
      <c r="C64" s="814">
        <f>1/0.2</f>
        <v>5</v>
      </c>
      <c r="D64" s="9" t="s">
        <v>346</v>
      </c>
      <c r="E64" s="810">
        <f>+AYUDR</f>
        <v>50299.76584</v>
      </c>
      <c r="F64" s="810"/>
      <c r="G64" s="810"/>
      <c r="H64" s="810">
        <f>+E64*C64</f>
        <v>251498.82920000001</v>
      </c>
      <c r="I64" s="810"/>
    </row>
    <row r="65" spans="1:9" ht="14.4">
      <c r="A65" s="809"/>
      <c r="B65" s="811" t="s">
        <v>5104</v>
      </c>
      <c r="C65" s="814">
        <f>+C64</f>
        <v>5</v>
      </c>
      <c r="D65" s="9" t="s">
        <v>717</v>
      </c>
      <c r="E65" s="810">
        <v>90000</v>
      </c>
      <c r="F65" s="810"/>
      <c r="G65" s="810"/>
      <c r="H65" s="810">
        <f>+E65*C65</f>
        <v>450000</v>
      </c>
      <c r="I65" s="810"/>
    </row>
    <row r="66" spans="1:9" ht="14.4">
      <c r="A66" s="1424" t="s">
        <v>190</v>
      </c>
      <c r="B66" s="813">
        <f>SUM(F66:I66)</f>
        <v>736573.77066000004</v>
      </c>
      <c r="C66" s="814"/>
      <c r="D66" s="9"/>
      <c r="E66" s="810"/>
      <c r="F66" s="810">
        <f>+SUM(F63:F65)</f>
        <v>0</v>
      </c>
      <c r="G66" s="810">
        <f>+SUM(G63:G65)</f>
        <v>0</v>
      </c>
      <c r="H66" s="810">
        <f>+SUM(H63:H65)</f>
        <v>701498.82920000004</v>
      </c>
      <c r="I66" s="810">
        <f>+SUM(I63:I65)</f>
        <v>35074.941460000002</v>
      </c>
    </row>
    <row r="67" spans="1:9" ht="14.4">
      <c r="A67" s="1424" t="s">
        <v>191</v>
      </c>
      <c r="B67" s="813">
        <f>+B66</f>
        <v>736573.77066000004</v>
      </c>
      <c r="C67" s="815" t="s">
        <v>772</v>
      </c>
      <c r="D67" s="816"/>
      <c r="E67" s="817"/>
      <c r="F67" s="817"/>
      <c r="G67" s="817"/>
      <c r="H67" s="817"/>
      <c r="I67" s="817"/>
    </row>
    <row r="68" spans="1:9" ht="14.4">
      <c r="A68" s="1425"/>
      <c r="B68" s="1425"/>
      <c r="C68" s="1425"/>
      <c r="D68" s="1425"/>
      <c r="E68" s="1425"/>
      <c r="F68" s="1425"/>
      <c r="G68" s="1425"/>
      <c r="H68" s="1425"/>
      <c r="I68" s="1425"/>
    </row>
    <row r="69" spans="1:9" ht="14.4">
      <c r="A69" s="1342">
        <v>2.6</v>
      </c>
      <c r="B69" s="3552" t="s">
        <v>5434</v>
      </c>
      <c r="C69" s="3553"/>
      <c r="D69" s="3553"/>
      <c r="E69" s="3553"/>
      <c r="F69" s="3553"/>
      <c r="G69" s="3553"/>
      <c r="H69" s="3553"/>
      <c r="I69" s="3554"/>
    </row>
    <row r="70" spans="1:9" ht="14.4">
      <c r="A70" s="809"/>
      <c r="B70" s="807"/>
      <c r="C70" s="808" t="s">
        <v>140</v>
      </c>
      <c r="D70" s="11" t="s">
        <v>343</v>
      </c>
      <c r="E70" s="33" t="s">
        <v>344</v>
      </c>
      <c r="F70" s="33" t="s">
        <v>482</v>
      </c>
      <c r="G70" s="33" t="s">
        <v>483</v>
      </c>
      <c r="H70" s="33" t="s">
        <v>170</v>
      </c>
      <c r="I70" s="33" t="s">
        <v>171</v>
      </c>
    </row>
    <row r="71" spans="1:9" ht="16.8">
      <c r="A71" s="809"/>
      <c r="B71" s="1441" t="s">
        <v>5428</v>
      </c>
      <c r="C71" s="583">
        <v>1</v>
      </c>
      <c r="D71" s="160" t="s">
        <v>1058</v>
      </c>
      <c r="E71" s="33">
        <v>820000</v>
      </c>
      <c r="F71" s="33"/>
      <c r="G71" s="810">
        <f t="shared" ref="G71:G79" si="4">+E71*C71</f>
        <v>820000</v>
      </c>
      <c r="H71" s="33"/>
      <c r="I71" s="33"/>
    </row>
    <row r="72" spans="1:9" ht="16.8">
      <c r="A72" s="809"/>
      <c r="B72" s="1443" t="s">
        <v>5420</v>
      </c>
      <c r="C72" s="583">
        <v>6</v>
      </c>
      <c r="D72" s="160" t="s">
        <v>45</v>
      </c>
      <c r="E72" s="33">
        <v>45000</v>
      </c>
      <c r="F72" s="33"/>
      <c r="G72" s="810">
        <f t="shared" si="4"/>
        <v>270000</v>
      </c>
      <c r="H72" s="33"/>
      <c r="I72" s="33"/>
    </row>
    <row r="73" spans="1:9" ht="16.8">
      <c r="A73" s="809"/>
      <c r="B73" s="1441" t="s">
        <v>5421</v>
      </c>
      <c r="C73" s="583">
        <v>6</v>
      </c>
      <c r="D73" s="160" t="s">
        <v>343</v>
      </c>
      <c r="E73" s="33">
        <v>4200</v>
      </c>
      <c r="F73" s="33"/>
      <c r="G73" s="810">
        <f t="shared" si="4"/>
        <v>25200</v>
      </c>
      <c r="H73" s="33"/>
      <c r="I73" s="33"/>
    </row>
    <row r="74" spans="1:9" ht="16.8">
      <c r="A74" s="809"/>
      <c r="B74" s="1441" t="s">
        <v>5422</v>
      </c>
      <c r="C74" s="583">
        <v>7</v>
      </c>
      <c r="D74" s="160" t="s">
        <v>343</v>
      </c>
      <c r="E74" s="33">
        <v>1500</v>
      </c>
      <c r="F74" s="33"/>
      <c r="G74" s="810">
        <f t="shared" si="4"/>
        <v>10500</v>
      </c>
      <c r="H74" s="33"/>
      <c r="I74" s="33"/>
    </row>
    <row r="75" spans="1:9" ht="16.8">
      <c r="A75" s="809"/>
      <c r="B75" s="1443" t="s">
        <v>5436</v>
      </c>
      <c r="C75" s="583">
        <v>1</v>
      </c>
      <c r="D75" s="160" t="s">
        <v>343</v>
      </c>
      <c r="E75" s="33">
        <v>22000</v>
      </c>
      <c r="F75" s="33"/>
      <c r="G75" s="810">
        <f t="shared" si="4"/>
        <v>22000</v>
      </c>
      <c r="H75" s="33"/>
      <c r="I75" s="33"/>
    </row>
    <row r="76" spans="1:9" ht="16.8">
      <c r="A76" s="809"/>
      <c r="B76" s="1441" t="s">
        <v>5437</v>
      </c>
      <c r="C76" s="583">
        <v>1</v>
      </c>
      <c r="D76" s="160" t="s">
        <v>343</v>
      </c>
      <c r="E76" s="33">
        <v>42000</v>
      </c>
      <c r="F76" s="33"/>
      <c r="G76" s="810">
        <f t="shared" si="4"/>
        <v>42000</v>
      </c>
      <c r="H76" s="33"/>
      <c r="I76" s="33"/>
    </row>
    <row r="77" spans="1:9" ht="16.8">
      <c r="A77" s="809"/>
      <c r="B77" s="1443" t="s">
        <v>5438</v>
      </c>
      <c r="C77" s="583">
        <v>1</v>
      </c>
      <c r="D77" s="160" t="s">
        <v>343</v>
      </c>
      <c r="E77" s="33">
        <v>15000</v>
      </c>
      <c r="F77" s="33"/>
      <c r="G77" s="810">
        <f t="shared" si="4"/>
        <v>15000</v>
      </c>
      <c r="H77" s="33"/>
      <c r="I77" s="33"/>
    </row>
    <row r="78" spans="1:9" ht="16.8">
      <c r="A78" s="809"/>
      <c r="B78" s="1443" t="s">
        <v>5426</v>
      </c>
      <c r="C78" s="583">
        <v>2</v>
      </c>
      <c r="D78" s="160" t="s">
        <v>343</v>
      </c>
      <c r="E78" s="810">
        <v>14000</v>
      </c>
      <c r="F78" s="810"/>
      <c r="G78" s="810">
        <f t="shared" si="4"/>
        <v>28000</v>
      </c>
      <c r="H78" s="810"/>
      <c r="I78" s="810"/>
    </row>
    <row r="79" spans="1:9" ht="16.8">
      <c r="A79" s="809"/>
      <c r="B79" s="1441" t="s">
        <v>5427</v>
      </c>
      <c r="C79" s="583">
        <v>6</v>
      </c>
      <c r="D79" s="160" t="s">
        <v>45</v>
      </c>
      <c r="E79" s="810">
        <v>2800</v>
      </c>
      <c r="F79" s="810"/>
      <c r="G79" s="810">
        <f t="shared" si="4"/>
        <v>16800</v>
      </c>
      <c r="H79" s="810"/>
      <c r="I79" s="810"/>
    </row>
    <row r="80" spans="1:9" ht="16.8">
      <c r="A80" s="809"/>
      <c r="B80" s="1444" t="s">
        <v>5439</v>
      </c>
      <c r="C80" s="814">
        <v>1</v>
      </c>
      <c r="D80" s="160" t="s">
        <v>772</v>
      </c>
      <c r="E80" s="810">
        <v>20000</v>
      </c>
      <c r="F80" s="810"/>
      <c r="G80" s="1425"/>
      <c r="H80" s="810"/>
      <c r="I80" s="810">
        <f>+E80*C80</f>
        <v>20000</v>
      </c>
    </row>
    <row r="81" spans="1:9" ht="14.4">
      <c r="A81" s="1424" t="s">
        <v>190</v>
      </c>
      <c r="B81" s="813">
        <f>SUM(F81:I81)</f>
        <v>1269500</v>
      </c>
      <c r="C81" s="814"/>
      <c r="D81" s="9"/>
      <c r="E81" s="810"/>
      <c r="F81" s="810">
        <f>+SUM(F80:F80)</f>
        <v>0</v>
      </c>
      <c r="G81" s="810">
        <f>+SUM(G71:G80)</f>
        <v>1249500</v>
      </c>
      <c r="H81" s="810">
        <f>+SUM(H80:H80)</f>
        <v>0</v>
      </c>
      <c r="I81" s="810">
        <f>+SUM(I80:I80)</f>
        <v>20000</v>
      </c>
    </row>
    <row r="82" spans="1:9" ht="14.4">
      <c r="A82" s="1424" t="s">
        <v>191</v>
      </c>
      <c r="B82" s="813">
        <f>+B81</f>
        <v>1269500</v>
      </c>
      <c r="C82" s="815" t="s">
        <v>772</v>
      </c>
      <c r="D82" s="816" t="s">
        <v>5441</v>
      </c>
      <c r="E82" s="817"/>
      <c r="F82" s="817"/>
      <c r="G82" s="817"/>
      <c r="H82" s="817"/>
      <c r="I82" s="817"/>
    </row>
    <row r="84" spans="1:9" ht="14.4">
      <c r="A84" s="1342">
        <v>3.1</v>
      </c>
      <c r="B84" s="3552" t="s">
        <v>5440</v>
      </c>
      <c r="C84" s="3553"/>
      <c r="D84" s="3553"/>
      <c r="E84" s="3553"/>
      <c r="F84" s="3553"/>
      <c r="G84" s="3553"/>
      <c r="H84" s="3553"/>
      <c r="I84" s="3554"/>
    </row>
    <row r="85" spans="1:9" ht="14.4">
      <c r="A85" s="809"/>
      <c r="B85" s="807"/>
      <c r="C85" s="808" t="s">
        <v>140</v>
      </c>
      <c r="D85" s="11" t="s">
        <v>343</v>
      </c>
      <c r="E85" s="33" t="s">
        <v>344</v>
      </c>
      <c r="F85" s="33" t="s">
        <v>482</v>
      </c>
      <c r="G85" s="33" t="s">
        <v>483</v>
      </c>
      <c r="H85" s="33" t="s">
        <v>170</v>
      </c>
      <c r="I85" s="33" t="s">
        <v>171</v>
      </c>
    </row>
    <row r="86" spans="1:9" ht="14.4">
      <c r="A86" s="809" t="s">
        <v>172</v>
      </c>
      <c r="B86" s="807" t="s">
        <v>189</v>
      </c>
      <c r="C86" s="814">
        <v>1</v>
      </c>
      <c r="D86" s="9" t="s">
        <v>583</v>
      </c>
      <c r="E86" s="810">
        <f>+H89*0.05</f>
        <v>14531.04346488889</v>
      </c>
      <c r="F86" s="810"/>
      <c r="G86" s="810"/>
      <c r="H86" s="810"/>
      <c r="I86" s="810">
        <f>+E86*C86</f>
        <v>14531.04346488889</v>
      </c>
    </row>
    <row r="87" spans="1:9" ht="14.4">
      <c r="A87" s="809" t="s">
        <v>348</v>
      </c>
      <c r="B87" s="807" t="str">
        <f>IF(PRESTA&gt;0,"AYUD. RASO (INCLUYE "&amp;""&amp;PRESTA*100&amp;"% PRESTACIONES)",0)</f>
        <v>AYUD. RASO (INCLUYE 82,22% PRESTACIONES)</v>
      </c>
      <c r="C87" s="814">
        <f>1/0.45</f>
        <v>2.2222222222222223</v>
      </c>
      <c r="D87" s="9" t="s">
        <v>346</v>
      </c>
      <c r="E87" s="810">
        <f>+AYUDR</f>
        <v>50299.76584</v>
      </c>
      <c r="F87" s="810"/>
      <c r="G87" s="810"/>
      <c r="H87" s="810">
        <f>+E87*C87</f>
        <v>111777.25742222223</v>
      </c>
      <c r="I87" s="810"/>
    </row>
    <row r="88" spans="1:9" ht="14.4">
      <c r="A88" s="809"/>
      <c r="B88" s="811" t="s">
        <v>965</v>
      </c>
      <c r="C88" s="814">
        <f>+C87</f>
        <v>2.2222222222222223</v>
      </c>
      <c r="D88" s="9" t="s">
        <v>717</v>
      </c>
      <c r="E88" s="810">
        <f>+OFICI</f>
        <v>80479.625344</v>
      </c>
      <c r="F88" s="810"/>
      <c r="G88" s="810"/>
      <c r="H88" s="810">
        <f>+E88*C88</f>
        <v>178843.61187555557</v>
      </c>
      <c r="I88" s="810"/>
    </row>
    <row r="89" spans="1:9" ht="14.4">
      <c r="A89" s="1424" t="s">
        <v>190</v>
      </c>
      <c r="B89" s="813">
        <f>SUM(F89:I89)</f>
        <v>305151.91276266664</v>
      </c>
      <c r="C89" s="814"/>
      <c r="D89" s="9"/>
      <c r="E89" s="810"/>
      <c r="F89" s="810">
        <f>+SUM(F86:F88)</f>
        <v>0</v>
      </c>
      <c r="G89" s="810">
        <f>+SUM(G86:G88)</f>
        <v>0</v>
      </c>
      <c r="H89" s="810">
        <f>+SUM(H86:H88)</f>
        <v>290620.86929777777</v>
      </c>
      <c r="I89" s="810">
        <f>+SUM(I86:I88)</f>
        <v>14531.04346488889</v>
      </c>
    </row>
    <row r="90" spans="1:9" ht="14.4">
      <c r="A90" s="1424" t="s">
        <v>191</v>
      </c>
      <c r="B90" s="813">
        <f>+B89</f>
        <v>305151.91276266664</v>
      </c>
      <c r="C90" s="815" t="s">
        <v>133</v>
      </c>
      <c r="D90" s="816"/>
      <c r="E90" s="817"/>
      <c r="F90" s="817"/>
      <c r="G90" s="817"/>
      <c r="H90" s="817"/>
      <c r="I90" s="817"/>
    </row>
    <row r="91" spans="1:9" ht="14.4">
      <c r="A91" s="1425"/>
      <c r="B91" s="1425"/>
      <c r="C91" s="1425"/>
      <c r="D91" s="1425"/>
      <c r="E91" s="1425"/>
      <c r="F91" s="1425"/>
      <c r="G91" s="1425"/>
      <c r="H91" s="1425"/>
      <c r="I91" s="1425"/>
    </row>
    <row r="92" spans="1:9" ht="14.4">
      <c r="A92" s="1342">
        <v>3.1</v>
      </c>
      <c r="B92" s="3552" t="s">
        <v>5442</v>
      </c>
      <c r="C92" s="3553"/>
      <c r="D92" s="3553"/>
      <c r="E92" s="3553"/>
      <c r="F92" s="3553"/>
      <c r="G92" s="3553"/>
      <c r="H92" s="3553"/>
      <c r="I92" s="3554"/>
    </row>
    <row r="93" spans="1:9" ht="14.4">
      <c r="A93" s="809"/>
      <c r="B93" s="807"/>
      <c r="C93" s="808" t="s">
        <v>140</v>
      </c>
      <c r="D93" s="11" t="s">
        <v>343</v>
      </c>
      <c r="E93" s="33" t="s">
        <v>344</v>
      </c>
      <c r="F93" s="33" t="s">
        <v>482</v>
      </c>
      <c r="G93" s="33" t="s">
        <v>483</v>
      </c>
      <c r="H93" s="33" t="s">
        <v>170</v>
      </c>
      <c r="I93" s="33" t="s">
        <v>171</v>
      </c>
    </row>
    <row r="94" spans="1:9" ht="14.4">
      <c r="A94" s="809"/>
      <c r="B94" s="1418" t="s">
        <v>5386</v>
      </c>
      <c r="C94" s="814">
        <v>3.5</v>
      </c>
      <c r="D94" s="9" t="s">
        <v>426</v>
      </c>
      <c r="E94" s="33">
        <v>2600</v>
      </c>
      <c r="F94" s="33"/>
      <c r="G94" s="810">
        <f t="shared" ref="G94:G101" si="5">+E94*C94</f>
        <v>9100</v>
      </c>
      <c r="H94" s="33"/>
      <c r="I94" s="33"/>
    </row>
    <row r="95" spans="1:9" ht="14.4">
      <c r="A95" s="809"/>
      <c r="B95" s="1418" t="s">
        <v>5387</v>
      </c>
      <c r="C95" s="814">
        <v>0.03</v>
      </c>
      <c r="D95" s="9" t="s">
        <v>426</v>
      </c>
      <c r="E95" s="33">
        <v>2700</v>
      </c>
      <c r="F95" s="33"/>
      <c r="G95" s="810">
        <f t="shared" si="5"/>
        <v>81</v>
      </c>
      <c r="H95" s="33"/>
      <c r="I95" s="33"/>
    </row>
    <row r="96" spans="1:9" ht="14.4">
      <c r="A96" s="809"/>
      <c r="B96" s="1418" t="s">
        <v>5388</v>
      </c>
      <c r="C96" s="814">
        <v>0.3</v>
      </c>
      <c r="D96" s="9" t="s">
        <v>1292</v>
      </c>
      <c r="E96" s="33">
        <v>150000</v>
      </c>
      <c r="F96" s="33"/>
      <c r="G96" s="810">
        <f t="shared" si="5"/>
        <v>45000</v>
      </c>
      <c r="H96" s="33"/>
      <c r="I96" s="33"/>
    </row>
    <row r="97" spans="1:9" ht="14.4">
      <c r="A97" s="809"/>
      <c r="B97" s="1418" t="s">
        <v>5389</v>
      </c>
      <c r="C97" s="814">
        <v>0.3</v>
      </c>
      <c r="D97" s="9" t="s">
        <v>1292</v>
      </c>
      <c r="E97" s="33">
        <v>150000</v>
      </c>
      <c r="F97" s="33"/>
      <c r="G97" s="810">
        <f t="shared" si="5"/>
        <v>45000</v>
      </c>
      <c r="H97" s="33"/>
      <c r="I97" s="33"/>
    </row>
    <row r="98" spans="1:9" ht="14.4">
      <c r="A98" s="809"/>
      <c r="B98" s="1418" t="s">
        <v>5390</v>
      </c>
      <c r="C98" s="814">
        <v>100</v>
      </c>
      <c r="D98" s="9" t="s">
        <v>426</v>
      </c>
      <c r="E98" s="33">
        <v>600</v>
      </c>
      <c r="F98" s="33"/>
      <c r="G98" s="810">
        <f t="shared" si="5"/>
        <v>60000</v>
      </c>
      <c r="H98" s="33"/>
      <c r="I98" s="33"/>
    </row>
    <row r="99" spans="1:9" ht="14.4">
      <c r="A99" s="809"/>
      <c r="B99" s="1418" t="s">
        <v>5391</v>
      </c>
      <c r="C99" s="814">
        <v>60</v>
      </c>
      <c r="D99" s="9" t="s">
        <v>343</v>
      </c>
      <c r="E99" s="33">
        <v>1000</v>
      </c>
      <c r="F99" s="33"/>
      <c r="G99" s="810">
        <f t="shared" si="5"/>
        <v>60000</v>
      </c>
      <c r="H99" s="33"/>
      <c r="I99" s="33"/>
    </row>
    <row r="100" spans="1:9" ht="14.4">
      <c r="A100" s="809"/>
      <c r="B100" s="1418" t="s">
        <v>5392</v>
      </c>
      <c r="C100" s="814">
        <v>7.6</v>
      </c>
      <c r="D100" s="9" t="s">
        <v>4693</v>
      </c>
      <c r="E100" s="33">
        <v>7000</v>
      </c>
      <c r="F100" s="33"/>
      <c r="G100" s="810">
        <f t="shared" si="5"/>
        <v>53200</v>
      </c>
      <c r="H100" s="33"/>
      <c r="I100" s="33"/>
    </row>
    <row r="101" spans="1:9" ht="14.4">
      <c r="A101" s="809"/>
      <c r="B101" s="1418" t="s">
        <v>5393</v>
      </c>
      <c r="C101" s="814">
        <v>0.1</v>
      </c>
      <c r="D101" s="9" t="s">
        <v>3639</v>
      </c>
      <c r="E101" s="810">
        <v>230000</v>
      </c>
      <c r="F101" s="810"/>
      <c r="G101" s="810">
        <f t="shared" si="5"/>
        <v>23000</v>
      </c>
      <c r="H101" s="810"/>
      <c r="I101" s="810"/>
    </row>
    <row r="102" spans="1:9" ht="16.8">
      <c r="A102" s="809"/>
      <c r="B102" s="1444" t="s">
        <v>5443</v>
      </c>
      <c r="C102" s="814">
        <v>1</v>
      </c>
      <c r="D102" s="160" t="s">
        <v>772</v>
      </c>
      <c r="E102" s="810">
        <v>25000</v>
      </c>
      <c r="F102" s="810"/>
      <c r="G102" s="1425"/>
      <c r="H102" s="810"/>
      <c r="I102" s="810">
        <f>+E102*C102</f>
        <v>25000</v>
      </c>
    </row>
    <row r="103" spans="1:9" ht="14.4">
      <c r="A103" s="1424" t="s">
        <v>190</v>
      </c>
      <c r="B103" s="813">
        <f>SUM(F103:I103)</f>
        <v>320381</v>
      </c>
      <c r="C103" s="814"/>
      <c r="D103" s="9"/>
      <c r="E103" s="810"/>
      <c r="F103" s="810">
        <f>+SUM(F102:F102)</f>
        <v>0</v>
      </c>
      <c r="G103" s="810">
        <f>+SUM(G94:G102)</f>
        <v>295381</v>
      </c>
      <c r="H103" s="810">
        <f>+SUM(H102:H102)</f>
        <v>0</v>
      </c>
      <c r="I103" s="810">
        <f>+SUM(I102:I102)</f>
        <v>25000</v>
      </c>
    </row>
    <row r="104" spans="1:9" ht="14.4">
      <c r="A104" s="1424" t="s">
        <v>191</v>
      </c>
      <c r="B104" s="813">
        <f>+B103</f>
        <v>320381</v>
      </c>
      <c r="C104" s="815" t="s">
        <v>133</v>
      </c>
      <c r="D104" s="816"/>
      <c r="E104" s="817"/>
      <c r="F104" s="817"/>
      <c r="G104" s="817"/>
      <c r="H104" s="817"/>
      <c r="I104" s="817"/>
    </row>
    <row r="106" spans="1:9" ht="14.4">
      <c r="A106" s="1342">
        <v>3.2</v>
      </c>
      <c r="B106" s="3552" t="s">
        <v>5228</v>
      </c>
      <c r="C106" s="3553"/>
      <c r="D106" s="3553"/>
      <c r="E106" s="3553"/>
      <c r="F106" s="3553"/>
      <c r="G106" s="3553"/>
      <c r="H106" s="3553"/>
      <c r="I106" s="3554"/>
    </row>
    <row r="107" spans="1:9" ht="14.4">
      <c r="A107" s="809"/>
      <c r="B107" s="807"/>
      <c r="C107" s="808" t="s">
        <v>140</v>
      </c>
      <c r="D107" s="11" t="s">
        <v>343</v>
      </c>
      <c r="E107" s="33" t="s">
        <v>344</v>
      </c>
      <c r="F107" s="33" t="s">
        <v>482</v>
      </c>
      <c r="G107" s="33" t="s">
        <v>483</v>
      </c>
      <c r="H107" s="33" t="s">
        <v>170</v>
      </c>
      <c r="I107" s="33" t="s">
        <v>171</v>
      </c>
    </row>
    <row r="108" spans="1:9" ht="14.4">
      <c r="A108" s="809" t="s">
        <v>172</v>
      </c>
      <c r="B108" s="807" t="s">
        <v>189</v>
      </c>
      <c r="C108" s="814">
        <v>1</v>
      </c>
      <c r="D108" s="9" t="s">
        <v>583</v>
      </c>
      <c r="E108" s="810">
        <f>+H111*0.05</f>
        <v>14531.04346488889</v>
      </c>
      <c r="F108" s="810"/>
      <c r="G108" s="810"/>
      <c r="H108" s="810"/>
      <c r="I108" s="810">
        <f>+E108*C108</f>
        <v>14531.04346488889</v>
      </c>
    </row>
    <row r="109" spans="1:9" ht="14.4">
      <c r="A109" s="809" t="s">
        <v>348</v>
      </c>
      <c r="B109" s="807" t="str">
        <f>IF(PRESTA&gt;0,"AYUD. RASO (INCLUYE "&amp;""&amp;PRESTA*100&amp;"% PRESTACIONES)",0)</f>
        <v>AYUD. RASO (INCLUYE 82,22% PRESTACIONES)</v>
      </c>
      <c r="C109" s="814">
        <f>1/0.45</f>
        <v>2.2222222222222223</v>
      </c>
      <c r="D109" s="9" t="s">
        <v>346</v>
      </c>
      <c r="E109" s="810">
        <f>+AYUDR</f>
        <v>50299.76584</v>
      </c>
      <c r="F109" s="810"/>
      <c r="G109" s="810"/>
      <c r="H109" s="810">
        <f>+E109*C109</f>
        <v>111777.25742222223</v>
      </c>
      <c r="I109" s="810"/>
    </row>
    <row r="110" spans="1:9" ht="14.4">
      <c r="A110" s="809"/>
      <c r="B110" s="811" t="s">
        <v>965</v>
      </c>
      <c r="C110" s="814">
        <f>+C109</f>
        <v>2.2222222222222223</v>
      </c>
      <c r="D110" s="9" t="s">
        <v>717</v>
      </c>
      <c r="E110" s="810">
        <f>+OFICI</f>
        <v>80479.625344</v>
      </c>
      <c r="F110" s="810"/>
      <c r="G110" s="810"/>
      <c r="H110" s="810">
        <f>+E110*C110</f>
        <v>178843.61187555557</v>
      </c>
      <c r="I110" s="810"/>
    </row>
    <row r="111" spans="1:9" ht="14.4">
      <c r="A111" s="1424" t="s">
        <v>190</v>
      </c>
      <c r="B111" s="813">
        <f>SUM(F111:I111)</f>
        <v>305151.91276266664</v>
      </c>
      <c r="C111" s="814"/>
      <c r="D111" s="9"/>
      <c r="E111" s="810"/>
      <c r="F111" s="810">
        <f>+SUM(F108:F110)</f>
        <v>0</v>
      </c>
      <c r="G111" s="810">
        <f>+SUM(G108:G110)</f>
        <v>0</v>
      </c>
      <c r="H111" s="810">
        <f>+SUM(H108:H110)</f>
        <v>290620.86929777777</v>
      </c>
      <c r="I111" s="810">
        <f>+SUM(I108:I110)</f>
        <v>14531.04346488889</v>
      </c>
    </row>
    <row r="112" spans="1:9" ht="14.4">
      <c r="A112" s="1424" t="s">
        <v>191</v>
      </c>
      <c r="B112" s="813">
        <f>+B111</f>
        <v>305151.91276266664</v>
      </c>
      <c r="C112" s="815" t="s">
        <v>133</v>
      </c>
      <c r="D112" s="816"/>
      <c r="E112" s="817"/>
      <c r="F112" s="817"/>
      <c r="G112" s="817"/>
      <c r="H112" s="817"/>
      <c r="I112" s="817"/>
    </row>
    <row r="113" spans="1:9" ht="14.4">
      <c r="A113" s="1425"/>
      <c r="B113" s="1425"/>
      <c r="C113" s="1425"/>
      <c r="D113" s="1425"/>
      <c r="E113" s="1425"/>
      <c r="F113" s="1425"/>
      <c r="G113" s="1425"/>
      <c r="H113" s="1425"/>
      <c r="I113" s="1425"/>
    </row>
    <row r="114" spans="1:9" ht="14.4">
      <c r="A114" s="1342">
        <v>3.2</v>
      </c>
      <c r="B114" s="3552" t="s">
        <v>5444</v>
      </c>
      <c r="C114" s="3553"/>
      <c r="D114" s="3553"/>
      <c r="E114" s="3553"/>
      <c r="F114" s="3553"/>
      <c r="G114" s="3553"/>
      <c r="H114" s="3553"/>
      <c r="I114" s="3554"/>
    </row>
    <row r="115" spans="1:9" ht="14.4">
      <c r="A115" s="809"/>
      <c r="B115" s="807"/>
      <c r="C115" s="808" t="s">
        <v>140</v>
      </c>
      <c r="D115" s="11" t="s">
        <v>343</v>
      </c>
      <c r="E115" s="33" t="s">
        <v>344</v>
      </c>
      <c r="F115" s="33" t="s">
        <v>482</v>
      </c>
      <c r="G115" s="33" t="s">
        <v>483</v>
      </c>
      <c r="H115" s="33" t="s">
        <v>170</v>
      </c>
      <c r="I115" s="33" t="s">
        <v>171</v>
      </c>
    </row>
    <row r="116" spans="1:9" ht="14.4">
      <c r="A116" s="809"/>
      <c r="B116" s="1418" t="s">
        <v>5386</v>
      </c>
      <c r="C116" s="814">
        <v>2.8</v>
      </c>
      <c r="D116" s="9" t="s">
        <v>426</v>
      </c>
      <c r="E116" s="33">
        <v>2600</v>
      </c>
      <c r="F116" s="33"/>
      <c r="G116" s="810">
        <f t="shared" ref="G116:G123" si="6">+E116*C116</f>
        <v>7279.9999999999991</v>
      </c>
      <c r="H116" s="33"/>
      <c r="I116" s="33"/>
    </row>
    <row r="117" spans="1:9" ht="14.4">
      <c r="A117" s="809"/>
      <c r="B117" s="1418" t="s">
        <v>5387</v>
      </c>
      <c r="C117" s="814">
        <v>2.5000000000000001E-2</v>
      </c>
      <c r="D117" s="9" t="s">
        <v>426</v>
      </c>
      <c r="E117" s="33">
        <v>2700</v>
      </c>
      <c r="F117" s="33"/>
      <c r="G117" s="810">
        <f t="shared" si="6"/>
        <v>67.5</v>
      </c>
      <c r="H117" s="33"/>
      <c r="I117" s="33"/>
    </row>
    <row r="118" spans="1:9" ht="14.4">
      <c r="A118" s="809"/>
      <c r="B118" s="1418" t="s">
        <v>5388</v>
      </c>
      <c r="C118" s="814">
        <v>0.24</v>
      </c>
      <c r="D118" s="9" t="s">
        <v>1292</v>
      </c>
      <c r="E118" s="33">
        <v>150000</v>
      </c>
      <c r="F118" s="33"/>
      <c r="G118" s="810">
        <f t="shared" si="6"/>
        <v>36000</v>
      </c>
      <c r="H118" s="33"/>
      <c r="I118" s="33"/>
    </row>
    <row r="119" spans="1:9" ht="14.4">
      <c r="A119" s="809"/>
      <c r="B119" s="1418" t="s">
        <v>5389</v>
      </c>
      <c r="C119" s="814">
        <v>0.2</v>
      </c>
      <c r="D119" s="9" t="s">
        <v>1292</v>
      </c>
      <c r="E119" s="33">
        <v>150000</v>
      </c>
      <c r="F119" s="33"/>
      <c r="G119" s="810">
        <f t="shared" si="6"/>
        <v>30000</v>
      </c>
      <c r="H119" s="33"/>
      <c r="I119" s="33"/>
    </row>
    <row r="120" spans="1:9" ht="14.4">
      <c r="A120" s="809"/>
      <c r="B120" s="1418" t="s">
        <v>5390</v>
      </c>
      <c r="C120" s="814">
        <v>80</v>
      </c>
      <c r="D120" s="9" t="s">
        <v>426</v>
      </c>
      <c r="E120" s="33">
        <v>600</v>
      </c>
      <c r="F120" s="33"/>
      <c r="G120" s="810">
        <f t="shared" si="6"/>
        <v>48000</v>
      </c>
      <c r="H120" s="33"/>
      <c r="I120" s="33"/>
    </row>
    <row r="121" spans="1:9" ht="14.4">
      <c r="A121" s="809"/>
      <c r="B121" s="1418" t="s">
        <v>5391</v>
      </c>
      <c r="C121" s="814">
        <v>48</v>
      </c>
      <c r="D121" s="9" t="s">
        <v>343</v>
      </c>
      <c r="E121" s="33">
        <v>1000</v>
      </c>
      <c r="F121" s="33"/>
      <c r="G121" s="810">
        <f t="shared" si="6"/>
        <v>48000</v>
      </c>
      <c r="H121" s="33"/>
      <c r="I121" s="33"/>
    </row>
    <row r="122" spans="1:9" ht="14.4">
      <c r="A122" s="809"/>
      <c r="B122" s="1418" t="s">
        <v>5392</v>
      </c>
      <c r="C122" s="814">
        <v>6</v>
      </c>
      <c r="D122" s="9" t="s">
        <v>4693</v>
      </c>
      <c r="E122" s="33">
        <v>7000</v>
      </c>
      <c r="F122" s="33"/>
      <c r="G122" s="810">
        <f t="shared" si="6"/>
        <v>42000</v>
      </c>
      <c r="H122" s="33"/>
      <c r="I122" s="33"/>
    </row>
    <row r="123" spans="1:9" ht="14.4">
      <c r="A123" s="809"/>
      <c r="B123" s="1418" t="s">
        <v>5393</v>
      </c>
      <c r="C123" s="814">
        <v>0.08</v>
      </c>
      <c r="D123" s="9" t="s">
        <v>3639</v>
      </c>
      <c r="E123" s="810">
        <v>230000</v>
      </c>
      <c r="F123" s="810"/>
      <c r="G123" s="810">
        <f t="shared" si="6"/>
        <v>18400</v>
      </c>
      <c r="H123" s="810"/>
      <c r="I123" s="810"/>
    </row>
    <row r="124" spans="1:9" ht="16.8">
      <c r="A124" s="809"/>
      <c r="B124" s="1444" t="s">
        <v>5443</v>
      </c>
      <c r="C124" s="814">
        <v>1</v>
      </c>
      <c r="D124" s="160" t="s">
        <v>772</v>
      </c>
      <c r="E124" s="810">
        <v>25000</v>
      </c>
      <c r="F124" s="810"/>
      <c r="G124" s="1425"/>
      <c r="H124" s="810"/>
      <c r="I124" s="810">
        <f>+E124*C124</f>
        <v>25000</v>
      </c>
    </row>
    <row r="125" spans="1:9" ht="14.4">
      <c r="A125" s="1424" t="s">
        <v>190</v>
      </c>
      <c r="B125" s="813">
        <f>SUM(F125:I125)</f>
        <v>254747.5</v>
      </c>
      <c r="C125" s="814"/>
      <c r="D125" s="9"/>
      <c r="E125" s="810"/>
      <c r="F125" s="810">
        <f>+SUM(F124:F124)</f>
        <v>0</v>
      </c>
      <c r="G125" s="810">
        <f>+SUM(G116:G124)</f>
        <v>229747.5</v>
      </c>
      <c r="H125" s="810">
        <f>+SUM(H124:H124)</f>
        <v>0</v>
      </c>
      <c r="I125" s="810">
        <f>+SUM(I124:I124)</f>
        <v>25000</v>
      </c>
    </row>
    <row r="126" spans="1:9" ht="14.4">
      <c r="A126" s="1424" t="s">
        <v>191</v>
      </c>
      <c r="B126" s="813">
        <f>+B125</f>
        <v>254747.5</v>
      </c>
      <c r="C126" s="815" t="s">
        <v>133</v>
      </c>
      <c r="D126" s="816"/>
      <c r="E126" s="817"/>
      <c r="F126" s="817"/>
      <c r="G126" s="817"/>
      <c r="H126" s="817"/>
      <c r="I126" s="817"/>
    </row>
    <row r="128" spans="1:9" ht="14.4">
      <c r="A128" s="1342">
        <v>4.0999999999999996</v>
      </c>
      <c r="B128" s="3552" t="s">
        <v>5445</v>
      </c>
      <c r="C128" s="3553"/>
      <c r="D128" s="3553"/>
      <c r="E128" s="3553"/>
      <c r="F128" s="3553"/>
      <c r="G128" s="3553"/>
      <c r="H128" s="3553"/>
      <c r="I128" s="3554"/>
    </row>
    <row r="129" spans="1:9" ht="14.4">
      <c r="A129" s="809"/>
      <c r="B129" s="807"/>
      <c r="C129" s="808" t="s">
        <v>140</v>
      </c>
      <c r="D129" s="11" t="s">
        <v>343</v>
      </c>
      <c r="E129" s="33" t="s">
        <v>344</v>
      </c>
      <c r="F129" s="33" t="s">
        <v>482</v>
      </c>
      <c r="G129" s="33" t="s">
        <v>483</v>
      </c>
      <c r="H129" s="33" t="s">
        <v>170</v>
      </c>
      <c r="I129" s="33" t="s">
        <v>171</v>
      </c>
    </row>
    <row r="130" spans="1:9" ht="14.4">
      <c r="A130" s="809" t="s">
        <v>172</v>
      </c>
      <c r="B130" s="807" t="s">
        <v>189</v>
      </c>
      <c r="C130" s="814">
        <v>1</v>
      </c>
      <c r="D130" s="9" t="s">
        <v>583</v>
      </c>
      <c r="E130" s="810">
        <f>+H135*0.05</f>
        <v>25412.470730000001</v>
      </c>
      <c r="F130" s="810"/>
      <c r="G130" s="810"/>
      <c r="H130" s="810"/>
      <c r="I130" s="810">
        <f>+E130*C130</f>
        <v>25412.470730000001</v>
      </c>
    </row>
    <row r="131" spans="1:9" ht="14.4">
      <c r="A131" s="809"/>
      <c r="B131" s="1418" t="s">
        <v>5450</v>
      </c>
      <c r="C131" s="814">
        <v>1</v>
      </c>
      <c r="D131" s="9"/>
      <c r="E131" s="33">
        <v>80000</v>
      </c>
      <c r="F131" s="33">
        <f>+E131*C131</f>
        <v>80000</v>
      </c>
      <c r="G131" s="810"/>
      <c r="H131" s="33"/>
      <c r="I131" s="33"/>
    </row>
    <row r="132" spans="1:9" ht="14.4">
      <c r="A132" s="809" t="s">
        <v>348</v>
      </c>
      <c r="B132" s="807" t="str">
        <f>IF(PRESTA&gt;0,"AYUD. RASO (INCLUYE "&amp;""&amp;PRESTA*100&amp;"% PRESTACIONES)",0)</f>
        <v>AYUD. RASO (INCLUYE 82,22% PRESTACIONES)</v>
      </c>
      <c r="C132" s="814">
        <f>1/0.4</f>
        <v>2.5</v>
      </c>
      <c r="D132" s="9" t="s">
        <v>346</v>
      </c>
      <c r="E132" s="810">
        <f>+AYUDR</f>
        <v>50299.76584</v>
      </c>
      <c r="F132" s="810"/>
      <c r="G132" s="810"/>
      <c r="H132" s="810">
        <f>+E132*C132</f>
        <v>125749.4146</v>
      </c>
      <c r="I132" s="810"/>
    </row>
    <row r="133" spans="1:9" ht="14.4">
      <c r="A133" s="809"/>
      <c r="B133" s="811" t="s">
        <v>5448</v>
      </c>
      <c r="C133" s="814">
        <f>1/0.4</f>
        <v>2.5</v>
      </c>
      <c r="D133" s="9" t="s">
        <v>346</v>
      </c>
      <c r="E133" s="810">
        <v>90000</v>
      </c>
      <c r="F133" s="810"/>
      <c r="G133" s="810"/>
      <c r="H133" s="810">
        <f>+E133*C133</f>
        <v>225000</v>
      </c>
      <c r="I133" s="810"/>
    </row>
    <row r="134" spans="1:9" ht="14.4">
      <c r="A134" s="809"/>
      <c r="B134" s="811" t="s">
        <v>5449</v>
      </c>
      <c r="C134" s="814">
        <f>+C132</f>
        <v>2.5</v>
      </c>
      <c r="D134" s="9" t="s">
        <v>717</v>
      </c>
      <c r="E134" s="810">
        <v>63000</v>
      </c>
      <c r="F134" s="810"/>
      <c r="G134" s="810"/>
      <c r="H134" s="810">
        <f>+E134*C134</f>
        <v>157500</v>
      </c>
      <c r="I134" s="810"/>
    </row>
    <row r="135" spans="1:9" ht="14.4">
      <c r="A135" s="1424" t="s">
        <v>190</v>
      </c>
      <c r="B135" s="813">
        <f>SUM(F135:I135)</f>
        <v>613661.88532999996</v>
      </c>
      <c r="C135" s="814"/>
      <c r="D135" s="9"/>
      <c r="E135" s="810"/>
      <c r="F135" s="810">
        <f>+SUM(F130:F134)</f>
        <v>80000</v>
      </c>
      <c r="G135" s="810">
        <f>+SUM(G130:G134)</f>
        <v>0</v>
      </c>
      <c r="H135" s="810">
        <f>+SUM(H130:H134)</f>
        <v>508249.41460000002</v>
      </c>
      <c r="I135" s="810">
        <f>+SUM(I130:I134)</f>
        <v>25412.470730000001</v>
      </c>
    </row>
    <row r="136" spans="1:9" ht="14.4">
      <c r="A136" s="1424" t="s">
        <v>191</v>
      </c>
      <c r="B136" s="813">
        <f>+B135</f>
        <v>613661.88532999996</v>
      </c>
      <c r="C136" s="815" t="s">
        <v>133</v>
      </c>
      <c r="D136" s="816"/>
      <c r="E136" s="817"/>
      <c r="F136" s="817"/>
      <c r="G136" s="817"/>
      <c r="H136" s="817"/>
      <c r="I136" s="817"/>
    </row>
    <row r="137" spans="1:9" ht="14.4">
      <c r="A137" s="1425"/>
      <c r="B137" s="1425"/>
      <c r="C137" s="1425"/>
      <c r="D137" s="1425"/>
      <c r="E137" s="1425"/>
      <c r="F137" s="1425"/>
      <c r="G137" s="1425"/>
      <c r="H137" s="1425"/>
      <c r="I137" s="1425"/>
    </row>
    <row r="138" spans="1:9" ht="14.4">
      <c r="A138" s="1342">
        <v>4.0999999999999996</v>
      </c>
      <c r="B138" s="3552" t="s">
        <v>5446</v>
      </c>
      <c r="C138" s="3553"/>
      <c r="D138" s="3553"/>
      <c r="E138" s="3553"/>
      <c r="F138" s="3553"/>
      <c r="G138" s="3553"/>
      <c r="H138" s="3553"/>
      <c r="I138" s="3554"/>
    </row>
    <row r="139" spans="1:9" ht="14.4">
      <c r="A139" s="809"/>
      <c r="B139" s="807"/>
      <c r="C139" s="808" t="s">
        <v>140</v>
      </c>
      <c r="D139" s="11" t="s">
        <v>343</v>
      </c>
      <c r="E139" s="33" t="s">
        <v>344</v>
      </c>
      <c r="F139" s="33" t="s">
        <v>482</v>
      </c>
      <c r="G139" s="33" t="s">
        <v>483</v>
      </c>
      <c r="H139" s="33" t="s">
        <v>170</v>
      </c>
      <c r="I139" s="33" t="s">
        <v>171</v>
      </c>
    </row>
    <row r="140" spans="1:9" ht="14.4">
      <c r="A140" s="809"/>
      <c r="B140" s="1418" t="s">
        <v>5320</v>
      </c>
      <c r="C140" s="814">
        <v>6</v>
      </c>
      <c r="D140" s="9" t="s">
        <v>343</v>
      </c>
      <c r="E140" s="33">
        <v>190000</v>
      </c>
      <c r="F140" s="33"/>
      <c r="G140" s="810">
        <f t="shared" ref="G140:G143" si="7">+E140*C140</f>
        <v>1140000</v>
      </c>
      <c r="H140" s="33"/>
      <c r="I140" s="33"/>
    </row>
    <row r="141" spans="1:9" ht="14.4">
      <c r="A141" s="809"/>
      <c r="B141" s="1418" t="s">
        <v>5321</v>
      </c>
      <c r="C141" s="814">
        <v>60</v>
      </c>
      <c r="D141" s="9" t="s">
        <v>45</v>
      </c>
      <c r="E141" s="33">
        <v>38000</v>
      </c>
      <c r="F141" s="33"/>
      <c r="G141" s="810">
        <f t="shared" si="7"/>
        <v>2280000</v>
      </c>
      <c r="H141" s="33"/>
      <c r="I141" s="33"/>
    </row>
    <row r="142" spans="1:9" ht="14.4">
      <c r="A142" s="809"/>
      <c r="B142" s="1418" t="s">
        <v>5313</v>
      </c>
      <c r="C142" s="814">
        <v>15</v>
      </c>
      <c r="D142" s="9" t="s">
        <v>343</v>
      </c>
      <c r="E142" s="33">
        <v>30000</v>
      </c>
      <c r="F142" s="33"/>
      <c r="G142" s="810">
        <f t="shared" si="7"/>
        <v>450000</v>
      </c>
      <c r="H142" s="33"/>
      <c r="I142" s="33"/>
    </row>
    <row r="143" spans="1:9" ht="14.4">
      <c r="A143" s="809"/>
      <c r="B143" s="1418" t="s">
        <v>5447</v>
      </c>
      <c r="C143" s="814">
        <v>2</v>
      </c>
      <c r="D143" s="9" t="s">
        <v>343</v>
      </c>
      <c r="E143" s="33">
        <v>100000</v>
      </c>
      <c r="F143" s="33"/>
      <c r="G143" s="810">
        <f t="shared" si="7"/>
        <v>200000</v>
      </c>
      <c r="H143" s="33"/>
      <c r="I143" s="33"/>
    </row>
    <row r="144" spans="1:9" ht="14.4">
      <c r="A144" s="1424" t="s">
        <v>190</v>
      </c>
      <c r="B144" s="813">
        <f ca="1">SUM(F144:I144)</f>
        <v>6202870000</v>
      </c>
      <c r="C144" s="814"/>
      <c r="D144" s="9"/>
      <c r="E144" s="810"/>
      <c r="F144" s="810">
        <f>+SUM(F164:F164)</f>
        <v>0</v>
      </c>
      <c r="G144" s="810">
        <f ca="1">+SUM(G140:G164)</f>
        <v>6207570000</v>
      </c>
      <c r="H144" s="810">
        <f>+SUM(H164:H164)</f>
        <v>0</v>
      </c>
      <c r="I144" s="810">
        <f>+SUM(I164:I164)</f>
        <v>50000</v>
      </c>
    </row>
    <row r="145" spans="1:9" ht="14.4">
      <c r="A145" s="1424" t="s">
        <v>191</v>
      </c>
      <c r="B145" s="813">
        <f ca="1">+B144</f>
        <v>6198120000</v>
      </c>
      <c r="C145" s="815" t="s">
        <v>133</v>
      </c>
      <c r="D145" s="816"/>
      <c r="E145" s="817"/>
      <c r="F145" s="817"/>
      <c r="G145" s="817"/>
      <c r="H145" s="817"/>
      <c r="I145" s="817"/>
    </row>
    <row r="147" spans="1:9" ht="14.4">
      <c r="A147" s="1342">
        <v>4.2</v>
      </c>
      <c r="B147" s="3552" t="s">
        <v>5230</v>
      </c>
      <c r="C147" s="3553"/>
      <c r="D147" s="3553"/>
      <c r="E147" s="3553"/>
      <c r="F147" s="3553"/>
      <c r="G147" s="3553"/>
      <c r="H147" s="3553"/>
      <c r="I147" s="3554"/>
    </row>
    <row r="148" spans="1:9" ht="14.4">
      <c r="A148" s="809"/>
      <c r="B148" s="807"/>
      <c r="C148" s="808" t="s">
        <v>140</v>
      </c>
      <c r="D148" s="11" t="s">
        <v>343</v>
      </c>
      <c r="E148" s="33" t="s">
        <v>344</v>
      </c>
      <c r="F148" s="33" t="s">
        <v>482</v>
      </c>
      <c r="G148" s="33" t="s">
        <v>483</v>
      </c>
      <c r="H148" s="33" t="s">
        <v>170</v>
      </c>
      <c r="I148" s="33" t="s">
        <v>171</v>
      </c>
    </row>
    <row r="149" spans="1:9" ht="14.4">
      <c r="A149" s="809" t="s">
        <v>172</v>
      </c>
      <c r="B149" s="807" t="s">
        <v>189</v>
      </c>
      <c r="C149" s="814">
        <v>1</v>
      </c>
      <c r="D149" s="9" t="s">
        <v>583</v>
      </c>
      <c r="E149" s="810">
        <f>+H154*0.05</f>
        <v>25412.470730000001</v>
      </c>
      <c r="F149" s="810"/>
      <c r="G149" s="810"/>
      <c r="H149" s="810"/>
      <c r="I149" s="810">
        <f>+E149*C149</f>
        <v>25412.470730000001</v>
      </c>
    </row>
    <row r="150" spans="1:9" ht="14.4">
      <c r="A150" s="809"/>
      <c r="B150" s="1418" t="s">
        <v>5450</v>
      </c>
      <c r="C150" s="814">
        <v>1</v>
      </c>
      <c r="D150" s="9"/>
      <c r="E150" s="33">
        <v>80000</v>
      </c>
      <c r="F150" s="33">
        <f>+E150*C150</f>
        <v>80000</v>
      </c>
      <c r="G150" s="810"/>
      <c r="H150" s="33"/>
      <c r="I150" s="33"/>
    </row>
    <row r="151" spans="1:9" ht="14.4">
      <c r="A151" s="809" t="s">
        <v>348</v>
      </c>
      <c r="B151" s="807" t="str">
        <f>IF(PRESTA&gt;0,"AYUD. RASO (INCLUYE "&amp;""&amp;PRESTA*100&amp;"% PRESTACIONES)",0)</f>
        <v>AYUD. RASO (INCLUYE 82,22% PRESTACIONES)</v>
      </c>
      <c r="C151" s="814">
        <f>1/0.4</f>
        <v>2.5</v>
      </c>
      <c r="D151" s="9" t="s">
        <v>346</v>
      </c>
      <c r="E151" s="810">
        <f>+AYUDR</f>
        <v>50299.76584</v>
      </c>
      <c r="F151" s="810"/>
      <c r="G151" s="810"/>
      <c r="H151" s="810">
        <f>+E151*C151</f>
        <v>125749.4146</v>
      </c>
      <c r="I151" s="810"/>
    </row>
    <row r="152" spans="1:9" ht="14.4">
      <c r="A152" s="809"/>
      <c r="B152" s="811" t="s">
        <v>5448</v>
      </c>
      <c r="C152" s="814">
        <f>1/0.4</f>
        <v>2.5</v>
      </c>
      <c r="D152" s="9" t="s">
        <v>346</v>
      </c>
      <c r="E152" s="810">
        <v>90000</v>
      </c>
      <c r="F152" s="810"/>
      <c r="G152" s="810"/>
      <c r="H152" s="810">
        <f>+E152*C152</f>
        <v>225000</v>
      </c>
      <c r="I152" s="810"/>
    </row>
    <row r="153" spans="1:9" ht="14.4">
      <c r="A153" s="809"/>
      <c r="B153" s="811" t="s">
        <v>5449</v>
      </c>
      <c r="C153" s="814">
        <f>+C151</f>
        <v>2.5</v>
      </c>
      <c r="D153" s="9" t="s">
        <v>717</v>
      </c>
      <c r="E153" s="810">
        <v>63000</v>
      </c>
      <c r="F153" s="810"/>
      <c r="G153" s="810"/>
      <c r="H153" s="810">
        <f>+E153*C153</f>
        <v>157500</v>
      </c>
      <c r="I153" s="810"/>
    </row>
    <row r="154" spans="1:9" ht="14.4">
      <c r="A154" s="1424" t="s">
        <v>190</v>
      </c>
      <c r="B154" s="813">
        <f>SUM(F154:I154)</f>
        <v>613661.88532999996</v>
      </c>
      <c r="C154" s="814"/>
      <c r="D154" s="9"/>
      <c r="E154" s="810"/>
      <c r="F154" s="810">
        <f>+SUM(F149:F153)</f>
        <v>80000</v>
      </c>
      <c r="G154" s="810">
        <f>+SUM(G149:G153)</f>
        <v>0</v>
      </c>
      <c r="H154" s="810">
        <f>+SUM(H149:H153)</f>
        <v>508249.41460000002</v>
      </c>
      <c r="I154" s="810">
        <f>+SUM(I149:I153)</f>
        <v>25412.470730000001</v>
      </c>
    </row>
    <row r="155" spans="1:9" ht="14.4">
      <c r="A155" s="1424" t="s">
        <v>191</v>
      </c>
      <c r="B155" s="813">
        <f>+B154</f>
        <v>613661.88532999996</v>
      </c>
      <c r="C155" s="815" t="s">
        <v>133</v>
      </c>
      <c r="D155" s="816"/>
      <c r="E155" s="817"/>
      <c r="F155" s="817"/>
      <c r="G155" s="817"/>
      <c r="H155" s="817"/>
      <c r="I155" s="817"/>
    </row>
    <row r="156" spans="1:9" ht="14.4">
      <c r="A156" s="1425"/>
      <c r="B156" s="1425"/>
      <c r="C156" s="1425"/>
      <c r="D156" s="1425"/>
      <c r="E156" s="1425"/>
      <c r="F156" s="1425"/>
      <c r="G156" s="1425"/>
      <c r="H156" s="1425"/>
      <c r="I156" s="1425"/>
    </row>
    <row r="157" spans="1:9" ht="14.4">
      <c r="A157" s="1342">
        <v>4.2</v>
      </c>
      <c r="B157" s="3552" t="s">
        <v>5252</v>
      </c>
      <c r="C157" s="3553"/>
      <c r="D157" s="3553"/>
      <c r="E157" s="3553"/>
      <c r="F157" s="3553"/>
      <c r="G157" s="3553"/>
      <c r="H157" s="3553"/>
      <c r="I157" s="3554"/>
    </row>
    <row r="158" spans="1:9" ht="14.4">
      <c r="A158" s="809"/>
      <c r="B158" s="807"/>
      <c r="C158" s="808" t="s">
        <v>140</v>
      </c>
      <c r="D158" s="11" t="s">
        <v>343</v>
      </c>
      <c r="E158" s="33" t="s">
        <v>344</v>
      </c>
      <c r="F158" s="33" t="s">
        <v>482</v>
      </c>
      <c r="G158" s="33" t="s">
        <v>483</v>
      </c>
      <c r="H158" s="33" t="s">
        <v>170</v>
      </c>
      <c r="I158" s="33" t="s">
        <v>171</v>
      </c>
    </row>
    <row r="159" spans="1:9" ht="14.4">
      <c r="A159" s="809"/>
      <c r="B159" s="1418" t="s">
        <v>5311</v>
      </c>
      <c r="C159" s="814">
        <v>1</v>
      </c>
      <c r="D159" s="9" t="s">
        <v>343</v>
      </c>
      <c r="E159" s="33">
        <v>230000</v>
      </c>
      <c r="F159" s="33"/>
      <c r="G159" s="810">
        <f t="shared" ref="G159:G163" si="8">+E159*C159</f>
        <v>230000</v>
      </c>
      <c r="H159" s="33"/>
      <c r="I159" s="33"/>
    </row>
    <row r="160" spans="1:9" ht="14.4">
      <c r="A160" s="809"/>
      <c r="B160" s="1418" t="s">
        <v>5312</v>
      </c>
      <c r="C160" s="814">
        <v>15</v>
      </c>
      <c r="D160" s="9" t="s">
        <v>343</v>
      </c>
      <c r="E160" s="33">
        <v>14000</v>
      </c>
      <c r="F160" s="33"/>
      <c r="G160" s="810">
        <f t="shared" si="8"/>
        <v>210000</v>
      </c>
      <c r="H160" s="33"/>
      <c r="I160" s="33"/>
    </row>
    <row r="161" spans="1:9" ht="14.4">
      <c r="A161" s="809"/>
      <c r="B161" s="1418" t="s">
        <v>5313</v>
      </c>
      <c r="C161" s="814">
        <v>2</v>
      </c>
      <c r="D161" s="9" t="s">
        <v>343</v>
      </c>
      <c r="E161" s="33">
        <v>30000</v>
      </c>
      <c r="F161" s="33"/>
      <c r="G161" s="810">
        <f t="shared" si="8"/>
        <v>60000</v>
      </c>
      <c r="H161" s="33"/>
      <c r="I161" s="33"/>
    </row>
    <row r="162" spans="1:9" ht="14.4">
      <c r="A162" s="809"/>
      <c r="B162" s="1418" t="s">
        <v>5314</v>
      </c>
      <c r="C162" s="814">
        <v>1</v>
      </c>
      <c r="D162" s="9" t="s">
        <v>343</v>
      </c>
      <c r="E162" s="33">
        <v>130000</v>
      </c>
      <c r="F162" s="33"/>
      <c r="G162" s="810">
        <f t="shared" si="8"/>
        <v>130000</v>
      </c>
      <c r="H162" s="33"/>
      <c r="I162" s="33"/>
    </row>
    <row r="163" spans="1:9" ht="16.8">
      <c r="A163" s="809"/>
      <c r="B163" s="1445" t="s">
        <v>5315</v>
      </c>
      <c r="C163" s="814">
        <v>1</v>
      </c>
      <c r="D163" s="160" t="s">
        <v>772</v>
      </c>
      <c r="E163" s="810">
        <v>50000</v>
      </c>
      <c r="F163" s="810"/>
      <c r="G163" s="810">
        <f t="shared" si="8"/>
        <v>50000</v>
      </c>
      <c r="H163" s="810"/>
      <c r="I163" s="810"/>
    </row>
    <row r="164" spans="1:9" ht="16.8">
      <c r="A164" s="809"/>
      <c r="B164" s="1444" t="s">
        <v>5443</v>
      </c>
      <c r="C164" s="814">
        <v>1</v>
      </c>
      <c r="D164" s="160" t="s">
        <v>772</v>
      </c>
      <c r="E164" s="810">
        <v>50000</v>
      </c>
      <c r="F164" s="810"/>
      <c r="G164" s="1425"/>
      <c r="H164" s="810"/>
      <c r="I164" s="810">
        <f>+E164*C164</f>
        <v>50000</v>
      </c>
    </row>
    <row r="165" spans="1:9" ht="14.4">
      <c r="A165" s="1424" t="s">
        <v>190</v>
      </c>
      <c r="B165" s="813">
        <f>SUM(F165:I165)</f>
        <v>680000</v>
      </c>
      <c r="C165" s="814"/>
      <c r="D165" s="9"/>
      <c r="E165" s="810"/>
      <c r="F165" s="810">
        <f>+SUM(F163:F163)</f>
        <v>0</v>
      </c>
      <c r="G165" s="810">
        <f>+SUM(G159:G163)</f>
        <v>680000</v>
      </c>
      <c r="H165" s="810">
        <f>+SUM(H163:H163)</f>
        <v>0</v>
      </c>
      <c r="I165" s="810">
        <f>+SUM(I163:I163)</f>
        <v>0</v>
      </c>
    </row>
    <row r="166" spans="1:9" ht="14.4">
      <c r="A166" s="1424" t="s">
        <v>191</v>
      </c>
      <c r="B166" s="813">
        <f>+B165</f>
        <v>680000</v>
      </c>
      <c r="C166" s="815" t="s">
        <v>133</v>
      </c>
      <c r="D166" s="816"/>
      <c r="E166" s="817"/>
      <c r="F166" s="817"/>
      <c r="G166" s="817"/>
      <c r="H166" s="817"/>
      <c r="I166" s="817"/>
    </row>
    <row r="168" spans="1:9" ht="14.4">
      <c r="A168" s="1342">
        <v>5.0999999999999996</v>
      </c>
      <c r="B168" s="3552" t="s">
        <v>5451</v>
      </c>
      <c r="C168" s="3553"/>
      <c r="D168" s="3553"/>
      <c r="E168" s="3553"/>
      <c r="F168" s="3553"/>
      <c r="G168" s="3553"/>
      <c r="H168" s="3553"/>
      <c r="I168" s="3554"/>
    </row>
    <row r="169" spans="1:9" ht="14.4">
      <c r="A169" s="809"/>
      <c r="B169" s="807"/>
      <c r="C169" s="808" t="s">
        <v>140</v>
      </c>
      <c r="D169" s="11" t="s">
        <v>343</v>
      </c>
      <c r="E169" s="33" t="s">
        <v>344</v>
      </c>
      <c r="F169" s="33" t="s">
        <v>482</v>
      </c>
      <c r="G169" s="33" t="s">
        <v>483</v>
      </c>
      <c r="H169" s="33" t="s">
        <v>170</v>
      </c>
      <c r="I169" s="33" t="s">
        <v>171</v>
      </c>
    </row>
    <row r="170" spans="1:9" ht="14.4">
      <c r="A170" s="809" t="s">
        <v>172</v>
      </c>
      <c r="B170" s="807" t="s">
        <v>189</v>
      </c>
      <c r="C170" s="814">
        <v>1</v>
      </c>
      <c r="D170" s="9" t="s">
        <v>583</v>
      </c>
      <c r="E170" s="810">
        <f>+H173*0.05</f>
        <v>1753.7470730000002</v>
      </c>
      <c r="F170" s="810"/>
      <c r="G170" s="810"/>
      <c r="H170" s="810"/>
      <c r="I170" s="810">
        <f>+E170*C170</f>
        <v>1753.7470730000002</v>
      </c>
    </row>
    <row r="171" spans="1:9" ht="14.4">
      <c r="A171" s="809"/>
      <c r="B171" s="811" t="s">
        <v>5104</v>
      </c>
      <c r="C171" s="814">
        <v>0.25</v>
      </c>
      <c r="D171" s="9" t="s">
        <v>717</v>
      </c>
      <c r="E171" s="810">
        <v>90000</v>
      </c>
      <c r="F171" s="810"/>
      <c r="G171" s="810"/>
      <c r="H171" s="810">
        <f>+E171*C171</f>
        <v>22500</v>
      </c>
      <c r="I171" s="810"/>
    </row>
    <row r="172" spans="1:9" ht="14.4">
      <c r="A172" s="809" t="s">
        <v>348</v>
      </c>
      <c r="B172" s="807" t="str">
        <f>IF(PRESTA&gt;0,"AYUD. RASO (INCLUYE "&amp;""&amp;PRESTA*100&amp;"% PRESTACIONES)",0)</f>
        <v>AYUD. RASO (INCLUYE 82,22% PRESTACIONES)</v>
      </c>
      <c r="C172" s="814">
        <f>1/4</f>
        <v>0.25</v>
      </c>
      <c r="D172" s="9" t="s">
        <v>346</v>
      </c>
      <c r="E172" s="810">
        <f>+AYUDR</f>
        <v>50299.76584</v>
      </c>
      <c r="F172" s="810"/>
      <c r="G172" s="810"/>
      <c r="H172" s="810">
        <f>+E172*C172</f>
        <v>12574.94146</v>
      </c>
      <c r="I172" s="810"/>
    </row>
    <row r="173" spans="1:9" ht="14.4">
      <c r="A173" s="1424" t="s">
        <v>190</v>
      </c>
      <c r="B173" s="813">
        <f>SUM(F173:I173)</f>
        <v>36828.688533</v>
      </c>
      <c r="C173" s="814"/>
      <c r="D173" s="9"/>
      <c r="E173" s="810"/>
      <c r="F173" s="810">
        <f>+SUM(F170:F172)</f>
        <v>0</v>
      </c>
      <c r="G173" s="810">
        <f>+SUM(G170:G172)</f>
        <v>0</v>
      </c>
      <c r="H173" s="810">
        <f>+SUM(H170:H172)</f>
        <v>35074.941460000002</v>
      </c>
      <c r="I173" s="810">
        <f>+SUM(I170:I172)</f>
        <v>1753.7470730000002</v>
      </c>
    </row>
    <row r="174" spans="1:9" ht="14.4">
      <c r="A174" s="1424" t="s">
        <v>191</v>
      </c>
      <c r="B174" s="813">
        <f>+B173</f>
        <v>36828.688533</v>
      </c>
      <c r="C174" s="815" t="s">
        <v>45</v>
      </c>
      <c r="D174" s="816"/>
      <c r="E174" s="817"/>
      <c r="F174" s="817"/>
      <c r="G174" s="817"/>
      <c r="H174" s="817"/>
      <c r="I174" s="817"/>
    </row>
    <row r="175" spans="1:9" ht="14.4">
      <c r="A175" s="1425"/>
      <c r="B175" s="1425"/>
      <c r="C175" s="1425"/>
      <c r="D175" s="1425"/>
      <c r="E175" s="1425"/>
      <c r="F175" s="1425"/>
      <c r="G175" s="1425"/>
      <c r="H175" s="1425"/>
      <c r="I175" s="1425"/>
    </row>
    <row r="176" spans="1:9" ht="14.4">
      <c r="A176" s="1342">
        <v>5.0999999999999996</v>
      </c>
      <c r="B176" s="3552" t="s">
        <v>5452</v>
      </c>
      <c r="C176" s="3553"/>
      <c r="D176" s="3553"/>
      <c r="E176" s="3553"/>
      <c r="F176" s="3553"/>
      <c r="G176" s="3553"/>
      <c r="H176" s="3553"/>
      <c r="I176" s="3554"/>
    </row>
    <row r="177" spans="1:9" ht="14.4">
      <c r="A177" s="809"/>
      <c r="B177" s="807"/>
      <c r="C177" s="808" t="s">
        <v>140</v>
      </c>
      <c r="D177" s="11" t="s">
        <v>343</v>
      </c>
      <c r="E177" s="33" t="s">
        <v>344</v>
      </c>
      <c r="F177" s="33" t="s">
        <v>482</v>
      </c>
      <c r="G177" s="33" t="s">
        <v>483</v>
      </c>
      <c r="H177" s="33" t="s">
        <v>170</v>
      </c>
      <c r="I177" s="33" t="s">
        <v>171</v>
      </c>
    </row>
    <row r="178" spans="1:9" ht="14.4">
      <c r="A178" s="809"/>
      <c r="B178" s="1418" t="s">
        <v>5453</v>
      </c>
      <c r="C178" s="814">
        <v>8</v>
      </c>
      <c r="D178" s="9" t="s">
        <v>45</v>
      </c>
      <c r="E178" s="33">
        <v>82000</v>
      </c>
      <c r="F178" s="33"/>
      <c r="G178" s="810">
        <f t="shared" ref="G178:G180" si="9">+E178*C178</f>
        <v>656000</v>
      </c>
      <c r="H178" s="33"/>
      <c r="I178" s="33"/>
    </row>
    <row r="179" spans="1:9" ht="14.4">
      <c r="A179" s="809"/>
      <c r="B179" s="1418" t="s">
        <v>5454</v>
      </c>
      <c r="C179" s="814">
        <v>1</v>
      </c>
      <c r="D179" s="9" t="s">
        <v>45</v>
      </c>
      <c r="E179" s="33">
        <v>28000</v>
      </c>
      <c r="F179" s="33"/>
      <c r="G179" s="810">
        <f t="shared" si="9"/>
        <v>28000</v>
      </c>
      <c r="H179" s="33"/>
      <c r="I179" s="33"/>
    </row>
    <row r="180" spans="1:9" ht="14.4">
      <c r="A180" s="809"/>
      <c r="B180" s="1418" t="s">
        <v>5455</v>
      </c>
      <c r="C180" s="814">
        <v>2</v>
      </c>
      <c r="D180" s="9" t="s">
        <v>45</v>
      </c>
      <c r="E180" s="33">
        <v>18000</v>
      </c>
      <c r="F180" s="33"/>
      <c r="G180" s="810">
        <f t="shared" si="9"/>
        <v>36000</v>
      </c>
      <c r="H180" s="33"/>
      <c r="I180" s="33"/>
    </row>
    <row r="181" spans="1:9" ht="16.8">
      <c r="A181" s="809"/>
      <c r="B181" s="1444" t="s">
        <v>5443</v>
      </c>
      <c r="C181" s="814">
        <v>1</v>
      </c>
      <c r="D181" s="160" t="s">
        <v>772</v>
      </c>
      <c r="E181" s="810">
        <v>1000</v>
      </c>
      <c r="F181" s="810"/>
      <c r="G181" s="1425"/>
      <c r="H181" s="810"/>
      <c r="I181" s="810">
        <f>+E181*C181</f>
        <v>1000</v>
      </c>
    </row>
    <row r="182" spans="1:9" ht="14.4">
      <c r="A182" s="1424" t="s">
        <v>190</v>
      </c>
      <c r="B182" s="813">
        <f>SUM(F182:I182)</f>
        <v>721000</v>
      </c>
      <c r="C182" s="814"/>
      <c r="D182" s="9"/>
      <c r="E182" s="810"/>
      <c r="F182" s="810">
        <f>+SUM(F178:F181)</f>
        <v>0</v>
      </c>
      <c r="G182" s="810">
        <f>+SUM(G178:G181)</f>
        <v>720000</v>
      </c>
      <c r="H182" s="810"/>
      <c r="I182" s="810">
        <f>+SUM(I180:I181)</f>
        <v>1000</v>
      </c>
    </row>
    <row r="183" spans="1:9" ht="14.4">
      <c r="A183" s="1424" t="s">
        <v>191</v>
      </c>
      <c r="B183" s="813">
        <f>+B182</f>
        <v>721000</v>
      </c>
      <c r="C183" s="815" t="s">
        <v>45</v>
      </c>
      <c r="D183" s="816"/>
      <c r="E183" s="817"/>
      <c r="F183" s="817"/>
      <c r="G183" s="817"/>
      <c r="H183" s="817"/>
      <c r="I183" s="817"/>
    </row>
    <row r="185" spans="1:9" ht="61.5" customHeight="1">
      <c r="A185" s="1342">
        <v>6.1</v>
      </c>
      <c r="B185" s="3552" t="s">
        <v>5456</v>
      </c>
      <c r="C185" s="3553"/>
      <c r="D185" s="3553"/>
      <c r="E185" s="3553"/>
      <c r="F185" s="3553"/>
      <c r="G185" s="3553"/>
      <c r="H185" s="3553"/>
      <c r="I185" s="3554"/>
    </row>
    <row r="186" spans="1:9" ht="14.4">
      <c r="A186" s="809"/>
      <c r="B186" s="807"/>
      <c r="C186" s="808" t="s">
        <v>140</v>
      </c>
      <c r="D186" s="11" t="s">
        <v>343</v>
      </c>
      <c r="E186" s="33" t="s">
        <v>344</v>
      </c>
      <c r="F186" s="33" t="s">
        <v>482</v>
      </c>
      <c r="G186" s="33" t="s">
        <v>483</v>
      </c>
      <c r="H186" s="33" t="s">
        <v>170</v>
      </c>
      <c r="I186" s="33" t="s">
        <v>171</v>
      </c>
    </row>
    <row r="187" spans="1:9" ht="14.4">
      <c r="A187" s="809" t="s">
        <v>172</v>
      </c>
      <c r="B187" s="807" t="s">
        <v>189</v>
      </c>
      <c r="C187" s="814">
        <v>1</v>
      </c>
      <c r="D187" s="9" t="s">
        <v>583</v>
      </c>
      <c r="E187" s="810">
        <f>+H190*0.05</f>
        <v>140299.76584000001</v>
      </c>
      <c r="F187" s="810"/>
      <c r="G187" s="810"/>
      <c r="H187" s="810"/>
      <c r="I187" s="810">
        <f>+E187*C187</f>
        <v>140299.76584000001</v>
      </c>
    </row>
    <row r="188" spans="1:9" ht="14.4">
      <c r="A188" s="809"/>
      <c r="B188" s="811" t="s">
        <v>5104</v>
      </c>
      <c r="C188" s="814">
        <f>1/0.05</f>
        <v>20</v>
      </c>
      <c r="D188" s="9" t="s">
        <v>717</v>
      </c>
      <c r="E188" s="810">
        <v>90000</v>
      </c>
      <c r="F188" s="810"/>
      <c r="G188" s="810"/>
      <c r="H188" s="810">
        <f>+E188*C188</f>
        <v>1800000</v>
      </c>
      <c r="I188" s="810"/>
    </row>
    <row r="189" spans="1:9" ht="14.4">
      <c r="A189" s="809" t="s">
        <v>348</v>
      </c>
      <c r="B189" s="807" t="str">
        <f>IF(PRESTA&gt;0,"AYUD. RASO (INCLUYE "&amp;""&amp;PRESTA*100&amp;"% PRESTACIONES)",0)</f>
        <v>AYUD. RASO (INCLUYE 82,22% PRESTACIONES)</v>
      </c>
      <c r="C189" s="814">
        <f>+C188</f>
        <v>20</v>
      </c>
      <c r="D189" s="9" t="s">
        <v>346</v>
      </c>
      <c r="E189" s="810">
        <f>+AYUDR</f>
        <v>50299.76584</v>
      </c>
      <c r="F189" s="810"/>
      <c r="G189" s="810"/>
      <c r="H189" s="810">
        <f>+E189*C189</f>
        <v>1005995.3168</v>
      </c>
      <c r="I189" s="810"/>
    </row>
    <row r="190" spans="1:9" ht="14.4">
      <c r="A190" s="1424" t="s">
        <v>190</v>
      </c>
      <c r="B190" s="813">
        <f>SUM(F190:I190)</f>
        <v>2946295.0826400002</v>
      </c>
      <c r="C190" s="814"/>
      <c r="D190" s="9"/>
      <c r="E190" s="810"/>
      <c r="F190" s="810">
        <f>+SUM(F187:F189)</f>
        <v>0</v>
      </c>
      <c r="G190" s="810">
        <f>+SUM(G187:G189)</f>
        <v>0</v>
      </c>
      <c r="H190" s="810">
        <f>+SUM(H187:H189)</f>
        <v>2805995.3168000001</v>
      </c>
      <c r="I190" s="810">
        <f>+SUM(I187:I189)</f>
        <v>140299.76584000001</v>
      </c>
    </row>
    <row r="191" spans="1:9" ht="14.4">
      <c r="A191" s="1424" t="s">
        <v>191</v>
      </c>
      <c r="B191" s="813">
        <f>+B190</f>
        <v>2946295.0826400002</v>
      </c>
      <c r="C191" s="815" t="s">
        <v>133</v>
      </c>
      <c r="D191" s="816"/>
      <c r="E191" s="817"/>
      <c r="F191" s="817"/>
      <c r="G191" s="817"/>
      <c r="H191" s="817"/>
      <c r="I191" s="817"/>
    </row>
    <row r="192" spans="1:9" ht="14.4">
      <c r="A192" s="1425"/>
      <c r="B192" s="1425"/>
      <c r="C192" s="1425"/>
      <c r="D192" s="1425"/>
      <c r="E192" s="1425"/>
      <c r="F192" s="1425"/>
      <c r="G192" s="1425"/>
      <c r="H192" s="1425"/>
      <c r="I192" s="1425"/>
    </row>
    <row r="193" spans="1:9" ht="62.25" customHeight="1">
      <c r="A193" s="1342">
        <v>6.1</v>
      </c>
      <c r="B193" s="3552" t="s">
        <v>5457</v>
      </c>
      <c r="C193" s="3553"/>
      <c r="D193" s="3553"/>
      <c r="E193" s="3553"/>
      <c r="F193" s="3553"/>
      <c r="G193" s="3553"/>
      <c r="H193" s="3553"/>
      <c r="I193" s="3554"/>
    </row>
    <row r="194" spans="1:9" ht="14.4">
      <c r="A194" s="809"/>
      <c r="B194" s="807"/>
      <c r="C194" s="808" t="s">
        <v>140</v>
      </c>
      <c r="D194" s="11" t="s">
        <v>343</v>
      </c>
      <c r="E194" s="33" t="s">
        <v>344</v>
      </c>
      <c r="F194" s="33" t="s">
        <v>482</v>
      </c>
      <c r="G194" s="33" t="s">
        <v>483</v>
      </c>
      <c r="H194" s="33" t="s">
        <v>170</v>
      </c>
      <c r="I194" s="33" t="s">
        <v>171</v>
      </c>
    </row>
    <row r="195" spans="1:9" ht="42.75" customHeight="1">
      <c r="A195" s="809"/>
      <c r="B195" s="1447" t="s">
        <v>5458</v>
      </c>
      <c r="C195" s="814">
        <v>1</v>
      </c>
      <c r="D195" s="9" t="s">
        <v>343</v>
      </c>
      <c r="E195" s="33">
        <v>1800000</v>
      </c>
      <c r="F195" s="33"/>
      <c r="G195" s="810">
        <f t="shared" ref="G195:G201" si="10">+E195*C195</f>
        <v>1800000</v>
      </c>
      <c r="H195" s="33"/>
      <c r="I195" s="33"/>
    </row>
    <row r="196" spans="1:9" ht="39.75" customHeight="1">
      <c r="A196" s="809"/>
      <c r="B196" s="1447" t="s">
        <v>5459</v>
      </c>
      <c r="C196" s="814">
        <v>1</v>
      </c>
      <c r="D196" s="9" t="s">
        <v>343</v>
      </c>
      <c r="E196" s="33">
        <v>17500000</v>
      </c>
      <c r="F196" s="33"/>
      <c r="G196" s="810">
        <f t="shared" si="10"/>
        <v>17500000</v>
      </c>
      <c r="H196" s="33"/>
      <c r="I196" s="33"/>
    </row>
    <row r="197" spans="1:9" ht="14.4">
      <c r="A197" s="809"/>
      <c r="B197" s="1447" t="s">
        <v>5270</v>
      </c>
      <c r="C197" s="814">
        <v>1</v>
      </c>
      <c r="D197" s="9" t="s">
        <v>343</v>
      </c>
      <c r="E197" s="33">
        <v>3320000</v>
      </c>
      <c r="F197" s="33"/>
      <c r="G197" s="810">
        <f t="shared" si="10"/>
        <v>3320000</v>
      </c>
      <c r="H197" s="33"/>
      <c r="I197" s="33"/>
    </row>
    <row r="198" spans="1:9" ht="14.4">
      <c r="A198" s="809"/>
      <c r="B198" s="1447" t="s">
        <v>5272</v>
      </c>
      <c r="C198" s="814">
        <v>1</v>
      </c>
      <c r="D198" s="9" t="s">
        <v>343</v>
      </c>
      <c r="E198" s="33">
        <v>3200000</v>
      </c>
      <c r="F198" s="33"/>
      <c r="G198" s="810">
        <f t="shared" si="10"/>
        <v>3200000</v>
      </c>
      <c r="H198" s="33"/>
      <c r="I198" s="33"/>
    </row>
    <row r="199" spans="1:9" ht="14.4">
      <c r="A199" s="809"/>
      <c r="B199" s="1447" t="s">
        <v>5460</v>
      </c>
      <c r="C199" s="814">
        <v>1</v>
      </c>
      <c r="D199" s="9" t="s">
        <v>343</v>
      </c>
      <c r="E199" s="33">
        <v>230000</v>
      </c>
      <c r="F199" s="33"/>
      <c r="G199" s="810">
        <f t="shared" si="10"/>
        <v>230000</v>
      </c>
      <c r="H199" s="33"/>
      <c r="I199" s="33"/>
    </row>
    <row r="200" spans="1:9" ht="14.4">
      <c r="A200" s="809"/>
      <c r="B200" s="1447" t="s">
        <v>5461</v>
      </c>
      <c r="C200" s="814">
        <v>1</v>
      </c>
      <c r="D200" s="9" t="s">
        <v>343</v>
      </c>
      <c r="E200" s="33">
        <v>230000</v>
      </c>
      <c r="F200" s="33"/>
      <c r="G200" s="810">
        <f t="shared" si="10"/>
        <v>230000</v>
      </c>
      <c r="H200" s="33"/>
      <c r="I200" s="33"/>
    </row>
    <row r="201" spans="1:9" ht="14.4">
      <c r="A201" s="809"/>
      <c r="B201" s="1447" t="s">
        <v>5462</v>
      </c>
      <c r="C201" s="814">
        <v>1</v>
      </c>
      <c r="D201" s="9" t="s">
        <v>343</v>
      </c>
      <c r="E201" s="810">
        <v>6900000</v>
      </c>
      <c r="F201" s="810"/>
      <c r="G201" s="810">
        <f t="shared" si="10"/>
        <v>6900000</v>
      </c>
      <c r="H201" s="810"/>
      <c r="I201" s="810"/>
    </row>
    <row r="202" spans="1:9" ht="16.8">
      <c r="A202" s="809"/>
      <c r="B202" s="1444" t="s">
        <v>5443</v>
      </c>
      <c r="C202" s="814">
        <v>1</v>
      </c>
      <c r="D202" s="160" t="s">
        <v>772</v>
      </c>
      <c r="E202" s="810">
        <v>100000</v>
      </c>
      <c r="F202" s="810"/>
      <c r="G202" s="1425"/>
      <c r="H202" s="810"/>
      <c r="I202" s="810">
        <f>+E202*C202</f>
        <v>100000</v>
      </c>
    </row>
    <row r="203" spans="1:9" ht="14.4">
      <c r="A203" s="1424" t="s">
        <v>190</v>
      </c>
      <c r="B203" s="813">
        <f>SUM(F203:I203)</f>
        <v>33280000</v>
      </c>
      <c r="C203" s="814"/>
      <c r="D203" s="9"/>
      <c r="E203" s="810"/>
      <c r="F203" s="810">
        <f>+SUM(F195:F201)</f>
        <v>0</v>
      </c>
      <c r="G203" s="810">
        <f>+SUM(G195:G201)</f>
        <v>33180000</v>
      </c>
      <c r="H203" s="810"/>
      <c r="I203" s="810">
        <f>+SUM(I202)</f>
        <v>100000</v>
      </c>
    </row>
    <row r="204" spans="1:9" ht="14.4">
      <c r="A204" s="1424" t="s">
        <v>191</v>
      </c>
      <c r="B204" s="813">
        <f>+B203</f>
        <v>33280000</v>
      </c>
      <c r="C204" s="815" t="s">
        <v>133</v>
      </c>
      <c r="D204" s="816"/>
      <c r="E204" s="817"/>
      <c r="F204" s="817"/>
      <c r="G204" s="817"/>
      <c r="H204" s="817"/>
      <c r="I204" s="817"/>
    </row>
    <row r="206" spans="1:9" ht="31.5" customHeight="1">
      <c r="A206" s="1342">
        <v>7.1</v>
      </c>
      <c r="B206" s="3552" t="s">
        <v>5463</v>
      </c>
      <c r="C206" s="3553"/>
      <c r="D206" s="3553"/>
      <c r="E206" s="3553"/>
      <c r="F206" s="3553"/>
      <c r="G206" s="3553"/>
      <c r="H206" s="3553"/>
      <c r="I206" s="3554"/>
    </row>
    <row r="207" spans="1:9" ht="14.4">
      <c r="A207" s="809"/>
      <c r="B207" s="807"/>
      <c r="C207" s="808" t="s">
        <v>140</v>
      </c>
      <c r="D207" s="11" t="s">
        <v>343</v>
      </c>
      <c r="E207" s="33" t="s">
        <v>344</v>
      </c>
      <c r="F207" s="33" t="s">
        <v>482</v>
      </c>
      <c r="G207" s="33" t="s">
        <v>483</v>
      </c>
      <c r="H207" s="33" t="s">
        <v>170</v>
      </c>
      <c r="I207" s="33" t="s">
        <v>171</v>
      </c>
    </row>
    <row r="208" spans="1:9" ht="14.4">
      <c r="A208" s="809" t="s">
        <v>172</v>
      </c>
      <c r="B208" s="807" t="s">
        <v>189</v>
      </c>
      <c r="C208" s="814">
        <v>1</v>
      </c>
      <c r="D208" s="9" t="s">
        <v>583</v>
      </c>
      <c r="E208" s="810">
        <f>+H211*0.05</f>
        <v>1753.7470730000002</v>
      </c>
      <c r="F208" s="810"/>
      <c r="G208" s="810"/>
      <c r="H208" s="810"/>
      <c r="I208" s="810">
        <f>+E208*C208</f>
        <v>1753.7470730000002</v>
      </c>
    </row>
    <row r="209" spans="1:9" ht="14.4">
      <c r="A209" s="809"/>
      <c r="B209" s="811" t="s">
        <v>5104</v>
      </c>
      <c r="C209" s="814">
        <f>1/4</f>
        <v>0.25</v>
      </c>
      <c r="D209" s="9" t="s">
        <v>717</v>
      </c>
      <c r="E209" s="810">
        <v>90000</v>
      </c>
      <c r="F209" s="810"/>
      <c r="G209" s="810"/>
      <c r="H209" s="810">
        <f>+E209*C209</f>
        <v>22500</v>
      </c>
      <c r="I209" s="810"/>
    </row>
    <row r="210" spans="1:9" ht="14.4">
      <c r="A210" s="809" t="s">
        <v>348</v>
      </c>
      <c r="B210" s="807" t="str">
        <f>IF(PRESTA&gt;0,"AYUD. RASO (INCLUYE "&amp;""&amp;PRESTA*100&amp;"% PRESTACIONES)",0)</f>
        <v>AYUD. RASO (INCLUYE 82,22% PRESTACIONES)</v>
      </c>
      <c r="C210" s="814">
        <f>+C209</f>
        <v>0.25</v>
      </c>
      <c r="D210" s="9" t="s">
        <v>346</v>
      </c>
      <c r="E210" s="810">
        <f>+AYUDR</f>
        <v>50299.76584</v>
      </c>
      <c r="F210" s="810"/>
      <c r="G210" s="810"/>
      <c r="H210" s="810">
        <f>+E210*C210</f>
        <v>12574.94146</v>
      </c>
      <c r="I210" s="810"/>
    </row>
    <row r="211" spans="1:9" ht="14.4">
      <c r="A211" s="1424" t="s">
        <v>190</v>
      </c>
      <c r="B211" s="813">
        <f>SUM(F211:I211)</f>
        <v>36828.688533</v>
      </c>
      <c r="C211" s="814"/>
      <c r="D211" s="9"/>
      <c r="E211" s="810"/>
      <c r="F211" s="810">
        <f>+SUM(F208:F210)</f>
        <v>0</v>
      </c>
      <c r="G211" s="810">
        <f>+SUM(G208:G210)</f>
        <v>0</v>
      </c>
      <c r="H211" s="810">
        <f>+SUM(H208:H210)</f>
        <v>35074.941460000002</v>
      </c>
      <c r="I211" s="810">
        <f>+SUM(I208:I210)</f>
        <v>1753.7470730000002</v>
      </c>
    </row>
    <row r="212" spans="1:9" ht="14.4">
      <c r="A212" s="1424" t="s">
        <v>191</v>
      </c>
      <c r="B212" s="813">
        <f>+B211</f>
        <v>36828.688533</v>
      </c>
      <c r="C212" s="815" t="s">
        <v>45</v>
      </c>
      <c r="D212" s="816"/>
      <c r="E212" s="817"/>
      <c r="F212" s="817"/>
      <c r="G212" s="817"/>
      <c r="H212" s="817"/>
      <c r="I212" s="817"/>
    </row>
    <row r="213" spans="1:9" ht="14.4">
      <c r="A213" s="1425"/>
      <c r="B213" s="1425"/>
      <c r="C213" s="1425"/>
      <c r="D213" s="1425"/>
      <c r="E213" s="1425"/>
      <c r="F213" s="1425"/>
      <c r="G213" s="1425"/>
      <c r="H213" s="1425"/>
      <c r="I213" s="1425"/>
    </row>
    <row r="214" spans="1:9" ht="30" customHeight="1">
      <c r="A214" s="1342">
        <v>7.1</v>
      </c>
      <c r="B214" s="3552" t="s">
        <v>5464</v>
      </c>
      <c r="C214" s="3553"/>
      <c r="D214" s="3553"/>
      <c r="E214" s="3553"/>
      <c r="F214" s="3553"/>
      <c r="G214" s="3553"/>
      <c r="H214" s="3553"/>
      <c r="I214" s="3554"/>
    </row>
    <row r="215" spans="1:9" ht="14.4">
      <c r="A215" s="809"/>
      <c r="B215" s="807"/>
      <c r="C215" s="808" t="s">
        <v>140</v>
      </c>
      <c r="D215" s="11" t="s">
        <v>343</v>
      </c>
      <c r="E215" s="33" t="s">
        <v>344</v>
      </c>
      <c r="F215" s="33" t="s">
        <v>482</v>
      </c>
      <c r="G215" s="33" t="s">
        <v>483</v>
      </c>
      <c r="H215" s="33" t="s">
        <v>170</v>
      </c>
      <c r="I215" s="33" t="s">
        <v>171</v>
      </c>
    </row>
    <row r="216" spans="1:9" ht="14.4">
      <c r="A216" s="809"/>
      <c r="B216" s="1418" t="s">
        <v>5453</v>
      </c>
      <c r="C216" s="814">
        <v>1</v>
      </c>
      <c r="D216" s="9" t="s">
        <v>45</v>
      </c>
      <c r="E216" s="33">
        <v>82000</v>
      </c>
      <c r="F216" s="33"/>
      <c r="G216" s="810">
        <f t="shared" ref="G216:G217" si="11">+E216*C216</f>
        <v>82000</v>
      </c>
      <c r="H216" s="33"/>
      <c r="I216" s="33"/>
    </row>
    <row r="217" spans="1:9" ht="14.4">
      <c r="A217" s="809"/>
      <c r="B217" s="1418" t="s">
        <v>5454</v>
      </c>
      <c r="C217" s="814">
        <v>1</v>
      </c>
      <c r="D217" s="9" t="s">
        <v>45</v>
      </c>
      <c r="E217" s="810">
        <v>28000</v>
      </c>
      <c r="F217" s="810"/>
      <c r="G217" s="810">
        <f t="shared" si="11"/>
        <v>28000</v>
      </c>
      <c r="H217" s="810"/>
      <c r="I217" s="810"/>
    </row>
    <row r="218" spans="1:9" ht="16.8">
      <c r="A218" s="809"/>
      <c r="B218" s="1444" t="s">
        <v>5443</v>
      </c>
      <c r="C218" s="814">
        <v>1</v>
      </c>
      <c r="D218" s="160" t="s">
        <v>772</v>
      </c>
      <c r="E218" s="810">
        <v>1000</v>
      </c>
      <c r="F218" s="810"/>
      <c r="G218" s="1425"/>
      <c r="H218" s="810"/>
      <c r="I218" s="810">
        <f>+E218*C218</f>
        <v>1000</v>
      </c>
    </row>
    <row r="219" spans="1:9" ht="14.4">
      <c r="A219" s="1424" t="s">
        <v>190</v>
      </c>
      <c r="B219" s="813">
        <f>SUM(F219:I219)</f>
        <v>111000</v>
      </c>
      <c r="C219" s="814"/>
      <c r="D219" s="9"/>
      <c r="E219" s="810"/>
      <c r="F219" s="810">
        <f>+SUM(F216:F217)</f>
        <v>0</v>
      </c>
      <c r="G219" s="810">
        <f>+SUM(G216:G217)</f>
        <v>110000</v>
      </c>
      <c r="H219" s="810"/>
      <c r="I219" s="810">
        <f>+SUM(I218)</f>
        <v>1000</v>
      </c>
    </row>
    <row r="220" spans="1:9" ht="14.4">
      <c r="A220" s="1424" t="s">
        <v>191</v>
      </c>
      <c r="B220" s="813">
        <f>+B219</f>
        <v>111000</v>
      </c>
      <c r="C220" s="815" t="s">
        <v>45</v>
      </c>
      <c r="D220" s="816"/>
      <c r="E220" s="817"/>
      <c r="F220" s="817"/>
      <c r="G220" s="817"/>
      <c r="H220" s="817"/>
      <c r="I220" s="817"/>
    </row>
    <row r="222" spans="1:9" ht="33" customHeight="1">
      <c r="A222" s="1342">
        <v>8.1</v>
      </c>
      <c r="B222" s="3552" t="s">
        <v>5465</v>
      </c>
      <c r="C222" s="3553"/>
      <c r="D222" s="3553"/>
      <c r="E222" s="3553"/>
      <c r="F222" s="3553"/>
      <c r="G222" s="3553"/>
      <c r="H222" s="3553"/>
      <c r="I222" s="3554"/>
    </row>
    <row r="223" spans="1:9" ht="14.4">
      <c r="A223" s="809"/>
      <c r="B223" s="807"/>
      <c r="C223" s="808" t="s">
        <v>140</v>
      </c>
      <c r="D223" s="11" t="s">
        <v>343</v>
      </c>
      <c r="E223" s="33" t="s">
        <v>344</v>
      </c>
      <c r="F223" s="33" t="s">
        <v>482</v>
      </c>
      <c r="G223" s="33" t="s">
        <v>483</v>
      </c>
      <c r="H223" s="33" t="s">
        <v>170</v>
      </c>
      <c r="I223" s="33" t="s">
        <v>171</v>
      </c>
    </row>
    <row r="224" spans="1:9" ht="14.4">
      <c r="A224" s="809" t="s">
        <v>172</v>
      </c>
      <c r="B224" s="807" t="s">
        <v>189</v>
      </c>
      <c r="C224" s="814">
        <v>1</v>
      </c>
      <c r="D224" s="9" t="s">
        <v>583</v>
      </c>
      <c r="E224" s="810">
        <f>+H227*0.05</f>
        <v>1753.7470730000002</v>
      </c>
      <c r="F224" s="810"/>
      <c r="G224" s="810"/>
      <c r="H224" s="810"/>
      <c r="I224" s="810">
        <f>+E224*C224</f>
        <v>1753.7470730000002</v>
      </c>
    </row>
    <row r="225" spans="1:9" ht="14.4">
      <c r="A225" s="809"/>
      <c r="B225" s="811" t="s">
        <v>5104</v>
      </c>
      <c r="C225" s="814">
        <f>1/4</f>
        <v>0.25</v>
      </c>
      <c r="D225" s="9" t="s">
        <v>717</v>
      </c>
      <c r="E225" s="810">
        <v>90000</v>
      </c>
      <c r="F225" s="810"/>
      <c r="G225" s="810"/>
      <c r="H225" s="810">
        <f>+E225*C225</f>
        <v>22500</v>
      </c>
      <c r="I225" s="810"/>
    </row>
    <row r="226" spans="1:9" ht="14.4">
      <c r="A226" s="809" t="s">
        <v>348</v>
      </c>
      <c r="B226" s="807" t="str">
        <f>IF(PRESTA&gt;0,"AYUD. RASO (INCLUYE "&amp;""&amp;PRESTA*100&amp;"% PRESTACIONES)",0)</f>
        <v>AYUD. RASO (INCLUYE 82,22% PRESTACIONES)</v>
      </c>
      <c r="C226" s="814">
        <f>+C225</f>
        <v>0.25</v>
      </c>
      <c r="D226" s="9" t="s">
        <v>346</v>
      </c>
      <c r="E226" s="810">
        <f>+AYUDR</f>
        <v>50299.76584</v>
      </c>
      <c r="F226" s="810"/>
      <c r="G226" s="810"/>
      <c r="H226" s="810">
        <f>+E226*C226</f>
        <v>12574.94146</v>
      </c>
      <c r="I226" s="810"/>
    </row>
    <row r="227" spans="1:9" ht="14.4">
      <c r="A227" s="1424" t="s">
        <v>190</v>
      </c>
      <c r="B227" s="813">
        <f>SUM(F227:I227)</f>
        <v>36828.688533</v>
      </c>
      <c r="C227" s="814"/>
      <c r="D227" s="9"/>
      <c r="E227" s="810"/>
      <c r="F227" s="810">
        <f>+SUM(F224:F226)</f>
        <v>0</v>
      </c>
      <c r="G227" s="810">
        <f>+SUM(G224:G226)</f>
        <v>0</v>
      </c>
      <c r="H227" s="810">
        <f>+SUM(H224:H226)</f>
        <v>35074.941460000002</v>
      </c>
      <c r="I227" s="810">
        <f>+SUM(I224:I226)</f>
        <v>1753.7470730000002</v>
      </c>
    </row>
    <row r="228" spans="1:9" ht="14.4">
      <c r="A228" s="1424" t="s">
        <v>191</v>
      </c>
      <c r="B228" s="813">
        <f>+B227</f>
        <v>36828.688533</v>
      </c>
      <c r="C228" s="815" t="s">
        <v>45</v>
      </c>
      <c r="D228" s="816"/>
      <c r="E228" s="817"/>
      <c r="F228" s="817"/>
      <c r="G228" s="817"/>
      <c r="H228" s="817"/>
      <c r="I228" s="817"/>
    </row>
    <row r="229" spans="1:9" ht="14.4">
      <c r="A229" s="1425"/>
      <c r="B229" s="1425"/>
      <c r="C229" s="1425"/>
      <c r="D229" s="1425"/>
      <c r="E229" s="1425"/>
      <c r="F229" s="1425"/>
      <c r="G229" s="1425"/>
      <c r="H229" s="1425"/>
      <c r="I229" s="1425"/>
    </row>
    <row r="230" spans="1:9" ht="29.25" customHeight="1">
      <c r="A230" s="1342">
        <v>8.1</v>
      </c>
      <c r="B230" s="3552" t="s">
        <v>5466</v>
      </c>
      <c r="C230" s="3553"/>
      <c r="D230" s="3553"/>
      <c r="E230" s="3553"/>
      <c r="F230" s="3553"/>
      <c r="G230" s="3553"/>
      <c r="H230" s="3553"/>
      <c r="I230" s="3554"/>
    </row>
    <row r="231" spans="1:9" ht="14.4">
      <c r="A231" s="809"/>
      <c r="B231" s="807"/>
      <c r="C231" s="808" t="s">
        <v>140</v>
      </c>
      <c r="D231" s="11" t="s">
        <v>343</v>
      </c>
      <c r="E231" s="33" t="s">
        <v>344</v>
      </c>
      <c r="F231" s="33" t="s">
        <v>482</v>
      </c>
      <c r="G231" s="33" t="s">
        <v>483</v>
      </c>
      <c r="H231" s="33" t="s">
        <v>170</v>
      </c>
      <c r="I231" s="33" t="s">
        <v>171</v>
      </c>
    </row>
    <row r="232" spans="1:9" ht="14.4">
      <c r="A232" s="809"/>
      <c r="B232" s="1418" t="s">
        <v>5453</v>
      </c>
      <c r="C232" s="814">
        <v>1</v>
      </c>
      <c r="D232" s="9" t="s">
        <v>45</v>
      </c>
      <c r="E232" s="33">
        <v>82000</v>
      </c>
      <c r="F232" s="33"/>
      <c r="G232" s="810">
        <f t="shared" ref="G232:G233" si="12">+E232*C232</f>
        <v>82000</v>
      </c>
      <c r="H232" s="33"/>
      <c r="I232" s="33"/>
    </row>
    <row r="233" spans="1:9" ht="14.4">
      <c r="A233" s="809"/>
      <c r="B233" s="1418" t="s">
        <v>5454</v>
      </c>
      <c r="C233" s="814">
        <v>1</v>
      </c>
      <c r="D233" s="9" t="s">
        <v>45</v>
      </c>
      <c r="E233" s="810">
        <v>28000</v>
      </c>
      <c r="F233" s="810"/>
      <c r="G233" s="810">
        <f t="shared" si="12"/>
        <v>28000</v>
      </c>
      <c r="H233" s="810"/>
      <c r="I233" s="810"/>
    </row>
    <row r="234" spans="1:9" ht="16.8">
      <c r="A234" s="809"/>
      <c r="B234" s="1444" t="s">
        <v>5443</v>
      </c>
      <c r="C234" s="814">
        <v>1</v>
      </c>
      <c r="D234" s="160" t="s">
        <v>772</v>
      </c>
      <c r="E234" s="810">
        <v>1000</v>
      </c>
      <c r="F234" s="810"/>
      <c r="G234" s="1425"/>
      <c r="H234" s="810"/>
      <c r="I234" s="810">
        <f>+E234*C234</f>
        <v>1000</v>
      </c>
    </row>
    <row r="235" spans="1:9" ht="14.4">
      <c r="A235" s="1424" t="s">
        <v>190</v>
      </c>
      <c r="B235" s="813">
        <f>SUM(F235:I235)</f>
        <v>111000</v>
      </c>
      <c r="C235" s="814"/>
      <c r="D235" s="9"/>
      <c r="E235" s="810"/>
      <c r="F235" s="810">
        <f>+SUM(F232:F233)</f>
        <v>0</v>
      </c>
      <c r="G235" s="810">
        <f>+SUM(G232:G233)</f>
        <v>110000</v>
      </c>
      <c r="H235" s="810"/>
      <c r="I235" s="810">
        <f>+SUM(I234)</f>
        <v>1000</v>
      </c>
    </row>
    <row r="236" spans="1:9" ht="14.4">
      <c r="A236" s="1424" t="s">
        <v>191</v>
      </c>
      <c r="B236" s="813">
        <f>+B235</f>
        <v>111000</v>
      </c>
      <c r="C236" s="815" t="s">
        <v>45</v>
      </c>
      <c r="D236" s="816"/>
      <c r="E236" s="817"/>
      <c r="F236" s="817"/>
      <c r="G236" s="817"/>
      <c r="H236" s="817"/>
      <c r="I236" s="817"/>
    </row>
    <row r="238" spans="1:9" ht="14.4">
      <c r="A238" s="1342">
        <v>8.1999999999999993</v>
      </c>
      <c r="B238" s="3552" t="s">
        <v>5467</v>
      </c>
      <c r="C238" s="3553"/>
      <c r="D238" s="3553"/>
      <c r="E238" s="3553"/>
      <c r="F238" s="3553"/>
      <c r="G238" s="3553"/>
      <c r="H238" s="3553"/>
      <c r="I238" s="3554"/>
    </row>
    <row r="239" spans="1:9" ht="14.4">
      <c r="A239" s="809"/>
      <c r="B239" s="807"/>
      <c r="C239" s="808" t="s">
        <v>140</v>
      </c>
      <c r="D239" s="11" t="s">
        <v>343</v>
      </c>
      <c r="E239" s="33" t="s">
        <v>344</v>
      </c>
      <c r="F239" s="33" t="s">
        <v>482</v>
      </c>
      <c r="G239" s="33" t="s">
        <v>483</v>
      </c>
      <c r="H239" s="33" t="s">
        <v>170</v>
      </c>
      <c r="I239" s="33" t="s">
        <v>171</v>
      </c>
    </row>
    <row r="240" spans="1:9" ht="14.4">
      <c r="A240" s="809" t="s">
        <v>172</v>
      </c>
      <c r="B240" s="807" t="s">
        <v>189</v>
      </c>
      <c r="C240" s="814">
        <v>1</v>
      </c>
      <c r="D240" s="9" t="s">
        <v>583</v>
      </c>
      <c r="E240" s="810">
        <f>+H243*0.05</f>
        <v>1753.7470730000002</v>
      </c>
      <c r="F240" s="810"/>
      <c r="G240" s="810"/>
      <c r="H240" s="810"/>
      <c r="I240" s="810">
        <f>+E240*C240</f>
        <v>1753.7470730000002</v>
      </c>
    </row>
    <row r="241" spans="1:9" ht="14.4">
      <c r="A241" s="809"/>
      <c r="B241" s="811" t="s">
        <v>5104</v>
      </c>
      <c r="C241" s="814">
        <f>1/4</f>
        <v>0.25</v>
      </c>
      <c r="D241" s="9" t="s">
        <v>717</v>
      </c>
      <c r="E241" s="810">
        <v>90000</v>
      </c>
      <c r="F241" s="810"/>
      <c r="G241" s="810"/>
      <c r="H241" s="810">
        <f>+E241*C241</f>
        <v>22500</v>
      </c>
      <c r="I241" s="810"/>
    </row>
    <row r="242" spans="1:9" ht="14.4">
      <c r="A242" s="809" t="s">
        <v>348</v>
      </c>
      <c r="B242" s="807" t="str">
        <f>IF(PRESTA&gt;0,"AYUD. RASO (INCLUYE "&amp;""&amp;PRESTA*100&amp;"% PRESTACIONES)",0)</f>
        <v>AYUD. RASO (INCLUYE 82,22% PRESTACIONES)</v>
      </c>
      <c r="C242" s="814">
        <f>+C241</f>
        <v>0.25</v>
      </c>
      <c r="D242" s="9" t="s">
        <v>346</v>
      </c>
      <c r="E242" s="810">
        <f>+AYUDR</f>
        <v>50299.76584</v>
      </c>
      <c r="F242" s="810"/>
      <c r="G242" s="810"/>
      <c r="H242" s="810">
        <f>+E242*C242</f>
        <v>12574.94146</v>
      </c>
      <c r="I242" s="810"/>
    </row>
    <row r="243" spans="1:9" ht="14.4">
      <c r="A243" s="1424" t="s">
        <v>190</v>
      </c>
      <c r="B243" s="813">
        <f>SUM(F243:I243)</f>
        <v>36828.688533</v>
      </c>
      <c r="C243" s="814"/>
      <c r="D243" s="9"/>
      <c r="E243" s="810"/>
      <c r="F243" s="810">
        <f>+SUM(F240:F242)</f>
        <v>0</v>
      </c>
      <c r="G243" s="810">
        <f>+SUM(G240:G242)</f>
        <v>0</v>
      </c>
      <c r="H243" s="810">
        <f>+SUM(H240:H242)</f>
        <v>35074.941460000002</v>
      </c>
      <c r="I243" s="810">
        <f>+SUM(I240:I242)</f>
        <v>1753.7470730000002</v>
      </c>
    </row>
    <row r="244" spans="1:9" ht="14.4">
      <c r="A244" s="1424" t="s">
        <v>191</v>
      </c>
      <c r="B244" s="813">
        <f>+B243</f>
        <v>36828.688533</v>
      </c>
      <c r="C244" s="815" t="s">
        <v>45</v>
      </c>
      <c r="D244" s="816"/>
      <c r="E244" s="817"/>
      <c r="F244" s="817"/>
      <c r="G244" s="817"/>
      <c r="H244" s="817"/>
      <c r="I244" s="817"/>
    </row>
    <row r="245" spans="1:9" ht="14.4">
      <c r="A245" s="1425"/>
      <c r="B245" s="1425"/>
      <c r="C245" s="1425"/>
      <c r="D245" s="1425"/>
      <c r="E245" s="1425"/>
      <c r="F245" s="1425"/>
      <c r="G245" s="1425"/>
      <c r="H245" s="1425"/>
      <c r="I245" s="1425"/>
    </row>
    <row r="246" spans="1:9" ht="14.4">
      <c r="A246" s="1342">
        <v>8.1999999999999993</v>
      </c>
      <c r="B246" s="3552" t="s">
        <v>5468</v>
      </c>
      <c r="C246" s="3553"/>
      <c r="D246" s="3553"/>
      <c r="E246" s="3553"/>
      <c r="F246" s="3553"/>
      <c r="G246" s="3553"/>
      <c r="H246" s="3553"/>
      <c r="I246" s="3554"/>
    </row>
    <row r="247" spans="1:9" ht="14.4">
      <c r="A247" s="809"/>
      <c r="B247" s="807"/>
      <c r="C247" s="808" t="s">
        <v>140</v>
      </c>
      <c r="D247" s="11" t="s">
        <v>343</v>
      </c>
      <c r="E247" s="33" t="s">
        <v>344</v>
      </c>
      <c r="F247" s="33" t="s">
        <v>482</v>
      </c>
      <c r="G247" s="33" t="s">
        <v>483</v>
      </c>
      <c r="H247" s="33" t="s">
        <v>170</v>
      </c>
      <c r="I247" s="33" t="s">
        <v>171</v>
      </c>
    </row>
    <row r="248" spans="1:9" ht="14.4">
      <c r="A248" s="809"/>
      <c r="B248" s="1418" t="s">
        <v>5469</v>
      </c>
      <c r="C248" s="814">
        <v>1</v>
      </c>
      <c r="D248" s="9" t="s">
        <v>45</v>
      </c>
      <c r="E248" s="33">
        <v>110000</v>
      </c>
      <c r="F248" s="33"/>
      <c r="G248" s="810">
        <f t="shared" ref="G248" si="13">+E248*C248</f>
        <v>110000</v>
      </c>
      <c r="H248" s="33"/>
      <c r="I248" s="33"/>
    </row>
    <row r="249" spans="1:9" ht="16.8">
      <c r="A249" s="809"/>
      <c r="B249" s="1444" t="s">
        <v>5443</v>
      </c>
      <c r="C249" s="814">
        <v>1</v>
      </c>
      <c r="D249" s="160" t="s">
        <v>772</v>
      </c>
      <c r="E249" s="810">
        <v>1000</v>
      </c>
      <c r="F249" s="810"/>
      <c r="G249" s="1425"/>
      <c r="H249" s="810"/>
      <c r="I249" s="810">
        <f>+E249*C249</f>
        <v>1000</v>
      </c>
    </row>
    <row r="250" spans="1:9" ht="14.4">
      <c r="A250" s="1424" t="s">
        <v>190</v>
      </c>
      <c r="B250" s="813">
        <f>SUM(F250:I250)</f>
        <v>111000</v>
      </c>
      <c r="C250" s="814"/>
      <c r="D250" s="9"/>
      <c r="E250" s="810"/>
      <c r="F250" s="810">
        <f>+SUM(F248:F248)</f>
        <v>0</v>
      </c>
      <c r="G250" s="810">
        <f>+SUM(G248:G248)</f>
        <v>110000</v>
      </c>
      <c r="H250" s="810"/>
      <c r="I250" s="810">
        <f>+SUM(I249)</f>
        <v>1000</v>
      </c>
    </row>
    <row r="251" spans="1:9" ht="14.4">
      <c r="A251" s="1424" t="s">
        <v>191</v>
      </c>
      <c r="B251" s="813">
        <f>+B250</f>
        <v>111000</v>
      </c>
      <c r="C251" s="815" t="s">
        <v>45</v>
      </c>
      <c r="D251" s="816"/>
      <c r="E251" s="817"/>
      <c r="F251" s="817"/>
      <c r="G251" s="817"/>
      <c r="H251" s="817"/>
      <c r="I251" s="817"/>
    </row>
    <row r="253" spans="1:9" ht="14.4">
      <c r="A253" s="1342">
        <v>9.1</v>
      </c>
      <c r="B253" s="3552" t="s">
        <v>5470</v>
      </c>
      <c r="C253" s="3553"/>
      <c r="D253" s="3553"/>
      <c r="E253" s="3553"/>
      <c r="F253" s="3553"/>
      <c r="G253" s="3553"/>
      <c r="H253" s="3553"/>
      <c r="I253" s="3554"/>
    </row>
    <row r="254" spans="1:9" ht="14.4">
      <c r="A254" s="809"/>
      <c r="B254" s="807"/>
      <c r="C254" s="808" t="s">
        <v>140</v>
      </c>
      <c r="D254" s="11" t="s">
        <v>343</v>
      </c>
      <c r="E254" s="33" t="s">
        <v>344</v>
      </c>
      <c r="F254" s="33" t="s">
        <v>482</v>
      </c>
      <c r="G254" s="33" t="s">
        <v>483</v>
      </c>
      <c r="H254" s="33" t="s">
        <v>170</v>
      </c>
      <c r="I254" s="33" t="s">
        <v>171</v>
      </c>
    </row>
    <row r="255" spans="1:9" ht="14.4">
      <c r="A255" s="809" t="s">
        <v>172</v>
      </c>
      <c r="B255" s="807" t="s">
        <v>189</v>
      </c>
      <c r="C255" s="814">
        <v>1</v>
      </c>
      <c r="D255" s="9" t="s">
        <v>583</v>
      </c>
      <c r="E255" s="810">
        <f>+H259*0.05</f>
        <v>100214.11845714285</v>
      </c>
      <c r="F255" s="810"/>
      <c r="G255" s="810"/>
      <c r="H255" s="810"/>
      <c r="I255" s="810">
        <f>+E255*C255</f>
        <v>100214.11845714285</v>
      </c>
    </row>
    <row r="256" spans="1:9" ht="14.4">
      <c r="A256" s="809" t="s">
        <v>5401</v>
      </c>
      <c r="B256" s="807" t="s">
        <v>5401</v>
      </c>
      <c r="C256" s="814">
        <f>1/0.425</f>
        <v>2.3529411764705883</v>
      </c>
      <c r="D256" s="9" t="s">
        <v>5472</v>
      </c>
      <c r="E256" s="810">
        <f>+GRUA</f>
        <v>150000</v>
      </c>
      <c r="F256" s="810">
        <f>+E256*C256</f>
        <v>352941.17647058825</v>
      </c>
      <c r="G256" s="810"/>
      <c r="H256" s="810"/>
      <c r="I256" s="810"/>
    </row>
    <row r="257" spans="1:9" ht="14.4">
      <c r="A257" s="809"/>
      <c r="B257" s="811" t="s">
        <v>5296</v>
      </c>
      <c r="C257" s="814">
        <f>1/0.07</f>
        <v>14.285714285714285</v>
      </c>
      <c r="D257" s="9" t="s">
        <v>717</v>
      </c>
      <c r="E257" s="810">
        <v>90000</v>
      </c>
      <c r="F257" s="810"/>
      <c r="G257" s="810"/>
      <c r="H257" s="810">
        <f>+E257*C257</f>
        <v>1285714.2857142857</v>
      </c>
      <c r="I257" s="810"/>
    </row>
    <row r="258" spans="1:9" ht="14.4">
      <c r="A258" s="809" t="s">
        <v>348</v>
      </c>
      <c r="B258" s="807" t="str">
        <f>IF(PRESTA&gt;0,"AYUD. RASO (INCLUYE "&amp;""&amp;PRESTA*100&amp;"% PRESTACIONES)",0)</f>
        <v>AYUD. RASO (INCLUYE 82,22% PRESTACIONES)</v>
      </c>
      <c r="C258" s="814">
        <f>+C257</f>
        <v>14.285714285714285</v>
      </c>
      <c r="D258" s="9" t="s">
        <v>346</v>
      </c>
      <c r="E258" s="810">
        <f>+AYUDR</f>
        <v>50299.76584</v>
      </c>
      <c r="F258" s="810"/>
      <c r="G258" s="810"/>
      <c r="H258" s="810">
        <f>+E258*C258</f>
        <v>718568.08342857135</v>
      </c>
      <c r="I258" s="810"/>
    </row>
    <row r="259" spans="1:9" ht="14.4">
      <c r="A259" s="1424" t="s">
        <v>190</v>
      </c>
      <c r="B259" s="813">
        <f>SUM(F259:I259)</f>
        <v>2457437.6640705881</v>
      </c>
      <c r="C259" s="814"/>
      <c r="D259" s="9"/>
      <c r="E259" s="810"/>
      <c r="F259" s="810">
        <f>+SUM(F255:F258)</f>
        <v>352941.17647058825</v>
      </c>
      <c r="G259" s="810">
        <f>+SUM(G255:G258)</f>
        <v>0</v>
      </c>
      <c r="H259" s="810">
        <f>+SUM(H255:H258)</f>
        <v>2004282.3691428569</v>
      </c>
      <c r="I259" s="810">
        <f>+SUM(I255:I258)</f>
        <v>100214.11845714285</v>
      </c>
    </row>
    <row r="260" spans="1:9" ht="14.4">
      <c r="A260" s="1424" t="s">
        <v>191</v>
      </c>
      <c r="B260" s="813">
        <f>+B259</f>
        <v>2457437.6640705881</v>
      </c>
      <c r="C260" s="815" t="s">
        <v>427</v>
      </c>
      <c r="D260" s="816"/>
      <c r="E260" s="817"/>
      <c r="F260" s="817"/>
      <c r="G260" s="817"/>
      <c r="H260" s="817"/>
      <c r="I260" s="817"/>
    </row>
    <row r="261" spans="1:9" ht="14.4">
      <c r="A261" s="1425"/>
      <c r="B261" s="1425"/>
      <c r="C261" s="1425"/>
      <c r="D261" s="1425"/>
      <c r="E261" s="1425"/>
      <c r="F261" s="1425"/>
      <c r="G261" s="1425"/>
      <c r="H261" s="1425"/>
      <c r="I261" s="1425"/>
    </row>
    <row r="262" spans="1:9" ht="14.4">
      <c r="A262" s="1342">
        <v>9.1</v>
      </c>
      <c r="B262" s="3552" t="s">
        <v>5471</v>
      </c>
      <c r="C262" s="3553"/>
      <c r="D262" s="3553"/>
      <c r="E262" s="3553"/>
      <c r="F262" s="3553"/>
      <c r="G262" s="3553"/>
      <c r="H262" s="3553"/>
      <c r="I262" s="3554"/>
    </row>
    <row r="263" spans="1:9" ht="14.4">
      <c r="A263" s="809"/>
      <c r="B263" s="807"/>
      <c r="C263" s="808" t="s">
        <v>140</v>
      </c>
      <c r="D263" s="11" t="s">
        <v>343</v>
      </c>
      <c r="E263" s="33" t="s">
        <v>344</v>
      </c>
      <c r="F263" s="33" t="s">
        <v>482</v>
      </c>
      <c r="G263" s="33" t="s">
        <v>483</v>
      </c>
      <c r="H263" s="33" t="s">
        <v>170</v>
      </c>
      <c r="I263" s="33" t="s">
        <v>171</v>
      </c>
    </row>
    <row r="264" spans="1:9" ht="52.5" customHeight="1">
      <c r="A264" s="809"/>
      <c r="B264" s="1447" t="s">
        <v>5473</v>
      </c>
      <c r="C264" s="814">
        <v>1</v>
      </c>
      <c r="D264" s="9" t="s">
        <v>427</v>
      </c>
      <c r="E264" s="33">
        <v>190000000</v>
      </c>
      <c r="F264" s="33"/>
      <c r="G264" s="810">
        <f t="shared" ref="G264" si="14">+E264*C264</f>
        <v>190000000</v>
      </c>
      <c r="H264" s="33"/>
      <c r="I264" s="33"/>
    </row>
    <row r="265" spans="1:9" ht="16.8">
      <c r="A265" s="809"/>
      <c r="B265" s="1444" t="s">
        <v>5474</v>
      </c>
      <c r="C265" s="814">
        <v>1</v>
      </c>
      <c r="D265" s="160" t="s">
        <v>772</v>
      </c>
      <c r="E265" s="810">
        <v>650000</v>
      </c>
      <c r="F265" s="810"/>
      <c r="G265" s="1425"/>
      <c r="H265" s="810"/>
      <c r="I265" s="810">
        <f>+E265*C265</f>
        <v>650000</v>
      </c>
    </row>
    <row r="266" spans="1:9" ht="14.4">
      <c r="A266" s="1424" t="s">
        <v>190</v>
      </c>
      <c r="B266" s="813">
        <f>SUM(F266:I266)</f>
        <v>190650000</v>
      </c>
      <c r="C266" s="814"/>
      <c r="D266" s="9"/>
      <c r="E266" s="810"/>
      <c r="F266" s="810">
        <f>+SUM(F264:F264)</f>
        <v>0</v>
      </c>
      <c r="G266" s="810">
        <f>+SUM(G264:G264)</f>
        <v>190000000</v>
      </c>
      <c r="H266" s="810"/>
      <c r="I266" s="810">
        <f>+SUM(I265)</f>
        <v>650000</v>
      </c>
    </row>
    <row r="267" spans="1:9" ht="14.4">
      <c r="A267" s="1424" t="s">
        <v>191</v>
      </c>
      <c r="B267" s="813">
        <f>+B266</f>
        <v>190650000</v>
      </c>
      <c r="C267" s="815" t="s">
        <v>427</v>
      </c>
      <c r="D267" s="816"/>
      <c r="E267" s="817"/>
      <c r="F267" s="817"/>
      <c r="G267" s="817"/>
      <c r="H267" s="817"/>
      <c r="I267" s="817"/>
    </row>
    <row r="269" spans="1:9" ht="14.4">
      <c r="A269" s="1342">
        <v>10.1</v>
      </c>
      <c r="B269" s="3552" t="s">
        <v>5456</v>
      </c>
      <c r="C269" s="3553"/>
      <c r="D269" s="3553"/>
      <c r="E269" s="3553"/>
      <c r="F269" s="3553"/>
      <c r="G269" s="3553"/>
      <c r="H269" s="3553"/>
      <c r="I269" s="3554"/>
    </row>
    <row r="270" spans="1:9" ht="14.4">
      <c r="A270" s="809"/>
      <c r="B270" s="807"/>
      <c r="C270" s="808" t="s">
        <v>140</v>
      </c>
      <c r="D270" s="11" t="s">
        <v>343</v>
      </c>
      <c r="E270" s="33" t="s">
        <v>344</v>
      </c>
      <c r="F270" s="33" t="s">
        <v>482</v>
      </c>
      <c r="G270" s="33" t="s">
        <v>483</v>
      </c>
      <c r="H270" s="33" t="s">
        <v>170</v>
      </c>
      <c r="I270" s="33" t="s">
        <v>171</v>
      </c>
    </row>
    <row r="271" spans="1:9" ht="14.4">
      <c r="A271" s="809" t="s">
        <v>172</v>
      </c>
      <c r="B271" s="807" t="s">
        <v>189</v>
      </c>
      <c r="C271" s="814">
        <v>1</v>
      </c>
      <c r="D271" s="9" t="s">
        <v>583</v>
      </c>
      <c r="E271" s="810">
        <f>+H274*0.05</f>
        <v>116916.47153333333</v>
      </c>
      <c r="F271" s="810"/>
      <c r="G271" s="810"/>
      <c r="H271" s="810"/>
      <c r="I271" s="810">
        <f>+E271*C271</f>
        <v>116916.47153333333</v>
      </c>
    </row>
    <row r="272" spans="1:9" ht="14.4">
      <c r="A272" s="809"/>
      <c r="B272" s="811" t="s">
        <v>5104</v>
      </c>
      <c r="C272" s="814">
        <f>1/0.06</f>
        <v>16.666666666666668</v>
      </c>
      <c r="D272" s="9" t="s">
        <v>717</v>
      </c>
      <c r="E272" s="810">
        <v>90000</v>
      </c>
      <c r="F272" s="810"/>
      <c r="G272" s="810"/>
      <c r="H272" s="810">
        <f>+E272*C272</f>
        <v>1500000</v>
      </c>
      <c r="I272" s="810"/>
    </row>
    <row r="273" spans="1:9" ht="14.4">
      <c r="A273" s="809" t="s">
        <v>348</v>
      </c>
      <c r="B273" s="807" t="str">
        <f>IF(PRESTA&gt;0,"AYUD. RASO (INCLUYE "&amp;""&amp;PRESTA*100&amp;"% PRESTACIONES)",0)</f>
        <v>AYUD. RASO (INCLUYE 82,22% PRESTACIONES)</v>
      </c>
      <c r="C273" s="814">
        <f>+C272</f>
        <v>16.666666666666668</v>
      </c>
      <c r="D273" s="9" t="s">
        <v>346</v>
      </c>
      <c r="E273" s="810">
        <f>+AYUDR</f>
        <v>50299.76584</v>
      </c>
      <c r="F273" s="810"/>
      <c r="G273" s="810"/>
      <c r="H273" s="810">
        <f>+E273*C273</f>
        <v>838329.43066666671</v>
      </c>
      <c r="I273" s="810"/>
    </row>
    <row r="274" spans="1:9" ht="14.4">
      <c r="A274" s="1424" t="s">
        <v>190</v>
      </c>
      <c r="B274" s="813">
        <f>SUM(F274:I274)</f>
        <v>2455245.9021999999</v>
      </c>
      <c r="C274" s="814"/>
      <c r="D274" s="9"/>
      <c r="E274" s="810"/>
      <c r="F274" s="810">
        <f>+SUM(F271:F273)</f>
        <v>0</v>
      </c>
      <c r="G274" s="810">
        <f>+SUM(G271:G273)</f>
        <v>0</v>
      </c>
      <c r="H274" s="810">
        <f>+SUM(H271:H273)</f>
        <v>2338329.4306666665</v>
      </c>
      <c r="I274" s="810">
        <f>+SUM(I271:I273)</f>
        <v>116916.47153333333</v>
      </c>
    </row>
    <row r="275" spans="1:9" ht="14.4">
      <c r="A275" s="1424" t="s">
        <v>191</v>
      </c>
      <c r="B275" s="813">
        <f>+B274</f>
        <v>2455245.9021999999</v>
      </c>
      <c r="C275" s="815" t="s">
        <v>133</v>
      </c>
      <c r="D275" s="816"/>
      <c r="E275" s="817"/>
      <c r="F275" s="817"/>
      <c r="G275" s="817"/>
      <c r="H275" s="817"/>
      <c r="I275" s="817"/>
    </row>
    <row r="276" spans="1:9" ht="14.4">
      <c r="A276" s="1425"/>
      <c r="B276" s="1425"/>
      <c r="C276" s="1425"/>
      <c r="D276" s="1425"/>
      <c r="E276" s="1425"/>
      <c r="F276" s="1425"/>
      <c r="G276" s="1425"/>
      <c r="H276" s="1425"/>
      <c r="I276" s="1425"/>
    </row>
    <row r="277" spans="1:9" ht="14.4">
      <c r="A277" s="1342">
        <v>10.1</v>
      </c>
      <c r="B277" s="3552" t="s">
        <v>5457</v>
      </c>
      <c r="C277" s="3553"/>
      <c r="D277" s="3553"/>
      <c r="E277" s="3553"/>
      <c r="F277" s="3553"/>
      <c r="G277" s="3553"/>
      <c r="H277" s="3553"/>
      <c r="I277" s="3554"/>
    </row>
    <row r="278" spans="1:9" ht="14.4">
      <c r="A278" s="809"/>
      <c r="B278" s="807"/>
      <c r="C278" s="808" t="s">
        <v>140</v>
      </c>
      <c r="D278" s="11" t="s">
        <v>343</v>
      </c>
      <c r="E278" s="33" t="s">
        <v>344</v>
      </c>
      <c r="F278" s="33" t="s">
        <v>482</v>
      </c>
      <c r="G278" s="33" t="s">
        <v>483</v>
      </c>
      <c r="H278" s="33" t="s">
        <v>170</v>
      </c>
      <c r="I278" s="33" t="s">
        <v>171</v>
      </c>
    </row>
    <row r="279" spans="1:9" ht="63" customHeight="1">
      <c r="A279" s="809"/>
      <c r="B279" s="1448" t="s">
        <v>5475</v>
      </c>
      <c r="C279" s="808">
        <v>4</v>
      </c>
      <c r="D279" s="11" t="s">
        <v>5481</v>
      </c>
      <c r="E279" s="33">
        <v>1450000</v>
      </c>
      <c r="F279" s="33"/>
      <c r="G279" s="33">
        <f>+E279*C279</f>
        <v>5800000</v>
      </c>
      <c r="H279" s="33"/>
      <c r="I279" s="33"/>
    </row>
    <row r="280" spans="1:9" ht="14.4">
      <c r="A280" s="809"/>
      <c r="B280" s="1451" t="s">
        <v>5476</v>
      </c>
      <c r="C280" s="808">
        <v>1</v>
      </c>
      <c r="D280" s="11" t="s">
        <v>5482</v>
      </c>
      <c r="E280" s="33">
        <v>350000</v>
      </c>
      <c r="F280" s="33"/>
      <c r="G280" s="33">
        <f t="shared" ref="G280:G299" si="15">+E280*C280</f>
        <v>350000</v>
      </c>
      <c r="H280" s="33"/>
      <c r="I280" s="33"/>
    </row>
    <row r="281" spans="1:9" ht="14.4">
      <c r="A281" s="809"/>
      <c r="B281" s="1451" t="s">
        <v>5477</v>
      </c>
      <c r="C281" s="808">
        <v>1</v>
      </c>
      <c r="D281" s="11" t="s">
        <v>343</v>
      </c>
      <c r="E281" s="33">
        <v>6900000</v>
      </c>
      <c r="F281" s="33"/>
      <c r="G281" s="33">
        <f t="shared" si="15"/>
        <v>6900000</v>
      </c>
      <c r="H281" s="33"/>
      <c r="I281" s="33"/>
    </row>
    <row r="282" spans="1:9" ht="14.4">
      <c r="A282" s="809"/>
      <c r="B282" s="1451" t="s">
        <v>5270</v>
      </c>
      <c r="C282" s="808">
        <v>1</v>
      </c>
      <c r="D282" s="11" t="s">
        <v>343</v>
      </c>
      <c r="E282" s="33">
        <v>3320000</v>
      </c>
      <c r="F282" s="33"/>
      <c r="G282" s="33">
        <f t="shared" si="15"/>
        <v>3320000</v>
      </c>
      <c r="H282" s="33"/>
      <c r="I282" s="33"/>
    </row>
    <row r="283" spans="1:9" ht="14.4">
      <c r="A283" s="809"/>
      <c r="B283" s="1451" t="s">
        <v>5271</v>
      </c>
      <c r="C283" s="808">
        <v>1</v>
      </c>
      <c r="D283" s="11" t="s">
        <v>343</v>
      </c>
      <c r="E283" s="33">
        <v>650000</v>
      </c>
      <c r="F283" s="33"/>
      <c r="G283" s="33">
        <f t="shared" si="15"/>
        <v>650000</v>
      </c>
      <c r="H283" s="33"/>
      <c r="I283" s="33"/>
    </row>
    <row r="284" spans="1:9" ht="14.4">
      <c r="A284" s="809"/>
      <c r="B284" s="1451" t="s">
        <v>5272</v>
      </c>
      <c r="C284" s="808">
        <v>1</v>
      </c>
      <c r="D284" s="11" t="s">
        <v>343</v>
      </c>
      <c r="E284" s="33">
        <v>3200000</v>
      </c>
      <c r="F284" s="33"/>
      <c r="G284" s="33">
        <f t="shared" si="15"/>
        <v>3200000</v>
      </c>
      <c r="H284" s="33"/>
      <c r="I284" s="33"/>
    </row>
    <row r="285" spans="1:9" ht="14.4">
      <c r="A285" s="809"/>
      <c r="B285" s="1451" t="s">
        <v>5478</v>
      </c>
      <c r="C285" s="814">
        <v>3</v>
      </c>
      <c r="D285" s="11" t="s">
        <v>343</v>
      </c>
      <c r="E285" s="33">
        <v>1940000</v>
      </c>
      <c r="F285" s="33"/>
      <c r="G285" s="33">
        <f t="shared" si="15"/>
        <v>5820000</v>
      </c>
      <c r="H285" s="33"/>
      <c r="I285" s="33"/>
    </row>
    <row r="286" spans="1:9" ht="30" customHeight="1">
      <c r="A286" s="809"/>
      <c r="B286" s="1447" t="s">
        <v>5479</v>
      </c>
      <c r="C286" s="814">
        <v>3</v>
      </c>
      <c r="D286" s="11" t="s">
        <v>343</v>
      </c>
      <c r="E286" s="33">
        <v>35000000</v>
      </c>
      <c r="F286" s="33"/>
      <c r="G286" s="33">
        <f t="shared" si="15"/>
        <v>105000000</v>
      </c>
      <c r="H286" s="33"/>
      <c r="I286" s="33"/>
    </row>
    <row r="287" spans="1:9" ht="15" customHeight="1">
      <c r="A287" s="809"/>
      <c r="B287" s="1451" t="s">
        <v>5279</v>
      </c>
      <c r="C287" s="814">
        <v>3</v>
      </c>
      <c r="D287" s="11" t="s">
        <v>343</v>
      </c>
      <c r="E287" s="33">
        <v>65000</v>
      </c>
      <c r="F287" s="33"/>
      <c r="G287" s="33">
        <f t="shared" si="15"/>
        <v>195000</v>
      </c>
      <c r="H287" s="33"/>
      <c r="I287" s="33"/>
    </row>
    <row r="288" spans="1:9" ht="15" customHeight="1">
      <c r="A288" s="809"/>
      <c r="B288" s="1451" t="s">
        <v>5480</v>
      </c>
      <c r="C288" s="814">
        <v>3</v>
      </c>
      <c r="D288" s="11" t="s">
        <v>343</v>
      </c>
      <c r="E288" s="33">
        <v>175000</v>
      </c>
      <c r="F288" s="33"/>
      <c r="G288" s="33">
        <f t="shared" si="15"/>
        <v>525000</v>
      </c>
      <c r="H288" s="33"/>
      <c r="I288" s="33"/>
    </row>
    <row r="289" spans="1:9" ht="15" customHeight="1">
      <c r="A289" s="809"/>
      <c r="B289" s="1451" t="s">
        <v>5281</v>
      </c>
      <c r="C289" s="814">
        <v>9</v>
      </c>
      <c r="D289" s="11" t="s">
        <v>343</v>
      </c>
      <c r="E289" s="33">
        <v>65000</v>
      </c>
      <c r="F289" s="33"/>
      <c r="G289" s="33">
        <f t="shared" si="15"/>
        <v>585000</v>
      </c>
      <c r="H289" s="33"/>
      <c r="I289" s="33"/>
    </row>
    <row r="290" spans="1:9" ht="15" customHeight="1">
      <c r="A290" s="809"/>
      <c r="B290" s="1451" t="s">
        <v>5282</v>
      </c>
      <c r="C290" s="814">
        <v>3</v>
      </c>
      <c r="D290" s="11" t="s">
        <v>343</v>
      </c>
      <c r="E290" s="33">
        <v>290000</v>
      </c>
      <c r="F290" s="33"/>
      <c r="G290" s="33">
        <f t="shared" si="15"/>
        <v>870000</v>
      </c>
      <c r="H290" s="33"/>
      <c r="I290" s="33"/>
    </row>
    <row r="291" spans="1:9" ht="15" customHeight="1">
      <c r="A291" s="809"/>
      <c r="B291" s="1451" t="s">
        <v>5283</v>
      </c>
      <c r="C291" s="814">
        <v>3</v>
      </c>
      <c r="D291" s="11" t="s">
        <v>343</v>
      </c>
      <c r="E291" s="33">
        <v>92000</v>
      </c>
      <c r="F291" s="33"/>
      <c r="G291" s="33">
        <f t="shared" si="15"/>
        <v>276000</v>
      </c>
      <c r="H291" s="33"/>
      <c r="I291" s="33"/>
    </row>
    <row r="292" spans="1:9" ht="15" customHeight="1">
      <c r="A292" s="809"/>
      <c r="B292" s="1451" t="s">
        <v>5284</v>
      </c>
      <c r="C292" s="814">
        <v>3</v>
      </c>
      <c r="D292" s="11" t="s">
        <v>343</v>
      </c>
      <c r="E292" s="33">
        <v>22000</v>
      </c>
      <c r="F292" s="33"/>
      <c r="G292" s="33">
        <f t="shared" si="15"/>
        <v>66000</v>
      </c>
      <c r="H292" s="33"/>
      <c r="I292" s="33"/>
    </row>
    <row r="293" spans="1:9" ht="14.4">
      <c r="A293" s="809"/>
      <c r="B293" s="1451" t="s">
        <v>5285</v>
      </c>
      <c r="C293" s="814">
        <v>3</v>
      </c>
      <c r="D293" s="11" t="s">
        <v>343</v>
      </c>
      <c r="E293" s="33">
        <v>22000</v>
      </c>
      <c r="F293" s="33"/>
      <c r="G293" s="33">
        <f t="shared" si="15"/>
        <v>66000</v>
      </c>
      <c r="H293" s="33"/>
      <c r="I293" s="33"/>
    </row>
    <row r="294" spans="1:9" ht="14.4">
      <c r="A294" s="809"/>
      <c r="B294" s="1451" t="s">
        <v>5286</v>
      </c>
      <c r="C294" s="814">
        <v>2</v>
      </c>
      <c r="D294" s="11" t="s">
        <v>343</v>
      </c>
      <c r="E294" s="33">
        <v>95000</v>
      </c>
      <c r="F294" s="33"/>
      <c r="G294" s="33">
        <f t="shared" si="15"/>
        <v>190000</v>
      </c>
      <c r="H294" s="33"/>
      <c r="I294" s="33"/>
    </row>
    <row r="295" spans="1:9" ht="14.4">
      <c r="A295" s="809"/>
      <c r="B295" s="1451" t="s">
        <v>5287</v>
      </c>
      <c r="C295" s="814">
        <v>6</v>
      </c>
      <c r="D295" s="11" t="s">
        <v>343</v>
      </c>
      <c r="E295" s="33">
        <v>190000</v>
      </c>
      <c r="F295" s="33"/>
      <c r="G295" s="33">
        <f t="shared" si="15"/>
        <v>1140000</v>
      </c>
      <c r="H295" s="33"/>
      <c r="I295" s="33"/>
    </row>
    <row r="296" spans="1:9" ht="14.4">
      <c r="A296" s="809"/>
      <c r="B296" s="1451" t="s">
        <v>5288</v>
      </c>
      <c r="C296" s="814">
        <v>3</v>
      </c>
      <c r="D296" s="11" t="s">
        <v>343</v>
      </c>
      <c r="E296" s="33">
        <v>25000</v>
      </c>
      <c r="F296" s="33"/>
      <c r="G296" s="33">
        <f t="shared" si="15"/>
        <v>75000</v>
      </c>
      <c r="H296" s="33"/>
      <c r="I296" s="33"/>
    </row>
    <row r="297" spans="1:9" ht="14.4">
      <c r="A297" s="809"/>
      <c r="B297" s="1451" t="s">
        <v>5289</v>
      </c>
      <c r="C297" s="814">
        <v>3</v>
      </c>
      <c r="D297" s="11" t="s">
        <v>343</v>
      </c>
      <c r="E297" s="810">
        <v>25000</v>
      </c>
      <c r="F297" s="810"/>
      <c r="G297" s="33">
        <f t="shared" si="15"/>
        <v>75000</v>
      </c>
      <c r="H297" s="810"/>
      <c r="I297" s="810"/>
    </row>
    <row r="298" spans="1:9" ht="14.4">
      <c r="A298" s="809"/>
      <c r="B298" s="1451" t="s">
        <v>5288</v>
      </c>
      <c r="C298" s="814">
        <v>3</v>
      </c>
      <c r="D298" s="11" t="s">
        <v>343</v>
      </c>
      <c r="E298" s="810">
        <v>25000</v>
      </c>
      <c r="F298" s="810"/>
      <c r="G298" s="33">
        <f t="shared" si="15"/>
        <v>75000</v>
      </c>
      <c r="H298" s="810"/>
      <c r="I298" s="810"/>
    </row>
    <row r="299" spans="1:9" ht="14.4">
      <c r="A299" s="809"/>
      <c r="B299" s="1451" t="s">
        <v>5289</v>
      </c>
      <c r="C299" s="814">
        <v>3</v>
      </c>
      <c r="D299" s="11" t="s">
        <v>343</v>
      </c>
      <c r="E299" s="810">
        <v>25000</v>
      </c>
      <c r="F299" s="810"/>
      <c r="G299" s="33">
        <f t="shared" si="15"/>
        <v>75000</v>
      </c>
      <c r="H299" s="810"/>
      <c r="I299" s="810"/>
    </row>
    <row r="300" spans="1:9" ht="16.8">
      <c r="A300" s="809"/>
      <c r="B300" s="1445" t="s">
        <v>5483</v>
      </c>
      <c r="C300" s="814">
        <v>1</v>
      </c>
      <c r="D300" s="160" t="s">
        <v>772</v>
      </c>
      <c r="E300" s="810">
        <v>220000</v>
      </c>
      <c r="F300" s="810"/>
      <c r="G300" s="1425"/>
      <c r="H300" s="810"/>
      <c r="I300" s="810">
        <f>+E300*C300</f>
        <v>220000</v>
      </c>
    </row>
    <row r="301" spans="1:9" ht="14.4">
      <c r="A301" s="1424" t="s">
        <v>190</v>
      </c>
      <c r="B301" s="813">
        <f>SUM(F301:I301)</f>
        <v>135473000</v>
      </c>
      <c r="C301" s="814"/>
      <c r="D301" s="9"/>
      <c r="E301" s="810"/>
      <c r="F301" s="810">
        <f>+SUM(F285:F297)</f>
        <v>0</v>
      </c>
      <c r="G301" s="810">
        <f>+SUM(G279:G299)</f>
        <v>135253000</v>
      </c>
      <c r="H301" s="810"/>
      <c r="I301" s="810">
        <f>+SUM(I300)</f>
        <v>220000</v>
      </c>
    </row>
    <row r="302" spans="1:9" ht="14.4">
      <c r="A302" s="1424" t="s">
        <v>191</v>
      </c>
      <c r="B302" s="813">
        <f>+B301</f>
        <v>135473000</v>
      </c>
      <c r="C302" s="815" t="s">
        <v>133</v>
      </c>
      <c r="D302" s="816"/>
      <c r="E302" s="817"/>
      <c r="F302" s="817"/>
      <c r="G302" s="817"/>
      <c r="H302" s="817"/>
      <c r="I302" s="817"/>
    </row>
    <row r="304" spans="1:9" s="492" customFormat="1" ht="29.25" customHeight="1">
      <c r="A304" s="582">
        <v>11.1</v>
      </c>
      <c r="B304" s="3547" t="s">
        <v>5484</v>
      </c>
      <c r="C304" s="3548"/>
      <c r="D304" s="3548"/>
      <c r="E304" s="3548"/>
      <c r="F304" s="3548"/>
      <c r="G304" s="3548"/>
      <c r="H304" s="3548"/>
      <c r="I304" s="3549"/>
    </row>
    <row r="305" spans="1:9" s="492" customFormat="1" ht="16.8">
      <c r="A305" s="1446"/>
      <c r="B305" s="179"/>
      <c r="C305" s="583" t="s">
        <v>140</v>
      </c>
      <c r="D305" s="1446" t="s">
        <v>343</v>
      </c>
      <c r="E305" s="585" t="s">
        <v>344</v>
      </c>
      <c r="F305" s="65" t="s">
        <v>482</v>
      </c>
      <c r="G305" s="65" t="s">
        <v>483</v>
      </c>
      <c r="H305" s="65" t="s">
        <v>232</v>
      </c>
      <c r="I305" s="65" t="s">
        <v>171</v>
      </c>
    </row>
    <row r="306" spans="1:9" s="492" customFormat="1" ht="16.8">
      <c r="A306" s="2"/>
      <c r="B306" s="100" t="s">
        <v>5485</v>
      </c>
      <c r="C306" s="1452">
        <f>1/6</f>
        <v>0.16666666666666666</v>
      </c>
      <c r="D306" s="2" t="s">
        <v>346</v>
      </c>
      <c r="E306" s="585">
        <v>90000</v>
      </c>
      <c r="F306" s="585"/>
      <c r="G306" s="585"/>
      <c r="H306" s="585">
        <f>+C306*E306</f>
        <v>15000</v>
      </c>
      <c r="I306" s="585"/>
    </row>
    <row r="307" spans="1:9" s="492" customFormat="1" ht="16.8">
      <c r="A307" s="2" t="s">
        <v>347</v>
      </c>
      <c r="B307" s="100" t="s">
        <v>5486</v>
      </c>
      <c r="C307" s="1452">
        <f>1/6</f>
        <v>0.16666666666666666</v>
      </c>
      <c r="D307" s="2" t="s">
        <v>346</v>
      </c>
      <c r="E307" s="585">
        <f>+AYUDR</f>
        <v>50299.76584</v>
      </c>
      <c r="F307" s="585"/>
      <c r="G307" s="585"/>
      <c r="H307" s="585">
        <f>+C307*E307</f>
        <v>8383.2943066666667</v>
      </c>
      <c r="I307" s="585"/>
    </row>
    <row r="308" spans="1:9" s="492" customFormat="1" ht="16.8">
      <c r="A308" s="2" t="s">
        <v>172</v>
      </c>
      <c r="B308" s="18" t="s">
        <v>189</v>
      </c>
      <c r="C308" s="589">
        <v>1</v>
      </c>
      <c r="D308" s="6" t="s">
        <v>583</v>
      </c>
      <c r="E308" s="585">
        <f>+H309*0.05</f>
        <v>1169.1647153333333</v>
      </c>
      <c r="F308" s="585"/>
      <c r="G308" s="585"/>
      <c r="H308" s="585"/>
      <c r="I308" s="585">
        <v>2700.0761287500009</v>
      </c>
    </row>
    <row r="309" spans="1:9" s="492" customFormat="1" ht="16.8">
      <c r="A309" s="587" t="s">
        <v>190</v>
      </c>
      <c r="B309" s="588">
        <f>SUM(G309:I309)</f>
        <v>26083.370435416669</v>
      </c>
      <c r="C309" s="583"/>
      <c r="D309" s="169"/>
      <c r="E309" s="585"/>
      <c r="F309" s="65">
        <v>0</v>
      </c>
      <c r="G309" s="65" t="s">
        <v>441</v>
      </c>
      <c r="H309" s="65">
        <f>SUM(H306:H308)</f>
        <v>23383.294306666667</v>
      </c>
      <c r="I309" s="65">
        <f>SUM(I306:I308)</f>
        <v>2700.0761287500009</v>
      </c>
    </row>
    <row r="310" spans="1:9" s="492" customFormat="1" ht="16.8">
      <c r="A310" s="587" t="s">
        <v>191</v>
      </c>
      <c r="B310" s="39">
        <f>SUM(B309:B309)</f>
        <v>26083.370435416669</v>
      </c>
      <c r="C310" s="591" t="s">
        <v>363</v>
      </c>
      <c r="D310" s="13"/>
      <c r="E310" s="170"/>
      <c r="F310" s="170"/>
      <c r="G310" s="170"/>
      <c r="H310" s="170"/>
      <c r="I310" s="170"/>
    </row>
    <row r="312" spans="1:9" s="492" customFormat="1" ht="35.25" customHeight="1">
      <c r="A312" s="582">
        <v>11.1</v>
      </c>
      <c r="B312" s="3547" t="s">
        <v>5487</v>
      </c>
      <c r="C312" s="3548"/>
      <c r="D312" s="3548"/>
      <c r="E312" s="3548"/>
      <c r="F312" s="3548"/>
      <c r="G312" s="3548"/>
      <c r="H312" s="3548"/>
      <c r="I312" s="3549"/>
    </row>
    <row r="313" spans="1:9" s="492" customFormat="1" ht="16.8">
      <c r="A313" s="1446"/>
      <c r="B313" s="179"/>
      <c r="C313" s="583" t="s">
        <v>140</v>
      </c>
      <c r="D313" s="1446" t="s">
        <v>343</v>
      </c>
      <c r="E313" s="585" t="s">
        <v>344</v>
      </c>
      <c r="F313" s="65" t="s">
        <v>482</v>
      </c>
      <c r="G313" s="65" t="s">
        <v>483</v>
      </c>
      <c r="H313" s="65" t="s">
        <v>232</v>
      </c>
      <c r="I313" s="65" t="s">
        <v>171</v>
      </c>
    </row>
    <row r="314" spans="1:9" s="492" customFormat="1" ht="16.8">
      <c r="A314" s="2" t="s">
        <v>441</v>
      </c>
      <c r="B314" s="605" t="s">
        <v>5106</v>
      </c>
      <c r="C314" s="589">
        <v>4</v>
      </c>
      <c r="D314" s="6" t="s">
        <v>45</v>
      </c>
      <c r="E314" s="585">
        <v>4500</v>
      </c>
      <c r="F314" s="585"/>
      <c r="G314" s="585">
        <f>+C314*E314</f>
        <v>18000</v>
      </c>
      <c r="H314" s="585"/>
      <c r="I314" s="585"/>
    </row>
    <row r="315" spans="1:9" s="492" customFormat="1" ht="16.8">
      <c r="A315" s="2"/>
      <c r="B315" s="605" t="s">
        <v>5107</v>
      </c>
      <c r="C315" s="589">
        <v>1</v>
      </c>
      <c r="D315" s="6" t="s">
        <v>45</v>
      </c>
      <c r="E315" s="585">
        <v>4000</v>
      </c>
      <c r="F315" s="585"/>
      <c r="G315" s="585">
        <f>+C315*E315</f>
        <v>4000</v>
      </c>
      <c r="H315" s="585"/>
      <c r="I315" s="585"/>
    </row>
    <row r="316" spans="1:9" s="492" customFormat="1" ht="16.8">
      <c r="A316" s="2" t="s">
        <v>584</v>
      </c>
      <c r="B316" s="5" t="s">
        <v>5488</v>
      </c>
      <c r="C316" s="589">
        <v>1</v>
      </c>
      <c r="D316" s="2" t="s">
        <v>583</v>
      </c>
      <c r="E316" s="585">
        <v>50</v>
      </c>
      <c r="F316" s="585"/>
      <c r="G316" s="585"/>
      <c r="H316" s="585"/>
      <c r="I316" s="585">
        <f>+C316*E316</f>
        <v>50</v>
      </c>
    </row>
    <row r="317" spans="1:9" s="492" customFormat="1" ht="16.8">
      <c r="A317" s="587" t="s">
        <v>190</v>
      </c>
      <c r="B317" s="39">
        <f>SUM(G317:I317)</f>
        <v>22050</v>
      </c>
      <c r="C317" s="589"/>
      <c r="D317" s="601"/>
      <c r="E317" s="585"/>
      <c r="F317" s="585">
        <v>0</v>
      </c>
      <c r="G317" s="585">
        <f>SUM(G314:G316)</f>
        <v>22000</v>
      </c>
      <c r="H317" s="585">
        <f>SUM(H316:H316)</f>
        <v>0</v>
      </c>
      <c r="I317" s="585">
        <f>SUM(I314:I316)</f>
        <v>50</v>
      </c>
    </row>
    <row r="318" spans="1:9" s="492" customFormat="1" ht="16.8">
      <c r="A318" s="587" t="s">
        <v>191</v>
      </c>
      <c r="B318" s="39">
        <f>SUM(B317:B317)</f>
        <v>22050</v>
      </c>
      <c r="C318" s="591" t="s">
        <v>363</v>
      </c>
      <c r="D318" s="13"/>
      <c r="E318" s="170"/>
      <c r="F318" s="170"/>
      <c r="G318" s="170"/>
      <c r="H318" s="170"/>
      <c r="I318" s="170"/>
    </row>
    <row r="320" spans="1:9" s="492" customFormat="1" ht="29.25" customHeight="1">
      <c r="A320" s="582">
        <v>11.2</v>
      </c>
      <c r="B320" s="3547" t="s">
        <v>5489</v>
      </c>
      <c r="C320" s="3548"/>
      <c r="D320" s="3548"/>
      <c r="E320" s="3548"/>
      <c r="F320" s="3548"/>
      <c r="G320" s="3548"/>
      <c r="H320" s="3548"/>
      <c r="I320" s="3549"/>
    </row>
    <row r="321" spans="1:9" s="492" customFormat="1" ht="16.8">
      <c r="A321" s="1446"/>
      <c r="B321" s="179"/>
      <c r="C321" s="583" t="s">
        <v>140</v>
      </c>
      <c r="D321" s="1446" t="s">
        <v>343</v>
      </c>
      <c r="E321" s="585" t="s">
        <v>344</v>
      </c>
      <c r="F321" s="65" t="s">
        <v>482</v>
      </c>
      <c r="G321" s="65" t="s">
        <v>483</v>
      </c>
      <c r="H321" s="65" t="s">
        <v>232</v>
      </c>
      <c r="I321" s="65" t="s">
        <v>171</v>
      </c>
    </row>
    <row r="322" spans="1:9" s="492" customFormat="1" ht="16.8">
      <c r="A322" s="2"/>
      <c r="B322" s="100" t="s">
        <v>5485</v>
      </c>
      <c r="C322" s="1452">
        <f>1/6</f>
        <v>0.16666666666666666</v>
      </c>
      <c r="D322" s="2" t="s">
        <v>346</v>
      </c>
      <c r="E322" s="585">
        <v>90000</v>
      </c>
      <c r="F322" s="585"/>
      <c r="G322" s="585"/>
      <c r="H322" s="585">
        <f>+C322*E322</f>
        <v>15000</v>
      </c>
      <c r="I322" s="585"/>
    </row>
    <row r="323" spans="1:9" s="492" customFormat="1" ht="16.8">
      <c r="A323" s="2" t="s">
        <v>347</v>
      </c>
      <c r="B323" s="100" t="s">
        <v>5486</v>
      </c>
      <c r="C323" s="1452">
        <f>1/6</f>
        <v>0.16666666666666666</v>
      </c>
      <c r="D323" s="2" t="s">
        <v>346</v>
      </c>
      <c r="E323" s="585">
        <f>+AYUDR</f>
        <v>50299.76584</v>
      </c>
      <c r="F323" s="585"/>
      <c r="G323" s="585"/>
      <c r="H323" s="585">
        <f>+C323*E323</f>
        <v>8383.2943066666667</v>
      </c>
      <c r="I323" s="585"/>
    </row>
    <row r="324" spans="1:9" s="492" customFormat="1" ht="16.8">
      <c r="A324" s="2" t="s">
        <v>172</v>
      </c>
      <c r="B324" s="18" t="s">
        <v>189</v>
      </c>
      <c r="C324" s="589">
        <v>1</v>
      </c>
      <c r="D324" s="6" t="s">
        <v>583</v>
      </c>
      <c r="E324" s="585">
        <f>+H325*0.05</f>
        <v>1169.1647153333333</v>
      </c>
      <c r="F324" s="585"/>
      <c r="G324" s="585"/>
      <c r="H324" s="585"/>
      <c r="I324" s="585">
        <v>2700.0761287500009</v>
      </c>
    </row>
    <row r="325" spans="1:9" s="492" customFormat="1" ht="16.8">
      <c r="A325" s="587" t="s">
        <v>190</v>
      </c>
      <c r="B325" s="588">
        <f>SUM(G325:I325)</f>
        <v>26083.370435416669</v>
      </c>
      <c r="C325" s="583"/>
      <c r="D325" s="169"/>
      <c r="E325" s="585"/>
      <c r="F325" s="65">
        <v>0</v>
      </c>
      <c r="G325" s="65" t="s">
        <v>441</v>
      </c>
      <c r="H325" s="65">
        <f>SUM(H322:H324)</f>
        <v>23383.294306666667</v>
      </c>
      <c r="I325" s="65">
        <f>SUM(I322:I324)</f>
        <v>2700.0761287500009</v>
      </c>
    </row>
    <row r="326" spans="1:9" s="492" customFormat="1" ht="16.8">
      <c r="A326" s="587" t="s">
        <v>191</v>
      </c>
      <c r="B326" s="39">
        <f>SUM(B325:B325)</f>
        <v>26083.370435416669</v>
      </c>
      <c r="C326" s="591" t="s">
        <v>363</v>
      </c>
      <c r="D326" s="13"/>
      <c r="E326" s="170"/>
      <c r="F326" s="170"/>
      <c r="G326" s="170"/>
      <c r="H326" s="170"/>
      <c r="I326" s="170"/>
    </row>
    <row r="328" spans="1:9" s="492" customFormat="1" ht="35.25" customHeight="1">
      <c r="A328" s="582">
        <v>11.2</v>
      </c>
      <c r="B328" s="3547" t="s">
        <v>5490</v>
      </c>
      <c r="C328" s="3548"/>
      <c r="D328" s="3548"/>
      <c r="E328" s="3548"/>
      <c r="F328" s="3548"/>
      <c r="G328" s="3548"/>
      <c r="H328" s="3548"/>
      <c r="I328" s="3549"/>
    </row>
    <row r="329" spans="1:9" s="492" customFormat="1" ht="16.8">
      <c r="A329" s="1446"/>
      <c r="B329" s="179"/>
      <c r="C329" s="583" t="s">
        <v>140</v>
      </c>
      <c r="D329" s="1446" t="s">
        <v>343</v>
      </c>
      <c r="E329" s="585" t="s">
        <v>344</v>
      </c>
      <c r="F329" s="65" t="s">
        <v>482</v>
      </c>
      <c r="G329" s="65" t="s">
        <v>483</v>
      </c>
      <c r="H329" s="65" t="s">
        <v>232</v>
      </c>
      <c r="I329" s="65" t="s">
        <v>171</v>
      </c>
    </row>
    <row r="330" spans="1:9" s="492" customFormat="1" ht="16.8">
      <c r="A330" s="2" t="s">
        <v>441</v>
      </c>
      <c r="B330" s="1453" t="s">
        <v>5491</v>
      </c>
      <c r="C330" s="589">
        <v>1</v>
      </c>
      <c r="D330" s="6" t="s">
        <v>45</v>
      </c>
      <c r="E330" s="1454">
        <v>42000</v>
      </c>
      <c r="F330" s="585"/>
      <c r="G330" s="585">
        <f>+C330*E330</f>
        <v>42000</v>
      </c>
      <c r="H330" s="585"/>
      <c r="I330" s="585"/>
    </row>
    <row r="331" spans="1:9" s="492" customFormat="1" ht="16.8">
      <c r="A331" s="2" t="s">
        <v>584</v>
      </c>
      <c r="B331" s="5" t="s">
        <v>5492</v>
      </c>
      <c r="C331" s="589">
        <v>1</v>
      </c>
      <c r="D331" s="2" t="s">
        <v>583</v>
      </c>
      <c r="E331" s="1454">
        <v>50</v>
      </c>
      <c r="F331" s="585"/>
      <c r="G331" s="585"/>
      <c r="H331" s="585"/>
      <c r="I331" s="585">
        <f>+C331*E331</f>
        <v>50</v>
      </c>
    </row>
    <row r="332" spans="1:9" s="492" customFormat="1" ht="16.8">
      <c r="A332" s="587" t="s">
        <v>190</v>
      </c>
      <c r="B332" s="39">
        <f>SUM(G332:I332)</f>
        <v>42050</v>
      </c>
      <c r="C332" s="589"/>
      <c r="D332" s="601"/>
      <c r="E332" s="585"/>
      <c r="F332" s="585">
        <v>0</v>
      </c>
      <c r="G332" s="585">
        <f>SUM(G330:G331)</f>
        <v>42000</v>
      </c>
      <c r="H332" s="585">
        <f>SUM(H331:H331)</f>
        <v>0</v>
      </c>
      <c r="I332" s="585">
        <f>SUM(I330:I331)</f>
        <v>50</v>
      </c>
    </row>
    <row r="333" spans="1:9" s="492" customFormat="1" ht="16.8">
      <c r="A333" s="587" t="s">
        <v>191</v>
      </c>
      <c r="B333" s="39">
        <f>SUM(B332:B332)</f>
        <v>42050</v>
      </c>
      <c r="C333" s="591" t="s">
        <v>363</v>
      </c>
      <c r="D333" s="13"/>
      <c r="E333" s="170"/>
      <c r="F333" s="170"/>
      <c r="G333" s="170"/>
      <c r="H333" s="170"/>
      <c r="I333" s="170"/>
    </row>
    <row r="335" spans="1:9" s="492" customFormat="1" ht="29.25" customHeight="1">
      <c r="A335" s="582">
        <v>11.3</v>
      </c>
      <c r="B335" s="3547" t="s">
        <v>5493</v>
      </c>
      <c r="C335" s="3548"/>
      <c r="D335" s="3548"/>
      <c r="E335" s="3548"/>
      <c r="F335" s="3548"/>
      <c r="G335" s="3548"/>
      <c r="H335" s="3548"/>
      <c r="I335" s="3549"/>
    </row>
    <row r="336" spans="1:9" s="492" customFormat="1" ht="16.8">
      <c r="A336" s="1446"/>
      <c r="B336" s="179"/>
      <c r="C336" s="583" t="s">
        <v>140</v>
      </c>
      <c r="D336" s="1446" t="s">
        <v>343</v>
      </c>
      <c r="E336" s="585" t="s">
        <v>344</v>
      </c>
      <c r="F336" s="65" t="s">
        <v>482</v>
      </c>
      <c r="G336" s="65" t="s">
        <v>483</v>
      </c>
      <c r="H336" s="65" t="s">
        <v>232</v>
      </c>
      <c r="I336" s="65" t="s">
        <v>171</v>
      </c>
    </row>
    <row r="337" spans="1:9" s="492" customFormat="1" ht="16.8">
      <c r="A337" s="2"/>
      <c r="B337" s="100" t="s">
        <v>5485</v>
      </c>
      <c r="C337" s="1452">
        <f>1/8</f>
        <v>0.125</v>
      </c>
      <c r="D337" s="2" t="s">
        <v>346</v>
      </c>
      <c r="E337" s="585">
        <v>90000</v>
      </c>
      <c r="F337" s="585"/>
      <c r="G337" s="585"/>
      <c r="H337" s="585">
        <f>+C337*E337</f>
        <v>11250</v>
      </c>
      <c r="I337" s="585"/>
    </row>
    <row r="338" spans="1:9" s="492" customFormat="1" ht="16.8">
      <c r="A338" s="2" t="s">
        <v>347</v>
      </c>
      <c r="B338" s="100" t="s">
        <v>5486</v>
      </c>
      <c r="C338" s="1452">
        <f>1/8</f>
        <v>0.125</v>
      </c>
      <c r="D338" s="2" t="s">
        <v>346</v>
      </c>
      <c r="E338" s="585">
        <f>+AYUDR</f>
        <v>50299.76584</v>
      </c>
      <c r="F338" s="585"/>
      <c r="G338" s="585"/>
      <c r="H338" s="585">
        <f>+C338*E338</f>
        <v>6287.47073</v>
      </c>
      <c r="I338" s="585"/>
    </row>
    <row r="339" spans="1:9" s="492" customFormat="1" ht="16.8">
      <c r="A339" s="2" t="s">
        <v>172</v>
      </c>
      <c r="B339" s="18" t="s">
        <v>189</v>
      </c>
      <c r="C339" s="589">
        <v>1</v>
      </c>
      <c r="D339" s="6" t="s">
        <v>583</v>
      </c>
      <c r="E339" s="585">
        <f>+H340*0.05</f>
        <v>876.87353650000011</v>
      </c>
      <c r="F339" s="585"/>
      <c r="G339" s="585"/>
      <c r="H339" s="585"/>
      <c r="I339" s="585">
        <v>2700.0761287500009</v>
      </c>
    </row>
    <row r="340" spans="1:9" s="492" customFormat="1" ht="16.8">
      <c r="A340" s="587" t="s">
        <v>190</v>
      </c>
      <c r="B340" s="588">
        <f>SUM(G340:I340)</f>
        <v>20237.54685875</v>
      </c>
      <c r="C340" s="583"/>
      <c r="D340" s="169"/>
      <c r="E340" s="585"/>
      <c r="F340" s="65">
        <v>0</v>
      </c>
      <c r="G340" s="65" t="s">
        <v>441</v>
      </c>
      <c r="H340" s="65">
        <f>SUM(H337:H339)</f>
        <v>17537.470730000001</v>
      </c>
      <c r="I340" s="65">
        <f>SUM(I337:I339)</f>
        <v>2700.0761287500009</v>
      </c>
    </row>
    <row r="341" spans="1:9" s="492" customFormat="1" ht="16.8">
      <c r="A341" s="587" t="s">
        <v>191</v>
      </c>
      <c r="B341" s="39">
        <f>SUM(B340:B340)</f>
        <v>20237.54685875</v>
      </c>
      <c r="C341" s="591" t="s">
        <v>363</v>
      </c>
      <c r="D341" s="13"/>
      <c r="E341" s="170"/>
      <c r="F341" s="170"/>
      <c r="G341" s="170"/>
      <c r="H341" s="170"/>
      <c r="I341" s="170"/>
    </row>
    <row r="343" spans="1:9" s="492" customFormat="1" ht="35.25" customHeight="1">
      <c r="A343" s="582">
        <v>11.3</v>
      </c>
      <c r="B343" s="3547" t="s">
        <v>5494</v>
      </c>
      <c r="C343" s="3548"/>
      <c r="D343" s="3548"/>
      <c r="E343" s="3548"/>
      <c r="F343" s="3548"/>
      <c r="G343" s="3548"/>
      <c r="H343" s="3548"/>
      <c r="I343" s="3549"/>
    </row>
    <row r="344" spans="1:9" s="492" customFormat="1" ht="16.8">
      <c r="A344" s="1446"/>
      <c r="B344" s="179"/>
      <c r="C344" s="583" t="s">
        <v>140</v>
      </c>
      <c r="D344" s="1446" t="s">
        <v>343</v>
      </c>
      <c r="E344" s="585" t="s">
        <v>344</v>
      </c>
      <c r="F344" s="65" t="s">
        <v>482</v>
      </c>
      <c r="G344" s="65" t="s">
        <v>483</v>
      </c>
      <c r="H344" s="65" t="s">
        <v>232</v>
      </c>
      <c r="I344" s="65" t="s">
        <v>171</v>
      </c>
    </row>
    <row r="345" spans="1:9" s="492" customFormat="1" ht="16.8">
      <c r="A345" s="2" t="s">
        <v>441</v>
      </c>
      <c r="B345" s="605" t="s">
        <v>5495</v>
      </c>
      <c r="C345" s="589">
        <v>3</v>
      </c>
      <c r="D345" s="6" t="s">
        <v>45</v>
      </c>
      <c r="E345" s="585">
        <v>47000</v>
      </c>
      <c r="F345" s="585"/>
      <c r="G345" s="585">
        <f>+C345*E345</f>
        <v>141000</v>
      </c>
      <c r="H345" s="585"/>
      <c r="I345" s="585"/>
    </row>
    <row r="346" spans="1:9" s="492" customFormat="1" ht="16.8">
      <c r="A346" s="2"/>
      <c r="B346" s="605" t="s">
        <v>5454</v>
      </c>
      <c r="C346" s="589">
        <v>1</v>
      </c>
      <c r="D346" s="6" t="s">
        <v>45</v>
      </c>
      <c r="E346" s="585">
        <v>28000</v>
      </c>
      <c r="F346" s="585"/>
      <c r="G346" s="585">
        <f t="shared" ref="G346" si="16">+C346*E346</f>
        <v>28000</v>
      </c>
      <c r="H346" s="585"/>
      <c r="I346" s="585"/>
    </row>
    <row r="347" spans="1:9" s="492" customFormat="1" ht="16.8">
      <c r="A347" s="2" t="s">
        <v>584</v>
      </c>
      <c r="B347" s="5" t="s">
        <v>5492</v>
      </c>
      <c r="C347" s="589">
        <v>1</v>
      </c>
      <c r="D347" s="2" t="s">
        <v>583</v>
      </c>
      <c r="E347" s="585">
        <v>50</v>
      </c>
      <c r="F347" s="585"/>
      <c r="G347" s="585"/>
      <c r="H347" s="585"/>
      <c r="I347" s="585">
        <f>+C347*E347</f>
        <v>50</v>
      </c>
    </row>
    <row r="348" spans="1:9" s="492" customFormat="1" ht="16.8">
      <c r="A348" s="587" t="s">
        <v>190</v>
      </c>
      <c r="B348" s="39">
        <f>SUM(G348:I348)</f>
        <v>169050</v>
      </c>
      <c r="C348" s="589"/>
      <c r="D348" s="601"/>
      <c r="E348" s="585"/>
      <c r="F348" s="585">
        <v>0</v>
      </c>
      <c r="G348" s="585">
        <f>SUM(G345:G347)</f>
        <v>169000</v>
      </c>
      <c r="H348" s="585">
        <f>SUM(H347:H347)</f>
        <v>0</v>
      </c>
      <c r="I348" s="585">
        <f>SUM(I345:I347)</f>
        <v>50</v>
      </c>
    </row>
    <row r="349" spans="1:9" s="492" customFormat="1" ht="16.8">
      <c r="A349" s="587" t="s">
        <v>191</v>
      </c>
      <c r="B349" s="39">
        <f>SUM(B348:B348)</f>
        <v>169050</v>
      </c>
      <c r="C349" s="591" t="s">
        <v>363</v>
      </c>
      <c r="D349" s="13"/>
      <c r="E349" s="170"/>
      <c r="F349" s="170"/>
      <c r="G349" s="170"/>
      <c r="H349" s="170"/>
      <c r="I349" s="170"/>
    </row>
    <row r="351" spans="1:9" s="492" customFormat="1" ht="16.8">
      <c r="A351" s="594">
        <v>11.4</v>
      </c>
      <c r="B351" s="3547" t="s">
        <v>5496</v>
      </c>
      <c r="C351" s="3548"/>
      <c r="D351" s="3548"/>
      <c r="E351" s="3548"/>
      <c r="F351" s="3548"/>
      <c r="G351" s="3548"/>
      <c r="H351" s="3548"/>
      <c r="I351" s="3549"/>
    </row>
    <row r="352" spans="1:9" s="492" customFormat="1" ht="16.8">
      <c r="A352" s="1446"/>
      <c r="B352" s="179"/>
      <c r="C352" s="583" t="s">
        <v>140</v>
      </c>
      <c r="D352" s="1446" t="s">
        <v>343</v>
      </c>
      <c r="E352" s="585" t="s">
        <v>344</v>
      </c>
      <c r="F352" s="65" t="s">
        <v>482</v>
      </c>
      <c r="G352" s="65" t="s">
        <v>483</v>
      </c>
      <c r="H352" s="65" t="s">
        <v>232</v>
      </c>
      <c r="I352" s="65" t="s">
        <v>171</v>
      </c>
    </row>
    <row r="353" spans="1:9" s="492" customFormat="1" ht="16.8">
      <c r="A353" s="2"/>
      <c r="B353" s="100" t="s">
        <v>5485</v>
      </c>
      <c r="C353" s="1452">
        <f>1/12</f>
        <v>8.3333333333333329E-2</v>
      </c>
      <c r="D353" s="2" t="s">
        <v>346</v>
      </c>
      <c r="E353" s="585">
        <v>90000</v>
      </c>
      <c r="F353" s="585"/>
      <c r="G353" s="585"/>
      <c r="H353" s="585">
        <f>+C353*E353</f>
        <v>7500</v>
      </c>
      <c r="I353" s="585"/>
    </row>
    <row r="354" spans="1:9" s="492" customFormat="1" ht="16.8">
      <c r="A354" s="2" t="s">
        <v>347</v>
      </c>
      <c r="B354" s="100" t="s">
        <v>5486</v>
      </c>
      <c r="C354" s="1452">
        <f>1/12</f>
        <v>8.3333333333333329E-2</v>
      </c>
      <c r="D354" s="2" t="s">
        <v>346</v>
      </c>
      <c r="E354" s="585">
        <f>+AYUDR</f>
        <v>50299.76584</v>
      </c>
      <c r="F354" s="585"/>
      <c r="G354" s="585"/>
      <c r="H354" s="585">
        <f>+C354*E354</f>
        <v>4191.6471533333333</v>
      </c>
      <c r="I354" s="585"/>
    </row>
    <row r="355" spans="1:9" s="492" customFormat="1" ht="16.8">
      <c r="A355" s="2" t="s">
        <v>172</v>
      </c>
      <c r="B355" s="18" t="s">
        <v>189</v>
      </c>
      <c r="C355" s="589">
        <v>1</v>
      </c>
      <c r="D355" s="6" t="s">
        <v>583</v>
      </c>
      <c r="E355" s="585">
        <f>+H356*0.05</f>
        <v>584.58235766666667</v>
      </c>
      <c r="F355" s="585"/>
      <c r="G355" s="585"/>
      <c r="H355" s="585"/>
      <c r="I355" s="585">
        <v>2700.0761287500009</v>
      </c>
    </row>
    <row r="356" spans="1:9" s="492" customFormat="1" ht="16.8">
      <c r="A356" s="587" t="s">
        <v>190</v>
      </c>
      <c r="B356" s="588">
        <f>SUM(G356:I356)</f>
        <v>14391.723282083334</v>
      </c>
      <c r="C356" s="583"/>
      <c r="D356" s="169"/>
      <c r="E356" s="585"/>
      <c r="F356" s="65">
        <v>0</v>
      </c>
      <c r="G356" s="65" t="s">
        <v>441</v>
      </c>
      <c r="H356" s="65">
        <f>SUM(H353:H355)</f>
        <v>11691.647153333333</v>
      </c>
      <c r="I356" s="65">
        <f>SUM(I353:I355)</f>
        <v>2700.0761287500009</v>
      </c>
    </row>
    <row r="357" spans="1:9" s="492" customFormat="1" ht="16.8">
      <c r="A357" s="587" t="s">
        <v>191</v>
      </c>
      <c r="B357" s="39">
        <f>SUM(B356:B356)</f>
        <v>14391.723282083334</v>
      </c>
      <c r="C357" s="591" t="s">
        <v>363</v>
      </c>
      <c r="D357" s="13"/>
      <c r="E357" s="170"/>
      <c r="F357" s="170"/>
      <c r="G357" s="170"/>
      <c r="H357" s="170"/>
      <c r="I357" s="170"/>
    </row>
    <row r="359" spans="1:9" s="492" customFormat="1" ht="16.8">
      <c r="A359" s="594">
        <v>11.4</v>
      </c>
      <c r="B359" s="3547" t="s">
        <v>5497</v>
      </c>
      <c r="C359" s="3548"/>
      <c r="D359" s="3548"/>
      <c r="E359" s="3548"/>
      <c r="F359" s="3548"/>
      <c r="G359" s="3548"/>
      <c r="H359" s="3548"/>
      <c r="I359" s="3549"/>
    </row>
    <row r="360" spans="1:9" s="492" customFormat="1" ht="16.8">
      <c r="A360" s="1446"/>
      <c r="B360" s="179"/>
      <c r="C360" s="583" t="s">
        <v>140</v>
      </c>
      <c r="D360" s="1446" t="s">
        <v>343</v>
      </c>
      <c r="E360" s="585" t="s">
        <v>344</v>
      </c>
      <c r="F360" s="65" t="s">
        <v>482</v>
      </c>
      <c r="G360" s="65" t="s">
        <v>483</v>
      </c>
      <c r="H360" s="65" t="s">
        <v>232</v>
      </c>
      <c r="I360" s="65" t="s">
        <v>171</v>
      </c>
    </row>
    <row r="361" spans="1:9" s="492" customFormat="1" ht="16.8">
      <c r="A361" s="2" t="s">
        <v>441</v>
      </c>
      <c r="B361" s="605" t="s">
        <v>5498</v>
      </c>
      <c r="C361" s="589">
        <v>1</v>
      </c>
      <c r="D361" s="6" t="s">
        <v>45</v>
      </c>
      <c r="E361" s="585">
        <v>45000</v>
      </c>
      <c r="F361" s="585"/>
      <c r="G361" s="585">
        <f>+C361*E361</f>
        <v>45000</v>
      </c>
      <c r="H361" s="585"/>
      <c r="I361" s="585"/>
    </row>
    <row r="362" spans="1:9" s="492" customFormat="1" ht="16.8">
      <c r="A362" s="2"/>
      <c r="B362" s="605" t="s">
        <v>5499</v>
      </c>
      <c r="C362" s="589">
        <v>1</v>
      </c>
      <c r="D362" s="6" t="s">
        <v>363</v>
      </c>
      <c r="E362" s="585">
        <v>15000</v>
      </c>
      <c r="F362" s="585"/>
      <c r="G362" s="585">
        <f t="shared" ref="G362:G363" si="17">+C362*E362</f>
        <v>15000</v>
      </c>
      <c r="H362" s="585"/>
      <c r="I362" s="585"/>
    </row>
    <row r="363" spans="1:9" s="492" customFormat="1" ht="16.8">
      <c r="A363" s="2"/>
      <c r="B363" s="605" t="s">
        <v>5500</v>
      </c>
      <c r="C363" s="589">
        <v>1</v>
      </c>
      <c r="D363" s="6" t="s">
        <v>363</v>
      </c>
      <c r="E363" s="585">
        <v>5000</v>
      </c>
      <c r="F363" s="585"/>
      <c r="G363" s="585">
        <f t="shared" si="17"/>
        <v>5000</v>
      </c>
      <c r="H363" s="585"/>
      <c r="I363" s="585"/>
    </row>
    <row r="364" spans="1:9" s="492" customFormat="1" ht="16.8">
      <c r="A364" s="2" t="s">
        <v>584</v>
      </c>
      <c r="B364" s="5" t="s">
        <v>5501</v>
      </c>
      <c r="C364" s="589">
        <v>1</v>
      </c>
      <c r="D364" s="2" t="s">
        <v>583</v>
      </c>
      <c r="E364" s="585">
        <v>2000</v>
      </c>
      <c r="F364" s="585"/>
      <c r="G364" s="585"/>
      <c r="H364" s="585"/>
      <c r="I364" s="585">
        <f>+C364*E364</f>
        <v>2000</v>
      </c>
    </row>
    <row r="365" spans="1:9" s="492" customFormat="1" ht="16.8">
      <c r="A365" s="587" t="s">
        <v>190</v>
      </c>
      <c r="B365" s="39">
        <f>SUM(G365:I365)</f>
        <v>67000</v>
      </c>
      <c r="C365" s="589"/>
      <c r="D365" s="601"/>
      <c r="E365" s="585"/>
      <c r="F365" s="585">
        <v>0</v>
      </c>
      <c r="G365" s="585">
        <f>SUM(G361:G364)</f>
        <v>65000</v>
      </c>
      <c r="H365" s="585">
        <f>SUM(H364:H364)</f>
        <v>0</v>
      </c>
      <c r="I365" s="585">
        <f>SUM(I361:I364)</f>
        <v>2000</v>
      </c>
    </row>
    <row r="366" spans="1:9" s="492" customFormat="1" ht="16.8">
      <c r="A366" s="587" t="s">
        <v>191</v>
      </c>
      <c r="B366" s="39">
        <f>SUM(B365:B365)</f>
        <v>67000</v>
      </c>
      <c r="C366" s="591" t="s">
        <v>363</v>
      </c>
      <c r="D366" s="13"/>
      <c r="E366" s="170"/>
      <c r="F366" s="170"/>
      <c r="G366" s="170"/>
      <c r="H366" s="170"/>
      <c r="I366" s="170"/>
    </row>
    <row r="368" spans="1:9" s="492" customFormat="1" ht="16.8">
      <c r="A368" s="594">
        <v>12.1</v>
      </c>
      <c r="B368" s="3547" t="s">
        <v>5502</v>
      </c>
      <c r="C368" s="3548"/>
      <c r="D368" s="3548"/>
      <c r="E368" s="3548"/>
      <c r="F368" s="3548"/>
      <c r="G368" s="3548"/>
      <c r="H368" s="3548"/>
      <c r="I368" s="3549"/>
    </row>
    <row r="369" spans="1:9" s="492" customFormat="1" ht="16.8">
      <c r="A369" s="1446"/>
      <c r="B369" s="179"/>
      <c r="C369" s="583" t="s">
        <v>140</v>
      </c>
      <c r="D369" s="1446" t="s">
        <v>343</v>
      </c>
      <c r="E369" s="585" t="s">
        <v>344</v>
      </c>
      <c r="F369" s="65" t="s">
        <v>482</v>
      </c>
      <c r="G369" s="65" t="s">
        <v>483</v>
      </c>
      <c r="H369" s="65" t="s">
        <v>232</v>
      </c>
      <c r="I369" s="65" t="s">
        <v>171</v>
      </c>
    </row>
    <row r="370" spans="1:9" s="492" customFormat="1" ht="16.8">
      <c r="A370" s="2"/>
      <c r="B370" s="100" t="s">
        <v>5485</v>
      </c>
      <c r="C370" s="589">
        <f>1/0.8</f>
        <v>1.25</v>
      </c>
      <c r="D370" s="2" t="s">
        <v>346</v>
      </c>
      <c r="E370" s="585">
        <v>90000</v>
      </c>
      <c r="F370" s="585"/>
      <c r="G370" s="585"/>
      <c r="H370" s="585">
        <f>+C370*E370</f>
        <v>112500</v>
      </c>
      <c r="I370" s="585"/>
    </row>
    <row r="371" spans="1:9" s="492" customFormat="1" ht="16.8">
      <c r="A371" s="2" t="s">
        <v>347</v>
      </c>
      <c r="B371" s="100" t="s">
        <v>5486</v>
      </c>
      <c r="C371" s="589">
        <f>1/0.8</f>
        <v>1.25</v>
      </c>
      <c r="D371" s="2" t="s">
        <v>346</v>
      </c>
      <c r="E371" s="585">
        <f>+AYUDR</f>
        <v>50299.76584</v>
      </c>
      <c r="F371" s="585"/>
      <c r="G371" s="585"/>
      <c r="H371" s="585">
        <f>+C371*E371</f>
        <v>62874.707300000002</v>
      </c>
      <c r="I371" s="585"/>
    </row>
    <row r="372" spans="1:9" s="492" customFormat="1" ht="16.8">
      <c r="A372" s="2" t="s">
        <v>172</v>
      </c>
      <c r="B372" s="18" t="s">
        <v>189</v>
      </c>
      <c r="C372" s="589">
        <v>1</v>
      </c>
      <c r="D372" s="6" t="s">
        <v>583</v>
      </c>
      <c r="E372" s="585">
        <f>+H373*0.05</f>
        <v>8768.7353650000005</v>
      </c>
      <c r="F372" s="585"/>
      <c r="G372" s="585"/>
      <c r="H372" s="585"/>
      <c r="I372" s="585">
        <v>2700.0761287500009</v>
      </c>
    </row>
    <row r="373" spans="1:9" s="492" customFormat="1" ht="16.8">
      <c r="A373" s="587" t="s">
        <v>190</v>
      </c>
      <c r="B373" s="588">
        <f>SUM(G373:I373)</f>
        <v>178074.78342875</v>
      </c>
      <c r="C373" s="583"/>
      <c r="D373" s="169"/>
      <c r="E373" s="585"/>
      <c r="F373" s="65">
        <v>0</v>
      </c>
      <c r="G373" s="65" t="s">
        <v>441</v>
      </c>
      <c r="H373" s="65">
        <f>SUM(H370:H372)</f>
        <v>175374.70730000001</v>
      </c>
      <c r="I373" s="65">
        <f>SUM(I370:I372)</f>
        <v>2700.0761287500009</v>
      </c>
    </row>
    <row r="374" spans="1:9" s="492" customFormat="1" ht="16.8">
      <c r="A374" s="587" t="s">
        <v>191</v>
      </c>
      <c r="B374" s="39">
        <f>SUM(B373:B373)</f>
        <v>178074.78342875</v>
      </c>
      <c r="C374" s="591" t="s">
        <v>363</v>
      </c>
      <c r="D374" s="13"/>
      <c r="E374" s="170"/>
      <c r="F374" s="170"/>
      <c r="G374" s="170"/>
      <c r="H374" s="170"/>
      <c r="I374" s="170"/>
    </row>
    <row r="375" spans="1:9">
      <c r="A375" s="492"/>
      <c r="B375" s="492"/>
      <c r="C375" s="492"/>
      <c r="D375" s="492"/>
      <c r="E375" s="492"/>
      <c r="F375" s="492"/>
      <c r="G375" s="492"/>
      <c r="H375" s="492"/>
      <c r="I375" s="492"/>
    </row>
    <row r="376" spans="1:9" s="492" customFormat="1" ht="16.8">
      <c r="A376" s="594">
        <v>12.1</v>
      </c>
      <c r="B376" s="3547" t="s">
        <v>5503</v>
      </c>
      <c r="C376" s="3548"/>
      <c r="D376" s="3548"/>
      <c r="E376" s="3548"/>
      <c r="F376" s="3548"/>
      <c r="G376" s="3548"/>
      <c r="H376" s="3548"/>
      <c r="I376" s="3549"/>
    </row>
    <row r="377" spans="1:9" s="492" customFormat="1" ht="16.8">
      <c r="A377" s="1446"/>
      <c r="B377" s="179"/>
      <c r="C377" s="583" t="s">
        <v>140</v>
      </c>
      <c r="D377" s="1446" t="s">
        <v>343</v>
      </c>
      <c r="E377" s="585" t="s">
        <v>344</v>
      </c>
      <c r="F377" s="65" t="s">
        <v>482</v>
      </c>
      <c r="G377" s="65" t="s">
        <v>483</v>
      </c>
      <c r="H377" s="65" t="s">
        <v>232</v>
      </c>
      <c r="I377" s="65" t="s">
        <v>171</v>
      </c>
    </row>
    <row r="378" spans="1:9" s="492" customFormat="1" ht="16.8">
      <c r="A378" s="2" t="s">
        <v>441</v>
      </c>
      <c r="B378" s="605" t="s">
        <v>5124</v>
      </c>
      <c r="C378" s="589">
        <v>1</v>
      </c>
      <c r="D378" s="6" t="s">
        <v>363</v>
      </c>
      <c r="E378" s="585">
        <v>182000</v>
      </c>
      <c r="F378" s="585"/>
      <c r="G378" s="585">
        <f>+C378*E378</f>
        <v>182000</v>
      </c>
      <c r="H378" s="585"/>
      <c r="I378" s="585"/>
    </row>
    <row r="379" spans="1:9" s="492" customFormat="1" ht="16.8">
      <c r="A379" s="2"/>
      <c r="B379" s="605" t="s">
        <v>5125</v>
      </c>
      <c r="C379" s="589">
        <v>4</v>
      </c>
      <c r="D379" s="6" t="s">
        <v>363</v>
      </c>
      <c r="E379" s="585">
        <v>15000</v>
      </c>
      <c r="F379" s="585"/>
      <c r="G379" s="585">
        <f t="shared" ref="G379:G380" si="18">+C379*E379</f>
        <v>60000</v>
      </c>
      <c r="H379" s="585"/>
      <c r="I379" s="585"/>
    </row>
    <row r="380" spans="1:9" s="492" customFormat="1" ht="16.8">
      <c r="A380" s="2"/>
      <c r="B380" s="605" t="s">
        <v>5126</v>
      </c>
      <c r="C380" s="589">
        <v>1</v>
      </c>
      <c r="D380" s="6" t="s">
        <v>363</v>
      </c>
      <c r="E380" s="585">
        <v>42000</v>
      </c>
      <c r="F380" s="585"/>
      <c r="G380" s="585">
        <f t="shared" si="18"/>
        <v>42000</v>
      </c>
      <c r="H380" s="585"/>
      <c r="I380" s="585"/>
    </row>
    <row r="381" spans="1:9" s="492" customFormat="1" ht="16.8">
      <c r="A381" s="2" t="s">
        <v>584</v>
      </c>
      <c r="B381" s="5" t="s">
        <v>5504</v>
      </c>
      <c r="C381" s="589">
        <v>1</v>
      </c>
      <c r="D381" s="2" t="s">
        <v>583</v>
      </c>
      <c r="E381" s="585">
        <v>1000</v>
      </c>
      <c r="F381" s="585"/>
      <c r="G381" s="585"/>
      <c r="H381" s="585"/>
      <c r="I381" s="585">
        <f>+C381*E381</f>
        <v>1000</v>
      </c>
    </row>
    <row r="382" spans="1:9" s="492" customFormat="1" ht="16.8">
      <c r="A382" s="587" t="s">
        <v>190</v>
      </c>
      <c r="B382" s="39">
        <f>SUM(G382:I382)</f>
        <v>285000</v>
      </c>
      <c r="C382" s="589"/>
      <c r="D382" s="601"/>
      <c r="E382" s="585"/>
      <c r="F382" s="585">
        <v>0</v>
      </c>
      <c r="G382" s="585">
        <f>SUM(G378:G381)</f>
        <v>284000</v>
      </c>
      <c r="H382" s="585">
        <f>SUM(H381:H381)</f>
        <v>0</v>
      </c>
      <c r="I382" s="585">
        <f>SUM(I378:I381)</f>
        <v>1000</v>
      </c>
    </row>
    <row r="383" spans="1:9" s="492" customFormat="1" ht="16.8">
      <c r="A383" s="587" t="s">
        <v>191</v>
      </c>
      <c r="B383" s="39">
        <f>SUM(B382:B382)</f>
        <v>285000</v>
      </c>
      <c r="C383" s="591" t="s">
        <v>363</v>
      </c>
      <c r="D383" s="13"/>
      <c r="E383" s="170"/>
      <c r="F383" s="170"/>
      <c r="G383" s="170"/>
      <c r="H383" s="170"/>
      <c r="I383" s="170"/>
    </row>
    <row r="385" spans="1:9" s="492" customFormat="1" ht="16.8">
      <c r="A385" s="594">
        <v>12.2</v>
      </c>
      <c r="B385" s="3547" t="s">
        <v>5505</v>
      </c>
      <c r="C385" s="3548"/>
      <c r="D385" s="3548"/>
      <c r="E385" s="3548"/>
      <c r="F385" s="3548"/>
      <c r="G385" s="3548"/>
      <c r="H385" s="3548"/>
      <c r="I385" s="3549"/>
    </row>
    <row r="386" spans="1:9" s="492" customFormat="1" ht="16.8">
      <c r="A386" s="1446"/>
      <c r="B386" s="179"/>
      <c r="C386" s="583" t="s">
        <v>140</v>
      </c>
      <c r="D386" s="1446" t="s">
        <v>343</v>
      </c>
      <c r="E386" s="585" t="s">
        <v>344</v>
      </c>
      <c r="F386" s="65" t="s">
        <v>482</v>
      </c>
      <c r="G386" s="65" t="s">
        <v>483</v>
      </c>
      <c r="H386" s="65" t="s">
        <v>232</v>
      </c>
      <c r="I386" s="65" t="s">
        <v>171</v>
      </c>
    </row>
    <row r="387" spans="1:9" s="492" customFormat="1" ht="16.8">
      <c r="A387" s="2"/>
      <c r="B387" s="100" t="s">
        <v>5485</v>
      </c>
      <c r="C387" s="589">
        <f>1/0.5</f>
        <v>2</v>
      </c>
      <c r="D387" s="2" t="s">
        <v>346</v>
      </c>
      <c r="E387" s="585">
        <v>90000</v>
      </c>
      <c r="F387" s="585"/>
      <c r="G387" s="585"/>
      <c r="H387" s="585">
        <f>+C387*E387</f>
        <v>180000</v>
      </c>
      <c r="I387" s="585"/>
    </row>
    <row r="388" spans="1:9" s="492" customFormat="1" ht="16.8">
      <c r="A388" s="2" t="s">
        <v>347</v>
      </c>
      <c r="B388" s="100" t="s">
        <v>5486</v>
      </c>
      <c r="C388" s="589">
        <f>1/0.5</f>
        <v>2</v>
      </c>
      <c r="D388" s="2" t="s">
        <v>346</v>
      </c>
      <c r="E388" s="585">
        <f>+AYUDR</f>
        <v>50299.76584</v>
      </c>
      <c r="F388" s="585"/>
      <c r="G388" s="585"/>
      <c r="H388" s="585">
        <f>+C388*E388</f>
        <v>100599.53168</v>
      </c>
      <c r="I388" s="585"/>
    </row>
    <row r="389" spans="1:9" s="492" customFormat="1" ht="16.8">
      <c r="A389" s="2" t="s">
        <v>172</v>
      </c>
      <c r="B389" s="18" t="s">
        <v>189</v>
      </c>
      <c r="C389" s="589">
        <v>1</v>
      </c>
      <c r="D389" s="6" t="s">
        <v>583</v>
      </c>
      <c r="E389" s="585">
        <f>+H390*0.05</f>
        <v>14029.976584000002</v>
      </c>
      <c r="F389" s="585"/>
      <c r="G389" s="585"/>
      <c r="H389" s="585"/>
      <c r="I389" s="585">
        <v>2700.0761287500009</v>
      </c>
    </row>
    <row r="390" spans="1:9" s="492" customFormat="1" ht="16.8">
      <c r="A390" s="587" t="s">
        <v>190</v>
      </c>
      <c r="B390" s="588">
        <f>SUM(G390:I390)</f>
        <v>283299.60780875001</v>
      </c>
      <c r="C390" s="583"/>
      <c r="D390" s="169"/>
      <c r="E390" s="585"/>
      <c r="F390" s="65">
        <v>0</v>
      </c>
      <c r="G390" s="65" t="s">
        <v>441</v>
      </c>
      <c r="H390" s="65">
        <f>SUM(H387:H389)</f>
        <v>280599.53168000001</v>
      </c>
      <c r="I390" s="65">
        <f>SUM(I387:I389)</f>
        <v>2700.0761287500009</v>
      </c>
    </row>
    <row r="391" spans="1:9" s="492" customFormat="1" ht="16.8">
      <c r="A391" s="587" t="s">
        <v>191</v>
      </c>
      <c r="B391" s="39">
        <f>SUM(B390:B390)</f>
        <v>283299.60780875001</v>
      </c>
      <c r="C391" s="591" t="s">
        <v>363</v>
      </c>
      <c r="D391" s="13"/>
      <c r="E391" s="170"/>
      <c r="F391" s="170"/>
      <c r="G391" s="170"/>
      <c r="H391" s="170"/>
      <c r="I391" s="170"/>
    </row>
    <row r="392" spans="1:9">
      <c r="A392" s="492"/>
      <c r="B392" s="492"/>
      <c r="C392" s="492"/>
      <c r="D392" s="492"/>
      <c r="E392" s="492"/>
      <c r="F392" s="492"/>
      <c r="G392" s="492"/>
      <c r="H392" s="492"/>
      <c r="I392" s="492"/>
    </row>
    <row r="393" spans="1:9" s="492" customFormat="1" ht="16.8">
      <c r="A393" s="594">
        <v>12.2</v>
      </c>
      <c r="B393" s="3547" t="s">
        <v>5506</v>
      </c>
      <c r="C393" s="3548"/>
      <c r="D393" s="3548"/>
      <c r="E393" s="3548"/>
      <c r="F393" s="3548"/>
      <c r="G393" s="3548"/>
      <c r="H393" s="3548"/>
      <c r="I393" s="3549"/>
    </row>
    <row r="394" spans="1:9" s="492" customFormat="1" ht="16.8">
      <c r="A394" s="1446"/>
      <c r="B394" s="179"/>
      <c r="C394" s="583" t="s">
        <v>140</v>
      </c>
      <c r="D394" s="1446" t="s">
        <v>343</v>
      </c>
      <c r="E394" s="585" t="s">
        <v>344</v>
      </c>
      <c r="F394" s="65" t="s">
        <v>482</v>
      </c>
      <c r="G394" s="65" t="s">
        <v>483</v>
      </c>
      <c r="H394" s="65" t="s">
        <v>232</v>
      </c>
      <c r="I394" s="65" t="s">
        <v>171</v>
      </c>
    </row>
    <row r="395" spans="1:9" s="492" customFormat="1" ht="16.8">
      <c r="A395" s="2" t="s">
        <v>441</v>
      </c>
      <c r="B395" s="605" t="s">
        <v>5507</v>
      </c>
      <c r="C395" s="589">
        <v>1</v>
      </c>
      <c r="D395" s="6" t="s">
        <v>363</v>
      </c>
      <c r="E395" s="585">
        <v>261000</v>
      </c>
      <c r="F395" s="585"/>
      <c r="G395" s="585">
        <f>+C395*E395</f>
        <v>261000</v>
      </c>
      <c r="H395" s="585"/>
      <c r="I395" s="585"/>
    </row>
    <row r="396" spans="1:9" s="492" customFormat="1" ht="16.8">
      <c r="A396" s="2"/>
      <c r="B396" s="605" t="s">
        <v>5125</v>
      </c>
      <c r="C396" s="589">
        <v>6</v>
      </c>
      <c r="D396" s="6" t="s">
        <v>363</v>
      </c>
      <c r="E396" s="585">
        <v>15000</v>
      </c>
      <c r="F396" s="585"/>
      <c r="G396" s="585">
        <f t="shared" ref="G396:G397" si="19">+C396*E396</f>
        <v>90000</v>
      </c>
      <c r="H396" s="585"/>
      <c r="I396" s="585"/>
    </row>
    <row r="397" spans="1:9" s="492" customFormat="1" ht="16.8">
      <c r="A397" s="2"/>
      <c r="B397" s="605" t="s">
        <v>5126</v>
      </c>
      <c r="C397" s="589">
        <v>3</v>
      </c>
      <c r="D397" s="6" t="s">
        <v>363</v>
      </c>
      <c r="E397" s="585">
        <v>42000</v>
      </c>
      <c r="F397" s="585"/>
      <c r="G397" s="585">
        <f t="shared" si="19"/>
        <v>126000</v>
      </c>
      <c r="H397" s="585"/>
      <c r="I397" s="585"/>
    </row>
    <row r="398" spans="1:9" s="492" customFormat="1" ht="16.8">
      <c r="A398" s="2" t="s">
        <v>584</v>
      </c>
      <c r="B398" s="5" t="s">
        <v>5504</v>
      </c>
      <c r="C398" s="589">
        <v>1</v>
      </c>
      <c r="D398" s="2" t="s">
        <v>583</v>
      </c>
      <c r="E398" s="585">
        <v>1000</v>
      </c>
      <c r="F398" s="585"/>
      <c r="G398" s="585"/>
      <c r="H398" s="585"/>
      <c r="I398" s="585">
        <f>+C398*E398</f>
        <v>1000</v>
      </c>
    </row>
    <row r="399" spans="1:9" s="492" customFormat="1" ht="16.8">
      <c r="A399" s="587" t="s">
        <v>190</v>
      </c>
      <c r="B399" s="39">
        <f>SUM(G399:I399)</f>
        <v>478000</v>
      </c>
      <c r="C399" s="589"/>
      <c r="D399" s="601"/>
      <c r="E399" s="585"/>
      <c r="F399" s="585">
        <v>0</v>
      </c>
      <c r="G399" s="585">
        <f>SUM(G395:G398)</f>
        <v>477000</v>
      </c>
      <c r="H399" s="585">
        <f>SUM(H398:H398)</f>
        <v>0</v>
      </c>
      <c r="I399" s="585">
        <f>SUM(I395:I398)</f>
        <v>1000</v>
      </c>
    </row>
    <row r="400" spans="1:9" s="492" customFormat="1" ht="16.8">
      <c r="A400" s="587" t="s">
        <v>191</v>
      </c>
      <c r="B400" s="39">
        <f>SUM(B399:B399)</f>
        <v>478000</v>
      </c>
      <c r="C400" s="591" t="s">
        <v>363</v>
      </c>
      <c r="D400" s="13"/>
      <c r="E400" s="170"/>
      <c r="F400" s="170"/>
      <c r="G400" s="170"/>
      <c r="H400" s="170"/>
      <c r="I400" s="170"/>
    </row>
    <row r="402" spans="1:9" s="492" customFormat="1" ht="16.8">
      <c r="A402" s="594">
        <v>12.3</v>
      </c>
      <c r="B402" s="3547" t="s">
        <v>5508</v>
      </c>
      <c r="C402" s="3548"/>
      <c r="D402" s="3548"/>
      <c r="E402" s="3548"/>
      <c r="F402" s="3548"/>
      <c r="G402" s="3548"/>
      <c r="H402" s="3548"/>
      <c r="I402" s="3549"/>
    </row>
    <row r="403" spans="1:9" s="492" customFormat="1" ht="16.8">
      <c r="A403" s="1446"/>
      <c r="B403" s="179"/>
      <c r="C403" s="583" t="s">
        <v>140</v>
      </c>
      <c r="D403" s="1446" t="s">
        <v>343</v>
      </c>
      <c r="E403" s="585" t="s">
        <v>344</v>
      </c>
      <c r="F403" s="65" t="s">
        <v>482</v>
      </c>
      <c r="G403" s="65" t="s">
        <v>483</v>
      </c>
      <c r="H403" s="65" t="s">
        <v>232</v>
      </c>
      <c r="I403" s="65" t="s">
        <v>171</v>
      </c>
    </row>
    <row r="404" spans="1:9" s="492" customFormat="1" ht="16.8">
      <c r="A404" s="2"/>
      <c r="B404" s="100" t="s">
        <v>5485</v>
      </c>
      <c r="C404" s="589">
        <f>1/5</f>
        <v>0.2</v>
      </c>
      <c r="D404" s="2" t="s">
        <v>346</v>
      </c>
      <c r="E404" s="585">
        <v>90000</v>
      </c>
      <c r="F404" s="585"/>
      <c r="G404" s="585"/>
      <c r="H404" s="585">
        <f>+C404*E404</f>
        <v>18000</v>
      </c>
      <c r="I404" s="585"/>
    </row>
    <row r="405" spans="1:9" s="492" customFormat="1" ht="16.8">
      <c r="A405" s="2" t="s">
        <v>347</v>
      </c>
      <c r="B405" s="100" t="s">
        <v>5486</v>
      </c>
      <c r="C405" s="589">
        <f>1/5</f>
        <v>0.2</v>
      </c>
      <c r="D405" s="2" t="s">
        <v>346</v>
      </c>
      <c r="E405" s="585">
        <f>+AYUDR</f>
        <v>50299.76584</v>
      </c>
      <c r="F405" s="585"/>
      <c r="G405" s="585"/>
      <c r="H405" s="585">
        <f>+C405*E405</f>
        <v>10059.953168</v>
      </c>
      <c r="I405" s="585"/>
    </row>
    <row r="406" spans="1:9" s="492" customFormat="1" ht="16.8">
      <c r="A406" s="2" t="s">
        <v>172</v>
      </c>
      <c r="B406" s="18" t="s">
        <v>189</v>
      </c>
      <c r="C406" s="589">
        <v>1</v>
      </c>
      <c r="D406" s="6" t="s">
        <v>583</v>
      </c>
      <c r="E406" s="585">
        <f>+H407*0.05</f>
        <v>1402.9976584000001</v>
      </c>
      <c r="F406" s="585"/>
      <c r="G406" s="585"/>
      <c r="H406" s="585"/>
      <c r="I406" s="585">
        <v>2700.0761287500009</v>
      </c>
    </row>
    <row r="407" spans="1:9" s="492" customFormat="1" ht="16.8">
      <c r="A407" s="587" t="s">
        <v>190</v>
      </c>
      <c r="B407" s="588">
        <f>SUM(G407:I407)</f>
        <v>30760.029296749999</v>
      </c>
      <c r="C407" s="583"/>
      <c r="D407" s="169"/>
      <c r="E407" s="585"/>
      <c r="F407" s="65">
        <v>0</v>
      </c>
      <c r="G407" s="65" t="s">
        <v>441</v>
      </c>
      <c r="H407" s="65">
        <f>SUM(H404:H406)</f>
        <v>28059.953168</v>
      </c>
      <c r="I407" s="65">
        <f>SUM(I404:I406)</f>
        <v>2700.0761287500009</v>
      </c>
    </row>
    <row r="408" spans="1:9" s="492" customFormat="1" ht="16.8">
      <c r="A408" s="587" t="s">
        <v>191</v>
      </c>
      <c r="B408" s="39">
        <f>SUM(B407:B407)</f>
        <v>30760.029296749999</v>
      </c>
      <c r="C408" s="591" t="s">
        <v>363</v>
      </c>
      <c r="D408" s="13"/>
      <c r="E408" s="170"/>
      <c r="F408" s="170"/>
      <c r="G408" s="170"/>
      <c r="H408" s="170"/>
      <c r="I408" s="170"/>
    </row>
    <row r="409" spans="1:9">
      <c r="A409" s="492"/>
      <c r="B409" s="492"/>
      <c r="C409" s="492"/>
      <c r="D409" s="492"/>
      <c r="E409" s="492"/>
      <c r="F409" s="492"/>
      <c r="G409" s="492"/>
      <c r="H409" s="492"/>
      <c r="I409" s="492"/>
    </row>
    <row r="410" spans="1:9" s="492" customFormat="1" ht="16.8">
      <c r="A410" s="594">
        <v>12.3</v>
      </c>
      <c r="B410" s="3547" t="s">
        <v>5509</v>
      </c>
      <c r="C410" s="3548"/>
      <c r="D410" s="3548"/>
      <c r="E410" s="3548"/>
      <c r="F410" s="3548"/>
      <c r="G410" s="3548"/>
      <c r="H410" s="3548"/>
      <c r="I410" s="3549"/>
    </row>
    <row r="411" spans="1:9" s="492" customFormat="1" ht="16.8">
      <c r="A411" s="1446"/>
      <c r="B411" s="179"/>
      <c r="C411" s="583" t="s">
        <v>140</v>
      </c>
      <c r="D411" s="1446" t="s">
        <v>343</v>
      </c>
      <c r="E411" s="585" t="s">
        <v>344</v>
      </c>
      <c r="F411" s="65" t="s">
        <v>482</v>
      </c>
      <c r="G411" s="65" t="s">
        <v>483</v>
      </c>
      <c r="H411" s="65" t="s">
        <v>232</v>
      </c>
      <c r="I411" s="65" t="s">
        <v>171</v>
      </c>
    </row>
    <row r="412" spans="1:9" s="492" customFormat="1" ht="16.8">
      <c r="A412" s="2" t="s">
        <v>441</v>
      </c>
      <c r="B412" s="605" t="s">
        <v>5135</v>
      </c>
      <c r="C412" s="589">
        <v>5</v>
      </c>
      <c r="D412" s="6" t="s">
        <v>45</v>
      </c>
      <c r="E412" s="585">
        <v>3000</v>
      </c>
      <c r="F412" s="585"/>
      <c r="G412" s="585">
        <f>+C412*E412</f>
        <v>15000</v>
      </c>
      <c r="H412" s="585"/>
      <c r="I412" s="585"/>
    </row>
    <row r="413" spans="1:9" s="492" customFormat="1" ht="16.8">
      <c r="A413" s="2"/>
      <c r="B413" s="605" t="s">
        <v>5136</v>
      </c>
      <c r="C413" s="589">
        <v>15</v>
      </c>
      <c r="D413" s="6" t="s">
        <v>45</v>
      </c>
      <c r="E413" s="585">
        <v>1500</v>
      </c>
      <c r="F413" s="585"/>
      <c r="G413" s="585">
        <f t="shared" ref="G413:G417" si="20">+C413*E413</f>
        <v>22500</v>
      </c>
      <c r="H413" s="585"/>
      <c r="I413" s="585"/>
    </row>
    <row r="414" spans="1:9" s="492" customFormat="1" ht="16.8">
      <c r="A414" s="2"/>
      <c r="B414" s="605" t="s">
        <v>5510</v>
      </c>
      <c r="C414" s="589">
        <v>1</v>
      </c>
      <c r="D414" s="6" t="s">
        <v>363</v>
      </c>
      <c r="E414" s="585">
        <v>2500</v>
      </c>
      <c r="F414" s="585"/>
      <c r="G414" s="585">
        <f t="shared" si="20"/>
        <v>2500</v>
      </c>
      <c r="H414" s="585"/>
      <c r="I414" s="585"/>
    </row>
    <row r="415" spans="1:9" s="492" customFormat="1" ht="16.8">
      <c r="A415" s="2"/>
      <c r="B415" s="605" t="s">
        <v>5138</v>
      </c>
      <c r="C415" s="589">
        <v>2</v>
      </c>
      <c r="D415" s="6" t="s">
        <v>363</v>
      </c>
      <c r="E415" s="585">
        <v>1000</v>
      </c>
      <c r="F415" s="585"/>
      <c r="G415" s="585">
        <f t="shared" si="20"/>
        <v>2000</v>
      </c>
      <c r="H415" s="585"/>
      <c r="I415" s="585"/>
    </row>
    <row r="416" spans="1:9" s="492" customFormat="1" ht="16.8">
      <c r="A416" s="2"/>
      <c r="B416" s="605" t="s">
        <v>5139</v>
      </c>
      <c r="C416" s="589">
        <v>2</v>
      </c>
      <c r="D416" s="6" t="s">
        <v>363</v>
      </c>
      <c r="E416" s="585">
        <v>1000</v>
      </c>
      <c r="F416" s="585"/>
      <c r="G416" s="585">
        <f t="shared" si="20"/>
        <v>2000</v>
      </c>
      <c r="H416" s="585"/>
      <c r="I416" s="585"/>
    </row>
    <row r="417" spans="1:9" s="492" customFormat="1" ht="16.8">
      <c r="A417" s="2"/>
      <c r="B417" s="605" t="s">
        <v>5140</v>
      </c>
      <c r="C417" s="589">
        <v>1</v>
      </c>
      <c r="D417" s="6" t="s">
        <v>772</v>
      </c>
      <c r="E417" s="585">
        <v>2000</v>
      </c>
      <c r="F417" s="585"/>
      <c r="G417" s="585">
        <f t="shared" si="20"/>
        <v>2000</v>
      </c>
      <c r="H417" s="585"/>
      <c r="I417" s="585"/>
    </row>
    <row r="418" spans="1:9" s="492" customFormat="1" ht="16.8">
      <c r="A418" s="2" t="s">
        <v>584</v>
      </c>
      <c r="B418" s="5" t="s">
        <v>5511</v>
      </c>
      <c r="C418" s="589">
        <v>1</v>
      </c>
      <c r="D418" s="2" t="s">
        <v>583</v>
      </c>
      <c r="E418" s="585">
        <v>200</v>
      </c>
      <c r="F418" s="585"/>
      <c r="G418" s="585"/>
      <c r="H418" s="585"/>
      <c r="I418" s="585">
        <f>+C418*E418</f>
        <v>200</v>
      </c>
    </row>
    <row r="419" spans="1:9" s="492" customFormat="1" ht="16.8">
      <c r="A419" s="587" t="s">
        <v>190</v>
      </c>
      <c r="B419" s="39">
        <f>SUM(G419:I419)</f>
        <v>46200</v>
      </c>
      <c r="C419" s="589"/>
      <c r="D419" s="601"/>
      <c r="E419" s="585"/>
      <c r="F419" s="585">
        <v>0</v>
      </c>
      <c r="G419" s="585">
        <f>SUM(G412:G418)</f>
        <v>46000</v>
      </c>
      <c r="H419" s="585">
        <f>SUM(H418:H418)</f>
        <v>0</v>
      </c>
      <c r="I419" s="585">
        <f>SUM(I412:I418)</f>
        <v>200</v>
      </c>
    </row>
    <row r="420" spans="1:9" s="492" customFormat="1" ht="16.8">
      <c r="A420" s="587" t="s">
        <v>191</v>
      </c>
      <c r="B420" s="39">
        <f>SUM(B419:B419)</f>
        <v>46200</v>
      </c>
      <c r="C420" s="591" t="s">
        <v>363</v>
      </c>
      <c r="D420" s="13"/>
      <c r="E420" s="170"/>
      <c r="F420" s="170"/>
      <c r="G420" s="170"/>
      <c r="H420" s="170"/>
      <c r="I420" s="170"/>
    </row>
    <row r="422" spans="1:9" s="492" customFormat="1" ht="16.8">
      <c r="A422" s="594">
        <v>12.4</v>
      </c>
      <c r="B422" s="3547" t="s">
        <v>5512</v>
      </c>
      <c r="C422" s="3548"/>
      <c r="D422" s="3548"/>
      <c r="E422" s="3548"/>
      <c r="F422" s="3548"/>
      <c r="G422" s="3548"/>
      <c r="H422" s="3548"/>
      <c r="I422" s="3549"/>
    </row>
    <row r="423" spans="1:9" s="492" customFormat="1" ht="16.8">
      <c r="A423" s="1446"/>
      <c r="B423" s="179"/>
      <c r="C423" s="583" t="s">
        <v>140</v>
      </c>
      <c r="D423" s="1446" t="s">
        <v>343</v>
      </c>
      <c r="E423" s="585" t="s">
        <v>344</v>
      </c>
      <c r="F423" s="65" t="s">
        <v>482</v>
      </c>
      <c r="G423" s="65" t="s">
        <v>483</v>
      </c>
      <c r="H423" s="65" t="s">
        <v>232</v>
      </c>
      <c r="I423" s="65" t="s">
        <v>171</v>
      </c>
    </row>
    <row r="424" spans="1:9" s="492" customFormat="1" ht="16.8">
      <c r="A424" s="2"/>
      <c r="B424" s="100" t="s">
        <v>5485</v>
      </c>
      <c r="C424" s="589">
        <f>1/5</f>
        <v>0.2</v>
      </c>
      <c r="D424" s="2" t="s">
        <v>346</v>
      </c>
      <c r="E424" s="585">
        <v>90000</v>
      </c>
      <c r="F424" s="585"/>
      <c r="G424" s="585"/>
      <c r="H424" s="585">
        <f>+C424*E424</f>
        <v>18000</v>
      </c>
      <c r="I424" s="585"/>
    </row>
    <row r="425" spans="1:9" s="492" customFormat="1" ht="16.8">
      <c r="A425" s="2" t="s">
        <v>347</v>
      </c>
      <c r="B425" s="100" t="s">
        <v>5486</v>
      </c>
      <c r="C425" s="589">
        <f>1/5</f>
        <v>0.2</v>
      </c>
      <c r="D425" s="2" t="s">
        <v>346</v>
      </c>
      <c r="E425" s="585">
        <f>+AYUDR</f>
        <v>50299.76584</v>
      </c>
      <c r="F425" s="585"/>
      <c r="G425" s="585"/>
      <c r="H425" s="585">
        <f>+C425*E425</f>
        <v>10059.953168</v>
      </c>
      <c r="I425" s="585"/>
    </row>
    <row r="426" spans="1:9" s="492" customFormat="1" ht="16.8">
      <c r="A426" s="2" t="s">
        <v>172</v>
      </c>
      <c r="B426" s="18" t="s">
        <v>189</v>
      </c>
      <c r="C426" s="589">
        <v>1</v>
      </c>
      <c r="D426" s="6" t="s">
        <v>583</v>
      </c>
      <c r="E426" s="585">
        <f>+H427*0.05</f>
        <v>1402.9976584000001</v>
      </c>
      <c r="F426" s="585"/>
      <c r="G426" s="585"/>
      <c r="H426" s="585"/>
      <c r="I426" s="585">
        <v>2700.0761287500009</v>
      </c>
    </row>
    <row r="427" spans="1:9" s="492" customFormat="1" ht="16.8">
      <c r="A427" s="587" t="s">
        <v>190</v>
      </c>
      <c r="B427" s="588">
        <f>SUM(G427:I427)</f>
        <v>30760.029296749999</v>
      </c>
      <c r="C427" s="583"/>
      <c r="D427" s="169"/>
      <c r="E427" s="585"/>
      <c r="F427" s="65">
        <v>0</v>
      </c>
      <c r="G427" s="65" t="s">
        <v>441</v>
      </c>
      <c r="H427" s="65">
        <f>SUM(H424:H426)</f>
        <v>28059.953168</v>
      </c>
      <c r="I427" s="65">
        <f>SUM(I424:I426)</f>
        <v>2700.0761287500009</v>
      </c>
    </row>
    <row r="428" spans="1:9" s="492" customFormat="1" ht="16.8">
      <c r="A428" s="587" t="s">
        <v>191</v>
      </c>
      <c r="B428" s="39">
        <f>SUM(B427:B427)</f>
        <v>30760.029296749999</v>
      </c>
      <c r="C428" s="591" t="s">
        <v>363</v>
      </c>
      <c r="D428" s="13"/>
      <c r="E428" s="170"/>
      <c r="F428" s="170"/>
      <c r="G428" s="170"/>
      <c r="H428" s="170"/>
      <c r="I428" s="170"/>
    </row>
    <row r="430" spans="1:9" s="492" customFormat="1" ht="16.8">
      <c r="A430" s="594">
        <v>12.4</v>
      </c>
      <c r="B430" s="3547" t="s">
        <v>5513</v>
      </c>
      <c r="C430" s="3548"/>
      <c r="D430" s="3548"/>
      <c r="E430" s="3548"/>
      <c r="F430" s="3548"/>
      <c r="G430" s="3548"/>
      <c r="H430" s="3548"/>
      <c r="I430" s="3549"/>
    </row>
    <row r="431" spans="1:9" s="492" customFormat="1" ht="16.8">
      <c r="A431" s="1446"/>
      <c r="B431" s="179"/>
      <c r="C431" s="583" t="s">
        <v>140</v>
      </c>
      <c r="D431" s="1446" t="s">
        <v>343</v>
      </c>
      <c r="E431" s="585" t="s">
        <v>344</v>
      </c>
      <c r="F431" s="65" t="s">
        <v>482</v>
      </c>
      <c r="G431" s="65" t="s">
        <v>483</v>
      </c>
      <c r="H431" s="65" t="s">
        <v>232</v>
      </c>
      <c r="I431" s="65" t="s">
        <v>171</v>
      </c>
    </row>
    <row r="432" spans="1:9" s="492" customFormat="1" ht="16.8">
      <c r="A432" s="2" t="s">
        <v>441</v>
      </c>
      <c r="B432" s="605" t="s">
        <v>5145</v>
      </c>
      <c r="C432" s="589">
        <v>5</v>
      </c>
      <c r="D432" s="6" t="s">
        <v>45</v>
      </c>
      <c r="E432" s="585">
        <v>1500</v>
      </c>
      <c r="F432" s="585"/>
      <c r="G432" s="585">
        <f>+C432*E432</f>
        <v>7500</v>
      </c>
      <c r="H432" s="585"/>
      <c r="I432" s="585"/>
    </row>
    <row r="433" spans="1:9" s="492" customFormat="1" ht="16.8">
      <c r="A433" s="2"/>
      <c r="B433" s="605" t="s">
        <v>5136</v>
      </c>
      <c r="C433" s="589">
        <v>15</v>
      </c>
      <c r="D433" s="6" t="s">
        <v>45</v>
      </c>
      <c r="E433" s="585">
        <v>1500</v>
      </c>
      <c r="F433" s="585"/>
      <c r="G433" s="585">
        <f t="shared" ref="G433:G438" si="21">+C433*E433</f>
        <v>22500</v>
      </c>
      <c r="H433" s="585"/>
      <c r="I433" s="585"/>
    </row>
    <row r="434" spans="1:9" s="492" customFormat="1" ht="16.8">
      <c r="A434" s="2"/>
      <c r="B434" s="605" t="s">
        <v>5514</v>
      </c>
      <c r="C434" s="589">
        <v>1</v>
      </c>
      <c r="D434" s="6" t="s">
        <v>363</v>
      </c>
      <c r="E434" s="585">
        <v>1200</v>
      </c>
      <c r="F434" s="585"/>
      <c r="G434" s="585">
        <f t="shared" si="21"/>
        <v>1200</v>
      </c>
      <c r="H434" s="585"/>
      <c r="I434" s="585"/>
    </row>
    <row r="435" spans="1:9" s="492" customFormat="1" ht="16.8">
      <c r="A435" s="2"/>
      <c r="B435" s="605" t="s">
        <v>5147</v>
      </c>
      <c r="C435" s="589">
        <v>2</v>
      </c>
      <c r="D435" s="6" t="s">
        <v>363</v>
      </c>
      <c r="E435" s="585">
        <v>500</v>
      </c>
      <c r="F435" s="585"/>
      <c r="G435" s="585">
        <f t="shared" si="21"/>
        <v>1000</v>
      </c>
      <c r="H435" s="585"/>
      <c r="I435" s="585"/>
    </row>
    <row r="436" spans="1:9" s="492" customFormat="1" ht="16.8">
      <c r="A436" s="2"/>
      <c r="B436" s="605" t="s">
        <v>5148</v>
      </c>
      <c r="C436" s="589">
        <v>2</v>
      </c>
      <c r="D436" s="6" t="s">
        <v>363</v>
      </c>
      <c r="E436" s="585">
        <v>500</v>
      </c>
      <c r="F436" s="585"/>
      <c r="G436" s="585">
        <f t="shared" si="21"/>
        <v>1000</v>
      </c>
      <c r="H436" s="585"/>
      <c r="I436" s="585"/>
    </row>
    <row r="437" spans="1:9" s="492" customFormat="1" ht="16.8">
      <c r="A437" s="2"/>
      <c r="B437" s="605" t="s">
        <v>5149</v>
      </c>
      <c r="C437" s="589">
        <v>1</v>
      </c>
      <c r="D437" s="6" t="s">
        <v>363</v>
      </c>
      <c r="E437" s="585">
        <v>4000</v>
      </c>
      <c r="F437" s="585"/>
      <c r="G437" s="585">
        <f t="shared" si="21"/>
        <v>4000</v>
      </c>
      <c r="H437" s="585"/>
      <c r="I437" s="585"/>
    </row>
    <row r="438" spans="1:9" s="492" customFormat="1" ht="16.8">
      <c r="A438" s="2"/>
      <c r="B438" s="605" t="s">
        <v>5140</v>
      </c>
      <c r="C438" s="589">
        <v>1</v>
      </c>
      <c r="D438" s="6" t="s">
        <v>772</v>
      </c>
      <c r="E438" s="585">
        <v>2000</v>
      </c>
      <c r="F438" s="585"/>
      <c r="G438" s="585">
        <f t="shared" si="21"/>
        <v>2000</v>
      </c>
      <c r="H438" s="585"/>
      <c r="I438" s="585"/>
    </row>
    <row r="439" spans="1:9" s="492" customFormat="1" ht="16.8">
      <c r="A439" s="2" t="s">
        <v>584</v>
      </c>
      <c r="B439" s="5" t="s">
        <v>5511</v>
      </c>
      <c r="C439" s="589">
        <v>1</v>
      </c>
      <c r="D439" s="2" t="s">
        <v>583</v>
      </c>
      <c r="E439" s="585">
        <v>200</v>
      </c>
      <c r="F439" s="585"/>
      <c r="G439" s="585"/>
      <c r="H439" s="585"/>
      <c r="I439" s="585">
        <f>+C439*E439</f>
        <v>200</v>
      </c>
    </row>
    <row r="440" spans="1:9" s="492" customFormat="1" ht="16.8">
      <c r="A440" s="587" t="s">
        <v>190</v>
      </c>
      <c r="B440" s="39">
        <f>SUM(G440:I440)</f>
        <v>39400</v>
      </c>
      <c r="C440" s="589"/>
      <c r="D440" s="601"/>
      <c r="E440" s="585"/>
      <c r="F440" s="585">
        <v>0</v>
      </c>
      <c r="G440" s="585">
        <f>SUM(G432:G439)</f>
        <v>39200</v>
      </c>
      <c r="H440" s="585">
        <f>SUM(H439:H439)</f>
        <v>0</v>
      </c>
      <c r="I440" s="585">
        <f>SUM(I432:I439)</f>
        <v>200</v>
      </c>
    </row>
    <row r="441" spans="1:9" s="492" customFormat="1" ht="16.8">
      <c r="A441" s="587" t="s">
        <v>191</v>
      </c>
      <c r="B441" s="39">
        <f>SUM(B440:B440)</f>
        <v>39400</v>
      </c>
      <c r="C441" s="591" t="s">
        <v>363</v>
      </c>
      <c r="D441" s="13"/>
      <c r="E441" s="170"/>
      <c r="F441" s="170"/>
      <c r="G441" s="170"/>
      <c r="H441" s="170"/>
      <c r="I441" s="170"/>
    </row>
    <row r="443" spans="1:9" s="492" customFormat="1" ht="16.8">
      <c r="A443" s="594">
        <v>12.5</v>
      </c>
      <c r="B443" s="3547" t="s">
        <v>5515</v>
      </c>
      <c r="C443" s="3548"/>
      <c r="D443" s="3548"/>
      <c r="E443" s="3548"/>
      <c r="F443" s="3548"/>
      <c r="G443" s="3548"/>
      <c r="H443" s="3548"/>
      <c r="I443" s="3549"/>
    </row>
    <row r="444" spans="1:9" s="492" customFormat="1" ht="16.8">
      <c r="A444" s="1446"/>
      <c r="B444" s="179"/>
      <c r="C444" s="583" t="s">
        <v>140</v>
      </c>
      <c r="D444" s="1446" t="s">
        <v>343</v>
      </c>
      <c r="E444" s="585" t="s">
        <v>344</v>
      </c>
      <c r="F444" s="65" t="s">
        <v>482</v>
      </c>
      <c r="G444" s="65" t="s">
        <v>483</v>
      </c>
      <c r="H444" s="65" t="s">
        <v>232</v>
      </c>
      <c r="I444" s="65" t="s">
        <v>171</v>
      </c>
    </row>
    <row r="445" spans="1:9" s="492" customFormat="1" ht="16.8">
      <c r="A445" s="2"/>
      <c r="B445" s="100" t="s">
        <v>5485</v>
      </c>
      <c r="C445" s="589">
        <f>1/4</f>
        <v>0.25</v>
      </c>
      <c r="D445" s="2" t="s">
        <v>346</v>
      </c>
      <c r="E445" s="585">
        <v>90000</v>
      </c>
      <c r="F445" s="585"/>
      <c r="G445" s="585"/>
      <c r="H445" s="585">
        <f>+C445*E445</f>
        <v>22500</v>
      </c>
      <c r="I445" s="585"/>
    </row>
    <row r="446" spans="1:9" s="492" customFormat="1" ht="16.8">
      <c r="A446" s="2" t="s">
        <v>347</v>
      </c>
      <c r="B446" s="100" t="s">
        <v>5486</v>
      </c>
      <c r="C446" s="589">
        <f>1/4</f>
        <v>0.25</v>
      </c>
      <c r="D446" s="2" t="s">
        <v>346</v>
      </c>
      <c r="E446" s="585">
        <f>+AYUDR</f>
        <v>50299.76584</v>
      </c>
      <c r="F446" s="585"/>
      <c r="G446" s="585"/>
      <c r="H446" s="585">
        <f>+C446*E446</f>
        <v>12574.94146</v>
      </c>
      <c r="I446" s="585"/>
    </row>
    <row r="447" spans="1:9" s="492" customFormat="1" ht="16.8">
      <c r="A447" s="2" t="s">
        <v>172</v>
      </c>
      <c r="B447" s="18" t="s">
        <v>189</v>
      </c>
      <c r="C447" s="589">
        <v>1</v>
      </c>
      <c r="D447" s="6" t="s">
        <v>583</v>
      </c>
      <c r="E447" s="585">
        <f>+H448*0.05</f>
        <v>1753.7470730000002</v>
      </c>
      <c r="F447" s="585"/>
      <c r="G447" s="585"/>
      <c r="H447" s="585"/>
      <c r="I447" s="585">
        <v>2700.0761287500009</v>
      </c>
    </row>
    <row r="448" spans="1:9" s="492" customFormat="1" ht="16.8">
      <c r="A448" s="587" t="s">
        <v>190</v>
      </c>
      <c r="B448" s="588">
        <f>SUM(G448:I448)</f>
        <v>37775.017588750001</v>
      </c>
      <c r="C448" s="583"/>
      <c r="D448" s="169"/>
      <c r="E448" s="585"/>
      <c r="F448" s="65">
        <v>0</v>
      </c>
      <c r="G448" s="65" t="s">
        <v>441</v>
      </c>
      <c r="H448" s="65">
        <f>SUM(H445:H447)</f>
        <v>35074.941460000002</v>
      </c>
      <c r="I448" s="65">
        <f>SUM(I445:I447)</f>
        <v>2700.0761287500009</v>
      </c>
    </row>
    <row r="449" spans="1:9" s="492" customFormat="1" ht="16.8">
      <c r="A449" s="587" t="s">
        <v>191</v>
      </c>
      <c r="B449" s="39">
        <f>SUM(B448:B448)</f>
        <v>37775.017588750001</v>
      </c>
      <c r="C449" s="591" t="s">
        <v>363</v>
      </c>
      <c r="D449" s="13"/>
      <c r="E449" s="170"/>
      <c r="F449" s="170"/>
      <c r="G449" s="170"/>
      <c r="H449" s="170"/>
      <c r="I449" s="170"/>
    </row>
    <row r="451" spans="1:9" s="492" customFormat="1" ht="16.8">
      <c r="A451" s="594">
        <v>12.5</v>
      </c>
      <c r="B451" s="3547" t="s">
        <v>5516</v>
      </c>
      <c r="C451" s="3548"/>
      <c r="D451" s="3548"/>
      <c r="E451" s="3548"/>
      <c r="F451" s="3548"/>
      <c r="G451" s="3548"/>
      <c r="H451" s="3548"/>
      <c r="I451" s="3549"/>
    </row>
    <row r="452" spans="1:9" s="492" customFormat="1" ht="16.8">
      <c r="A452" s="1446"/>
      <c r="B452" s="179"/>
      <c r="C452" s="583" t="s">
        <v>140</v>
      </c>
      <c r="D452" s="1446" t="s">
        <v>343</v>
      </c>
      <c r="E452" s="585" t="s">
        <v>344</v>
      </c>
      <c r="F452" s="65" t="s">
        <v>482</v>
      </c>
      <c r="G452" s="65" t="s">
        <v>483</v>
      </c>
      <c r="H452" s="65" t="s">
        <v>232</v>
      </c>
      <c r="I452" s="65" t="s">
        <v>171</v>
      </c>
    </row>
    <row r="453" spans="1:9" s="492" customFormat="1" ht="16.8">
      <c r="A453" s="2" t="s">
        <v>441</v>
      </c>
      <c r="B453" s="605" t="s">
        <v>5153</v>
      </c>
      <c r="C453" s="589">
        <v>5</v>
      </c>
      <c r="D453" s="6" t="s">
        <v>45</v>
      </c>
      <c r="E453" s="585">
        <v>2500</v>
      </c>
      <c r="F453" s="585"/>
      <c r="G453" s="585">
        <f>+C453*E453</f>
        <v>12500</v>
      </c>
      <c r="H453" s="585"/>
      <c r="I453" s="585"/>
    </row>
    <row r="454" spans="1:9" s="492" customFormat="1" ht="16.8">
      <c r="A454" s="2"/>
      <c r="B454" s="605" t="s">
        <v>5154</v>
      </c>
      <c r="C454" s="589">
        <v>12</v>
      </c>
      <c r="D454" s="6" t="s">
        <v>45</v>
      </c>
      <c r="E454" s="585">
        <v>2100</v>
      </c>
      <c r="F454" s="585"/>
      <c r="G454" s="585">
        <f t="shared" ref="G454:G458" si="22">+C454*E454</f>
        <v>25200</v>
      </c>
      <c r="H454" s="585"/>
      <c r="I454" s="585"/>
    </row>
    <row r="455" spans="1:9" s="492" customFormat="1" ht="16.8">
      <c r="A455" s="2"/>
      <c r="B455" s="605" t="s">
        <v>5155</v>
      </c>
      <c r="C455" s="589">
        <v>1</v>
      </c>
      <c r="D455" s="6" t="s">
        <v>363</v>
      </c>
      <c r="E455" s="585">
        <v>1500</v>
      </c>
      <c r="F455" s="585"/>
      <c r="G455" s="585">
        <f t="shared" si="22"/>
        <v>1500</v>
      </c>
      <c r="H455" s="585"/>
      <c r="I455" s="585"/>
    </row>
    <row r="456" spans="1:9" s="492" customFormat="1" ht="16.8">
      <c r="A456" s="2"/>
      <c r="B456" s="605" t="s">
        <v>5156</v>
      </c>
      <c r="C456" s="589">
        <v>2</v>
      </c>
      <c r="D456" s="6" t="s">
        <v>363</v>
      </c>
      <c r="E456" s="585">
        <v>600</v>
      </c>
      <c r="F456" s="585"/>
      <c r="G456" s="585">
        <f t="shared" si="22"/>
        <v>1200</v>
      </c>
      <c r="H456" s="585"/>
      <c r="I456" s="585"/>
    </row>
    <row r="457" spans="1:9" s="492" customFormat="1" ht="16.8">
      <c r="A457" s="2"/>
      <c r="B457" s="605" t="s">
        <v>5157</v>
      </c>
      <c r="C457" s="589">
        <v>1</v>
      </c>
      <c r="D457" s="6" t="s">
        <v>363</v>
      </c>
      <c r="E457" s="585">
        <v>9500</v>
      </c>
      <c r="F457" s="585"/>
      <c r="G457" s="585">
        <f t="shared" si="22"/>
        <v>9500</v>
      </c>
      <c r="H457" s="585"/>
      <c r="I457" s="585"/>
    </row>
    <row r="458" spans="1:9" s="492" customFormat="1" ht="16.8">
      <c r="A458" s="2"/>
      <c r="B458" s="605" t="s">
        <v>5140</v>
      </c>
      <c r="C458" s="589">
        <v>1</v>
      </c>
      <c r="D458" s="6" t="s">
        <v>772</v>
      </c>
      <c r="E458" s="585">
        <v>2000</v>
      </c>
      <c r="F458" s="585"/>
      <c r="G458" s="585">
        <f t="shared" si="22"/>
        <v>2000</v>
      </c>
      <c r="H458" s="585"/>
      <c r="I458" s="585"/>
    </row>
    <row r="459" spans="1:9" s="492" customFormat="1" ht="16.8">
      <c r="A459" s="2" t="s">
        <v>584</v>
      </c>
      <c r="B459" s="5" t="s">
        <v>5511</v>
      </c>
      <c r="C459" s="589">
        <v>1</v>
      </c>
      <c r="D459" s="2" t="s">
        <v>583</v>
      </c>
      <c r="E459" s="585">
        <v>200</v>
      </c>
      <c r="F459" s="585"/>
      <c r="G459" s="585"/>
      <c r="H459" s="585"/>
      <c r="I459" s="585">
        <f>+C459*E459</f>
        <v>200</v>
      </c>
    </row>
    <row r="460" spans="1:9" s="492" customFormat="1" ht="16.8">
      <c r="A460" s="587" t="s">
        <v>190</v>
      </c>
      <c r="B460" s="39">
        <f>SUM(G460:I460)</f>
        <v>52100</v>
      </c>
      <c r="C460" s="589"/>
      <c r="D460" s="601"/>
      <c r="E460" s="585"/>
      <c r="F460" s="585">
        <v>0</v>
      </c>
      <c r="G460" s="585">
        <f>SUM(G453:G459)</f>
        <v>51900</v>
      </c>
      <c r="H460" s="585">
        <f>SUM(H459:H459)</f>
        <v>0</v>
      </c>
      <c r="I460" s="585">
        <f>SUM(I453:I459)</f>
        <v>200</v>
      </c>
    </row>
    <row r="461" spans="1:9" s="492" customFormat="1" ht="16.8">
      <c r="A461" s="587" t="s">
        <v>191</v>
      </c>
      <c r="B461" s="39">
        <f>SUM(B460:B460)</f>
        <v>52100</v>
      </c>
      <c r="C461" s="591" t="s">
        <v>363</v>
      </c>
      <c r="D461" s="13"/>
      <c r="E461" s="170"/>
      <c r="F461" s="170"/>
      <c r="G461" s="170"/>
      <c r="H461" s="170"/>
      <c r="I461" s="170"/>
    </row>
    <row r="463" spans="1:9" s="1458" customFormat="1" ht="16.8">
      <c r="A463" s="594">
        <v>12.6</v>
      </c>
      <c r="B463" s="3547" t="s">
        <v>5517</v>
      </c>
      <c r="C463" s="3548"/>
      <c r="D463" s="3548"/>
      <c r="E463" s="3548"/>
      <c r="F463" s="3548"/>
      <c r="G463" s="3548"/>
      <c r="H463" s="3548"/>
      <c r="I463" s="3549"/>
    </row>
    <row r="464" spans="1:9" s="1458" customFormat="1" ht="16.8">
      <c r="A464" s="1446"/>
      <c r="B464" s="179"/>
      <c r="C464" s="583" t="s">
        <v>140</v>
      </c>
      <c r="D464" s="1446" t="s">
        <v>343</v>
      </c>
      <c r="E464" s="585" t="s">
        <v>344</v>
      </c>
      <c r="F464" s="65" t="s">
        <v>482</v>
      </c>
      <c r="G464" s="65" t="s">
        <v>483</v>
      </c>
      <c r="H464" s="65" t="s">
        <v>232</v>
      </c>
      <c r="I464" s="65" t="s">
        <v>171</v>
      </c>
    </row>
    <row r="465" spans="1:9" s="1458" customFormat="1" ht="16.8">
      <c r="A465" s="2"/>
      <c r="B465" s="100" t="s">
        <v>5485</v>
      </c>
      <c r="C465" s="589">
        <f>1/6</f>
        <v>0.16666666666666666</v>
      </c>
      <c r="D465" s="2" t="s">
        <v>346</v>
      </c>
      <c r="E465" s="585">
        <v>90000</v>
      </c>
      <c r="F465" s="585"/>
      <c r="G465" s="585"/>
      <c r="H465" s="585">
        <f>+C465*E465</f>
        <v>15000</v>
      </c>
      <c r="I465" s="585"/>
    </row>
    <row r="466" spans="1:9" s="1458" customFormat="1" ht="16.8">
      <c r="A466" s="2" t="s">
        <v>347</v>
      </c>
      <c r="B466" s="100" t="s">
        <v>5486</v>
      </c>
      <c r="C466" s="589">
        <f>1/6</f>
        <v>0.16666666666666666</v>
      </c>
      <c r="D466" s="2" t="s">
        <v>346</v>
      </c>
      <c r="E466" s="585">
        <f>+AYUDR</f>
        <v>50299.76584</v>
      </c>
      <c r="F466" s="585"/>
      <c r="G466" s="585"/>
      <c r="H466" s="585">
        <f>+C466*E466</f>
        <v>8383.2943066666667</v>
      </c>
      <c r="I466" s="585"/>
    </row>
    <row r="467" spans="1:9" s="1458" customFormat="1" ht="16.8">
      <c r="A467" s="2" t="s">
        <v>172</v>
      </c>
      <c r="B467" s="18" t="s">
        <v>189</v>
      </c>
      <c r="C467" s="589">
        <v>1</v>
      </c>
      <c r="D467" s="6" t="s">
        <v>583</v>
      </c>
      <c r="E467" s="585">
        <f>+H468*0.05</f>
        <v>1169.1647153333333</v>
      </c>
      <c r="F467" s="585"/>
      <c r="G467" s="585"/>
      <c r="H467" s="585"/>
      <c r="I467" s="585">
        <v>2700.0761287500009</v>
      </c>
    </row>
    <row r="468" spans="1:9" s="1458" customFormat="1" ht="16.8">
      <c r="A468" s="587" t="s">
        <v>190</v>
      </c>
      <c r="B468" s="588">
        <f>SUM(G468:I468)</f>
        <v>26083.370435416669</v>
      </c>
      <c r="C468" s="583"/>
      <c r="D468" s="169"/>
      <c r="E468" s="585"/>
      <c r="F468" s="65">
        <v>0</v>
      </c>
      <c r="G468" s="65" t="s">
        <v>441</v>
      </c>
      <c r="H468" s="65">
        <f>SUM(H465:H467)</f>
        <v>23383.294306666667</v>
      </c>
      <c r="I468" s="65">
        <f>SUM(I465:I467)</f>
        <v>2700.0761287500009</v>
      </c>
    </row>
    <row r="469" spans="1:9" s="1458" customFormat="1" ht="16.8">
      <c r="A469" s="587" t="s">
        <v>191</v>
      </c>
      <c r="B469" s="39">
        <f>SUM(B468:B468)</f>
        <v>26083.370435416669</v>
      </c>
      <c r="C469" s="591" t="s">
        <v>363</v>
      </c>
      <c r="D469" s="13"/>
      <c r="E469" s="170"/>
      <c r="F469" s="170"/>
      <c r="G469" s="170"/>
      <c r="H469" s="170"/>
      <c r="I469" s="170"/>
    </row>
    <row r="470" spans="1:9">
      <c r="A470" s="492"/>
      <c r="B470" s="492"/>
      <c r="C470" s="492"/>
      <c r="D470" s="492"/>
      <c r="E470" s="492"/>
      <c r="F470" s="492"/>
      <c r="G470" s="492"/>
      <c r="H470" s="492"/>
      <c r="I470" s="492"/>
    </row>
    <row r="471" spans="1:9" s="492" customFormat="1" ht="16.8">
      <c r="A471" s="594">
        <v>12.6</v>
      </c>
      <c r="B471" s="3547" t="s">
        <v>5518</v>
      </c>
      <c r="C471" s="3548"/>
      <c r="D471" s="3548"/>
      <c r="E471" s="3548"/>
      <c r="F471" s="3548"/>
      <c r="G471" s="3548"/>
      <c r="H471" s="3548"/>
      <c r="I471" s="3549"/>
    </row>
    <row r="472" spans="1:9" s="492" customFormat="1" ht="16.8">
      <c r="A472" s="1446"/>
      <c r="B472" s="179"/>
      <c r="C472" s="583" t="s">
        <v>140</v>
      </c>
      <c r="D472" s="1446" t="s">
        <v>343</v>
      </c>
      <c r="E472" s="585" t="s">
        <v>344</v>
      </c>
      <c r="F472" s="65" t="s">
        <v>482</v>
      </c>
      <c r="G472" s="65" t="s">
        <v>483</v>
      </c>
      <c r="H472" s="65" t="s">
        <v>232</v>
      </c>
      <c r="I472" s="65" t="s">
        <v>171</v>
      </c>
    </row>
    <row r="473" spans="1:9" s="492" customFormat="1" ht="16.8">
      <c r="A473" s="2" t="s">
        <v>441</v>
      </c>
      <c r="B473" s="605" t="s">
        <v>5161</v>
      </c>
      <c r="C473" s="589">
        <v>1</v>
      </c>
      <c r="D473" s="6" t="s">
        <v>363</v>
      </c>
      <c r="E473" s="585">
        <v>215000</v>
      </c>
      <c r="F473" s="585"/>
      <c r="G473" s="585">
        <f>+C473*E473</f>
        <v>215000</v>
      </c>
      <c r="H473" s="585"/>
      <c r="I473" s="585"/>
    </row>
    <row r="474" spans="1:9" s="492" customFormat="1" ht="16.8">
      <c r="A474" s="2" t="s">
        <v>584</v>
      </c>
      <c r="B474" s="180" t="s">
        <v>5519</v>
      </c>
      <c r="C474" s="589">
        <v>1</v>
      </c>
      <c r="D474" s="2" t="s">
        <v>583</v>
      </c>
      <c r="E474" s="1439">
        <v>200</v>
      </c>
      <c r="F474" s="585"/>
      <c r="G474" s="585"/>
      <c r="H474" s="585"/>
      <c r="I474" s="585">
        <f>+C474*E474</f>
        <v>200</v>
      </c>
    </row>
    <row r="475" spans="1:9" s="492" customFormat="1" ht="16.8">
      <c r="A475" s="587" t="s">
        <v>190</v>
      </c>
      <c r="B475" s="588">
        <f>SUM(G475:I475)</f>
        <v>215200</v>
      </c>
      <c r="C475" s="583"/>
      <c r="D475" s="169"/>
      <c r="E475" s="585"/>
      <c r="F475" s="65">
        <v>0</v>
      </c>
      <c r="G475" s="65">
        <f>SUM(G473:G474)</f>
        <v>215000</v>
      </c>
      <c r="H475" s="65">
        <f>SUM(H474:H474)</f>
        <v>0</v>
      </c>
      <c r="I475" s="65">
        <f>SUM(I473:I474)</f>
        <v>200</v>
      </c>
    </row>
    <row r="476" spans="1:9" s="492" customFormat="1" ht="16.8">
      <c r="A476" s="587" t="s">
        <v>191</v>
      </c>
      <c r="B476" s="39">
        <f>SUM(B475:B475)</f>
        <v>215200</v>
      </c>
      <c r="C476" s="591" t="s">
        <v>363</v>
      </c>
      <c r="D476" s="13"/>
      <c r="E476" s="170"/>
      <c r="F476" s="170"/>
      <c r="G476" s="170"/>
      <c r="H476" s="170"/>
      <c r="I476" s="170"/>
    </row>
    <row r="478" spans="1:9" s="492" customFormat="1" ht="16.8">
      <c r="A478" s="594">
        <v>12.7</v>
      </c>
      <c r="B478" s="3547" t="s">
        <v>5520</v>
      </c>
      <c r="C478" s="3548"/>
      <c r="D478" s="3548"/>
      <c r="E478" s="3548"/>
      <c r="F478" s="3548"/>
      <c r="G478" s="3548"/>
      <c r="H478" s="3548"/>
      <c r="I478" s="3549"/>
    </row>
    <row r="479" spans="1:9" s="492" customFormat="1" ht="16.8">
      <c r="A479" s="1446"/>
      <c r="B479" s="179"/>
      <c r="C479" s="583" t="s">
        <v>140</v>
      </c>
      <c r="D479" s="1446" t="s">
        <v>343</v>
      </c>
      <c r="E479" s="585" t="s">
        <v>344</v>
      </c>
      <c r="F479" s="65" t="s">
        <v>482</v>
      </c>
      <c r="G479" s="65" t="s">
        <v>483</v>
      </c>
      <c r="H479" s="65" t="s">
        <v>232</v>
      </c>
      <c r="I479" s="65" t="s">
        <v>171</v>
      </c>
    </row>
    <row r="480" spans="1:9" s="492" customFormat="1" ht="16.8">
      <c r="A480" s="2"/>
      <c r="B480" s="100" t="s">
        <v>5485</v>
      </c>
      <c r="C480" s="589">
        <f>1/6</f>
        <v>0.16666666666666666</v>
      </c>
      <c r="D480" s="2" t="s">
        <v>346</v>
      </c>
      <c r="E480" s="585">
        <v>90000</v>
      </c>
      <c r="F480" s="585"/>
      <c r="G480" s="585"/>
      <c r="H480" s="585">
        <f>+C480*E480</f>
        <v>15000</v>
      </c>
      <c r="I480" s="585"/>
    </row>
    <row r="481" spans="1:9" s="492" customFormat="1" ht="16.8">
      <c r="A481" s="2" t="s">
        <v>347</v>
      </c>
      <c r="B481" s="100" t="s">
        <v>5486</v>
      </c>
      <c r="C481" s="589">
        <f>1/6</f>
        <v>0.16666666666666666</v>
      </c>
      <c r="D481" s="2" t="s">
        <v>346</v>
      </c>
      <c r="E481" s="585">
        <f>+AYUDR</f>
        <v>50299.76584</v>
      </c>
      <c r="F481" s="585"/>
      <c r="G481" s="585"/>
      <c r="H481" s="585">
        <f>+C481*E481</f>
        <v>8383.2943066666667</v>
      </c>
      <c r="I481" s="585"/>
    </row>
    <row r="482" spans="1:9" s="492" customFormat="1" ht="16.8">
      <c r="A482" s="2" t="s">
        <v>172</v>
      </c>
      <c r="B482" s="18" t="s">
        <v>189</v>
      </c>
      <c r="C482" s="589">
        <v>1</v>
      </c>
      <c r="D482" s="6" t="s">
        <v>583</v>
      </c>
      <c r="E482" s="585">
        <f>+H483*0.05</f>
        <v>1169.1647153333333</v>
      </c>
      <c r="F482" s="585"/>
      <c r="G482" s="585"/>
      <c r="H482" s="585"/>
      <c r="I482" s="585">
        <v>2700.0761287500009</v>
      </c>
    </row>
    <row r="483" spans="1:9" s="492" customFormat="1" ht="16.8">
      <c r="A483" s="587" t="s">
        <v>190</v>
      </c>
      <c r="B483" s="588">
        <f>SUM(G483:I483)</f>
        <v>26083.370435416669</v>
      </c>
      <c r="C483" s="583"/>
      <c r="D483" s="169"/>
      <c r="E483" s="585"/>
      <c r="F483" s="65">
        <v>0</v>
      </c>
      <c r="G483" s="65" t="s">
        <v>441</v>
      </c>
      <c r="H483" s="65">
        <f>SUM(H480:H482)</f>
        <v>23383.294306666667</v>
      </c>
      <c r="I483" s="65">
        <f>SUM(I480:I482)</f>
        <v>2700.0761287500009</v>
      </c>
    </row>
    <row r="484" spans="1:9" s="492" customFormat="1" ht="16.8">
      <c r="A484" s="587" t="s">
        <v>191</v>
      </c>
      <c r="B484" s="39">
        <f>SUM(B483:B483)</f>
        <v>26083.370435416669</v>
      </c>
      <c r="C484" s="591" t="s">
        <v>363</v>
      </c>
      <c r="D484" s="13"/>
      <c r="E484" s="170"/>
      <c r="F484" s="170"/>
      <c r="G484" s="170"/>
      <c r="H484" s="170"/>
      <c r="I484" s="170"/>
    </row>
    <row r="485" spans="1:9">
      <c r="A485" s="492"/>
      <c r="B485" s="492"/>
      <c r="C485" s="492"/>
      <c r="D485" s="492"/>
      <c r="E485" s="492"/>
      <c r="F485" s="492"/>
      <c r="G485" s="492"/>
      <c r="H485" s="492"/>
      <c r="I485" s="492"/>
    </row>
    <row r="486" spans="1:9" s="492" customFormat="1" ht="16.8">
      <c r="A486" s="594">
        <v>12.7</v>
      </c>
      <c r="B486" s="3547" t="s">
        <v>5165</v>
      </c>
      <c r="C486" s="3548"/>
      <c r="D486" s="3548"/>
      <c r="E486" s="3548"/>
      <c r="F486" s="3548"/>
      <c r="G486" s="3548"/>
      <c r="H486" s="3548"/>
      <c r="I486" s="3549"/>
    </row>
    <row r="487" spans="1:9" s="492" customFormat="1" ht="16.8">
      <c r="A487" s="1446"/>
      <c r="B487" s="179"/>
      <c r="C487" s="583" t="s">
        <v>140</v>
      </c>
      <c r="D487" s="1446" t="s">
        <v>343</v>
      </c>
      <c r="E487" s="585" t="s">
        <v>344</v>
      </c>
      <c r="F487" s="65" t="s">
        <v>482</v>
      </c>
      <c r="G487" s="65" t="s">
        <v>483</v>
      </c>
      <c r="H487" s="65" t="s">
        <v>232</v>
      </c>
      <c r="I487" s="65" t="s">
        <v>171</v>
      </c>
    </row>
    <row r="488" spans="1:9" s="492" customFormat="1" ht="16.8">
      <c r="A488" s="2" t="s">
        <v>441</v>
      </c>
      <c r="B488" s="605" t="s">
        <v>5166</v>
      </c>
      <c r="C488" s="589">
        <v>1</v>
      </c>
      <c r="D488" s="6" t="s">
        <v>363</v>
      </c>
      <c r="E488" s="585">
        <v>70000</v>
      </c>
      <c r="F488" s="585"/>
      <c r="G488" s="585">
        <f>+C488*E488</f>
        <v>70000</v>
      </c>
      <c r="H488" s="585"/>
      <c r="I488" s="585"/>
    </row>
    <row r="489" spans="1:9" s="492" customFormat="1" ht="16.8">
      <c r="A489" s="2" t="s">
        <v>584</v>
      </c>
      <c r="B489" s="180" t="s">
        <v>5521</v>
      </c>
      <c r="C489" s="589">
        <v>1</v>
      </c>
      <c r="D489" s="2" t="s">
        <v>583</v>
      </c>
      <c r="E489" s="585">
        <v>200</v>
      </c>
      <c r="F489" s="585"/>
      <c r="G489" s="585"/>
      <c r="H489" s="585"/>
      <c r="I489" s="585">
        <f>+C489*E489</f>
        <v>200</v>
      </c>
    </row>
    <row r="490" spans="1:9" s="492" customFormat="1" ht="16.8">
      <c r="A490" s="587" t="s">
        <v>190</v>
      </c>
      <c r="B490" s="588">
        <f>SUM(G490:I490)</f>
        <v>70200</v>
      </c>
      <c r="C490" s="583"/>
      <c r="D490" s="169"/>
      <c r="E490" s="585"/>
      <c r="F490" s="65">
        <v>0</v>
      </c>
      <c r="G490" s="65">
        <f>SUM(G488:G489)</f>
        <v>70000</v>
      </c>
      <c r="H490" s="65">
        <f>SUM(H489:H489)</f>
        <v>0</v>
      </c>
      <c r="I490" s="65">
        <f>SUM(I488:I489)</f>
        <v>200</v>
      </c>
    </row>
    <row r="491" spans="1:9" s="492" customFormat="1" ht="16.8">
      <c r="A491" s="587" t="s">
        <v>191</v>
      </c>
      <c r="B491" s="39">
        <f>SUM(B490:B490)</f>
        <v>70200</v>
      </c>
      <c r="C491" s="591" t="s">
        <v>363</v>
      </c>
      <c r="D491" s="13"/>
      <c r="E491" s="170"/>
      <c r="F491" s="170"/>
      <c r="G491" s="170"/>
      <c r="H491" s="170"/>
      <c r="I491" s="170"/>
    </row>
    <row r="492" spans="1:9" s="492" customFormat="1" ht="16.8">
      <c r="A492" s="596"/>
      <c r="B492" s="597"/>
      <c r="C492" s="598"/>
      <c r="D492" s="596"/>
      <c r="E492" s="599"/>
      <c r="F492" s="599"/>
      <c r="G492" s="599"/>
      <c r="H492" s="599"/>
      <c r="I492" s="599"/>
    </row>
    <row r="493" spans="1:9" s="492" customFormat="1" ht="29.25" customHeight="1">
      <c r="A493" s="594">
        <v>13.1</v>
      </c>
      <c r="B493" s="3547" t="s">
        <v>5522</v>
      </c>
      <c r="C493" s="3548"/>
      <c r="D493" s="3548"/>
      <c r="E493" s="3548"/>
      <c r="F493" s="3548"/>
      <c r="G493" s="3548"/>
      <c r="H493" s="3548"/>
      <c r="I493" s="3549"/>
    </row>
    <row r="494" spans="1:9" s="492" customFormat="1" ht="14.25" customHeight="1">
      <c r="A494" s="1446"/>
      <c r="B494" s="179"/>
      <c r="C494" s="583" t="s">
        <v>140</v>
      </c>
      <c r="D494" s="1446" t="s">
        <v>343</v>
      </c>
      <c r="E494" s="585" t="s">
        <v>344</v>
      </c>
      <c r="F494" s="65" t="s">
        <v>482</v>
      </c>
      <c r="G494" s="65" t="s">
        <v>483</v>
      </c>
      <c r="H494" s="65" t="s">
        <v>232</v>
      </c>
      <c r="I494" s="65" t="s">
        <v>171</v>
      </c>
    </row>
    <row r="495" spans="1:9" s="492" customFormat="1" ht="16.8">
      <c r="A495" s="2"/>
      <c r="B495" s="100" t="s">
        <v>5485</v>
      </c>
      <c r="C495" s="589">
        <f>1/10</f>
        <v>0.1</v>
      </c>
      <c r="D495" s="2" t="s">
        <v>346</v>
      </c>
      <c r="E495" s="585">
        <v>90000</v>
      </c>
      <c r="F495" s="585"/>
      <c r="G495" s="585"/>
      <c r="H495" s="585">
        <f>+C495*E495</f>
        <v>9000</v>
      </c>
      <c r="I495" s="585"/>
    </row>
    <row r="496" spans="1:9" s="492" customFormat="1" ht="16.8">
      <c r="A496" s="2" t="s">
        <v>347</v>
      </c>
      <c r="B496" s="100" t="s">
        <v>5486</v>
      </c>
      <c r="C496" s="589">
        <f>1/10</f>
        <v>0.1</v>
      </c>
      <c r="D496" s="2" t="s">
        <v>346</v>
      </c>
      <c r="E496" s="585">
        <f>+AYUDR</f>
        <v>50299.76584</v>
      </c>
      <c r="F496" s="585"/>
      <c r="G496" s="585"/>
      <c r="H496" s="585">
        <f>+C496*E496</f>
        <v>5029.976584</v>
      </c>
      <c r="I496" s="585"/>
    </row>
    <row r="497" spans="1:9" s="492" customFormat="1" ht="16.8">
      <c r="A497" s="2" t="s">
        <v>172</v>
      </c>
      <c r="B497" s="18" t="s">
        <v>189</v>
      </c>
      <c r="C497" s="589">
        <v>1</v>
      </c>
      <c r="D497" s="6" t="s">
        <v>583</v>
      </c>
      <c r="E497" s="585">
        <f>+H498*0.05</f>
        <v>701.49882920000005</v>
      </c>
      <c r="F497" s="585"/>
      <c r="G497" s="585"/>
      <c r="H497" s="585"/>
      <c r="I497" s="585">
        <v>2700.0761287500009</v>
      </c>
    </row>
    <row r="498" spans="1:9" s="492" customFormat="1" ht="16.8">
      <c r="A498" s="587" t="s">
        <v>190</v>
      </c>
      <c r="B498" s="588">
        <f>SUM(G498:I498)</f>
        <v>16730.052712750003</v>
      </c>
      <c r="C498" s="583"/>
      <c r="D498" s="169"/>
      <c r="E498" s="585"/>
      <c r="F498" s="65">
        <v>0</v>
      </c>
      <c r="G498" s="65" t="s">
        <v>441</v>
      </c>
      <c r="H498" s="65">
        <f>SUM(H495:H497)</f>
        <v>14029.976584</v>
      </c>
      <c r="I498" s="65">
        <f>SUM(I495:I497)</f>
        <v>2700.0761287500009</v>
      </c>
    </row>
    <row r="499" spans="1:9" s="492" customFormat="1" ht="16.8">
      <c r="A499" s="587" t="s">
        <v>191</v>
      </c>
      <c r="B499" s="39">
        <f>SUM(B498:B498)</f>
        <v>16730.052712750003</v>
      </c>
      <c r="C499" s="591" t="s">
        <v>363</v>
      </c>
      <c r="D499" s="13"/>
      <c r="E499" s="170"/>
      <c r="F499" s="170"/>
      <c r="G499" s="170"/>
      <c r="H499" s="170"/>
      <c r="I499" s="170"/>
    </row>
    <row r="500" spans="1:9" ht="16.8">
      <c r="A500" s="17"/>
    </row>
    <row r="501" spans="1:9" s="492" customFormat="1" ht="30.75" customHeight="1">
      <c r="A501" s="594">
        <v>13.1</v>
      </c>
      <c r="B501" s="3547" t="s">
        <v>5168</v>
      </c>
      <c r="C501" s="3548"/>
      <c r="D501" s="3548"/>
      <c r="E501" s="3548"/>
      <c r="F501" s="3548"/>
      <c r="G501" s="3548"/>
      <c r="H501" s="3548"/>
      <c r="I501" s="3549"/>
    </row>
    <row r="502" spans="1:9" s="492" customFormat="1" ht="16.8">
      <c r="A502" s="1446"/>
      <c r="B502" s="179"/>
      <c r="C502" s="583" t="s">
        <v>140</v>
      </c>
      <c r="D502" s="1446" t="s">
        <v>343</v>
      </c>
      <c r="E502" s="585" t="s">
        <v>344</v>
      </c>
      <c r="F502" s="65" t="s">
        <v>482</v>
      </c>
      <c r="G502" s="65" t="s">
        <v>483</v>
      </c>
      <c r="H502" s="65" t="s">
        <v>232</v>
      </c>
      <c r="I502" s="65" t="s">
        <v>171</v>
      </c>
    </row>
    <row r="503" spans="1:9" s="492" customFormat="1" ht="16.8">
      <c r="A503" s="2" t="s">
        <v>441</v>
      </c>
      <c r="B503" s="605" t="s">
        <v>5169</v>
      </c>
      <c r="C503" s="589">
        <v>3</v>
      </c>
      <c r="D503" s="6" t="s">
        <v>94</v>
      </c>
      <c r="E503" s="585">
        <v>3000</v>
      </c>
      <c r="F503" s="585"/>
      <c r="G503" s="585">
        <f>+C503*E503</f>
        <v>9000</v>
      </c>
      <c r="H503" s="585"/>
      <c r="I503" s="585"/>
    </row>
    <row r="504" spans="1:9" s="492" customFormat="1" ht="16.8">
      <c r="A504" s="2"/>
      <c r="B504" s="605" t="s">
        <v>5170</v>
      </c>
      <c r="C504" s="589">
        <v>1</v>
      </c>
      <c r="D504" s="6" t="s">
        <v>363</v>
      </c>
      <c r="E504" s="585">
        <v>3000</v>
      </c>
      <c r="F504" s="585"/>
      <c r="G504" s="585">
        <f t="shared" ref="G504" si="23">+C504*E504</f>
        <v>3000</v>
      </c>
      <c r="H504" s="585"/>
      <c r="I504" s="585"/>
    </row>
    <row r="505" spans="1:9" s="492" customFormat="1" ht="16.8">
      <c r="A505" s="2" t="s">
        <v>584</v>
      </c>
      <c r="B505" s="180" t="s">
        <v>5521</v>
      </c>
      <c r="C505" s="589">
        <v>1</v>
      </c>
      <c r="D505" s="2" t="s">
        <v>583</v>
      </c>
      <c r="E505" s="585">
        <v>200</v>
      </c>
      <c r="F505" s="585"/>
      <c r="G505" s="585"/>
      <c r="H505" s="585"/>
      <c r="I505" s="585">
        <f>+C505*E505</f>
        <v>200</v>
      </c>
    </row>
    <row r="506" spans="1:9" s="492" customFormat="1" ht="16.8">
      <c r="A506" s="587" t="s">
        <v>190</v>
      </c>
      <c r="B506" s="588">
        <f>SUM(G506:I506)</f>
        <v>12200</v>
      </c>
      <c r="C506" s="583"/>
      <c r="D506" s="169"/>
      <c r="E506" s="585"/>
      <c r="F506" s="65">
        <v>0</v>
      </c>
      <c r="G506" s="65">
        <f>SUM(G503:G505)</f>
        <v>12000</v>
      </c>
      <c r="H506" s="65">
        <f>SUM(H505:H505)</f>
        <v>0</v>
      </c>
      <c r="I506" s="65">
        <f>SUM(I503:I505)</f>
        <v>200</v>
      </c>
    </row>
    <row r="507" spans="1:9" s="492" customFormat="1" ht="16.8">
      <c r="A507" s="587" t="s">
        <v>191</v>
      </c>
      <c r="B507" s="39">
        <f>SUM(B506:B506)</f>
        <v>12200</v>
      </c>
      <c r="C507" s="591" t="s">
        <v>363</v>
      </c>
      <c r="D507" s="13"/>
      <c r="E507" s="170"/>
      <c r="F507" s="170"/>
      <c r="G507" s="170"/>
      <c r="H507" s="170"/>
      <c r="I507" s="170"/>
    </row>
    <row r="509" spans="1:9" ht="16.8">
      <c r="A509" s="1456">
        <v>13.2</v>
      </c>
      <c r="B509" s="4363" t="s">
        <v>5523</v>
      </c>
      <c r="C509" s="4364"/>
      <c r="D509" s="4364"/>
      <c r="E509" s="4364"/>
      <c r="F509" s="4364"/>
      <c r="G509" s="4364"/>
      <c r="H509" s="4364"/>
      <c r="I509" s="4365"/>
    </row>
    <row r="510" spans="1:9" ht="16.8">
      <c r="A510" s="1446"/>
      <c r="B510" s="179"/>
      <c r="C510" s="583" t="s">
        <v>140</v>
      </c>
      <c r="D510" s="1446" t="s">
        <v>343</v>
      </c>
      <c r="E510" s="585" t="s">
        <v>344</v>
      </c>
      <c r="F510" s="65" t="s">
        <v>482</v>
      </c>
      <c r="G510" s="65" t="s">
        <v>483</v>
      </c>
      <c r="H510" s="65" t="s">
        <v>232</v>
      </c>
      <c r="I510" s="65" t="s">
        <v>171</v>
      </c>
    </row>
    <row r="511" spans="1:9" ht="16.8">
      <c r="A511" s="2"/>
      <c r="B511" s="1455" t="s">
        <v>5485</v>
      </c>
      <c r="C511" s="1452">
        <v>1</v>
      </c>
      <c r="D511" s="1457" t="s">
        <v>346</v>
      </c>
      <c r="E511" s="1454">
        <v>90000</v>
      </c>
      <c r="F511" s="585"/>
      <c r="G511" s="585"/>
      <c r="H511" s="585">
        <f>+C511*E511</f>
        <v>90000</v>
      </c>
      <c r="I511" s="585"/>
    </row>
    <row r="512" spans="1:9" ht="16.8">
      <c r="A512" s="2" t="s">
        <v>347</v>
      </c>
      <c r="B512" s="1455" t="s">
        <v>5486</v>
      </c>
      <c r="C512" s="1452">
        <v>1</v>
      </c>
      <c r="D512" s="1457" t="s">
        <v>346</v>
      </c>
      <c r="E512" s="1454">
        <v>54000</v>
      </c>
      <c r="F512" s="585"/>
      <c r="G512" s="585"/>
      <c r="H512" s="585">
        <f>+C512*E512</f>
        <v>54000</v>
      </c>
      <c r="I512" s="585"/>
    </row>
    <row r="513" spans="1:9" ht="16.8">
      <c r="A513" s="2" t="s">
        <v>172</v>
      </c>
      <c r="B513" s="18" t="s">
        <v>189</v>
      </c>
      <c r="C513" s="589">
        <v>1</v>
      </c>
      <c r="D513" s="6" t="s">
        <v>583</v>
      </c>
      <c r="E513" s="585">
        <f>+H514*0.05</f>
        <v>7200</v>
      </c>
      <c r="F513" s="585"/>
      <c r="G513" s="585"/>
      <c r="H513" s="585"/>
      <c r="I513" s="585">
        <v>2700.0761287500009</v>
      </c>
    </row>
    <row r="514" spans="1:9" ht="16.8">
      <c r="A514" s="587" t="s">
        <v>190</v>
      </c>
      <c r="B514" s="588">
        <f>SUM(G514:I514)</f>
        <v>146700.07612874999</v>
      </c>
      <c r="C514" s="583"/>
      <c r="D514" s="169"/>
      <c r="E514" s="585"/>
      <c r="F514" s="65">
        <v>0</v>
      </c>
      <c r="G514" s="65" t="s">
        <v>441</v>
      </c>
      <c r="H514" s="65">
        <f>SUM(H511:H513)</f>
        <v>144000</v>
      </c>
      <c r="I514" s="65">
        <f>SUM(I511:I513)</f>
        <v>2700.0761287500009</v>
      </c>
    </row>
    <row r="515" spans="1:9" ht="16.8">
      <c r="A515" s="587" t="s">
        <v>191</v>
      </c>
      <c r="B515" s="39">
        <f>SUM(B514:B514)</f>
        <v>146700.07612874999</v>
      </c>
      <c r="C515" s="591" t="s">
        <v>363</v>
      </c>
      <c r="D515" s="13"/>
      <c r="E515" s="170"/>
      <c r="F515" s="170"/>
      <c r="G515" s="170"/>
      <c r="H515" s="170"/>
      <c r="I515" s="170"/>
    </row>
  </sheetData>
  <mergeCells count="55">
    <mergeCell ref="B277:I277"/>
    <mergeCell ref="B238:I238"/>
    <mergeCell ref="B246:I246"/>
    <mergeCell ref="B253:I253"/>
    <mergeCell ref="B262:I262"/>
    <mergeCell ref="B269:I269"/>
    <mergeCell ref="B193:I193"/>
    <mergeCell ref="B206:I206"/>
    <mergeCell ref="B214:I214"/>
    <mergeCell ref="B222:I222"/>
    <mergeCell ref="B230:I230"/>
    <mergeCell ref="B168:I168"/>
    <mergeCell ref="B176:I176"/>
    <mergeCell ref="B185:I185"/>
    <mergeCell ref="B44:I44"/>
    <mergeCell ref="B54:I54"/>
    <mergeCell ref="B61:I61"/>
    <mergeCell ref="B69:I69"/>
    <mergeCell ref="B147:I147"/>
    <mergeCell ref="B157:I157"/>
    <mergeCell ref="B5:I5"/>
    <mergeCell ref="B13:I13"/>
    <mergeCell ref="B21:I21"/>
    <mergeCell ref="B29:I29"/>
    <mergeCell ref="B138:I138"/>
    <mergeCell ref="B84:I84"/>
    <mergeCell ref="B92:I92"/>
    <mergeCell ref="B106:I106"/>
    <mergeCell ref="B114:I114"/>
    <mergeCell ref="B128:I128"/>
    <mergeCell ref="B304:I304"/>
    <mergeCell ref="B312:I312"/>
    <mergeCell ref="B320:I320"/>
    <mergeCell ref="B328:I328"/>
    <mergeCell ref="B335:I335"/>
    <mergeCell ref="B343:I343"/>
    <mergeCell ref="B351:I351"/>
    <mergeCell ref="B359:I359"/>
    <mergeCell ref="B368:I368"/>
    <mergeCell ref="B376:I376"/>
    <mergeCell ref="B385:I385"/>
    <mergeCell ref="B393:I393"/>
    <mergeCell ref="B402:I402"/>
    <mergeCell ref="B410:I410"/>
    <mergeCell ref="B422:I422"/>
    <mergeCell ref="B430:I430"/>
    <mergeCell ref="B443:I443"/>
    <mergeCell ref="B451:I451"/>
    <mergeCell ref="B463:I463"/>
    <mergeCell ref="B471:I471"/>
    <mergeCell ref="B478:I478"/>
    <mergeCell ref="B486:I486"/>
    <mergeCell ref="B493:I493"/>
    <mergeCell ref="B501:I501"/>
    <mergeCell ref="B509:I509"/>
  </mergeCells>
  <dataValidations count="3">
    <dataValidation allowBlank="1" showInputMessage="1" showErrorMessage="1" prompt="Escriba una breve descripción de los materiales que analiza" sqref="B15:B16 B32:B39 B71:B79 B94:B101 B116:B123 B131 B140:B143 B150 B159:B162 B178:B180 B195:B201 B216:B217 B232:B233 B248 B264 B280:B299"/>
    <dataValidation allowBlank="1" showInputMessage="1" showErrorMessage="1" prompt="Escriba la unidad de medida en que se mide el material" sqref="D71:D79 D94:D101 D116:D123 D131 D140:D143 D150 D159:D162 D178:D180 D195:D201 D216:D217 D232:D233 D248 D264"/>
    <dataValidation allowBlank="1" showInputMessage="1" showErrorMessage="1" prompt="Escriba la cantidad de material que se analiza" sqref="C71:C79 C94:C101 C116:C123 C131 C140:C143 C150 C159:C162 C178:C180 C195:C201 C216:C217 C232:C233 C248 C264 C285:C299"/>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56"/>
  <sheetViews>
    <sheetView view="pageBreakPreview" topLeftCell="A27" zoomScale="70" zoomScaleNormal="100" zoomScaleSheetLayoutView="70" workbookViewId="0">
      <selection activeCell="E49" sqref="E49"/>
    </sheetView>
  </sheetViews>
  <sheetFormatPr baseColWidth="10" defaultColWidth="12.109375" defaultRowHeight="13.8"/>
  <cols>
    <col min="1" max="1" width="12.109375" style="1944"/>
    <col min="2" max="2" width="10.6640625" style="1953" customWidth="1"/>
    <col min="3" max="3" width="35.5546875" style="1944" customWidth="1"/>
    <col min="4" max="4" width="14.33203125" style="1953" customWidth="1"/>
    <col min="5" max="5" width="14.33203125" style="1944" customWidth="1"/>
    <col min="6" max="6" width="15" style="1944" customWidth="1"/>
    <col min="7" max="7" width="14.33203125" style="1944" customWidth="1"/>
    <col min="8" max="8" width="12.109375" style="1944"/>
    <col min="9" max="9" width="14.33203125" style="1944" customWidth="1"/>
    <col min="10" max="10" width="17.44140625" style="1944" customWidth="1"/>
    <col min="11" max="11" width="16.33203125" style="1944" hidden="1" customWidth="1"/>
    <col min="12" max="12" width="15.6640625" style="1944" hidden="1" customWidth="1"/>
    <col min="13" max="13" width="13.6640625" style="1944" hidden="1" customWidth="1"/>
    <col min="14" max="14" width="0" style="1944" hidden="1" customWidth="1"/>
    <col min="15" max="15" width="25" style="1944" hidden="1" customWidth="1"/>
    <col min="16" max="16" width="11.5546875" style="1944" hidden="1" customWidth="1"/>
    <col min="17" max="24" width="0" style="1944" hidden="1" customWidth="1"/>
    <col min="25" max="25" width="16.33203125" style="1944" bestFit="1" customWidth="1"/>
    <col min="26" max="257" width="12.109375" style="1944"/>
    <col min="258" max="258" width="10.6640625" style="1944" customWidth="1"/>
    <col min="259" max="259" width="32.33203125" style="1944" customWidth="1"/>
    <col min="260" max="266" width="14.33203125" style="1944" customWidth="1"/>
    <col min="267" max="267" width="12.109375" style="1944"/>
    <col min="268" max="268" width="15.6640625" style="1944" bestFit="1" customWidth="1"/>
    <col min="269" max="269" width="13.6640625" style="1944" bestFit="1" customWidth="1"/>
    <col min="270" max="513" width="12.109375" style="1944"/>
    <col min="514" max="514" width="10.6640625" style="1944" customWidth="1"/>
    <col min="515" max="515" width="32.33203125" style="1944" customWidth="1"/>
    <col min="516" max="522" width="14.33203125" style="1944" customWidth="1"/>
    <col min="523" max="523" width="12.109375" style="1944"/>
    <col min="524" max="524" width="15.6640625" style="1944" bestFit="1" customWidth="1"/>
    <col min="525" max="525" width="13.6640625" style="1944" bestFit="1" customWidth="1"/>
    <col min="526" max="769" width="12.109375" style="1944"/>
    <col min="770" max="770" width="10.6640625" style="1944" customWidth="1"/>
    <col min="771" max="771" width="32.33203125" style="1944" customWidth="1"/>
    <col min="772" max="778" width="14.33203125" style="1944" customWidth="1"/>
    <col min="779" max="779" width="12.109375" style="1944"/>
    <col min="780" max="780" width="15.6640625" style="1944" bestFit="1" customWidth="1"/>
    <col min="781" max="781" width="13.6640625" style="1944" bestFit="1" customWidth="1"/>
    <col min="782" max="1025" width="12.109375" style="1944"/>
    <col min="1026" max="1026" width="10.6640625" style="1944" customWidth="1"/>
    <col min="1027" max="1027" width="32.33203125" style="1944" customWidth="1"/>
    <col min="1028" max="1034" width="14.33203125" style="1944" customWidth="1"/>
    <col min="1035" max="1035" width="12.109375" style="1944"/>
    <col min="1036" max="1036" width="15.6640625" style="1944" bestFit="1" customWidth="1"/>
    <col min="1037" max="1037" width="13.6640625" style="1944" bestFit="1" customWidth="1"/>
    <col min="1038" max="1281" width="12.109375" style="1944"/>
    <col min="1282" max="1282" width="10.6640625" style="1944" customWidth="1"/>
    <col min="1283" max="1283" width="32.33203125" style="1944" customWidth="1"/>
    <col min="1284" max="1290" width="14.33203125" style="1944" customWidth="1"/>
    <col min="1291" max="1291" width="12.109375" style="1944"/>
    <col min="1292" max="1292" width="15.6640625" style="1944" bestFit="1" customWidth="1"/>
    <col min="1293" max="1293" width="13.6640625" style="1944" bestFit="1" customWidth="1"/>
    <col min="1294" max="1537" width="12.109375" style="1944"/>
    <col min="1538" max="1538" width="10.6640625" style="1944" customWidth="1"/>
    <col min="1539" max="1539" width="32.33203125" style="1944" customWidth="1"/>
    <col min="1540" max="1546" width="14.33203125" style="1944" customWidth="1"/>
    <col min="1547" max="1547" width="12.109375" style="1944"/>
    <col min="1548" max="1548" width="15.6640625" style="1944" bestFit="1" customWidth="1"/>
    <col min="1549" max="1549" width="13.6640625" style="1944" bestFit="1" customWidth="1"/>
    <col min="1550" max="1793" width="12.109375" style="1944"/>
    <col min="1794" max="1794" width="10.6640625" style="1944" customWidth="1"/>
    <col min="1795" max="1795" width="32.33203125" style="1944" customWidth="1"/>
    <col min="1796" max="1802" width="14.33203125" style="1944" customWidth="1"/>
    <col min="1803" max="1803" width="12.109375" style="1944"/>
    <col min="1804" max="1804" width="15.6640625" style="1944" bestFit="1" customWidth="1"/>
    <col min="1805" max="1805" width="13.6640625" style="1944" bestFit="1" customWidth="1"/>
    <col min="1806" max="2049" width="12.109375" style="1944"/>
    <col min="2050" max="2050" width="10.6640625" style="1944" customWidth="1"/>
    <col min="2051" max="2051" width="32.33203125" style="1944" customWidth="1"/>
    <col min="2052" max="2058" width="14.33203125" style="1944" customWidth="1"/>
    <col min="2059" max="2059" width="12.109375" style="1944"/>
    <col min="2060" max="2060" width="15.6640625" style="1944" bestFit="1" customWidth="1"/>
    <col min="2061" max="2061" width="13.6640625" style="1944" bestFit="1" customWidth="1"/>
    <col min="2062" max="2305" width="12.109375" style="1944"/>
    <col min="2306" max="2306" width="10.6640625" style="1944" customWidth="1"/>
    <col min="2307" max="2307" width="32.33203125" style="1944" customWidth="1"/>
    <col min="2308" max="2314" width="14.33203125" style="1944" customWidth="1"/>
    <col min="2315" max="2315" width="12.109375" style="1944"/>
    <col min="2316" max="2316" width="15.6640625" style="1944" bestFit="1" customWidth="1"/>
    <col min="2317" max="2317" width="13.6640625" style="1944" bestFit="1" customWidth="1"/>
    <col min="2318" max="2561" width="12.109375" style="1944"/>
    <col min="2562" max="2562" width="10.6640625" style="1944" customWidth="1"/>
    <col min="2563" max="2563" width="32.33203125" style="1944" customWidth="1"/>
    <col min="2564" max="2570" width="14.33203125" style="1944" customWidth="1"/>
    <col min="2571" max="2571" width="12.109375" style="1944"/>
    <col min="2572" max="2572" width="15.6640625" style="1944" bestFit="1" customWidth="1"/>
    <col min="2573" max="2573" width="13.6640625" style="1944" bestFit="1" customWidth="1"/>
    <col min="2574" max="2817" width="12.109375" style="1944"/>
    <col min="2818" max="2818" width="10.6640625" style="1944" customWidth="1"/>
    <col min="2819" max="2819" width="32.33203125" style="1944" customWidth="1"/>
    <col min="2820" max="2826" width="14.33203125" style="1944" customWidth="1"/>
    <col min="2827" max="2827" width="12.109375" style="1944"/>
    <col min="2828" max="2828" width="15.6640625" style="1944" bestFit="1" customWidth="1"/>
    <col min="2829" max="2829" width="13.6640625" style="1944" bestFit="1" customWidth="1"/>
    <col min="2830" max="3073" width="12.109375" style="1944"/>
    <col min="3074" max="3074" width="10.6640625" style="1944" customWidth="1"/>
    <col min="3075" max="3075" width="32.33203125" style="1944" customWidth="1"/>
    <col min="3076" max="3082" width="14.33203125" style="1944" customWidth="1"/>
    <col min="3083" max="3083" width="12.109375" style="1944"/>
    <col min="3084" max="3084" width="15.6640625" style="1944" bestFit="1" customWidth="1"/>
    <col min="3085" max="3085" width="13.6640625" style="1944" bestFit="1" customWidth="1"/>
    <col min="3086" max="3329" width="12.109375" style="1944"/>
    <col min="3330" max="3330" width="10.6640625" style="1944" customWidth="1"/>
    <col min="3331" max="3331" width="32.33203125" style="1944" customWidth="1"/>
    <col min="3332" max="3338" width="14.33203125" style="1944" customWidth="1"/>
    <col min="3339" max="3339" width="12.109375" style="1944"/>
    <col min="3340" max="3340" width="15.6640625" style="1944" bestFit="1" customWidth="1"/>
    <col min="3341" max="3341" width="13.6640625" style="1944" bestFit="1" customWidth="1"/>
    <col min="3342" max="3585" width="12.109375" style="1944"/>
    <col min="3586" max="3586" width="10.6640625" style="1944" customWidth="1"/>
    <col min="3587" max="3587" width="32.33203125" style="1944" customWidth="1"/>
    <col min="3588" max="3594" width="14.33203125" style="1944" customWidth="1"/>
    <col min="3595" max="3595" width="12.109375" style="1944"/>
    <col min="3596" max="3596" width="15.6640625" style="1944" bestFit="1" customWidth="1"/>
    <col min="3597" max="3597" width="13.6640625" style="1944" bestFit="1" customWidth="1"/>
    <col min="3598" max="3841" width="12.109375" style="1944"/>
    <col min="3842" max="3842" width="10.6640625" style="1944" customWidth="1"/>
    <col min="3843" max="3843" width="32.33203125" style="1944" customWidth="1"/>
    <col min="3844" max="3850" width="14.33203125" style="1944" customWidth="1"/>
    <col min="3851" max="3851" width="12.109375" style="1944"/>
    <col min="3852" max="3852" width="15.6640625" style="1944" bestFit="1" customWidth="1"/>
    <col min="3853" max="3853" width="13.6640625" style="1944" bestFit="1" customWidth="1"/>
    <col min="3854" max="4097" width="12.109375" style="1944"/>
    <col min="4098" max="4098" width="10.6640625" style="1944" customWidth="1"/>
    <col min="4099" max="4099" width="32.33203125" style="1944" customWidth="1"/>
    <col min="4100" max="4106" width="14.33203125" style="1944" customWidth="1"/>
    <col min="4107" max="4107" width="12.109375" style="1944"/>
    <col min="4108" max="4108" width="15.6640625" style="1944" bestFit="1" customWidth="1"/>
    <col min="4109" max="4109" width="13.6640625" style="1944" bestFit="1" customWidth="1"/>
    <col min="4110" max="4353" width="12.109375" style="1944"/>
    <col min="4354" max="4354" width="10.6640625" style="1944" customWidth="1"/>
    <col min="4355" max="4355" width="32.33203125" style="1944" customWidth="1"/>
    <col min="4356" max="4362" width="14.33203125" style="1944" customWidth="1"/>
    <col min="4363" max="4363" width="12.109375" style="1944"/>
    <col min="4364" max="4364" width="15.6640625" style="1944" bestFit="1" customWidth="1"/>
    <col min="4365" max="4365" width="13.6640625" style="1944" bestFit="1" customWidth="1"/>
    <col min="4366" max="4609" width="12.109375" style="1944"/>
    <col min="4610" max="4610" width="10.6640625" style="1944" customWidth="1"/>
    <col min="4611" max="4611" width="32.33203125" style="1944" customWidth="1"/>
    <col min="4612" max="4618" width="14.33203125" style="1944" customWidth="1"/>
    <col min="4619" max="4619" width="12.109375" style="1944"/>
    <col min="4620" max="4620" width="15.6640625" style="1944" bestFit="1" customWidth="1"/>
    <col min="4621" max="4621" width="13.6640625" style="1944" bestFit="1" customWidth="1"/>
    <col min="4622" max="4865" width="12.109375" style="1944"/>
    <col min="4866" max="4866" width="10.6640625" style="1944" customWidth="1"/>
    <col min="4867" max="4867" width="32.33203125" style="1944" customWidth="1"/>
    <col min="4868" max="4874" width="14.33203125" style="1944" customWidth="1"/>
    <col min="4875" max="4875" width="12.109375" style="1944"/>
    <col min="4876" max="4876" width="15.6640625" style="1944" bestFit="1" customWidth="1"/>
    <col min="4877" max="4877" width="13.6640625" style="1944" bestFit="1" customWidth="1"/>
    <col min="4878" max="5121" width="12.109375" style="1944"/>
    <col min="5122" max="5122" width="10.6640625" style="1944" customWidth="1"/>
    <col min="5123" max="5123" width="32.33203125" style="1944" customWidth="1"/>
    <col min="5124" max="5130" width="14.33203125" style="1944" customWidth="1"/>
    <col min="5131" max="5131" width="12.109375" style="1944"/>
    <col min="5132" max="5132" width="15.6640625" style="1944" bestFit="1" customWidth="1"/>
    <col min="5133" max="5133" width="13.6640625" style="1944" bestFit="1" customWidth="1"/>
    <col min="5134" max="5377" width="12.109375" style="1944"/>
    <col min="5378" max="5378" width="10.6640625" style="1944" customWidth="1"/>
    <col min="5379" max="5379" width="32.33203125" style="1944" customWidth="1"/>
    <col min="5380" max="5386" width="14.33203125" style="1944" customWidth="1"/>
    <col min="5387" max="5387" width="12.109375" style="1944"/>
    <col min="5388" max="5388" width="15.6640625" style="1944" bestFit="1" customWidth="1"/>
    <col min="5389" max="5389" width="13.6640625" style="1944" bestFit="1" customWidth="1"/>
    <col min="5390" max="5633" width="12.109375" style="1944"/>
    <col min="5634" max="5634" width="10.6640625" style="1944" customWidth="1"/>
    <col min="5635" max="5635" width="32.33203125" style="1944" customWidth="1"/>
    <col min="5636" max="5642" width="14.33203125" style="1944" customWidth="1"/>
    <col min="5643" max="5643" width="12.109375" style="1944"/>
    <col min="5644" max="5644" width="15.6640625" style="1944" bestFit="1" customWidth="1"/>
    <col min="5645" max="5645" width="13.6640625" style="1944" bestFit="1" customWidth="1"/>
    <col min="5646" max="5889" width="12.109375" style="1944"/>
    <col min="5890" max="5890" width="10.6640625" style="1944" customWidth="1"/>
    <col min="5891" max="5891" width="32.33203125" style="1944" customWidth="1"/>
    <col min="5892" max="5898" width="14.33203125" style="1944" customWidth="1"/>
    <col min="5899" max="5899" width="12.109375" style="1944"/>
    <col min="5900" max="5900" width="15.6640625" style="1944" bestFit="1" customWidth="1"/>
    <col min="5901" max="5901" width="13.6640625" style="1944" bestFit="1" customWidth="1"/>
    <col min="5902" max="6145" width="12.109375" style="1944"/>
    <col min="6146" max="6146" width="10.6640625" style="1944" customWidth="1"/>
    <col min="6147" max="6147" width="32.33203125" style="1944" customWidth="1"/>
    <col min="6148" max="6154" width="14.33203125" style="1944" customWidth="1"/>
    <col min="6155" max="6155" width="12.109375" style="1944"/>
    <col min="6156" max="6156" width="15.6640625" style="1944" bestFit="1" customWidth="1"/>
    <col min="6157" max="6157" width="13.6640625" style="1944" bestFit="1" customWidth="1"/>
    <col min="6158" max="6401" width="12.109375" style="1944"/>
    <col min="6402" max="6402" width="10.6640625" style="1944" customWidth="1"/>
    <col min="6403" max="6403" width="32.33203125" style="1944" customWidth="1"/>
    <col min="6404" max="6410" width="14.33203125" style="1944" customWidth="1"/>
    <col min="6411" max="6411" width="12.109375" style="1944"/>
    <col min="6412" max="6412" width="15.6640625" style="1944" bestFit="1" customWidth="1"/>
    <col min="6413" max="6413" width="13.6640625" style="1944" bestFit="1" customWidth="1"/>
    <col min="6414" max="6657" width="12.109375" style="1944"/>
    <col min="6658" max="6658" width="10.6640625" style="1944" customWidth="1"/>
    <col min="6659" max="6659" width="32.33203125" style="1944" customWidth="1"/>
    <col min="6660" max="6666" width="14.33203125" style="1944" customWidth="1"/>
    <col min="6667" max="6667" width="12.109375" style="1944"/>
    <col min="6668" max="6668" width="15.6640625" style="1944" bestFit="1" customWidth="1"/>
    <col min="6669" max="6669" width="13.6640625" style="1944" bestFit="1" customWidth="1"/>
    <col min="6670" max="6913" width="12.109375" style="1944"/>
    <col min="6914" max="6914" width="10.6640625" style="1944" customWidth="1"/>
    <col min="6915" max="6915" width="32.33203125" style="1944" customWidth="1"/>
    <col min="6916" max="6922" width="14.33203125" style="1944" customWidth="1"/>
    <col min="6923" max="6923" width="12.109375" style="1944"/>
    <col min="6924" max="6924" width="15.6640625" style="1944" bestFit="1" customWidth="1"/>
    <col min="6925" max="6925" width="13.6640625" style="1944" bestFit="1" customWidth="1"/>
    <col min="6926" max="7169" width="12.109375" style="1944"/>
    <col min="7170" max="7170" width="10.6640625" style="1944" customWidth="1"/>
    <col min="7171" max="7171" width="32.33203125" style="1944" customWidth="1"/>
    <col min="7172" max="7178" width="14.33203125" style="1944" customWidth="1"/>
    <col min="7179" max="7179" width="12.109375" style="1944"/>
    <col min="7180" max="7180" width="15.6640625" style="1944" bestFit="1" customWidth="1"/>
    <col min="7181" max="7181" width="13.6640625" style="1944" bestFit="1" customWidth="1"/>
    <col min="7182" max="7425" width="12.109375" style="1944"/>
    <col min="7426" max="7426" width="10.6640625" style="1944" customWidth="1"/>
    <col min="7427" max="7427" width="32.33203125" style="1944" customWidth="1"/>
    <col min="7428" max="7434" width="14.33203125" style="1944" customWidth="1"/>
    <col min="7435" max="7435" width="12.109375" style="1944"/>
    <col min="7436" max="7436" width="15.6640625" style="1944" bestFit="1" customWidth="1"/>
    <col min="7437" max="7437" width="13.6640625" style="1944" bestFit="1" customWidth="1"/>
    <col min="7438" max="7681" width="12.109375" style="1944"/>
    <col min="7682" max="7682" width="10.6640625" style="1944" customWidth="1"/>
    <col min="7683" max="7683" width="32.33203125" style="1944" customWidth="1"/>
    <col min="7684" max="7690" width="14.33203125" style="1944" customWidth="1"/>
    <col min="7691" max="7691" width="12.109375" style="1944"/>
    <col min="7692" max="7692" width="15.6640625" style="1944" bestFit="1" customWidth="1"/>
    <col min="7693" max="7693" width="13.6640625" style="1944" bestFit="1" customWidth="1"/>
    <col min="7694" max="7937" width="12.109375" style="1944"/>
    <col min="7938" max="7938" width="10.6640625" style="1944" customWidth="1"/>
    <col min="7939" max="7939" width="32.33203125" style="1944" customWidth="1"/>
    <col min="7940" max="7946" width="14.33203125" style="1944" customWidth="1"/>
    <col min="7947" max="7947" width="12.109375" style="1944"/>
    <col min="7948" max="7948" width="15.6640625" style="1944" bestFit="1" customWidth="1"/>
    <col min="7949" max="7949" width="13.6640625" style="1944" bestFit="1" customWidth="1"/>
    <col min="7950" max="8193" width="12.109375" style="1944"/>
    <col min="8194" max="8194" width="10.6640625" style="1944" customWidth="1"/>
    <col min="8195" max="8195" width="32.33203125" style="1944" customWidth="1"/>
    <col min="8196" max="8202" width="14.33203125" style="1944" customWidth="1"/>
    <col min="8203" max="8203" width="12.109375" style="1944"/>
    <col min="8204" max="8204" width="15.6640625" style="1944" bestFit="1" customWidth="1"/>
    <col min="8205" max="8205" width="13.6640625" style="1944" bestFit="1" customWidth="1"/>
    <col min="8206" max="8449" width="12.109375" style="1944"/>
    <col min="8450" max="8450" width="10.6640625" style="1944" customWidth="1"/>
    <col min="8451" max="8451" width="32.33203125" style="1944" customWidth="1"/>
    <col min="8452" max="8458" width="14.33203125" style="1944" customWidth="1"/>
    <col min="8459" max="8459" width="12.109375" style="1944"/>
    <col min="8460" max="8460" width="15.6640625" style="1944" bestFit="1" customWidth="1"/>
    <col min="8461" max="8461" width="13.6640625" style="1944" bestFit="1" customWidth="1"/>
    <col min="8462" max="8705" width="12.109375" style="1944"/>
    <col min="8706" max="8706" width="10.6640625" style="1944" customWidth="1"/>
    <col min="8707" max="8707" width="32.33203125" style="1944" customWidth="1"/>
    <col min="8708" max="8714" width="14.33203125" style="1944" customWidth="1"/>
    <col min="8715" max="8715" width="12.109375" style="1944"/>
    <col min="8716" max="8716" width="15.6640625" style="1944" bestFit="1" customWidth="1"/>
    <col min="8717" max="8717" width="13.6640625" style="1944" bestFit="1" customWidth="1"/>
    <col min="8718" max="8961" width="12.109375" style="1944"/>
    <col min="8962" max="8962" width="10.6640625" style="1944" customWidth="1"/>
    <col min="8963" max="8963" width="32.33203125" style="1944" customWidth="1"/>
    <col min="8964" max="8970" width="14.33203125" style="1944" customWidth="1"/>
    <col min="8971" max="8971" width="12.109375" style="1944"/>
    <col min="8972" max="8972" width="15.6640625" style="1944" bestFit="1" customWidth="1"/>
    <col min="8973" max="8973" width="13.6640625" style="1944" bestFit="1" customWidth="1"/>
    <col min="8974" max="9217" width="12.109375" style="1944"/>
    <col min="9218" max="9218" width="10.6640625" style="1944" customWidth="1"/>
    <col min="9219" max="9219" width="32.33203125" style="1944" customWidth="1"/>
    <col min="9220" max="9226" width="14.33203125" style="1944" customWidth="1"/>
    <col min="9227" max="9227" width="12.109375" style="1944"/>
    <col min="9228" max="9228" width="15.6640625" style="1944" bestFit="1" customWidth="1"/>
    <col min="9229" max="9229" width="13.6640625" style="1944" bestFit="1" customWidth="1"/>
    <col min="9230" max="9473" width="12.109375" style="1944"/>
    <col min="9474" max="9474" width="10.6640625" style="1944" customWidth="1"/>
    <col min="9475" max="9475" width="32.33203125" style="1944" customWidth="1"/>
    <col min="9476" max="9482" width="14.33203125" style="1944" customWidth="1"/>
    <col min="9483" max="9483" width="12.109375" style="1944"/>
    <col min="9484" max="9484" width="15.6640625" style="1944" bestFit="1" customWidth="1"/>
    <col min="9485" max="9485" width="13.6640625" style="1944" bestFit="1" customWidth="1"/>
    <col min="9486" max="9729" width="12.109375" style="1944"/>
    <col min="9730" max="9730" width="10.6640625" style="1944" customWidth="1"/>
    <col min="9731" max="9731" width="32.33203125" style="1944" customWidth="1"/>
    <col min="9732" max="9738" width="14.33203125" style="1944" customWidth="1"/>
    <col min="9739" max="9739" width="12.109375" style="1944"/>
    <col min="9740" max="9740" width="15.6640625" style="1944" bestFit="1" customWidth="1"/>
    <col min="9741" max="9741" width="13.6640625" style="1944" bestFit="1" customWidth="1"/>
    <col min="9742" max="9985" width="12.109375" style="1944"/>
    <col min="9986" max="9986" width="10.6640625" style="1944" customWidth="1"/>
    <col min="9987" max="9987" width="32.33203125" style="1944" customWidth="1"/>
    <col min="9988" max="9994" width="14.33203125" style="1944" customWidth="1"/>
    <col min="9995" max="9995" width="12.109375" style="1944"/>
    <col min="9996" max="9996" width="15.6640625" style="1944" bestFit="1" customWidth="1"/>
    <col min="9997" max="9997" width="13.6640625" style="1944" bestFit="1" customWidth="1"/>
    <col min="9998" max="10241" width="12.109375" style="1944"/>
    <col min="10242" max="10242" width="10.6640625" style="1944" customWidth="1"/>
    <col min="10243" max="10243" width="32.33203125" style="1944" customWidth="1"/>
    <col min="10244" max="10250" width="14.33203125" style="1944" customWidth="1"/>
    <col min="10251" max="10251" width="12.109375" style="1944"/>
    <col min="10252" max="10252" width="15.6640625" style="1944" bestFit="1" customWidth="1"/>
    <col min="10253" max="10253" width="13.6640625" style="1944" bestFit="1" customWidth="1"/>
    <col min="10254" max="10497" width="12.109375" style="1944"/>
    <col min="10498" max="10498" width="10.6640625" style="1944" customWidth="1"/>
    <col min="10499" max="10499" width="32.33203125" style="1944" customWidth="1"/>
    <col min="10500" max="10506" width="14.33203125" style="1944" customWidth="1"/>
    <col min="10507" max="10507" width="12.109375" style="1944"/>
    <col min="10508" max="10508" width="15.6640625" style="1944" bestFit="1" customWidth="1"/>
    <col min="10509" max="10509" width="13.6640625" style="1944" bestFit="1" customWidth="1"/>
    <col min="10510" max="10753" width="12.109375" style="1944"/>
    <col min="10754" max="10754" width="10.6640625" style="1944" customWidth="1"/>
    <col min="10755" max="10755" width="32.33203125" style="1944" customWidth="1"/>
    <col min="10756" max="10762" width="14.33203125" style="1944" customWidth="1"/>
    <col min="10763" max="10763" width="12.109375" style="1944"/>
    <col min="10764" max="10764" width="15.6640625" style="1944" bestFit="1" customWidth="1"/>
    <col min="10765" max="10765" width="13.6640625" style="1944" bestFit="1" customWidth="1"/>
    <col min="10766" max="11009" width="12.109375" style="1944"/>
    <col min="11010" max="11010" width="10.6640625" style="1944" customWidth="1"/>
    <col min="11011" max="11011" width="32.33203125" style="1944" customWidth="1"/>
    <col min="11012" max="11018" width="14.33203125" style="1944" customWidth="1"/>
    <col min="11019" max="11019" width="12.109375" style="1944"/>
    <col min="11020" max="11020" width="15.6640625" style="1944" bestFit="1" customWidth="1"/>
    <col min="11021" max="11021" width="13.6640625" style="1944" bestFit="1" customWidth="1"/>
    <col min="11022" max="11265" width="12.109375" style="1944"/>
    <col min="11266" max="11266" width="10.6640625" style="1944" customWidth="1"/>
    <col min="11267" max="11267" width="32.33203125" style="1944" customWidth="1"/>
    <col min="11268" max="11274" width="14.33203125" style="1944" customWidth="1"/>
    <col min="11275" max="11275" width="12.109375" style="1944"/>
    <col min="11276" max="11276" width="15.6640625" style="1944" bestFit="1" customWidth="1"/>
    <col min="11277" max="11277" width="13.6640625" style="1944" bestFit="1" customWidth="1"/>
    <col min="11278" max="11521" width="12.109375" style="1944"/>
    <col min="11522" max="11522" width="10.6640625" style="1944" customWidth="1"/>
    <col min="11523" max="11523" width="32.33203125" style="1944" customWidth="1"/>
    <col min="11524" max="11530" width="14.33203125" style="1944" customWidth="1"/>
    <col min="11531" max="11531" width="12.109375" style="1944"/>
    <col min="11532" max="11532" width="15.6640625" style="1944" bestFit="1" customWidth="1"/>
    <col min="11533" max="11533" width="13.6640625" style="1944" bestFit="1" customWidth="1"/>
    <col min="11534" max="11777" width="12.109375" style="1944"/>
    <col min="11778" max="11778" width="10.6640625" style="1944" customWidth="1"/>
    <col min="11779" max="11779" width="32.33203125" style="1944" customWidth="1"/>
    <col min="11780" max="11786" width="14.33203125" style="1944" customWidth="1"/>
    <col min="11787" max="11787" width="12.109375" style="1944"/>
    <col min="11788" max="11788" width="15.6640625" style="1944" bestFit="1" customWidth="1"/>
    <col min="11789" max="11789" width="13.6640625" style="1944" bestFit="1" customWidth="1"/>
    <col min="11790" max="12033" width="12.109375" style="1944"/>
    <col min="12034" max="12034" width="10.6640625" style="1944" customWidth="1"/>
    <col min="12035" max="12035" width="32.33203125" style="1944" customWidth="1"/>
    <col min="12036" max="12042" width="14.33203125" style="1944" customWidth="1"/>
    <col min="12043" max="12043" width="12.109375" style="1944"/>
    <col min="12044" max="12044" width="15.6640625" style="1944" bestFit="1" customWidth="1"/>
    <col min="12045" max="12045" width="13.6640625" style="1944" bestFit="1" customWidth="1"/>
    <col min="12046" max="12289" width="12.109375" style="1944"/>
    <col min="12290" max="12290" width="10.6640625" style="1944" customWidth="1"/>
    <col min="12291" max="12291" width="32.33203125" style="1944" customWidth="1"/>
    <col min="12292" max="12298" width="14.33203125" style="1944" customWidth="1"/>
    <col min="12299" max="12299" width="12.109375" style="1944"/>
    <col min="12300" max="12300" width="15.6640625" style="1944" bestFit="1" customWidth="1"/>
    <col min="12301" max="12301" width="13.6640625" style="1944" bestFit="1" customWidth="1"/>
    <col min="12302" max="12545" width="12.109375" style="1944"/>
    <col min="12546" max="12546" width="10.6640625" style="1944" customWidth="1"/>
    <col min="12547" max="12547" width="32.33203125" style="1944" customWidth="1"/>
    <col min="12548" max="12554" width="14.33203125" style="1944" customWidth="1"/>
    <col min="12555" max="12555" width="12.109375" style="1944"/>
    <col min="12556" max="12556" width="15.6640625" style="1944" bestFit="1" customWidth="1"/>
    <col min="12557" max="12557" width="13.6640625" style="1944" bestFit="1" customWidth="1"/>
    <col min="12558" max="12801" width="12.109375" style="1944"/>
    <col min="12802" max="12802" width="10.6640625" style="1944" customWidth="1"/>
    <col min="12803" max="12803" width="32.33203125" style="1944" customWidth="1"/>
    <col min="12804" max="12810" width="14.33203125" style="1944" customWidth="1"/>
    <col min="12811" max="12811" width="12.109375" style="1944"/>
    <col min="12812" max="12812" width="15.6640625" style="1944" bestFit="1" customWidth="1"/>
    <col min="12813" max="12813" width="13.6640625" style="1944" bestFit="1" customWidth="1"/>
    <col min="12814" max="13057" width="12.109375" style="1944"/>
    <col min="13058" max="13058" width="10.6640625" style="1944" customWidth="1"/>
    <col min="13059" max="13059" width="32.33203125" style="1944" customWidth="1"/>
    <col min="13060" max="13066" width="14.33203125" style="1944" customWidth="1"/>
    <col min="13067" max="13067" width="12.109375" style="1944"/>
    <col min="13068" max="13068" width="15.6640625" style="1944" bestFit="1" customWidth="1"/>
    <col min="13069" max="13069" width="13.6640625" style="1944" bestFit="1" customWidth="1"/>
    <col min="13070" max="13313" width="12.109375" style="1944"/>
    <col min="13314" max="13314" width="10.6640625" style="1944" customWidth="1"/>
    <col min="13315" max="13315" width="32.33203125" style="1944" customWidth="1"/>
    <col min="13316" max="13322" width="14.33203125" style="1944" customWidth="1"/>
    <col min="13323" max="13323" width="12.109375" style="1944"/>
    <col min="13324" max="13324" width="15.6640625" style="1944" bestFit="1" customWidth="1"/>
    <col min="13325" max="13325" width="13.6640625" style="1944" bestFit="1" customWidth="1"/>
    <col min="13326" max="13569" width="12.109375" style="1944"/>
    <col min="13570" max="13570" width="10.6640625" style="1944" customWidth="1"/>
    <col min="13571" max="13571" width="32.33203125" style="1944" customWidth="1"/>
    <col min="13572" max="13578" width="14.33203125" style="1944" customWidth="1"/>
    <col min="13579" max="13579" width="12.109375" style="1944"/>
    <col min="13580" max="13580" width="15.6640625" style="1944" bestFit="1" customWidth="1"/>
    <col min="13581" max="13581" width="13.6640625" style="1944" bestFit="1" customWidth="1"/>
    <col min="13582" max="13825" width="12.109375" style="1944"/>
    <col min="13826" max="13826" width="10.6640625" style="1944" customWidth="1"/>
    <col min="13827" max="13827" width="32.33203125" style="1944" customWidth="1"/>
    <col min="13828" max="13834" width="14.33203125" style="1944" customWidth="1"/>
    <col min="13835" max="13835" width="12.109375" style="1944"/>
    <col min="13836" max="13836" width="15.6640625" style="1944" bestFit="1" customWidth="1"/>
    <col min="13837" max="13837" width="13.6640625" style="1944" bestFit="1" customWidth="1"/>
    <col min="13838" max="14081" width="12.109375" style="1944"/>
    <col min="14082" max="14082" width="10.6640625" style="1944" customWidth="1"/>
    <col min="14083" max="14083" width="32.33203125" style="1944" customWidth="1"/>
    <col min="14084" max="14090" width="14.33203125" style="1944" customWidth="1"/>
    <col min="14091" max="14091" width="12.109375" style="1944"/>
    <col min="14092" max="14092" width="15.6640625" style="1944" bestFit="1" customWidth="1"/>
    <col min="14093" max="14093" width="13.6640625" style="1944" bestFit="1" customWidth="1"/>
    <col min="14094" max="14337" width="12.109375" style="1944"/>
    <col min="14338" max="14338" width="10.6640625" style="1944" customWidth="1"/>
    <col min="14339" max="14339" width="32.33203125" style="1944" customWidth="1"/>
    <col min="14340" max="14346" width="14.33203125" style="1944" customWidth="1"/>
    <col min="14347" max="14347" width="12.109375" style="1944"/>
    <col min="14348" max="14348" width="15.6640625" style="1944" bestFit="1" customWidth="1"/>
    <col min="14349" max="14349" width="13.6640625" style="1944" bestFit="1" customWidth="1"/>
    <col min="14350" max="14593" width="12.109375" style="1944"/>
    <col min="14594" max="14594" width="10.6640625" style="1944" customWidth="1"/>
    <col min="14595" max="14595" width="32.33203125" style="1944" customWidth="1"/>
    <col min="14596" max="14602" width="14.33203125" style="1944" customWidth="1"/>
    <col min="14603" max="14603" width="12.109375" style="1944"/>
    <col min="14604" max="14604" width="15.6640625" style="1944" bestFit="1" customWidth="1"/>
    <col min="14605" max="14605" width="13.6640625" style="1944" bestFit="1" customWidth="1"/>
    <col min="14606" max="14849" width="12.109375" style="1944"/>
    <col min="14850" max="14850" width="10.6640625" style="1944" customWidth="1"/>
    <col min="14851" max="14851" width="32.33203125" style="1944" customWidth="1"/>
    <col min="14852" max="14858" width="14.33203125" style="1944" customWidth="1"/>
    <col min="14859" max="14859" width="12.109375" style="1944"/>
    <col min="14860" max="14860" width="15.6640625" style="1944" bestFit="1" customWidth="1"/>
    <col min="14861" max="14861" width="13.6640625" style="1944" bestFit="1" customWidth="1"/>
    <col min="14862" max="15105" width="12.109375" style="1944"/>
    <col min="15106" max="15106" width="10.6640625" style="1944" customWidth="1"/>
    <col min="15107" max="15107" width="32.33203125" style="1944" customWidth="1"/>
    <col min="15108" max="15114" width="14.33203125" style="1944" customWidth="1"/>
    <col min="15115" max="15115" width="12.109375" style="1944"/>
    <col min="15116" max="15116" width="15.6640625" style="1944" bestFit="1" customWidth="1"/>
    <col min="15117" max="15117" width="13.6640625" style="1944" bestFit="1" customWidth="1"/>
    <col min="15118" max="15361" width="12.109375" style="1944"/>
    <col min="15362" max="15362" width="10.6640625" style="1944" customWidth="1"/>
    <col min="15363" max="15363" width="32.33203125" style="1944" customWidth="1"/>
    <col min="15364" max="15370" width="14.33203125" style="1944" customWidth="1"/>
    <col min="15371" max="15371" width="12.109375" style="1944"/>
    <col min="15372" max="15372" width="15.6640625" style="1944" bestFit="1" customWidth="1"/>
    <col min="15373" max="15373" width="13.6640625" style="1944" bestFit="1" customWidth="1"/>
    <col min="15374" max="15617" width="12.109375" style="1944"/>
    <col min="15618" max="15618" width="10.6640625" style="1944" customWidth="1"/>
    <col min="15619" max="15619" width="32.33203125" style="1944" customWidth="1"/>
    <col min="15620" max="15626" width="14.33203125" style="1944" customWidth="1"/>
    <col min="15627" max="15627" width="12.109375" style="1944"/>
    <col min="15628" max="15628" width="15.6640625" style="1944" bestFit="1" customWidth="1"/>
    <col min="15629" max="15629" width="13.6640625" style="1944" bestFit="1" customWidth="1"/>
    <col min="15630" max="15873" width="12.109375" style="1944"/>
    <col min="15874" max="15874" width="10.6640625" style="1944" customWidth="1"/>
    <col min="15875" max="15875" width="32.33203125" style="1944" customWidth="1"/>
    <col min="15876" max="15882" width="14.33203125" style="1944" customWidth="1"/>
    <col min="15883" max="15883" width="12.109375" style="1944"/>
    <col min="15884" max="15884" width="15.6640625" style="1944" bestFit="1" customWidth="1"/>
    <col min="15885" max="15885" width="13.6640625" style="1944" bestFit="1" customWidth="1"/>
    <col min="15886" max="16129" width="12.109375" style="1944"/>
    <col min="16130" max="16130" width="10.6640625" style="1944" customWidth="1"/>
    <col min="16131" max="16131" width="32.33203125" style="1944" customWidth="1"/>
    <col min="16132" max="16138" width="14.33203125" style="1944" customWidth="1"/>
    <col min="16139" max="16139" width="12.109375" style="1944"/>
    <col min="16140" max="16140" width="15.6640625" style="1944" bestFit="1" customWidth="1"/>
    <col min="16141" max="16141" width="13.6640625" style="1944" bestFit="1" customWidth="1"/>
    <col min="16142" max="16384" width="12.109375" style="1944"/>
  </cols>
  <sheetData>
    <row r="2" spans="2:22" ht="61.5" customHeight="1">
      <c r="B2" s="3257"/>
      <c r="C2" s="3258"/>
      <c r="D2" s="3263" t="s">
        <v>8790</v>
      </c>
      <c r="E2" s="3263"/>
      <c r="F2" s="3263"/>
      <c r="G2" s="3263"/>
      <c r="H2" s="3263"/>
      <c r="I2" s="3264"/>
      <c r="J2" s="3264"/>
    </row>
    <row r="3" spans="2:22" ht="21" customHeight="1">
      <c r="B3" s="3259"/>
      <c r="C3" s="3260"/>
      <c r="D3" s="3265" t="s">
        <v>6346</v>
      </c>
      <c r="E3" s="3265"/>
      <c r="F3" s="3265"/>
      <c r="G3" s="3265"/>
      <c r="H3" s="3265"/>
      <c r="I3" s="3264"/>
      <c r="J3" s="3264"/>
    </row>
    <row r="4" spans="2:22" ht="15.6">
      <c r="B4" s="3261"/>
      <c r="C4" s="3262"/>
      <c r="D4" s="3265" t="s">
        <v>8578</v>
      </c>
      <c r="E4" s="3265"/>
      <c r="F4" s="3265"/>
      <c r="G4" s="3265"/>
      <c r="H4" s="3265"/>
      <c r="I4" s="3264"/>
      <c r="J4" s="3264"/>
    </row>
    <row r="5" spans="2:22">
      <c r="B5" s="1945"/>
      <c r="C5" s="1945"/>
      <c r="D5" s="1945"/>
      <c r="E5" s="1945"/>
      <c r="F5" s="1945"/>
      <c r="G5" s="1945"/>
      <c r="J5" s="1946"/>
    </row>
    <row r="6" spans="2:22" ht="39" customHeight="1">
      <c r="B6" s="1947" t="s">
        <v>6347</v>
      </c>
      <c r="C6" s="3266" t="s">
        <v>6348</v>
      </c>
      <c r="D6" s="3267"/>
      <c r="E6" s="3267"/>
      <c r="F6" s="3267"/>
      <c r="G6" s="3267"/>
      <c r="H6" s="3267"/>
      <c r="I6" s="3267"/>
      <c r="J6" s="3268"/>
    </row>
    <row r="7" spans="2:22">
      <c r="B7" s="1945"/>
      <c r="C7" s="2937"/>
      <c r="D7" s="2938"/>
      <c r="E7" s="2937"/>
      <c r="F7" s="2937"/>
      <c r="G7" s="2937"/>
      <c r="H7" s="2937"/>
      <c r="I7" s="2937"/>
      <c r="J7" s="2937"/>
    </row>
    <row r="8" spans="2:22" ht="21" customHeight="1">
      <c r="B8" s="1951">
        <v>1</v>
      </c>
      <c r="C8" s="1952" t="s">
        <v>6349</v>
      </c>
    </row>
    <row r="9" spans="2:22" ht="27.6">
      <c r="B9" s="3255" t="s">
        <v>22</v>
      </c>
      <c r="C9" s="3255" t="s">
        <v>23</v>
      </c>
      <c r="D9" s="1954" t="s">
        <v>1037</v>
      </c>
      <c r="E9" s="1954" t="s">
        <v>6350</v>
      </c>
      <c r="F9" s="1954" t="s">
        <v>6351</v>
      </c>
      <c r="G9" s="1954" t="s">
        <v>6352</v>
      </c>
      <c r="H9" s="1954" t="s">
        <v>6353</v>
      </c>
      <c r="I9" s="1954" t="s">
        <v>6354</v>
      </c>
      <c r="J9" s="1954" t="s">
        <v>6355</v>
      </c>
    </row>
    <row r="10" spans="2:22">
      <c r="B10" s="3256"/>
      <c r="C10" s="3256"/>
      <c r="D10" s="1955" t="s">
        <v>6356</v>
      </c>
      <c r="E10" s="1955" t="s">
        <v>6357</v>
      </c>
      <c r="F10" s="1956" t="s">
        <v>6358</v>
      </c>
      <c r="G10" s="1955" t="s">
        <v>6359</v>
      </c>
      <c r="H10" s="1955" t="s">
        <v>6360</v>
      </c>
      <c r="I10" s="1956" t="s">
        <v>6361</v>
      </c>
      <c r="J10" s="1956" t="s">
        <v>6362</v>
      </c>
    </row>
    <row r="11" spans="2:22" ht="15" customHeight="1">
      <c r="B11" s="1951">
        <v>1.1000000000000001</v>
      </c>
      <c r="C11" s="1952" t="s">
        <v>6363</v>
      </c>
      <c r="D11" s="2936"/>
      <c r="E11" s="1958"/>
      <c r="F11" s="1958"/>
      <c r="G11" s="1958"/>
      <c r="H11" s="1958"/>
      <c r="I11" s="1958"/>
      <c r="J11" s="1958"/>
    </row>
    <row r="12" spans="2:22" ht="27.75" customHeight="1">
      <c r="B12" s="1959" t="s">
        <v>5772</v>
      </c>
      <c r="C12" s="1960" t="s">
        <v>6364</v>
      </c>
      <c r="D12" s="1961">
        <v>1</v>
      </c>
      <c r="E12" s="1962">
        <v>5500000</v>
      </c>
      <c r="F12" s="1962">
        <f>+D12*E12</f>
        <v>5500000</v>
      </c>
      <c r="G12" s="1963">
        <v>0.5</v>
      </c>
      <c r="H12" s="1964">
        <v>12</v>
      </c>
      <c r="I12" s="1961">
        <f>H12*G12</f>
        <v>6</v>
      </c>
      <c r="J12" s="1962">
        <f>I12*F12</f>
        <v>33000000</v>
      </c>
      <c r="N12" s="1944" t="s">
        <v>1444</v>
      </c>
      <c r="O12" s="1944" t="s">
        <v>4226</v>
      </c>
    </row>
    <row r="13" spans="2:22">
      <c r="B13" s="1959" t="s">
        <v>6365</v>
      </c>
      <c r="C13" s="1960" t="s">
        <v>6366</v>
      </c>
      <c r="D13" s="1961">
        <v>1</v>
      </c>
      <c r="E13" s="1962">
        <v>4500000</v>
      </c>
      <c r="F13" s="1962">
        <f>+D13*E13</f>
        <v>4500000</v>
      </c>
      <c r="G13" s="1963">
        <v>1</v>
      </c>
      <c r="H13" s="1964">
        <f>+$H$12</f>
        <v>12</v>
      </c>
      <c r="I13" s="1961">
        <f>H13*G13</f>
        <v>12</v>
      </c>
      <c r="J13" s="1962">
        <f t="shared" ref="J13:J26" si="0">I13*F13</f>
        <v>54000000</v>
      </c>
      <c r="N13" s="1944" t="s">
        <v>4227</v>
      </c>
      <c r="O13" s="1994" t="s">
        <v>4228</v>
      </c>
      <c r="P13" s="1944" t="s">
        <v>346</v>
      </c>
      <c r="Q13" s="1944">
        <v>360</v>
      </c>
      <c r="R13" s="1944">
        <v>0.5</v>
      </c>
      <c r="S13" s="1944">
        <v>393943.33333333331</v>
      </c>
      <c r="U13" s="1944">
        <v>5.1999999999999998E-3</v>
      </c>
      <c r="V13" s="1944">
        <v>70909800</v>
      </c>
    </row>
    <row r="14" spans="2:22" ht="27" customHeight="1">
      <c r="B14" s="1959" t="s">
        <v>6367</v>
      </c>
      <c r="C14" s="1960" t="s">
        <v>6314</v>
      </c>
      <c r="D14" s="1961">
        <v>1</v>
      </c>
      <c r="E14" s="1962">
        <v>3500000</v>
      </c>
      <c r="F14" s="1962">
        <f>+D14*E14</f>
        <v>3500000</v>
      </c>
      <c r="G14" s="1963">
        <v>0.5</v>
      </c>
      <c r="H14" s="1964">
        <f>+$H$12</f>
        <v>12</v>
      </c>
      <c r="I14" s="1961">
        <f>H14*G14</f>
        <v>6</v>
      </c>
      <c r="J14" s="1962">
        <f t="shared" si="0"/>
        <v>21000000</v>
      </c>
      <c r="N14" s="1944" t="s">
        <v>4229</v>
      </c>
      <c r="O14" s="1994" t="s">
        <v>6318</v>
      </c>
      <c r="P14" s="1944" t="s">
        <v>346</v>
      </c>
      <c r="Q14" s="1944">
        <v>360</v>
      </c>
      <c r="R14" s="1944">
        <v>2</v>
      </c>
      <c r="S14" s="1944">
        <v>272730</v>
      </c>
      <c r="U14" s="1944">
        <v>1.4500000000000001E-2</v>
      </c>
      <c r="V14" s="1944">
        <v>196365600</v>
      </c>
    </row>
    <row r="15" spans="2:22" ht="15" customHeight="1">
      <c r="B15" s="1959" t="s">
        <v>7931</v>
      </c>
      <c r="C15" s="1960" t="s">
        <v>6341</v>
      </c>
      <c r="D15" s="1961">
        <v>1</v>
      </c>
      <c r="E15" s="1962">
        <f>+E14</f>
        <v>3500000</v>
      </c>
      <c r="F15" s="1962">
        <f>+D15*E15</f>
        <v>3500000</v>
      </c>
      <c r="G15" s="1963">
        <v>0.5</v>
      </c>
      <c r="H15" s="1964">
        <f>+$H$12</f>
        <v>12</v>
      </c>
      <c r="I15" s="1961">
        <f>H15*G15</f>
        <v>6</v>
      </c>
      <c r="J15" s="1962">
        <f t="shared" si="0"/>
        <v>21000000</v>
      </c>
      <c r="N15" s="1944" t="s">
        <v>4230</v>
      </c>
      <c r="O15" s="1994" t="s">
        <v>6319</v>
      </c>
      <c r="P15" s="1944" t="s">
        <v>346</v>
      </c>
      <c r="Q15" s="1944">
        <v>360</v>
      </c>
      <c r="R15" s="1944">
        <v>2</v>
      </c>
      <c r="S15" s="1944">
        <v>90910</v>
      </c>
      <c r="U15" s="1944">
        <v>4.7999999999999996E-3</v>
      </c>
      <c r="V15" s="1944">
        <v>65455200</v>
      </c>
    </row>
    <row r="16" spans="2:22" ht="15" customHeight="1">
      <c r="B16" s="1959" t="s">
        <v>7932</v>
      </c>
      <c r="C16" s="1960" t="s">
        <v>6335</v>
      </c>
      <c r="D16" s="1961">
        <v>1</v>
      </c>
      <c r="E16" s="1962">
        <v>6500000</v>
      </c>
      <c r="F16" s="1962">
        <f t="shared" ref="F16:F18" si="1">+D16*E16</f>
        <v>6500000</v>
      </c>
      <c r="G16" s="1963">
        <v>0.15</v>
      </c>
      <c r="H16" s="1964">
        <f t="shared" ref="H16:H18" si="2">+$H$12</f>
        <v>12</v>
      </c>
      <c r="I16" s="1961">
        <f t="shared" ref="I16:I18" si="3">H16*G16</f>
        <v>1.7999999999999998</v>
      </c>
      <c r="J16" s="1962">
        <f t="shared" si="0"/>
        <v>11699999.999999998</v>
      </c>
      <c r="N16" s="1944" t="s">
        <v>4232</v>
      </c>
      <c r="O16" s="1994" t="s">
        <v>6321</v>
      </c>
      <c r="P16" s="1944" t="s">
        <v>346</v>
      </c>
      <c r="Q16" s="1944">
        <v>360</v>
      </c>
      <c r="R16" s="1944">
        <v>1</v>
      </c>
      <c r="S16" s="1944">
        <v>212123.33333333334</v>
      </c>
      <c r="U16" s="1944">
        <v>5.5999999999999999E-3</v>
      </c>
      <c r="V16" s="1944">
        <v>76364400</v>
      </c>
    </row>
    <row r="17" spans="2:22" ht="15" customHeight="1">
      <c r="B17" s="1959" t="s">
        <v>7933</v>
      </c>
      <c r="C17" s="1960" t="s">
        <v>6336</v>
      </c>
      <c r="D17" s="1961">
        <v>1</v>
      </c>
      <c r="E17" s="1962">
        <v>6500000</v>
      </c>
      <c r="F17" s="1962">
        <f t="shared" si="1"/>
        <v>6500000</v>
      </c>
      <c r="G17" s="1963">
        <v>0.15</v>
      </c>
      <c r="H17" s="1964">
        <f t="shared" si="2"/>
        <v>12</v>
      </c>
      <c r="I17" s="1961">
        <f t="shared" si="3"/>
        <v>1.7999999999999998</v>
      </c>
      <c r="J17" s="1962">
        <f t="shared" si="0"/>
        <v>11699999.999999998</v>
      </c>
      <c r="M17" s="1967"/>
      <c r="O17" s="1994" t="s">
        <v>6341</v>
      </c>
      <c r="P17" s="1944" t="s">
        <v>346</v>
      </c>
      <c r="Q17" s="1944">
        <v>360</v>
      </c>
      <c r="R17" s="1944">
        <v>1</v>
      </c>
      <c r="S17" s="1944">
        <v>212123.33333333334</v>
      </c>
      <c r="U17" s="1944">
        <v>5.5999999999999999E-3</v>
      </c>
      <c r="V17" s="1944">
        <v>76364400</v>
      </c>
    </row>
    <row r="18" spans="2:22" ht="15" customHeight="1">
      <c r="B18" s="1959" t="s">
        <v>7934</v>
      </c>
      <c r="C18" s="1960" t="s">
        <v>6337</v>
      </c>
      <c r="D18" s="1961">
        <v>1</v>
      </c>
      <c r="E18" s="1962">
        <v>6500000</v>
      </c>
      <c r="F18" s="1962">
        <f t="shared" si="1"/>
        <v>6500000</v>
      </c>
      <c r="G18" s="1963">
        <v>0.15</v>
      </c>
      <c r="H18" s="1964">
        <f t="shared" si="2"/>
        <v>12</v>
      </c>
      <c r="I18" s="1961">
        <f t="shared" si="3"/>
        <v>1.7999999999999998</v>
      </c>
      <c r="J18" s="1962">
        <f t="shared" si="0"/>
        <v>11699999.999999998</v>
      </c>
      <c r="N18" s="1944" t="s">
        <v>4233</v>
      </c>
      <c r="O18" s="1944" t="s">
        <v>4231</v>
      </c>
      <c r="P18" s="1944" t="s">
        <v>346</v>
      </c>
      <c r="Q18" s="1944">
        <v>360</v>
      </c>
      <c r="R18" s="1944">
        <v>1</v>
      </c>
      <c r="S18" s="1944">
        <v>90910</v>
      </c>
      <c r="U18" s="1944">
        <v>2.3999999999999998E-3</v>
      </c>
      <c r="V18" s="1944">
        <v>32727600</v>
      </c>
    </row>
    <row r="19" spans="2:22" ht="15" customHeight="1">
      <c r="B19" s="1951">
        <v>1.2</v>
      </c>
      <c r="C19" s="1965" t="s">
        <v>6368</v>
      </c>
      <c r="D19" s="1961"/>
      <c r="E19" s="1962"/>
      <c r="F19" s="1962"/>
      <c r="G19" s="1958"/>
      <c r="H19" s="1964"/>
      <c r="I19" s="1966"/>
      <c r="J19" s="1962"/>
      <c r="O19" s="1994" t="s">
        <v>6335</v>
      </c>
      <c r="P19" s="1944" t="s">
        <v>346</v>
      </c>
      <c r="Q19" s="1944">
        <v>360</v>
      </c>
      <c r="R19" s="1944">
        <v>0.3</v>
      </c>
      <c r="S19" s="1944">
        <v>393943.33333333331</v>
      </c>
      <c r="U19" s="1944">
        <v>3.0999999999999999E-3</v>
      </c>
      <c r="V19" s="1944">
        <v>42545880</v>
      </c>
    </row>
    <row r="20" spans="2:22" ht="15" customHeight="1">
      <c r="B20" s="1959" t="s">
        <v>6369</v>
      </c>
      <c r="C20" s="1958" t="s">
        <v>6319</v>
      </c>
      <c r="D20" s="1961">
        <v>1</v>
      </c>
      <c r="E20" s="1962">
        <v>1500000</v>
      </c>
      <c r="F20" s="1962">
        <f>+D20*E20</f>
        <v>1500000</v>
      </c>
      <c r="G20" s="1963">
        <v>1</v>
      </c>
      <c r="H20" s="1964">
        <f>+$H$12</f>
        <v>12</v>
      </c>
      <c r="I20" s="1961">
        <f>H20*G20</f>
        <v>12</v>
      </c>
      <c r="J20" s="1962">
        <f t="shared" si="0"/>
        <v>18000000</v>
      </c>
      <c r="O20" s="1994" t="s">
        <v>6336</v>
      </c>
      <c r="P20" s="1944" t="s">
        <v>346</v>
      </c>
      <c r="Q20" s="1944">
        <v>360</v>
      </c>
      <c r="R20" s="1944">
        <v>0.3</v>
      </c>
      <c r="S20" s="1944">
        <v>393943.33333333331</v>
      </c>
      <c r="U20" s="1944">
        <v>3.0999999999999999E-3</v>
      </c>
      <c r="V20" s="1944">
        <v>42545880</v>
      </c>
    </row>
    <row r="21" spans="2:22" ht="15" customHeight="1">
      <c r="B21" s="1959" t="s">
        <v>7929</v>
      </c>
      <c r="C21" s="1958" t="s">
        <v>6370</v>
      </c>
      <c r="D21" s="1961">
        <v>1</v>
      </c>
      <c r="E21" s="1962">
        <v>1500000</v>
      </c>
      <c r="F21" s="1962">
        <f>+D21*E21</f>
        <v>1500000</v>
      </c>
      <c r="G21" s="1963">
        <v>0.5</v>
      </c>
      <c r="H21" s="1964">
        <f>+$H$12</f>
        <v>12</v>
      </c>
      <c r="I21" s="1961">
        <f>H21*G21</f>
        <v>6</v>
      </c>
      <c r="J21" s="1962">
        <f t="shared" si="0"/>
        <v>9000000</v>
      </c>
      <c r="O21" s="1994" t="s">
        <v>6337</v>
      </c>
      <c r="P21" s="1944" t="s">
        <v>346</v>
      </c>
      <c r="Q21" s="1944">
        <v>360</v>
      </c>
      <c r="R21" s="1944">
        <v>0.2</v>
      </c>
      <c r="S21" s="1944">
        <v>393943.33333333331</v>
      </c>
      <c r="U21" s="1944">
        <v>2.0999999999999999E-3</v>
      </c>
      <c r="V21" s="1944">
        <v>28363920</v>
      </c>
    </row>
    <row r="22" spans="2:22" ht="15" customHeight="1">
      <c r="B22" s="1959" t="s">
        <v>7930</v>
      </c>
      <c r="C22" s="1958" t="s">
        <v>6393</v>
      </c>
      <c r="D22" s="1961">
        <v>1</v>
      </c>
      <c r="E22" s="1962">
        <v>1000000</v>
      </c>
      <c r="F22" s="1962">
        <f>+D22*E22</f>
        <v>1000000</v>
      </c>
      <c r="G22" s="1963">
        <v>0.5</v>
      </c>
      <c r="H22" s="1964">
        <f>+$H$12</f>
        <v>12</v>
      </c>
      <c r="I22" s="1961">
        <f>H22*G22</f>
        <v>6</v>
      </c>
      <c r="J22" s="1962">
        <f t="shared" si="0"/>
        <v>6000000</v>
      </c>
      <c r="O22" s="1994"/>
    </row>
    <row r="23" spans="2:22" ht="15" customHeight="1">
      <c r="B23" s="1951">
        <v>1.3</v>
      </c>
      <c r="C23" s="1965" t="s">
        <v>6371</v>
      </c>
      <c r="D23" s="1961"/>
      <c r="E23" s="1962"/>
      <c r="F23" s="1962"/>
      <c r="G23" s="1958"/>
      <c r="H23" s="1964"/>
      <c r="I23" s="1966"/>
      <c r="J23" s="1962"/>
      <c r="O23" s="1944" t="s">
        <v>6339</v>
      </c>
      <c r="P23" s="1944" t="s">
        <v>346</v>
      </c>
      <c r="Q23" s="1944">
        <v>360</v>
      </c>
      <c r="R23" s="1944">
        <v>0.15</v>
      </c>
      <c r="S23" s="1944">
        <v>272730</v>
      </c>
      <c r="U23" s="1944">
        <v>1.1000000000000001E-3</v>
      </c>
      <c r="V23" s="1944">
        <v>14727420</v>
      </c>
    </row>
    <row r="24" spans="2:22">
      <c r="B24" s="1959" t="s">
        <v>7926</v>
      </c>
      <c r="C24" s="1958" t="s">
        <v>6372</v>
      </c>
      <c r="D24" s="1961">
        <v>1</v>
      </c>
      <c r="E24" s="1962">
        <v>1000000</v>
      </c>
      <c r="F24" s="1962">
        <f>+D24*E24</f>
        <v>1000000</v>
      </c>
      <c r="G24" s="1963">
        <v>1</v>
      </c>
      <c r="H24" s="1964">
        <f>+$H$12</f>
        <v>12</v>
      </c>
      <c r="I24" s="1961">
        <f>H24*G24</f>
        <v>12</v>
      </c>
      <c r="J24" s="1962">
        <f>I24*F24</f>
        <v>12000000</v>
      </c>
    </row>
    <row r="25" spans="2:22" ht="15" customHeight="1">
      <c r="B25" s="1959" t="s">
        <v>7927</v>
      </c>
      <c r="C25" s="1958" t="s">
        <v>7935</v>
      </c>
      <c r="D25" s="1961">
        <v>1</v>
      </c>
      <c r="E25" s="1962">
        <v>2500000</v>
      </c>
      <c r="F25" s="1962">
        <f>+D25*E25</f>
        <v>2500000</v>
      </c>
      <c r="G25" s="1963">
        <v>0.5</v>
      </c>
      <c r="H25" s="1964">
        <f>+$H$12</f>
        <v>12</v>
      </c>
      <c r="I25" s="1961">
        <f>H25*G25</f>
        <v>6</v>
      </c>
      <c r="J25" s="1962">
        <f>I25*F25</f>
        <v>15000000</v>
      </c>
    </row>
    <row r="26" spans="2:22" ht="15" customHeight="1">
      <c r="B26" s="1959" t="s">
        <v>7928</v>
      </c>
      <c r="C26" s="1958" t="s">
        <v>6320</v>
      </c>
      <c r="D26" s="1961">
        <v>1</v>
      </c>
      <c r="E26" s="1962">
        <v>1200000</v>
      </c>
      <c r="F26" s="1962">
        <f>+D26*E26</f>
        <v>1200000</v>
      </c>
      <c r="G26" s="1963">
        <v>1</v>
      </c>
      <c r="H26" s="1964">
        <f>+$H$12</f>
        <v>12</v>
      </c>
      <c r="I26" s="1961">
        <f>H26*G26</f>
        <v>12</v>
      </c>
      <c r="J26" s="1962">
        <f t="shared" si="0"/>
        <v>14400000</v>
      </c>
    </row>
    <row r="27" spans="2:22" ht="15" customHeight="1">
      <c r="B27" s="1969"/>
      <c r="C27" s="1970"/>
      <c r="D27" s="1971"/>
      <c r="E27" s="1972"/>
      <c r="F27" s="1972"/>
      <c r="G27" s="3269" t="s">
        <v>6373</v>
      </c>
      <c r="H27" s="3269"/>
      <c r="I27" s="3269"/>
      <c r="J27" s="1962">
        <f>SUM(J12:J26)</f>
        <v>238500000</v>
      </c>
    </row>
    <row r="28" spans="2:22" ht="15" customHeight="1">
      <c r="D28" s="1975"/>
      <c r="E28" s="1976"/>
      <c r="F28" s="1976"/>
      <c r="G28" s="3269" t="s">
        <v>6374</v>
      </c>
      <c r="H28" s="3269"/>
      <c r="I28" s="3269"/>
      <c r="J28" s="2294">
        <v>1.8222</v>
      </c>
      <c r="O28" s="1944" t="s">
        <v>6322</v>
      </c>
    </row>
    <row r="29" spans="2:22" ht="15" customHeight="1">
      <c r="D29" s="1975"/>
      <c r="E29" s="1976"/>
      <c r="F29" s="1976"/>
      <c r="G29" s="3254" t="s">
        <v>6375</v>
      </c>
      <c r="H29" s="3254"/>
      <c r="I29" s="3254"/>
      <c r="J29" s="1977">
        <f>+J27*J28</f>
        <v>434594700</v>
      </c>
      <c r="O29" s="1944" t="s">
        <v>949</v>
      </c>
      <c r="P29" s="1944">
        <v>6500000</v>
      </c>
    </row>
    <row r="30" spans="2:22" ht="15" customHeight="1">
      <c r="B30" s="1951">
        <v>2</v>
      </c>
      <c r="C30" s="1952" t="s">
        <v>6376</v>
      </c>
      <c r="O30" s="1944" t="s">
        <v>6316</v>
      </c>
      <c r="P30" s="1944">
        <v>4500000</v>
      </c>
    </row>
    <row r="31" spans="2:22" ht="29.25" customHeight="1">
      <c r="B31" s="3255" t="s">
        <v>22</v>
      </c>
      <c r="C31" s="3255" t="s">
        <v>23</v>
      </c>
      <c r="D31" s="1954" t="s">
        <v>1037</v>
      </c>
      <c r="E31" s="1954" t="s">
        <v>6350</v>
      </c>
      <c r="F31" s="1954" t="s">
        <v>6351</v>
      </c>
      <c r="G31" s="1954" t="s">
        <v>6377</v>
      </c>
      <c r="H31" s="1954" t="s">
        <v>6353</v>
      </c>
      <c r="I31" s="1954" t="s">
        <v>6378</v>
      </c>
      <c r="J31" s="1954" t="s">
        <v>6355</v>
      </c>
      <c r="O31" s="1944" t="s">
        <v>6317</v>
      </c>
      <c r="P31" s="1944">
        <v>1500000</v>
      </c>
    </row>
    <row r="32" spans="2:22" ht="15" customHeight="1">
      <c r="B32" s="3256"/>
      <c r="C32" s="3256"/>
      <c r="D32" s="1955" t="s">
        <v>6356</v>
      </c>
      <c r="E32" s="1955" t="s">
        <v>6357</v>
      </c>
      <c r="F32" s="1956" t="s">
        <v>6358</v>
      </c>
      <c r="G32" s="1955" t="s">
        <v>6359</v>
      </c>
      <c r="H32" s="1955" t="s">
        <v>6360</v>
      </c>
      <c r="I32" s="1956" t="s">
        <v>6361</v>
      </c>
      <c r="J32" s="1956" t="s">
        <v>6362</v>
      </c>
      <c r="O32" s="1944" t="s">
        <v>6314</v>
      </c>
      <c r="P32" s="1944">
        <v>3500000</v>
      </c>
    </row>
    <row r="33" spans="2:16" ht="15" customHeight="1">
      <c r="B33" s="2936">
        <v>2.1</v>
      </c>
      <c r="C33" s="1965" t="s">
        <v>6379</v>
      </c>
      <c r="D33" s="1961"/>
      <c r="E33" s="1962"/>
      <c r="F33" s="1962"/>
      <c r="G33" s="2935"/>
      <c r="H33" s="1978"/>
      <c r="I33" s="2939"/>
      <c r="J33" s="1962"/>
      <c r="O33" s="1944" t="s">
        <v>950</v>
      </c>
      <c r="P33" s="1944">
        <v>1500000</v>
      </c>
    </row>
    <row r="34" spans="2:16" ht="67.5" customHeight="1">
      <c r="B34" s="2935" t="s">
        <v>7925</v>
      </c>
      <c r="C34" s="1960" t="s">
        <v>8797</v>
      </c>
      <c r="D34" s="1961">
        <f>+D26</f>
        <v>1</v>
      </c>
      <c r="E34" s="1962">
        <v>4000000</v>
      </c>
      <c r="F34" s="1962">
        <f>+E34*D34</f>
        <v>4000000</v>
      </c>
      <c r="G34" s="1963">
        <v>1</v>
      </c>
      <c r="H34" s="1964">
        <f>+$H$12</f>
        <v>12</v>
      </c>
      <c r="I34" s="1961">
        <f>H34*G34</f>
        <v>12</v>
      </c>
      <c r="J34" s="1962">
        <f>I34*F34</f>
        <v>48000000</v>
      </c>
      <c r="O34" s="1944" t="s">
        <v>6315</v>
      </c>
      <c r="P34" s="1944">
        <v>1200000</v>
      </c>
    </row>
    <row r="35" spans="2:16" ht="15" customHeight="1">
      <c r="B35" s="2936">
        <v>2.2000000000000002</v>
      </c>
      <c r="C35" s="1965" t="s">
        <v>6380</v>
      </c>
      <c r="D35" s="1961"/>
      <c r="E35" s="1962"/>
      <c r="F35" s="1962"/>
      <c r="G35" s="1963"/>
      <c r="H35" s="1964"/>
      <c r="I35" s="1961"/>
      <c r="J35" s="1962"/>
      <c r="O35" s="1944" t="s">
        <v>953</v>
      </c>
      <c r="P35" s="1944">
        <v>1000000</v>
      </c>
    </row>
    <row r="36" spans="2:16" ht="15" customHeight="1">
      <c r="B36" s="2935" t="s">
        <v>6381</v>
      </c>
      <c r="C36" s="1958" t="s">
        <v>6382</v>
      </c>
      <c r="D36" s="1961">
        <v>1</v>
      </c>
      <c r="E36" s="1962">
        <v>2500000</v>
      </c>
      <c r="F36" s="1962">
        <f>+D36*E36</f>
        <v>2500000</v>
      </c>
      <c r="G36" s="1963">
        <v>0.5</v>
      </c>
      <c r="H36" s="1964">
        <f>+$H$12</f>
        <v>12</v>
      </c>
      <c r="I36" s="1961">
        <f>H36*G36</f>
        <v>6</v>
      </c>
      <c r="J36" s="1962">
        <f>I36*F36</f>
        <v>15000000</v>
      </c>
      <c r="O36" s="1944" t="s">
        <v>1211</v>
      </c>
      <c r="P36" s="1944">
        <v>3500000</v>
      </c>
    </row>
    <row r="37" spans="2:16">
      <c r="B37" s="2935" t="s">
        <v>6383</v>
      </c>
      <c r="C37" s="1958" t="s">
        <v>6384</v>
      </c>
      <c r="D37" s="1961">
        <v>1</v>
      </c>
      <c r="E37" s="1962">
        <v>500000</v>
      </c>
      <c r="F37" s="1962">
        <f>+D37*E37</f>
        <v>500000</v>
      </c>
      <c r="G37" s="1963">
        <v>1</v>
      </c>
      <c r="H37" s="1964">
        <f>+$H$12</f>
        <v>12</v>
      </c>
      <c r="I37" s="1961">
        <f>H37*G37</f>
        <v>12</v>
      </c>
      <c r="J37" s="1962">
        <f>I37*F37</f>
        <v>6000000</v>
      </c>
      <c r="O37" s="1944" t="s">
        <v>1212</v>
      </c>
      <c r="P37" s="1944">
        <v>0.81820000000000004</v>
      </c>
    </row>
    <row r="38" spans="2:16" ht="15" customHeight="1">
      <c r="B38" s="2935" t="s">
        <v>7923</v>
      </c>
      <c r="C38" s="1958" t="s">
        <v>6386</v>
      </c>
      <c r="D38" s="1961">
        <v>1</v>
      </c>
      <c r="E38" s="1962">
        <v>10407844.265561489</v>
      </c>
      <c r="F38" s="1962">
        <f>+D38*E38</f>
        <v>10407844.265561489</v>
      </c>
      <c r="G38" s="1963">
        <v>1</v>
      </c>
      <c r="H38" s="1964">
        <v>1</v>
      </c>
      <c r="I38" s="1961">
        <f>H38*G38</f>
        <v>1</v>
      </c>
      <c r="J38" s="1962">
        <f>I38*F38</f>
        <v>10407844.265561489</v>
      </c>
      <c r="L38" s="1989"/>
    </row>
    <row r="39" spans="2:16" ht="15" customHeight="1">
      <c r="B39" s="2935" t="s">
        <v>6385</v>
      </c>
      <c r="C39" s="1958" t="s">
        <v>6388</v>
      </c>
      <c r="D39" s="1961">
        <v>1</v>
      </c>
      <c r="E39" s="1962">
        <v>500000</v>
      </c>
      <c r="F39" s="1962">
        <f>+D39*E39</f>
        <v>500000</v>
      </c>
      <c r="G39" s="1963">
        <v>1</v>
      </c>
      <c r="H39" s="1964">
        <f>+$H$12</f>
        <v>12</v>
      </c>
      <c r="I39" s="1961">
        <f>H39*G39</f>
        <v>12</v>
      </c>
      <c r="J39" s="1962">
        <f>I39*F39</f>
        <v>6000000</v>
      </c>
    </row>
    <row r="40" spans="2:16" ht="15" customHeight="1">
      <c r="B40" s="2935"/>
      <c r="C40" s="1958"/>
      <c r="D40" s="1961"/>
      <c r="E40" s="1995"/>
      <c r="F40" s="1962"/>
      <c r="G40" s="1963"/>
      <c r="H40" s="1964"/>
      <c r="I40" s="1961"/>
      <c r="J40" s="1962">
        <f>+J52*1.38%</f>
        <v>0</v>
      </c>
    </row>
    <row r="41" spans="2:16">
      <c r="B41" s="2935"/>
      <c r="C41" s="1958"/>
      <c r="D41" s="1961"/>
      <c r="E41" s="2298"/>
      <c r="F41" s="1962"/>
      <c r="G41" s="1963"/>
      <c r="H41" s="1964"/>
      <c r="I41" s="1961"/>
      <c r="J41" s="1962">
        <f>+J52*E41</f>
        <v>0</v>
      </c>
    </row>
    <row r="42" spans="2:16">
      <c r="B42" s="1969"/>
      <c r="C42" s="1970"/>
      <c r="D42" s="1971"/>
      <c r="E42" s="1972"/>
      <c r="F42" s="1972"/>
      <c r="G42" s="3254" t="s">
        <v>6389</v>
      </c>
      <c r="H42" s="3254"/>
      <c r="I42" s="3254"/>
      <c r="J42" s="1977">
        <f>SUM(J33:J41)</f>
        <v>85407844.265561491</v>
      </c>
    </row>
    <row r="43" spans="2:16">
      <c r="D43" s="1975"/>
      <c r="E43" s="1976"/>
      <c r="F43" s="1976"/>
      <c r="G43" s="1980"/>
      <c r="H43" s="1980"/>
      <c r="I43" s="1980"/>
      <c r="J43" s="1981"/>
    </row>
    <row r="44" spans="2:16">
      <c r="D44" s="1975"/>
      <c r="E44" s="1976"/>
      <c r="F44" s="1976"/>
      <c r="H44" s="1982"/>
      <c r="I44" s="1983"/>
      <c r="J44" s="1984"/>
    </row>
    <row r="45" spans="2:16" ht="14.4">
      <c r="C45" s="2940"/>
      <c r="F45" s="1976"/>
      <c r="G45" s="3254" t="s">
        <v>6390</v>
      </c>
      <c r="H45" s="3254"/>
      <c r="I45" s="3254"/>
      <c r="J45" s="1977">
        <f>J42+J29</f>
        <v>520002544.26556146</v>
      </c>
    </row>
    <row r="46" spans="2:16" ht="14.4" hidden="1">
      <c r="C46" s="2940"/>
      <c r="F46" s="1976"/>
      <c r="G46" s="3254"/>
      <c r="H46" s="3254"/>
      <c r="I46" s="3254"/>
      <c r="J46" s="1977"/>
    </row>
    <row r="47" spans="2:16" ht="14.4" hidden="1">
      <c r="C47" s="2940"/>
      <c r="F47" s="1976"/>
      <c r="G47" s="3254"/>
      <c r="H47" s="3254"/>
      <c r="I47" s="3254"/>
      <c r="J47" s="1977"/>
    </row>
    <row r="48" spans="2:16" ht="18">
      <c r="C48" s="2941"/>
      <c r="D48" s="2942"/>
      <c r="E48" s="2943"/>
      <c r="F48" s="1976"/>
      <c r="G48" s="3254" t="s">
        <v>6391</v>
      </c>
      <c r="H48" s="3254"/>
      <c r="I48" s="3254"/>
      <c r="J48" s="1977">
        <f>+J45*0.19</f>
        <v>98800483.410456672</v>
      </c>
    </row>
    <row r="49" spans="3:26" ht="14.4">
      <c r="C49" s="1953"/>
      <c r="D49" s="2942"/>
      <c r="E49" s="2943"/>
      <c r="F49" s="1976"/>
      <c r="G49" s="3254" t="s">
        <v>6392</v>
      </c>
      <c r="H49" s="3254"/>
      <c r="I49" s="3254"/>
      <c r="J49" s="1990">
        <f>ROUND(SUM(J45:J48),0)</f>
        <v>618803028</v>
      </c>
      <c r="K49" s="2944">
        <v>628943220</v>
      </c>
      <c r="Y49" s="3024">
        <v>618803028</v>
      </c>
      <c r="Z49" s="1944">
        <v>628943221</v>
      </c>
    </row>
    <row r="50" spans="3:26">
      <c r="G50" s="3253"/>
      <c r="H50" s="3253"/>
      <c r="I50" s="3253"/>
      <c r="J50" s="2792"/>
      <c r="K50" s="2945">
        <f>+J49-K49</f>
        <v>-10140192</v>
      </c>
    </row>
    <row r="51" spans="3:26">
      <c r="J51" s="1991"/>
    </row>
    <row r="52" spans="3:26">
      <c r="J52" s="1992"/>
    </row>
    <row r="53" spans="3:26">
      <c r="J53" s="1993"/>
    </row>
    <row r="56" spans="3:26">
      <c r="J56" s="1991"/>
    </row>
  </sheetData>
  <mergeCells count="20">
    <mergeCell ref="B31:B32"/>
    <mergeCell ref="C31:C32"/>
    <mergeCell ref="B2:C4"/>
    <mergeCell ref="D2:H2"/>
    <mergeCell ref="I2:J4"/>
    <mergeCell ref="D3:H3"/>
    <mergeCell ref="D4:H4"/>
    <mergeCell ref="C6:J6"/>
    <mergeCell ref="B9:B10"/>
    <mergeCell ref="C9:C10"/>
    <mergeCell ref="G27:I27"/>
    <mergeCell ref="G28:I28"/>
    <mergeCell ref="G29:I29"/>
    <mergeCell ref="G50:I50"/>
    <mergeCell ref="G42:I42"/>
    <mergeCell ref="G45:I45"/>
    <mergeCell ref="G46:I46"/>
    <mergeCell ref="G47:I47"/>
    <mergeCell ref="G48:I48"/>
    <mergeCell ref="G49:I49"/>
  </mergeCells>
  <pageMargins left="0.7" right="0.7" top="0.75" bottom="0.75" header="0.3" footer="0.3"/>
  <pageSetup paperSize="9" scale="55" orientation="portrait" r:id="rId1"/>
  <colBreaks count="1" manualBreakCount="1">
    <brk id="10" max="5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47"/>
  <sheetViews>
    <sheetView topLeftCell="A13" workbookViewId="0">
      <selection activeCell="E49" sqref="E49"/>
    </sheetView>
  </sheetViews>
  <sheetFormatPr baseColWidth="10" defaultColWidth="12.5546875" defaultRowHeight="18"/>
  <cols>
    <col min="1" max="1" width="15.5546875" style="86" customWidth="1"/>
    <col min="2" max="2" width="41.5546875" style="82" customWidth="1"/>
    <col min="3" max="3" width="10" style="86" customWidth="1"/>
    <col min="4" max="4" width="12.6640625" style="86" customWidth="1"/>
    <col min="5" max="5" width="14.6640625" style="82" customWidth="1"/>
    <col min="6" max="6" width="11.6640625" style="82" customWidth="1"/>
    <col min="7" max="7" width="12.5546875" style="82"/>
    <col min="8" max="8" width="15.33203125" style="82" bestFit="1" customWidth="1"/>
    <col min="9" max="16384" width="12.5546875" style="82"/>
  </cols>
  <sheetData>
    <row r="1" spans="1:6" s="81" customFormat="1" ht="12.75" customHeight="1">
      <c r="A1" s="2003"/>
      <c r="B1" s="2004"/>
      <c r="C1" s="2005"/>
      <c r="D1" s="2005"/>
      <c r="E1" s="2006"/>
    </row>
    <row r="2" spans="1:6" s="81" customFormat="1" ht="24.9" customHeight="1">
      <c r="A2" s="3281" t="s">
        <v>854</v>
      </c>
      <c r="B2" s="3281"/>
      <c r="C2" s="3281"/>
      <c r="D2" s="3281"/>
      <c r="E2" s="3281"/>
      <c r="F2" s="3281"/>
    </row>
    <row r="4" spans="1:6" s="2000" customFormat="1" ht="49.5" customHeight="1">
      <c r="A4" s="2008" t="s">
        <v>856</v>
      </c>
      <c r="B4" s="2008" t="s">
        <v>855</v>
      </c>
      <c r="C4" s="2008" t="s">
        <v>343</v>
      </c>
      <c r="D4" s="2008" t="s">
        <v>6408</v>
      </c>
      <c r="E4" s="2008" t="s">
        <v>6409</v>
      </c>
      <c r="F4" s="2009" t="s">
        <v>344</v>
      </c>
    </row>
    <row r="5" spans="1:6">
      <c r="A5" s="2002" t="s">
        <v>345</v>
      </c>
      <c r="B5" s="83" t="s">
        <v>965</v>
      </c>
      <c r="C5" s="84" t="s">
        <v>346</v>
      </c>
      <c r="D5" s="2001">
        <v>1.6</v>
      </c>
      <c r="E5" s="2001">
        <v>30</v>
      </c>
      <c r="F5" s="2007">
        <f>$C$28*D5/E5</f>
        <v>80479.625344</v>
      </c>
    </row>
    <row r="6" spans="1:6">
      <c r="A6" s="2002" t="s">
        <v>347</v>
      </c>
      <c r="B6" s="83" t="s">
        <v>266</v>
      </c>
      <c r="C6" s="84" t="s">
        <v>346</v>
      </c>
      <c r="D6" s="2001">
        <v>1.3</v>
      </c>
      <c r="E6" s="2001">
        <v>30</v>
      </c>
      <c r="F6" s="2007">
        <f t="shared" ref="F6:F7" si="0">$C$28*D6/E6</f>
        <v>65389.695592000004</v>
      </c>
    </row>
    <row r="7" spans="1:6">
      <c r="A7" s="2002" t="s">
        <v>348</v>
      </c>
      <c r="B7" s="83" t="s">
        <v>966</v>
      </c>
      <c r="C7" s="84" t="s">
        <v>346</v>
      </c>
      <c r="D7" s="2001">
        <v>1</v>
      </c>
      <c r="E7" s="2001">
        <v>30</v>
      </c>
      <c r="F7" s="2007">
        <f t="shared" si="0"/>
        <v>50299.76584</v>
      </c>
    </row>
    <row r="9" spans="1:6" ht="17.25" customHeight="1">
      <c r="A9" s="3278" t="s">
        <v>5632</v>
      </c>
      <c r="B9" s="3278"/>
      <c r="C9" s="3273">
        <v>828116</v>
      </c>
      <c r="D9" s="3273"/>
      <c r="E9" s="3273"/>
      <c r="F9" s="3273"/>
    </row>
    <row r="10" spans="1:6">
      <c r="A10" s="85"/>
      <c r="B10" s="105"/>
      <c r="C10" s="106"/>
      <c r="D10" s="85"/>
      <c r="E10" s="85"/>
    </row>
    <row r="11" spans="1:6" ht="24.9" customHeight="1">
      <c r="A11" s="3281" t="s">
        <v>276</v>
      </c>
      <c r="B11" s="3281"/>
      <c r="C11" s="3281"/>
      <c r="D11" s="3281"/>
      <c r="E11" s="3281"/>
      <c r="F11" s="3281"/>
    </row>
    <row r="12" spans="1:6">
      <c r="A12" s="85"/>
      <c r="B12" s="85"/>
      <c r="C12" s="85"/>
      <c r="D12" s="85"/>
      <c r="E12" s="85"/>
    </row>
    <row r="13" spans="1:6">
      <c r="A13" s="3279" t="s">
        <v>267</v>
      </c>
      <c r="B13" s="3280"/>
      <c r="C13" s="3282" t="s">
        <v>268</v>
      </c>
      <c r="D13" s="3282"/>
      <c r="E13" s="3282"/>
      <c r="F13" s="3282"/>
    </row>
    <row r="14" spans="1:6">
      <c r="A14" s="3274" t="s">
        <v>6404</v>
      </c>
      <c r="B14" s="1997" t="s">
        <v>6403</v>
      </c>
      <c r="C14" s="3277">
        <v>0.1172</v>
      </c>
      <c r="D14" s="3277"/>
      <c r="E14" s="3277"/>
      <c r="F14" s="3277"/>
    </row>
    <row r="15" spans="1:6">
      <c r="A15" s="3275"/>
      <c r="B15" s="1998" t="s">
        <v>748</v>
      </c>
      <c r="C15" s="3277">
        <v>0.1111</v>
      </c>
      <c r="D15" s="3277"/>
      <c r="E15" s="3277"/>
      <c r="F15" s="3277"/>
    </row>
    <row r="16" spans="1:6">
      <c r="A16" s="3275"/>
      <c r="B16" s="1998" t="s">
        <v>749</v>
      </c>
      <c r="C16" s="3277">
        <v>1.1000000000000001E-3</v>
      </c>
      <c r="D16" s="3277"/>
      <c r="E16" s="3277"/>
      <c r="F16" s="3277"/>
    </row>
    <row r="17" spans="1:11">
      <c r="A17" s="3275"/>
      <c r="B17" s="1997" t="s">
        <v>269</v>
      </c>
      <c r="C17" s="3277">
        <v>9.3100000000000002E-2</v>
      </c>
      <c r="D17" s="3277"/>
      <c r="E17" s="3277"/>
      <c r="F17" s="3277"/>
    </row>
    <row r="18" spans="1:11">
      <c r="A18" s="3275"/>
      <c r="B18" s="1997" t="s">
        <v>270</v>
      </c>
      <c r="C18" s="3277">
        <v>4.1700000000000001E-2</v>
      </c>
      <c r="D18" s="3277"/>
      <c r="E18" s="3277"/>
      <c r="F18" s="3277"/>
    </row>
    <row r="19" spans="1:11" ht="19.2">
      <c r="A19" s="3276"/>
      <c r="B19" s="1999" t="s">
        <v>541</v>
      </c>
      <c r="C19" s="3277">
        <v>2.7E-2</v>
      </c>
      <c r="D19" s="3277"/>
      <c r="E19" s="3277"/>
      <c r="F19" s="3277"/>
    </row>
    <row r="20" spans="1:11">
      <c r="A20" s="3274" t="s">
        <v>6406</v>
      </c>
      <c r="B20" s="1997" t="s">
        <v>271</v>
      </c>
      <c r="C20" s="3277">
        <v>0.125</v>
      </c>
      <c r="D20" s="3277"/>
      <c r="E20" s="3277"/>
      <c r="F20" s="3277"/>
    </row>
    <row r="21" spans="1:11">
      <c r="A21" s="3275"/>
      <c r="B21" s="1997" t="s">
        <v>272</v>
      </c>
      <c r="C21" s="3277">
        <v>0.16</v>
      </c>
      <c r="D21" s="3277"/>
      <c r="E21" s="3277"/>
      <c r="F21" s="3277"/>
    </row>
    <row r="22" spans="1:11">
      <c r="A22" s="3276"/>
      <c r="B22" s="1997" t="s">
        <v>6405</v>
      </c>
      <c r="C22" s="3277">
        <v>5.6000000000000001E-2</v>
      </c>
      <c r="D22" s="3277"/>
      <c r="E22" s="3277"/>
      <c r="F22" s="3277"/>
    </row>
    <row r="23" spans="1:11">
      <c r="A23" s="3274" t="s">
        <v>6407</v>
      </c>
      <c r="B23" s="1997" t="s">
        <v>273</v>
      </c>
      <c r="C23" s="3277">
        <v>0.02</v>
      </c>
      <c r="D23" s="3277">
        <v>0.02</v>
      </c>
      <c r="E23" s="3277"/>
      <c r="F23" s="3277"/>
    </row>
    <row r="24" spans="1:11">
      <c r="A24" s="3275"/>
      <c r="B24" s="1997" t="s">
        <v>274</v>
      </c>
      <c r="C24" s="3277">
        <v>0.03</v>
      </c>
      <c r="D24" s="3277">
        <v>0.03</v>
      </c>
      <c r="E24" s="3277"/>
      <c r="F24" s="3277"/>
    </row>
    <row r="25" spans="1:11">
      <c r="A25" s="3276"/>
      <c r="B25" s="1997" t="s">
        <v>275</v>
      </c>
      <c r="C25" s="3277">
        <v>0.04</v>
      </c>
      <c r="D25" s="3277"/>
      <c r="E25" s="3277"/>
      <c r="F25" s="3277"/>
      <c r="H25" s="2296"/>
      <c r="I25" s="2296"/>
      <c r="J25" s="2296"/>
      <c r="K25" s="2296"/>
    </row>
    <row r="26" spans="1:11" ht="17.25" customHeight="1">
      <c r="A26" s="3279" t="s">
        <v>857</v>
      </c>
      <c r="B26" s="3280"/>
      <c r="C26" s="3270">
        <f>SUM(C14:C25)</f>
        <v>0.82220000000000015</v>
      </c>
      <c r="D26" s="3271"/>
      <c r="E26" s="3271"/>
      <c r="F26" s="3272"/>
      <c r="H26" s="2297"/>
      <c r="I26" s="2297"/>
      <c r="J26" s="2297"/>
      <c r="K26" s="2297"/>
    </row>
    <row r="27" spans="1:11">
      <c r="B27" s="107"/>
      <c r="C27" s="108"/>
    </row>
    <row r="28" spans="1:11" ht="29.25" hidden="1" customHeight="1">
      <c r="A28" s="3278" t="str">
        <f>IF(PRESTA&gt;0,"SMMLV 2019 (INCLUYE "&amp;""&amp;PRESTA*100&amp;"% PRESTACIONES)",0)</f>
        <v>SMMLV 2019 (INCLUYE 82,22% PRESTACIONES)</v>
      </c>
      <c r="B28" s="3278"/>
      <c r="C28" s="3273">
        <f>SMMLV*(1+C26)</f>
        <v>1508992.9752</v>
      </c>
      <c r="D28" s="3273"/>
      <c r="E28" s="3273"/>
      <c r="F28" s="3273"/>
    </row>
    <row r="29" spans="1:11" ht="29.25" customHeight="1">
      <c r="B29" s="1898"/>
      <c r="C29" s="1899"/>
      <c r="D29" s="1899"/>
    </row>
    <row r="34" spans="1:4" ht="19.2">
      <c r="A34" s="1116"/>
      <c r="B34" s="932"/>
    </row>
    <row r="35" spans="1:4" ht="19.2">
      <c r="A35" s="932"/>
      <c r="B35" s="932"/>
    </row>
    <row r="36" spans="1:4" ht="19.2">
      <c r="A36" s="932"/>
      <c r="B36" s="932"/>
    </row>
    <row r="37" spans="1:4" ht="19.2">
      <c r="A37" s="932"/>
      <c r="B37" s="932"/>
    </row>
    <row r="38" spans="1:4" ht="19.2">
      <c r="A38" s="932"/>
      <c r="B38" s="932"/>
    </row>
    <row r="39" spans="1:4" ht="19.2">
      <c r="A39" s="933"/>
      <c r="B39" s="933"/>
    </row>
    <row r="40" spans="1:4" ht="19.2">
      <c r="A40" s="1117"/>
      <c r="B40" s="933"/>
    </row>
    <row r="41" spans="1:4" ht="19.2">
      <c r="A41" s="933"/>
      <c r="B41" s="933"/>
    </row>
    <row r="42" spans="1:4" ht="19.2">
      <c r="A42" s="933"/>
      <c r="B42" s="933"/>
    </row>
    <row r="43" spans="1:4" ht="19.2">
      <c r="A43" s="933"/>
      <c r="B43" s="933"/>
    </row>
    <row r="44" spans="1:4" ht="19.2">
      <c r="A44" s="933"/>
      <c r="B44" s="933"/>
      <c r="C44" s="82"/>
      <c r="D44" s="82"/>
    </row>
    <row r="45" spans="1:4" ht="19.2">
      <c r="A45" s="933"/>
      <c r="B45" s="933"/>
      <c r="C45" s="82"/>
      <c r="D45" s="82"/>
    </row>
    <row r="46" spans="1:4" ht="19.2">
      <c r="A46" s="933"/>
      <c r="B46" s="933"/>
      <c r="C46" s="82"/>
      <c r="D46" s="82"/>
    </row>
    <row r="47" spans="1:4" ht="19.2">
      <c r="A47" s="933"/>
      <c r="B47" s="933"/>
      <c r="C47" s="82"/>
      <c r="D47" s="82"/>
    </row>
  </sheetData>
  <mergeCells count="25">
    <mergeCell ref="C9:F9"/>
    <mergeCell ref="A9:B9"/>
    <mergeCell ref="A26:B26"/>
    <mergeCell ref="A2:F2"/>
    <mergeCell ref="A11:F11"/>
    <mergeCell ref="C13:F13"/>
    <mergeCell ref="C14:F14"/>
    <mergeCell ref="C15:F15"/>
    <mergeCell ref="C16:F16"/>
    <mergeCell ref="C17:F17"/>
    <mergeCell ref="C18:F18"/>
    <mergeCell ref="C19:F19"/>
    <mergeCell ref="C20:F20"/>
    <mergeCell ref="C21:F21"/>
    <mergeCell ref="C22:F22"/>
    <mergeCell ref="A13:B13"/>
    <mergeCell ref="C26:F26"/>
    <mergeCell ref="C28:F28"/>
    <mergeCell ref="A14:A19"/>
    <mergeCell ref="C23:F23"/>
    <mergeCell ref="C24:F24"/>
    <mergeCell ref="C25:F25"/>
    <mergeCell ref="A20:A22"/>
    <mergeCell ref="A23:A25"/>
    <mergeCell ref="A28:B28"/>
  </mergeCells>
  <phoneticPr fontId="0" type="noConversion"/>
  <printOptions horizontalCentered="1"/>
  <pageMargins left="0.59055118110236227" right="0.59055118110236227" top="0.78740157480314965" bottom="0.78740157480314965" header="0" footer="0"/>
  <pageSetup paperSize="119" scale="74" orientation="portrait" r:id="rId1"/>
  <headerFooter alignWithMargins="0">
    <oddFooter>&amp;C&amp;"Gill Sans MT,Normal"&amp;P de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F52"/>
  <sheetViews>
    <sheetView workbookViewId="0">
      <selection sqref="A1:C1"/>
    </sheetView>
  </sheetViews>
  <sheetFormatPr baseColWidth="10" defaultColWidth="14.6640625" defaultRowHeight="13.8"/>
  <cols>
    <col min="1" max="1" width="32.33203125" style="187" customWidth="1"/>
    <col min="2" max="2" width="14.6640625" style="187" customWidth="1"/>
    <col min="3" max="3" width="15.33203125" style="187" customWidth="1"/>
    <col min="4" max="4" width="16.33203125" style="187" customWidth="1"/>
    <col min="5" max="5" width="14.5546875" style="187" customWidth="1"/>
    <col min="6" max="6" width="15.6640625" style="187" bestFit="1" customWidth="1"/>
    <col min="7" max="16384" width="14.6640625" style="187"/>
  </cols>
  <sheetData>
    <row r="1" spans="1:6" ht="16.5" customHeight="1">
      <c r="A1" s="3283" t="s">
        <v>1029</v>
      </c>
      <c r="B1" s="3284"/>
      <c r="C1" s="3285"/>
      <c r="D1" s="3286" t="s">
        <v>1030</v>
      </c>
      <c r="E1" s="3286"/>
      <c r="F1" s="186" t="s">
        <v>1031</v>
      </c>
    </row>
    <row r="2" spans="1:6" ht="16.5" customHeight="1">
      <c r="A2" s="3287" t="s">
        <v>1032</v>
      </c>
      <c r="B2" s="3288"/>
      <c r="C2" s="3289"/>
      <c r="D2" s="3287" t="s">
        <v>772</v>
      </c>
      <c r="E2" s="3289"/>
      <c r="F2" s="3296" t="s">
        <v>1033</v>
      </c>
    </row>
    <row r="3" spans="1:6" ht="16.5" customHeight="1">
      <c r="A3" s="3290"/>
      <c r="B3" s="3291"/>
      <c r="C3" s="3292"/>
      <c r="D3" s="3290"/>
      <c r="E3" s="3292"/>
      <c r="F3" s="3297"/>
    </row>
    <row r="4" spans="1:6" ht="16.5" customHeight="1">
      <c r="A4" s="3290"/>
      <c r="B4" s="3291"/>
      <c r="C4" s="3292"/>
      <c r="D4" s="3290"/>
      <c r="E4" s="3292"/>
      <c r="F4" s="3297"/>
    </row>
    <row r="5" spans="1:6" ht="14.25" hidden="1" customHeight="1">
      <c r="A5" s="3290"/>
      <c r="B5" s="3291"/>
      <c r="C5" s="3292"/>
      <c r="D5" s="3290"/>
      <c r="E5" s="3292"/>
      <c r="F5" s="3297"/>
    </row>
    <row r="6" spans="1:6" ht="14.25" hidden="1" customHeight="1">
      <c r="A6" s="3290"/>
      <c r="B6" s="3291"/>
      <c r="C6" s="3292"/>
      <c r="D6" s="3290"/>
      <c r="E6" s="3292"/>
      <c r="F6" s="3297"/>
    </row>
    <row r="7" spans="1:6" ht="14.25" hidden="1" customHeight="1">
      <c r="A7" s="3290"/>
      <c r="B7" s="3291"/>
      <c r="C7" s="3292"/>
      <c r="D7" s="3290"/>
      <c r="E7" s="3292"/>
      <c r="F7" s="3297"/>
    </row>
    <row r="8" spans="1:6">
      <c r="A8" s="3293"/>
      <c r="B8" s="3294"/>
      <c r="C8" s="3295"/>
      <c r="D8" s="3293"/>
      <c r="E8" s="3295"/>
      <c r="F8" s="3298"/>
    </row>
    <row r="9" spans="1:6" ht="16.8">
      <c r="A9" s="222" t="s">
        <v>1034</v>
      </c>
      <c r="B9" s="223" t="s">
        <v>150</v>
      </c>
      <c r="C9" s="224" t="s">
        <v>1035</v>
      </c>
      <c r="D9" s="223" t="s">
        <v>1036</v>
      </c>
      <c r="E9" s="225" t="s">
        <v>1037</v>
      </c>
      <c r="F9" s="223" t="s">
        <v>1038</v>
      </c>
    </row>
    <row r="10" spans="1:6" ht="16.8">
      <c r="A10" s="226"/>
      <c r="B10" s="227"/>
      <c r="C10" s="228"/>
      <c r="D10" s="227"/>
      <c r="E10" s="229"/>
      <c r="F10" s="230"/>
    </row>
    <row r="11" spans="1:6" ht="18">
      <c r="A11" s="188" t="s">
        <v>371</v>
      </c>
      <c r="B11" s="186"/>
      <c r="C11" s="186"/>
      <c r="D11" s="192"/>
      <c r="E11" s="192"/>
      <c r="F11" s="189"/>
    </row>
    <row r="12" spans="1:6" ht="18">
      <c r="A12" s="193" t="s">
        <v>1039</v>
      </c>
      <c r="B12" s="186" t="s">
        <v>133</v>
      </c>
      <c r="C12" s="194">
        <v>25000</v>
      </c>
      <c r="D12" s="195">
        <v>1</v>
      </c>
      <c r="E12" s="195">
        <v>50</v>
      </c>
      <c r="F12" s="465">
        <f t="shared" ref="F12:F27" si="0">+C12/D12*E12</f>
        <v>1250000</v>
      </c>
    </row>
    <row r="13" spans="1:6" ht="18">
      <c r="A13" s="197" t="s">
        <v>1040</v>
      </c>
      <c r="B13" s="186" t="s">
        <v>1002</v>
      </c>
      <c r="C13" s="194"/>
      <c r="D13" s="195"/>
      <c r="E13" s="195">
        <f>250*2*1.5</f>
        <v>750</v>
      </c>
      <c r="F13" s="465"/>
    </row>
    <row r="14" spans="1:6" ht="18">
      <c r="A14" s="197" t="s">
        <v>1041</v>
      </c>
      <c r="B14" s="186" t="s">
        <v>133</v>
      </c>
      <c r="C14" s="196">
        <v>150000</v>
      </c>
      <c r="D14" s="195">
        <v>1</v>
      </c>
      <c r="E14" s="195">
        <v>3</v>
      </c>
      <c r="F14" s="465">
        <f t="shared" si="0"/>
        <v>450000</v>
      </c>
    </row>
    <row r="15" spans="1:6" ht="18">
      <c r="A15" s="197" t="s">
        <v>1042</v>
      </c>
      <c r="B15" s="186" t="s">
        <v>133</v>
      </c>
      <c r="C15" s="196">
        <v>150000</v>
      </c>
      <c r="D15" s="195">
        <v>1</v>
      </c>
      <c r="E15" s="195">
        <v>6</v>
      </c>
      <c r="F15" s="465">
        <f t="shared" si="0"/>
        <v>900000</v>
      </c>
    </row>
    <row r="16" spans="1:6" ht="18">
      <c r="A16" s="197" t="s">
        <v>1043</v>
      </c>
      <c r="B16" s="186" t="s">
        <v>133</v>
      </c>
      <c r="C16" s="196">
        <v>175714</v>
      </c>
      <c r="D16" s="195">
        <v>1</v>
      </c>
      <c r="E16" s="195">
        <v>3</v>
      </c>
      <c r="F16" s="465">
        <f t="shared" si="0"/>
        <v>527142</v>
      </c>
    </row>
    <row r="17" spans="1:6" ht="18">
      <c r="A17" s="197" t="s">
        <v>1044</v>
      </c>
      <c r="B17" s="186" t="s">
        <v>133</v>
      </c>
      <c r="C17" s="194">
        <v>281000</v>
      </c>
      <c r="D17" s="195">
        <v>1</v>
      </c>
      <c r="E17" s="195">
        <v>2</v>
      </c>
      <c r="F17" s="465">
        <f t="shared" si="0"/>
        <v>562000</v>
      </c>
    </row>
    <row r="18" spans="1:6" ht="18">
      <c r="A18" s="197" t="s">
        <v>1045</v>
      </c>
      <c r="B18" s="186" t="s">
        <v>133</v>
      </c>
      <c r="C18" s="196">
        <v>1800</v>
      </c>
      <c r="D18" s="195">
        <v>1</v>
      </c>
      <c r="E18" s="195">
        <v>25</v>
      </c>
      <c r="F18" s="465">
        <f t="shared" si="0"/>
        <v>45000</v>
      </c>
    </row>
    <row r="19" spans="1:6" ht="18">
      <c r="A19" s="197" t="s">
        <v>1046</v>
      </c>
      <c r="B19" s="186" t="s">
        <v>1047</v>
      </c>
      <c r="C19" s="194">
        <v>168000</v>
      </c>
      <c r="D19" s="195">
        <v>1</v>
      </c>
      <c r="E19" s="195">
        <v>15</v>
      </c>
      <c r="F19" s="465">
        <f t="shared" si="0"/>
        <v>2520000</v>
      </c>
    </row>
    <row r="20" spans="1:6" ht="18">
      <c r="A20" s="197" t="s">
        <v>1048</v>
      </c>
      <c r="B20" s="186" t="s">
        <v>772</v>
      </c>
      <c r="C20" s="196">
        <v>5000</v>
      </c>
      <c r="D20" s="195">
        <v>1</v>
      </c>
      <c r="E20" s="195">
        <v>8</v>
      </c>
      <c r="F20" s="465">
        <f t="shared" si="0"/>
        <v>40000</v>
      </c>
    </row>
    <row r="21" spans="1:6" ht="18">
      <c r="A21" s="193" t="s">
        <v>1049</v>
      </c>
      <c r="B21" s="186" t="s">
        <v>133</v>
      </c>
      <c r="C21" s="194">
        <v>150000</v>
      </c>
      <c r="D21" s="195">
        <v>1</v>
      </c>
      <c r="E21" s="195">
        <v>1</v>
      </c>
      <c r="F21" s="465">
        <f t="shared" si="0"/>
        <v>150000</v>
      </c>
    </row>
    <row r="22" spans="1:6" ht="18">
      <c r="A22" s="197" t="s">
        <v>1050</v>
      </c>
      <c r="B22" s="186" t="s">
        <v>133</v>
      </c>
      <c r="C22" s="196">
        <v>60000</v>
      </c>
      <c r="D22" s="195">
        <v>1</v>
      </c>
      <c r="E22" s="195">
        <v>2</v>
      </c>
      <c r="F22" s="465">
        <f t="shared" si="0"/>
        <v>120000</v>
      </c>
    </row>
    <row r="23" spans="1:6" ht="18">
      <c r="A23" s="197" t="s">
        <v>1051</v>
      </c>
      <c r="B23" s="186" t="s">
        <v>133</v>
      </c>
      <c r="C23" s="196">
        <v>290000</v>
      </c>
      <c r="D23" s="198">
        <v>1</v>
      </c>
      <c r="E23" s="195">
        <v>1</v>
      </c>
      <c r="F23" s="465">
        <f t="shared" si="0"/>
        <v>290000</v>
      </c>
    </row>
    <row r="24" spans="1:6" ht="18">
      <c r="A24" s="197" t="s">
        <v>1052</v>
      </c>
      <c r="B24" s="186" t="s">
        <v>133</v>
      </c>
      <c r="C24" s="196">
        <v>28420</v>
      </c>
      <c r="D24" s="198">
        <v>1</v>
      </c>
      <c r="E24" s="198">
        <v>4</v>
      </c>
      <c r="F24" s="465">
        <f t="shared" si="0"/>
        <v>113680</v>
      </c>
    </row>
    <row r="25" spans="1:6" ht="18">
      <c r="A25" s="197" t="s">
        <v>1053</v>
      </c>
      <c r="B25" s="186" t="s">
        <v>133</v>
      </c>
      <c r="C25" s="196">
        <v>180000</v>
      </c>
      <c r="D25" s="195">
        <v>1</v>
      </c>
      <c r="E25" s="198">
        <v>1</v>
      </c>
      <c r="F25" s="465">
        <f t="shared" si="0"/>
        <v>180000</v>
      </c>
    </row>
    <row r="26" spans="1:6" ht="18">
      <c r="A26" s="197" t="s">
        <v>1054</v>
      </c>
      <c r="B26" s="186" t="s">
        <v>133</v>
      </c>
      <c r="C26" s="194">
        <v>580000</v>
      </c>
      <c r="D26" s="195">
        <v>1</v>
      </c>
      <c r="E26" s="198">
        <v>1</v>
      </c>
      <c r="F26" s="465">
        <f t="shared" si="0"/>
        <v>580000</v>
      </c>
    </row>
    <row r="27" spans="1:6" ht="18">
      <c r="A27" s="197" t="s">
        <v>1055</v>
      </c>
      <c r="B27" s="186" t="s">
        <v>133</v>
      </c>
      <c r="C27" s="194">
        <v>350000</v>
      </c>
      <c r="D27" s="195">
        <v>1</v>
      </c>
      <c r="E27" s="198">
        <v>1</v>
      </c>
      <c r="F27" s="465">
        <f t="shared" si="0"/>
        <v>350000</v>
      </c>
    </row>
    <row r="28" spans="1:6" ht="18">
      <c r="A28" s="193" t="s">
        <v>1056</v>
      </c>
      <c r="B28" s="186" t="s">
        <v>133</v>
      </c>
      <c r="C28" s="196">
        <v>32364</v>
      </c>
      <c r="D28" s="195">
        <v>1</v>
      </c>
      <c r="E28" s="198">
        <v>4</v>
      </c>
      <c r="F28" s="465">
        <f>+C28/D28*E28</f>
        <v>129456</v>
      </c>
    </row>
    <row r="29" spans="1:6" ht="18">
      <c r="A29" s="197" t="s">
        <v>1057</v>
      </c>
      <c r="B29" s="186" t="s">
        <v>1058</v>
      </c>
      <c r="C29" s="194"/>
      <c r="D29" s="195">
        <v>1</v>
      </c>
      <c r="E29" s="198">
        <f>15*4</f>
        <v>60</v>
      </c>
      <c r="F29" s="465">
        <f>+C29/D29*E29</f>
        <v>0</v>
      </c>
    </row>
    <row r="30" spans="1:6" ht="18">
      <c r="A30" s="199"/>
      <c r="B30" s="200"/>
      <c r="C30" s="201"/>
      <c r="D30" s="202"/>
      <c r="E30" s="202" t="s">
        <v>1059</v>
      </c>
      <c r="F30" s="465">
        <f>SUM(F12:F29)</f>
        <v>8207278</v>
      </c>
    </row>
    <row r="31" spans="1:6" ht="18">
      <c r="A31" s="188" t="s">
        <v>1060</v>
      </c>
      <c r="B31" s="204"/>
      <c r="C31" s="195"/>
      <c r="D31" s="198"/>
      <c r="E31" s="195"/>
      <c r="F31" s="466"/>
    </row>
    <row r="32" spans="1:6" ht="18">
      <c r="A32" s="206" t="s">
        <v>1061</v>
      </c>
      <c r="B32" s="186" t="s">
        <v>283</v>
      </c>
      <c r="C32" s="198">
        <v>1</v>
      </c>
      <c r="D32" s="198">
        <v>0.05</v>
      </c>
      <c r="E32" s="198">
        <f>F44</f>
        <v>9154557.3828800004</v>
      </c>
      <c r="F32" s="465">
        <f>C32*D32*E32</f>
        <v>457727.86914400005</v>
      </c>
    </row>
    <row r="33" spans="1:6" ht="18">
      <c r="A33" s="197"/>
      <c r="B33" s="186"/>
      <c r="C33" s="195"/>
      <c r="D33" s="198"/>
      <c r="E33" s="198"/>
      <c r="F33" s="465"/>
    </row>
    <row r="34" spans="1:6" ht="18" hidden="1">
      <c r="A34" s="207"/>
      <c r="B34" s="186"/>
      <c r="C34" s="195"/>
      <c r="D34" s="198"/>
      <c r="E34" s="208"/>
      <c r="F34" s="467"/>
    </row>
    <row r="35" spans="1:6" ht="18" hidden="1">
      <c r="A35" s="207"/>
      <c r="B35" s="186"/>
      <c r="C35" s="195"/>
      <c r="D35" s="198"/>
      <c r="E35" s="208"/>
      <c r="F35" s="467"/>
    </row>
    <row r="36" spans="1:6" ht="18" hidden="1">
      <c r="A36" s="207"/>
      <c r="B36" s="186"/>
      <c r="C36" s="195"/>
      <c r="D36" s="198"/>
      <c r="E36" s="208"/>
      <c r="F36" s="468"/>
    </row>
    <row r="37" spans="1:6" ht="18">
      <c r="A37" s="190"/>
      <c r="B37" s="200"/>
      <c r="C37" s="201"/>
      <c r="D37" s="202"/>
      <c r="E37" s="202" t="s">
        <v>1059</v>
      </c>
      <c r="F37" s="467">
        <f>SUM(F32:F36)</f>
        <v>457727.86914400005</v>
      </c>
    </row>
    <row r="38" spans="1:6" ht="18">
      <c r="A38" s="188" t="s">
        <v>342</v>
      </c>
      <c r="B38" s="189"/>
      <c r="C38" s="195"/>
      <c r="D38" s="198"/>
      <c r="E38" s="195"/>
      <c r="F38" s="466"/>
    </row>
    <row r="39" spans="1:6" ht="18">
      <c r="A39" s="197"/>
      <c r="B39" s="186"/>
      <c r="C39" s="196"/>
      <c r="D39" s="198"/>
      <c r="E39" s="198"/>
      <c r="F39" s="467"/>
    </row>
    <row r="40" spans="1:6" ht="18">
      <c r="A40" s="197" t="s">
        <v>1062</v>
      </c>
      <c r="B40" s="186" t="s">
        <v>1063</v>
      </c>
      <c r="C40" s="196">
        <f>+AYUDA</f>
        <v>65389.695592000004</v>
      </c>
      <c r="D40" s="195">
        <v>2</v>
      </c>
      <c r="E40" s="198">
        <v>280</v>
      </c>
      <c r="F40" s="467">
        <f>C40/D40*E40</f>
        <v>9154557.3828800004</v>
      </c>
    </row>
    <row r="41" spans="1:6" ht="18">
      <c r="A41" s="197"/>
      <c r="B41" s="186"/>
      <c r="C41" s="195"/>
      <c r="D41" s="198"/>
      <c r="E41" s="198"/>
      <c r="F41" s="467"/>
    </row>
    <row r="42" spans="1:6" ht="18" hidden="1">
      <c r="A42" s="207"/>
      <c r="B42" s="186"/>
      <c r="C42" s="195"/>
      <c r="D42" s="198"/>
      <c r="E42" s="208"/>
      <c r="F42" s="467"/>
    </row>
    <row r="43" spans="1:6" ht="18" hidden="1">
      <c r="A43" s="207"/>
      <c r="B43" s="211"/>
      <c r="C43" s="212"/>
      <c r="D43" s="209"/>
      <c r="E43" s="213"/>
      <c r="F43" s="468"/>
    </row>
    <row r="44" spans="1:6" ht="18">
      <c r="A44" s="190"/>
      <c r="B44" s="191"/>
      <c r="C44" s="214"/>
      <c r="D44" s="215"/>
      <c r="E44" s="205" t="s">
        <v>1059</v>
      </c>
      <c r="F44" s="465">
        <f>SUM(F38:F43)</f>
        <v>9154557.3828800004</v>
      </c>
    </row>
    <row r="45" spans="1:6" ht="18">
      <c r="A45" s="188" t="s">
        <v>1064</v>
      </c>
      <c r="B45" s="216"/>
      <c r="C45" s="203"/>
      <c r="D45" s="217"/>
      <c r="E45" s="203"/>
      <c r="F45" s="469"/>
    </row>
    <row r="46" spans="1:6" ht="23.25" hidden="1" customHeight="1">
      <c r="A46" s="197"/>
      <c r="B46" s="186"/>
      <c r="C46" s="195"/>
      <c r="D46" s="198"/>
      <c r="E46" s="198"/>
      <c r="F46" s="467"/>
    </row>
    <row r="47" spans="1:6" ht="18" hidden="1">
      <c r="A47" s="197"/>
      <c r="B47" s="186"/>
      <c r="C47" s="195"/>
      <c r="D47" s="198"/>
      <c r="E47" s="198"/>
      <c r="F47" s="467"/>
    </row>
    <row r="48" spans="1:6" ht="1.5" customHeight="1">
      <c r="A48" s="207"/>
      <c r="B48" s="186"/>
      <c r="C48" s="195"/>
      <c r="D48" s="198"/>
      <c r="E48" s="208"/>
      <c r="F48" s="467"/>
    </row>
    <row r="49" spans="1:6" ht="18">
      <c r="A49" s="197" t="s">
        <v>1065</v>
      </c>
      <c r="B49" s="186" t="s">
        <v>581</v>
      </c>
      <c r="C49" s="196">
        <v>1000000</v>
      </c>
      <c r="D49" s="198">
        <v>1</v>
      </c>
      <c r="E49" s="208">
        <v>1</v>
      </c>
      <c r="F49" s="467">
        <f>C49/D49*E49</f>
        <v>1000000</v>
      </c>
    </row>
    <row r="50" spans="1:6" ht="18">
      <c r="A50" s="207"/>
      <c r="B50" s="186"/>
      <c r="C50" s="195"/>
      <c r="D50" s="198"/>
      <c r="E50" s="208"/>
      <c r="F50" s="198"/>
    </row>
    <row r="51" spans="1:6" ht="18">
      <c r="A51" s="218"/>
      <c r="B51" s="200"/>
      <c r="C51" s="201"/>
      <c r="D51" s="202"/>
      <c r="E51" s="219" t="s">
        <v>1059</v>
      </c>
      <c r="F51" s="210">
        <f>SUM(F46:F50)</f>
        <v>1000000</v>
      </c>
    </row>
    <row r="52" spans="1:6" ht="18">
      <c r="A52" s="220"/>
      <c r="B52" s="221"/>
      <c r="C52" s="201"/>
      <c r="D52" s="201"/>
      <c r="E52" s="219" t="s">
        <v>1066</v>
      </c>
      <c r="F52" s="196">
        <f>+F30+F37+F44+F51</f>
        <v>18819563.252024002</v>
      </c>
    </row>
  </sheetData>
  <mergeCells count="5">
    <mergeCell ref="A1:C1"/>
    <mergeCell ref="D1:E1"/>
    <mergeCell ref="A2:C8"/>
    <mergeCell ref="D2:E8"/>
    <mergeCell ref="F2:F8"/>
  </mergeCells>
  <printOptions horizontalCentered="1" verticalCentered="1"/>
  <pageMargins left="0.63" right="0.59" top="0.98425196850393704" bottom="0.98425196850393704" header="0" footer="0"/>
  <pageSetup scale="85" orientation="portrait" horizontalDpi="4294967295"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2:FW4850"/>
  <sheetViews>
    <sheetView workbookViewId="0"/>
  </sheetViews>
  <sheetFormatPr baseColWidth="10" defaultColWidth="11.44140625" defaultRowHeight="13.2"/>
  <cols>
    <col min="1" max="1" width="13.44140625" style="103" customWidth="1"/>
    <col min="2" max="2" width="56.88671875" style="56" customWidth="1"/>
    <col min="3" max="3" width="11.44140625" style="58"/>
    <col min="4" max="4" width="12.5546875" style="88" customWidth="1"/>
    <col min="5" max="5" width="0" style="103" hidden="1" customWidth="1"/>
    <col min="6" max="16384" width="11.44140625" style="10"/>
  </cols>
  <sheetData>
    <row r="2" spans="1:9" customFormat="1" ht="12.75" customHeight="1" thickBot="1">
      <c r="A2" s="946"/>
      <c r="B2" s="947"/>
      <c r="C2" s="947"/>
      <c r="D2" s="947"/>
      <c r="E2" s="947"/>
      <c r="F2" s="948"/>
    </row>
    <row r="3" spans="1:9" customFormat="1" ht="37.5" customHeight="1">
      <c r="A3" s="3299"/>
      <c r="B3" s="3300" t="s">
        <v>4262</v>
      </c>
      <c r="C3" s="3301"/>
      <c r="D3" s="3301"/>
      <c r="E3" s="3301"/>
      <c r="F3" s="3301"/>
      <c r="G3" s="3301"/>
      <c r="H3" s="3302"/>
      <c r="I3" s="3303"/>
    </row>
    <row r="4" spans="1:9" customFormat="1" ht="18">
      <c r="A4" s="3299"/>
      <c r="B4" s="3308" t="s">
        <v>4264</v>
      </c>
      <c r="C4" s="3309"/>
      <c r="D4" s="3309"/>
      <c r="E4" s="3309"/>
      <c r="F4" s="3309"/>
      <c r="G4" s="3309"/>
      <c r="H4" s="3304"/>
      <c r="I4" s="3305"/>
    </row>
    <row r="5" spans="1:9" customFormat="1" ht="22.2" thickBot="1">
      <c r="A5" s="3299"/>
      <c r="B5" s="3310" t="s">
        <v>3859</v>
      </c>
      <c r="C5" s="3311"/>
      <c r="D5" s="3312" t="s">
        <v>4259</v>
      </c>
      <c r="E5" s="3312"/>
      <c r="F5" s="3312"/>
      <c r="G5" s="3312"/>
      <c r="H5" s="3306"/>
      <c r="I5" s="3307"/>
    </row>
    <row r="6" spans="1:9" ht="32.25" customHeight="1" thickBot="1">
      <c r="A6" s="95"/>
      <c r="B6" s="949" t="s">
        <v>139</v>
      </c>
      <c r="C6" s="950">
        <v>0.3</v>
      </c>
      <c r="E6" s="95"/>
    </row>
    <row r="9" spans="1:9" ht="16.8">
      <c r="A9" s="95"/>
      <c r="B9" s="72" t="str">
        <f>IF(PRESTA&gt;0,"SMMLV 2010 (INCLUYE "&amp;""&amp;PRESTA*100&amp;"% PRESTACIONES)",0)</f>
        <v>SMMLV 2010 (INCLUYE 82,22% PRESTACIONES)</v>
      </c>
      <c r="C9" s="96" t="s">
        <v>967</v>
      </c>
      <c r="D9" s="59">
        <f>+PRESTA!C28</f>
        <v>1508992.9752</v>
      </c>
      <c r="E9" s="95"/>
    </row>
    <row r="10" spans="1:9">
      <c r="A10" s="95"/>
      <c r="B10" s="97"/>
      <c r="C10" s="98"/>
      <c r="D10" s="89"/>
      <c r="E10" s="95"/>
    </row>
    <row r="11" spans="1:9">
      <c r="A11" s="95"/>
      <c r="B11" s="99" t="s">
        <v>383</v>
      </c>
      <c r="C11" s="96" t="s">
        <v>967</v>
      </c>
      <c r="D11" s="152">
        <f>+PRESTA!C26</f>
        <v>0.82220000000000015</v>
      </c>
      <c r="E11" s="95"/>
    </row>
    <row r="13" spans="1:9" ht="16.8">
      <c r="A13" s="1" t="s">
        <v>141</v>
      </c>
      <c r="B13" s="74" t="s">
        <v>342</v>
      </c>
      <c r="C13" s="49" t="s">
        <v>343</v>
      </c>
      <c r="D13" s="53" t="s">
        <v>344</v>
      </c>
      <c r="E13" s="1" t="s">
        <v>141</v>
      </c>
    </row>
    <row r="14" spans="1:9" ht="16.8">
      <c r="A14" s="2" t="s">
        <v>345</v>
      </c>
      <c r="B14" s="72" t="str">
        <f>IF(PRESTA&gt;0,"OFICIAL (INCLUYE "&amp;""&amp;PRESTA*100&amp;"% PRESTACIONES)",0)</f>
        <v>OFICIAL (INCLUYE 82,22% PRESTACIONES)</v>
      </c>
      <c r="C14" s="52" t="s">
        <v>346</v>
      </c>
      <c r="D14" s="237">
        <f>PRESTA!F5</f>
        <v>80479.625344</v>
      </c>
      <c r="E14" s="2" t="s">
        <v>345</v>
      </c>
    </row>
    <row r="15" spans="1:9" ht="16.8">
      <c r="A15" s="2" t="s">
        <v>347</v>
      </c>
      <c r="B15" s="72" t="str">
        <f>IF(PRESTA&gt;0,"AYUD. ENTENDIDO (INCLUYE "&amp;""&amp;PRESTA*100&amp;"% PRESTACIONES)",0)</f>
        <v>AYUD. ENTENDIDO (INCLUYE 82,22% PRESTACIONES)</v>
      </c>
      <c r="C15" s="50" t="s">
        <v>346</v>
      </c>
      <c r="D15" s="237">
        <f>PRESTA!F6</f>
        <v>65389.695592000004</v>
      </c>
      <c r="E15" s="2" t="s">
        <v>347</v>
      </c>
    </row>
    <row r="16" spans="1:9" ht="16.8">
      <c r="A16" s="60" t="s">
        <v>348</v>
      </c>
      <c r="B16" s="72" t="str">
        <f>IF(PRESTA&gt;0,"AYUD. RASO (INCLUYE "&amp;""&amp;PRESTA*100&amp;"% PRESTACIONES)",0)</f>
        <v>AYUD. RASO (INCLUYE 82,22% PRESTACIONES)</v>
      </c>
      <c r="C16" s="52" t="s">
        <v>346</v>
      </c>
      <c r="D16" s="237">
        <f>PRESTA!F7</f>
        <v>50299.76584</v>
      </c>
      <c r="E16" s="471" t="s">
        <v>348</v>
      </c>
    </row>
    <row r="17" spans="1:5" ht="16.8">
      <c r="A17" s="2" t="s">
        <v>349</v>
      </c>
      <c r="B17" s="75" t="s">
        <v>350</v>
      </c>
      <c r="C17" s="50" t="s">
        <v>346</v>
      </c>
      <c r="D17" s="237">
        <v>550000</v>
      </c>
      <c r="E17" s="2" t="s">
        <v>349</v>
      </c>
    </row>
    <row r="18" spans="1:5" ht="18.75" customHeight="1">
      <c r="A18" s="2" t="s">
        <v>351</v>
      </c>
      <c r="B18" s="3" t="s">
        <v>352</v>
      </c>
      <c r="C18" s="52" t="s">
        <v>346</v>
      </c>
      <c r="D18" s="54">
        <v>181218</v>
      </c>
      <c r="E18" s="2" t="s">
        <v>351</v>
      </c>
    </row>
    <row r="19" spans="1:5" s="19" customFormat="1" ht="16.8">
      <c r="A19" s="2" t="s">
        <v>1013</v>
      </c>
      <c r="B19" s="18" t="s">
        <v>1014</v>
      </c>
      <c r="C19" s="42" t="s">
        <v>356</v>
      </c>
      <c r="D19" s="54">
        <v>180000</v>
      </c>
      <c r="E19" s="2" t="s">
        <v>1013</v>
      </c>
    </row>
    <row r="20" spans="1:5" s="19" customFormat="1" ht="16.8">
      <c r="A20" s="2" t="s">
        <v>868</v>
      </c>
      <c r="B20" s="18" t="s">
        <v>430</v>
      </c>
      <c r="C20" s="42" t="s">
        <v>647</v>
      </c>
      <c r="D20" s="237">
        <v>500</v>
      </c>
      <c r="E20" s="2" t="s">
        <v>868</v>
      </c>
    </row>
    <row r="21" spans="1:5" ht="16.5" customHeight="1">
      <c r="A21" s="2" t="s">
        <v>336</v>
      </c>
      <c r="B21" s="5" t="s">
        <v>337</v>
      </c>
      <c r="C21" s="52" t="s">
        <v>717</v>
      </c>
      <c r="D21" s="238">
        <v>95000</v>
      </c>
      <c r="E21" s="2" t="s">
        <v>336</v>
      </c>
    </row>
    <row r="22" spans="1:5" ht="17.25" customHeight="1">
      <c r="A22" s="2" t="s">
        <v>1005</v>
      </c>
      <c r="B22" s="3" t="s">
        <v>1006</v>
      </c>
      <c r="C22" s="12" t="s">
        <v>1002</v>
      </c>
      <c r="D22" s="15">
        <f>(OFICI+AYUDR)/10</f>
        <v>13077.939118400001</v>
      </c>
      <c r="E22" s="2" t="s">
        <v>1005</v>
      </c>
    </row>
    <row r="23" spans="1:5" ht="17.25" customHeight="1">
      <c r="A23" s="2" t="s">
        <v>627</v>
      </c>
      <c r="B23" s="3" t="s">
        <v>626</v>
      </c>
      <c r="C23" s="52" t="s">
        <v>356</v>
      </c>
      <c r="D23" s="63">
        <v>12600</v>
      </c>
      <c r="E23" s="2" t="s">
        <v>627</v>
      </c>
    </row>
    <row r="24" spans="1:5" s="19" customFormat="1" ht="16.8">
      <c r="A24" s="13"/>
      <c r="B24" s="18"/>
      <c r="C24" s="2"/>
      <c r="D24" s="90"/>
      <c r="E24" s="13"/>
    </row>
    <row r="25" spans="1:5" s="19" customFormat="1" ht="16.8">
      <c r="A25" s="1" t="s">
        <v>141</v>
      </c>
      <c r="B25" s="74" t="s">
        <v>303</v>
      </c>
      <c r="C25" s="49" t="s">
        <v>343</v>
      </c>
      <c r="D25" s="53" t="s">
        <v>344</v>
      </c>
      <c r="E25" s="1" t="s">
        <v>141</v>
      </c>
    </row>
    <row r="26" spans="1:5" s="19" customFormat="1" ht="16.8">
      <c r="A26" s="2" t="s">
        <v>865</v>
      </c>
      <c r="B26" s="18" t="s">
        <v>866</v>
      </c>
      <c r="C26" s="42" t="s">
        <v>647</v>
      </c>
      <c r="D26" s="237">
        <v>3200</v>
      </c>
      <c r="E26" s="2" t="s">
        <v>865</v>
      </c>
    </row>
    <row r="27" spans="1:5" s="19" customFormat="1" ht="16.8">
      <c r="A27" s="2" t="s">
        <v>867</v>
      </c>
      <c r="B27" s="18" t="s">
        <v>96</v>
      </c>
      <c r="C27" s="42" t="s">
        <v>647</v>
      </c>
      <c r="D27" s="237">
        <v>3200</v>
      </c>
      <c r="E27" s="2" t="s">
        <v>867</v>
      </c>
    </row>
    <row r="28" spans="1:5" s="19" customFormat="1" ht="16.8">
      <c r="A28" s="2" t="s">
        <v>98</v>
      </c>
      <c r="B28" s="18" t="s">
        <v>97</v>
      </c>
      <c r="C28" s="42" t="s">
        <v>647</v>
      </c>
      <c r="D28" s="237">
        <v>3200</v>
      </c>
      <c r="E28" s="2" t="s">
        <v>98</v>
      </c>
    </row>
    <row r="29" spans="1:5" s="19" customFormat="1" ht="16.8">
      <c r="A29" s="2" t="s">
        <v>202</v>
      </c>
      <c r="B29" s="18" t="s">
        <v>203</v>
      </c>
      <c r="C29" s="42" t="s">
        <v>647</v>
      </c>
      <c r="D29" s="237">
        <v>3130</v>
      </c>
      <c r="E29" s="2" t="s">
        <v>202</v>
      </c>
    </row>
    <row r="30" spans="1:5" s="19" customFormat="1" ht="16.8">
      <c r="A30" s="2" t="s">
        <v>663</v>
      </c>
      <c r="B30" s="78" t="s">
        <v>107</v>
      </c>
      <c r="C30" s="2" t="s">
        <v>647</v>
      </c>
      <c r="D30" s="15">
        <v>3199.7400000000002</v>
      </c>
      <c r="E30" s="2" t="s">
        <v>663</v>
      </c>
    </row>
    <row r="31" spans="1:5" s="19" customFormat="1" ht="16.8">
      <c r="A31" s="2" t="s">
        <v>664</v>
      </c>
      <c r="B31" s="78" t="s">
        <v>108</v>
      </c>
      <c r="C31" s="2" t="s">
        <v>363</v>
      </c>
      <c r="D31" s="15">
        <v>82824</v>
      </c>
      <c r="E31" s="2" t="s">
        <v>664</v>
      </c>
    </row>
    <row r="32" spans="1:5" s="19" customFormat="1" ht="16.8">
      <c r="A32" s="2" t="s">
        <v>665</v>
      </c>
      <c r="B32" s="78" t="s">
        <v>692</v>
      </c>
      <c r="C32" s="2" t="s">
        <v>363</v>
      </c>
      <c r="D32" s="15">
        <v>82824</v>
      </c>
      <c r="E32" s="2" t="s">
        <v>665</v>
      </c>
    </row>
    <row r="33" spans="1:179" s="19" customFormat="1" ht="16.8">
      <c r="A33" s="13"/>
      <c r="B33" s="78"/>
      <c r="C33" s="2"/>
      <c r="D33" s="63"/>
      <c r="E33" s="13"/>
    </row>
    <row r="34" spans="1:179" s="19" customFormat="1" ht="16.8">
      <c r="A34" s="13"/>
      <c r="B34" s="18"/>
      <c r="C34" s="2"/>
      <c r="D34" s="90"/>
      <c r="E34" s="13"/>
    </row>
    <row r="35" spans="1:179" s="19" customFormat="1" ht="16.8">
      <c r="A35" s="13"/>
      <c r="B35" s="18"/>
      <c r="C35" s="2"/>
      <c r="D35" s="90"/>
      <c r="E35" s="13"/>
    </row>
    <row r="36" spans="1:179" ht="16.8">
      <c r="A36" s="1" t="s">
        <v>141</v>
      </c>
      <c r="B36" s="74" t="s">
        <v>710</v>
      </c>
      <c r="C36" s="49" t="s">
        <v>343</v>
      </c>
      <c r="D36" s="53" t="s">
        <v>344</v>
      </c>
      <c r="E36" s="1" t="s">
        <v>141</v>
      </c>
    </row>
    <row r="37" spans="1:179" s="19" customFormat="1" ht="16.8">
      <c r="A37" s="2" t="s">
        <v>302</v>
      </c>
      <c r="B37" s="18" t="s">
        <v>16</v>
      </c>
      <c r="C37" s="42" t="s">
        <v>356</v>
      </c>
      <c r="D37" s="54">
        <f>+'BASE CTOS'!B120</f>
        <v>469469.49922490004</v>
      </c>
      <c r="E37" s="2" t="s">
        <v>302</v>
      </c>
    </row>
    <row r="38" spans="1:179" s="23" customFormat="1" ht="16.8">
      <c r="A38" s="2" t="s">
        <v>308</v>
      </c>
      <c r="B38" s="5" t="s">
        <v>18</v>
      </c>
      <c r="C38" s="42" t="s">
        <v>356</v>
      </c>
      <c r="D38" s="54">
        <f>+'BASE CTOS'!B106</f>
        <v>419022.54922489997</v>
      </c>
      <c r="E38" s="2" t="s">
        <v>308</v>
      </c>
    </row>
    <row r="39" spans="1:179" ht="15" customHeight="1">
      <c r="A39" s="2" t="s">
        <v>671</v>
      </c>
      <c r="B39" s="5" t="s">
        <v>17</v>
      </c>
      <c r="C39" s="52" t="s">
        <v>356</v>
      </c>
      <c r="D39" s="33">
        <f>+'BASE CTOS'!B92</f>
        <v>387711.3992249</v>
      </c>
      <c r="E39" s="2" t="s">
        <v>671</v>
      </c>
    </row>
    <row r="40" spans="1:179" s="23" customFormat="1" ht="16.8">
      <c r="A40" s="2" t="s">
        <v>863</v>
      </c>
      <c r="B40" s="5" t="s">
        <v>864</v>
      </c>
      <c r="C40" s="42" t="s">
        <v>356</v>
      </c>
      <c r="D40" s="54">
        <f>+'BASE CTOS'!B78</f>
        <v>362394.84922490001</v>
      </c>
      <c r="E40" s="2" t="s">
        <v>863</v>
      </c>
    </row>
    <row r="41" spans="1:179" s="19" customFormat="1" ht="13.5" customHeight="1">
      <c r="A41" s="2" t="s">
        <v>91</v>
      </c>
      <c r="B41" s="100" t="s">
        <v>19</v>
      </c>
      <c r="C41" s="42" t="s">
        <v>356</v>
      </c>
      <c r="D41" s="33">
        <f>+'BASE CTOS'!B64</f>
        <v>364500.62422489998</v>
      </c>
      <c r="E41" s="2" t="s">
        <v>91</v>
      </c>
    </row>
    <row r="42" spans="1:179" s="19" customFormat="1" ht="16.8">
      <c r="A42" s="2" t="s">
        <v>307</v>
      </c>
      <c r="B42" s="100" t="s">
        <v>20</v>
      </c>
      <c r="C42" s="42" t="s">
        <v>356</v>
      </c>
      <c r="D42" s="54">
        <f>+'BASE CTOS'!B50</f>
        <v>361854.3992249</v>
      </c>
      <c r="E42" s="2" t="s">
        <v>307</v>
      </c>
    </row>
    <row r="43" spans="1:179" s="19" customFormat="1" ht="16.8">
      <c r="A43" s="2" t="s">
        <v>281</v>
      </c>
      <c r="B43" s="100" t="s">
        <v>280</v>
      </c>
      <c r="C43" s="42" t="s">
        <v>356</v>
      </c>
      <c r="D43" s="54">
        <f>+'BASE CTOS'!B36</f>
        <v>329955.0242249</v>
      </c>
      <c r="E43" s="2" t="s">
        <v>281</v>
      </c>
    </row>
    <row r="44" spans="1:179" s="19" customFormat="1" ht="16.8">
      <c r="A44" s="2" t="s">
        <v>877</v>
      </c>
      <c r="B44" s="100" t="s">
        <v>876</v>
      </c>
      <c r="C44" s="42" t="s">
        <v>356</v>
      </c>
      <c r="D44" s="54">
        <f>+'BASE CTOS'!B22</f>
        <v>315397.8992249</v>
      </c>
      <c r="E44" s="2" t="s">
        <v>877</v>
      </c>
    </row>
    <row r="45" spans="1:179" s="19" customFormat="1" ht="16.8">
      <c r="A45" s="2"/>
      <c r="B45" s="18"/>
      <c r="C45" s="42"/>
      <c r="D45" s="54"/>
      <c r="E45" s="2"/>
    </row>
    <row r="46" spans="1:179" ht="14.25" customHeight="1">
      <c r="A46" s="2" t="s">
        <v>644</v>
      </c>
      <c r="B46" s="3" t="s">
        <v>946</v>
      </c>
      <c r="C46" s="51" t="s">
        <v>356</v>
      </c>
      <c r="D46" s="54">
        <f>+'BASE CTOS'!B149</f>
        <v>414261.84922490001</v>
      </c>
      <c r="E46" s="2" t="s">
        <v>644</v>
      </c>
    </row>
    <row r="47" spans="1:179" ht="15.75" customHeight="1">
      <c r="A47" s="2" t="s">
        <v>410</v>
      </c>
      <c r="B47" s="5" t="s">
        <v>947</v>
      </c>
      <c r="C47" s="12" t="s">
        <v>356</v>
      </c>
      <c r="D47" s="15">
        <f>+'BASE CTOS'!B162</f>
        <v>372116.6492249</v>
      </c>
      <c r="E47" s="2" t="s">
        <v>410</v>
      </c>
    </row>
    <row r="48" spans="1:179" s="30" customFormat="1" ht="14.25" customHeight="1">
      <c r="A48" s="2" t="s">
        <v>997</v>
      </c>
      <c r="B48" s="18" t="s">
        <v>948</v>
      </c>
      <c r="C48" s="51" t="s">
        <v>356</v>
      </c>
      <c r="D48" s="54">
        <f>+'BASE CTOS'!B175</f>
        <v>306881.04922489997</v>
      </c>
      <c r="E48" s="2" t="s">
        <v>997</v>
      </c>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row>
    <row r="49" spans="1:179" s="30" customFormat="1" ht="14.25" customHeight="1">
      <c r="A49" s="2"/>
      <c r="B49" s="18"/>
      <c r="C49" s="51"/>
      <c r="D49" s="54"/>
      <c r="E49" s="2"/>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row>
    <row r="50" spans="1:179" s="30" customFormat="1" ht="14.25" customHeight="1">
      <c r="A50" s="2"/>
      <c r="B50" s="18"/>
      <c r="C50" s="51"/>
      <c r="D50" s="54"/>
      <c r="E50" s="2"/>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row>
    <row r="51" spans="1:179" s="30" customFormat="1" ht="14.25" customHeight="1">
      <c r="A51" s="2"/>
      <c r="B51" s="18"/>
      <c r="C51" s="51"/>
      <c r="D51" s="54"/>
      <c r="E51" s="2"/>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row>
    <row r="52" spans="1:179" s="19" customFormat="1" ht="16.8">
      <c r="A52" s="2"/>
      <c r="B52" s="18"/>
      <c r="C52" s="42"/>
      <c r="D52" s="54"/>
      <c r="E52" s="2"/>
    </row>
    <row r="53" spans="1:179" s="19" customFormat="1" ht="16.8">
      <c r="A53" s="2"/>
      <c r="B53" s="18"/>
      <c r="C53" s="42"/>
      <c r="D53" s="54"/>
      <c r="E53" s="2"/>
    </row>
    <row r="54" spans="1:179" s="19" customFormat="1" ht="16.8">
      <c r="A54" s="2"/>
      <c r="B54" s="18"/>
      <c r="C54" s="42"/>
      <c r="D54" s="54"/>
      <c r="E54" s="2"/>
    </row>
    <row r="55" spans="1:179" s="44" customFormat="1" ht="16.8">
      <c r="A55" s="1" t="s">
        <v>141</v>
      </c>
      <c r="B55" s="74" t="s">
        <v>353</v>
      </c>
      <c r="C55" s="49" t="s">
        <v>343</v>
      </c>
      <c r="D55" s="53" t="s">
        <v>344</v>
      </c>
      <c r="E55" s="1" t="s">
        <v>141</v>
      </c>
      <c r="I55" s="44">
        <f>+CORTACT</f>
        <v>35000</v>
      </c>
    </row>
    <row r="56" spans="1:179" ht="17.25" customHeight="1">
      <c r="A56" s="2" t="s">
        <v>642</v>
      </c>
      <c r="B56" s="3" t="s">
        <v>643</v>
      </c>
      <c r="C56" s="52" t="s">
        <v>356</v>
      </c>
      <c r="D56" s="237">
        <v>45000</v>
      </c>
      <c r="E56" s="2" t="s">
        <v>642</v>
      </c>
    </row>
    <row r="57" spans="1:179" ht="17.25" customHeight="1">
      <c r="A57" s="2" t="s">
        <v>331</v>
      </c>
      <c r="B57" s="3" t="s">
        <v>330</v>
      </c>
      <c r="C57" s="52" t="s">
        <v>356</v>
      </c>
      <c r="D57" s="237">
        <v>27500</v>
      </c>
      <c r="E57" s="2" t="s">
        <v>331</v>
      </c>
    </row>
    <row r="58" spans="1:179" ht="16.8">
      <c r="A58" s="2" t="s">
        <v>354</v>
      </c>
      <c r="B58" s="5" t="s">
        <v>355</v>
      </c>
      <c r="C58" s="50" t="s">
        <v>356</v>
      </c>
      <c r="D58" s="510">
        <v>21000</v>
      </c>
      <c r="E58" s="2" t="s">
        <v>354</v>
      </c>
    </row>
    <row r="59" spans="1:179" ht="16.5" customHeight="1">
      <c r="A59" s="2" t="s">
        <v>357</v>
      </c>
      <c r="B59" s="3" t="s">
        <v>358</v>
      </c>
      <c r="C59" s="51" t="s">
        <v>356</v>
      </c>
      <c r="D59" s="237">
        <v>60500</v>
      </c>
      <c r="E59" s="2" t="s">
        <v>357</v>
      </c>
    </row>
    <row r="60" spans="1:179" ht="16.5" customHeight="1">
      <c r="A60" s="2" t="s">
        <v>740</v>
      </c>
      <c r="B60" s="3" t="s">
        <v>741</v>
      </c>
      <c r="C60" s="51" t="s">
        <v>356</v>
      </c>
      <c r="D60" s="237">
        <v>37400</v>
      </c>
      <c r="E60" s="2" t="s">
        <v>740</v>
      </c>
    </row>
    <row r="61" spans="1:179" ht="16.5" customHeight="1">
      <c r="A61" s="2" t="s">
        <v>359</v>
      </c>
      <c r="B61" s="3" t="s">
        <v>360</v>
      </c>
      <c r="C61" s="51" t="s">
        <v>356</v>
      </c>
      <c r="D61" s="237">
        <v>25000</v>
      </c>
      <c r="E61" s="2" t="s">
        <v>359</v>
      </c>
    </row>
    <row r="62" spans="1:179" ht="18.75" customHeight="1">
      <c r="A62" s="2" t="s">
        <v>364</v>
      </c>
      <c r="B62" s="3" t="s">
        <v>365</v>
      </c>
      <c r="C62" s="52" t="s">
        <v>356</v>
      </c>
      <c r="D62" s="237">
        <v>45000</v>
      </c>
      <c r="E62" s="2" t="s">
        <v>364</v>
      </c>
    </row>
    <row r="63" spans="1:179" ht="18.75" customHeight="1">
      <c r="A63" s="2" t="s">
        <v>366</v>
      </c>
      <c r="B63" s="3" t="s">
        <v>367</v>
      </c>
      <c r="C63" s="52" t="s">
        <v>356</v>
      </c>
      <c r="D63" s="237">
        <v>45000</v>
      </c>
      <c r="E63" s="2" t="s">
        <v>366</v>
      </c>
    </row>
    <row r="64" spans="1:179" ht="18.75" customHeight="1">
      <c r="A64" s="2" t="s">
        <v>368</v>
      </c>
      <c r="B64" s="3" t="s">
        <v>369</v>
      </c>
      <c r="C64" s="52" t="s">
        <v>370</v>
      </c>
      <c r="D64" s="237">
        <v>25500</v>
      </c>
      <c r="E64" s="2" t="s">
        <v>368</v>
      </c>
    </row>
    <row r="65" spans="1:5" s="23" customFormat="1" ht="16.8">
      <c r="A65" s="2" t="s">
        <v>167</v>
      </c>
      <c r="B65" s="5" t="s">
        <v>725</v>
      </c>
      <c r="C65" s="42" t="s">
        <v>363</v>
      </c>
      <c r="D65" s="237">
        <v>1540</v>
      </c>
      <c r="E65" s="2" t="s">
        <v>167</v>
      </c>
    </row>
    <row r="66" spans="1:5" s="23" customFormat="1" ht="16.8">
      <c r="A66" s="2" t="s">
        <v>176</v>
      </c>
      <c r="B66" s="5" t="s">
        <v>175</v>
      </c>
      <c r="C66" s="42" t="s">
        <v>356</v>
      </c>
      <c r="D66" s="33">
        <v>45900</v>
      </c>
      <c r="E66" s="2" t="s">
        <v>176</v>
      </c>
    </row>
    <row r="67" spans="1:5" ht="16.8">
      <c r="A67" s="60" t="s">
        <v>335</v>
      </c>
      <c r="B67" s="3" t="s">
        <v>728</v>
      </c>
      <c r="C67" s="52" t="s">
        <v>356</v>
      </c>
      <c r="D67" s="33">
        <v>229500</v>
      </c>
      <c r="E67" s="471" t="s">
        <v>335</v>
      </c>
    </row>
    <row r="68" spans="1:5" ht="16.5" customHeight="1">
      <c r="A68" s="60" t="s">
        <v>555</v>
      </c>
      <c r="B68" s="3" t="s">
        <v>556</v>
      </c>
      <c r="C68" s="52" t="s">
        <v>356</v>
      </c>
      <c r="D68" s="33">
        <v>265200</v>
      </c>
      <c r="E68" s="471" t="s">
        <v>555</v>
      </c>
    </row>
    <row r="69" spans="1:5" ht="16.5" customHeight="1">
      <c r="A69" s="60" t="s">
        <v>557</v>
      </c>
      <c r="B69" s="3" t="s">
        <v>558</v>
      </c>
      <c r="C69" s="52" t="s">
        <v>356</v>
      </c>
      <c r="D69" s="33">
        <v>20400</v>
      </c>
      <c r="E69" s="471" t="s">
        <v>557</v>
      </c>
    </row>
    <row r="70" spans="1:5" ht="15.75" customHeight="1">
      <c r="A70" s="60" t="s">
        <v>559</v>
      </c>
      <c r="B70" s="3" t="s">
        <v>560</v>
      </c>
      <c r="C70" s="52" t="s">
        <v>356</v>
      </c>
      <c r="D70" s="33">
        <v>272136</v>
      </c>
      <c r="E70" s="471" t="s">
        <v>559</v>
      </c>
    </row>
    <row r="71" spans="1:5" s="23" customFormat="1" ht="17.25" customHeight="1">
      <c r="A71" s="2" t="s">
        <v>986</v>
      </c>
      <c r="B71" s="5" t="s">
        <v>987</v>
      </c>
      <c r="C71" s="50" t="s">
        <v>356</v>
      </c>
      <c r="D71" s="33">
        <v>35700</v>
      </c>
      <c r="E71" s="2" t="s">
        <v>986</v>
      </c>
    </row>
    <row r="72" spans="1:5" s="23" customFormat="1" ht="16.8">
      <c r="A72" s="2" t="s">
        <v>435</v>
      </c>
      <c r="B72" s="5" t="s">
        <v>436</v>
      </c>
      <c r="C72" s="50" t="s">
        <v>356</v>
      </c>
      <c r="D72" s="33">
        <v>37842</v>
      </c>
      <c r="E72" s="2" t="s">
        <v>435</v>
      </c>
    </row>
    <row r="73" spans="1:5" ht="15.75" customHeight="1">
      <c r="A73" s="2" t="s">
        <v>173</v>
      </c>
      <c r="B73" s="5" t="s">
        <v>174</v>
      </c>
      <c r="C73" s="12" t="s">
        <v>363</v>
      </c>
      <c r="D73" s="15">
        <v>1071</v>
      </c>
      <c r="E73" s="2" t="s">
        <v>173</v>
      </c>
    </row>
    <row r="74" spans="1:5" ht="14.25" customHeight="1">
      <c r="A74" s="2" t="s">
        <v>1007</v>
      </c>
      <c r="B74" s="5" t="s">
        <v>1008</v>
      </c>
      <c r="C74" s="12" t="s">
        <v>363</v>
      </c>
      <c r="D74" s="7">
        <v>561</v>
      </c>
      <c r="E74" s="2" t="s">
        <v>1007</v>
      </c>
    </row>
    <row r="75" spans="1:5" s="19" customFormat="1" ht="15.75" customHeight="1">
      <c r="A75" s="2" t="s">
        <v>80</v>
      </c>
      <c r="B75" s="41" t="s">
        <v>81</v>
      </c>
      <c r="C75" s="2" t="s">
        <v>363</v>
      </c>
      <c r="D75" s="15">
        <v>202031.4</v>
      </c>
      <c r="E75" s="2" t="s">
        <v>80</v>
      </c>
    </row>
    <row r="76" spans="1:5" ht="16.8">
      <c r="A76" s="13"/>
      <c r="B76" s="76"/>
      <c r="C76" s="14"/>
      <c r="D76" s="87">
        <v>0</v>
      </c>
      <c r="E76" s="13"/>
    </row>
    <row r="77" spans="1:5" ht="16.8">
      <c r="A77" s="1" t="s">
        <v>141</v>
      </c>
      <c r="B77" s="77" t="s">
        <v>371</v>
      </c>
      <c r="C77" s="49" t="s">
        <v>343</v>
      </c>
      <c r="D77" s="53" t="s">
        <v>344</v>
      </c>
      <c r="E77" s="1" t="s">
        <v>141</v>
      </c>
    </row>
    <row r="78" spans="1:5" ht="16.8">
      <c r="A78" s="2" t="s">
        <v>372</v>
      </c>
      <c r="B78" s="75" t="s">
        <v>373</v>
      </c>
      <c r="C78" s="50" t="s">
        <v>374</v>
      </c>
      <c r="D78" s="54">
        <v>1785</v>
      </c>
      <c r="E78" s="2" t="s">
        <v>372</v>
      </c>
    </row>
    <row r="79" spans="1:5" s="165" customFormat="1" ht="16.8">
      <c r="A79" s="166" t="s">
        <v>375</v>
      </c>
      <c r="B79" s="162" t="s">
        <v>43</v>
      </c>
      <c r="C79" s="163" t="s">
        <v>860</v>
      </c>
      <c r="D79" s="237">
        <v>13275</v>
      </c>
      <c r="E79" s="166" t="s">
        <v>375</v>
      </c>
    </row>
    <row r="80" spans="1:5" ht="16.8">
      <c r="A80" s="2" t="s">
        <v>859</v>
      </c>
      <c r="B80" s="3" t="s">
        <v>861</v>
      </c>
      <c r="C80" s="52" t="s">
        <v>860</v>
      </c>
      <c r="D80" s="54">
        <v>104140.5312</v>
      </c>
      <c r="E80" s="2" t="s">
        <v>859</v>
      </c>
    </row>
    <row r="81" spans="1:5" ht="16.8">
      <c r="A81" s="2" t="s">
        <v>419</v>
      </c>
      <c r="B81" s="3" t="s">
        <v>420</v>
      </c>
      <c r="C81" s="52" t="s">
        <v>44</v>
      </c>
      <c r="D81" s="54">
        <v>15264.4632</v>
      </c>
      <c r="E81" s="2" t="s">
        <v>419</v>
      </c>
    </row>
    <row r="82" spans="1:5" ht="16.8">
      <c r="A82" s="2" t="s">
        <v>418</v>
      </c>
      <c r="B82" s="3" t="s">
        <v>421</v>
      </c>
      <c r="C82" s="52" t="s">
        <v>238</v>
      </c>
      <c r="D82" s="54">
        <v>18605.82</v>
      </c>
      <c r="E82" s="2" t="s">
        <v>418</v>
      </c>
    </row>
    <row r="83" spans="1:5" ht="16.8">
      <c r="A83" s="2" t="s">
        <v>177</v>
      </c>
      <c r="B83" s="5" t="s">
        <v>788</v>
      </c>
      <c r="C83" s="42" t="s">
        <v>45</v>
      </c>
      <c r="D83" s="54">
        <v>1989</v>
      </c>
      <c r="E83" s="2" t="s">
        <v>177</v>
      </c>
    </row>
    <row r="84" spans="1:5" s="19" customFormat="1" ht="16.8">
      <c r="A84" s="5" t="s">
        <v>68</v>
      </c>
      <c r="B84" s="5" t="s">
        <v>789</v>
      </c>
      <c r="C84" s="42" t="s">
        <v>45</v>
      </c>
      <c r="D84" s="33">
        <v>3049.1063999999997</v>
      </c>
      <c r="E84" s="5" t="s">
        <v>68</v>
      </c>
    </row>
    <row r="85" spans="1:5" ht="16.8">
      <c r="A85" s="2"/>
      <c r="B85" s="3"/>
      <c r="C85" s="52"/>
      <c r="D85" s="54">
        <v>0</v>
      </c>
      <c r="E85" s="2"/>
    </row>
    <row r="86" spans="1:5" ht="16.8">
      <c r="A86" s="2" t="s">
        <v>114</v>
      </c>
      <c r="B86" s="3" t="s">
        <v>152</v>
      </c>
      <c r="C86" s="52" t="s">
        <v>94</v>
      </c>
      <c r="D86" s="237">
        <v>6157</v>
      </c>
      <c r="E86" s="2" t="s">
        <v>114</v>
      </c>
    </row>
    <row r="87" spans="1:5" ht="16.8">
      <c r="A87" s="2" t="s">
        <v>76</v>
      </c>
      <c r="B87" s="3" t="s">
        <v>142</v>
      </c>
      <c r="C87" s="52" t="s">
        <v>94</v>
      </c>
      <c r="D87" s="237">
        <v>9032</v>
      </c>
      <c r="E87" s="2" t="s">
        <v>76</v>
      </c>
    </row>
    <row r="88" spans="1:5" ht="15" customHeight="1">
      <c r="A88" s="2" t="s">
        <v>115</v>
      </c>
      <c r="B88" s="3" t="s">
        <v>153</v>
      </c>
      <c r="C88" s="52" t="s">
        <v>94</v>
      </c>
      <c r="D88" s="237">
        <v>13475</v>
      </c>
      <c r="E88" s="2" t="s">
        <v>115</v>
      </c>
    </row>
    <row r="89" spans="1:5" ht="15" customHeight="1">
      <c r="A89" s="2" t="s">
        <v>116</v>
      </c>
      <c r="B89" s="3" t="s">
        <v>154</v>
      </c>
      <c r="C89" s="52" t="s">
        <v>94</v>
      </c>
      <c r="D89" s="237">
        <v>22234</v>
      </c>
      <c r="E89" s="2" t="s">
        <v>116</v>
      </c>
    </row>
    <row r="90" spans="1:5" ht="15" customHeight="1">
      <c r="A90" s="2" t="s">
        <v>119</v>
      </c>
      <c r="B90" s="3" t="s">
        <v>155</v>
      </c>
      <c r="C90" s="52" t="s">
        <v>94</v>
      </c>
      <c r="D90" s="237">
        <v>48547</v>
      </c>
      <c r="E90" s="2" t="s">
        <v>119</v>
      </c>
    </row>
    <row r="91" spans="1:5" ht="15" customHeight="1">
      <c r="A91" s="2" t="s">
        <v>120</v>
      </c>
      <c r="B91" s="3" t="s">
        <v>143</v>
      </c>
      <c r="C91" s="52" t="s">
        <v>94</v>
      </c>
      <c r="D91" s="237">
        <v>82233</v>
      </c>
      <c r="E91" s="2" t="s">
        <v>120</v>
      </c>
    </row>
    <row r="92" spans="1:5" ht="16.8">
      <c r="A92" s="2" t="s">
        <v>118</v>
      </c>
      <c r="B92" s="3" t="s">
        <v>144</v>
      </c>
      <c r="C92" s="52" t="s">
        <v>94</v>
      </c>
      <c r="D92" s="238">
        <v>129451</v>
      </c>
      <c r="E92" s="2" t="s">
        <v>118</v>
      </c>
    </row>
    <row r="93" spans="1:5" ht="16.8">
      <c r="A93" s="2" t="s">
        <v>125</v>
      </c>
      <c r="B93" s="3" t="s">
        <v>145</v>
      </c>
      <c r="C93" s="52" t="s">
        <v>94</v>
      </c>
      <c r="D93" s="238">
        <v>181126</v>
      </c>
      <c r="E93" s="2" t="s">
        <v>125</v>
      </c>
    </row>
    <row r="94" spans="1:5" ht="16.8">
      <c r="A94" s="2" t="s">
        <v>127</v>
      </c>
      <c r="B94" s="3" t="s">
        <v>128</v>
      </c>
      <c r="C94" s="52" t="s">
        <v>94</v>
      </c>
      <c r="D94" s="238">
        <v>224619</v>
      </c>
      <c r="E94" s="2" t="s">
        <v>127</v>
      </c>
    </row>
    <row r="95" spans="1:5" ht="16.8">
      <c r="A95" s="2" t="s">
        <v>130</v>
      </c>
      <c r="B95" s="3" t="s">
        <v>129</v>
      </c>
      <c r="C95" s="52" t="s">
        <v>94</v>
      </c>
      <c r="D95" s="238">
        <v>294815</v>
      </c>
      <c r="E95" s="2" t="s">
        <v>130</v>
      </c>
    </row>
    <row r="96" spans="1:5" ht="16.8">
      <c r="A96" s="2"/>
      <c r="B96" s="3"/>
      <c r="C96" s="52"/>
      <c r="D96" s="33">
        <v>0</v>
      </c>
      <c r="E96" s="2"/>
    </row>
    <row r="97" spans="1:5" ht="15" customHeight="1">
      <c r="A97" s="2" t="s">
        <v>121</v>
      </c>
      <c r="B97" s="3" t="s">
        <v>601</v>
      </c>
      <c r="C97" s="52" t="s">
        <v>45</v>
      </c>
      <c r="D97" s="33">
        <v>6771.4535999999998</v>
      </c>
      <c r="E97" s="2" t="s">
        <v>121</v>
      </c>
    </row>
    <row r="98" spans="1:5" ht="15" customHeight="1">
      <c r="A98" s="2" t="s">
        <v>122</v>
      </c>
      <c r="B98" s="3" t="s">
        <v>602</v>
      </c>
      <c r="C98" s="52" t="s">
        <v>45</v>
      </c>
      <c r="D98" s="33">
        <v>13410.388799999999</v>
      </c>
      <c r="E98" s="2" t="s">
        <v>122</v>
      </c>
    </row>
    <row r="99" spans="1:5" ht="15" customHeight="1">
      <c r="A99" s="2" t="s">
        <v>123</v>
      </c>
      <c r="B99" s="3" t="s">
        <v>603</v>
      </c>
      <c r="C99" s="52" t="s">
        <v>45</v>
      </c>
      <c r="D99" s="33">
        <v>22131.756000000001</v>
      </c>
      <c r="E99" s="2" t="s">
        <v>123</v>
      </c>
    </row>
    <row r="100" spans="1:5" ht="15" customHeight="1">
      <c r="A100" s="2" t="s">
        <v>117</v>
      </c>
      <c r="B100" s="3" t="s">
        <v>604</v>
      </c>
      <c r="C100" s="52" t="s">
        <v>45</v>
      </c>
      <c r="D100" s="33">
        <v>47947.996800000001</v>
      </c>
      <c r="E100" s="2" t="s">
        <v>117</v>
      </c>
    </row>
    <row r="101" spans="1:5" s="19" customFormat="1" ht="15" customHeight="1">
      <c r="A101" s="2" t="s">
        <v>199</v>
      </c>
      <c r="B101" s="3" t="s">
        <v>605</v>
      </c>
      <c r="C101" s="42" t="s">
        <v>45</v>
      </c>
      <c r="D101" s="33">
        <v>81572.174400000004</v>
      </c>
      <c r="E101" s="2" t="s">
        <v>199</v>
      </c>
    </row>
    <row r="102" spans="1:5" ht="16.8">
      <c r="A102" s="2" t="s">
        <v>124</v>
      </c>
      <c r="B102" s="3" t="s">
        <v>606</v>
      </c>
      <c r="C102" s="52" t="s">
        <v>45</v>
      </c>
      <c r="D102" s="33">
        <v>124802.75279999999</v>
      </c>
      <c r="E102" s="2" t="s">
        <v>124</v>
      </c>
    </row>
    <row r="103" spans="1:5" ht="16.8">
      <c r="A103" s="2" t="s">
        <v>126</v>
      </c>
      <c r="B103" s="3" t="s">
        <v>607</v>
      </c>
      <c r="C103" s="52" t="s">
        <v>45</v>
      </c>
      <c r="D103" s="33">
        <v>176045.96159999998</v>
      </c>
      <c r="E103" s="2" t="s">
        <v>126</v>
      </c>
    </row>
    <row r="104" spans="1:5" s="19" customFormat="1" ht="15" customHeight="1">
      <c r="A104" s="2"/>
      <c r="B104" s="3"/>
      <c r="C104" s="42"/>
      <c r="D104" s="33">
        <v>0</v>
      </c>
      <c r="E104" s="2"/>
    </row>
    <row r="105" spans="1:5" ht="15" customHeight="1">
      <c r="A105" s="2" t="s">
        <v>82</v>
      </c>
      <c r="B105" s="3" t="s">
        <v>608</v>
      </c>
      <c r="C105" s="52" t="s">
        <v>45</v>
      </c>
      <c r="D105" s="33">
        <v>10737</v>
      </c>
      <c r="E105" s="2" t="s">
        <v>82</v>
      </c>
    </row>
    <row r="106" spans="1:5" ht="15" customHeight="1">
      <c r="A106" s="2" t="s">
        <v>83</v>
      </c>
      <c r="B106" s="3" t="s">
        <v>609</v>
      </c>
      <c r="C106" s="52" t="s">
        <v>45</v>
      </c>
      <c r="D106" s="33">
        <v>17595</v>
      </c>
      <c r="E106" s="2" t="s">
        <v>83</v>
      </c>
    </row>
    <row r="107" spans="1:5" ht="15" customHeight="1">
      <c r="A107" s="2" t="s">
        <v>880</v>
      </c>
      <c r="B107" s="3" t="s">
        <v>610</v>
      </c>
      <c r="C107" s="52" t="s">
        <v>45</v>
      </c>
      <c r="D107" s="33">
        <v>38478.847200000004</v>
      </c>
      <c r="E107" s="2" t="s">
        <v>880</v>
      </c>
    </row>
    <row r="108" spans="1:5" s="19" customFormat="1" ht="15" customHeight="1">
      <c r="A108" s="2" t="s">
        <v>881</v>
      </c>
      <c r="B108" s="3" t="s">
        <v>611</v>
      </c>
      <c r="C108" s="42" t="s">
        <v>45</v>
      </c>
      <c r="D108" s="33">
        <v>65086.648799999995</v>
      </c>
      <c r="E108" s="2" t="s">
        <v>881</v>
      </c>
    </row>
    <row r="109" spans="1:5" ht="16.8">
      <c r="A109" s="2" t="s">
        <v>882</v>
      </c>
      <c r="B109" s="3" t="s">
        <v>612</v>
      </c>
      <c r="C109" s="52" t="s">
        <v>45</v>
      </c>
      <c r="D109" s="33">
        <v>100807</v>
      </c>
      <c r="E109" s="2" t="s">
        <v>882</v>
      </c>
    </row>
    <row r="110" spans="1:5" ht="16.8">
      <c r="A110" s="2" t="s">
        <v>883</v>
      </c>
      <c r="B110" s="3" t="s">
        <v>613</v>
      </c>
      <c r="C110" s="52" t="s">
        <v>45</v>
      </c>
      <c r="D110" s="33">
        <v>143242.92479999998</v>
      </c>
      <c r="E110" s="2" t="s">
        <v>883</v>
      </c>
    </row>
    <row r="111" spans="1:5" ht="15" customHeight="1">
      <c r="A111" s="2"/>
      <c r="B111" s="3"/>
      <c r="C111" s="52"/>
      <c r="D111" s="33">
        <v>0</v>
      </c>
      <c r="E111" s="2"/>
    </row>
    <row r="112" spans="1:5" ht="15" customHeight="1">
      <c r="A112" s="2" t="s">
        <v>884</v>
      </c>
      <c r="B112" s="3" t="s">
        <v>614</v>
      </c>
      <c r="C112" s="52" t="s">
        <v>45</v>
      </c>
      <c r="D112" s="54">
        <v>15490.454399999999</v>
      </c>
      <c r="E112" s="2" t="s">
        <v>884</v>
      </c>
    </row>
    <row r="113" spans="1:5" ht="15" customHeight="1">
      <c r="A113" s="2" t="s">
        <v>885</v>
      </c>
      <c r="B113" s="3" t="s">
        <v>615</v>
      </c>
      <c r="C113" s="52" t="s">
        <v>45</v>
      </c>
      <c r="D113" s="54">
        <v>31340.601599999998</v>
      </c>
      <c r="E113" s="2" t="s">
        <v>885</v>
      </c>
    </row>
    <row r="114" spans="1:5" ht="15" customHeight="1">
      <c r="A114" s="2" t="s">
        <v>886</v>
      </c>
      <c r="B114" s="3" t="s">
        <v>616</v>
      </c>
      <c r="C114" s="52" t="s">
        <v>45</v>
      </c>
      <c r="D114" s="54">
        <v>52935.184799999995</v>
      </c>
      <c r="E114" s="2" t="s">
        <v>886</v>
      </c>
    </row>
    <row r="115" spans="1:5" ht="16.8">
      <c r="A115" s="2" t="s">
        <v>887</v>
      </c>
      <c r="B115" s="3" t="s">
        <v>617</v>
      </c>
      <c r="C115" s="52" t="s">
        <v>45</v>
      </c>
      <c r="D115" s="33">
        <v>81834.844799999992</v>
      </c>
      <c r="E115" s="2" t="s">
        <v>887</v>
      </c>
    </row>
    <row r="116" spans="1:5" ht="16.8">
      <c r="A116" s="2" t="s">
        <v>888</v>
      </c>
      <c r="B116" s="3" t="s">
        <v>618</v>
      </c>
      <c r="C116" s="52" t="s">
        <v>45</v>
      </c>
      <c r="D116" s="33">
        <v>115899.1728</v>
      </c>
      <c r="E116" s="2" t="s">
        <v>888</v>
      </c>
    </row>
    <row r="117" spans="1:5" ht="16.8">
      <c r="A117" s="2" t="s">
        <v>465</v>
      </c>
      <c r="B117" s="5" t="s">
        <v>466</v>
      </c>
      <c r="C117" s="62" t="s">
        <v>94</v>
      </c>
      <c r="D117" s="33">
        <v>1308.6191999999999</v>
      </c>
      <c r="E117" s="2" t="s">
        <v>465</v>
      </c>
    </row>
    <row r="118" spans="1:5" ht="15" customHeight="1">
      <c r="A118" s="2" t="s">
        <v>970</v>
      </c>
      <c r="B118" s="3" t="s">
        <v>969</v>
      </c>
      <c r="C118" s="12" t="s">
        <v>363</v>
      </c>
      <c r="D118" s="33">
        <v>8792.359199999999</v>
      </c>
      <c r="E118" s="2" t="s">
        <v>970</v>
      </c>
    </row>
    <row r="119" spans="1:5" ht="16.8">
      <c r="A119" s="60" t="s">
        <v>656</v>
      </c>
      <c r="B119" s="3" t="s">
        <v>655</v>
      </c>
      <c r="C119" s="12" t="s">
        <v>363</v>
      </c>
      <c r="D119" s="15">
        <v>64640.582399999999</v>
      </c>
      <c r="E119" s="471" t="s">
        <v>656</v>
      </c>
    </row>
    <row r="120" spans="1:5" ht="15" customHeight="1">
      <c r="A120" s="2"/>
      <c r="B120" s="3"/>
      <c r="C120" s="52"/>
      <c r="D120" s="33">
        <v>0</v>
      </c>
      <c r="E120" s="2"/>
    </row>
    <row r="121" spans="1:5" ht="16.8">
      <c r="A121" s="60" t="s">
        <v>890</v>
      </c>
      <c r="B121" s="3" t="s">
        <v>889</v>
      </c>
      <c r="C121" s="52" t="s">
        <v>363</v>
      </c>
      <c r="D121" s="33">
        <v>348544</v>
      </c>
      <c r="E121" s="471" t="s">
        <v>890</v>
      </c>
    </row>
    <row r="122" spans="1:5" ht="16.8">
      <c r="A122" s="60" t="s">
        <v>523</v>
      </c>
      <c r="B122" s="3" t="s">
        <v>722</v>
      </c>
      <c r="C122" s="52" t="s">
        <v>363</v>
      </c>
      <c r="D122" s="33">
        <v>203539.98</v>
      </c>
      <c r="E122" s="471" t="s">
        <v>523</v>
      </c>
    </row>
    <row r="123" spans="1:5" ht="16.8">
      <c r="A123" s="2" t="s">
        <v>209</v>
      </c>
      <c r="B123" s="3" t="s">
        <v>210</v>
      </c>
      <c r="C123" s="52" t="s">
        <v>363</v>
      </c>
      <c r="D123" s="54">
        <v>111448</v>
      </c>
      <c r="E123" s="2" t="s">
        <v>209</v>
      </c>
    </row>
    <row r="124" spans="1:5" ht="16.8">
      <c r="A124" s="60" t="s">
        <v>211</v>
      </c>
      <c r="B124" s="3" t="s">
        <v>212</v>
      </c>
      <c r="C124" s="52" t="s">
        <v>363</v>
      </c>
      <c r="D124" s="54">
        <v>47748</v>
      </c>
      <c r="E124" s="471" t="s">
        <v>211</v>
      </c>
    </row>
    <row r="125" spans="1:5" ht="16.8">
      <c r="A125" s="60" t="s">
        <v>213</v>
      </c>
      <c r="B125" s="3" t="s">
        <v>214</v>
      </c>
      <c r="C125" s="52" t="s">
        <v>363</v>
      </c>
      <c r="D125" s="54">
        <v>29376</v>
      </c>
      <c r="E125" s="471" t="s">
        <v>213</v>
      </c>
    </row>
    <row r="126" spans="1:5" ht="16.8">
      <c r="A126" s="60" t="s">
        <v>60</v>
      </c>
      <c r="B126" s="3" t="s">
        <v>61</v>
      </c>
      <c r="C126" s="52" t="s">
        <v>363</v>
      </c>
      <c r="D126" s="54">
        <v>17155</v>
      </c>
      <c r="E126" s="471" t="s">
        <v>60</v>
      </c>
    </row>
    <row r="127" spans="1:5" ht="16.8">
      <c r="A127" s="60" t="s">
        <v>103</v>
      </c>
      <c r="B127" s="3" t="s">
        <v>102</v>
      </c>
      <c r="C127" s="52" t="s">
        <v>363</v>
      </c>
      <c r="D127" s="33">
        <v>746017.06559999997</v>
      </c>
      <c r="E127" s="471" t="s">
        <v>103</v>
      </c>
    </row>
    <row r="128" spans="1:5" ht="16.8">
      <c r="A128" s="60" t="s">
        <v>414</v>
      </c>
      <c r="B128" s="3" t="s">
        <v>282</v>
      </c>
      <c r="C128" s="52" t="s">
        <v>363</v>
      </c>
      <c r="D128" s="33">
        <v>238599.3792</v>
      </c>
      <c r="E128" s="471" t="s">
        <v>414</v>
      </c>
    </row>
    <row r="129" spans="1:5" ht="16.8">
      <c r="A129" s="60" t="s">
        <v>891</v>
      </c>
      <c r="B129" s="3" t="s">
        <v>233</v>
      </c>
      <c r="C129" s="52" t="s">
        <v>363</v>
      </c>
      <c r="D129" s="238">
        <v>100054</v>
      </c>
      <c r="E129" s="471" t="s">
        <v>891</v>
      </c>
    </row>
    <row r="130" spans="1:5" ht="16.8">
      <c r="A130" s="60" t="s">
        <v>441</v>
      </c>
      <c r="B130" s="3" t="s">
        <v>411</v>
      </c>
      <c r="C130" s="52" t="s">
        <v>363</v>
      </c>
      <c r="D130" s="238">
        <v>15211</v>
      </c>
      <c r="E130" s="471" t="s">
        <v>441</v>
      </c>
    </row>
    <row r="131" spans="1:5" ht="16.8">
      <c r="A131" s="60" t="s">
        <v>619</v>
      </c>
      <c r="B131" s="3" t="s">
        <v>412</v>
      </c>
      <c r="C131" s="52" t="s">
        <v>363</v>
      </c>
      <c r="D131" s="238">
        <v>25256</v>
      </c>
      <c r="E131" s="471" t="s">
        <v>619</v>
      </c>
    </row>
    <row r="132" spans="1:5" ht="16.8">
      <c r="A132" s="60" t="s">
        <v>742</v>
      </c>
      <c r="B132" s="3" t="s">
        <v>413</v>
      </c>
      <c r="C132" s="52" t="s">
        <v>363</v>
      </c>
      <c r="D132" s="238">
        <v>43208</v>
      </c>
      <c r="E132" s="471" t="s">
        <v>742</v>
      </c>
    </row>
    <row r="133" spans="1:5" ht="16.8">
      <c r="A133" s="60" t="s">
        <v>870</v>
      </c>
      <c r="B133" s="5" t="s">
        <v>869</v>
      </c>
      <c r="C133" s="52" t="s">
        <v>363</v>
      </c>
      <c r="D133" s="33">
        <v>256.75439999999998</v>
      </c>
      <c r="E133" s="471" t="s">
        <v>870</v>
      </c>
    </row>
    <row r="134" spans="1:5" ht="17.25" customHeight="1">
      <c r="A134" s="60" t="s">
        <v>994</v>
      </c>
      <c r="B134" s="5" t="s">
        <v>995</v>
      </c>
      <c r="C134" s="52" t="s">
        <v>363</v>
      </c>
      <c r="D134" s="33">
        <v>3437.1959999999999</v>
      </c>
      <c r="E134" s="471" t="s">
        <v>994</v>
      </c>
    </row>
    <row r="135" spans="1:5" ht="17.25" customHeight="1">
      <c r="A135" s="60" t="s">
        <v>201</v>
      </c>
      <c r="B135" s="5" t="s">
        <v>200</v>
      </c>
      <c r="C135" s="52" t="s">
        <v>363</v>
      </c>
      <c r="D135" s="33">
        <v>13513.3272</v>
      </c>
      <c r="E135" s="471" t="s">
        <v>201</v>
      </c>
    </row>
    <row r="136" spans="1:5" ht="17.25" customHeight="1">
      <c r="A136" s="60" t="s">
        <v>334</v>
      </c>
      <c r="B136" s="5" t="s">
        <v>333</v>
      </c>
      <c r="C136" s="52" t="s">
        <v>363</v>
      </c>
      <c r="D136" s="33">
        <v>24855.482400000001</v>
      </c>
      <c r="E136" s="471" t="s">
        <v>334</v>
      </c>
    </row>
    <row r="137" spans="1:5" ht="16.5" customHeight="1">
      <c r="A137" s="60" t="s">
        <v>778</v>
      </c>
      <c r="B137" s="41" t="s">
        <v>636</v>
      </c>
      <c r="C137" s="52" t="s">
        <v>363</v>
      </c>
      <c r="D137" s="33">
        <v>3269.1815999999999</v>
      </c>
      <c r="E137" s="471" t="s">
        <v>778</v>
      </c>
    </row>
    <row r="138" spans="1:5" ht="16.5" customHeight="1">
      <c r="A138" s="2" t="s">
        <v>298</v>
      </c>
      <c r="B138" s="41" t="s">
        <v>299</v>
      </c>
      <c r="C138" s="52" t="s">
        <v>363</v>
      </c>
      <c r="D138" s="33">
        <v>18566.774399999998</v>
      </c>
      <c r="E138" s="2" t="s">
        <v>298</v>
      </c>
    </row>
    <row r="139" spans="1:5" ht="16.5" customHeight="1">
      <c r="A139" s="2"/>
      <c r="B139" s="41"/>
      <c r="C139" s="51"/>
      <c r="D139" s="33">
        <v>0</v>
      </c>
      <c r="E139" s="2"/>
    </row>
    <row r="140" spans="1:5" ht="16.5" customHeight="1">
      <c r="A140" s="60" t="s">
        <v>467</v>
      </c>
      <c r="B140" s="41" t="s">
        <v>468</v>
      </c>
      <c r="C140" s="51" t="s">
        <v>45</v>
      </c>
      <c r="D140" s="33">
        <v>37034.160000000003</v>
      </c>
      <c r="E140" s="471" t="s">
        <v>467</v>
      </c>
    </row>
    <row r="141" spans="1:5" ht="16.5" customHeight="1">
      <c r="A141" s="2"/>
      <c r="B141" s="41"/>
      <c r="C141" s="51"/>
      <c r="D141" s="33">
        <v>0</v>
      </c>
      <c r="E141" s="2"/>
    </row>
    <row r="142" spans="1:5" ht="16.5" customHeight="1">
      <c r="A142" s="2"/>
      <c r="B142" s="41"/>
      <c r="C142" s="51"/>
      <c r="D142" s="33">
        <v>0</v>
      </c>
      <c r="E142" s="2"/>
    </row>
    <row r="143" spans="1:5" ht="16.5" customHeight="1">
      <c r="A143" s="2"/>
      <c r="B143" s="41"/>
      <c r="C143" s="51"/>
      <c r="D143" s="33">
        <v>0</v>
      </c>
      <c r="E143" s="2"/>
    </row>
    <row r="144" spans="1:5" ht="16.5" customHeight="1">
      <c r="A144" s="2"/>
      <c r="B144" s="41"/>
      <c r="C144" s="51"/>
      <c r="D144" s="33">
        <v>0</v>
      </c>
      <c r="E144" s="2"/>
    </row>
    <row r="145" spans="1:5" ht="16.5" customHeight="1">
      <c r="A145" s="2"/>
      <c r="B145" s="41"/>
      <c r="C145" s="51"/>
      <c r="D145" s="33">
        <v>0</v>
      </c>
      <c r="E145" s="2"/>
    </row>
    <row r="146" spans="1:5" ht="16.5" customHeight="1">
      <c r="A146" s="2"/>
      <c r="B146" s="41"/>
      <c r="C146" s="51"/>
      <c r="D146" s="33">
        <v>0</v>
      </c>
      <c r="E146" s="2"/>
    </row>
    <row r="147" spans="1:5" s="19" customFormat="1" ht="16.8">
      <c r="A147" s="2" t="s">
        <v>253</v>
      </c>
      <c r="B147" s="5" t="s">
        <v>254</v>
      </c>
      <c r="C147" s="2" t="s">
        <v>45</v>
      </c>
      <c r="D147" s="33">
        <v>3076.32</v>
      </c>
      <c r="E147" s="2" t="s">
        <v>253</v>
      </c>
    </row>
    <row r="148" spans="1:5" s="19" customFormat="1" ht="16.8">
      <c r="A148" s="2"/>
      <c r="B148" s="5"/>
      <c r="C148" s="2"/>
      <c r="D148" s="33">
        <v>0</v>
      </c>
      <c r="E148" s="2"/>
    </row>
    <row r="149" spans="1:5" s="19" customFormat="1" ht="16.8">
      <c r="A149" s="2" t="s">
        <v>293</v>
      </c>
      <c r="B149" s="5" t="s">
        <v>285</v>
      </c>
      <c r="C149" s="2" t="s">
        <v>94</v>
      </c>
      <c r="D149" s="33">
        <v>1308.6191999999999</v>
      </c>
      <c r="E149" s="2" t="s">
        <v>293</v>
      </c>
    </row>
    <row r="150" spans="1:5" s="19" customFormat="1" ht="16.8">
      <c r="A150" s="2" t="s">
        <v>294</v>
      </c>
      <c r="B150" s="5" t="s">
        <v>1017</v>
      </c>
      <c r="C150" s="2" t="s">
        <v>94</v>
      </c>
      <c r="D150" s="33">
        <v>2165.2559999999999</v>
      </c>
      <c r="E150" s="2" t="s">
        <v>294</v>
      </c>
    </row>
    <row r="151" spans="1:5" s="19" customFormat="1" ht="16.8">
      <c r="A151" s="2" t="s">
        <v>295</v>
      </c>
      <c r="B151" s="5" t="s">
        <v>292</v>
      </c>
      <c r="C151" s="2" t="s">
        <v>94</v>
      </c>
      <c r="D151" s="33">
        <v>3583.9128000000001</v>
      </c>
      <c r="E151" s="2" t="s">
        <v>295</v>
      </c>
    </row>
    <row r="152" spans="1:5" s="19" customFormat="1" ht="16.8">
      <c r="A152" s="2"/>
      <c r="B152" s="5"/>
      <c r="C152" s="2"/>
      <c r="D152" s="33">
        <v>0</v>
      </c>
      <c r="E152" s="2"/>
    </row>
    <row r="153" spans="1:5" s="19" customFormat="1" ht="16.8">
      <c r="A153" s="2" t="s">
        <v>286</v>
      </c>
      <c r="B153" s="5" t="s">
        <v>255</v>
      </c>
      <c r="C153" s="2" t="s">
        <v>94</v>
      </c>
      <c r="D153" s="238">
        <v>8907</v>
      </c>
      <c r="E153" s="2" t="s">
        <v>286</v>
      </c>
    </row>
    <row r="154" spans="1:5" s="19" customFormat="1" ht="16.8">
      <c r="A154" s="2" t="s">
        <v>939</v>
      </c>
      <c r="B154" s="5" t="s">
        <v>940</v>
      </c>
      <c r="C154" s="2" t="s">
        <v>94</v>
      </c>
      <c r="D154" s="33">
        <v>13909.699199999999</v>
      </c>
      <c r="E154" s="2" t="s">
        <v>939</v>
      </c>
    </row>
    <row r="155" spans="1:5" s="19" customFormat="1" ht="16.8">
      <c r="A155" s="2" t="s">
        <v>287</v>
      </c>
      <c r="B155" s="5" t="s">
        <v>432</v>
      </c>
      <c r="C155" s="2" t="s">
        <v>94</v>
      </c>
      <c r="D155" s="238">
        <v>12243</v>
      </c>
      <c r="E155" s="2" t="s">
        <v>287</v>
      </c>
    </row>
    <row r="156" spans="1:5" s="19" customFormat="1" ht="16.8">
      <c r="A156" s="2" t="s">
        <v>288</v>
      </c>
      <c r="B156" s="5" t="s">
        <v>433</v>
      </c>
      <c r="C156" s="2" t="s">
        <v>94</v>
      </c>
      <c r="D156" s="33">
        <v>22430</v>
      </c>
      <c r="E156" s="2" t="s">
        <v>288</v>
      </c>
    </row>
    <row r="157" spans="1:5" s="19" customFormat="1" ht="16.8">
      <c r="A157" s="2"/>
      <c r="B157" s="5" t="s">
        <v>475</v>
      </c>
      <c r="C157" s="2" t="s">
        <v>94</v>
      </c>
      <c r="D157" s="33">
        <v>20359</v>
      </c>
      <c r="E157" s="2"/>
    </row>
    <row r="158" spans="1:5" s="19" customFormat="1" ht="16.8">
      <c r="A158" s="2" t="s">
        <v>289</v>
      </c>
      <c r="B158" s="5" t="s">
        <v>434</v>
      </c>
      <c r="C158" s="2" t="s">
        <v>94</v>
      </c>
      <c r="D158" s="33">
        <v>46797</v>
      </c>
      <c r="E158" s="2" t="s">
        <v>289</v>
      </c>
    </row>
    <row r="159" spans="1:5" s="19" customFormat="1" ht="16.8">
      <c r="A159" s="2" t="s">
        <v>290</v>
      </c>
      <c r="B159" s="5" t="s">
        <v>660</v>
      </c>
      <c r="C159" s="2" t="s">
        <v>94</v>
      </c>
      <c r="D159" s="33">
        <v>73500</v>
      </c>
      <c r="E159" s="2" t="s">
        <v>290</v>
      </c>
    </row>
    <row r="160" spans="1:5" s="19" customFormat="1" ht="16.8">
      <c r="A160" s="2" t="s">
        <v>1079</v>
      </c>
      <c r="B160" s="5" t="s">
        <v>1080</v>
      </c>
      <c r="C160" s="2" t="s">
        <v>94</v>
      </c>
      <c r="D160" s="33">
        <f>1439139/6</f>
        <v>239856.5</v>
      </c>
      <c r="E160" s="2" t="s">
        <v>1079</v>
      </c>
    </row>
    <row r="161" spans="1:5" s="19" customFormat="1" ht="16.8">
      <c r="A161" s="2" t="s">
        <v>291</v>
      </c>
      <c r="B161" s="5" t="s">
        <v>661</v>
      </c>
      <c r="C161" s="2" t="s">
        <v>94</v>
      </c>
      <c r="D161" s="238">
        <v>136824</v>
      </c>
      <c r="E161" s="2" t="s">
        <v>291</v>
      </c>
    </row>
    <row r="162" spans="1:5" s="19" customFormat="1" ht="16.8">
      <c r="A162" s="2" t="s">
        <v>896</v>
      </c>
      <c r="B162" s="5" t="s">
        <v>897</v>
      </c>
      <c r="C162" s="2" t="s">
        <v>94</v>
      </c>
      <c r="D162" s="238">
        <v>218813</v>
      </c>
      <c r="E162" s="2" t="s">
        <v>896</v>
      </c>
    </row>
    <row r="163" spans="1:5" s="19" customFormat="1" ht="16.8">
      <c r="A163" s="2"/>
      <c r="B163" s="5"/>
      <c r="C163" s="2"/>
      <c r="D163" s="238"/>
      <c r="E163" s="2"/>
    </row>
    <row r="164" spans="1:5" s="19" customFormat="1" ht="16.8">
      <c r="A164" s="2"/>
      <c r="B164" s="5"/>
      <c r="C164" s="2"/>
      <c r="D164" s="33">
        <v>0</v>
      </c>
      <c r="E164" s="2"/>
    </row>
    <row r="165" spans="1:5" s="19" customFormat="1" ht="16.8">
      <c r="A165" s="2" t="s">
        <v>747</v>
      </c>
      <c r="B165" s="5" t="s">
        <v>1017</v>
      </c>
      <c r="C165" s="2" t="s">
        <v>94</v>
      </c>
      <c r="D165" s="33">
        <v>1978</v>
      </c>
      <c r="E165" s="2" t="s">
        <v>747</v>
      </c>
    </row>
    <row r="166" spans="1:5" s="19" customFormat="1" ht="16.8">
      <c r="A166" s="2" t="s">
        <v>1016</v>
      </c>
      <c r="B166" s="5" t="s">
        <v>1018</v>
      </c>
      <c r="C166" s="2" t="s">
        <v>94</v>
      </c>
      <c r="D166" s="33">
        <v>3704</v>
      </c>
      <c r="E166" s="2" t="s">
        <v>1016</v>
      </c>
    </row>
    <row r="167" spans="1:5" s="19" customFormat="1" ht="16.8">
      <c r="A167" s="2"/>
      <c r="B167" s="5"/>
      <c r="C167" s="2"/>
      <c r="D167" s="33">
        <v>0</v>
      </c>
      <c r="E167" s="2"/>
    </row>
    <row r="168" spans="1:5" s="19" customFormat="1" ht="16.8">
      <c r="A168" s="2" t="s">
        <v>384</v>
      </c>
      <c r="B168" s="5" t="s">
        <v>402</v>
      </c>
      <c r="C168" s="2" t="s">
        <v>94</v>
      </c>
      <c r="D168" s="33">
        <v>10718.608799999998</v>
      </c>
      <c r="E168" s="2" t="s">
        <v>384</v>
      </c>
    </row>
    <row r="169" spans="1:5" s="19" customFormat="1" ht="16.8">
      <c r="A169" s="2" t="s">
        <v>385</v>
      </c>
      <c r="B169" s="5" t="s">
        <v>403</v>
      </c>
      <c r="C169" s="2" t="s">
        <v>94</v>
      </c>
      <c r="D169" s="33">
        <v>15178.089599999999</v>
      </c>
      <c r="E169" s="2" t="s">
        <v>385</v>
      </c>
    </row>
    <row r="170" spans="1:5" s="19" customFormat="1" ht="16.8">
      <c r="A170" s="2" t="s">
        <v>386</v>
      </c>
      <c r="B170" s="5" t="s">
        <v>404</v>
      </c>
      <c r="C170" s="2" t="s">
        <v>94</v>
      </c>
      <c r="D170" s="33">
        <v>32442.160799999998</v>
      </c>
      <c r="E170" s="2" t="s">
        <v>386</v>
      </c>
    </row>
    <row r="171" spans="1:5" s="19" customFormat="1" ht="16.8">
      <c r="A171" s="2" t="s">
        <v>387</v>
      </c>
      <c r="B171" s="5" t="s">
        <v>405</v>
      </c>
      <c r="C171" s="2" t="s">
        <v>94</v>
      </c>
      <c r="D171" s="33">
        <v>68643.347999999998</v>
      </c>
      <c r="E171" s="2" t="s">
        <v>387</v>
      </c>
    </row>
    <row r="172" spans="1:5" s="19" customFormat="1" ht="16.8">
      <c r="A172" s="2" t="s">
        <v>388</v>
      </c>
      <c r="B172" s="5" t="s">
        <v>406</v>
      </c>
      <c r="C172" s="2" t="s">
        <v>94</v>
      </c>
      <c r="D172" s="33">
        <v>107774.1384</v>
      </c>
      <c r="E172" s="2" t="s">
        <v>388</v>
      </c>
    </row>
    <row r="173" spans="1:5" s="19" customFormat="1" ht="16.8">
      <c r="A173" s="2" t="s">
        <v>389</v>
      </c>
      <c r="B173" s="5" t="s">
        <v>284</v>
      </c>
      <c r="C173" s="2" t="s">
        <v>94</v>
      </c>
      <c r="D173" s="238">
        <v>168473</v>
      </c>
      <c r="E173" s="2" t="s">
        <v>389</v>
      </c>
    </row>
    <row r="174" spans="1:5" s="19" customFormat="1" ht="16.8">
      <c r="A174" s="2" t="s">
        <v>0</v>
      </c>
      <c r="B174" s="5" t="s">
        <v>1</v>
      </c>
      <c r="C174" s="2" t="s">
        <v>94</v>
      </c>
      <c r="D174" s="33">
        <v>306654.67679999996</v>
      </c>
      <c r="E174" s="2" t="s">
        <v>0</v>
      </c>
    </row>
    <row r="175" spans="1:5" s="19" customFormat="1" ht="16.8">
      <c r="A175" s="2"/>
      <c r="B175" s="5" t="s">
        <v>1138</v>
      </c>
      <c r="C175" s="2" t="s">
        <v>94</v>
      </c>
      <c r="D175" s="33">
        <f>309740*1.16</f>
        <v>359298.39999999997</v>
      </c>
      <c r="E175" s="2"/>
    </row>
    <row r="176" spans="1:5" s="19" customFormat="1" ht="16.8">
      <c r="A176" s="2" t="s">
        <v>590</v>
      </c>
      <c r="B176" s="5" t="s">
        <v>591</v>
      </c>
      <c r="C176" s="2" t="s">
        <v>94</v>
      </c>
      <c r="D176" s="33">
        <v>1534.6104</v>
      </c>
      <c r="E176" s="2" t="s">
        <v>590</v>
      </c>
    </row>
    <row r="177" spans="1:5" s="19" customFormat="1" ht="16.8">
      <c r="A177" s="2" t="s">
        <v>390</v>
      </c>
      <c r="B177" s="5" t="s">
        <v>396</v>
      </c>
      <c r="C177" s="2" t="s">
        <v>94</v>
      </c>
      <c r="D177" s="33">
        <v>12567.9504</v>
      </c>
      <c r="E177" s="2" t="s">
        <v>390</v>
      </c>
    </row>
    <row r="178" spans="1:5" s="19" customFormat="1" ht="16.8">
      <c r="A178" s="2" t="s">
        <v>391</v>
      </c>
      <c r="B178" s="5" t="s">
        <v>397</v>
      </c>
      <c r="C178" s="2" t="s">
        <v>94</v>
      </c>
      <c r="D178" s="33">
        <v>28993.132799999999</v>
      </c>
      <c r="E178" s="2" t="s">
        <v>391</v>
      </c>
    </row>
    <row r="179" spans="1:5" s="19" customFormat="1" ht="16.8">
      <c r="A179" s="2" t="s">
        <v>392</v>
      </c>
      <c r="B179" s="5" t="s">
        <v>398</v>
      </c>
      <c r="C179" s="2" t="s">
        <v>94</v>
      </c>
      <c r="D179" s="33">
        <v>38264.687999999995</v>
      </c>
      <c r="E179" s="2" t="s">
        <v>392</v>
      </c>
    </row>
    <row r="180" spans="1:5" s="19" customFormat="1" ht="16.8">
      <c r="A180" s="2" t="s">
        <v>393</v>
      </c>
      <c r="B180" s="5" t="s">
        <v>399</v>
      </c>
      <c r="C180" s="2" t="s">
        <v>94</v>
      </c>
      <c r="D180" s="33">
        <v>91532.351999999999</v>
      </c>
      <c r="E180" s="2" t="s">
        <v>393</v>
      </c>
    </row>
    <row r="181" spans="1:5" s="19" customFormat="1" ht="16.8">
      <c r="A181" s="2" t="s">
        <v>394</v>
      </c>
      <c r="B181" s="5" t="s">
        <v>400</v>
      </c>
      <c r="C181" s="2" t="s">
        <v>94</v>
      </c>
      <c r="D181" s="33">
        <v>126964.4592</v>
      </c>
      <c r="E181" s="2" t="s">
        <v>394</v>
      </c>
    </row>
    <row r="182" spans="1:5" s="19" customFormat="1" ht="16.8">
      <c r="A182" s="2" t="s">
        <v>395</v>
      </c>
      <c r="B182" s="5" t="s">
        <v>401</v>
      </c>
      <c r="C182" s="2" t="s">
        <v>94</v>
      </c>
      <c r="D182" s="33">
        <v>197846.4216</v>
      </c>
      <c r="E182" s="2" t="s">
        <v>395</v>
      </c>
    </row>
    <row r="183" spans="1:5" s="19" customFormat="1" ht="16.8">
      <c r="A183" s="2"/>
      <c r="B183" s="5"/>
      <c r="C183" s="2"/>
      <c r="D183" s="33">
        <v>0</v>
      </c>
      <c r="E183" s="2"/>
    </row>
    <row r="184" spans="1:5" s="19" customFormat="1" ht="16.8">
      <c r="A184" s="2" t="s">
        <v>943</v>
      </c>
      <c r="B184" s="5" t="s">
        <v>944</v>
      </c>
      <c r="C184" s="62" t="s">
        <v>133</v>
      </c>
      <c r="D184" s="238">
        <v>31440</v>
      </c>
      <c r="E184" s="2" t="s">
        <v>943</v>
      </c>
    </row>
    <row r="185" spans="1:5" s="19" customFormat="1" ht="16.8">
      <c r="A185" s="2"/>
      <c r="B185" s="5"/>
      <c r="C185" s="62"/>
      <c r="D185" s="33">
        <v>0</v>
      </c>
      <c r="E185" s="2"/>
    </row>
    <row r="186" spans="1:5" s="19" customFormat="1" ht="16.8">
      <c r="A186" s="2" t="s">
        <v>215</v>
      </c>
      <c r="B186" s="5" t="s">
        <v>628</v>
      </c>
      <c r="C186" s="62" t="s">
        <v>133</v>
      </c>
      <c r="D186" s="33">
        <v>11832</v>
      </c>
      <c r="E186" s="2" t="s">
        <v>215</v>
      </c>
    </row>
    <row r="187" spans="1:5" s="19" customFormat="1" ht="16.8">
      <c r="A187" s="2" t="s">
        <v>216</v>
      </c>
      <c r="B187" s="5" t="s">
        <v>224</v>
      </c>
      <c r="C187" s="62" t="s">
        <v>133</v>
      </c>
      <c r="D187" s="238">
        <v>46052</v>
      </c>
      <c r="E187" s="2" t="s">
        <v>216</v>
      </c>
    </row>
    <row r="188" spans="1:5" s="19" customFormat="1" ht="16.8">
      <c r="A188" s="2" t="s">
        <v>217</v>
      </c>
      <c r="B188" s="5" t="s">
        <v>629</v>
      </c>
      <c r="C188" s="62" t="s">
        <v>133</v>
      </c>
      <c r="D188" s="33">
        <v>52768.353599999995</v>
      </c>
      <c r="E188" s="2" t="s">
        <v>217</v>
      </c>
    </row>
    <row r="189" spans="1:5" s="19" customFormat="1" ht="16.8">
      <c r="A189" s="2" t="s">
        <v>218</v>
      </c>
      <c r="B189" s="5" t="s">
        <v>225</v>
      </c>
      <c r="C189" s="62" t="s">
        <v>133</v>
      </c>
      <c r="D189" s="238">
        <v>58721</v>
      </c>
      <c r="E189" s="2" t="s">
        <v>218</v>
      </c>
    </row>
    <row r="190" spans="1:5" s="19" customFormat="1" ht="16.8">
      <c r="A190" s="2" t="s">
        <v>774</v>
      </c>
      <c r="B190" s="5" t="s">
        <v>1077</v>
      </c>
      <c r="C190" s="62" t="s">
        <v>133</v>
      </c>
      <c r="D190" s="238">
        <f>1354820*1.16</f>
        <v>1571591.2</v>
      </c>
      <c r="E190" s="2" t="s">
        <v>774</v>
      </c>
    </row>
    <row r="191" spans="1:5" s="19" customFormat="1" ht="16.8">
      <c r="A191" s="2" t="s">
        <v>219</v>
      </c>
      <c r="B191" s="5" t="s">
        <v>226</v>
      </c>
      <c r="C191" s="62" t="s">
        <v>133</v>
      </c>
      <c r="D191" s="238">
        <v>22040</v>
      </c>
      <c r="E191" s="2" t="s">
        <v>219</v>
      </c>
    </row>
    <row r="192" spans="1:5" s="19" customFormat="1" ht="16.8">
      <c r="A192" s="2" t="s">
        <v>905</v>
      </c>
      <c r="B192" s="5" t="s">
        <v>777</v>
      </c>
      <c r="C192" s="62" t="s">
        <v>133</v>
      </c>
      <c r="D192" s="238">
        <v>46516</v>
      </c>
      <c r="E192" s="2" t="s">
        <v>905</v>
      </c>
    </row>
    <row r="193" spans="1:5" s="19" customFormat="1" ht="16.8">
      <c r="A193" s="2" t="s">
        <v>219</v>
      </c>
      <c r="B193" s="5" t="s">
        <v>904</v>
      </c>
      <c r="C193" s="62" t="s">
        <v>133</v>
      </c>
      <c r="D193" s="33">
        <v>47950.3632</v>
      </c>
      <c r="E193" s="2" t="s">
        <v>219</v>
      </c>
    </row>
    <row r="194" spans="1:5" s="19" customFormat="1" ht="16.8">
      <c r="A194" s="2" t="s">
        <v>776</v>
      </c>
      <c r="B194" s="5" t="s">
        <v>775</v>
      </c>
      <c r="C194" s="62" t="s">
        <v>133</v>
      </c>
      <c r="D194" s="238">
        <v>383995</v>
      </c>
      <c r="E194" s="2" t="s">
        <v>776</v>
      </c>
    </row>
    <row r="195" spans="1:5" s="19" customFormat="1" ht="16.8">
      <c r="A195" s="2" t="s">
        <v>902</v>
      </c>
      <c r="B195" s="5" t="s">
        <v>903</v>
      </c>
      <c r="C195" s="62" t="s">
        <v>133</v>
      </c>
      <c r="D195" s="238">
        <v>405128</v>
      </c>
      <c r="E195" s="2" t="s">
        <v>902</v>
      </c>
    </row>
    <row r="196" spans="1:5" s="19" customFormat="1" ht="16.8">
      <c r="A196" s="2" t="s">
        <v>900</v>
      </c>
      <c r="B196" s="5" t="s">
        <v>901</v>
      </c>
      <c r="C196" s="62" t="s">
        <v>133</v>
      </c>
      <c r="D196" s="238">
        <v>681070</v>
      </c>
      <c r="E196" s="2" t="s">
        <v>900</v>
      </c>
    </row>
    <row r="197" spans="1:5" ht="16.5" customHeight="1">
      <c r="A197" s="2"/>
      <c r="B197" s="41"/>
      <c r="C197" s="62"/>
      <c r="D197" s="33">
        <v>0</v>
      </c>
      <c r="E197" s="2"/>
    </row>
    <row r="198" spans="1:5" s="19" customFormat="1" ht="16.8">
      <c r="A198" s="2" t="s">
        <v>543</v>
      </c>
      <c r="B198" s="5" t="s">
        <v>544</v>
      </c>
      <c r="C198" s="62" t="s">
        <v>133</v>
      </c>
      <c r="D198" s="238">
        <v>762909</v>
      </c>
      <c r="E198" s="2" t="s">
        <v>543</v>
      </c>
    </row>
    <row r="199" spans="1:5" s="19" customFormat="1" ht="16.8">
      <c r="A199" s="2" t="s">
        <v>545</v>
      </c>
      <c r="B199" s="5" t="s">
        <v>546</v>
      </c>
      <c r="C199" s="62" t="s">
        <v>133</v>
      </c>
      <c r="D199" s="238">
        <v>653528</v>
      </c>
      <c r="E199" s="2" t="s">
        <v>545</v>
      </c>
    </row>
    <row r="200" spans="1:5" s="19" customFormat="1" ht="16.8">
      <c r="A200" s="2" t="s">
        <v>898</v>
      </c>
      <c r="B200" s="5" t="s">
        <v>899</v>
      </c>
      <c r="C200" s="62" t="s">
        <v>133</v>
      </c>
      <c r="D200" s="238">
        <v>1780120</v>
      </c>
      <c r="E200" s="2" t="s">
        <v>898</v>
      </c>
    </row>
    <row r="201" spans="1:5" ht="16.5" customHeight="1">
      <c r="A201" s="2"/>
      <c r="B201" s="185" t="s">
        <v>1191</v>
      </c>
      <c r="C201" s="62"/>
      <c r="D201" s="33">
        <v>120000</v>
      </c>
      <c r="E201" s="2"/>
    </row>
    <row r="202" spans="1:5" ht="16.5" customHeight="1">
      <c r="A202" s="2"/>
      <c r="B202" s="41"/>
      <c r="C202" s="62"/>
      <c r="D202" s="33">
        <v>0</v>
      </c>
      <c r="E202" s="2"/>
    </row>
    <row r="203" spans="1:5" ht="16.5" customHeight="1">
      <c r="A203" s="2" t="s">
        <v>220</v>
      </c>
      <c r="B203" s="41" t="s">
        <v>227</v>
      </c>
      <c r="C203" s="62" t="s">
        <v>133</v>
      </c>
      <c r="D203" s="33">
        <v>26763.983999999997</v>
      </c>
      <c r="E203" s="2" t="s">
        <v>220</v>
      </c>
    </row>
    <row r="204" spans="1:5" ht="16.5" customHeight="1">
      <c r="A204" s="2"/>
      <c r="B204" s="41"/>
      <c r="C204" s="62"/>
      <c r="D204" s="33"/>
      <c r="E204" s="2"/>
    </row>
    <row r="205" spans="1:5" ht="16.5" customHeight="1">
      <c r="A205" s="2" t="s">
        <v>221</v>
      </c>
      <c r="B205" s="41" t="s">
        <v>872</v>
      </c>
      <c r="C205" s="62" t="s">
        <v>133</v>
      </c>
      <c r="D205" s="33">
        <v>5531.46</v>
      </c>
      <c r="E205" s="2" t="s">
        <v>221</v>
      </c>
    </row>
    <row r="206" spans="1:5" ht="16.5" customHeight="1">
      <c r="A206" s="2" t="s">
        <v>222</v>
      </c>
      <c r="B206" s="41" t="s">
        <v>795</v>
      </c>
      <c r="C206" s="62" t="s">
        <v>133</v>
      </c>
      <c r="D206" s="33">
        <v>4174.3296</v>
      </c>
      <c r="E206" s="2" t="s">
        <v>222</v>
      </c>
    </row>
    <row r="207" spans="1:5" ht="16.5" customHeight="1">
      <c r="A207" s="2"/>
      <c r="B207" s="41"/>
      <c r="C207" s="62"/>
      <c r="D207" s="33"/>
      <c r="E207" s="2"/>
    </row>
    <row r="208" spans="1:5" ht="16.5" customHeight="1">
      <c r="A208" s="2" t="s">
        <v>223</v>
      </c>
      <c r="B208" s="41" t="s">
        <v>796</v>
      </c>
      <c r="C208" s="62" t="s">
        <v>133</v>
      </c>
      <c r="D208" s="33">
        <v>73243.6296</v>
      </c>
      <c r="E208" s="2" t="s">
        <v>223</v>
      </c>
    </row>
    <row r="209" spans="1:5" ht="16.8">
      <c r="A209" s="60"/>
      <c r="B209" s="3"/>
      <c r="C209" s="52"/>
      <c r="D209" s="33"/>
      <c r="E209" s="471"/>
    </row>
    <row r="210" spans="1:5" ht="16.8">
      <c r="A210" s="2" t="s">
        <v>180</v>
      </c>
      <c r="B210" s="18" t="s">
        <v>183</v>
      </c>
      <c r="C210" s="42" t="s">
        <v>45</v>
      </c>
      <c r="D210" s="33">
        <v>8004.348</v>
      </c>
      <c r="E210" s="2" t="s">
        <v>180</v>
      </c>
    </row>
    <row r="211" spans="1:5" ht="16.8">
      <c r="A211" s="2" t="s">
        <v>181</v>
      </c>
      <c r="B211" s="18" t="s">
        <v>184</v>
      </c>
      <c r="C211" s="42" t="s">
        <v>45</v>
      </c>
      <c r="D211" s="33">
        <v>11953.8696</v>
      </c>
      <c r="E211" s="2" t="s">
        <v>181</v>
      </c>
    </row>
    <row r="212" spans="1:5" ht="16.8">
      <c r="A212" s="2" t="s">
        <v>182</v>
      </c>
      <c r="B212" s="18" t="s">
        <v>185</v>
      </c>
      <c r="C212" s="42" t="s">
        <v>45</v>
      </c>
      <c r="D212" s="33">
        <v>16659.455999999998</v>
      </c>
      <c r="E212" s="2" t="s">
        <v>182</v>
      </c>
    </row>
    <row r="213" spans="1:5" s="19" customFormat="1" ht="16.8">
      <c r="A213" s="2" t="s">
        <v>178</v>
      </c>
      <c r="B213" s="18" t="s">
        <v>179</v>
      </c>
      <c r="C213" s="42" t="s">
        <v>45</v>
      </c>
      <c r="D213" s="33">
        <v>35279.474399999999</v>
      </c>
      <c r="E213" s="2" t="s">
        <v>178</v>
      </c>
    </row>
    <row r="214" spans="1:5" s="19" customFormat="1" ht="16.8">
      <c r="A214" s="2"/>
      <c r="B214" s="18"/>
      <c r="C214" s="42"/>
      <c r="D214" s="33"/>
      <c r="E214" s="2"/>
    </row>
    <row r="215" spans="1:5" s="19" customFormat="1" ht="16.8">
      <c r="A215" s="2" t="s">
        <v>632</v>
      </c>
      <c r="B215" s="5" t="s">
        <v>204</v>
      </c>
      <c r="C215" s="42" t="s">
        <v>363</v>
      </c>
      <c r="D215" s="33">
        <v>1923.8832</v>
      </c>
      <c r="E215" s="2" t="s">
        <v>632</v>
      </c>
    </row>
    <row r="216" spans="1:5" s="19" customFormat="1" ht="16.8">
      <c r="A216" s="2" t="s">
        <v>633</v>
      </c>
      <c r="B216" s="5" t="s">
        <v>205</v>
      </c>
      <c r="C216" s="42" t="s">
        <v>363</v>
      </c>
      <c r="D216" s="33">
        <v>4455.9312</v>
      </c>
      <c r="E216" s="2" t="s">
        <v>633</v>
      </c>
    </row>
    <row r="217" spans="1:5" s="19" customFormat="1" ht="16.8">
      <c r="A217" s="2" t="s">
        <v>640</v>
      </c>
      <c r="B217" s="5" t="s">
        <v>206</v>
      </c>
      <c r="C217" s="42" t="s">
        <v>363</v>
      </c>
      <c r="D217" s="33">
        <v>7678.9679999999998</v>
      </c>
      <c r="E217" s="2" t="s">
        <v>640</v>
      </c>
    </row>
    <row r="218" spans="1:5" s="19" customFormat="1" ht="16.8">
      <c r="A218" s="2" t="s">
        <v>641</v>
      </c>
      <c r="B218" s="5" t="s">
        <v>265</v>
      </c>
      <c r="C218" s="42" t="s">
        <v>363</v>
      </c>
      <c r="D218" s="33">
        <v>65584.775999999998</v>
      </c>
      <c r="E218" s="2" t="s">
        <v>641</v>
      </c>
    </row>
    <row r="219" spans="1:5" s="19" customFormat="1" ht="16.8">
      <c r="A219" s="2"/>
      <c r="B219" s="5"/>
      <c r="C219" s="42"/>
      <c r="D219" s="33"/>
      <c r="E219" s="2"/>
    </row>
    <row r="220" spans="1:5" ht="16.8">
      <c r="A220" s="2" t="s">
        <v>638</v>
      </c>
      <c r="B220" s="5" t="s">
        <v>639</v>
      </c>
      <c r="C220" s="42" t="s">
        <v>363</v>
      </c>
      <c r="D220" s="33">
        <v>48546.695999999996</v>
      </c>
      <c r="E220" s="2" t="s">
        <v>638</v>
      </c>
    </row>
    <row r="221" spans="1:5" ht="16.8">
      <c r="A221" s="2"/>
      <c r="B221" s="5"/>
      <c r="C221" s="42"/>
      <c r="D221" s="33"/>
      <c r="E221" s="2"/>
    </row>
    <row r="222" spans="1:5" s="19" customFormat="1" ht="16.8">
      <c r="A222" s="2" t="s">
        <v>679</v>
      </c>
      <c r="B222" s="5" t="s">
        <v>682</v>
      </c>
      <c r="C222" s="42" t="s">
        <v>363</v>
      </c>
      <c r="D222" s="33">
        <v>2303.6904</v>
      </c>
      <c r="E222" s="2" t="s">
        <v>679</v>
      </c>
    </row>
    <row r="223" spans="1:5" s="19" customFormat="1" ht="16.8">
      <c r="A223" s="2" t="s">
        <v>680</v>
      </c>
      <c r="B223" s="5" t="s">
        <v>683</v>
      </c>
      <c r="C223" s="42" t="s">
        <v>363</v>
      </c>
      <c r="D223" s="33">
        <v>4950.5087999999996</v>
      </c>
      <c r="E223" s="2" t="s">
        <v>680</v>
      </c>
    </row>
    <row r="224" spans="1:5" s="19" customFormat="1" ht="16.8">
      <c r="A224" s="2" t="s">
        <v>620</v>
      </c>
      <c r="B224" s="5" t="s">
        <v>634</v>
      </c>
      <c r="C224" s="42" t="s">
        <v>363</v>
      </c>
      <c r="D224" s="33">
        <v>8638.5432000000001</v>
      </c>
      <c r="E224" s="2" t="s">
        <v>620</v>
      </c>
    </row>
    <row r="225" spans="1:5" s="19" customFormat="1" ht="16.8">
      <c r="A225" s="2" t="s">
        <v>681</v>
      </c>
      <c r="B225" s="5" t="s">
        <v>635</v>
      </c>
      <c r="C225" s="42" t="s">
        <v>363</v>
      </c>
      <c r="D225" s="33">
        <v>31701.477599999998</v>
      </c>
      <c r="E225" s="2" t="s">
        <v>681</v>
      </c>
    </row>
    <row r="226" spans="1:5" ht="16.8">
      <c r="A226" s="60"/>
      <c r="B226" s="3"/>
      <c r="C226" s="52"/>
      <c r="D226" s="33"/>
      <c r="E226" s="471"/>
    </row>
    <row r="227" spans="1:5" ht="16.8">
      <c r="A227" s="60" t="s">
        <v>780</v>
      </c>
      <c r="B227" s="3" t="s">
        <v>782</v>
      </c>
      <c r="C227" s="50" t="s">
        <v>363</v>
      </c>
      <c r="D227" s="33">
        <v>10168.4208</v>
      </c>
      <c r="E227" s="471" t="s">
        <v>780</v>
      </c>
    </row>
    <row r="228" spans="1:5" s="19" customFormat="1" ht="16.8">
      <c r="A228" s="60" t="s">
        <v>779</v>
      </c>
      <c r="B228" s="3" t="s">
        <v>781</v>
      </c>
      <c r="C228" s="50" t="s">
        <v>363</v>
      </c>
      <c r="D228" s="33">
        <v>93193.564799999993</v>
      </c>
      <c r="E228" s="471" t="s">
        <v>779</v>
      </c>
    </row>
    <row r="229" spans="1:5" s="19" customFormat="1" ht="16.8">
      <c r="A229" s="60" t="s">
        <v>784</v>
      </c>
      <c r="B229" s="3" t="s">
        <v>783</v>
      </c>
      <c r="C229" s="50" t="s">
        <v>363</v>
      </c>
      <c r="D229" s="33">
        <v>93193.564799999993</v>
      </c>
      <c r="E229" s="471" t="s">
        <v>784</v>
      </c>
    </row>
    <row r="230" spans="1:5" ht="16.8">
      <c r="A230" s="60"/>
      <c r="B230" s="3"/>
      <c r="C230" s="52"/>
      <c r="D230" s="33"/>
      <c r="E230" s="471"/>
    </row>
    <row r="231" spans="1:5" s="19" customFormat="1" ht="16.8">
      <c r="A231" s="60" t="s">
        <v>985</v>
      </c>
      <c r="B231" s="3" t="s">
        <v>984</v>
      </c>
      <c r="C231" s="50" t="s">
        <v>363</v>
      </c>
      <c r="D231" s="33">
        <v>21643.094399999998</v>
      </c>
      <c r="E231" s="471" t="s">
        <v>985</v>
      </c>
    </row>
    <row r="232" spans="1:5" ht="16.8">
      <c r="A232" s="60"/>
      <c r="B232" s="3"/>
      <c r="C232" s="52"/>
      <c r="D232" s="33"/>
      <c r="E232" s="471"/>
    </row>
    <row r="233" spans="1:5" s="19" customFormat="1" ht="14.25" customHeight="1">
      <c r="A233" s="2" t="s">
        <v>971</v>
      </c>
      <c r="B233" s="78" t="s">
        <v>973</v>
      </c>
      <c r="C233" s="42" t="s">
        <v>94</v>
      </c>
      <c r="D233" s="33">
        <v>23536</v>
      </c>
      <c r="E233" s="2" t="s">
        <v>971</v>
      </c>
    </row>
    <row r="234" spans="1:5" s="19" customFormat="1" ht="14.25" customHeight="1">
      <c r="A234" s="2" t="s">
        <v>785</v>
      </c>
      <c r="B234" s="78" t="s">
        <v>974</v>
      </c>
      <c r="C234" s="42" t="s">
        <v>94</v>
      </c>
      <c r="D234" s="33">
        <v>34407</v>
      </c>
      <c r="E234" s="2" t="s">
        <v>785</v>
      </c>
    </row>
    <row r="235" spans="1:5" s="19" customFormat="1" ht="14.25" customHeight="1">
      <c r="A235" s="2" t="s">
        <v>972</v>
      </c>
      <c r="B235" s="78" t="s">
        <v>975</v>
      </c>
      <c r="C235" s="42" t="s">
        <v>94</v>
      </c>
      <c r="D235" s="33">
        <v>50018</v>
      </c>
      <c r="E235" s="2" t="s">
        <v>972</v>
      </c>
    </row>
    <row r="236" spans="1:5" ht="16.8">
      <c r="A236" s="2" t="s">
        <v>976</v>
      </c>
      <c r="B236" s="78" t="s">
        <v>977</v>
      </c>
      <c r="C236" s="42" t="s">
        <v>94</v>
      </c>
      <c r="D236" s="33">
        <v>73953</v>
      </c>
      <c r="E236" s="2" t="s">
        <v>976</v>
      </c>
    </row>
    <row r="237" spans="1:5" ht="16.8">
      <c r="A237" s="2" t="s">
        <v>981</v>
      </c>
      <c r="B237" s="78" t="s">
        <v>978</v>
      </c>
      <c r="C237" s="42" t="s">
        <v>94</v>
      </c>
      <c r="D237" s="33">
        <v>114547</v>
      </c>
      <c r="E237" s="2" t="s">
        <v>981</v>
      </c>
    </row>
    <row r="238" spans="1:5" ht="16.8">
      <c r="A238" s="2" t="s">
        <v>982</v>
      </c>
      <c r="B238" s="78" t="s">
        <v>979</v>
      </c>
      <c r="C238" s="42" t="s">
        <v>94</v>
      </c>
      <c r="D238" s="33">
        <v>150656</v>
      </c>
      <c r="E238" s="2" t="s">
        <v>982</v>
      </c>
    </row>
    <row r="239" spans="1:5" ht="16.8">
      <c r="A239" s="2" t="s">
        <v>983</v>
      </c>
      <c r="B239" s="78" t="s">
        <v>980</v>
      </c>
      <c r="C239" s="42" t="s">
        <v>94</v>
      </c>
      <c r="D239" s="33">
        <v>187004</v>
      </c>
      <c r="E239" s="2" t="s">
        <v>983</v>
      </c>
    </row>
    <row r="240" spans="1:5" ht="16.8">
      <c r="A240" s="101"/>
      <c r="B240" s="79"/>
      <c r="C240" s="43"/>
      <c r="D240" s="91"/>
      <c r="E240" s="101"/>
    </row>
    <row r="241" spans="1:5" ht="16.8">
      <c r="A241" s="2" t="s">
        <v>100</v>
      </c>
      <c r="B241" s="78" t="s">
        <v>504</v>
      </c>
      <c r="C241" s="42" t="s">
        <v>94</v>
      </c>
      <c r="D241" s="33">
        <v>240784</v>
      </c>
      <c r="E241" s="2" t="s">
        <v>100</v>
      </c>
    </row>
    <row r="242" spans="1:5" s="19" customFormat="1" ht="14.25" customHeight="1">
      <c r="A242" s="2" t="s">
        <v>99</v>
      </c>
      <c r="B242" s="78" t="s">
        <v>511</v>
      </c>
      <c r="C242" s="42" t="s">
        <v>94</v>
      </c>
      <c r="D242" s="33">
        <v>299409</v>
      </c>
      <c r="E242" s="2" t="s">
        <v>99</v>
      </c>
    </row>
    <row r="243" spans="1:5" ht="16.8">
      <c r="A243" s="2" t="s">
        <v>101</v>
      </c>
      <c r="B243" s="78" t="s">
        <v>512</v>
      </c>
      <c r="C243" s="42" t="s">
        <v>94</v>
      </c>
      <c r="D243" s="33">
        <v>368701</v>
      </c>
      <c r="E243" s="2" t="s">
        <v>101</v>
      </c>
    </row>
    <row r="244" spans="1:5" s="19" customFormat="1" ht="14.25" customHeight="1">
      <c r="A244" s="2" t="s">
        <v>501</v>
      </c>
      <c r="B244" s="78" t="s">
        <v>513</v>
      </c>
      <c r="C244" s="42" t="s">
        <v>94</v>
      </c>
      <c r="D244" s="33">
        <v>431731</v>
      </c>
      <c r="E244" s="2" t="s">
        <v>501</v>
      </c>
    </row>
    <row r="245" spans="1:5" ht="16.8">
      <c r="A245" s="2" t="s">
        <v>502</v>
      </c>
      <c r="B245" s="78" t="s">
        <v>514</v>
      </c>
      <c r="C245" s="42" t="s">
        <v>94</v>
      </c>
      <c r="D245" s="33">
        <v>615392</v>
      </c>
      <c r="E245" s="2" t="s">
        <v>502</v>
      </c>
    </row>
    <row r="246" spans="1:5" s="19" customFormat="1" ht="14.25" customHeight="1">
      <c r="A246" s="2" t="s">
        <v>503</v>
      </c>
      <c r="B246" s="78" t="s">
        <v>515</v>
      </c>
      <c r="C246" s="42" t="s">
        <v>94</v>
      </c>
      <c r="D246" s="33">
        <v>807312</v>
      </c>
      <c r="E246" s="2" t="s">
        <v>503</v>
      </c>
    </row>
    <row r="247" spans="1:5" s="19" customFormat="1" ht="14.25" customHeight="1">
      <c r="A247" s="2" t="s">
        <v>505</v>
      </c>
      <c r="B247" s="78" t="s">
        <v>516</v>
      </c>
      <c r="C247" s="42" t="s">
        <v>94</v>
      </c>
      <c r="D247" s="33">
        <v>878440</v>
      </c>
      <c r="E247" s="2" t="s">
        <v>505</v>
      </c>
    </row>
    <row r="248" spans="1:5" s="19" customFormat="1" ht="14.25" customHeight="1">
      <c r="A248" s="2" t="s">
        <v>506</v>
      </c>
      <c r="B248" s="78" t="s">
        <v>517</v>
      </c>
      <c r="C248" s="42" t="s">
        <v>94</v>
      </c>
      <c r="D248" s="33">
        <v>941634</v>
      </c>
      <c r="E248" s="2" t="s">
        <v>506</v>
      </c>
    </row>
    <row r="249" spans="1:5" s="19" customFormat="1" ht="14.25" customHeight="1">
      <c r="A249" s="2" t="s">
        <v>507</v>
      </c>
      <c r="B249" s="78" t="s">
        <v>518</v>
      </c>
      <c r="C249" s="42" t="s">
        <v>94</v>
      </c>
      <c r="D249" s="33">
        <v>1343442</v>
      </c>
      <c r="E249" s="2" t="s">
        <v>507</v>
      </c>
    </row>
    <row r="250" spans="1:5" s="19" customFormat="1" ht="14.25" customHeight="1">
      <c r="A250" s="2" t="s">
        <v>508</v>
      </c>
      <c r="B250" s="78" t="s">
        <v>519</v>
      </c>
      <c r="C250" s="42" t="s">
        <v>94</v>
      </c>
      <c r="D250" s="33">
        <v>1445411</v>
      </c>
      <c r="E250" s="2" t="s">
        <v>508</v>
      </c>
    </row>
    <row r="251" spans="1:5" ht="16.8">
      <c r="A251" s="2" t="s">
        <v>509</v>
      </c>
      <c r="B251" s="78" t="s">
        <v>520</v>
      </c>
      <c r="C251" s="42" t="s">
        <v>94</v>
      </c>
      <c r="D251" s="33">
        <v>1513163</v>
      </c>
      <c r="E251" s="2" t="s">
        <v>509</v>
      </c>
    </row>
    <row r="252" spans="1:5" ht="16.8">
      <c r="A252" s="2" t="s">
        <v>510</v>
      </c>
      <c r="B252" s="78" t="s">
        <v>521</v>
      </c>
      <c r="C252" s="42" t="s">
        <v>94</v>
      </c>
      <c r="D252" s="33">
        <v>1712022</v>
      </c>
      <c r="E252" s="2" t="s">
        <v>510</v>
      </c>
    </row>
    <row r="253" spans="1:5" ht="16.8">
      <c r="A253" s="2"/>
      <c r="B253" s="78"/>
      <c r="C253" s="42"/>
      <c r="D253" s="33"/>
      <c r="E253" s="2"/>
    </row>
    <row r="254" spans="1:5" ht="16.8">
      <c r="A254" s="2" t="s">
        <v>572</v>
      </c>
      <c r="B254" s="78" t="s">
        <v>313</v>
      </c>
      <c r="C254" s="42" t="s">
        <v>363</v>
      </c>
      <c r="D254" s="33">
        <v>165352</v>
      </c>
      <c r="E254" s="2" t="s">
        <v>572</v>
      </c>
    </row>
    <row r="255" spans="1:5" ht="16.8">
      <c r="A255" s="2" t="s">
        <v>573</v>
      </c>
      <c r="B255" s="78" t="s">
        <v>314</v>
      </c>
      <c r="C255" s="42" t="s">
        <v>363</v>
      </c>
      <c r="D255" s="33">
        <v>205067</v>
      </c>
      <c r="E255" s="2" t="s">
        <v>573</v>
      </c>
    </row>
    <row r="256" spans="1:5" ht="16.8">
      <c r="A256" s="2" t="s">
        <v>574</v>
      </c>
      <c r="B256" s="78" t="s">
        <v>562</v>
      </c>
      <c r="C256" s="42" t="s">
        <v>363</v>
      </c>
      <c r="D256" s="33">
        <v>233093</v>
      </c>
      <c r="E256" s="2" t="s">
        <v>574</v>
      </c>
    </row>
    <row r="257" spans="1:5" ht="16.8">
      <c r="A257" s="2" t="s">
        <v>575</v>
      </c>
      <c r="B257" s="78" t="s">
        <v>563</v>
      </c>
      <c r="C257" s="42" t="s">
        <v>363</v>
      </c>
      <c r="D257" s="33">
        <v>313813</v>
      </c>
      <c r="E257" s="2" t="s">
        <v>575</v>
      </c>
    </row>
    <row r="258" spans="1:5" ht="16.8">
      <c r="A258" s="2" t="s">
        <v>576</v>
      </c>
      <c r="B258" s="78" t="s">
        <v>564</v>
      </c>
      <c r="C258" s="42" t="s">
        <v>363</v>
      </c>
      <c r="D258" s="33">
        <v>526311</v>
      </c>
      <c r="E258" s="2" t="s">
        <v>576</v>
      </c>
    </row>
    <row r="259" spans="1:5" ht="16.8">
      <c r="A259" s="2" t="s">
        <v>577</v>
      </c>
      <c r="B259" s="78" t="s">
        <v>565</v>
      </c>
      <c r="C259" s="42" t="s">
        <v>363</v>
      </c>
      <c r="D259" s="33">
        <v>540146.18160000001</v>
      </c>
      <c r="E259" s="2" t="s">
        <v>577</v>
      </c>
    </row>
    <row r="260" spans="1:5" ht="16.8">
      <c r="A260" s="2" t="s">
        <v>578</v>
      </c>
      <c r="B260" s="78" t="s">
        <v>566</v>
      </c>
      <c r="C260" s="42" t="s">
        <v>363</v>
      </c>
      <c r="D260" s="33">
        <v>579720.67200000002</v>
      </c>
      <c r="E260" s="2" t="s">
        <v>578</v>
      </c>
    </row>
    <row r="261" spans="1:5" ht="16.8">
      <c r="A261" s="2" t="s">
        <v>579</v>
      </c>
      <c r="B261" s="78" t="s">
        <v>567</v>
      </c>
      <c r="C261" s="42" t="s">
        <v>363</v>
      </c>
      <c r="D261" s="33">
        <v>627379</v>
      </c>
      <c r="E261" s="2" t="s">
        <v>579</v>
      </c>
    </row>
    <row r="262" spans="1:5" ht="16.8">
      <c r="A262" s="2" t="s">
        <v>580</v>
      </c>
      <c r="B262" s="78" t="s">
        <v>568</v>
      </c>
      <c r="C262" s="42" t="s">
        <v>363</v>
      </c>
      <c r="D262" s="33">
        <v>646201</v>
      </c>
      <c r="E262" s="2" t="s">
        <v>580</v>
      </c>
    </row>
    <row r="263" spans="1:5" ht="16.8">
      <c r="A263" s="2" t="s">
        <v>460</v>
      </c>
      <c r="B263" s="78" t="s">
        <v>569</v>
      </c>
      <c r="C263" s="42" t="s">
        <v>363</v>
      </c>
      <c r="D263" s="33">
        <v>666494</v>
      </c>
      <c r="E263" s="2" t="s">
        <v>460</v>
      </c>
    </row>
    <row r="264" spans="1:5" ht="16.8">
      <c r="A264" s="2" t="s">
        <v>461</v>
      </c>
      <c r="B264" s="78" t="s">
        <v>570</v>
      </c>
      <c r="C264" s="42" t="s">
        <v>363</v>
      </c>
      <c r="D264" s="33">
        <v>710070</v>
      </c>
      <c r="E264" s="2" t="s">
        <v>461</v>
      </c>
    </row>
    <row r="265" spans="1:5" ht="16.8">
      <c r="A265" s="2" t="s">
        <v>462</v>
      </c>
      <c r="B265" s="78" t="s">
        <v>571</v>
      </c>
      <c r="C265" s="42" t="s">
        <v>363</v>
      </c>
      <c r="D265" s="33">
        <v>765290</v>
      </c>
      <c r="E265" s="2" t="s">
        <v>462</v>
      </c>
    </row>
    <row r="266" spans="1:5" ht="16.8">
      <c r="A266" s="2"/>
      <c r="B266" s="78"/>
      <c r="C266" s="42"/>
      <c r="D266" s="33"/>
      <c r="E266" s="2"/>
    </row>
    <row r="267" spans="1:5" s="25" customFormat="1" ht="16.8">
      <c r="A267" s="2" t="s">
        <v>729</v>
      </c>
      <c r="B267" s="18" t="s">
        <v>228</v>
      </c>
      <c r="C267" s="2" t="s">
        <v>363</v>
      </c>
      <c r="D267" s="15">
        <v>49003</v>
      </c>
      <c r="E267" s="2" t="s">
        <v>729</v>
      </c>
    </row>
    <row r="268" spans="1:5" s="25" customFormat="1" ht="16.8">
      <c r="A268" s="2" t="s">
        <v>231</v>
      </c>
      <c r="B268" s="18" t="s">
        <v>498</v>
      </c>
      <c r="C268" s="2" t="s">
        <v>363</v>
      </c>
      <c r="D268" s="15">
        <v>62163</v>
      </c>
      <c r="E268" s="2" t="s">
        <v>231</v>
      </c>
    </row>
    <row r="269" spans="1:5" s="25" customFormat="1" ht="16.8">
      <c r="A269" s="2" t="s">
        <v>492</v>
      </c>
      <c r="B269" s="18" t="s">
        <v>499</v>
      </c>
      <c r="C269" s="2" t="s">
        <v>363</v>
      </c>
      <c r="D269" s="15">
        <v>178555</v>
      </c>
      <c r="E269" s="2" t="s">
        <v>492</v>
      </c>
    </row>
    <row r="270" spans="1:5" s="25" customFormat="1" ht="16.8">
      <c r="A270" s="2" t="s">
        <v>207</v>
      </c>
      <c r="B270" s="18" t="s">
        <v>208</v>
      </c>
      <c r="C270" s="2" t="s">
        <v>363</v>
      </c>
      <c r="D270" s="15">
        <v>203104</v>
      </c>
      <c r="E270" s="2" t="s">
        <v>207</v>
      </c>
    </row>
    <row r="271" spans="1:5" s="19" customFormat="1" ht="16.8">
      <c r="A271" s="2" t="s">
        <v>495</v>
      </c>
      <c r="B271" s="18" t="s">
        <v>500</v>
      </c>
      <c r="C271" s="2" t="s">
        <v>363</v>
      </c>
      <c r="D271" s="15">
        <v>225981</v>
      </c>
      <c r="E271" s="2" t="s">
        <v>495</v>
      </c>
    </row>
    <row r="272" spans="1:5" s="23" customFormat="1" ht="16.8">
      <c r="A272" s="2" t="s">
        <v>496</v>
      </c>
      <c r="B272" s="18" t="s">
        <v>497</v>
      </c>
      <c r="C272" s="2" t="s">
        <v>363</v>
      </c>
      <c r="D272" s="15">
        <v>315542</v>
      </c>
      <c r="E272" s="2" t="s">
        <v>496</v>
      </c>
    </row>
    <row r="273" spans="1:5" s="25" customFormat="1" ht="16.8">
      <c r="A273" s="2"/>
      <c r="B273" s="18"/>
      <c r="C273" s="42"/>
      <c r="D273" s="15"/>
      <c r="E273" s="2"/>
    </row>
    <row r="274" spans="1:5" s="25" customFormat="1" ht="16.8">
      <c r="A274" s="2"/>
      <c r="B274" s="18"/>
      <c r="C274" s="42"/>
      <c r="D274" s="15"/>
      <c r="E274" s="2"/>
    </row>
    <row r="275" spans="1:5" s="25" customFormat="1" ht="16.8">
      <c r="A275" s="2" t="s">
        <v>443</v>
      </c>
      <c r="B275" s="18" t="s">
        <v>533</v>
      </c>
      <c r="C275" s="2" t="s">
        <v>363</v>
      </c>
      <c r="D275" s="15">
        <v>31246</v>
      </c>
      <c r="E275" s="2" t="s">
        <v>443</v>
      </c>
    </row>
    <row r="276" spans="1:5" s="25" customFormat="1" ht="16.8">
      <c r="A276" s="2" t="s">
        <v>444</v>
      </c>
      <c r="B276" s="18" t="s">
        <v>534</v>
      </c>
      <c r="C276" s="2" t="s">
        <v>363</v>
      </c>
      <c r="D276" s="15">
        <v>41570</v>
      </c>
      <c r="E276" s="2" t="s">
        <v>444</v>
      </c>
    </row>
    <row r="277" spans="1:5" s="25" customFormat="1" ht="16.8">
      <c r="A277" s="2" t="s">
        <v>445</v>
      </c>
      <c r="B277" s="18" t="s">
        <v>535</v>
      </c>
      <c r="C277" s="2" t="s">
        <v>363</v>
      </c>
      <c r="D277" s="15">
        <v>49003</v>
      </c>
      <c r="E277" s="2" t="s">
        <v>445</v>
      </c>
    </row>
    <row r="278" spans="1:5" s="25" customFormat="1" ht="16.8">
      <c r="A278" s="2" t="s">
        <v>446</v>
      </c>
      <c r="B278" s="18" t="s">
        <v>536</v>
      </c>
      <c r="C278" s="2" t="s">
        <v>363</v>
      </c>
      <c r="D278" s="15">
        <v>53085</v>
      </c>
      <c r="E278" s="2" t="s">
        <v>446</v>
      </c>
    </row>
    <row r="279" spans="1:5" s="25" customFormat="1" ht="16.8">
      <c r="A279" s="2" t="s">
        <v>529</v>
      </c>
      <c r="B279" s="18" t="s">
        <v>537</v>
      </c>
      <c r="C279" s="2" t="s">
        <v>363</v>
      </c>
      <c r="D279" s="15">
        <v>62163</v>
      </c>
      <c r="E279" s="2" t="s">
        <v>529</v>
      </c>
    </row>
    <row r="280" spans="1:5" s="25" customFormat="1" ht="16.8">
      <c r="A280" s="2" t="s">
        <v>447</v>
      </c>
      <c r="B280" s="18" t="s">
        <v>538</v>
      </c>
      <c r="C280" s="2" t="s">
        <v>363</v>
      </c>
      <c r="D280" s="15">
        <v>110197</v>
      </c>
      <c r="E280" s="2" t="s">
        <v>447</v>
      </c>
    </row>
    <row r="281" spans="1:5" s="25" customFormat="1" ht="16.8">
      <c r="A281" s="2" t="s">
        <v>448</v>
      </c>
      <c r="B281" s="18" t="s">
        <v>442</v>
      </c>
      <c r="C281" s="2" t="s">
        <v>363</v>
      </c>
      <c r="D281" s="15">
        <v>127780</v>
      </c>
      <c r="E281" s="2" t="s">
        <v>448</v>
      </c>
    </row>
    <row r="282" spans="1:5" s="25" customFormat="1" ht="16.8">
      <c r="A282" s="2" t="s">
        <v>527</v>
      </c>
      <c r="B282" s="18" t="s">
        <v>526</v>
      </c>
      <c r="C282" s="2" t="s">
        <v>363</v>
      </c>
      <c r="D282" s="15">
        <v>198752</v>
      </c>
      <c r="E282" s="2" t="s">
        <v>527</v>
      </c>
    </row>
    <row r="283" spans="1:5" s="25" customFormat="1" ht="16.8">
      <c r="A283" s="2" t="s">
        <v>525</v>
      </c>
      <c r="B283" s="18" t="s">
        <v>524</v>
      </c>
      <c r="C283" s="2" t="s">
        <v>363</v>
      </c>
      <c r="D283" s="15">
        <v>210791</v>
      </c>
      <c r="E283" s="2" t="s">
        <v>525</v>
      </c>
    </row>
    <row r="284" spans="1:5" s="25" customFormat="1" ht="16.8">
      <c r="A284" s="2" t="s">
        <v>532</v>
      </c>
      <c r="B284" s="18" t="s">
        <v>528</v>
      </c>
      <c r="C284" s="2" t="s">
        <v>363</v>
      </c>
      <c r="D284" s="15">
        <v>225981</v>
      </c>
      <c r="E284" s="2" t="s">
        <v>532</v>
      </c>
    </row>
    <row r="285" spans="1:5" s="25" customFormat="1" ht="16.8">
      <c r="A285" s="2" t="s">
        <v>531</v>
      </c>
      <c r="B285" s="18" t="s">
        <v>530</v>
      </c>
      <c r="C285" s="2" t="s">
        <v>363</v>
      </c>
      <c r="D285" s="15">
        <v>330714</v>
      </c>
      <c r="E285" s="2" t="s">
        <v>531</v>
      </c>
    </row>
    <row r="286" spans="1:5" s="25" customFormat="1" ht="16.8">
      <c r="A286" s="2"/>
      <c r="B286" s="18"/>
      <c r="C286" s="42"/>
      <c r="D286" s="15"/>
      <c r="E286" s="2"/>
    </row>
    <row r="287" spans="1:5" s="19" customFormat="1" ht="16.8">
      <c r="A287" s="2" t="s">
        <v>750</v>
      </c>
      <c r="B287" s="18" t="s">
        <v>751</v>
      </c>
      <c r="C287" s="2" t="s">
        <v>45</v>
      </c>
      <c r="D287" s="15">
        <v>84699.371999999988</v>
      </c>
      <c r="E287" s="2" t="s">
        <v>750</v>
      </c>
    </row>
    <row r="288" spans="1:5" ht="16.8">
      <c r="A288" s="2" t="s">
        <v>493</v>
      </c>
      <c r="B288" s="18" t="s">
        <v>494</v>
      </c>
      <c r="C288" s="2" t="s">
        <v>363</v>
      </c>
      <c r="D288" s="15">
        <v>55146.3</v>
      </c>
      <c r="E288" s="2" t="s">
        <v>493</v>
      </c>
    </row>
    <row r="289" spans="1:5" ht="16.8">
      <c r="A289" s="60"/>
      <c r="B289" s="3"/>
      <c r="C289" s="52"/>
      <c r="D289" s="33"/>
      <c r="E289" s="471"/>
    </row>
    <row r="290" spans="1:5" ht="16.8">
      <c r="A290" s="2" t="s">
        <v>110</v>
      </c>
      <c r="B290" s="18" t="s">
        <v>109</v>
      </c>
      <c r="C290" s="42" t="s">
        <v>45</v>
      </c>
      <c r="D290" s="33">
        <v>431867.99999999994</v>
      </c>
      <c r="E290" s="2" t="s">
        <v>110</v>
      </c>
    </row>
    <row r="291" spans="1:5" ht="16.8">
      <c r="A291" s="60"/>
      <c r="B291" s="3"/>
      <c r="C291" s="52"/>
      <c r="D291" s="33"/>
      <c r="E291" s="471"/>
    </row>
    <row r="292" spans="1:5" ht="16.8">
      <c r="A292" s="60" t="s">
        <v>773</v>
      </c>
      <c r="B292" s="3" t="s">
        <v>55</v>
      </c>
      <c r="C292" s="52" t="s">
        <v>363</v>
      </c>
      <c r="D292" s="237">
        <v>160080</v>
      </c>
      <c r="E292" s="471" t="s">
        <v>773</v>
      </c>
    </row>
    <row r="293" spans="1:5" ht="16.8">
      <c r="A293" s="60" t="s">
        <v>906</v>
      </c>
      <c r="B293" s="3" t="s">
        <v>54</v>
      </c>
      <c r="C293" s="52" t="s">
        <v>363</v>
      </c>
      <c r="D293" s="237">
        <v>401360</v>
      </c>
      <c r="E293" s="471" t="s">
        <v>906</v>
      </c>
    </row>
    <row r="294" spans="1:5" s="19" customFormat="1" ht="16.8">
      <c r="A294" s="60" t="s">
        <v>968</v>
      </c>
      <c r="B294" s="3" t="s">
        <v>56</v>
      </c>
      <c r="C294" s="12" t="s">
        <v>363</v>
      </c>
      <c r="D294" s="33">
        <v>286334.40000000002</v>
      </c>
      <c r="E294" s="471" t="s">
        <v>968</v>
      </c>
    </row>
    <row r="295" spans="1:5" ht="16.8">
      <c r="A295" s="60" t="s">
        <v>907</v>
      </c>
      <c r="B295" s="3" t="s">
        <v>908</v>
      </c>
      <c r="C295" s="52" t="s">
        <v>363</v>
      </c>
      <c r="D295" s="54">
        <v>243739.19999999998</v>
      </c>
      <c r="E295" s="471" t="s">
        <v>907</v>
      </c>
    </row>
    <row r="296" spans="1:5" ht="17.25" customHeight="1">
      <c r="A296" s="60" t="s">
        <v>909</v>
      </c>
      <c r="B296" s="3" t="s">
        <v>910</v>
      </c>
      <c r="C296" s="52" t="s">
        <v>363</v>
      </c>
      <c r="D296" s="54">
        <v>222441.59999999998</v>
      </c>
      <c r="E296" s="471" t="s">
        <v>909</v>
      </c>
    </row>
    <row r="297" spans="1:5" ht="16.8">
      <c r="A297" s="60" t="s">
        <v>911</v>
      </c>
      <c r="B297" s="3" t="s">
        <v>57</v>
      </c>
      <c r="C297" s="52" t="s">
        <v>363</v>
      </c>
      <c r="D297" s="54">
        <v>114770.4</v>
      </c>
      <c r="E297" s="471" t="s">
        <v>911</v>
      </c>
    </row>
    <row r="298" spans="1:5" ht="16.8">
      <c r="A298" s="60" t="s">
        <v>912</v>
      </c>
      <c r="B298" s="3" t="s">
        <v>62</v>
      </c>
      <c r="C298" s="52" t="s">
        <v>363</v>
      </c>
      <c r="D298" s="54">
        <v>101755.2</v>
      </c>
      <c r="E298" s="471" t="s">
        <v>912</v>
      </c>
    </row>
    <row r="299" spans="1:5" ht="16.8">
      <c r="A299" s="60" t="s">
        <v>913</v>
      </c>
      <c r="B299" s="3" t="s">
        <v>58</v>
      </c>
      <c r="C299" s="52" t="s">
        <v>363</v>
      </c>
      <c r="D299" s="237">
        <v>121800</v>
      </c>
      <c r="E299" s="471" t="s">
        <v>913</v>
      </c>
    </row>
    <row r="300" spans="1:5" ht="16.8">
      <c r="A300" s="60" t="s">
        <v>914</v>
      </c>
      <c r="B300" s="3" t="s">
        <v>64</v>
      </c>
      <c r="C300" s="52" t="s">
        <v>363</v>
      </c>
      <c r="D300" s="237">
        <v>82360</v>
      </c>
      <c r="E300" s="471" t="s">
        <v>914</v>
      </c>
    </row>
    <row r="301" spans="1:5" ht="16.5" customHeight="1">
      <c r="A301" s="60" t="s">
        <v>915</v>
      </c>
      <c r="B301" s="3" t="s">
        <v>63</v>
      </c>
      <c r="C301" s="52" t="s">
        <v>363</v>
      </c>
      <c r="D301" s="237">
        <v>64960</v>
      </c>
      <c r="E301" s="471" t="s">
        <v>915</v>
      </c>
    </row>
    <row r="302" spans="1:5" ht="16.5" customHeight="1">
      <c r="A302" s="2" t="s">
        <v>188</v>
      </c>
      <c r="B302" s="5" t="s">
        <v>66</v>
      </c>
      <c r="C302" s="52" t="s">
        <v>363</v>
      </c>
      <c r="D302" s="33">
        <v>2147508</v>
      </c>
      <c r="E302" s="2" t="s">
        <v>188</v>
      </c>
    </row>
    <row r="303" spans="1:5" ht="16.5" customHeight="1">
      <c r="A303" s="2" t="s">
        <v>194</v>
      </c>
      <c r="B303" s="5" t="s">
        <v>65</v>
      </c>
      <c r="C303" s="52" t="s">
        <v>363</v>
      </c>
      <c r="D303" s="33">
        <v>1270756.8</v>
      </c>
      <c r="E303" s="2" t="s">
        <v>194</v>
      </c>
    </row>
    <row r="304" spans="1:5" ht="16.5" customHeight="1">
      <c r="A304" s="2" t="s">
        <v>195</v>
      </c>
      <c r="B304" s="5" t="s">
        <v>67</v>
      </c>
      <c r="C304" s="52" t="s">
        <v>363</v>
      </c>
      <c r="D304" s="33">
        <v>585684</v>
      </c>
      <c r="E304" s="2" t="s">
        <v>195</v>
      </c>
    </row>
    <row r="305" spans="1:5" ht="16.5" customHeight="1">
      <c r="A305" s="2" t="s">
        <v>196</v>
      </c>
      <c r="B305" s="5" t="s">
        <v>596</v>
      </c>
      <c r="C305" s="52" t="s">
        <v>363</v>
      </c>
      <c r="D305" s="33">
        <v>957208.79999999993</v>
      </c>
      <c r="E305" s="2" t="s">
        <v>196</v>
      </c>
    </row>
    <row r="306" spans="1:5" ht="16.8">
      <c r="A306" s="2" t="s">
        <v>408</v>
      </c>
      <c r="B306" s="41" t="s">
        <v>597</v>
      </c>
      <c r="C306" s="12" t="s">
        <v>363</v>
      </c>
      <c r="D306" s="33">
        <v>572668.80000000005</v>
      </c>
      <c r="E306" s="2" t="s">
        <v>408</v>
      </c>
    </row>
    <row r="307" spans="1:5" ht="16.8">
      <c r="A307" s="2" t="s">
        <v>599</v>
      </c>
      <c r="B307" s="41" t="s">
        <v>598</v>
      </c>
      <c r="C307" s="12" t="s">
        <v>363</v>
      </c>
      <c r="D307" s="33">
        <v>501676.79999999993</v>
      </c>
      <c r="E307" s="2" t="s">
        <v>599</v>
      </c>
    </row>
    <row r="308" spans="1:5" ht="16.8">
      <c r="A308" s="2" t="s">
        <v>600</v>
      </c>
      <c r="B308" s="41" t="s">
        <v>166</v>
      </c>
      <c r="C308" s="12" t="s">
        <v>363</v>
      </c>
      <c r="D308" s="33">
        <v>437783.99999999994</v>
      </c>
      <c r="E308" s="2" t="s">
        <v>600</v>
      </c>
    </row>
    <row r="309" spans="1:5" ht="16.8">
      <c r="A309" s="60" t="s">
        <v>916</v>
      </c>
      <c r="B309" s="3" t="s">
        <v>917</v>
      </c>
      <c r="C309" s="52" t="s">
        <v>363</v>
      </c>
      <c r="D309" s="237">
        <f>193000*1.16</f>
        <v>223879.99999999997</v>
      </c>
      <c r="E309" s="471" t="s">
        <v>916</v>
      </c>
    </row>
    <row r="310" spans="1:5" ht="16.8">
      <c r="A310" s="60" t="s">
        <v>918</v>
      </c>
      <c r="B310" s="3" t="s">
        <v>919</v>
      </c>
      <c r="C310" s="52" t="s">
        <v>363</v>
      </c>
      <c r="D310" s="54">
        <v>133701.6</v>
      </c>
      <c r="E310" s="471" t="s">
        <v>918</v>
      </c>
    </row>
    <row r="311" spans="1:5" ht="16.8">
      <c r="A311" s="60" t="s">
        <v>920</v>
      </c>
      <c r="B311" s="3" t="s">
        <v>921</v>
      </c>
      <c r="C311" s="52" t="s">
        <v>363</v>
      </c>
      <c r="D311" s="237">
        <f>76000*1.16</f>
        <v>88160</v>
      </c>
      <c r="E311" s="471" t="s">
        <v>920</v>
      </c>
    </row>
    <row r="312" spans="1:5" ht="16.8">
      <c r="A312" s="60" t="s">
        <v>469</v>
      </c>
      <c r="B312" s="3" t="s">
        <v>470</v>
      </c>
      <c r="C312" s="52" t="s">
        <v>363</v>
      </c>
      <c r="D312" s="237">
        <f>127000*1.16</f>
        <v>147320</v>
      </c>
      <c r="E312" s="471" t="s">
        <v>469</v>
      </c>
    </row>
    <row r="313" spans="1:5" ht="16.8">
      <c r="A313" s="60" t="s">
        <v>471</v>
      </c>
      <c r="B313" s="3" t="s">
        <v>472</v>
      </c>
      <c r="C313" s="52" t="s">
        <v>363</v>
      </c>
      <c r="D313" s="54">
        <v>113587.19999999998</v>
      </c>
      <c r="E313" s="471" t="s">
        <v>471</v>
      </c>
    </row>
    <row r="314" spans="1:5" ht="16.8">
      <c r="A314" s="60" t="s">
        <v>473</v>
      </c>
      <c r="B314" s="3" t="s">
        <v>474</v>
      </c>
      <c r="C314" s="52" t="s">
        <v>363</v>
      </c>
      <c r="D314" s="54">
        <v>243739.19999999998</v>
      </c>
      <c r="E314" s="471" t="s">
        <v>473</v>
      </c>
    </row>
    <row r="315" spans="1:5" ht="16.8">
      <c r="A315" s="60" t="s">
        <v>790</v>
      </c>
      <c r="B315" s="3" t="s">
        <v>691</v>
      </c>
      <c r="C315" s="52" t="s">
        <v>363</v>
      </c>
      <c r="D315" s="54">
        <v>1351214.4000000001</v>
      </c>
      <c r="E315" s="471" t="s">
        <v>790</v>
      </c>
    </row>
    <row r="316" spans="1:5" ht="16.8">
      <c r="A316" s="60" t="s">
        <v>752</v>
      </c>
      <c r="B316" s="3" t="s">
        <v>690</v>
      </c>
      <c r="C316" s="52" t="s">
        <v>363</v>
      </c>
      <c r="D316" s="237">
        <v>292320</v>
      </c>
      <c r="E316" s="471" t="s">
        <v>752</v>
      </c>
    </row>
    <row r="317" spans="1:5" ht="17.25" customHeight="1">
      <c r="A317" s="60" t="s">
        <v>301</v>
      </c>
      <c r="B317" s="3" t="s">
        <v>300</v>
      </c>
      <c r="C317" s="52" t="s">
        <v>363</v>
      </c>
      <c r="D317" s="54">
        <v>234273.59999999998</v>
      </c>
      <c r="E317" s="471" t="s">
        <v>301</v>
      </c>
    </row>
    <row r="318" spans="1:5" ht="17.25" customHeight="1">
      <c r="A318" s="60" t="s">
        <v>589</v>
      </c>
      <c r="B318" s="3" t="s">
        <v>588</v>
      </c>
      <c r="C318" s="52" t="s">
        <v>363</v>
      </c>
      <c r="D318" s="54">
        <v>188128.80000000002</v>
      </c>
      <c r="E318" s="471" t="s">
        <v>589</v>
      </c>
    </row>
    <row r="319" spans="1:5" ht="16.8">
      <c r="A319" s="60" t="s">
        <v>922</v>
      </c>
      <c r="B319" s="3" t="s">
        <v>923</v>
      </c>
      <c r="C319" s="52" t="s">
        <v>363</v>
      </c>
      <c r="D319" s="237">
        <f>152000*1.16</f>
        <v>176320</v>
      </c>
      <c r="E319" s="471" t="s">
        <v>922</v>
      </c>
    </row>
    <row r="320" spans="1:5" ht="16.8">
      <c r="A320" s="60" t="s">
        <v>587</v>
      </c>
      <c r="B320" s="3" t="s">
        <v>586</v>
      </c>
      <c r="C320" s="52" t="s">
        <v>363</v>
      </c>
      <c r="D320" s="54">
        <v>128968.79999999999</v>
      </c>
      <c r="E320" s="471" t="s">
        <v>587</v>
      </c>
    </row>
    <row r="321" spans="1:5" ht="16.8">
      <c r="A321" s="60" t="s">
        <v>924</v>
      </c>
      <c r="B321" s="3" t="s">
        <v>925</v>
      </c>
      <c r="C321" s="52" t="s">
        <v>363</v>
      </c>
      <c r="D321" s="237">
        <f>77000*1.16</f>
        <v>89320</v>
      </c>
      <c r="E321" s="471" t="s">
        <v>924</v>
      </c>
    </row>
    <row r="322" spans="1:5" ht="17.25" customHeight="1">
      <c r="A322" s="60" t="s">
        <v>926</v>
      </c>
      <c r="B322" s="3" t="s">
        <v>927</v>
      </c>
      <c r="C322" s="52" t="s">
        <v>363</v>
      </c>
      <c r="D322" s="237">
        <f>53000*1.16</f>
        <v>61479.999999999993</v>
      </c>
      <c r="E322" s="471" t="s">
        <v>926</v>
      </c>
    </row>
    <row r="323" spans="1:5" ht="17.25" customHeight="1">
      <c r="A323" s="60" t="s">
        <v>928</v>
      </c>
      <c r="B323" s="3" t="s">
        <v>929</v>
      </c>
      <c r="C323" s="52" t="s">
        <v>363</v>
      </c>
      <c r="D323" s="237">
        <f>46000*1.16</f>
        <v>53359.999999999993</v>
      </c>
      <c r="E323" s="471" t="s">
        <v>928</v>
      </c>
    </row>
    <row r="324" spans="1:5" ht="15.75" customHeight="1">
      <c r="A324" s="2" t="s">
        <v>930</v>
      </c>
      <c r="B324" s="3" t="s">
        <v>696</v>
      </c>
      <c r="C324" s="51" t="s">
        <v>363</v>
      </c>
      <c r="D324" s="54">
        <v>35141.040000000001</v>
      </c>
      <c r="E324" s="2" t="s">
        <v>930</v>
      </c>
    </row>
    <row r="325" spans="1:5" ht="15.75" customHeight="1">
      <c r="A325" s="2" t="s">
        <v>186</v>
      </c>
      <c r="B325" s="5" t="s">
        <v>376</v>
      </c>
      <c r="C325" s="52" t="s">
        <v>363</v>
      </c>
      <c r="D325" s="33">
        <v>224334.71999999997</v>
      </c>
      <c r="E325" s="2" t="s">
        <v>186</v>
      </c>
    </row>
    <row r="326" spans="1:5" ht="15.75" customHeight="1">
      <c r="A326" s="2" t="s">
        <v>2</v>
      </c>
      <c r="B326" s="5" t="s">
        <v>3</v>
      </c>
      <c r="C326" s="52" t="s">
        <v>363</v>
      </c>
      <c r="D326" s="33">
        <v>792744</v>
      </c>
      <c r="E326" s="2" t="s">
        <v>2</v>
      </c>
    </row>
    <row r="327" spans="1:5" ht="15.75" customHeight="1">
      <c r="A327" s="2" t="s">
        <v>5</v>
      </c>
      <c r="B327" s="5" t="s">
        <v>4</v>
      </c>
      <c r="C327" s="52" t="s">
        <v>363</v>
      </c>
      <c r="D327" s="33">
        <v>844804.8</v>
      </c>
      <c r="E327" s="2" t="s">
        <v>5</v>
      </c>
    </row>
    <row r="328" spans="1:5" ht="15.75" customHeight="1">
      <c r="A328" s="2" t="s">
        <v>187</v>
      </c>
      <c r="B328" s="5" t="s">
        <v>712</v>
      </c>
      <c r="C328" s="52" t="s">
        <v>363</v>
      </c>
      <c r="D328" s="33">
        <v>214395.84</v>
      </c>
      <c r="E328" s="2" t="s">
        <v>187</v>
      </c>
    </row>
    <row r="329" spans="1:5" ht="15.75" customHeight="1">
      <c r="A329" s="2" t="s">
        <v>112</v>
      </c>
      <c r="B329" s="18" t="s">
        <v>113</v>
      </c>
      <c r="C329" s="52" t="s">
        <v>363</v>
      </c>
      <c r="D329" s="33">
        <v>205876.80000000002</v>
      </c>
      <c r="E329" s="2" t="s">
        <v>112</v>
      </c>
    </row>
    <row r="330" spans="1:5" ht="15.75" customHeight="1">
      <c r="A330" s="2" t="s">
        <v>70</v>
      </c>
      <c r="B330" s="18" t="s">
        <v>69</v>
      </c>
      <c r="C330" s="52" t="s">
        <v>363</v>
      </c>
      <c r="D330" s="33">
        <v>229540.8</v>
      </c>
      <c r="E330" s="2" t="s">
        <v>70</v>
      </c>
    </row>
    <row r="331" spans="1:5" ht="17.25" customHeight="1">
      <c r="A331" s="2" t="s">
        <v>659</v>
      </c>
      <c r="B331" s="18" t="s">
        <v>658</v>
      </c>
      <c r="C331" s="12" t="s">
        <v>363</v>
      </c>
      <c r="D331" s="15">
        <v>205640.16</v>
      </c>
      <c r="E331" s="2" t="s">
        <v>659</v>
      </c>
    </row>
    <row r="332" spans="1:5" ht="17.25" customHeight="1">
      <c r="A332" s="2"/>
      <c r="B332" s="3"/>
      <c r="C332" s="51"/>
      <c r="D332" s="54">
        <v>0</v>
      </c>
      <c r="E332" s="2"/>
    </row>
    <row r="333" spans="1:5" ht="17.25" customHeight="1">
      <c r="A333" s="2"/>
      <c r="B333" s="3"/>
      <c r="C333" s="51"/>
      <c r="D333" s="54">
        <v>0</v>
      </c>
      <c r="E333" s="2"/>
    </row>
    <row r="334" spans="1:5" ht="17.25" customHeight="1">
      <c r="A334" s="2" t="s">
        <v>931</v>
      </c>
      <c r="B334" s="3" t="s">
        <v>932</v>
      </c>
      <c r="C334" s="52" t="s">
        <v>363</v>
      </c>
      <c r="D334" s="54">
        <v>672885.84</v>
      </c>
      <c r="E334" s="2" t="s">
        <v>931</v>
      </c>
    </row>
    <row r="335" spans="1:5" ht="17.25" customHeight="1">
      <c r="A335" s="60" t="s">
        <v>935</v>
      </c>
      <c r="B335" s="3" t="s">
        <v>936</v>
      </c>
      <c r="C335" s="52" t="s">
        <v>363</v>
      </c>
      <c r="D335" s="54">
        <v>58568.399999999994</v>
      </c>
      <c r="E335" s="471" t="s">
        <v>935</v>
      </c>
    </row>
    <row r="336" spans="1:5" ht="17.25" customHeight="1">
      <c r="A336" s="60" t="s">
        <v>933</v>
      </c>
      <c r="B336" s="3" t="s">
        <v>934</v>
      </c>
      <c r="C336" s="52" t="s">
        <v>363</v>
      </c>
      <c r="D336" s="54">
        <v>85900.32</v>
      </c>
      <c r="E336" s="471" t="s">
        <v>933</v>
      </c>
    </row>
    <row r="337" spans="1:5" ht="17.25" customHeight="1">
      <c r="A337" s="60" t="s">
        <v>38</v>
      </c>
      <c r="B337" s="3" t="s">
        <v>40</v>
      </c>
      <c r="C337" s="52" t="s">
        <v>363</v>
      </c>
      <c r="D337" s="54">
        <v>110629.19999999998</v>
      </c>
      <c r="E337" s="471" t="s">
        <v>38</v>
      </c>
    </row>
    <row r="338" spans="1:5" ht="17.25" customHeight="1">
      <c r="A338" s="60" t="s">
        <v>762</v>
      </c>
      <c r="B338" s="3" t="s">
        <v>41</v>
      </c>
      <c r="C338" s="52" t="s">
        <v>363</v>
      </c>
      <c r="D338" s="54">
        <v>288937.44</v>
      </c>
      <c r="E338" s="471" t="s">
        <v>762</v>
      </c>
    </row>
    <row r="339" spans="1:5" ht="17.25" customHeight="1">
      <c r="A339" s="60" t="s">
        <v>39</v>
      </c>
      <c r="B339" s="3" t="s">
        <v>42</v>
      </c>
      <c r="C339" s="52" t="s">
        <v>363</v>
      </c>
      <c r="D339" s="54">
        <v>694183.44000000006</v>
      </c>
      <c r="E339" s="471" t="s">
        <v>39</v>
      </c>
    </row>
    <row r="340" spans="1:5" ht="17.25" customHeight="1">
      <c r="A340" s="2" t="s">
        <v>311</v>
      </c>
      <c r="B340" s="3" t="s">
        <v>312</v>
      </c>
      <c r="C340" s="12" t="s">
        <v>363</v>
      </c>
      <c r="D340" s="33">
        <v>715836</v>
      </c>
      <c r="E340" s="2" t="s">
        <v>311</v>
      </c>
    </row>
    <row r="341" spans="1:5" ht="17.25" customHeight="1">
      <c r="A341" s="2" t="s">
        <v>791</v>
      </c>
      <c r="B341" s="3" t="s">
        <v>792</v>
      </c>
      <c r="C341" s="12" t="s">
        <v>363</v>
      </c>
      <c r="D341" s="33">
        <v>922895.99999999988</v>
      </c>
      <c r="E341" s="2" t="s">
        <v>791</v>
      </c>
    </row>
    <row r="342" spans="1:5" ht="16.5" customHeight="1">
      <c r="A342" s="60"/>
      <c r="B342" s="3"/>
      <c r="C342" s="52"/>
      <c r="D342" s="54">
        <v>0</v>
      </c>
      <c r="E342" s="471"/>
    </row>
    <row r="343" spans="1:5" ht="17.25" customHeight="1">
      <c r="A343" s="60" t="s">
        <v>937</v>
      </c>
      <c r="B343" s="3" t="s">
        <v>938</v>
      </c>
      <c r="C343" s="52" t="s">
        <v>363</v>
      </c>
      <c r="D343" s="54">
        <v>100217.04000000001</v>
      </c>
      <c r="E343" s="471" t="s">
        <v>937</v>
      </c>
    </row>
    <row r="344" spans="1:5" ht="17.25" customHeight="1">
      <c r="A344" s="2" t="s">
        <v>755</v>
      </c>
      <c r="B344" s="3" t="s">
        <v>756</v>
      </c>
      <c r="C344" s="51" t="s">
        <v>363</v>
      </c>
      <c r="D344" s="54">
        <v>71583.600000000006</v>
      </c>
      <c r="E344" s="2" t="s">
        <v>755</v>
      </c>
    </row>
    <row r="345" spans="1:5" ht="17.25" customHeight="1">
      <c r="A345" s="2" t="s">
        <v>657</v>
      </c>
      <c r="B345" s="41" t="s">
        <v>310</v>
      </c>
      <c r="C345" s="12" t="s">
        <v>363</v>
      </c>
      <c r="D345" s="33">
        <v>236639.99999999997</v>
      </c>
      <c r="E345" s="2" t="s">
        <v>657</v>
      </c>
    </row>
    <row r="346" spans="1:5" ht="16.5" customHeight="1">
      <c r="A346" s="60" t="s">
        <v>757</v>
      </c>
      <c r="B346" s="3" t="s">
        <v>758</v>
      </c>
      <c r="C346" s="52" t="s">
        <v>363</v>
      </c>
      <c r="D346" s="54">
        <v>57266.879999999997</v>
      </c>
      <c r="E346" s="471" t="s">
        <v>757</v>
      </c>
    </row>
    <row r="347" spans="1:5" ht="16.5" customHeight="1">
      <c r="A347" s="60" t="s">
        <v>759</v>
      </c>
      <c r="B347" s="3" t="s">
        <v>760</v>
      </c>
      <c r="C347" s="52" t="s">
        <v>363</v>
      </c>
      <c r="D347" s="54">
        <v>71583.600000000006</v>
      </c>
      <c r="E347" s="471" t="s">
        <v>759</v>
      </c>
    </row>
    <row r="348" spans="1:5" ht="16.5" customHeight="1">
      <c r="A348" s="60" t="s">
        <v>761</v>
      </c>
      <c r="B348" s="3" t="s">
        <v>328</v>
      </c>
      <c r="C348" s="52" t="s">
        <v>363</v>
      </c>
      <c r="D348" s="54">
        <v>126247.44</v>
      </c>
      <c r="E348" s="471" t="s">
        <v>761</v>
      </c>
    </row>
    <row r="349" spans="1:5" ht="16.5" customHeight="1">
      <c r="A349" s="60" t="s">
        <v>329</v>
      </c>
      <c r="B349" s="3" t="s">
        <v>763</v>
      </c>
      <c r="C349" s="52" t="s">
        <v>363</v>
      </c>
      <c r="D349" s="54">
        <v>229067.51999999999</v>
      </c>
      <c r="E349" s="471" t="s">
        <v>329</v>
      </c>
    </row>
    <row r="350" spans="1:5" ht="16.8">
      <c r="A350" s="2" t="s">
        <v>766</v>
      </c>
      <c r="B350" s="3" t="s">
        <v>549</v>
      </c>
      <c r="C350" s="51" t="s">
        <v>363</v>
      </c>
      <c r="D350" s="54">
        <v>104121.60000000001</v>
      </c>
      <c r="E350" s="2" t="s">
        <v>766</v>
      </c>
    </row>
    <row r="351" spans="1:5" ht="16.8">
      <c r="A351" s="2" t="s">
        <v>550</v>
      </c>
      <c r="B351" s="3" t="s">
        <v>767</v>
      </c>
      <c r="C351" s="51" t="s">
        <v>363</v>
      </c>
      <c r="D351" s="237">
        <f>69000*1.16</f>
        <v>80040</v>
      </c>
      <c r="E351" s="2" t="s">
        <v>550</v>
      </c>
    </row>
    <row r="352" spans="1:5" ht="16.8">
      <c r="A352" s="2" t="s">
        <v>548</v>
      </c>
      <c r="B352" s="3" t="s">
        <v>547</v>
      </c>
      <c r="C352" s="51" t="s">
        <v>363</v>
      </c>
      <c r="D352" s="237">
        <f>137000*1.16</f>
        <v>158920</v>
      </c>
      <c r="E352" s="2" t="s">
        <v>548</v>
      </c>
    </row>
    <row r="353" spans="1:5" ht="16.8">
      <c r="A353" s="2" t="s">
        <v>425</v>
      </c>
      <c r="B353" s="3" t="s">
        <v>592</v>
      </c>
      <c r="C353" s="51" t="s">
        <v>363</v>
      </c>
      <c r="D353" s="54">
        <v>106488</v>
      </c>
      <c r="E353" s="2" t="s">
        <v>425</v>
      </c>
    </row>
    <row r="354" spans="1:5" ht="16.8">
      <c r="A354" s="2" t="s">
        <v>553</v>
      </c>
      <c r="B354" s="3" t="s">
        <v>554</v>
      </c>
      <c r="C354" s="51" t="s">
        <v>363</v>
      </c>
      <c r="D354" s="54">
        <v>165648</v>
      </c>
      <c r="E354" s="2" t="s">
        <v>553</v>
      </c>
    </row>
    <row r="355" spans="1:5" ht="16.8">
      <c r="A355" s="2" t="s">
        <v>594</v>
      </c>
      <c r="B355" s="3" t="s">
        <v>593</v>
      </c>
      <c r="C355" s="51" t="s">
        <v>363</v>
      </c>
      <c r="D355" s="54">
        <v>218891.99999999997</v>
      </c>
      <c r="E355" s="2" t="s">
        <v>594</v>
      </c>
    </row>
    <row r="356" spans="1:5" ht="16.5" customHeight="1">
      <c r="A356" s="2" t="s">
        <v>764</v>
      </c>
      <c r="B356" s="3" t="s">
        <v>551</v>
      </c>
      <c r="C356" s="51" t="s">
        <v>363</v>
      </c>
      <c r="D356" s="54">
        <v>237823.19999999998</v>
      </c>
      <c r="E356" s="2" t="s">
        <v>764</v>
      </c>
    </row>
    <row r="357" spans="1:5" ht="16.5" customHeight="1">
      <c r="A357" s="2" t="s">
        <v>552</v>
      </c>
      <c r="B357" s="3" t="s">
        <v>765</v>
      </c>
      <c r="C357" s="51" t="s">
        <v>363</v>
      </c>
      <c r="D357" s="54">
        <v>237823.19999999998</v>
      </c>
      <c r="E357" s="2" t="s">
        <v>552</v>
      </c>
    </row>
    <row r="358" spans="1:5" ht="16.8">
      <c r="A358" s="2" t="s">
        <v>668</v>
      </c>
      <c r="B358" s="3" t="s">
        <v>667</v>
      </c>
      <c r="C358" s="51" t="s">
        <v>363</v>
      </c>
      <c r="D358" s="54">
        <v>717.01919999999996</v>
      </c>
      <c r="E358" s="2" t="s">
        <v>668</v>
      </c>
    </row>
    <row r="359" spans="1:5" ht="16.5" customHeight="1">
      <c r="A359" s="2" t="s">
        <v>768</v>
      </c>
      <c r="B359" s="3" t="s">
        <v>769</v>
      </c>
      <c r="C359" s="51" t="s">
        <v>363</v>
      </c>
      <c r="D359" s="54">
        <v>3006.96</v>
      </c>
      <c r="E359" s="2" t="s">
        <v>768</v>
      </c>
    </row>
    <row r="360" spans="1:5" ht="16.5" customHeight="1">
      <c r="A360" s="2" t="s">
        <v>744</v>
      </c>
      <c r="B360" s="3" t="s">
        <v>743</v>
      </c>
      <c r="C360" s="51" t="s">
        <v>363</v>
      </c>
      <c r="D360" s="33">
        <v>13652.944799999999</v>
      </c>
      <c r="E360" s="2" t="s">
        <v>744</v>
      </c>
    </row>
    <row r="361" spans="1:5" ht="16.5" customHeight="1">
      <c r="A361" s="2" t="s">
        <v>745</v>
      </c>
      <c r="B361" s="3" t="s">
        <v>746</v>
      </c>
      <c r="C361" s="51" t="s">
        <v>363</v>
      </c>
      <c r="D361" s="33">
        <v>24805.787999999997</v>
      </c>
      <c r="E361" s="2" t="s">
        <v>745</v>
      </c>
    </row>
    <row r="362" spans="1:5" ht="16.5" customHeight="1">
      <c r="A362" s="2" t="s">
        <v>956</v>
      </c>
      <c r="B362" s="3" t="s">
        <v>957</v>
      </c>
      <c r="C362" s="51" t="s">
        <v>363</v>
      </c>
      <c r="D362" s="33">
        <v>31581.974399999999</v>
      </c>
      <c r="E362" s="2" t="s">
        <v>956</v>
      </c>
    </row>
    <row r="363" spans="1:5" s="165" customFormat="1" ht="16.5" customHeight="1">
      <c r="A363" s="161" t="s">
        <v>770</v>
      </c>
      <c r="B363" s="162" t="s">
        <v>771</v>
      </c>
      <c r="C363" s="163" t="s">
        <v>772</v>
      </c>
      <c r="D363" s="164">
        <v>12500.1</v>
      </c>
      <c r="E363" s="161" t="s">
        <v>770</v>
      </c>
    </row>
    <row r="364" spans="1:5" ht="17.25" customHeight="1">
      <c r="A364" s="2" t="s">
        <v>871</v>
      </c>
      <c r="B364" s="3" t="s">
        <v>449</v>
      </c>
      <c r="C364" s="51" t="s">
        <v>450</v>
      </c>
      <c r="D364" s="54">
        <v>58250.119200000001</v>
      </c>
      <c r="E364" s="2" t="s">
        <v>871</v>
      </c>
    </row>
    <row r="365" spans="1:5" ht="17.25" customHeight="1">
      <c r="A365" s="2" t="s">
        <v>451</v>
      </c>
      <c r="B365" s="3" t="s">
        <v>452</v>
      </c>
      <c r="C365" s="51" t="s">
        <v>450</v>
      </c>
      <c r="D365" s="54">
        <v>28085.7</v>
      </c>
      <c r="E365" s="2" t="s">
        <v>451</v>
      </c>
    </row>
    <row r="366" spans="1:5" ht="17.25" customHeight="1">
      <c r="A366" s="2" t="s">
        <v>453</v>
      </c>
      <c r="B366" s="3" t="s">
        <v>454</v>
      </c>
      <c r="C366" s="51" t="s">
        <v>45</v>
      </c>
      <c r="D366" s="237">
        <v>1366</v>
      </c>
      <c r="E366" s="2" t="s">
        <v>453</v>
      </c>
    </row>
    <row r="367" spans="1:5" ht="17.25" customHeight="1">
      <c r="A367" s="2" t="s">
        <v>455</v>
      </c>
      <c r="B367" s="3" t="s">
        <v>456</v>
      </c>
      <c r="C367" s="51" t="s">
        <v>363</v>
      </c>
      <c r="D367" s="54">
        <v>3031.3583999999996</v>
      </c>
      <c r="E367" s="2" t="s">
        <v>455</v>
      </c>
    </row>
    <row r="368" spans="1:5" ht="17.25" customHeight="1">
      <c r="A368" s="2" t="s">
        <v>457</v>
      </c>
      <c r="B368" s="3" t="s">
        <v>24</v>
      </c>
      <c r="C368" s="51" t="s">
        <v>363</v>
      </c>
      <c r="D368" s="54">
        <v>2853.8783999999996</v>
      </c>
      <c r="E368" s="2" t="s">
        <v>457</v>
      </c>
    </row>
    <row r="369" spans="1:179" ht="17.25" customHeight="1">
      <c r="A369" s="2" t="s">
        <v>25</v>
      </c>
      <c r="B369" s="3" t="s">
        <v>26</v>
      </c>
      <c r="C369" s="51" t="s">
        <v>363</v>
      </c>
      <c r="D369" s="54">
        <v>6182.22</v>
      </c>
      <c r="E369" s="2" t="s">
        <v>25</v>
      </c>
    </row>
    <row r="370" spans="1:179" ht="16.5" customHeight="1">
      <c r="A370" s="2" t="s">
        <v>27</v>
      </c>
      <c r="B370" s="3" t="s">
        <v>28</v>
      </c>
      <c r="C370" s="51" t="s">
        <v>363</v>
      </c>
      <c r="D370" s="54">
        <v>12367.989599999999</v>
      </c>
      <c r="E370" s="2" t="s">
        <v>27</v>
      </c>
    </row>
    <row r="371" spans="1:179" ht="17.25" customHeight="1">
      <c r="A371" s="2" t="s">
        <v>29</v>
      </c>
      <c r="B371" s="3" t="s">
        <v>786</v>
      </c>
      <c r="C371" s="51" t="s">
        <v>363</v>
      </c>
      <c r="D371" s="54">
        <v>13999.622399999998</v>
      </c>
      <c r="E371" s="2" t="s">
        <v>29</v>
      </c>
    </row>
    <row r="372" spans="1:179" ht="17.25" customHeight="1">
      <c r="A372" s="2" t="s">
        <v>787</v>
      </c>
      <c r="B372" s="3" t="s">
        <v>37</v>
      </c>
      <c r="C372" s="51" t="s">
        <v>363</v>
      </c>
      <c r="D372" s="54">
        <v>17795.327999999998</v>
      </c>
      <c r="E372" s="2" t="s">
        <v>787</v>
      </c>
    </row>
    <row r="373" spans="1:179" ht="16.8">
      <c r="A373" s="2" t="s">
        <v>315</v>
      </c>
      <c r="B373" s="3" t="s">
        <v>316</v>
      </c>
      <c r="C373" s="51" t="s">
        <v>363</v>
      </c>
      <c r="D373" s="237">
        <v>25500</v>
      </c>
      <c r="E373" s="2" t="s">
        <v>315</v>
      </c>
    </row>
    <row r="374" spans="1:179" ht="17.25" customHeight="1">
      <c r="A374" s="2" t="s">
        <v>317</v>
      </c>
      <c r="B374" s="3" t="s">
        <v>318</v>
      </c>
      <c r="C374" s="51" t="s">
        <v>363</v>
      </c>
      <c r="D374" s="237">
        <v>10000</v>
      </c>
      <c r="E374" s="2" t="s">
        <v>317</v>
      </c>
    </row>
    <row r="375" spans="1:179" ht="17.25" customHeight="1">
      <c r="A375" s="2" t="s">
        <v>319</v>
      </c>
      <c r="B375" s="3" t="s">
        <v>320</v>
      </c>
      <c r="C375" s="51" t="s">
        <v>363</v>
      </c>
      <c r="D375" s="54">
        <v>67320</v>
      </c>
      <c r="E375" s="2" t="s">
        <v>319</v>
      </c>
    </row>
    <row r="376" spans="1:179" s="19" customFormat="1" ht="16.8">
      <c r="A376" s="60" t="s">
        <v>321</v>
      </c>
      <c r="B376" s="3" t="s">
        <v>322</v>
      </c>
      <c r="C376" s="52" t="s">
        <v>363</v>
      </c>
      <c r="D376" s="54">
        <v>25500</v>
      </c>
      <c r="E376" s="471" t="s">
        <v>321</v>
      </c>
    </row>
    <row r="377" spans="1:179" s="19" customFormat="1" ht="15.75" customHeight="1">
      <c r="A377" s="60" t="s">
        <v>323</v>
      </c>
      <c r="B377" s="3" t="s">
        <v>324</v>
      </c>
      <c r="C377" s="52" t="s">
        <v>363</v>
      </c>
      <c r="D377" s="237">
        <v>77720</v>
      </c>
      <c r="E377" s="471" t="s">
        <v>323</v>
      </c>
    </row>
    <row r="378" spans="1:179" s="19" customFormat="1" ht="17.25" customHeight="1">
      <c r="A378" s="2" t="s">
        <v>250</v>
      </c>
      <c r="B378" s="18" t="s">
        <v>251</v>
      </c>
      <c r="C378" s="42" t="s">
        <v>647</v>
      </c>
      <c r="D378" s="54">
        <v>4896</v>
      </c>
      <c r="E378" s="2" t="s">
        <v>250</v>
      </c>
    </row>
    <row r="379" spans="1:179" s="30" customFormat="1" ht="15" customHeight="1">
      <c r="A379" s="2" t="s">
        <v>263</v>
      </c>
      <c r="B379" s="18" t="s">
        <v>264</v>
      </c>
      <c r="C379" s="42" t="s">
        <v>374</v>
      </c>
      <c r="D379" s="54">
        <v>1632</v>
      </c>
      <c r="E379" s="2" t="s">
        <v>263</v>
      </c>
    </row>
    <row r="380" spans="1:179" s="19" customFormat="1" ht="19.5" customHeight="1">
      <c r="A380" s="2" t="s">
        <v>431</v>
      </c>
      <c r="B380" s="18" t="s">
        <v>163</v>
      </c>
      <c r="C380" s="42" t="s">
        <v>45</v>
      </c>
      <c r="D380" s="54">
        <v>25379.640000000003</v>
      </c>
      <c r="E380" s="2" t="s">
        <v>431</v>
      </c>
    </row>
    <row r="381" spans="1:179" ht="16.8">
      <c r="A381" s="2" t="s">
        <v>415</v>
      </c>
      <c r="B381" s="18" t="s">
        <v>416</v>
      </c>
      <c r="C381" s="42" t="s">
        <v>363</v>
      </c>
      <c r="D381" s="54">
        <v>142.80000000000001</v>
      </c>
      <c r="E381" s="2" t="s">
        <v>415</v>
      </c>
    </row>
    <row r="382" spans="1:179" s="19" customFormat="1" ht="16.8">
      <c r="A382" s="2" t="s">
        <v>417</v>
      </c>
      <c r="B382" s="18" t="s">
        <v>996</v>
      </c>
      <c r="C382" s="42" t="s">
        <v>45</v>
      </c>
      <c r="D382" s="54">
        <v>19788</v>
      </c>
      <c r="E382" s="2" t="s">
        <v>417</v>
      </c>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row>
    <row r="383" spans="1:179" s="19" customFormat="1" ht="18" customHeight="1">
      <c r="A383" s="2" t="s">
        <v>630</v>
      </c>
      <c r="B383" s="18" t="s">
        <v>309</v>
      </c>
      <c r="C383" s="42" t="s">
        <v>45</v>
      </c>
      <c r="D383" s="54">
        <v>12525.6</v>
      </c>
      <c r="E383" s="2" t="s">
        <v>630</v>
      </c>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row>
    <row r="384" spans="1:179" s="19" customFormat="1" ht="16.8">
      <c r="A384" s="2" t="s">
        <v>198</v>
      </c>
      <c r="B384" s="18" t="s">
        <v>306</v>
      </c>
      <c r="C384" s="42" t="s">
        <v>45</v>
      </c>
      <c r="D384" s="54">
        <v>11093.52</v>
      </c>
      <c r="E384" s="2" t="s">
        <v>198</v>
      </c>
    </row>
    <row r="385" spans="1:5" ht="16.5" customHeight="1">
      <c r="A385" s="2" t="s">
        <v>723</v>
      </c>
      <c r="B385" s="100" t="s">
        <v>724</v>
      </c>
      <c r="C385" s="2" t="s">
        <v>45</v>
      </c>
      <c r="D385" s="15">
        <v>12311.4</v>
      </c>
      <c r="E385" s="2" t="s">
        <v>723</v>
      </c>
    </row>
    <row r="386" spans="1:5" ht="16.5" customHeight="1">
      <c r="A386" s="2" t="s">
        <v>672</v>
      </c>
      <c r="B386" s="5" t="s">
        <v>673</v>
      </c>
      <c r="C386" s="52" t="s">
        <v>363</v>
      </c>
      <c r="D386" s="33">
        <v>263853.59999999998</v>
      </c>
      <c r="E386" s="2" t="s">
        <v>672</v>
      </c>
    </row>
    <row r="387" spans="1:5" ht="16.5" customHeight="1">
      <c r="A387" s="2" t="s">
        <v>674</v>
      </c>
      <c r="B387" s="5" t="s">
        <v>675</v>
      </c>
      <c r="C387" s="52" t="s">
        <v>363</v>
      </c>
      <c r="D387" s="33">
        <v>396372</v>
      </c>
      <c r="E387" s="2" t="s">
        <v>674</v>
      </c>
    </row>
    <row r="388" spans="1:5" ht="16.5" customHeight="1">
      <c r="A388" s="2" t="s">
        <v>676</v>
      </c>
      <c r="B388" s="5" t="s">
        <v>677</v>
      </c>
      <c r="C388" s="52" t="s">
        <v>363</v>
      </c>
      <c r="D388" s="33">
        <v>567936</v>
      </c>
      <c r="E388" s="2" t="s">
        <v>676</v>
      </c>
    </row>
    <row r="389" spans="1:5" ht="16.5" customHeight="1">
      <c r="A389" s="2" t="s">
        <v>678</v>
      </c>
      <c r="B389" s="5" t="s">
        <v>730</v>
      </c>
      <c r="C389" s="52" t="s">
        <v>363</v>
      </c>
      <c r="D389" s="33">
        <v>1579572</v>
      </c>
      <c r="E389" s="2" t="s">
        <v>678</v>
      </c>
    </row>
    <row r="390" spans="1:5" s="19" customFormat="1" ht="13.5" customHeight="1">
      <c r="A390" s="2" t="s">
        <v>731</v>
      </c>
      <c r="B390" s="5" t="s">
        <v>732</v>
      </c>
      <c r="C390" s="52" t="s">
        <v>363</v>
      </c>
      <c r="D390" s="33">
        <v>2129760</v>
      </c>
      <c r="E390" s="2" t="s">
        <v>731</v>
      </c>
    </row>
    <row r="391" spans="1:5" s="19" customFormat="1" ht="13.5" customHeight="1">
      <c r="A391" s="2" t="s">
        <v>86</v>
      </c>
      <c r="B391" s="100" t="s">
        <v>87</v>
      </c>
      <c r="C391" s="42" t="s">
        <v>363</v>
      </c>
      <c r="D391" s="33">
        <v>15300</v>
      </c>
      <c r="E391" s="2" t="s">
        <v>86</v>
      </c>
    </row>
    <row r="392" spans="1:5" s="19" customFormat="1" ht="13.5" customHeight="1">
      <c r="A392" s="2" t="s">
        <v>90</v>
      </c>
      <c r="B392" s="100" t="s">
        <v>88</v>
      </c>
      <c r="C392" s="42" t="s">
        <v>772</v>
      </c>
      <c r="D392" s="33">
        <v>714</v>
      </c>
      <c r="E392" s="2" t="s">
        <v>90</v>
      </c>
    </row>
    <row r="393" spans="1:5" ht="15.75" customHeight="1">
      <c r="A393" s="2" t="s">
        <v>726</v>
      </c>
      <c r="B393" s="100" t="s">
        <v>89</v>
      </c>
      <c r="C393" s="42" t="s">
        <v>94</v>
      </c>
      <c r="D393" s="33">
        <v>867</v>
      </c>
      <c r="E393" s="2" t="s">
        <v>726</v>
      </c>
    </row>
    <row r="394" spans="1:5" ht="16.8">
      <c r="A394" s="2" t="s">
        <v>960</v>
      </c>
      <c r="B394" s="3" t="s">
        <v>104</v>
      </c>
      <c r="C394" s="52" t="s">
        <v>363</v>
      </c>
      <c r="D394" s="33">
        <v>44319</v>
      </c>
      <c r="E394" s="2" t="s">
        <v>960</v>
      </c>
    </row>
    <row r="395" spans="1:5" ht="16.8">
      <c r="A395" s="2" t="s">
        <v>961</v>
      </c>
      <c r="B395" s="3" t="s">
        <v>106</v>
      </c>
      <c r="C395" s="52" t="s">
        <v>363</v>
      </c>
      <c r="D395" s="33">
        <v>41514</v>
      </c>
      <c r="E395" s="2" t="s">
        <v>961</v>
      </c>
    </row>
    <row r="396" spans="1:5" ht="16.8">
      <c r="A396" s="2" t="s">
        <v>964</v>
      </c>
      <c r="B396" s="3" t="s">
        <v>106</v>
      </c>
      <c r="C396" s="52" t="s">
        <v>363</v>
      </c>
      <c r="D396" s="33">
        <v>60486</v>
      </c>
      <c r="E396" s="2" t="s">
        <v>964</v>
      </c>
    </row>
    <row r="397" spans="1:5" ht="16.8">
      <c r="A397" s="2" t="s">
        <v>962</v>
      </c>
      <c r="B397" s="3" t="s">
        <v>105</v>
      </c>
      <c r="C397" s="52" t="s">
        <v>363</v>
      </c>
      <c r="D397" s="33">
        <v>28050.000000000004</v>
      </c>
      <c r="E397" s="2" t="s">
        <v>962</v>
      </c>
    </row>
    <row r="398" spans="1:5" ht="16.8">
      <c r="A398" s="2" t="s">
        <v>234</v>
      </c>
      <c r="B398" s="3" t="s">
        <v>235</v>
      </c>
      <c r="C398" s="52" t="s">
        <v>236</v>
      </c>
      <c r="D398" s="33">
        <v>27489.000000000004</v>
      </c>
      <c r="E398" s="2" t="s">
        <v>234</v>
      </c>
    </row>
    <row r="399" spans="1:5" ht="15" customHeight="1">
      <c r="A399" s="2" t="s">
        <v>963</v>
      </c>
      <c r="B399" s="3" t="s">
        <v>237</v>
      </c>
      <c r="C399" s="52" t="s">
        <v>238</v>
      </c>
      <c r="D399" s="33">
        <v>13045.800000000001</v>
      </c>
      <c r="E399" s="2" t="s">
        <v>963</v>
      </c>
    </row>
    <row r="400" spans="1:5" ht="15" customHeight="1">
      <c r="A400" s="2" t="s">
        <v>338</v>
      </c>
      <c r="B400" s="5" t="s">
        <v>339</v>
      </c>
      <c r="C400" s="52" t="s">
        <v>647</v>
      </c>
      <c r="D400" s="33">
        <v>248390.39999999999</v>
      </c>
      <c r="E400" s="2" t="s">
        <v>338</v>
      </c>
    </row>
    <row r="401" spans="1:5" ht="15" customHeight="1">
      <c r="A401" s="2" t="s">
        <v>477</v>
      </c>
      <c r="B401" s="5" t="s">
        <v>95</v>
      </c>
      <c r="C401" s="52" t="s">
        <v>238</v>
      </c>
      <c r="D401" s="33">
        <v>35700</v>
      </c>
      <c r="E401" s="2" t="s">
        <v>477</v>
      </c>
    </row>
    <row r="402" spans="1:5" s="23" customFormat="1" ht="17.25" customHeight="1">
      <c r="A402" s="2" t="s">
        <v>340</v>
      </c>
      <c r="B402" s="5" t="s">
        <v>341</v>
      </c>
      <c r="C402" s="52" t="s">
        <v>363</v>
      </c>
      <c r="D402" s="33">
        <v>6660.6</v>
      </c>
      <c r="E402" s="2" t="s">
        <v>340</v>
      </c>
    </row>
    <row r="403" spans="1:5" s="23" customFormat="1" ht="17.25" customHeight="1">
      <c r="A403" s="2" t="s">
        <v>243</v>
      </c>
      <c r="B403" s="5" t="s">
        <v>244</v>
      </c>
      <c r="C403" s="50" t="s">
        <v>363</v>
      </c>
      <c r="D403" s="33">
        <v>6528</v>
      </c>
      <c r="E403" s="2" t="s">
        <v>243</v>
      </c>
    </row>
    <row r="404" spans="1:5" s="23" customFormat="1" ht="17.25" customHeight="1">
      <c r="A404" s="2" t="s">
        <v>988</v>
      </c>
      <c r="B404" s="5" t="s">
        <v>989</v>
      </c>
      <c r="C404" s="50" t="s">
        <v>363</v>
      </c>
      <c r="D404" s="33">
        <v>185640</v>
      </c>
      <c r="E404" s="2" t="s">
        <v>988</v>
      </c>
    </row>
    <row r="405" spans="1:5" s="23" customFormat="1" ht="17.25" customHeight="1">
      <c r="A405" s="2" t="s">
        <v>245</v>
      </c>
      <c r="B405" s="5" t="s">
        <v>146</v>
      </c>
      <c r="C405" s="50" t="s">
        <v>363</v>
      </c>
      <c r="D405" s="33">
        <v>2958</v>
      </c>
      <c r="E405" s="2" t="s">
        <v>245</v>
      </c>
    </row>
    <row r="406" spans="1:5" s="23" customFormat="1" ht="17.25" customHeight="1">
      <c r="A406" s="2" t="s">
        <v>79</v>
      </c>
      <c r="B406" s="102" t="s">
        <v>332</v>
      </c>
      <c r="C406" s="6" t="s">
        <v>650</v>
      </c>
      <c r="D406" s="33">
        <v>2366.4</v>
      </c>
      <c r="E406" s="2" t="s">
        <v>79</v>
      </c>
    </row>
    <row r="407" spans="1:5" s="23" customFormat="1" ht="17.25" customHeight="1">
      <c r="A407" s="2" t="s">
        <v>147</v>
      </c>
      <c r="B407" s="18" t="s">
        <v>148</v>
      </c>
      <c r="C407" s="50" t="s">
        <v>363</v>
      </c>
      <c r="D407" s="33">
        <v>2042.0400000000002</v>
      </c>
      <c r="E407" s="2" t="s">
        <v>147</v>
      </c>
    </row>
    <row r="408" spans="1:5" ht="15" customHeight="1">
      <c r="A408" s="2" t="s">
        <v>149</v>
      </c>
      <c r="B408" s="5" t="s">
        <v>111</v>
      </c>
      <c r="C408" s="50" t="s">
        <v>363</v>
      </c>
      <c r="D408" s="33">
        <v>57283.200000000012</v>
      </c>
      <c r="E408" s="2" t="s">
        <v>149</v>
      </c>
    </row>
    <row r="409" spans="1:5" ht="15" customHeight="1">
      <c r="A409" s="2" t="s">
        <v>958</v>
      </c>
      <c r="B409" s="5" t="s">
        <v>959</v>
      </c>
      <c r="C409" s="52" t="s">
        <v>363</v>
      </c>
      <c r="D409" s="33">
        <v>51387.600000000006</v>
      </c>
      <c r="E409" s="2" t="s">
        <v>958</v>
      </c>
    </row>
    <row r="410" spans="1:5" ht="16.8">
      <c r="A410" s="2" t="s">
        <v>241</v>
      </c>
      <c r="B410" s="5" t="s">
        <v>242</v>
      </c>
      <c r="C410" s="52" t="s">
        <v>363</v>
      </c>
      <c r="D410" s="33">
        <v>2805</v>
      </c>
      <c r="E410" s="2" t="s">
        <v>241</v>
      </c>
    </row>
    <row r="411" spans="1:5" s="23" customFormat="1" ht="16.5" customHeight="1">
      <c r="A411" s="60" t="s">
        <v>561</v>
      </c>
      <c r="B411" s="3" t="s">
        <v>727</v>
      </c>
      <c r="C411" s="52" t="s">
        <v>363</v>
      </c>
      <c r="D411" s="33">
        <v>7140</v>
      </c>
      <c r="E411" s="471" t="s">
        <v>561</v>
      </c>
    </row>
    <row r="412" spans="1:5" s="23" customFormat="1" ht="16.5" customHeight="1">
      <c r="A412" s="2" t="s">
        <v>990</v>
      </c>
      <c r="B412" s="5" t="s">
        <v>991</v>
      </c>
      <c r="C412" s="50" t="s">
        <v>363</v>
      </c>
      <c r="D412" s="33">
        <v>141984</v>
      </c>
      <c r="E412" s="2" t="s">
        <v>990</v>
      </c>
    </row>
    <row r="413" spans="1:5" ht="16.5" customHeight="1">
      <c r="A413" s="2" t="s">
        <v>992</v>
      </c>
      <c r="B413" s="5" t="s">
        <v>993</v>
      </c>
      <c r="C413" s="50" t="s">
        <v>363</v>
      </c>
      <c r="D413" s="33">
        <v>826.2</v>
      </c>
      <c r="E413" s="2" t="s">
        <v>992</v>
      </c>
    </row>
    <row r="414" spans="1:5" s="19" customFormat="1" ht="16.8">
      <c r="A414" s="60" t="s">
        <v>277</v>
      </c>
      <c r="B414" s="3" t="s">
        <v>711</v>
      </c>
      <c r="C414" s="12" t="s">
        <v>363</v>
      </c>
      <c r="D414" s="15">
        <v>2342255.3250000002</v>
      </c>
      <c r="E414" s="471" t="s">
        <v>277</v>
      </c>
    </row>
    <row r="415" spans="1:5" ht="16.5" customHeight="1">
      <c r="A415" s="2" t="s">
        <v>239</v>
      </c>
      <c r="B415" s="18" t="s">
        <v>240</v>
      </c>
      <c r="C415" s="2" t="s">
        <v>363</v>
      </c>
      <c r="D415" s="15">
        <v>2550</v>
      </c>
      <c r="E415" s="2" t="s">
        <v>239</v>
      </c>
    </row>
    <row r="416" spans="1:5" ht="16.5" customHeight="1">
      <c r="A416" s="2" t="s">
        <v>522</v>
      </c>
      <c r="B416" s="5" t="s">
        <v>1001</v>
      </c>
      <c r="C416" s="12" t="s">
        <v>363</v>
      </c>
      <c r="D416" s="15">
        <v>108854.39999999999</v>
      </c>
      <c r="E416" s="2" t="s">
        <v>522</v>
      </c>
    </row>
    <row r="417" spans="1:5" ht="15" customHeight="1">
      <c r="A417" s="2" t="s">
        <v>33</v>
      </c>
      <c r="B417" s="5" t="s">
        <v>32</v>
      </c>
      <c r="C417" s="12" t="s">
        <v>363</v>
      </c>
      <c r="D417" s="15">
        <v>166831.20000000001</v>
      </c>
      <c r="E417" s="2" t="s">
        <v>33</v>
      </c>
    </row>
    <row r="418" spans="1:5" ht="16.8">
      <c r="A418" s="2" t="s">
        <v>1003</v>
      </c>
      <c r="B418" s="3" t="s">
        <v>1004</v>
      </c>
      <c r="C418" s="12" t="s">
        <v>647</v>
      </c>
      <c r="D418" s="7">
        <v>828.24</v>
      </c>
      <c r="E418" s="2" t="s">
        <v>1003</v>
      </c>
    </row>
    <row r="419" spans="1:5" ht="18" customHeight="1">
      <c r="A419" s="2" t="s">
        <v>1009</v>
      </c>
      <c r="B419" s="3" t="s">
        <v>1010</v>
      </c>
      <c r="C419" s="12" t="s">
        <v>772</v>
      </c>
      <c r="D419" s="15">
        <v>53550</v>
      </c>
      <c r="E419" s="2" t="s">
        <v>1009</v>
      </c>
    </row>
    <row r="420" spans="1:5" ht="16.8">
      <c r="A420" s="2" t="s">
        <v>1011</v>
      </c>
      <c r="B420" s="3" t="s">
        <v>1012</v>
      </c>
      <c r="C420" s="12" t="s">
        <v>1002</v>
      </c>
      <c r="D420" s="7">
        <v>13056</v>
      </c>
      <c r="E420" s="2" t="s">
        <v>1011</v>
      </c>
    </row>
    <row r="421" spans="1:5" s="19" customFormat="1" ht="16.8">
      <c r="A421" s="60" t="s">
        <v>437</v>
      </c>
      <c r="B421" s="3" t="s">
        <v>438</v>
      </c>
      <c r="C421" s="6" t="s">
        <v>650</v>
      </c>
      <c r="D421" s="71">
        <v>19584</v>
      </c>
      <c r="E421" s="471" t="s">
        <v>437</v>
      </c>
    </row>
    <row r="422" spans="1:5" s="19" customFormat="1" ht="19.5" customHeight="1">
      <c r="A422" s="2" t="s">
        <v>439</v>
      </c>
      <c r="B422" s="100" t="s">
        <v>440</v>
      </c>
      <c r="C422" s="2" t="s">
        <v>650</v>
      </c>
      <c r="D422" s="15">
        <v>8160</v>
      </c>
      <c r="E422" s="2" t="s">
        <v>439</v>
      </c>
    </row>
    <row r="423" spans="1:5" s="19" customFormat="1" ht="19.5" customHeight="1">
      <c r="A423" s="2" t="s">
        <v>382</v>
      </c>
      <c r="B423" s="100" t="s">
        <v>381</v>
      </c>
      <c r="C423" s="2" t="s">
        <v>647</v>
      </c>
      <c r="D423" s="15">
        <v>4080</v>
      </c>
      <c r="E423" s="2" t="s">
        <v>382</v>
      </c>
    </row>
    <row r="424" spans="1:5" s="19" customFormat="1" ht="19.5" customHeight="1">
      <c r="A424" s="13"/>
      <c r="B424" s="55"/>
      <c r="C424" s="13"/>
      <c r="D424" s="92">
        <v>0</v>
      </c>
      <c r="E424" s="13"/>
    </row>
    <row r="425" spans="1:5" s="19" customFormat="1" ht="16.8">
      <c r="A425" s="13"/>
      <c r="B425" s="22"/>
      <c r="C425" s="13"/>
      <c r="D425" s="54">
        <v>0</v>
      </c>
      <c r="E425" s="13"/>
    </row>
    <row r="426" spans="1:5" s="19" customFormat="1" ht="16.8">
      <c r="A426" s="1" t="s">
        <v>141</v>
      </c>
      <c r="B426" s="77" t="s">
        <v>304</v>
      </c>
      <c r="C426" s="49" t="s">
        <v>343</v>
      </c>
      <c r="D426" s="53" t="s">
        <v>344</v>
      </c>
      <c r="E426" s="1" t="s">
        <v>141</v>
      </c>
    </row>
    <row r="427" spans="1:5" s="19" customFormat="1" ht="19.5" customHeight="1">
      <c r="A427" s="2" t="s">
        <v>305</v>
      </c>
      <c r="B427" s="18" t="s">
        <v>998</v>
      </c>
      <c r="C427" s="42" t="s">
        <v>45</v>
      </c>
      <c r="D427" s="54">
        <v>3337.2700000000004</v>
      </c>
      <c r="E427" s="2" t="s">
        <v>305</v>
      </c>
    </row>
    <row r="428" spans="1:5" s="19" customFormat="1" ht="16.8">
      <c r="A428" s="2" t="s">
        <v>999</v>
      </c>
      <c r="B428" s="18" t="s">
        <v>197</v>
      </c>
      <c r="C428" s="42" t="s">
        <v>363</v>
      </c>
      <c r="D428" s="54">
        <v>9917.4600000000009</v>
      </c>
      <c r="E428" s="2" t="s">
        <v>999</v>
      </c>
    </row>
    <row r="429" spans="1:5" s="19" customFormat="1" ht="16.8">
      <c r="A429" s="42"/>
      <c r="B429" s="18" t="s">
        <v>156</v>
      </c>
      <c r="C429" s="42" t="s">
        <v>363</v>
      </c>
      <c r="D429" s="33">
        <v>14546.22</v>
      </c>
      <c r="E429" s="42"/>
    </row>
    <row r="430" spans="1:5" s="19" customFormat="1" ht="16.8">
      <c r="A430" s="42"/>
      <c r="B430" s="18" t="s">
        <v>157</v>
      </c>
      <c r="C430" s="42" t="s">
        <v>363</v>
      </c>
      <c r="D430" s="33">
        <v>29367.84</v>
      </c>
      <c r="E430" s="42"/>
    </row>
    <row r="431" spans="1:5" ht="16.8">
      <c r="A431" s="42" t="s">
        <v>85</v>
      </c>
      <c r="B431" s="18" t="s">
        <v>158</v>
      </c>
      <c r="C431" s="42" t="s">
        <v>363</v>
      </c>
      <c r="D431" s="33">
        <v>29851.32</v>
      </c>
      <c r="E431" s="42" t="s">
        <v>85</v>
      </c>
    </row>
    <row r="432" spans="1:5" ht="16.8">
      <c r="A432" s="2" t="s">
        <v>595</v>
      </c>
      <c r="B432" s="18" t="s">
        <v>159</v>
      </c>
      <c r="C432" s="42" t="s">
        <v>363</v>
      </c>
      <c r="D432" s="33">
        <v>16498.5</v>
      </c>
      <c r="E432" s="2" t="s">
        <v>595</v>
      </c>
    </row>
    <row r="433" spans="1:5" ht="16.8">
      <c r="A433" s="2" t="s">
        <v>168</v>
      </c>
      <c r="B433" s="18" t="s">
        <v>160</v>
      </c>
      <c r="C433" s="42" t="s">
        <v>363</v>
      </c>
      <c r="D433" s="33">
        <v>19082.16</v>
      </c>
      <c r="E433" s="2" t="s">
        <v>168</v>
      </c>
    </row>
    <row r="434" spans="1:5" ht="16.8">
      <c r="A434" s="2" t="s">
        <v>84</v>
      </c>
      <c r="B434" s="18" t="s">
        <v>161</v>
      </c>
      <c r="C434" s="42" t="s">
        <v>363</v>
      </c>
      <c r="D434" s="33">
        <v>44516.88</v>
      </c>
      <c r="E434" s="2" t="s">
        <v>84</v>
      </c>
    </row>
    <row r="435" spans="1:5" ht="16.8">
      <c r="A435" s="2" t="s">
        <v>169</v>
      </c>
      <c r="B435" s="18" t="s">
        <v>162</v>
      </c>
      <c r="C435" s="42" t="s">
        <v>363</v>
      </c>
      <c r="D435" s="93">
        <v>85473.96</v>
      </c>
      <c r="E435" s="2" t="s">
        <v>169</v>
      </c>
    </row>
    <row r="436" spans="1:5" ht="17.25" customHeight="1">
      <c r="A436" s="73"/>
      <c r="B436" s="80"/>
      <c r="C436" s="16"/>
      <c r="D436" s="54">
        <v>0</v>
      </c>
      <c r="E436" s="73"/>
    </row>
    <row r="437" spans="1:5" ht="17.25" customHeight="1">
      <c r="A437" s="1" t="s">
        <v>141</v>
      </c>
      <c r="B437" s="77" t="s">
        <v>325</v>
      </c>
      <c r="C437" s="49" t="s">
        <v>343</v>
      </c>
      <c r="D437" s="53" t="s">
        <v>344</v>
      </c>
      <c r="E437" s="1" t="s">
        <v>141</v>
      </c>
    </row>
    <row r="438" spans="1:5" ht="18.75" customHeight="1">
      <c r="A438" s="60" t="s">
        <v>625</v>
      </c>
      <c r="B438" s="3" t="s">
        <v>624</v>
      </c>
      <c r="C438" s="52" t="s">
        <v>363</v>
      </c>
      <c r="D438" s="54">
        <v>1952279.9999999998</v>
      </c>
      <c r="E438" s="471" t="s">
        <v>625</v>
      </c>
    </row>
    <row r="439" spans="1:5" ht="18.75" customHeight="1">
      <c r="A439" s="60" t="s">
        <v>687</v>
      </c>
      <c r="B439" s="3" t="s">
        <v>688</v>
      </c>
      <c r="C439" s="52" t="s">
        <v>363</v>
      </c>
      <c r="D439" s="237">
        <v>533600</v>
      </c>
      <c r="E439" s="471" t="s">
        <v>687</v>
      </c>
    </row>
    <row r="440" spans="1:5" ht="18.75" customHeight="1">
      <c r="A440" s="60" t="s">
        <v>942</v>
      </c>
      <c r="B440" s="3" t="s">
        <v>941</v>
      </c>
      <c r="C440" s="52" t="s">
        <v>363</v>
      </c>
      <c r="D440" s="237">
        <v>756320</v>
      </c>
      <c r="E440" s="471" t="s">
        <v>942</v>
      </c>
    </row>
    <row r="441" spans="1:5" ht="18.75" customHeight="1">
      <c r="A441" s="60" t="s">
        <v>326</v>
      </c>
      <c r="B441" s="3" t="s">
        <v>327</v>
      </c>
      <c r="C441" s="52" t="s">
        <v>363</v>
      </c>
      <c r="D441" s="54">
        <v>1366596</v>
      </c>
      <c r="E441" s="471" t="s">
        <v>326</v>
      </c>
    </row>
    <row r="442" spans="1:5" ht="18.75" customHeight="1">
      <c r="A442" s="60" t="s">
        <v>1019</v>
      </c>
      <c r="B442" s="3" t="s">
        <v>1020</v>
      </c>
      <c r="C442" s="52" t="s">
        <v>363</v>
      </c>
      <c r="D442" s="237">
        <f>476000*1.16</f>
        <v>552160</v>
      </c>
      <c r="E442" s="471" t="s">
        <v>1019</v>
      </c>
    </row>
    <row r="443" spans="1:5" ht="18.75" customHeight="1">
      <c r="A443" s="60" t="s">
        <v>701</v>
      </c>
      <c r="B443" s="3" t="s">
        <v>700</v>
      </c>
      <c r="C443" s="52" t="s">
        <v>363</v>
      </c>
      <c r="D443" s="237">
        <f>524000*1.16</f>
        <v>607840</v>
      </c>
      <c r="E443" s="471" t="s">
        <v>701</v>
      </c>
    </row>
    <row r="444" spans="1:5" ht="16.8">
      <c r="A444" s="60" t="s">
        <v>1021</v>
      </c>
      <c r="B444" s="3" t="s">
        <v>709</v>
      </c>
      <c r="C444" s="52" t="s">
        <v>363</v>
      </c>
      <c r="D444" s="237">
        <f>393000*1.16</f>
        <v>455879.99999999994</v>
      </c>
      <c r="E444" s="471" t="s">
        <v>1021</v>
      </c>
    </row>
    <row r="445" spans="1:5" ht="16.8">
      <c r="A445" s="60" t="s">
        <v>794</v>
      </c>
      <c r="B445" s="3" t="s">
        <v>793</v>
      </c>
      <c r="C445" s="52" t="s">
        <v>363</v>
      </c>
      <c r="D445" s="54">
        <v>45079.92</v>
      </c>
      <c r="E445" s="471" t="s">
        <v>794</v>
      </c>
    </row>
    <row r="446" spans="1:5" ht="16.8">
      <c r="A446" s="60" t="s">
        <v>703</v>
      </c>
      <c r="B446" s="3" t="s">
        <v>706</v>
      </c>
      <c r="C446" s="52" t="s">
        <v>363</v>
      </c>
      <c r="D446" s="54">
        <v>738000</v>
      </c>
      <c r="E446" s="471" t="s">
        <v>703</v>
      </c>
    </row>
    <row r="447" spans="1:5" ht="16.8">
      <c r="A447" s="60" t="s">
        <v>704</v>
      </c>
      <c r="B447" s="3" t="s">
        <v>707</v>
      </c>
      <c r="C447" s="52" t="s">
        <v>363</v>
      </c>
      <c r="D447" s="54">
        <v>432000</v>
      </c>
      <c r="E447" s="471" t="s">
        <v>704</v>
      </c>
    </row>
    <row r="448" spans="1:5" ht="16.8">
      <c r="A448" s="60" t="s">
        <v>705</v>
      </c>
      <c r="B448" s="3" t="s">
        <v>708</v>
      </c>
      <c r="C448" s="52" t="s">
        <v>363</v>
      </c>
      <c r="D448" s="54">
        <v>352000</v>
      </c>
      <c r="E448" s="471" t="s">
        <v>705</v>
      </c>
    </row>
    <row r="449" spans="1:5" ht="16.8">
      <c r="A449" s="60" t="s">
        <v>702</v>
      </c>
      <c r="B449" s="3" t="s">
        <v>1022</v>
      </c>
      <c r="C449" s="52" t="s">
        <v>363</v>
      </c>
      <c r="D449" s="54">
        <v>250000</v>
      </c>
      <c r="E449" s="471" t="s">
        <v>702</v>
      </c>
    </row>
    <row r="450" spans="1:5" ht="16.8">
      <c r="A450" s="60" t="s">
        <v>684</v>
      </c>
      <c r="B450" s="3" t="s">
        <v>685</v>
      </c>
      <c r="C450" s="52" t="s">
        <v>363</v>
      </c>
      <c r="D450" s="237">
        <f>576000*1.16</f>
        <v>668160</v>
      </c>
      <c r="E450" s="471" t="s">
        <v>684</v>
      </c>
    </row>
    <row r="451" spans="1:5" ht="16.8">
      <c r="A451" s="60" t="s">
        <v>684</v>
      </c>
      <c r="B451" s="3" t="s">
        <v>429</v>
      </c>
      <c r="C451" s="52" t="s">
        <v>363</v>
      </c>
      <c r="D451" s="54">
        <v>884000</v>
      </c>
      <c r="E451" s="471" t="s">
        <v>684</v>
      </c>
    </row>
    <row r="452" spans="1:5" ht="16.8">
      <c r="A452" s="60" t="s">
        <v>895</v>
      </c>
      <c r="B452" s="3" t="s">
        <v>893</v>
      </c>
      <c r="C452" s="52" t="s">
        <v>363</v>
      </c>
      <c r="D452" s="237">
        <v>1194800</v>
      </c>
      <c r="E452" s="471" t="s">
        <v>895</v>
      </c>
    </row>
    <row r="453" spans="1:5" ht="18.75" customHeight="1">
      <c r="A453" s="60" t="s">
        <v>687</v>
      </c>
      <c r="B453" s="3" t="s">
        <v>688</v>
      </c>
      <c r="C453" s="52" t="s">
        <v>363</v>
      </c>
      <c r="D453" s="237">
        <v>533600</v>
      </c>
      <c r="E453" s="471" t="s">
        <v>687</v>
      </c>
    </row>
    <row r="454" spans="1:5" ht="16.8">
      <c r="A454" s="60"/>
      <c r="B454" s="3"/>
      <c r="C454" s="52"/>
      <c r="D454" s="54">
        <v>0</v>
      </c>
      <c r="E454" s="471"/>
    </row>
    <row r="455" spans="1:5" ht="16.8">
      <c r="A455" s="60" t="s">
        <v>31</v>
      </c>
      <c r="B455" s="3" t="s">
        <v>30</v>
      </c>
      <c r="C455" s="52" t="s">
        <v>363</v>
      </c>
      <c r="D455" s="33">
        <v>17478.72</v>
      </c>
      <c r="E455" s="471" t="s">
        <v>31</v>
      </c>
    </row>
    <row r="456" spans="1:5" ht="16.8">
      <c r="A456" s="60" t="s">
        <v>480</v>
      </c>
      <c r="B456" s="3" t="s">
        <v>478</v>
      </c>
      <c r="C456" s="52" t="s">
        <v>363</v>
      </c>
      <c r="D456" s="33">
        <v>307632</v>
      </c>
      <c r="E456" s="471" t="s">
        <v>480</v>
      </c>
    </row>
    <row r="457" spans="1:5" ht="16.8">
      <c r="A457" s="60" t="s">
        <v>481</v>
      </c>
      <c r="B457" s="3" t="s">
        <v>479</v>
      </c>
      <c r="C457" s="52" t="s">
        <v>363</v>
      </c>
      <c r="D457" s="33">
        <v>272340</v>
      </c>
      <c r="E457" s="471" t="s">
        <v>481</v>
      </c>
    </row>
    <row r="458" spans="1:5" ht="16.8">
      <c r="A458" s="60" t="s">
        <v>1023</v>
      </c>
      <c r="B458" s="3" t="s">
        <v>1024</v>
      </c>
      <c r="C458" s="52" t="s">
        <v>772</v>
      </c>
      <c r="D458" s="54">
        <v>101220.94620000001</v>
      </c>
      <c r="E458" s="471" t="s">
        <v>1023</v>
      </c>
    </row>
    <row r="459" spans="1:5" ht="16.8">
      <c r="A459" s="73"/>
      <c r="B459" s="80"/>
      <c r="C459" s="16"/>
      <c r="D459" s="54">
        <v>0</v>
      </c>
      <c r="E459" s="73"/>
    </row>
    <row r="460" spans="1:5" ht="16.8">
      <c r="A460" s="60" t="s">
        <v>6</v>
      </c>
      <c r="B460" s="3" t="s">
        <v>7</v>
      </c>
      <c r="C460" s="52" t="s">
        <v>363</v>
      </c>
      <c r="D460" s="54">
        <v>2478804</v>
      </c>
      <c r="E460" s="471" t="s">
        <v>6</v>
      </c>
    </row>
    <row r="461" spans="1:5" ht="16.8">
      <c r="A461" s="73"/>
      <c r="B461" s="80"/>
      <c r="C461" s="16"/>
      <c r="D461" s="54">
        <v>0</v>
      </c>
      <c r="E461" s="73"/>
    </row>
    <row r="462" spans="1:5" ht="16.8">
      <c r="A462" s="1" t="s">
        <v>141</v>
      </c>
      <c r="B462" s="77" t="s">
        <v>1025</v>
      </c>
      <c r="C462" s="49" t="s">
        <v>343</v>
      </c>
      <c r="D462" s="53" t="s">
        <v>344</v>
      </c>
      <c r="E462" s="1" t="s">
        <v>141</v>
      </c>
    </row>
    <row r="463" spans="1:5" ht="16.8">
      <c r="A463" s="2" t="s">
        <v>699</v>
      </c>
      <c r="B463" s="3" t="s">
        <v>1026</v>
      </c>
      <c r="C463" s="51" t="s">
        <v>363</v>
      </c>
      <c r="D463" s="54">
        <v>1320000</v>
      </c>
      <c r="E463" s="2" t="s">
        <v>699</v>
      </c>
    </row>
    <row r="464" spans="1:5" ht="16.8">
      <c r="A464" s="2" t="s">
        <v>697</v>
      </c>
      <c r="B464" s="3" t="s">
        <v>698</v>
      </c>
      <c r="C464" s="51" t="s">
        <v>363</v>
      </c>
      <c r="D464" s="54">
        <f>1245000*1.16</f>
        <v>1444200</v>
      </c>
      <c r="E464" s="2" t="s">
        <v>697</v>
      </c>
    </row>
    <row r="465" spans="1:9" ht="16.8">
      <c r="A465" s="73"/>
      <c r="B465" s="80"/>
      <c r="C465" s="16"/>
      <c r="D465" s="54">
        <v>0</v>
      </c>
      <c r="E465" s="73"/>
    </row>
    <row r="466" spans="1:9" ht="16.8">
      <c r="A466" s="73"/>
      <c r="B466" s="80"/>
      <c r="C466" s="16"/>
      <c r="D466" s="54">
        <v>0</v>
      </c>
      <c r="E466" s="73"/>
    </row>
    <row r="467" spans="1:9" ht="16.8">
      <c r="A467" s="13"/>
      <c r="B467" s="76"/>
      <c r="C467" s="14"/>
      <c r="D467" s="54">
        <v>0</v>
      </c>
      <c r="E467" s="13"/>
    </row>
    <row r="468" spans="1:9" ht="16.8">
      <c r="A468" s="1" t="s">
        <v>141</v>
      </c>
      <c r="B468" s="74" t="s">
        <v>193</v>
      </c>
      <c r="C468" s="49" t="s">
        <v>343</v>
      </c>
      <c r="D468" s="53" t="s">
        <v>344</v>
      </c>
      <c r="E468" s="1" t="s">
        <v>141</v>
      </c>
    </row>
    <row r="469" spans="1:9" ht="16.8">
      <c r="A469" s="60" t="s">
        <v>733</v>
      </c>
      <c r="B469" s="3" t="s">
        <v>734</v>
      </c>
      <c r="C469" s="52" t="s">
        <v>735</v>
      </c>
      <c r="D469" s="54">
        <v>6803.4</v>
      </c>
      <c r="E469" s="471" t="s">
        <v>733</v>
      </c>
    </row>
    <row r="470" spans="1:9" ht="16.8">
      <c r="A470" s="60" t="s">
        <v>78</v>
      </c>
      <c r="B470" s="3" t="s">
        <v>77</v>
      </c>
      <c r="C470" s="52" t="s">
        <v>735</v>
      </c>
      <c r="D470" s="237">
        <v>64960</v>
      </c>
      <c r="E470" s="471" t="s">
        <v>78</v>
      </c>
    </row>
    <row r="471" spans="1:9" ht="18.75" customHeight="1">
      <c r="A471" s="60" t="s">
        <v>736</v>
      </c>
      <c r="B471" s="3" t="s">
        <v>737</v>
      </c>
      <c r="C471" s="52" t="s">
        <v>735</v>
      </c>
      <c r="D471" s="510">
        <v>75000</v>
      </c>
      <c r="E471" s="471" t="s">
        <v>736</v>
      </c>
    </row>
    <row r="472" spans="1:9" s="19" customFormat="1" ht="16.8">
      <c r="A472" s="2" t="s">
        <v>738</v>
      </c>
      <c r="B472" s="5" t="s">
        <v>739</v>
      </c>
      <c r="C472" s="50" t="s">
        <v>735</v>
      </c>
      <c r="D472" s="237">
        <v>7700</v>
      </c>
      <c r="E472" s="2" t="s">
        <v>738</v>
      </c>
    </row>
    <row r="473" spans="1:9" s="19" customFormat="1" ht="16.8">
      <c r="A473" s="2" t="s">
        <v>715</v>
      </c>
      <c r="B473" s="3" t="s">
        <v>716</v>
      </c>
      <c r="C473" s="52" t="s">
        <v>717</v>
      </c>
      <c r="D473" s="237">
        <v>25000</v>
      </c>
      <c r="E473" s="2" t="s">
        <v>715</v>
      </c>
    </row>
    <row r="474" spans="1:9" s="19" customFormat="1" ht="16.5" customHeight="1">
      <c r="A474" s="42" t="s">
        <v>74</v>
      </c>
      <c r="B474" s="100" t="s">
        <v>75</v>
      </c>
      <c r="C474" s="2" t="s">
        <v>717</v>
      </c>
      <c r="D474" s="15">
        <v>42595.200000000004</v>
      </c>
      <c r="E474" s="42" t="s">
        <v>74</v>
      </c>
    </row>
    <row r="475" spans="1:9" s="23" customFormat="1" ht="16.8">
      <c r="A475" s="2" t="s">
        <v>246</v>
      </c>
      <c r="B475" s="18" t="s">
        <v>247</v>
      </c>
      <c r="C475" s="42" t="s">
        <v>717</v>
      </c>
      <c r="D475" s="237">
        <v>29000</v>
      </c>
      <c r="E475" s="2" t="s">
        <v>246</v>
      </c>
    </row>
    <row r="476" spans="1:9" s="19" customFormat="1" ht="17.25" customHeight="1">
      <c r="A476" s="2" t="s">
        <v>258</v>
      </c>
      <c r="B476" s="18" t="s">
        <v>259</v>
      </c>
      <c r="C476" s="42" t="s">
        <v>717</v>
      </c>
      <c r="D476" s="237">
        <v>25520</v>
      </c>
      <c r="E476" s="2" t="s">
        <v>258</v>
      </c>
      <c r="I476" s="19">
        <f>+CORTACT</f>
        <v>35000</v>
      </c>
    </row>
    <row r="477" spans="1:9" s="19" customFormat="1" ht="16.8">
      <c r="A477" s="60" t="s">
        <v>490</v>
      </c>
      <c r="B477" s="40" t="s">
        <v>487</v>
      </c>
      <c r="C477" s="2" t="s">
        <v>735</v>
      </c>
      <c r="D477" s="32">
        <v>81600</v>
      </c>
      <c r="E477" s="471" t="s">
        <v>490</v>
      </c>
    </row>
    <row r="478" spans="1:9" s="19" customFormat="1" ht="16.8">
      <c r="A478" s="60" t="s">
        <v>485</v>
      </c>
      <c r="B478" s="40" t="s">
        <v>484</v>
      </c>
      <c r="C478" s="2" t="s">
        <v>735</v>
      </c>
      <c r="D478" s="32">
        <v>122400</v>
      </c>
      <c r="E478" s="471" t="s">
        <v>485</v>
      </c>
    </row>
    <row r="479" spans="1:9" s="19" customFormat="1" ht="16.8">
      <c r="A479" s="60" t="s">
        <v>486</v>
      </c>
      <c r="B479" s="40" t="s">
        <v>631</v>
      </c>
      <c r="C479" s="2" t="s">
        <v>735</v>
      </c>
      <c r="D479" s="32">
        <v>51000</v>
      </c>
      <c r="E479" s="471" t="s">
        <v>486</v>
      </c>
    </row>
    <row r="480" spans="1:9" s="19" customFormat="1" ht="16.8">
      <c r="A480" s="60" t="s">
        <v>491</v>
      </c>
      <c r="B480" s="40" t="s">
        <v>488</v>
      </c>
      <c r="C480" s="2" t="s">
        <v>735</v>
      </c>
      <c r="D480" s="32">
        <v>71400</v>
      </c>
      <c r="E480" s="471" t="s">
        <v>491</v>
      </c>
    </row>
    <row r="481" spans="1:179" s="19" customFormat="1" ht="16.8">
      <c r="A481" s="60" t="s">
        <v>873</v>
      </c>
      <c r="B481" s="40" t="s">
        <v>489</v>
      </c>
      <c r="C481" s="2" t="s">
        <v>735</v>
      </c>
      <c r="D481" s="239">
        <v>40000</v>
      </c>
      <c r="E481" s="471" t="s">
        <v>873</v>
      </c>
    </row>
    <row r="482" spans="1:179" s="19" customFormat="1" ht="16.8">
      <c r="A482" s="60" t="s">
        <v>875</v>
      </c>
      <c r="B482" s="40" t="s">
        <v>874</v>
      </c>
      <c r="C482" s="2" t="s">
        <v>735</v>
      </c>
      <c r="D482" s="32">
        <v>40800</v>
      </c>
      <c r="E482" s="471" t="s">
        <v>875</v>
      </c>
    </row>
    <row r="483" spans="1:179" ht="16.5" customHeight="1">
      <c r="A483" s="2" t="s">
        <v>248</v>
      </c>
      <c r="B483" s="18" t="s">
        <v>249</v>
      </c>
      <c r="C483" s="42" t="s">
        <v>363</v>
      </c>
      <c r="D483" s="54">
        <v>14280</v>
      </c>
      <c r="E483" s="2" t="s">
        <v>248</v>
      </c>
    </row>
    <row r="484" spans="1:179" s="19" customFormat="1" ht="18.75" customHeight="1">
      <c r="A484" s="2" t="s">
        <v>261</v>
      </c>
      <c r="B484" s="18" t="s">
        <v>262</v>
      </c>
      <c r="C484" s="42" t="s">
        <v>363</v>
      </c>
      <c r="D484" s="54">
        <v>3366</v>
      </c>
      <c r="E484" s="2" t="s">
        <v>261</v>
      </c>
    </row>
    <row r="485" spans="1:179" ht="17.25" customHeight="1">
      <c r="A485" s="2" t="s">
        <v>361</v>
      </c>
      <c r="B485" s="3" t="s">
        <v>362</v>
      </c>
      <c r="C485" s="51" t="s">
        <v>363</v>
      </c>
      <c r="D485" s="54">
        <v>8670</v>
      </c>
      <c r="E485" s="2" t="s">
        <v>361</v>
      </c>
    </row>
    <row r="486" spans="1:179" ht="17.25" customHeight="1">
      <c r="A486" s="2" t="s">
        <v>256</v>
      </c>
      <c r="B486" s="18" t="s">
        <v>257</v>
      </c>
      <c r="C486" s="42" t="s">
        <v>346</v>
      </c>
      <c r="D486" s="54">
        <v>236.64</v>
      </c>
      <c r="E486" s="2" t="s">
        <v>256</v>
      </c>
    </row>
    <row r="487" spans="1:179" ht="15" customHeight="1">
      <c r="A487" s="2" t="s">
        <v>654</v>
      </c>
      <c r="B487" s="3" t="s">
        <v>296</v>
      </c>
      <c r="C487" s="51" t="s">
        <v>650</v>
      </c>
      <c r="D487" s="54">
        <v>2550</v>
      </c>
      <c r="E487" s="2" t="s">
        <v>654</v>
      </c>
    </row>
    <row r="488" spans="1:179" ht="15.75" customHeight="1">
      <c r="A488" s="2" t="s">
        <v>669</v>
      </c>
      <c r="B488" s="5" t="s">
        <v>670</v>
      </c>
      <c r="C488" s="52" t="s">
        <v>45</v>
      </c>
      <c r="D488" s="54">
        <v>236.64</v>
      </c>
      <c r="E488" s="2" t="s">
        <v>669</v>
      </c>
    </row>
    <row r="489" spans="1:179" ht="15.75" customHeight="1">
      <c r="A489" s="2" t="s">
        <v>424</v>
      </c>
      <c r="B489" s="5" t="s">
        <v>409</v>
      </c>
      <c r="C489" s="12" t="s">
        <v>717</v>
      </c>
      <c r="D489" s="238">
        <v>20880</v>
      </c>
      <c r="E489" s="2" t="s">
        <v>424</v>
      </c>
    </row>
    <row r="490" spans="1:179" s="19" customFormat="1" ht="16.8">
      <c r="A490" s="2" t="s">
        <v>422</v>
      </c>
      <c r="B490" s="3" t="s">
        <v>423</v>
      </c>
      <c r="C490" s="12" t="s">
        <v>346</v>
      </c>
      <c r="D490" s="240">
        <v>650</v>
      </c>
      <c r="E490" s="2" t="s">
        <v>422</v>
      </c>
    </row>
    <row r="491" spans="1:179" s="19" customFormat="1" ht="16.8">
      <c r="A491" s="2" t="s">
        <v>164</v>
      </c>
      <c r="B491" s="78" t="s">
        <v>165</v>
      </c>
      <c r="C491" s="2" t="s">
        <v>717</v>
      </c>
      <c r="D491" s="15">
        <v>733.58399999999995</v>
      </c>
      <c r="E491" s="2" t="s">
        <v>164</v>
      </c>
    </row>
    <row r="492" spans="1:179" s="19" customFormat="1" ht="16.8">
      <c r="A492" s="42" t="s">
        <v>695</v>
      </c>
      <c r="B492" s="100" t="s">
        <v>71</v>
      </c>
      <c r="C492" s="2" t="s">
        <v>772</v>
      </c>
      <c r="D492" s="15">
        <v>17748</v>
      </c>
      <c r="E492" s="42" t="s">
        <v>695</v>
      </c>
    </row>
    <row r="493" spans="1:179" ht="17.25" customHeight="1">
      <c r="A493" s="2" t="s">
        <v>693</v>
      </c>
      <c r="B493" s="78" t="s">
        <v>694</v>
      </c>
      <c r="C493" s="2" t="s">
        <v>346</v>
      </c>
      <c r="D493" s="240">
        <v>28580</v>
      </c>
      <c r="E493" s="2" t="s">
        <v>693</v>
      </c>
    </row>
    <row r="494" spans="1:179" s="19" customFormat="1" ht="16.8">
      <c r="A494" s="2" t="s">
        <v>229</v>
      </c>
      <c r="B494" s="18" t="s">
        <v>230</v>
      </c>
      <c r="C494" s="2" t="s">
        <v>717</v>
      </c>
      <c r="D494" s="15">
        <v>34312.800000000003</v>
      </c>
      <c r="E494" s="2" t="s">
        <v>229</v>
      </c>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row>
    <row r="495" spans="1:179" ht="17.25" customHeight="1">
      <c r="A495" s="2" t="s">
        <v>132</v>
      </c>
      <c r="B495" s="5" t="s">
        <v>131</v>
      </c>
      <c r="C495" s="51" t="s">
        <v>363</v>
      </c>
      <c r="D495" s="15">
        <v>5916</v>
      </c>
      <c r="E495" s="2" t="s">
        <v>132</v>
      </c>
      <c r="H495" s="10">
        <v>1800000</v>
      </c>
    </row>
    <row r="496" spans="1:179" ht="17.25" customHeight="1">
      <c r="A496" s="2" t="s">
        <v>47</v>
      </c>
      <c r="B496" s="5" t="s">
        <v>46</v>
      </c>
      <c r="C496" s="51" t="s">
        <v>717</v>
      </c>
      <c r="D496" s="15">
        <v>132600</v>
      </c>
      <c r="E496" s="2" t="s">
        <v>47</v>
      </c>
    </row>
    <row r="497" spans="1:5" ht="17.25" customHeight="1">
      <c r="A497" s="2" t="s">
        <v>48</v>
      </c>
      <c r="B497" s="5" t="s">
        <v>49</v>
      </c>
      <c r="C497" s="51" t="s">
        <v>50</v>
      </c>
      <c r="D497" s="15">
        <v>132600</v>
      </c>
      <c r="E497" s="2" t="s">
        <v>48</v>
      </c>
    </row>
    <row r="498" spans="1:5" ht="17.25" customHeight="1">
      <c r="A498" s="2" t="s">
        <v>53</v>
      </c>
      <c r="B498" s="5" t="s">
        <v>51</v>
      </c>
      <c r="C498" s="51" t="s">
        <v>52</v>
      </c>
      <c r="D498" s="240">
        <v>55000</v>
      </c>
      <c r="E498" s="2" t="s">
        <v>53</v>
      </c>
    </row>
    <row r="499" spans="1:5" ht="17.25" customHeight="1">
      <c r="A499" s="2"/>
      <c r="B499" s="3"/>
      <c r="C499" s="51"/>
      <c r="D499" s="54">
        <v>0</v>
      </c>
      <c r="E499" s="2"/>
    </row>
    <row r="500" spans="1:5" ht="16.8">
      <c r="A500" s="2"/>
      <c r="B500" s="3"/>
      <c r="C500" s="51"/>
      <c r="D500" s="54">
        <v>0</v>
      </c>
      <c r="E500" s="2"/>
    </row>
    <row r="501" spans="1:5" ht="16.8">
      <c r="A501" s="2"/>
      <c r="B501" s="3"/>
      <c r="C501" s="51"/>
      <c r="D501" s="54">
        <v>0</v>
      </c>
      <c r="E501" s="2"/>
    </row>
    <row r="502" spans="1:5" ht="16.8">
      <c r="A502" s="2"/>
      <c r="B502" s="5"/>
      <c r="C502" s="50"/>
      <c r="D502" s="54">
        <v>0</v>
      </c>
      <c r="E502" s="2"/>
    </row>
    <row r="503" spans="1:5" ht="16.8">
      <c r="A503" s="1" t="s">
        <v>141</v>
      </c>
      <c r="B503" s="74" t="s">
        <v>718</v>
      </c>
      <c r="C503" s="49" t="s">
        <v>343</v>
      </c>
      <c r="D503" s="53" t="s">
        <v>344</v>
      </c>
      <c r="E503" s="1" t="s">
        <v>141</v>
      </c>
    </row>
    <row r="504" spans="1:5" ht="16.8">
      <c r="A504" s="2" t="s">
        <v>719</v>
      </c>
      <c r="B504" s="3" t="s">
        <v>666</v>
      </c>
      <c r="C504" s="50" t="s">
        <v>356</v>
      </c>
      <c r="D504" s="237">
        <v>22000</v>
      </c>
      <c r="E504" s="2" t="s">
        <v>719</v>
      </c>
    </row>
    <row r="505" spans="1:5" ht="16.8">
      <c r="A505" s="2" t="s">
        <v>721</v>
      </c>
      <c r="B505" s="5" t="s">
        <v>463</v>
      </c>
      <c r="C505" s="50" t="s">
        <v>356</v>
      </c>
      <c r="D505" s="237">
        <v>28000</v>
      </c>
      <c r="E505" s="2" t="s">
        <v>721</v>
      </c>
    </row>
    <row r="506" spans="1:5" ht="16.8">
      <c r="A506" s="2" t="s">
        <v>464</v>
      </c>
      <c r="B506" s="3" t="s">
        <v>582</v>
      </c>
      <c r="C506" s="52" t="s">
        <v>583</v>
      </c>
      <c r="D506" s="54">
        <v>2550</v>
      </c>
      <c r="E506" s="2" t="s">
        <v>464</v>
      </c>
    </row>
    <row r="507" spans="1:5" ht="16.5" customHeight="1">
      <c r="A507" s="2" t="s">
        <v>584</v>
      </c>
      <c r="B507" s="5" t="s">
        <v>134</v>
      </c>
      <c r="C507" s="52" t="s">
        <v>583</v>
      </c>
      <c r="D507" s="54">
        <v>1200000</v>
      </c>
      <c r="E507" s="2" t="s">
        <v>584</v>
      </c>
    </row>
    <row r="508" spans="1:5" ht="16.5" customHeight="1">
      <c r="A508" s="2"/>
      <c r="B508" s="5" t="s">
        <v>1000</v>
      </c>
      <c r="C508" s="52"/>
      <c r="D508" s="54">
        <v>0</v>
      </c>
      <c r="E508" s="2"/>
    </row>
    <row r="509" spans="1:5" ht="16.5" customHeight="1">
      <c r="A509" s="2"/>
      <c r="B509" s="5"/>
      <c r="C509" s="52"/>
      <c r="D509" s="54">
        <v>0</v>
      </c>
      <c r="E509" s="2"/>
    </row>
    <row r="510" spans="1:5" ht="16.5" customHeight="1">
      <c r="A510" s="2"/>
      <c r="B510" s="5"/>
      <c r="C510" s="52"/>
      <c r="D510" s="54">
        <v>0</v>
      </c>
      <c r="E510" s="2"/>
    </row>
    <row r="511" spans="1:5" ht="16.5" customHeight="1">
      <c r="A511" s="2"/>
      <c r="B511" s="5"/>
      <c r="C511" s="52"/>
      <c r="D511" s="54">
        <v>0</v>
      </c>
      <c r="E511" s="2"/>
    </row>
    <row r="512" spans="1:5" ht="16.5" customHeight="1">
      <c r="A512" s="2"/>
      <c r="B512" s="5"/>
      <c r="C512" s="52"/>
      <c r="D512" s="54">
        <v>0</v>
      </c>
      <c r="E512" s="2"/>
    </row>
    <row r="513" spans="1:5" ht="16.8">
      <c r="A513" s="60" t="s">
        <v>135</v>
      </c>
      <c r="B513" s="3" t="s">
        <v>136</v>
      </c>
      <c r="C513" s="52" t="s">
        <v>356</v>
      </c>
      <c r="D513" s="237">
        <v>15000</v>
      </c>
      <c r="E513" s="471" t="s">
        <v>135</v>
      </c>
    </row>
    <row r="514" spans="1:5" ht="16.8">
      <c r="A514" s="2" t="s">
        <v>137</v>
      </c>
      <c r="B514" s="3" t="s">
        <v>138</v>
      </c>
      <c r="C514" s="52" t="s">
        <v>356</v>
      </c>
      <c r="D514" s="237">
        <v>30600</v>
      </c>
      <c r="E514" s="2" t="s">
        <v>137</v>
      </c>
    </row>
    <row r="515" spans="1:5">
      <c r="D515" s="59">
        <v>0</v>
      </c>
    </row>
    <row r="516" spans="1:5" ht="16.8">
      <c r="A516" s="1" t="s">
        <v>141</v>
      </c>
      <c r="B516" s="74" t="s">
        <v>377</v>
      </c>
      <c r="C516" s="49" t="s">
        <v>343</v>
      </c>
      <c r="D516" s="53" t="s">
        <v>344</v>
      </c>
      <c r="E516" s="1" t="s">
        <v>141</v>
      </c>
    </row>
    <row r="517" spans="1:5" ht="17.25" customHeight="1">
      <c r="A517" s="104" t="s">
        <v>380</v>
      </c>
      <c r="B517" s="99" t="s">
        <v>378</v>
      </c>
      <c r="C517" s="96" t="s">
        <v>238</v>
      </c>
      <c r="D517" s="241">
        <v>8800</v>
      </c>
      <c r="E517" s="104" t="s">
        <v>380</v>
      </c>
    </row>
    <row r="518" spans="1:5" ht="17.25" customHeight="1">
      <c r="A518" s="104" t="s">
        <v>379</v>
      </c>
      <c r="B518" s="99" t="s">
        <v>379</v>
      </c>
      <c r="C518" s="96" t="s">
        <v>238</v>
      </c>
      <c r="D518" s="59">
        <v>6581</v>
      </c>
      <c r="E518" s="104" t="s">
        <v>379</v>
      </c>
    </row>
    <row r="519" spans="1:5" ht="17.25" customHeight="1">
      <c r="D519" s="94">
        <v>0</v>
      </c>
    </row>
    <row r="520" spans="1:5" ht="15" customHeight="1">
      <c r="A520" s="2" t="s">
        <v>645</v>
      </c>
      <c r="B520" s="3" t="s">
        <v>646</v>
      </c>
      <c r="C520" s="51" t="s">
        <v>647</v>
      </c>
      <c r="D520" s="54">
        <v>52841.712</v>
      </c>
      <c r="E520" s="2" t="s">
        <v>645</v>
      </c>
    </row>
    <row r="521" spans="1:5" ht="15" customHeight="1">
      <c r="A521" s="42" t="s">
        <v>72</v>
      </c>
      <c r="B521" s="3" t="s">
        <v>72</v>
      </c>
      <c r="C521" s="52" t="s">
        <v>73</v>
      </c>
      <c r="D521" s="15">
        <v>10.199999999999999</v>
      </c>
      <c r="E521" s="42" t="s">
        <v>72</v>
      </c>
    </row>
    <row r="522" spans="1:5" ht="17.25" customHeight="1">
      <c r="A522" s="42" t="s">
        <v>9</v>
      </c>
      <c r="B522" s="3" t="s">
        <v>10</v>
      </c>
      <c r="C522" s="52" t="s">
        <v>647</v>
      </c>
      <c r="D522" s="15">
        <v>8171</v>
      </c>
      <c r="E522" s="42" t="s">
        <v>9</v>
      </c>
    </row>
    <row r="523" spans="1:5" ht="16.8">
      <c r="A523" s="2" t="s">
        <v>648</v>
      </c>
      <c r="B523" s="3" t="s">
        <v>649</v>
      </c>
      <c r="C523" s="51" t="s">
        <v>650</v>
      </c>
      <c r="D523" s="54">
        <v>2843.76</v>
      </c>
      <c r="E523" s="2" t="s">
        <v>648</v>
      </c>
    </row>
    <row r="524" spans="1:5" ht="16.8">
      <c r="A524" s="2" t="s">
        <v>651</v>
      </c>
      <c r="B524" s="3" t="s">
        <v>652</v>
      </c>
      <c r="C524" s="51" t="s">
        <v>650</v>
      </c>
      <c r="D524" s="54">
        <v>255</v>
      </c>
      <c r="E524" s="2" t="s">
        <v>651</v>
      </c>
    </row>
    <row r="526" spans="1:5" ht="16.8">
      <c r="B526" s="80" t="s">
        <v>894</v>
      </c>
      <c r="C526" s="95" t="s">
        <v>133</v>
      </c>
      <c r="D526" s="88">
        <f>1392000*1.16</f>
        <v>1614720</v>
      </c>
    </row>
    <row r="527" spans="1:5" ht="16.8">
      <c r="B527" s="80" t="s">
        <v>1075</v>
      </c>
      <c r="C527" s="95" t="s">
        <v>133</v>
      </c>
      <c r="D527" s="88">
        <v>1752513</v>
      </c>
    </row>
    <row r="528" spans="1:5" ht="16.8">
      <c r="B528" s="80" t="s">
        <v>1076</v>
      </c>
      <c r="C528" s="95" t="s">
        <v>133</v>
      </c>
      <c r="D528" s="88">
        <v>3389537</v>
      </c>
    </row>
    <row r="530" spans="1:2" ht="18" customHeight="1"/>
    <row r="531" spans="1:2" ht="18" customHeight="1"/>
    <row r="532" spans="1:2" ht="18" customHeight="1"/>
    <row r="533" spans="1:2" ht="18" customHeight="1"/>
    <row r="534" spans="1:2" ht="18" customHeight="1">
      <c r="A534" s="1116" t="s">
        <v>4332</v>
      </c>
      <c r="B534" s="932" t="s">
        <v>4331</v>
      </c>
    </row>
    <row r="535" spans="1:2" ht="18" customHeight="1">
      <c r="A535" s="932"/>
      <c r="B535" s="932" t="s">
        <v>4330</v>
      </c>
    </row>
    <row r="536" spans="1:2" ht="18" customHeight="1">
      <c r="A536" s="932"/>
      <c r="B536" s="932"/>
    </row>
    <row r="537" spans="1:2" ht="19.2">
      <c r="A537" s="932"/>
      <c r="B537" s="932"/>
    </row>
    <row r="538" spans="1:2" ht="19.2">
      <c r="A538" s="932"/>
      <c r="B538" s="932"/>
    </row>
    <row r="539" spans="1:2" ht="19.2">
      <c r="A539" s="933"/>
      <c r="B539" s="933"/>
    </row>
    <row r="540" spans="1:2" ht="19.2">
      <c r="A540" s="1117" t="s">
        <v>4333</v>
      </c>
      <c r="B540" s="933" t="s">
        <v>4334</v>
      </c>
    </row>
    <row r="541" spans="1:2" ht="19.2">
      <c r="A541" s="933"/>
      <c r="B541" s="933" t="s">
        <v>4335</v>
      </c>
    </row>
    <row r="542" spans="1:2" ht="19.2">
      <c r="A542" s="933"/>
      <c r="B542" s="933"/>
    </row>
    <row r="543" spans="1:2" ht="19.2">
      <c r="A543" s="933"/>
      <c r="B543" s="933"/>
    </row>
    <row r="544" spans="1:2" ht="19.2">
      <c r="A544" s="933"/>
      <c r="B544" s="933"/>
    </row>
    <row r="545" spans="1:2" ht="19.2">
      <c r="A545" s="933"/>
      <c r="B545" s="933"/>
    </row>
    <row r="546" spans="1:2" ht="19.2">
      <c r="A546" s="933" t="s">
        <v>4336</v>
      </c>
      <c r="B546" s="933" t="s">
        <v>4338</v>
      </c>
    </row>
    <row r="547" spans="1:2" ht="19.2">
      <c r="A547" s="933"/>
      <c r="B547" s="933" t="s">
        <v>4337</v>
      </c>
    </row>
    <row r="4841" hidden="1"/>
    <row r="4842" hidden="1"/>
    <row r="4843" hidden="1"/>
    <row r="4844" hidden="1"/>
    <row r="4845" hidden="1"/>
    <row r="4846" hidden="1"/>
    <row r="4847" hidden="1"/>
    <row r="4848" hidden="1"/>
    <row r="4849" hidden="1"/>
    <row r="4850" hidden="1"/>
  </sheetData>
  <mergeCells count="6">
    <mergeCell ref="A3:A5"/>
    <mergeCell ref="B3:G3"/>
    <mergeCell ref="H3:I5"/>
    <mergeCell ref="B4:G4"/>
    <mergeCell ref="B5:C5"/>
    <mergeCell ref="D5:G5"/>
  </mergeCells>
  <phoneticPr fontId="0" type="noConversion"/>
  <printOptions horizontalCentered="1"/>
  <pageMargins left="0.39370078740157483" right="0.39370078740157483" top="0.98425196850393704" bottom="0.98425196850393704" header="0.78740157480314965" footer="0.78740157480314965"/>
  <pageSetup scale="91" orientation="portrait" horizontalDpi="300" verticalDpi="300" r:id="rId1"/>
  <headerFooter alignWithMargins="0">
    <oddHeader>&amp;CBASE DE PRECIOS DE MATERIALES</oddHeader>
  </headerFooter>
  <rowBreaks count="1" manualBreakCount="1">
    <brk id="465" max="3"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U4767"/>
  <sheetViews>
    <sheetView view="pageBreakPreview" topLeftCell="A151" zoomScale="60" zoomScaleNormal="110" workbookViewId="0">
      <selection activeCell="E60" sqref="E60"/>
    </sheetView>
  </sheetViews>
  <sheetFormatPr baseColWidth="10" defaultColWidth="11.44140625" defaultRowHeight="13.2"/>
  <cols>
    <col min="1" max="1" width="15.109375" style="492" customWidth="1"/>
    <col min="2" max="2" width="43.5546875" style="492" bestFit="1" customWidth="1"/>
    <col min="3" max="3" width="11.5546875" style="492" bestFit="1" customWidth="1"/>
    <col min="4" max="4" width="5.88671875" style="492" bestFit="1" customWidth="1"/>
    <col min="5" max="5" width="11.5546875" style="730" bestFit="1" customWidth="1"/>
    <col min="6" max="6" width="11" style="730" customWidth="1"/>
    <col min="7" max="7" width="10" style="730" bestFit="1" customWidth="1"/>
    <col min="8" max="8" width="10.109375" style="730" bestFit="1" customWidth="1"/>
    <col min="9" max="9" width="21" style="730" customWidth="1"/>
    <col min="10" max="10" width="11.44140625" style="492" customWidth="1"/>
    <col min="11" max="16384" width="11.44140625" style="492"/>
  </cols>
  <sheetData>
    <row r="1" spans="1:19" ht="12.75" customHeight="1">
      <c r="A1" s="946"/>
      <c r="B1" s="947"/>
      <c r="C1" s="947"/>
      <c r="D1" s="947"/>
      <c r="E1" s="947"/>
      <c r="F1" s="948"/>
      <c r="G1" s="492"/>
      <c r="H1" s="492"/>
      <c r="I1" s="492"/>
    </row>
    <row r="2" spans="1:19" ht="51" customHeight="1">
      <c r="A2" s="3317"/>
      <c r="B2" s="3322" t="s">
        <v>6313</v>
      </c>
      <c r="C2" s="3323"/>
      <c r="D2" s="3323"/>
      <c r="E2" s="3323"/>
      <c r="F2" s="3323"/>
      <c r="G2" s="3323"/>
      <c r="H2" s="3324"/>
      <c r="I2" s="3331"/>
    </row>
    <row r="3" spans="1:19" ht="19.2">
      <c r="A3" s="3317"/>
      <c r="B3" s="3325" t="s">
        <v>4260</v>
      </c>
      <c r="C3" s="3326"/>
      <c r="D3" s="3326"/>
      <c r="E3" s="3326"/>
      <c r="F3" s="3326"/>
      <c r="G3" s="3326"/>
      <c r="H3" s="3327"/>
      <c r="I3" s="3332"/>
    </row>
    <row r="4" spans="1:19" ht="19.2">
      <c r="A4" s="3317"/>
      <c r="B4" s="3321" t="s">
        <v>3859</v>
      </c>
      <c r="C4" s="3321"/>
      <c r="D4" s="3328" t="s">
        <v>8577</v>
      </c>
      <c r="E4" s="3329"/>
      <c r="F4" s="3329"/>
      <c r="G4" s="3329"/>
      <c r="H4" s="3330"/>
      <c r="I4" s="3333"/>
    </row>
    <row r="5" spans="1:19" ht="16.8">
      <c r="A5" s="178"/>
      <c r="B5" s="578"/>
      <c r="C5" s="666"/>
      <c r="D5" s="17"/>
      <c r="E5" s="581"/>
      <c r="F5" s="581"/>
      <c r="G5" s="581"/>
      <c r="H5" s="581"/>
      <c r="I5" s="581"/>
    </row>
    <row r="6" spans="1:19" s="17" customFormat="1" ht="10.5" customHeight="1" thickBot="1">
      <c r="A6" s="31"/>
      <c r="B6" s="109"/>
      <c r="C6" s="109"/>
      <c r="D6" s="109"/>
      <c r="E6" s="109"/>
      <c r="F6" s="109"/>
      <c r="G6" s="109"/>
      <c r="H6" s="31"/>
      <c r="I6" s="31"/>
    </row>
    <row r="7" spans="1:19" s="17" customFormat="1" ht="21" customHeight="1" thickBot="1">
      <c r="A7" s="3318" t="s">
        <v>853</v>
      </c>
      <c r="B7" s="3319"/>
      <c r="C7" s="3319"/>
      <c r="D7" s="3319"/>
      <c r="E7" s="3319"/>
      <c r="F7" s="3319"/>
      <c r="G7" s="3319"/>
      <c r="H7" s="3319"/>
      <c r="I7" s="3320"/>
    </row>
    <row r="8" spans="1:19" s="17" customFormat="1" ht="11.25" customHeight="1" thickBot="1">
      <c r="A8" s="31"/>
      <c r="B8" s="109"/>
      <c r="C8" s="109"/>
      <c r="D8" s="109"/>
      <c r="E8" s="109"/>
      <c r="F8" s="109"/>
      <c r="G8" s="109"/>
      <c r="H8" s="31"/>
      <c r="I8" s="31"/>
    </row>
    <row r="9" spans="1:19" ht="17.399999999999999" thickBot="1">
      <c r="A9" s="3314" t="s">
        <v>852</v>
      </c>
      <c r="B9" s="3315"/>
      <c r="C9" s="3315"/>
      <c r="D9" s="3315"/>
      <c r="E9" s="3315"/>
      <c r="F9" s="3315"/>
      <c r="G9" s="3315"/>
      <c r="H9" s="3315"/>
      <c r="I9" s="3316"/>
      <c r="J9" s="61"/>
      <c r="K9" s="61"/>
      <c r="L9" s="61"/>
      <c r="M9" s="61"/>
      <c r="N9" s="61"/>
    </row>
    <row r="10" spans="1:19" ht="11.25" customHeight="1">
      <c r="A10" s="711"/>
      <c r="B10" s="727"/>
      <c r="C10" s="728"/>
      <c r="J10" s="61"/>
      <c r="K10" s="61"/>
      <c r="L10" s="61"/>
      <c r="M10" s="61"/>
      <c r="N10" s="61"/>
    </row>
    <row r="11" spans="1:19" ht="15" customHeight="1">
      <c r="A11" s="26"/>
      <c r="B11" s="3313" t="s">
        <v>278</v>
      </c>
      <c r="C11" s="3313"/>
      <c r="D11" s="3313"/>
      <c r="E11" s="3313"/>
      <c r="F11" s="3313"/>
      <c r="G11" s="3313"/>
      <c r="H11" s="3313"/>
      <c r="I11" s="3313"/>
      <c r="J11" s="61"/>
      <c r="K11" s="61"/>
      <c r="L11" s="61"/>
      <c r="M11" s="61"/>
      <c r="N11" s="61"/>
      <c r="O11" s="61"/>
      <c r="P11" s="61"/>
      <c r="Q11" s="61"/>
      <c r="R11" s="61"/>
      <c r="S11" s="61"/>
    </row>
    <row r="12" spans="1:19" ht="15" customHeight="1">
      <c r="A12" s="45"/>
      <c r="B12" s="24"/>
      <c r="C12" s="9" t="s">
        <v>140</v>
      </c>
      <c r="D12" s="9" t="s">
        <v>343</v>
      </c>
      <c r="E12" s="57" t="s">
        <v>344</v>
      </c>
      <c r="F12" s="57" t="s">
        <v>482</v>
      </c>
      <c r="G12" s="57" t="s">
        <v>483</v>
      </c>
      <c r="H12" s="57" t="s">
        <v>170</v>
      </c>
      <c r="I12" s="57" t="s">
        <v>171</v>
      </c>
      <c r="J12" s="61"/>
      <c r="K12" s="61"/>
      <c r="L12" s="61"/>
      <c r="M12" s="61"/>
      <c r="N12" s="61"/>
      <c r="O12" s="61"/>
      <c r="P12" s="61"/>
      <c r="Q12" s="61"/>
      <c r="R12" s="61"/>
      <c r="S12" s="61"/>
    </row>
    <row r="13" spans="1:19" ht="15" customHeight="1">
      <c r="A13" s="45" t="s">
        <v>715</v>
      </c>
      <c r="B13" s="8" t="s">
        <v>6419</v>
      </c>
      <c r="C13" s="27">
        <f>1/4</f>
        <v>0.25</v>
      </c>
      <c r="D13" s="4" t="s">
        <v>717</v>
      </c>
      <c r="E13" s="57">
        <f>+CONM1</f>
        <v>47000</v>
      </c>
      <c r="F13" s="57">
        <f>+E13*C13</f>
        <v>11750</v>
      </c>
      <c r="G13" s="57"/>
      <c r="H13" s="57"/>
      <c r="I13" s="57"/>
      <c r="J13" s="61"/>
      <c r="K13" s="61"/>
      <c r="L13" s="61"/>
      <c r="M13" s="61"/>
      <c r="N13" s="61"/>
      <c r="O13" s="61"/>
      <c r="P13" s="61"/>
      <c r="Q13" s="61"/>
      <c r="R13" s="61"/>
      <c r="S13" s="61"/>
    </row>
    <row r="14" spans="1:19" ht="15" customHeight="1">
      <c r="A14" s="45" t="s">
        <v>172</v>
      </c>
      <c r="B14" s="8" t="s">
        <v>189</v>
      </c>
      <c r="C14" s="27">
        <v>1</v>
      </c>
      <c r="D14" s="4" t="s">
        <v>583</v>
      </c>
      <c r="E14" s="57">
        <f>+H22*0.05</f>
        <v>3332.3594869000003</v>
      </c>
      <c r="F14" s="57"/>
      <c r="G14" s="57"/>
      <c r="H14" s="57"/>
      <c r="I14" s="57">
        <f>+E14*C14</f>
        <v>3332.3594869000003</v>
      </c>
      <c r="J14" s="61"/>
      <c r="K14" s="61"/>
      <c r="L14" s="61"/>
      <c r="M14" s="61"/>
      <c r="N14" s="61"/>
      <c r="O14" s="61"/>
      <c r="P14" s="61"/>
      <c r="Q14" s="61"/>
      <c r="R14" s="61"/>
      <c r="S14" s="61"/>
    </row>
    <row r="15" spans="1:19" ht="15" customHeight="1">
      <c r="A15" s="45" t="s">
        <v>366</v>
      </c>
      <c r="B15" s="8" t="s">
        <v>367</v>
      </c>
      <c r="C15" s="27">
        <f>0.9*1.05</f>
        <v>0.94500000000000006</v>
      </c>
      <c r="D15" s="4" t="s">
        <v>356</v>
      </c>
      <c r="E15" s="57">
        <f>+TRITU</f>
        <v>85000</v>
      </c>
      <c r="F15" s="57"/>
      <c r="G15" s="57">
        <f>+E15*C15</f>
        <v>80325</v>
      </c>
      <c r="H15" s="57"/>
      <c r="I15" s="57"/>
      <c r="J15" s="61"/>
      <c r="K15" s="61"/>
      <c r="L15" s="61"/>
      <c r="M15" s="61"/>
      <c r="N15" s="61"/>
      <c r="O15" s="61"/>
      <c r="P15" s="61"/>
      <c r="Q15" s="61"/>
      <c r="R15" s="61"/>
      <c r="S15" s="61"/>
    </row>
    <row r="16" spans="1:19" ht="15" customHeight="1">
      <c r="A16" s="45" t="s">
        <v>364</v>
      </c>
      <c r="B16" s="8" t="s">
        <v>6415</v>
      </c>
      <c r="C16" s="27">
        <f>0.555*1.05</f>
        <v>0.5827500000000001</v>
      </c>
      <c r="D16" s="4" t="s">
        <v>356</v>
      </c>
      <c r="E16" s="57">
        <f>+ARENP</f>
        <v>70500</v>
      </c>
      <c r="F16" s="57"/>
      <c r="G16" s="57">
        <f>+E16*C16</f>
        <v>41083.875000000007</v>
      </c>
      <c r="H16" s="57"/>
      <c r="I16" s="57"/>
      <c r="J16" s="61"/>
      <c r="K16" s="61"/>
      <c r="L16" s="61"/>
      <c r="M16" s="61"/>
      <c r="N16" s="61"/>
      <c r="O16" s="61"/>
      <c r="P16" s="61"/>
      <c r="Q16" s="61"/>
      <c r="R16" s="61"/>
      <c r="S16" s="61"/>
    </row>
    <row r="17" spans="1:70" ht="15" customHeight="1">
      <c r="A17" s="45" t="s">
        <v>368</v>
      </c>
      <c r="B17" s="8" t="s">
        <v>892</v>
      </c>
      <c r="C17" s="27">
        <v>3.25</v>
      </c>
      <c r="D17" s="4" t="s">
        <v>370</v>
      </c>
      <c r="E17" s="57">
        <f>+CEMEG</f>
        <v>25500</v>
      </c>
      <c r="F17" s="57"/>
      <c r="G17" s="57">
        <f>+E17*C17</f>
        <v>82875</v>
      </c>
      <c r="H17" s="57"/>
      <c r="I17" s="57"/>
      <c r="J17" s="61"/>
      <c r="K17" s="61"/>
      <c r="L17" s="61"/>
      <c r="M17" s="61"/>
      <c r="N17" s="61"/>
      <c r="O17" s="61"/>
      <c r="P17" s="61"/>
      <c r="Q17" s="61"/>
      <c r="R17" s="61"/>
      <c r="S17" s="61"/>
    </row>
    <row r="18" spans="1:70" ht="15" customHeight="1">
      <c r="A18" s="45" t="s">
        <v>1015</v>
      </c>
      <c r="B18" s="8" t="s">
        <v>138</v>
      </c>
      <c r="C18" s="27">
        <f>+(C16+C15)*14</f>
        <v>21.388500000000001</v>
      </c>
      <c r="D18" s="4" t="s">
        <v>356</v>
      </c>
      <c r="E18" s="57">
        <f>+TRANS</f>
        <v>1350</v>
      </c>
      <c r="F18" s="57"/>
      <c r="G18" s="57"/>
      <c r="H18" s="57"/>
      <c r="I18" s="57">
        <f>+E18*C18</f>
        <v>28874.475000000002</v>
      </c>
      <c r="J18" s="61"/>
      <c r="K18" s="61"/>
      <c r="L18" s="61"/>
      <c r="M18" s="61"/>
      <c r="N18" s="61"/>
      <c r="O18" s="61"/>
      <c r="P18" s="61"/>
      <c r="Q18" s="61"/>
      <c r="R18" s="61"/>
      <c r="S18" s="61"/>
    </row>
    <row r="19" spans="1:70" ht="15" customHeight="1">
      <c r="A19" s="45" t="s">
        <v>72</v>
      </c>
      <c r="B19" s="8" t="s">
        <v>72</v>
      </c>
      <c r="C19" s="27">
        <v>50</v>
      </c>
      <c r="D19" s="4" t="s">
        <v>73</v>
      </c>
      <c r="E19" s="57">
        <f>+AGUA</f>
        <v>10.199999999999999</v>
      </c>
      <c r="F19" s="57"/>
      <c r="G19" s="57">
        <f>+E19*C19</f>
        <v>509.99999999999994</v>
      </c>
      <c r="H19" s="57"/>
      <c r="I19" s="57"/>
      <c r="J19" s="61"/>
      <c r="K19" s="61"/>
      <c r="L19" s="61"/>
      <c r="M19" s="61"/>
      <c r="N19" s="61"/>
      <c r="O19" s="61"/>
      <c r="P19" s="61"/>
      <c r="Q19" s="61"/>
      <c r="R19" s="61"/>
      <c r="S19" s="61"/>
    </row>
    <row r="20" spans="1:70" s="23" customFormat="1" ht="16.8">
      <c r="A20" s="45" t="s">
        <v>347</v>
      </c>
      <c r="B20" s="8" t="str">
        <f>IF(PRESTA&gt;0,"AYUD. ENTENDIDO (INCLUYE "&amp;""&amp;PRESTA*100&amp;"% PRESTACIONES)",0)</f>
        <v>AYUD. ENTENDIDO (INCLUYE 82,22% PRESTACIONES)</v>
      </c>
      <c r="C20" s="27">
        <f>1/4</f>
        <v>0.25</v>
      </c>
      <c r="D20" s="2695" t="s">
        <v>346</v>
      </c>
      <c r="E20" s="57">
        <f>+AYUDA</f>
        <v>65389.695592000004</v>
      </c>
      <c r="F20" s="57"/>
      <c r="G20" s="57"/>
      <c r="H20" s="57">
        <f>+E20*C20</f>
        <v>16347.423898000001</v>
      </c>
      <c r="I20" s="57"/>
      <c r="J20" s="25"/>
    </row>
    <row r="21" spans="1:70" s="23" customFormat="1" ht="16.8">
      <c r="A21" s="45" t="s">
        <v>348</v>
      </c>
      <c r="B21" s="8" t="str">
        <f>IF(PRESTA&gt;0,"AYUD. RASO (INCLUYE "&amp;""&amp;PRESTA*100&amp;"% PRESTACIONES)",0)</f>
        <v>AYUD. RASO (INCLUYE 82,22% PRESTACIONES)</v>
      </c>
      <c r="C21" s="27">
        <f>+C20*4</f>
        <v>1</v>
      </c>
      <c r="D21" s="2695" t="s">
        <v>346</v>
      </c>
      <c r="E21" s="57">
        <f>+AYUDR</f>
        <v>50299.76584</v>
      </c>
      <c r="F21" s="57"/>
      <c r="G21" s="57"/>
      <c r="H21" s="57">
        <f>+E21*C21</f>
        <v>50299.76584</v>
      </c>
      <c r="I21" s="57"/>
    </row>
    <row r="22" spans="1:70" ht="15" customHeight="1">
      <c r="A22" s="20" t="s">
        <v>190</v>
      </c>
      <c r="B22" s="39">
        <f>SUM(F22:I22)</f>
        <v>315397.8992249</v>
      </c>
      <c r="C22" s="34"/>
      <c r="D22" s="4"/>
      <c r="E22" s="57"/>
      <c r="F22" s="57">
        <f>SUM(F13:F21)</f>
        <v>11750</v>
      </c>
      <c r="G22" s="57">
        <f>SUM(G13:G21)</f>
        <v>204793.875</v>
      </c>
      <c r="H22" s="57">
        <f>SUM(H13:H21)</f>
        <v>66647.189738000001</v>
      </c>
      <c r="I22" s="57">
        <f>SUM(I13:I21)</f>
        <v>32206.834486900003</v>
      </c>
      <c r="J22" s="61"/>
      <c r="K22" s="61"/>
      <c r="L22" s="61"/>
      <c r="M22" s="61"/>
      <c r="N22" s="61"/>
      <c r="O22" s="61"/>
      <c r="P22" s="61"/>
      <c r="Q22" s="61"/>
      <c r="R22" s="61"/>
      <c r="S22" s="61"/>
    </row>
    <row r="23" spans="1:70" ht="15" customHeight="1">
      <c r="A23" s="20" t="s">
        <v>191</v>
      </c>
      <c r="B23" s="39">
        <f>+B22</f>
        <v>315397.8992249</v>
      </c>
      <c r="C23" s="21" t="s">
        <v>356</v>
      </c>
      <c r="D23" s="29"/>
      <c r="E23" s="66"/>
      <c r="F23" s="66"/>
      <c r="G23" s="66"/>
      <c r="H23" s="66"/>
      <c r="I23" s="66"/>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row>
    <row r="24" spans="1:70">
      <c r="A24" s="711"/>
      <c r="B24" s="727"/>
      <c r="C24" s="728"/>
      <c r="J24" s="61"/>
      <c r="K24" s="61"/>
      <c r="L24" s="61"/>
      <c r="M24" s="61"/>
      <c r="N24" s="61"/>
    </row>
    <row r="25" spans="1:70" ht="15" customHeight="1">
      <c r="A25" s="26"/>
      <c r="B25" s="3313" t="s">
        <v>279</v>
      </c>
      <c r="C25" s="3313"/>
      <c r="D25" s="3313"/>
      <c r="E25" s="3313"/>
      <c r="F25" s="3313"/>
      <c r="G25" s="3313"/>
      <c r="H25" s="3313"/>
      <c r="I25" s="3313"/>
      <c r="J25" s="61"/>
      <c r="K25" s="61"/>
      <c r="L25" s="61"/>
      <c r="M25" s="61"/>
      <c r="N25" s="61"/>
      <c r="O25" s="61"/>
      <c r="P25" s="61"/>
      <c r="Q25" s="61"/>
      <c r="R25" s="61"/>
      <c r="S25" s="61"/>
    </row>
    <row r="26" spans="1:70" ht="15" customHeight="1">
      <c r="A26" s="45"/>
      <c r="B26" s="24"/>
      <c r="C26" s="9" t="s">
        <v>140</v>
      </c>
      <c r="D26" s="9" t="s">
        <v>343</v>
      </c>
      <c r="E26" s="57" t="s">
        <v>344</v>
      </c>
      <c r="F26" s="57" t="s">
        <v>482</v>
      </c>
      <c r="G26" s="57" t="s">
        <v>483</v>
      </c>
      <c r="H26" s="57" t="s">
        <v>170</v>
      </c>
      <c r="I26" s="57" t="s">
        <v>171</v>
      </c>
      <c r="J26" s="61"/>
      <c r="K26" s="61"/>
      <c r="L26" s="61"/>
      <c r="M26" s="61"/>
      <c r="N26" s="61"/>
      <c r="O26" s="61"/>
      <c r="P26" s="61"/>
      <c r="Q26" s="61"/>
      <c r="R26" s="61"/>
      <c r="S26" s="61"/>
    </row>
    <row r="27" spans="1:70" ht="15" customHeight="1">
      <c r="A27" s="45" t="s">
        <v>715</v>
      </c>
      <c r="B27" s="8" t="s">
        <v>6419</v>
      </c>
      <c r="C27" s="27">
        <f>1/4</f>
        <v>0.25</v>
      </c>
      <c r="D27" s="4" t="s">
        <v>717</v>
      </c>
      <c r="E27" s="57">
        <f>+CONM1</f>
        <v>47000</v>
      </c>
      <c r="F27" s="57">
        <f>+E27*C27</f>
        <v>11750</v>
      </c>
      <c r="G27" s="57"/>
      <c r="H27" s="57"/>
      <c r="I27" s="57"/>
      <c r="J27" s="61"/>
      <c r="K27" s="61"/>
      <c r="L27" s="61"/>
      <c r="M27" s="61"/>
      <c r="N27" s="61"/>
      <c r="O27" s="61"/>
      <c r="P27" s="61"/>
      <c r="Q27" s="61"/>
      <c r="R27" s="61"/>
      <c r="S27" s="61"/>
    </row>
    <row r="28" spans="1:70" ht="15" customHeight="1">
      <c r="A28" s="45" t="s">
        <v>172</v>
      </c>
      <c r="B28" s="8" t="s">
        <v>189</v>
      </c>
      <c r="C28" s="27">
        <v>1</v>
      </c>
      <c r="D28" s="4" t="s">
        <v>583</v>
      </c>
      <c r="E28" s="57">
        <f>+H36*0.05</f>
        <v>3332.3594869000003</v>
      </c>
      <c r="F28" s="57"/>
      <c r="G28" s="57"/>
      <c r="H28" s="57"/>
      <c r="I28" s="57">
        <f>+E28*C28</f>
        <v>3332.3594869000003</v>
      </c>
      <c r="J28" s="61"/>
      <c r="K28" s="61"/>
      <c r="L28" s="61"/>
      <c r="M28" s="61"/>
      <c r="N28" s="61"/>
      <c r="O28" s="61"/>
      <c r="P28" s="61"/>
      <c r="Q28" s="61"/>
      <c r="R28" s="61"/>
      <c r="S28" s="61"/>
    </row>
    <row r="29" spans="1:70" ht="15" customHeight="1">
      <c r="A29" s="45" t="s">
        <v>366</v>
      </c>
      <c r="B29" s="8" t="s">
        <v>367</v>
      </c>
      <c r="C29" s="27">
        <f>0.975*1.05</f>
        <v>1.0237499999999999</v>
      </c>
      <c r="D29" s="4" t="s">
        <v>356</v>
      </c>
      <c r="E29" s="57">
        <f>+TRITU</f>
        <v>85000</v>
      </c>
      <c r="F29" s="57"/>
      <c r="G29" s="57">
        <f>+E29*C29</f>
        <v>87018.75</v>
      </c>
      <c r="H29" s="57"/>
      <c r="I29" s="57"/>
      <c r="J29" s="61"/>
      <c r="K29" s="61"/>
      <c r="L29" s="61"/>
      <c r="M29" s="61"/>
      <c r="N29" s="61"/>
      <c r="O29" s="61"/>
      <c r="P29" s="61"/>
      <c r="Q29" s="61"/>
      <c r="R29" s="61"/>
      <c r="S29" s="61"/>
    </row>
    <row r="30" spans="1:70" ht="15" customHeight="1">
      <c r="A30" s="45" t="s">
        <v>364</v>
      </c>
      <c r="B30" s="8" t="s">
        <v>6415</v>
      </c>
      <c r="C30" s="27">
        <f>0.555*1.05</f>
        <v>0.5827500000000001</v>
      </c>
      <c r="D30" s="4" t="s">
        <v>356</v>
      </c>
      <c r="E30" s="57">
        <f>+ARENP</f>
        <v>70500</v>
      </c>
      <c r="F30" s="57"/>
      <c r="G30" s="57">
        <f>+E30*C30</f>
        <v>41083.875000000007</v>
      </c>
      <c r="H30" s="57"/>
      <c r="I30" s="57"/>
      <c r="J30" s="61"/>
      <c r="K30" s="61"/>
      <c r="L30" s="61"/>
      <c r="M30" s="61"/>
      <c r="N30" s="61"/>
      <c r="O30" s="61"/>
      <c r="P30" s="61"/>
      <c r="Q30" s="61"/>
      <c r="R30" s="61"/>
      <c r="S30" s="61"/>
    </row>
    <row r="31" spans="1:70" ht="15" customHeight="1">
      <c r="A31" s="45" t="s">
        <v>368</v>
      </c>
      <c r="B31" s="8" t="s">
        <v>892</v>
      </c>
      <c r="C31" s="27">
        <v>3.5</v>
      </c>
      <c r="D31" s="4" t="s">
        <v>370</v>
      </c>
      <c r="E31" s="57">
        <f>+CEMEG</f>
        <v>25500</v>
      </c>
      <c r="F31" s="57"/>
      <c r="G31" s="57">
        <f>+E31*C31</f>
        <v>89250</v>
      </c>
      <c r="H31" s="57"/>
      <c r="I31" s="57"/>
      <c r="J31" s="61"/>
      <c r="K31" s="61"/>
      <c r="L31" s="61"/>
      <c r="M31" s="61"/>
      <c r="N31" s="61"/>
      <c r="O31" s="61"/>
      <c r="P31" s="61"/>
      <c r="Q31" s="61"/>
      <c r="R31" s="61"/>
      <c r="S31" s="61"/>
    </row>
    <row r="32" spans="1:70" ht="15" customHeight="1">
      <c r="A32" s="45" t="s">
        <v>1015</v>
      </c>
      <c r="B32" s="8" t="s">
        <v>138</v>
      </c>
      <c r="C32" s="27">
        <f>+(C30+C29)*14</f>
        <v>22.491</v>
      </c>
      <c r="D32" s="4" t="s">
        <v>356</v>
      </c>
      <c r="E32" s="57">
        <f>+TRANS</f>
        <v>1350</v>
      </c>
      <c r="F32" s="57"/>
      <c r="G32" s="57"/>
      <c r="H32" s="57"/>
      <c r="I32" s="57">
        <f>+E32*C32</f>
        <v>30362.85</v>
      </c>
      <c r="J32" s="61"/>
      <c r="K32" s="61"/>
      <c r="L32" s="61"/>
      <c r="M32" s="61"/>
      <c r="N32" s="61"/>
      <c r="O32" s="61"/>
      <c r="P32" s="61"/>
      <c r="Q32" s="61"/>
      <c r="R32" s="61"/>
      <c r="S32" s="61"/>
    </row>
    <row r="33" spans="1:70" ht="15" customHeight="1">
      <c r="A33" s="45" t="s">
        <v>72</v>
      </c>
      <c r="B33" s="8" t="s">
        <v>72</v>
      </c>
      <c r="C33" s="27">
        <v>50</v>
      </c>
      <c r="D33" s="4" t="s">
        <v>73</v>
      </c>
      <c r="E33" s="57">
        <f>+AGUA</f>
        <v>10.199999999999999</v>
      </c>
      <c r="F33" s="57"/>
      <c r="G33" s="57">
        <f>+E33*C33</f>
        <v>509.99999999999994</v>
      </c>
      <c r="H33" s="57"/>
      <c r="I33" s="57"/>
      <c r="J33" s="61"/>
      <c r="K33" s="61"/>
      <c r="L33" s="61"/>
      <c r="M33" s="61"/>
      <c r="N33" s="61"/>
      <c r="O33" s="61"/>
      <c r="P33" s="61"/>
      <c r="Q33" s="61"/>
      <c r="R33" s="61"/>
      <c r="S33" s="61"/>
    </row>
    <row r="34" spans="1:70" s="23" customFormat="1" ht="16.8">
      <c r="A34" s="45" t="s">
        <v>347</v>
      </c>
      <c r="B34" s="8" t="str">
        <f>IF(PRESTA&gt;0,"AYUD. ENTENDIDO (INCLUYE "&amp;""&amp;PRESTA*100&amp;"% PRESTACIONES)",0)</f>
        <v>AYUD. ENTENDIDO (INCLUYE 82,22% PRESTACIONES)</v>
      </c>
      <c r="C34" s="27">
        <f t="shared" ref="C34" si="0">1/4</f>
        <v>0.25</v>
      </c>
      <c r="D34" s="2695" t="s">
        <v>346</v>
      </c>
      <c r="E34" s="57">
        <f>+AYUDA</f>
        <v>65389.695592000004</v>
      </c>
      <c r="F34" s="65"/>
      <c r="G34" s="65"/>
      <c r="H34" s="57">
        <f>+E34*C34</f>
        <v>16347.423898000001</v>
      </c>
      <c r="I34" s="57"/>
      <c r="J34" s="25"/>
    </row>
    <row r="35" spans="1:70" s="23" customFormat="1" ht="16.8">
      <c r="A35" s="45" t="s">
        <v>348</v>
      </c>
      <c r="B35" s="8" t="str">
        <f>IF(PRESTA&gt;0,"AYUD. RASO (INCLUYE "&amp;""&amp;PRESTA*100&amp;"% PRESTACIONES)",0)</f>
        <v>AYUD. RASO (INCLUYE 82,22% PRESTACIONES)</v>
      </c>
      <c r="C35" s="27">
        <f>+C34*4</f>
        <v>1</v>
      </c>
      <c r="D35" s="2695" t="s">
        <v>346</v>
      </c>
      <c r="E35" s="57">
        <f>+AYUDR</f>
        <v>50299.76584</v>
      </c>
      <c r="F35" s="65"/>
      <c r="G35" s="65"/>
      <c r="H35" s="57">
        <f>+E35*C35</f>
        <v>50299.76584</v>
      </c>
      <c r="I35" s="57"/>
    </row>
    <row r="36" spans="1:70" ht="15" customHeight="1">
      <c r="A36" s="20" t="s">
        <v>190</v>
      </c>
      <c r="B36" s="39">
        <f>SUM(F36:I36)</f>
        <v>329955.0242249</v>
      </c>
      <c r="C36" s="34"/>
      <c r="D36" s="4"/>
      <c r="E36" s="57"/>
      <c r="F36" s="57">
        <f>SUM(F27:F35)</f>
        <v>11750</v>
      </c>
      <c r="G36" s="57">
        <f>SUM(G27:G35)</f>
        <v>217862.625</v>
      </c>
      <c r="H36" s="57">
        <f>SUM(H27:H35)</f>
        <v>66647.189738000001</v>
      </c>
      <c r="I36" s="57">
        <f>SUM(I27:I35)</f>
        <v>33695.209486899999</v>
      </c>
      <c r="J36" s="61"/>
      <c r="K36" s="61"/>
      <c r="L36" s="61"/>
      <c r="M36" s="61"/>
      <c r="N36" s="61"/>
      <c r="O36" s="61"/>
      <c r="P36" s="61"/>
      <c r="Q36" s="61"/>
      <c r="R36" s="61"/>
      <c r="S36" s="61"/>
    </row>
    <row r="37" spans="1:70" ht="15" customHeight="1">
      <c r="A37" s="20" t="s">
        <v>191</v>
      </c>
      <c r="B37" s="39">
        <f>+B36</f>
        <v>329955.0242249</v>
      </c>
      <c r="C37" s="21" t="s">
        <v>356</v>
      </c>
      <c r="D37" s="29"/>
      <c r="E37" s="66"/>
      <c r="F37" s="66"/>
      <c r="G37" s="66"/>
      <c r="H37" s="66"/>
      <c r="I37" s="66"/>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row>
    <row r="38" spans="1:70">
      <c r="A38" s="711"/>
      <c r="B38" s="727"/>
      <c r="C38" s="728"/>
      <c r="J38" s="61"/>
      <c r="K38" s="61"/>
      <c r="L38" s="61"/>
      <c r="M38" s="61"/>
      <c r="N38" s="61"/>
    </row>
    <row r="39" spans="1:70" ht="15" customHeight="1">
      <c r="A39" s="26"/>
      <c r="B39" s="3313" t="s">
        <v>15</v>
      </c>
      <c r="C39" s="3313"/>
      <c r="D39" s="3313"/>
      <c r="E39" s="3313"/>
      <c r="F39" s="3313"/>
      <c r="G39" s="3313"/>
      <c r="H39" s="3313"/>
      <c r="I39" s="3313"/>
      <c r="J39" s="61"/>
      <c r="K39" s="61"/>
      <c r="L39" s="61"/>
      <c r="M39" s="61"/>
      <c r="N39" s="61"/>
      <c r="O39" s="61"/>
      <c r="P39" s="61"/>
      <c r="Q39" s="61"/>
      <c r="R39" s="61"/>
      <c r="S39" s="61"/>
    </row>
    <row r="40" spans="1:70" ht="15" customHeight="1">
      <c r="A40" s="45"/>
      <c r="B40" s="24"/>
      <c r="C40" s="9" t="s">
        <v>140</v>
      </c>
      <c r="D40" s="9" t="s">
        <v>343</v>
      </c>
      <c r="E40" s="57" t="s">
        <v>344</v>
      </c>
      <c r="F40" s="57" t="s">
        <v>482</v>
      </c>
      <c r="G40" s="57" t="s">
        <v>483</v>
      </c>
      <c r="H40" s="57" t="s">
        <v>170</v>
      </c>
      <c r="I40" s="57" t="s">
        <v>171</v>
      </c>
      <c r="J40" s="61"/>
      <c r="K40" s="61"/>
      <c r="L40" s="61"/>
      <c r="M40" s="61"/>
      <c r="N40" s="61"/>
      <c r="O40" s="61"/>
      <c r="P40" s="61"/>
      <c r="Q40" s="61"/>
      <c r="R40" s="61"/>
      <c r="S40" s="61"/>
    </row>
    <row r="41" spans="1:70" ht="15" customHeight="1">
      <c r="A41" s="45" t="s">
        <v>715</v>
      </c>
      <c r="B41" s="8" t="s">
        <v>6419</v>
      </c>
      <c r="C41" s="27">
        <f>1/4</f>
        <v>0.25</v>
      </c>
      <c r="D41" s="4" t="s">
        <v>717</v>
      </c>
      <c r="E41" s="57">
        <f>+CONM1</f>
        <v>47000</v>
      </c>
      <c r="F41" s="57">
        <f>+E41*C41</f>
        <v>11750</v>
      </c>
      <c r="G41" s="57"/>
      <c r="H41" s="57"/>
      <c r="I41" s="57"/>
      <c r="J41" s="61"/>
      <c r="K41" s="61"/>
      <c r="L41" s="61"/>
      <c r="M41" s="61"/>
      <c r="N41" s="61"/>
      <c r="O41" s="61"/>
      <c r="P41" s="61"/>
      <c r="Q41" s="61"/>
      <c r="R41" s="61"/>
      <c r="S41" s="61"/>
    </row>
    <row r="42" spans="1:70" ht="15" customHeight="1">
      <c r="A42" s="45" t="s">
        <v>172</v>
      </c>
      <c r="B42" s="8" t="s">
        <v>189</v>
      </c>
      <c r="C42" s="27">
        <v>1</v>
      </c>
      <c r="D42" s="4" t="s">
        <v>583</v>
      </c>
      <c r="E42" s="57">
        <f>+H50*0.05</f>
        <v>3332.3594869000003</v>
      </c>
      <c r="F42" s="57"/>
      <c r="G42" s="57"/>
      <c r="H42" s="57"/>
      <c r="I42" s="57">
        <f>+E42*C42</f>
        <v>3332.3594869000003</v>
      </c>
      <c r="J42" s="61"/>
      <c r="K42" s="61"/>
      <c r="L42" s="61"/>
      <c r="M42" s="61"/>
      <c r="N42" s="61"/>
      <c r="O42" s="61"/>
      <c r="P42" s="61"/>
      <c r="Q42" s="61"/>
      <c r="R42" s="61"/>
      <c r="S42" s="61"/>
    </row>
    <row r="43" spans="1:70" ht="15" customHeight="1">
      <c r="A43" s="45" t="s">
        <v>366</v>
      </c>
      <c r="B43" s="8" t="s">
        <v>367</v>
      </c>
      <c r="C43" s="27">
        <f>1*1.05</f>
        <v>1.05</v>
      </c>
      <c r="D43" s="4" t="s">
        <v>356</v>
      </c>
      <c r="E43" s="57">
        <f>+TRITU</f>
        <v>85000</v>
      </c>
      <c r="F43" s="57"/>
      <c r="G43" s="57">
        <f>+E43*C43</f>
        <v>89250</v>
      </c>
      <c r="H43" s="57"/>
      <c r="I43" s="57"/>
      <c r="J43" s="61"/>
      <c r="K43" s="61"/>
      <c r="L43" s="61"/>
      <c r="M43" s="61"/>
      <c r="N43" s="61"/>
      <c r="O43" s="61"/>
      <c r="P43" s="61"/>
      <c r="Q43" s="61"/>
      <c r="R43" s="61"/>
      <c r="S43" s="61"/>
    </row>
    <row r="44" spans="1:70" ht="15" customHeight="1">
      <c r="A44" s="45" t="s">
        <v>364</v>
      </c>
      <c r="B44" s="8" t="s">
        <v>6415</v>
      </c>
      <c r="C44" s="27">
        <f>0.555*1.05</f>
        <v>0.5827500000000001</v>
      </c>
      <c r="D44" s="4" t="s">
        <v>356</v>
      </c>
      <c r="E44" s="57">
        <f>+ARENP</f>
        <v>70500</v>
      </c>
      <c r="F44" s="57"/>
      <c r="G44" s="57">
        <f>+E44*C44</f>
        <v>41083.875000000007</v>
      </c>
      <c r="H44" s="57"/>
      <c r="I44" s="57"/>
      <c r="J44" s="61"/>
      <c r="K44" s="61"/>
      <c r="L44" s="61"/>
      <c r="M44" s="61"/>
      <c r="N44" s="61"/>
      <c r="O44" s="61"/>
      <c r="P44" s="61"/>
      <c r="Q44" s="61"/>
      <c r="R44" s="61"/>
      <c r="S44" s="61"/>
    </row>
    <row r="45" spans="1:70" ht="15" customHeight="1">
      <c r="A45" s="45" t="s">
        <v>368</v>
      </c>
      <c r="B45" s="8" t="s">
        <v>892</v>
      </c>
      <c r="C45" s="27">
        <v>4.5999999999999996</v>
      </c>
      <c r="D45" s="4" t="s">
        <v>370</v>
      </c>
      <c r="E45" s="57">
        <f>+CEMEG</f>
        <v>25500</v>
      </c>
      <c r="F45" s="57"/>
      <c r="G45" s="57">
        <f>+E45*C45</f>
        <v>117299.99999999999</v>
      </c>
      <c r="H45" s="57"/>
      <c r="I45" s="57"/>
      <c r="J45" s="61"/>
      <c r="K45" s="61"/>
      <c r="L45" s="61"/>
      <c r="M45" s="61"/>
      <c r="N45" s="61"/>
      <c r="O45" s="61"/>
      <c r="P45" s="61"/>
      <c r="Q45" s="61"/>
      <c r="R45" s="61"/>
      <c r="S45" s="61"/>
    </row>
    <row r="46" spans="1:70" ht="15" customHeight="1">
      <c r="A46" s="45" t="s">
        <v>1015</v>
      </c>
      <c r="B46" s="8" t="s">
        <v>138</v>
      </c>
      <c r="C46" s="27">
        <f>+(C44+C43)*14</f>
        <v>22.858500000000003</v>
      </c>
      <c r="D46" s="4" t="s">
        <v>356</v>
      </c>
      <c r="E46" s="57">
        <f>+TRANS</f>
        <v>1350</v>
      </c>
      <c r="F46" s="57"/>
      <c r="G46" s="57"/>
      <c r="H46" s="57"/>
      <c r="I46" s="57">
        <f>+E46*C46</f>
        <v>30858.975000000002</v>
      </c>
      <c r="J46" s="61"/>
      <c r="K46" s="61"/>
      <c r="L46" s="61"/>
      <c r="M46" s="61"/>
      <c r="N46" s="61"/>
      <c r="O46" s="61"/>
      <c r="P46" s="61"/>
      <c r="Q46" s="61"/>
      <c r="R46" s="61"/>
      <c r="S46" s="61"/>
    </row>
    <row r="47" spans="1:70" ht="15" customHeight="1">
      <c r="A47" s="45" t="s">
        <v>72</v>
      </c>
      <c r="B47" s="8" t="s">
        <v>72</v>
      </c>
      <c r="C47" s="27">
        <v>160</v>
      </c>
      <c r="D47" s="4" t="s">
        <v>73</v>
      </c>
      <c r="E47" s="57">
        <f>+AGUA</f>
        <v>10.199999999999999</v>
      </c>
      <c r="F47" s="57"/>
      <c r="G47" s="57">
        <f>+E47*C47</f>
        <v>1632</v>
      </c>
      <c r="H47" s="57"/>
      <c r="I47" s="57"/>
      <c r="J47" s="61"/>
      <c r="K47" s="61"/>
      <c r="L47" s="61"/>
      <c r="M47" s="61"/>
      <c r="N47" s="61"/>
      <c r="O47" s="61"/>
      <c r="P47" s="61"/>
      <c r="Q47" s="61"/>
      <c r="R47" s="61"/>
      <c r="S47" s="61"/>
    </row>
    <row r="48" spans="1:70" s="23" customFormat="1" ht="16.8">
      <c r="A48" s="45" t="s">
        <v>347</v>
      </c>
      <c r="B48" s="8" t="str">
        <f>IF(PRESTA&gt;0,"AYUD. ENTENDIDO (INCLUYE "&amp;""&amp;PRESTA*100&amp;"% PRESTACIONES)",0)</f>
        <v>AYUD. ENTENDIDO (INCLUYE 82,22% PRESTACIONES)</v>
      </c>
      <c r="C48" s="27">
        <f t="shared" ref="C48" si="1">1/4</f>
        <v>0.25</v>
      </c>
      <c r="D48" s="2695" t="s">
        <v>346</v>
      </c>
      <c r="E48" s="65">
        <f>+AYUDA</f>
        <v>65389.695592000004</v>
      </c>
      <c r="F48" s="65"/>
      <c r="G48" s="65"/>
      <c r="H48" s="65">
        <f>+E48*C48</f>
        <v>16347.423898000001</v>
      </c>
      <c r="I48" s="65"/>
      <c r="J48" s="25"/>
    </row>
    <row r="49" spans="1:70" s="23" customFormat="1" ht="16.8">
      <c r="A49" s="45" t="s">
        <v>348</v>
      </c>
      <c r="B49" s="8" t="str">
        <f>IF(PRESTA&gt;0,"AYUD. RASO (INCLUYE "&amp;""&amp;PRESTA*100&amp;"% PRESTACIONES)",0)</f>
        <v>AYUD. RASO (INCLUYE 82,22% PRESTACIONES)</v>
      </c>
      <c r="C49" s="27">
        <f>+C48*4</f>
        <v>1</v>
      </c>
      <c r="D49" s="2695" t="s">
        <v>346</v>
      </c>
      <c r="E49" s="65">
        <f>+AYUDR</f>
        <v>50299.76584</v>
      </c>
      <c r="F49" s="65"/>
      <c r="G49" s="65"/>
      <c r="H49" s="65">
        <f>+E49*C49</f>
        <v>50299.76584</v>
      </c>
      <c r="I49" s="65"/>
    </row>
    <row r="50" spans="1:70" ht="15" customHeight="1">
      <c r="A50" s="20" t="s">
        <v>190</v>
      </c>
      <c r="B50" s="39">
        <f>SUM(F50:I50)</f>
        <v>361854.3992249</v>
      </c>
      <c r="C50" s="34"/>
      <c r="D50" s="4"/>
      <c r="E50" s="57"/>
      <c r="F50" s="57">
        <f>SUM(F41:F49)</f>
        <v>11750</v>
      </c>
      <c r="G50" s="57">
        <f>SUM(G41:G49)</f>
        <v>249265.875</v>
      </c>
      <c r="H50" s="57">
        <f>SUM(H41:H49)</f>
        <v>66647.189738000001</v>
      </c>
      <c r="I50" s="57">
        <f>SUM(I41:I49)</f>
        <v>34191.334486899999</v>
      </c>
      <c r="J50" s="61"/>
      <c r="K50" s="61"/>
      <c r="L50" s="61"/>
      <c r="M50" s="61"/>
      <c r="N50" s="61"/>
      <c r="O50" s="61"/>
      <c r="P50" s="61"/>
      <c r="Q50" s="61"/>
      <c r="R50" s="61"/>
      <c r="S50" s="61"/>
    </row>
    <row r="51" spans="1:70" ht="15" customHeight="1">
      <c r="A51" s="20" t="s">
        <v>191</v>
      </c>
      <c r="B51" s="39">
        <f>+B50</f>
        <v>361854.3992249</v>
      </c>
      <c r="C51" s="21" t="s">
        <v>356</v>
      </c>
      <c r="D51" s="29"/>
      <c r="E51" s="66"/>
      <c r="F51" s="66"/>
      <c r="G51" s="66"/>
      <c r="H51" s="66"/>
      <c r="I51" s="66"/>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61"/>
    </row>
    <row r="52" spans="1:70">
      <c r="A52" s="711"/>
      <c r="B52" s="727"/>
      <c r="C52" s="728"/>
      <c r="J52" s="61"/>
      <c r="K52" s="61"/>
      <c r="L52" s="61"/>
      <c r="M52" s="61"/>
      <c r="N52" s="61"/>
    </row>
    <row r="53" spans="1:70" ht="15" customHeight="1">
      <c r="A53" s="26"/>
      <c r="B53" s="3313" t="s">
        <v>14</v>
      </c>
      <c r="C53" s="3313"/>
      <c r="D53" s="3313"/>
      <c r="E53" s="3313"/>
      <c r="F53" s="3313"/>
      <c r="G53" s="3313"/>
      <c r="H53" s="3313"/>
      <c r="I53" s="3313"/>
      <c r="J53" s="61"/>
      <c r="K53" s="61"/>
      <c r="L53" s="61"/>
      <c r="M53" s="61"/>
      <c r="N53" s="61"/>
      <c r="O53" s="61"/>
      <c r="P53" s="61"/>
      <c r="Q53" s="61"/>
      <c r="R53" s="61"/>
      <c r="S53" s="61"/>
    </row>
    <row r="54" spans="1:70" ht="15" customHeight="1">
      <c r="A54" s="45"/>
      <c r="B54" s="24"/>
      <c r="C54" s="9" t="s">
        <v>140</v>
      </c>
      <c r="D54" s="9" t="s">
        <v>343</v>
      </c>
      <c r="E54" s="57" t="s">
        <v>344</v>
      </c>
      <c r="F54" s="57" t="s">
        <v>482</v>
      </c>
      <c r="G54" s="57" t="s">
        <v>483</v>
      </c>
      <c r="H54" s="57" t="s">
        <v>170</v>
      </c>
      <c r="I54" s="57" t="s">
        <v>171</v>
      </c>
      <c r="J54" s="61"/>
      <c r="K54" s="61"/>
      <c r="L54" s="61"/>
      <c r="M54" s="61"/>
      <c r="N54" s="61"/>
      <c r="O54" s="61"/>
      <c r="P54" s="61"/>
      <c r="Q54" s="61"/>
      <c r="R54" s="61"/>
      <c r="S54" s="61"/>
    </row>
    <row r="55" spans="1:70" ht="15" customHeight="1">
      <c r="A55" s="45" t="s">
        <v>715</v>
      </c>
      <c r="B55" s="8" t="s">
        <v>6419</v>
      </c>
      <c r="C55" s="27">
        <f t="shared" ref="C55" si="2">1/4</f>
        <v>0.25</v>
      </c>
      <c r="D55" s="4" t="s">
        <v>717</v>
      </c>
      <c r="E55" s="57">
        <f>+CONM1</f>
        <v>47000</v>
      </c>
      <c r="F55" s="57">
        <f>+E55*C55</f>
        <v>11750</v>
      </c>
      <c r="G55" s="57"/>
      <c r="H55" s="57"/>
      <c r="I55" s="57"/>
      <c r="J55" s="61"/>
      <c r="K55" s="61"/>
      <c r="L55" s="61"/>
      <c r="M55" s="61"/>
      <c r="N55" s="61"/>
      <c r="O55" s="61"/>
      <c r="P55" s="61"/>
      <c r="Q55" s="61"/>
      <c r="R55" s="61"/>
      <c r="S55" s="61"/>
    </row>
    <row r="56" spans="1:70" ht="15" customHeight="1">
      <c r="A56" s="45" t="s">
        <v>172</v>
      </c>
      <c r="B56" s="8" t="s">
        <v>189</v>
      </c>
      <c r="C56" s="27">
        <v>1</v>
      </c>
      <c r="D56" s="4" t="s">
        <v>583</v>
      </c>
      <c r="E56" s="57">
        <f>+H64*0.05</f>
        <v>3332.3594869000003</v>
      </c>
      <c r="F56" s="57"/>
      <c r="G56" s="57"/>
      <c r="H56" s="57"/>
      <c r="I56" s="57">
        <f>+E56*C56</f>
        <v>3332.3594869000003</v>
      </c>
      <c r="J56" s="61"/>
      <c r="K56" s="61"/>
      <c r="L56" s="61"/>
      <c r="M56" s="61"/>
      <c r="N56" s="61"/>
      <c r="O56" s="61"/>
      <c r="P56" s="61"/>
      <c r="Q56" s="61"/>
      <c r="R56" s="61"/>
      <c r="S56" s="61"/>
    </row>
    <row r="57" spans="1:70" ht="15" customHeight="1">
      <c r="A57" s="45" t="s">
        <v>366</v>
      </c>
      <c r="B57" s="8" t="s">
        <v>367</v>
      </c>
      <c r="C57" s="27">
        <f>0.835*1.05</f>
        <v>0.87675000000000003</v>
      </c>
      <c r="D57" s="4" t="s">
        <v>356</v>
      </c>
      <c r="E57" s="57">
        <f>+TRITU</f>
        <v>85000</v>
      </c>
      <c r="F57" s="57"/>
      <c r="G57" s="57">
        <f>+E57*C57</f>
        <v>74523.75</v>
      </c>
      <c r="H57" s="57"/>
      <c r="I57" s="57"/>
      <c r="J57" s="61"/>
      <c r="K57" s="61"/>
      <c r="L57" s="61"/>
      <c r="M57" s="61"/>
      <c r="N57" s="61"/>
      <c r="O57" s="61"/>
      <c r="P57" s="61"/>
      <c r="Q57" s="61"/>
      <c r="R57" s="61"/>
      <c r="S57" s="61"/>
    </row>
    <row r="58" spans="1:70" ht="15" customHeight="1">
      <c r="A58" s="45" t="s">
        <v>364</v>
      </c>
      <c r="B58" s="8" t="s">
        <v>6415</v>
      </c>
      <c r="C58" s="27">
        <f>0.625*1.05</f>
        <v>0.65625</v>
      </c>
      <c r="D58" s="4" t="s">
        <v>356</v>
      </c>
      <c r="E58" s="57">
        <f>+ARENP</f>
        <v>70500</v>
      </c>
      <c r="F58" s="57"/>
      <c r="G58" s="57">
        <f>+E58*C58</f>
        <v>46265.625</v>
      </c>
      <c r="H58" s="57"/>
      <c r="I58" s="57"/>
      <c r="J58" s="61"/>
      <c r="K58" s="61"/>
      <c r="L58" s="61"/>
      <c r="M58" s="61"/>
      <c r="N58" s="61"/>
      <c r="O58" s="61"/>
      <c r="P58" s="61"/>
      <c r="Q58" s="61"/>
      <c r="R58" s="61"/>
      <c r="S58" s="61"/>
    </row>
    <row r="59" spans="1:70" ht="15" customHeight="1">
      <c r="A59" s="45" t="s">
        <v>368</v>
      </c>
      <c r="B59" s="8" t="s">
        <v>892</v>
      </c>
      <c r="C59" s="27">
        <v>5.2</v>
      </c>
      <c r="D59" s="4" t="s">
        <v>370</v>
      </c>
      <c r="E59" s="57">
        <f>+CEMEG</f>
        <v>25500</v>
      </c>
      <c r="F59" s="57"/>
      <c r="G59" s="57">
        <f>+E59*C59</f>
        <v>132600</v>
      </c>
      <c r="H59" s="57"/>
      <c r="I59" s="57"/>
      <c r="J59" s="61"/>
      <c r="K59" s="61"/>
      <c r="L59" s="61"/>
      <c r="M59" s="61"/>
      <c r="N59" s="61"/>
      <c r="O59" s="61"/>
      <c r="P59" s="61"/>
      <c r="Q59" s="61"/>
      <c r="R59" s="61"/>
      <c r="S59" s="61"/>
    </row>
    <row r="60" spans="1:70" ht="15" customHeight="1">
      <c r="A60" s="45" t="s">
        <v>1015</v>
      </c>
      <c r="B60" s="8" t="s">
        <v>138</v>
      </c>
      <c r="C60" s="27">
        <f>+(C58+C57)*14</f>
        <v>21.462</v>
      </c>
      <c r="D60" s="4" t="s">
        <v>356</v>
      </c>
      <c r="E60" s="57">
        <f>+TRANS</f>
        <v>1350</v>
      </c>
      <c r="F60" s="57"/>
      <c r="G60" s="57"/>
      <c r="H60" s="57"/>
      <c r="I60" s="57">
        <f>+E60*C60</f>
        <v>28973.7</v>
      </c>
      <c r="J60" s="61"/>
      <c r="K60" s="61"/>
      <c r="L60" s="61"/>
      <c r="M60" s="61"/>
      <c r="N60" s="61"/>
      <c r="O60" s="61"/>
      <c r="P60" s="61"/>
      <c r="Q60" s="61"/>
      <c r="R60" s="61"/>
      <c r="S60" s="61"/>
    </row>
    <row r="61" spans="1:70" ht="15" customHeight="1">
      <c r="A61" s="45" t="s">
        <v>72</v>
      </c>
      <c r="B61" s="8" t="s">
        <v>72</v>
      </c>
      <c r="C61" s="27">
        <v>40</v>
      </c>
      <c r="D61" s="4" t="s">
        <v>73</v>
      </c>
      <c r="E61" s="57">
        <f>+AGUA</f>
        <v>10.199999999999999</v>
      </c>
      <c r="F61" s="57"/>
      <c r="G61" s="57">
        <f>+E61*C61</f>
        <v>408</v>
      </c>
      <c r="H61" s="57"/>
      <c r="I61" s="57"/>
      <c r="J61" s="61"/>
      <c r="K61" s="61"/>
      <c r="L61" s="61"/>
      <c r="M61" s="61"/>
      <c r="N61" s="61"/>
      <c r="O61" s="61"/>
      <c r="P61" s="61"/>
      <c r="Q61" s="61"/>
      <c r="R61" s="61"/>
      <c r="S61" s="61"/>
    </row>
    <row r="62" spans="1:70" s="23" customFormat="1" ht="16.8">
      <c r="A62" s="45" t="s">
        <v>347</v>
      </c>
      <c r="B62" s="8" t="str">
        <f>IF(PRESTA&gt;0,"AYUD. ENTENDIDO (INCLUYE "&amp;""&amp;PRESTA*100&amp;"% PRESTACIONES)",0)</f>
        <v>AYUD. ENTENDIDO (INCLUYE 82,22% PRESTACIONES)</v>
      </c>
      <c r="C62" s="27">
        <f t="shared" ref="C62" si="3">1/4</f>
        <v>0.25</v>
      </c>
      <c r="D62" s="2695" t="s">
        <v>346</v>
      </c>
      <c r="E62" s="65">
        <f>+AYUDA</f>
        <v>65389.695592000004</v>
      </c>
      <c r="F62" s="65"/>
      <c r="G62" s="65"/>
      <c r="H62" s="65">
        <f>+E62*C62</f>
        <v>16347.423898000001</v>
      </c>
      <c r="I62" s="65"/>
      <c r="J62" s="25"/>
    </row>
    <row r="63" spans="1:70" s="23" customFormat="1" ht="16.8">
      <c r="A63" s="45" t="s">
        <v>348</v>
      </c>
      <c r="B63" s="8" t="str">
        <f>IF(PRESTA&gt;0,"AYUD. RASO (INCLUYE "&amp;""&amp;PRESTA*100&amp;"% PRESTACIONES)",0)</f>
        <v>AYUD. RASO (INCLUYE 82,22% PRESTACIONES)</v>
      </c>
      <c r="C63" s="27">
        <f>+C62*4</f>
        <v>1</v>
      </c>
      <c r="D63" s="2695" t="s">
        <v>346</v>
      </c>
      <c r="E63" s="65">
        <f>+AYUDR</f>
        <v>50299.76584</v>
      </c>
      <c r="F63" s="65"/>
      <c r="G63" s="65"/>
      <c r="H63" s="65">
        <f>+E63*C63</f>
        <v>50299.76584</v>
      </c>
      <c r="I63" s="65"/>
    </row>
    <row r="64" spans="1:70" ht="15" customHeight="1">
      <c r="A64" s="20" t="s">
        <v>190</v>
      </c>
      <c r="B64" s="39">
        <f>SUM(F64:I64)</f>
        <v>364500.62422489998</v>
      </c>
      <c r="C64" s="34"/>
      <c r="D64" s="4"/>
      <c r="E64" s="57"/>
      <c r="F64" s="57">
        <f>SUM(F55:F63)</f>
        <v>11750</v>
      </c>
      <c r="G64" s="57">
        <f>SUM(G55:G63)</f>
        <v>253797.375</v>
      </c>
      <c r="H64" s="57">
        <f>SUM(H55:H63)</f>
        <v>66647.189738000001</v>
      </c>
      <c r="I64" s="57">
        <f>SUM(I55:I63)</f>
        <v>32306.059486900002</v>
      </c>
      <c r="J64" s="61"/>
      <c r="K64" s="61"/>
      <c r="L64" s="61"/>
      <c r="M64" s="61"/>
      <c r="N64" s="61"/>
      <c r="O64" s="61"/>
      <c r="P64" s="61"/>
      <c r="Q64" s="61"/>
      <c r="R64" s="61"/>
      <c r="S64" s="61"/>
    </row>
    <row r="65" spans="1:70" ht="15" customHeight="1">
      <c r="A65" s="20" t="s">
        <v>191</v>
      </c>
      <c r="B65" s="39">
        <f>+B64</f>
        <v>364500.62422489998</v>
      </c>
      <c r="C65" s="21" t="s">
        <v>356</v>
      </c>
      <c r="D65" s="29"/>
      <c r="E65" s="66"/>
      <c r="F65" s="66"/>
      <c r="G65" s="66"/>
      <c r="H65" s="66"/>
      <c r="I65" s="66"/>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row>
    <row r="66" spans="1:70">
      <c r="A66" s="711"/>
      <c r="B66" s="727"/>
      <c r="C66" s="728"/>
      <c r="J66" s="61"/>
      <c r="K66" s="61"/>
      <c r="L66" s="61"/>
      <c r="M66" s="61"/>
      <c r="N66" s="61"/>
    </row>
    <row r="67" spans="1:70" ht="15" customHeight="1">
      <c r="A67" s="26"/>
      <c r="B67" s="3313" t="s">
        <v>862</v>
      </c>
      <c r="C67" s="3313"/>
      <c r="D67" s="3313"/>
      <c r="E67" s="3313"/>
      <c r="F67" s="3313"/>
      <c r="G67" s="3313"/>
      <c r="H67" s="3313"/>
      <c r="I67" s="3313"/>
      <c r="J67" s="61"/>
      <c r="K67" s="61"/>
    </row>
    <row r="68" spans="1:70" ht="15" customHeight="1">
      <c r="A68" s="45"/>
      <c r="B68" s="24"/>
      <c r="C68" s="9" t="s">
        <v>140</v>
      </c>
      <c r="D68" s="9" t="s">
        <v>343</v>
      </c>
      <c r="E68" s="57" t="s">
        <v>344</v>
      </c>
      <c r="F68" s="57" t="s">
        <v>482</v>
      </c>
      <c r="G68" s="57" t="s">
        <v>483</v>
      </c>
      <c r="H68" s="57" t="s">
        <v>170</v>
      </c>
      <c r="I68" s="57" t="s">
        <v>171</v>
      </c>
      <c r="J68" s="61"/>
      <c r="K68" s="2723"/>
    </row>
    <row r="69" spans="1:70" ht="15" customHeight="1">
      <c r="A69" s="45" t="s">
        <v>715</v>
      </c>
      <c r="B69" s="8" t="s">
        <v>6419</v>
      </c>
      <c r="C69" s="27">
        <f t="shared" ref="C69" si="4">1/4</f>
        <v>0.25</v>
      </c>
      <c r="D69" s="4" t="s">
        <v>717</v>
      </c>
      <c r="E69" s="57">
        <f>+CONM1</f>
        <v>47000</v>
      </c>
      <c r="F69" s="57">
        <f>+E69*C69</f>
        <v>11750</v>
      </c>
      <c r="G69" s="57"/>
      <c r="H69" s="57"/>
      <c r="I69" s="57"/>
      <c r="J69" s="61"/>
      <c r="K69" s="2724"/>
    </row>
    <row r="70" spans="1:70" ht="15" customHeight="1">
      <c r="A70" s="45" t="s">
        <v>172</v>
      </c>
      <c r="B70" s="8" t="s">
        <v>189</v>
      </c>
      <c r="C70" s="27">
        <v>1</v>
      </c>
      <c r="D70" s="4" t="s">
        <v>583</v>
      </c>
      <c r="E70" s="57">
        <f>+H78*0.05</f>
        <v>3332.3594869000003</v>
      </c>
      <c r="F70" s="57"/>
      <c r="G70" s="57"/>
      <c r="H70" s="57"/>
      <c r="I70" s="57">
        <f>+E70*C70</f>
        <v>3332.3594869000003</v>
      </c>
      <c r="J70" s="61"/>
      <c r="K70" s="2724"/>
    </row>
    <row r="71" spans="1:70" ht="15" customHeight="1">
      <c r="A71" s="45" t="s">
        <v>366</v>
      </c>
      <c r="B71" s="8" t="s">
        <v>367</v>
      </c>
      <c r="C71" s="27">
        <f>0.84*1.05</f>
        <v>0.88200000000000001</v>
      </c>
      <c r="D71" s="4" t="s">
        <v>356</v>
      </c>
      <c r="E71" s="57">
        <f>+TRITU</f>
        <v>85000</v>
      </c>
      <c r="F71" s="57"/>
      <c r="G71" s="57">
        <f>+E71*C71</f>
        <v>74970</v>
      </c>
      <c r="H71" s="57"/>
      <c r="I71" s="57"/>
      <c r="J71" s="61"/>
      <c r="K71" s="2724"/>
    </row>
    <row r="72" spans="1:70" ht="15" customHeight="1">
      <c r="A72" s="45" t="s">
        <v>364</v>
      </c>
      <c r="B72" s="8" t="s">
        <v>6415</v>
      </c>
      <c r="C72" s="27">
        <f>0.65*1.05</f>
        <v>0.68250000000000011</v>
      </c>
      <c r="D72" s="4" t="s">
        <v>356</v>
      </c>
      <c r="E72" s="57">
        <f>+ARENP</f>
        <v>70500</v>
      </c>
      <c r="F72" s="57"/>
      <c r="G72" s="57">
        <f>+E72*C72</f>
        <v>48116.250000000007</v>
      </c>
      <c r="H72" s="57"/>
      <c r="I72" s="57"/>
      <c r="J72" s="61"/>
      <c r="K72" s="2724"/>
    </row>
    <row r="73" spans="1:70" ht="15" customHeight="1">
      <c r="A73" s="45" t="s">
        <v>368</v>
      </c>
      <c r="B73" s="8" t="s">
        <v>892</v>
      </c>
      <c r="C73" s="27">
        <v>5</v>
      </c>
      <c r="D73" s="4" t="s">
        <v>370</v>
      </c>
      <c r="E73" s="57">
        <f>+CEMEG</f>
        <v>25500</v>
      </c>
      <c r="F73" s="57"/>
      <c r="G73" s="57">
        <f>+E73*C73</f>
        <v>127500</v>
      </c>
      <c r="H73" s="57"/>
      <c r="I73" s="57"/>
      <c r="J73" s="61"/>
      <c r="K73" s="2724"/>
    </row>
    <row r="74" spans="1:70" ht="15" customHeight="1">
      <c r="A74" s="45" t="s">
        <v>1015</v>
      </c>
      <c r="B74" s="8" t="s">
        <v>138</v>
      </c>
      <c r="C74" s="27">
        <f>+(C72+C71)*14</f>
        <v>21.903000000000002</v>
      </c>
      <c r="D74" s="4" t="s">
        <v>356</v>
      </c>
      <c r="E74" s="57">
        <f>+TRANS</f>
        <v>1350</v>
      </c>
      <c r="F74" s="57"/>
      <c r="G74" s="57"/>
      <c r="H74" s="57"/>
      <c r="I74" s="57">
        <f>+E74*C74</f>
        <v>29569.050000000003</v>
      </c>
      <c r="J74" s="61"/>
      <c r="K74" s="2724"/>
    </row>
    <row r="75" spans="1:70" ht="15" customHeight="1">
      <c r="A75" s="45" t="s">
        <v>72</v>
      </c>
      <c r="B75" s="8" t="s">
        <v>72</v>
      </c>
      <c r="C75" s="27">
        <v>50</v>
      </c>
      <c r="D75" s="4" t="s">
        <v>73</v>
      </c>
      <c r="E75" s="57">
        <f>+AGUA</f>
        <v>10.199999999999999</v>
      </c>
      <c r="F75" s="57"/>
      <c r="G75" s="57">
        <f>+E75*C75</f>
        <v>509.99999999999994</v>
      </c>
      <c r="H75" s="57"/>
      <c r="I75" s="57"/>
      <c r="J75" s="61"/>
      <c r="K75" s="2724"/>
    </row>
    <row r="76" spans="1:70" s="23" customFormat="1" ht="16.8">
      <c r="A76" s="45" t="s">
        <v>347</v>
      </c>
      <c r="B76" s="8" t="str">
        <f>IF(PRESTA&gt;0,"AYUD. ENTENDIDO (INCLUYE "&amp;""&amp;PRESTA*100&amp;"% PRESTACIONES)",0)</f>
        <v>AYUD. ENTENDIDO (INCLUYE 82,22% PRESTACIONES)</v>
      </c>
      <c r="C76" s="27">
        <f t="shared" ref="C76" si="5">1/4</f>
        <v>0.25</v>
      </c>
      <c r="D76" s="2695" t="s">
        <v>346</v>
      </c>
      <c r="E76" s="65">
        <f>+AYUDA</f>
        <v>65389.695592000004</v>
      </c>
      <c r="F76" s="65"/>
      <c r="G76" s="65"/>
      <c r="H76" s="65">
        <f>+E76*C76</f>
        <v>16347.423898000001</v>
      </c>
      <c r="I76" s="65"/>
      <c r="J76" s="25"/>
    </row>
    <row r="77" spans="1:70" s="23" customFormat="1" ht="16.8">
      <c r="A77" s="45" t="s">
        <v>348</v>
      </c>
      <c r="B77" s="8" t="str">
        <f>IF(PRESTA&gt;0,"AYUD. RASO (INCLUYE "&amp;""&amp;PRESTA*100&amp;"% PRESTACIONES)",0)</f>
        <v>AYUD. RASO (INCLUYE 82,22% PRESTACIONES)</v>
      </c>
      <c r="C77" s="27">
        <f>+C76*4</f>
        <v>1</v>
      </c>
      <c r="D77" s="2695" t="s">
        <v>346</v>
      </c>
      <c r="E77" s="65">
        <f>+AYUDR</f>
        <v>50299.76584</v>
      </c>
      <c r="F77" s="65"/>
      <c r="G77" s="65"/>
      <c r="H77" s="65">
        <f>+E77*C77</f>
        <v>50299.76584</v>
      </c>
      <c r="I77" s="65"/>
    </row>
    <row r="78" spans="1:70" ht="15" customHeight="1">
      <c r="A78" s="20" t="s">
        <v>190</v>
      </c>
      <c r="B78" s="39">
        <f>SUM(F78:I78)</f>
        <v>362394.84922490001</v>
      </c>
      <c r="C78" s="34"/>
      <c r="D78" s="4"/>
      <c r="E78" s="57"/>
      <c r="F78" s="57">
        <f>SUM(F69:F77)</f>
        <v>11750</v>
      </c>
      <c r="G78" s="57">
        <f>SUM(G69:G77)</f>
        <v>251096.25</v>
      </c>
      <c r="H78" s="57">
        <f>SUM(H69:H77)</f>
        <v>66647.189738000001</v>
      </c>
      <c r="I78" s="57">
        <f>SUM(I69:I77)</f>
        <v>32901.409486900004</v>
      </c>
      <c r="J78" s="61"/>
      <c r="K78" s="61"/>
    </row>
    <row r="79" spans="1:70" ht="15" customHeight="1">
      <c r="A79" s="20" t="s">
        <v>191</v>
      </c>
      <c r="B79" s="39">
        <f>+B78</f>
        <v>362394.84922490001</v>
      </c>
      <c r="C79" s="21" t="s">
        <v>356</v>
      </c>
      <c r="D79" s="29"/>
      <c r="E79" s="66"/>
      <c r="F79" s="66"/>
      <c r="G79" s="66"/>
      <c r="H79" s="66"/>
      <c r="I79" s="66"/>
      <c r="J79" s="61"/>
      <c r="K79" s="61"/>
      <c r="L79" s="61"/>
      <c r="M79" s="61"/>
      <c r="N79" s="61"/>
      <c r="O79" s="61"/>
      <c r="P79" s="61"/>
      <c r="Q79" s="61"/>
      <c r="R79" s="61"/>
      <c r="S79" s="61"/>
      <c r="T79" s="61"/>
      <c r="U79" s="61"/>
      <c r="V79" s="61"/>
      <c r="W79" s="61"/>
      <c r="X79" s="61"/>
      <c r="Y79" s="61"/>
      <c r="Z79" s="61"/>
      <c r="AA79" s="61"/>
      <c r="AB79" s="61"/>
      <c r="AC79" s="61"/>
      <c r="AD79" s="61"/>
      <c r="AE79" s="61"/>
      <c r="AF79" s="61"/>
      <c r="AG79" s="61"/>
      <c r="AH79" s="61"/>
      <c r="AI79" s="61"/>
      <c r="AJ79" s="61"/>
      <c r="AK79" s="61"/>
      <c r="AL79" s="61"/>
      <c r="AM79" s="61"/>
      <c r="AN79" s="61"/>
      <c r="AO79" s="61"/>
      <c r="AP79" s="61"/>
      <c r="AQ79" s="61"/>
      <c r="AR79" s="61"/>
      <c r="AS79" s="61"/>
      <c r="AT79" s="61"/>
      <c r="AU79" s="61"/>
      <c r="AV79" s="61"/>
      <c r="AW79" s="61"/>
      <c r="AX79" s="61"/>
      <c r="AY79" s="61"/>
      <c r="AZ79" s="61"/>
      <c r="BA79" s="61"/>
      <c r="BB79" s="61"/>
      <c r="BC79" s="61"/>
      <c r="BD79" s="61"/>
      <c r="BE79" s="61"/>
      <c r="BF79" s="61"/>
      <c r="BG79" s="61"/>
      <c r="BH79" s="61"/>
      <c r="BI79" s="61"/>
      <c r="BJ79" s="61"/>
    </row>
    <row r="80" spans="1:70">
      <c r="A80" s="711"/>
      <c r="B80" s="727"/>
      <c r="C80" s="728"/>
      <c r="J80" s="61"/>
      <c r="K80" s="61"/>
    </row>
    <row r="81" spans="1:70" ht="15" customHeight="1">
      <c r="A81" s="26"/>
      <c r="B81" s="3313" t="s">
        <v>13</v>
      </c>
      <c r="C81" s="3313"/>
      <c r="D81" s="3313"/>
      <c r="E81" s="3313"/>
      <c r="F81" s="3313"/>
      <c r="G81" s="3313"/>
      <c r="H81" s="3313"/>
      <c r="I81" s="3313"/>
      <c r="J81" s="61"/>
      <c r="K81" s="61"/>
      <c r="L81" s="61"/>
      <c r="M81" s="61"/>
      <c r="N81" s="61"/>
      <c r="O81" s="61"/>
      <c r="P81" s="61"/>
      <c r="Q81" s="61"/>
      <c r="R81" s="61"/>
      <c r="S81" s="61"/>
    </row>
    <row r="82" spans="1:70" ht="15" customHeight="1">
      <c r="A82" s="45"/>
      <c r="B82" s="24"/>
      <c r="C82" s="9" t="s">
        <v>140</v>
      </c>
      <c r="D82" s="9" t="s">
        <v>343</v>
      </c>
      <c r="E82" s="57" t="s">
        <v>344</v>
      </c>
      <c r="F82" s="57" t="s">
        <v>482</v>
      </c>
      <c r="G82" s="57" t="s">
        <v>483</v>
      </c>
      <c r="H82" s="57" t="s">
        <v>170</v>
      </c>
      <c r="I82" s="57" t="s">
        <v>171</v>
      </c>
      <c r="J82" s="61"/>
      <c r="K82" s="61"/>
      <c r="L82" s="61"/>
      <c r="M82" s="61"/>
      <c r="N82" s="61"/>
      <c r="O82" s="61"/>
      <c r="P82" s="61"/>
      <c r="Q82" s="61"/>
      <c r="R82" s="61"/>
      <c r="S82" s="61"/>
    </row>
    <row r="83" spans="1:70" ht="15" customHeight="1">
      <c r="A83" s="45" t="s">
        <v>715</v>
      </c>
      <c r="B83" s="8" t="s">
        <v>6419</v>
      </c>
      <c r="C83" s="27">
        <f t="shared" ref="C83" si="6">1/4</f>
        <v>0.25</v>
      </c>
      <c r="D83" s="4" t="s">
        <v>717</v>
      </c>
      <c r="E83" s="57">
        <f>+CONM1</f>
        <v>47000</v>
      </c>
      <c r="F83" s="57">
        <f>+E83*C83</f>
        <v>11750</v>
      </c>
      <c r="G83" s="57"/>
      <c r="H83" s="57"/>
      <c r="I83" s="57"/>
      <c r="J83" s="61"/>
      <c r="K83" s="61"/>
      <c r="L83" s="61"/>
      <c r="M83" s="61"/>
      <c r="N83" s="61"/>
      <c r="O83" s="61"/>
      <c r="P83" s="61"/>
      <c r="Q83" s="61"/>
      <c r="R83" s="61"/>
      <c r="S83" s="61"/>
    </row>
    <row r="84" spans="1:70" ht="15" customHeight="1">
      <c r="A84" s="45" t="s">
        <v>172</v>
      </c>
      <c r="B84" s="8" t="s">
        <v>189</v>
      </c>
      <c r="C84" s="27">
        <v>1</v>
      </c>
      <c r="D84" s="4" t="s">
        <v>583</v>
      </c>
      <c r="E84" s="57">
        <f>+H92*0.05</f>
        <v>3332.3594869000003</v>
      </c>
      <c r="F84" s="57"/>
      <c r="G84" s="57"/>
      <c r="H84" s="57"/>
      <c r="I84" s="57">
        <f>+E84*C84</f>
        <v>3332.3594869000003</v>
      </c>
      <c r="J84" s="61"/>
      <c r="K84" s="61"/>
      <c r="L84" s="61"/>
      <c r="M84" s="61"/>
      <c r="N84" s="61"/>
      <c r="O84" s="61"/>
      <c r="P84" s="61"/>
      <c r="Q84" s="61"/>
      <c r="R84" s="61"/>
      <c r="S84" s="61"/>
    </row>
    <row r="85" spans="1:70" ht="15" customHeight="1">
      <c r="A85" s="45" t="s">
        <v>366</v>
      </c>
      <c r="B85" s="8" t="s">
        <v>367</v>
      </c>
      <c r="C85" s="27">
        <f>0.95*1.05</f>
        <v>0.99749999999999994</v>
      </c>
      <c r="D85" s="4" t="s">
        <v>356</v>
      </c>
      <c r="E85" s="57">
        <f>+TRITU</f>
        <v>85000</v>
      </c>
      <c r="F85" s="57"/>
      <c r="G85" s="57">
        <f>+E85*C85</f>
        <v>84787.5</v>
      </c>
      <c r="H85" s="57"/>
      <c r="I85" s="57"/>
      <c r="J85" s="61"/>
      <c r="K85" s="61"/>
      <c r="L85" s="61"/>
      <c r="M85" s="61"/>
      <c r="N85" s="61"/>
      <c r="O85" s="61"/>
      <c r="P85" s="61"/>
      <c r="Q85" s="61"/>
      <c r="R85" s="61"/>
      <c r="S85" s="61"/>
    </row>
    <row r="86" spans="1:70" ht="15" customHeight="1">
      <c r="A86" s="45" t="s">
        <v>364</v>
      </c>
      <c r="B86" s="8" t="s">
        <v>6415</v>
      </c>
      <c r="C86" s="27">
        <f>0.48*1.05</f>
        <v>0.504</v>
      </c>
      <c r="D86" s="4" t="s">
        <v>356</v>
      </c>
      <c r="E86" s="57">
        <f>+ARENP</f>
        <v>70500</v>
      </c>
      <c r="F86" s="57"/>
      <c r="G86" s="57">
        <f>+E86*C86</f>
        <v>35532</v>
      </c>
      <c r="H86" s="57"/>
      <c r="I86" s="57"/>
      <c r="J86" s="61"/>
      <c r="K86" s="61"/>
      <c r="L86" s="61"/>
      <c r="M86" s="61"/>
      <c r="N86" s="61"/>
      <c r="O86" s="61"/>
      <c r="P86" s="61"/>
      <c r="Q86" s="61"/>
      <c r="R86" s="61"/>
      <c r="S86" s="61"/>
    </row>
    <row r="87" spans="1:70" ht="15" customHeight="1">
      <c r="A87" s="45" t="s">
        <v>368</v>
      </c>
      <c r="B87" s="8" t="s">
        <v>892</v>
      </c>
      <c r="C87" s="27">
        <v>6.1</v>
      </c>
      <c r="D87" s="4" t="s">
        <v>370</v>
      </c>
      <c r="E87" s="57">
        <f>+CEMEG</f>
        <v>25500</v>
      </c>
      <c r="F87" s="57"/>
      <c r="G87" s="57">
        <f>+E87*C87</f>
        <v>155550</v>
      </c>
      <c r="H87" s="57"/>
      <c r="I87" s="57"/>
      <c r="J87" s="61"/>
      <c r="K87" s="61"/>
      <c r="L87" s="61"/>
      <c r="M87" s="61"/>
      <c r="N87" s="61"/>
      <c r="O87" s="61"/>
      <c r="P87" s="61"/>
      <c r="Q87" s="61"/>
      <c r="R87" s="61"/>
      <c r="S87" s="61"/>
    </row>
    <row r="88" spans="1:70" ht="15" customHeight="1">
      <c r="A88" s="45" t="s">
        <v>1015</v>
      </c>
      <c r="B88" s="8" t="s">
        <v>138</v>
      </c>
      <c r="C88" s="27">
        <f>+(C86+C85)*14</f>
        <v>21.021000000000001</v>
      </c>
      <c r="D88" s="4" t="s">
        <v>356</v>
      </c>
      <c r="E88" s="57">
        <f>+TRANS</f>
        <v>1350</v>
      </c>
      <c r="F88" s="57"/>
      <c r="G88" s="57"/>
      <c r="H88" s="57"/>
      <c r="I88" s="57">
        <f>+E88*C88</f>
        <v>28378.350000000002</v>
      </c>
      <c r="J88" s="61"/>
      <c r="K88" s="61"/>
      <c r="L88" s="61"/>
      <c r="M88" s="61"/>
      <c r="N88" s="61"/>
      <c r="O88" s="61"/>
      <c r="P88" s="61"/>
      <c r="Q88" s="61"/>
      <c r="R88" s="61"/>
      <c r="S88" s="61"/>
    </row>
    <row r="89" spans="1:70" ht="15" customHeight="1">
      <c r="A89" s="45" t="s">
        <v>72</v>
      </c>
      <c r="B89" s="8" t="s">
        <v>72</v>
      </c>
      <c r="C89" s="27">
        <v>170</v>
      </c>
      <c r="D89" s="4" t="s">
        <v>73</v>
      </c>
      <c r="E89" s="57">
        <f>+AGUA</f>
        <v>10.199999999999999</v>
      </c>
      <c r="F89" s="57"/>
      <c r="G89" s="57">
        <f>+E89*C89</f>
        <v>1733.9999999999998</v>
      </c>
      <c r="H89" s="57"/>
      <c r="I89" s="57"/>
      <c r="J89" s="61"/>
      <c r="K89" s="61"/>
      <c r="L89" s="61"/>
      <c r="M89" s="61"/>
      <c r="N89" s="61"/>
      <c r="O89" s="61"/>
      <c r="P89" s="61"/>
      <c r="Q89" s="61"/>
      <c r="R89" s="61"/>
      <c r="S89" s="61"/>
    </row>
    <row r="90" spans="1:70" s="23" customFormat="1" ht="16.8">
      <c r="A90" s="45" t="s">
        <v>347</v>
      </c>
      <c r="B90" s="8" t="str">
        <f>IF(PRESTA&gt;0,"AYUD. ENTENDIDO (INCLUYE "&amp;""&amp;PRESTA*100&amp;"% PRESTACIONES)",0)</f>
        <v>AYUD. ENTENDIDO (INCLUYE 82,22% PRESTACIONES)</v>
      </c>
      <c r="C90" s="27">
        <f t="shared" ref="C90" si="7">1/4</f>
        <v>0.25</v>
      </c>
      <c r="D90" s="2695" t="s">
        <v>346</v>
      </c>
      <c r="E90" s="57">
        <f>+AYUDA</f>
        <v>65389.695592000004</v>
      </c>
      <c r="F90" s="65"/>
      <c r="G90" s="65"/>
      <c r="H90" s="65">
        <f>+E90*C90</f>
        <v>16347.423898000001</v>
      </c>
      <c r="I90" s="65"/>
      <c r="J90" s="25"/>
    </row>
    <row r="91" spans="1:70" s="23" customFormat="1" ht="16.8">
      <c r="A91" s="45" t="s">
        <v>348</v>
      </c>
      <c r="B91" s="8" t="str">
        <f>IF(PRESTA&gt;0,"AYUD. RASO (INCLUYE "&amp;""&amp;PRESTA*100&amp;"% PRESTACIONES)",0)</f>
        <v>AYUD. RASO (INCLUYE 82,22% PRESTACIONES)</v>
      </c>
      <c r="C91" s="27">
        <f>+C90*4</f>
        <v>1</v>
      </c>
      <c r="D91" s="2695" t="s">
        <v>346</v>
      </c>
      <c r="E91" s="57">
        <f>+AYUDR</f>
        <v>50299.76584</v>
      </c>
      <c r="F91" s="65"/>
      <c r="G91" s="65"/>
      <c r="H91" s="65">
        <f>+E91*C91</f>
        <v>50299.76584</v>
      </c>
      <c r="I91" s="65"/>
    </row>
    <row r="92" spans="1:70" ht="15" customHeight="1">
      <c r="A92" s="20" t="s">
        <v>190</v>
      </c>
      <c r="B92" s="39">
        <f>SUM(F92:I92)</f>
        <v>387711.3992249</v>
      </c>
      <c r="C92" s="34"/>
      <c r="D92" s="4"/>
      <c r="E92" s="57"/>
      <c r="F92" s="57">
        <f>SUM(F83:F91)</f>
        <v>11750</v>
      </c>
      <c r="G92" s="57">
        <f>SUM(G83:G91)</f>
        <v>277603.5</v>
      </c>
      <c r="H92" s="57">
        <f>SUM(H83:H91)</f>
        <v>66647.189738000001</v>
      </c>
      <c r="I92" s="57">
        <f>SUM(I83:I91)</f>
        <v>31710.709486900003</v>
      </c>
      <c r="J92" s="61"/>
      <c r="K92" s="61"/>
      <c r="L92" s="61"/>
      <c r="M92" s="61"/>
      <c r="N92" s="61"/>
      <c r="O92" s="61"/>
      <c r="P92" s="61"/>
      <c r="Q92" s="61"/>
      <c r="R92" s="61"/>
      <c r="S92" s="61"/>
    </row>
    <row r="93" spans="1:70" ht="15" customHeight="1">
      <c r="A93" s="20" t="s">
        <v>191</v>
      </c>
      <c r="B93" s="39">
        <f>+B92</f>
        <v>387711.3992249</v>
      </c>
      <c r="C93" s="21" t="s">
        <v>356</v>
      </c>
      <c r="D93" s="29"/>
      <c r="E93" s="66"/>
      <c r="F93" s="66"/>
      <c r="G93" s="66"/>
      <c r="H93" s="66"/>
      <c r="I93" s="66"/>
      <c r="J93" s="61"/>
      <c r="K93" s="61"/>
      <c r="L93" s="61"/>
      <c r="M93" s="61"/>
      <c r="N93" s="61"/>
      <c r="O93" s="61"/>
      <c r="P93" s="61"/>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1"/>
      <c r="BR93" s="61"/>
    </row>
    <row r="94" spans="1:70">
      <c r="A94" s="711"/>
      <c r="B94" s="727"/>
      <c r="C94" s="728"/>
      <c r="J94" s="61"/>
      <c r="K94" s="61"/>
      <c r="L94" s="61"/>
      <c r="M94" s="61"/>
      <c r="N94" s="61"/>
    </row>
    <row r="95" spans="1:70" ht="15" customHeight="1">
      <c r="A95" s="26"/>
      <c r="B95" s="3313" t="s">
        <v>6558</v>
      </c>
      <c r="C95" s="3313"/>
      <c r="D95" s="3313"/>
      <c r="E95" s="3313"/>
      <c r="F95" s="3313"/>
      <c r="G95" s="3313"/>
      <c r="H95" s="3313"/>
      <c r="I95" s="3313"/>
      <c r="J95" s="61"/>
      <c r="K95" s="61"/>
      <c r="L95" s="61"/>
      <c r="M95" s="61"/>
      <c r="N95" s="61"/>
      <c r="O95" s="61"/>
      <c r="P95" s="61"/>
      <c r="Q95" s="61"/>
      <c r="R95" s="61"/>
      <c r="S95" s="61"/>
    </row>
    <row r="96" spans="1:70" ht="15" customHeight="1">
      <c r="A96" s="45"/>
      <c r="B96" s="24"/>
      <c r="C96" s="9" t="s">
        <v>140</v>
      </c>
      <c r="D96" s="9" t="s">
        <v>343</v>
      </c>
      <c r="E96" s="57" t="s">
        <v>344</v>
      </c>
      <c r="F96" s="57" t="s">
        <v>482</v>
      </c>
      <c r="G96" s="57" t="s">
        <v>483</v>
      </c>
      <c r="H96" s="57" t="s">
        <v>170</v>
      </c>
      <c r="I96" s="57" t="s">
        <v>171</v>
      </c>
      <c r="J96" s="61"/>
      <c r="K96" s="61"/>
      <c r="L96" s="61"/>
      <c r="M96" s="61"/>
      <c r="N96" s="61"/>
      <c r="O96" s="61"/>
      <c r="P96" s="61"/>
      <c r="Q96" s="61"/>
      <c r="R96" s="61"/>
      <c r="S96" s="61"/>
    </row>
    <row r="97" spans="1:70" ht="15" customHeight="1">
      <c r="A97" s="45" t="s">
        <v>715</v>
      </c>
      <c r="B97" s="8" t="s">
        <v>6419</v>
      </c>
      <c r="C97" s="27">
        <f>1/4</f>
        <v>0.25</v>
      </c>
      <c r="D97" s="4" t="s">
        <v>717</v>
      </c>
      <c r="E97" s="57">
        <f>+CONM1</f>
        <v>47000</v>
      </c>
      <c r="F97" s="57">
        <f>+E97*C97</f>
        <v>11750</v>
      </c>
      <c r="G97" s="57"/>
      <c r="H97" s="57"/>
      <c r="I97" s="57"/>
      <c r="J97" s="61"/>
      <c r="K97" s="61"/>
      <c r="L97" s="61"/>
      <c r="M97" s="61"/>
      <c r="N97" s="61"/>
      <c r="O97" s="61"/>
      <c r="P97" s="61"/>
      <c r="Q97" s="61"/>
      <c r="R97" s="61"/>
      <c r="S97" s="61"/>
    </row>
    <row r="98" spans="1:70" ht="15" customHeight="1">
      <c r="A98" s="45" t="s">
        <v>172</v>
      </c>
      <c r="B98" s="8" t="s">
        <v>189</v>
      </c>
      <c r="C98" s="27">
        <v>1</v>
      </c>
      <c r="D98" s="4" t="s">
        <v>583</v>
      </c>
      <c r="E98" s="57">
        <f>+H106*0.05</f>
        <v>3332.3594869000003</v>
      </c>
      <c r="F98" s="57"/>
      <c r="G98" s="57"/>
      <c r="H98" s="57"/>
      <c r="I98" s="57">
        <f>+E98*C98</f>
        <v>3332.3594869000003</v>
      </c>
      <c r="J98" s="61"/>
      <c r="K98" s="61"/>
      <c r="L98" s="61"/>
      <c r="M98" s="61"/>
      <c r="N98" s="61"/>
      <c r="O98" s="61"/>
      <c r="P98" s="61"/>
      <c r="Q98" s="61"/>
      <c r="R98" s="61"/>
      <c r="S98" s="61"/>
    </row>
    <row r="99" spans="1:70" ht="15" customHeight="1">
      <c r="A99" s="45" t="s">
        <v>366</v>
      </c>
      <c r="B99" s="8" t="s">
        <v>367</v>
      </c>
      <c r="C99" s="27">
        <f>0.84*1.05</f>
        <v>0.88200000000000001</v>
      </c>
      <c r="D99" s="4" t="s">
        <v>356</v>
      </c>
      <c r="E99" s="57">
        <f>+TRITU</f>
        <v>85000</v>
      </c>
      <c r="F99" s="57"/>
      <c r="G99" s="57">
        <f>+E99*C99</f>
        <v>74970</v>
      </c>
      <c r="H99" s="57"/>
      <c r="I99" s="57"/>
      <c r="J99" s="61"/>
      <c r="K99" s="61"/>
      <c r="L99" s="61"/>
      <c r="M99" s="61"/>
      <c r="N99" s="61"/>
      <c r="O99" s="61"/>
      <c r="P99" s="61"/>
      <c r="Q99" s="61"/>
      <c r="R99" s="61"/>
      <c r="S99" s="61"/>
    </row>
    <row r="100" spans="1:70" ht="15" customHeight="1">
      <c r="A100" s="45" t="s">
        <v>364</v>
      </c>
      <c r="B100" s="8" t="s">
        <v>6415</v>
      </c>
      <c r="C100" s="27">
        <f>0.56*1.05</f>
        <v>0.58800000000000008</v>
      </c>
      <c r="D100" s="4" t="s">
        <v>356</v>
      </c>
      <c r="E100" s="71">
        <f>+ARENP</f>
        <v>70500</v>
      </c>
      <c r="F100" s="57"/>
      <c r="G100" s="57">
        <f>+E100*C100</f>
        <v>41454.000000000007</v>
      </c>
      <c r="H100" s="57"/>
      <c r="I100" s="57"/>
      <c r="J100" s="61"/>
      <c r="K100" s="61"/>
      <c r="L100" s="61"/>
      <c r="M100" s="61"/>
      <c r="N100" s="61"/>
      <c r="O100" s="61"/>
      <c r="P100" s="61"/>
      <c r="Q100" s="61"/>
      <c r="R100" s="61"/>
      <c r="S100" s="61"/>
    </row>
    <row r="101" spans="1:70" ht="15" customHeight="1">
      <c r="A101" s="45" t="s">
        <v>368</v>
      </c>
      <c r="B101" s="8" t="s">
        <v>892</v>
      </c>
      <c r="C101" s="27">
        <f>7.5</f>
        <v>7.5</v>
      </c>
      <c r="D101" s="4" t="s">
        <v>370</v>
      </c>
      <c r="E101" s="57">
        <f>+CEMEG</f>
        <v>25500</v>
      </c>
      <c r="F101" s="57"/>
      <c r="G101" s="57">
        <f>+E101*C101</f>
        <v>191250</v>
      </c>
      <c r="H101" s="57"/>
      <c r="I101" s="57"/>
      <c r="J101" s="61"/>
      <c r="K101" s="61"/>
      <c r="L101" s="61"/>
      <c r="M101" s="61"/>
      <c r="N101" s="61"/>
      <c r="O101" s="61"/>
      <c r="P101" s="61"/>
      <c r="Q101" s="61"/>
      <c r="R101" s="61"/>
      <c r="S101" s="61"/>
    </row>
    <row r="102" spans="1:70" ht="15" customHeight="1">
      <c r="A102" s="2025" t="s">
        <v>1015</v>
      </c>
      <c r="B102" s="8" t="s">
        <v>138</v>
      </c>
      <c r="C102" s="27">
        <f>(C99+C100)*14</f>
        <v>20.580000000000002</v>
      </c>
      <c r="D102" s="12" t="s">
        <v>356</v>
      </c>
      <c r="E102" s="71">
        <f>+TRANS</f>
        <v>1350</v>
      </c>
      <c r="F102" s="71"/>
      <c r="G102" s="71"/>
      <c r="H102" s="71"/>
      <c r="I102" s="71">
        <f>+E102*C102</f>
        <v>27783.000000000004</v>
      </c>
      <c r="J102" s="61"/>
      <c r="K102" s="2725"/>
      <c r="L102" s="61"/>
      <c r="M102" s="61"/>
      <c r="N102" s="61"/>
      <c r="O102" s="61"/>
      <c r="P102" s="61"/>
      <c r="Q102" s="61"/>
      <c r="R102" s="61"/>
      <c r="S102" s="61"/>
    </row>
    <row r="103" spans="1:70" ht="15" customHeight="1">
      <c r="A103" s="45" t="s">
        <v>72</v>
      </c>
      <c r="B103" s="8" t="s">
        <v>72</v>
      </c>
      <c r="C103" s="27">
        <v>180</v>
      </c>
      <c r="D103" s="4" t="s">
        <v>73</v>
      </c>
      <c r="E103" s="57">
        <f>+AGUA</f>
        <v>10.199999999999999</v>
      </c>
      <c r="F103" s="57"/>
      <c r="G103" s="57">
        <f>+E103*C103</f>
        <v>1835.9999999999998</v>
      </c>
      <c r="H103" s="57"/>
      <c r="I103" s="57"/>
      <c r="J103" s="61"/>
      <c r="K103" s="61"/>
      <c r="L103" s="61"/>
      <c r="M103" s="61"/>
      <c r="N103" s="61"/>
      <c r="O103" s="61"/>
      <c r="P103" s="61"/>
      <c r="Q103" s="61"/>
      <c r="R103" s="61"/>
      <c r="S103" s="61"/>
    </row>
    <row r="104" spans="1:70" s="23" customFormat="1" ht="16.8">
      <c r="A104" s="2025" t="s">
        <v>347</v>
      </c>
      <c r="B104" s="8" t="str">
        <f>IF(PRESTA&gt;0,"AYUD. ENTENDIDO (INCLUYE "&amp;""&amp;PRESTA*100&amp;"% PRESTACIONES)",0)</f>
        <v>AYUD. ENTENDIDO (INCLUYE 82,22% PRESTACIONES)</v>
      </c>
      <c r="C104" s="27">
        <f>1/4</f>
        <v>0.25</v>
      </c>
      <c r="D104" s="2" t="s">
        <v>346</v>
      </c>
      <c r="E104" s="585">
        <f>+AYUDA</f>
        <v>65389.695592000004</v>
      </c>
      <c r="F104" s="585"/>
      <c r="G104" s="585"/>
      <c r="H104" s="585">
        <f>+E104*C104</f>
        <v>16347.423898000001</v>
      </c>
      <c r="I104" s="585"/>
      <c r="J104" s="25"/>
    </row>
    <row r="105" spans="1:70" s="23" customFormat="1" ht="16.8">
      <c r="A105" s="2025" t="s">
        <v>348</v>
      </c>
      <c r="B105" s="8" t="str">
        <f>IF(PRESTA&gt;0,"AYUD. RASO (INCLUYE "&amp;""&amp;PRESTA*100&amp;"% PRESTACIONES)",0)</f>
        <v>AYUD. RASO (INCLUYE 82,22% PRESTACIONES)</v>
      </c>
      <c r="C105" s="27">
        <f>+C104</f>
        <v>0.25</v>
      </c>
      <c r="D105" s="2" t="s">
        <v>346</v>
      </c>
      <c r="E105" s="585">
        <f>+AYUDR*4</f>
        <v>201199.06336</v>
      </c>
      <c r="F105" s="585"/>
      <c r="G105" s="585"/>
      <c r="H105" s="585">
        <f>+E105*C105</f>
        <v>50299.76584</v>
      </c>
      <c r="I105" s="585"/>
    </row>
    <row r="106" spans="1:70" ht="15" customHeight="1">
      <c r="A106" s="20" t="s">
        <v>190</v>
      </c>
      <c r="B106" s="39">
        <f>SUM(F106:I106)</f>
        <v>419022.54922489997</v>
      </c>
      <c r="C106" s="27"/>
      <c r="D106" s="4"/>
      <c r="E106" s="57"/>
      <c r="F106" s="57">
        <f>SUM(F97:F105)</f>
        <v>11750</v>
      </c>
      <c r="G106" s="57">
        <f>SUM(G97:G105)</f>
        <v>309510</v>
      </c>
      <c r="H106" s="57">
        <f>SUM(H97:H105)</f>
        <v>66647.189738000001</v>
      </c>
      <c r="I106" s="57">
        <f>SUM(I97:I105)</f>
        <v>31115.359486900004</v>
      </c>
      <c r="J106" s="61"/>
      <c r="K106" s="61"/>
      <c r="L106" s="61"/>
      <c r="M106" s="61"/>
      <c r="N106" s="61"/>
      <c r="O106" s="61"/>
      <c r="P106" s="61"/>
      <c r="Q106" s="61"/>
      <c r="R106" s="61"/>
      <c r="S106" s="61"/>
    </row>
    <row r="107" spans="1:70" ht="15" customHeight="1">
      <c r="A107" s="20" t="s">
        <v>191</v>
      </c>
      <c r="B107" s="39">
        <f>+B106</f>
        <v>419022.54922489997</v>
      </c>
      <c r="C107" s="21" t="s">
        <v>356</v>
      </c>
      <c r="D107" s="66"/>
      <c r="E107" s="66"/>
      <c r="F107" s="66"/>
      <c r="G107" s="66"/>
      <c r="H107" s="66"/>
      <c r="I107" s="66"/>
      <c r="J107" s="61"/>
      <c r="K107" s="61"/>
      <c r="L107" s="61"/>
      <c r="M107" s="61"/>
      <c r="N107" s="61"/>
      <c r="O107" s="61"/>
      <c r="P107" s="61"/>
      <c r="Q107" s="61"/>
      <c r="R107" s="61"/>
      <c r="S107" s="61"/>
      <c r="T107" s="61"/>
      <c r="U107" s="61"/>
      <c r="V107" s="61"/>
      <c r="W107" s="61"/>
      <c r="X107" s="61"/>
      <c r="Y107" s="61"/>
      <c r="Z107" s="61"/>
      <c r="AA107" s="61"/>
      <c r="AB107" s="61"/>
      <c r="AC107" s="61"/>
      <c r="AD107" s="61"/>
      <c r="AE107" s="61"/>
      <c r="AF107" s="61"/>
      <c r="AG107" s="61"/>
      <c r="AH107" s="61"/>
      <c r="AI107" s="61"/>
      <c r="AJ107" s="61"/>
      <c r="AK107" s="61"/>
      <c r="AL107" s="61"/>
      <c r="AM107" s="61"/>
      <c r="AN107" s="61"/>
      <c r="AO107" s="61"/>
      <c r="AP107" s="61"/>
      <c r="AQ107" s="61"/>
      <c r="AR107" s="61"/>
      <c r="AS107" s="61"/>
      <c r="AT107" s="61"/>
      <c r="AU107" s="61"/>
      <c r="AV107" s="61"/>
      <c r="AW107" s="61"/>
      <c r="AX107" s="61"/>
      <c r="AY107" s="61"/>
      <c r="AZ107" s="61"/>
      <c r="BA107" s="61"/>
      <c r="BB107" s="61"/>
      <c r="BC107" s="61"/>
      <c r="BD107" s="61"/>
      <c r="BE107" s="61"/>
      <c r="BF107" s="61"/>
      <c r="BG107" s="61"/>
      <c r="BH107" s="61"/>
      <c r="BI107" s="61"/>
      <c r="BJ107" s="61"/>
      <c r="BK107" s="61"/>
      <c r="BL107" s="61"/>
      <c r="BM107" s="61"/>
      <c r="BN107" s="61"/>
      <c r="BO107" s="61"/>
      <c r="BP107" s="61"/>
      <c r="BQ107" s="61"/>
      <c r="BR107" s="61"/>
    </row>
    <row r="108" spans="1:70" ht="14.4">
      <c r="A108" s="711"/>
      <c r="B108" s="727"/>
      <c r="C108" s="728"/>
      <c r="D108" s="66"/>
      <c r="J108" s="61"/>
      <c r="K108" s="61"/>
      <c r="L108" s="61"/>
      <c r="M108" s="61"/>
      <c r="N108" s="61"/>
    </row>
    <row r="109" spans="1:70" ht="15" customHeight="1">
      <c r="A109" s="26"/>
      <c r="B109" s="3313" t="s">
        <v>11</v>
      </c>
      <c r="C109" s="3313"/>
      <c r="D109" s="3313"/>
      <c r="E109" s="3313"/>
      <c r="F109" s="3313"/>
      <c r="G109" s="3313"/>
      <c r="H109" s="3313"/>
      <c r="I109" s="3313"/>
      <c r="J109" s="61"/>
      <c r="K109" s="61"/>
      <c r="L109" s="61"/>
      <c r="M109" s="61"/>
      <c r="N109" s="61"/>
      <c r="O109" s="61"/>
      <c r="P109" s="61"/>
      <c r="Q109" s="61"/>
      <c r="R109" s="61"/>
      <c r="S109" s="61"/>
    </row>
    <row r="110" spans="1:70" ht="15" customHeight="1">
      <c r="A110" s="45"/>
      <c r="B110" s="24"/>
      <c r="C110" s="9" t="s">
        <v>140</v>
      </c>
      <c r="D110" s="9" t="s">
        <v>343</v>
      </c>
      <c r="E110" s="57" t="s">
        <v>344</v>
      </c>
      <c r="F110" s="57" t="s">
        <v>482</v>
      </c>
      <c r="G110" s="57" t="s">
        <v>483</v>
      </c>
      <c r="H110" s="57" t="s">
        <v>170</v>
      </c>
      <c r="I110" s="57" t="s">
        <v>171</v>
      </c>
      <c r="J110" s="61"/>
      <c r="K110" s="61"/>
      <c r="L110" s="61"/>
      <c r="M110" s="61"/>
      <c r="N110" s="61"/>
      <c r="O110" s="61"/>
      <c r="P110" s="61"/>
      <c r="Q110" s="61"/>
      <c r="R110" s="61"/>
      <c r="S110" s="61"/>
    </row>
    <row r="111" spans="1:70" ht="15" customHeight="1">
      <c r="A111" s="45" t="s">
        <v>715</v>
      </c>
      <c r="B111" s="8" t="s">
        <v>6419</v>
      </c>
      <c r="C111" s="27">
        <f>1/4</f>
        <v>0.25</v>
      </c>
      <c r="D111" s="4" t="s">
        <v>717</v>
      </c>
      <c r="E111" s="57">
        <f>+CONM1</f>
        <v>47000</v>
      </c>
      <c r="F111" s="57">
        <f>+E111*C111</f>
        <v>11750</v>
      </c>
      <c r="G111" s="57"/>
      <c r="H111" s="57"/>
      <c r="I111" s="57"/>
      <c r="J111" s="61"/>
      <c r="K111" s="61"/>
      <c r="L111" s="61"/>
      <c r="M111" s="61"/>
      <c r="N111" s="61"/>
      <c r="O111" s="61"/>
      <c r="P111" s="61"/>
      <c r="Q111" s="61"/>
      <c r="R111" s="61"/>
      <c r="S111" s="61"/>
    </row>
    <row r="112" spans="1:70" ht="15" customHeight="1">
      <c r="A112" s="45" t="s">
        <v>172</v>
      </c>
      <c r="B112" s="8" t="s">
        <v>189</v>
      </c>
      <c r="C112" s="27">
        <v>1</v>
      </c>
      <c r="D112" s="4" t="s">
        <v>583</v>
      </c>
      <c r="E112" s="57">
        <f>+H120*0.05</f>
        <v>3332.3594869000003</v>
      </c>
      <c r="F112" s="57"/>
      <c r="G112" s="57"/>
      <c r="H112" s="57"/>
      <c r="I112" s="57">
        <f>+E112*C112</f>
        <v>3332.3594869000003</v>
      </c>
      <c r="J112" s="61"/>
      <c r="K112" s="61"/>
      <c r="L112" s="61"/>
      <c r="M112" s="61"/>
      <c r="N112" s="61"/>
      <c r="O112" s="61"/>
      <c r="P112" s="61"/>
      <c r="Q112" s="61"/>
      <c r="R112" s="61"/>
      <c r="S112" s="61"/>
    </row>
    <row r="113" spans="1:70" ht="15" customHeight="1">
      <c r="A113" s="45" t="s">
        <v>366</v>
      </c>
      <c r="B113" s="8" t="s">
        <v>367</v>
      </c>
      <c r="C113" s="27">
        <f>0.87*1.05</f>
        <v>0.91349999999999998</v>
      </c>
      <c r="D113" s="4" t="s">
        <v>356</v>
      </c>
      <c r="E113" s="57">
        <f>+TRITU</f>
        <v>85000</v>
      </c>
      <c r="F113" s="57"/>
      <c r="G113" s="57">
        <f>+E113*C113</f>
        <v>77647.5</v>
      </c>
      <c r="H113" s="57"/>
      <c r="I113" s="57"/>
      <c r="J113" s="61"/>
      <c r="K113" s="61"/>
      <c r="L113" s="61"/>
      <c r="M113" s="61"/>
      <c r="N113" s="61"/>
      <c r="O113" s="61"/>
      <c r="P113" s="61"/>
      <c r="Q113" s="61"/>
      <c r="R113" s="61"/>
      <c r="S113" s="61"/>
    </row>
    <row r="114" spans="1:70" ht="15" customHeight="1">
      <c r="A114" s="45" t="s">
        <v>364</v>
      </c>
      <c r="B114" s="8" t="s">
        <v>6415</v>
      </c>
      <c r="C114" s="27">
        <f>0.87*1.05</f>
        <v>0.91349999999999998</v>
      </c>
      <c r="D114" s="4" t="s">
        <v>356</v>
      </c>
      <c r="E114" s="57">
        <f>+ARENP</f>
        <v>70500</v>
      </c>
      <c r="F114" s="57"/>
      <c r="G114" s="57">
        <f>+E114*C114</f>
        <v>64401.75</v>
      </c>
      <c r="H114" s="57"/>
      <c r="I114" s="57"/>
      <c r="J114" s="61"/>
      <c r="K114" s="61"/>
      <c r="L114" s="61"/>
      <c r="M114" s="61"/>
      <c r="N114" s="61"/>
      <c r="O114" s="61"/>
      <c r="P114" s="61"/>
      <c r="Q114" s="61"/>
      <c r="R114" s="61"/>
      <c r="S114" s="61"/>
    </row>
    <row r="115" spans="1:70" ht="15" customHeight="1">
      <c r="A115" s="45" t="s">
        <v>368</v>
      </c>
      <c r="B115" s="8" t="s">
        <v>892</v>
      </c>
      <c r="C115" s="27">
        <v>8.1999999999999993</v>
      </c>
      <c r="D115" s="4" t="s">
        <v>370</v>
      </c>
      <c r="E115" s="57">
        <f>+CEMEG</f>
        <v>25500</v>
      </c>
      <c r="F115" s="57"/>
      <c r="G115" s="57">
        <f>+E115*C115</f>
        <v>209099.99999999997</v>
      </c>
      <c r="H115" s="57"/>
      <c r="I115" s="57"/>
      <c r="J115" s="61"/>
      <c r="K115" s="61"/>
      <c r="L115" s="61"/>
      <c r="M115" s="61"/>
      <c r="N115" s="61"/>
      <c r="O115" s="61"/>
      <c r="P115" s="61"/>
      <c r="Q115" s="61"/>
      <c r="R115" s="61"/>
      <c r="S115" s="61"/>
    </row>
    <row r="116" spans="1:70" ht="15" customHeight="1">
      <c r="A116" s="45" t="s">
        <v>1015</v>
      </c>
      <c r="B116" s="8" t="s">
        <v>138</v>
      </c>
      <c r="C116" s="27">
        <f>+(C114+C113)*14</f>
        <v>25.577999999999999</v>
      </c>
      <c r="D116" s="4" t="s">
        <v>356</v>
      </c>
      <c r="E116" s="57">
        <f>+TRANS</f>
        <v>1350</v>
      </c>
      <c r="F116" s="57"/>
      <c r="G116" s="57"/>
      <c r="H116" s="57"/>
      <c r="I116" s="57">
        <f>+E116*C116</f>
        <v>34530.299999999996</v>
      </c>
      <c r="J116" s="61"/>
      <c r="K116" s="61"/>
      <c r="L116" s="61"/>
      <c r="M116" s="61"/>
      <c r="N116" s="61"/>
      <c r="O116" s="61"/>
      <c r="P116" s="61"/>
      <c r="Q116" s="61"/>
      <c r="R116" s="61"/>
      <c r="S116" s="61"/>
    </row>
    <row r="117" spans="1:70" ht="15" customHeight="1">
      <c r="A117" s="45" t="s">
        <v>72</v>
      </c>
      <c r="B117" s="8" t="s">
        <v>72</v>
      </c>
      <c r="C117" s="27">
        <v>202</v>
      </c>
      <c r="D117" s="4" t="s">
        <v>73</v>
      </c>
      <c r="E117" s="57">
        <f>+AGUA</f>
        <v>10.199999999999999</v>
      </c>
      <c r="F117" s="57"/>
      <c r="G117" s="57">
        <f>+E117*C117</f>
        <v>2060.3999999999996</v>
      </c>
      <c r="H117" s="57"/>
      <c r="I117" s="57"/>
      <c r="J117" s="61"/>
      <c r="K117" s="61"/>
      <c r="L117" s="61"/>
      <c r="M117" s="61"/>
      <c r="N117" s="61"/>
      <c r="O117" s="61"/>
      <c r="P117" s="61"/>
      <c r="Q117" s="61"/>
      <c r="R117" s="61"/>
      <c r="S117" s="61"/>
    </row>
    <row r="118" spans="1:70" s="23" customFormat="1" ht="16.8">
      <c r="A118" s="45" t="s">
        <v>347</v>
      </c>
      <c r="B118" s="8" t="str">
        <f>IF(PRESTA&gt;0,"AYUD. ENTENDIDO (INCLUYE "&amp;""&amp;PRESTA*100&amp;"% PRESTACIONES)",0)</f>
        <v>AYUD. ENTENDIDO (INCLUYE 82,22% PRESTACIONES)</v>
      </c>
      <c r="C118" s="27">
        <f t="shared" ref="C118" si="8">1/4</f>
        <v>0.25</v>
      </c>
      <c r="D118" s="2695" t="s">
        <v>346</v>
      </c>
      <c r="E118" s="65">
        <f>+AYUDA</f>
        <v>65389.695592000004</v>
      </c>
      <c r="F118" s="65"/>
      <c r="G118" s="65"/>
      <c r="H118" s="65">
        <f>+E118*C118</f>
        <v>16347.423898000001</v>
      </c>
      <c r="I118" s="65"/>
      <c r="J118" s="25"/>
    </row>
    <row r="119" spans="1:70" s="23" customFormat="1" ht="16.8">
      <c r="A119" s="45" t="s">
        <v>348</v>
      </c>
      <c r="B119" s="8" t="str">
        <f>IF(PRESTA&gt;0,"AYUD. RASO (INCLUYE "&amp;""&amp;PRESTA*100&amp;"% PRESTACIONES)",0)</f>
        <v>AYUD. RASO (INCLUYE 82,22% PRESTACIONES)</v>
      </c>
      <c r="C119" s="27">
        <f>+C118*4</f>
        <v>1</v>
      </c>
      <c r="D119" s="2695" t="s">
        <v>346</v>
      </c>
      <c r="E119" s="65">
        <f>+AYUDR</f>
        <v>50299.76584</v>
      </c>
      <c r="F119" s="65"/>
      <c r="G119" s="65"/>
      <c r="H119" s="65">
        <f>+E119*C119</f>
        <v>50299.76584</v>
      </c>
      <c r="I119" s="65"/>
    </row>
    <row r="120" spans="1:70" ht="15" customHeight="1">
      <c r="A120" s="20" t="s">
        <v>190</v>
      </c>
      <c r="B120" s="39">
        <f>SUM(F120:I120)</f>
        <v>469469.49922490004</v>
      </c>
      <c r="C120" s="34"/>
      <c r="D120" s="4"/>
      <c r="E120" s="57"/>
      <c r="F120" s="57">
        <f>SUM(F111:F119)</f>
        <v>11750</v>
      </c>
      <c r="G120" s="57">
        <f>SUM(G111:G119)</f>
        <v>353209.65</v>
      </c>
      <c r="H120" s="57">
        <f>SUM(H111:H119)</f>
        <v>66647.189738000001</v>
      </c>
      <c r="I120" s="57">
        <f>SUM(I111:I119)</f>
        <v>37862.659486899996</v>
      </c>
      <c r="J120" s="61"/>
      <c r="K120" s="61"/>
      <c r="L120" s="61"/>
      <c r="M120" s="61"/>
      <c r="N120" s="61"/>
      <c r="O120" s="61"/>
      <c r="P120" s="61"/>
      <c r="Q120" s="61"/>
      <c r="R120" s="61"/>
      <c r="S120" s="61"/>
    </row>
    <row r="121" spans="1:70" ht="15" customHeight="1">
      <c r="A121" s="20" t="s">
        <v>191</v>
      </c>
      <c r="B121" s="39">
        <f>+B120</f>
        <v>469469.49922490004</v>
      </c>
      <c r="C121" s="21" t="s">
        <v>356</v>
      </c>
      <c r="D121" s="29"/>
      <c r="E121" s="66"/>
      <c r="F121" s="66"/>
      <c r="G121" s="66"/>
      <c r="H121" s="66"/>
      <c r="I121" s="66"/>
      <c r="J121" s="61"/>
      <c r="K121" s="61"/>
      <c r="L121" s="61"/>
      <c r="M121" s="61"/>
      <c r="N121" s="61"/>
      <c r="O121" s="61"/>
      <c r="P121" s="61"/>
      <c r="Q121" s="61"/>
      <c r="R121" s="61"/>
      <c r="S121" s="61"/>
      <c r="T121" s="61"/>
      <c r="U121" s="61"/>
      <c r="V121" s="61"/>
      <c r="W121" s="61"/>
      <c r="X121" s="61"/>
      <c r="Y121" s="61"/>
      <c r="Z121" s="61"/>
      <c r="AA121" s="61"/>
      <c r="AB121" s="61"/>
      <c r="AC121" s="61"/>
      <c r="AD121" s="61"/>
      <c r="AE121" s="61"/>
      <c r="AF121" s="61"/>
      <c r="AG121" s="61"/>
      <c r="AH121" s="61"/>
      <c r="AI121" s="61"/>
      <c r="AJ121" s="61"/>
      <c r="AK121" s="61"/>
      <c r="AL121" s="61"/>
      <c r="AM121" s="61"/>
      <c r="AN121" s="61"/>
      <c r="AO121" s="61"/>
      <c r="AP121" s="61"/>
      <c r="AQ121" s="61"/>
      <c r="AR121" s="61"/>
      <c r="AS121" s="61"/>
      <c r="AT121" s="61"/>
      <c r="AU121" s="61"/>
      <c r="AV121" s="61"/>
      <c r="AW121" s="61"/>
      <c r="AX121" s="61"/>
      <c r="AY121" s="61"/>
      <c r="AZ121" s="61"/>
      <c r="BA121" s="61"/>
      <c r="BB121" s="61"/>
      <c r="BC121" s="61"/>
      <c r="BD121" s="61"/>
      <c r="BE121" s="61"/>
      <c r="BF121" s="61"/>
      <c r="BG121" s="61"/>
      <c r="BH121" s="61"/>
      <c r="BI121" s="61"/>
      <c r="BJ121" s="61"/>
      <c r="BK121" s="61"/>
      <c r="BL121" s="61"/>
      <c r="BM121" s="61"/>
      <c r="BN121" s="61"/>
      <c r="BO121" s="61"/>
      <c r="BP121" s="61"/>
      <c r="BQ121" s="61"/>
      <c r="BR121" s="61"/>
    </row>
    <row r="122" spans="1:70">
      <c r="A122" s="711"/>
      <c r="B122" s="727"/>
      <c r="C122" s="728"/>
      <c r="J122" s="61"/>
      <c r="K122" s="61"/>
      <c r="L122" s="61"/>
      <c r="M122" s="61"/>
      <c r="N122" s="61"/>
    </row>
    <row r="123" spans="1:70" ht="15" customHeight="1">
      <c r="A123" s="26"/>
      <c r="B123" s="3313" t="s">
        <v>6569</v>
      </c>
      <c r="C123" s="3313"/>
      <c r="D123" s="3313"/>
      <c r="E123" s="3313"/>
      <c r="F123" s="3313"/>
      <c r="G123" s="3313"/>
      <c r="H123" s="3313"/>
      <c r="I123" s="3313"/>
      <c r="J123" s="61"/>
      <c r="K123" s="61"/>
      <c r="L123" s="61"/>
      <c r="M123" s="61"/>
      <c r="N123" s="61"/>
      <c r="O123" s="61"/>
      <c r="P123" s="61"/>
      <c r="Q123" s="61"/>
      <c r="R123" s="61"/>
      <c r="S123" s="61"/>
    </row>
    <row r="124" spans="1:70" ht="15" customHeight="1">
      <c r="A124" s="45"/>
      <c r="B124" s="24"/>
      <c r="C124" s="9" t="s">
        <v>140</v>
      </c>
      <c r="D124" s="9" t="s">
        <v>343</v>
      </c>
      <c r="E124" s="57" t="s">
        <v>344</v>
      </c>
      <c r="F124" s="57" t="s">
        <v>482</v>
      </c>
      <c r="G124" s="57" t="s">
        <v>483</v>
      </c>
      <c r="H124" s="57" t="s">
        <v>170</v>
      </c>
      <c r="I124" s="57" t="s">
        <v>171</v>
      </c>
      <c r="J124" s="61"/>
      <c r="K124" s="61"/>
      <c r="L124" s="61"/>
      <c r="M124" s="61"/>
      <c r="N124" s="61"/>
      <c r="O124" s="61"/>
      <c r="P124" s="61"/>
      <c r="Q124" s="61"/>
      <c r="R124" s="61"/>
      <c r="S124" s="61"/>
    </row>
    <row r="125" spans="1:70" ht="15" customHeight="1">
      <c r="A125" s="45" t="s">
        <v>715</v>
      </c>
      <c r="B125" s="8" t="s">
        <v>6419</v>
      </c>
      <c r="C125" s="27">
        <f>1/3.5</f>
        <v>0.2857142857142857</v>
      </c>
      <c r="D125" s="4" t="s">
        <v>717</v>
      </c>
      <c r="E125" s="57">
        <f>+CONM1</f>
        <v>47000</v>
      </c>
      <c r="F125" s="57">
        <f>+E125*C125</f>
        <v>13428.571428571428</v>
      </c>
      <c r="G125" s="57"/>
      <c r="H125" s="57"/>
      <c r="I125" s="57"/>
      <c r="J125" s="61"/>
      <c r="K125" s="61"/>
      <c r="L125" s="61"/>
      <c r="M125" s="61"/>
      <c r="N125" s="61"/>
      <c r="O125" s="61"/>
      <c r="P125" s="61"/>
      <c r="Q125" s="61"/>
      <c r="R125" s="61"/>
      <c r="S125" s="61"/>
    </row>
    <row r="126" spans="1:70" ht="15" customHeight="1">
      <c r="A126" s="45" t="s">
        <v>172</v>
      </c>
      <c r="B126" s="8" t="s">
        <v>189</v>
      </c>
      <c r="C126" s="27">
        <v>1</v>
      </c>
      <c r="D126" s="4" t="s">
        <v>583</v>
      </c>
      <c r="E126" s="57">
        <f>+H134*0.05</f>
        <v>3808.4108421714286</v>
      </c>
      <c r="F126" s="57"/>
      <c r="G126" s="57"/>
      <c r="H126" s="57"/>
      <c r="I126" s="57">
        <f>+E126*C126</f>
        <v>3808.4108421714286</v>
      </c>
      <c r="J126" s="61"/>
      <c r="K126" s="61"/>
      <c r="L126" s="61"/>
      <c r="M126" s="61"/>
      <c r="N126" s="61"/>
      <c r="O126" s="61"/>
      <c r="P126" s="61"/>
      <c r="Q126" s="61"/>
      <c r="R126" s="61"/>
      <c r="S126" s="61"/>
    </row>
    <row r="127" spans="1:70" ht="15" customHeight="1">
      <c r="A127" s="2025" t="s">
        <v>366</v>
      </c>
      <c r="B127" s="8" t="s">
        <v>367</v>
      </c>
      <c r="C127" s="27">
        <f>0.87*1.05</f>
        <v>0.91349999999999998</v>
      </c>
      <c r="D127" s="12" t="s">
        <v>356</v>
      </c>
      <c r="E127" s="71">
        <f>+TRITU</f>
        <v>85000</v>
      </c>
      <c r="F127" s="71"/>
      <c r="G127" s="71">
        <f>+E127*C127</f>
        <v>77647.5</v>
      </c>
      <c r="H127" s="71"/>
      <c r="I127" s="71"/>
      <c r="J127" s="61"/>
      <c r="K127" s="61"/>
      <c r="L127" s="61"/>
      <c r="M127" s="61"/>
      <c r="N127" s="61"/>
      <c r="O127" s="61"/>
      <c r="P127" s="61"/>
      <c r="Q127" s="61"/>
      <c r="R127" s="61"/>
      <c r="S127" s="61"/>
    </row>
    <row r="128" spans="1:70" ht="15" customHeight="1">
      <c r="A128" s="2025" t="s">
        <v>364</v>
      </c>
      <c r="B128" s="8" t="s">
        <v>6415</v>
      </c>
      <c r="C128" s="27">
        <f>0.87*1.05</f>
        <v>0.91349999999999998</v>
      </c>
      <c r="D128" s="12" t="s">
        <v>356</v>
      </c>
      <c r="E128" s="71">
        <f>+ARENP</f>
        <v>70500</v>
      </c>
      <c r="F128" s="71"/>
      <c r="G128" s="71">
        <f>+E128*C128</f>
        <v>64401.75</v>
      </c>
      <c r="H128" s="71"/>
      <c r="I128" s="71"/>
      <c r="J128" s="61"/>
      <c r="K128" s="61"/>
      <c r="L128" s="61"/>
      <c r="M128" s="61"/>
      <c r="N128" s="61"/>
      <c r="O128" s="61"/>
      <c r="P128" s="61"/>
      <c r="Q128" s="61"/>
      <c r="R128" s="61"/>
      <c r="S128" s="61"/>
    </row>
    <row r="129" spans="1:255" ht="15" customHeight="1">
      <c r="A129" s="2025" t="s">
        <v>368</v>
      </c>
      <c r="B129" s="8" t="s">
        <v>892</v>
      </c>
      <c r="C129" s="27">
        <v>8.5</v>
      </c>
      <c r="D129" s="12" t="s">
        <v>370</v>
      </c>
      <c r="E129" s="71">
        <f>+CEMEG</f>
        <v>25500</v>
      </c>
      <c r="F129" s="71"/>
      <c r="G129" s="71">
        <f>+E129*C129</f>
        <v>216750</v>
      </c>
      <c r="H129" s="71"/>
      <c r="I129" s="71"/>
      <c r="J129" s="61"/>
      <c r="K129" s="61"/>
      <c r="L129" s="61"/>
      <c r="M129" s="61"/>
      <c r="N129" s="61"/>
      <c r="O129" s="61"/>
      <c r="P129" s="61"/>
      <c r="Q129" s="61"/>
      <c r="R129" s="61"/>
      <c r="S129" s="61"/>
    </row>
    <row r="130" spans="1:255" ht="15" customHeight="1">
      <c r="A130" s="2025" t="s">
        <v>1015</v>
      </c>
      <c r="B130" s="8" t="s">
        <v>138</v>
      </c>
      <c r="C130" s="27">
        <f>+(C127+C128)*14</f>
        <v>25.577999999999999</v>
      </c>
      <c r="D130" s="12" t="s">
        <v>356</v>
      </c>
      <c r="E130" s="71">
        <f>+TRANS</f>
        <v>1350</v>
      </c>
      <c r="F130" s="71"/>
      <c r="G130" s="71"/>
      <c r="H130" s="71"/>
      <c r="I130" s="71">
        <f>+E130*C130</f>
        <v>34530.299999999996</v>
      </c>
      <c r="J130" s="61"/>
      <c r="K130" s="61"/>
      <c r="L130" s="61"/>
      <c r="M130" s="61"/>
      <c r="N130" s="61"/>
      <c r="O130" s="61"/>
      <c r="P130" s="61"/>
      <c r="Q130" s="61"/>
      <c r="R130" s="61"/>
      <c r="S130" s="61"/>
    </row>
    <row r="131" spans="1:255" ht="15" customHeight="1">
      <c r="A131" s="45" t="s">
        <v>72</v>
      </c>
      <c r="B131" s="8" t="s">
        <v>72</v>
      </c>
      <c r="C131" s="27">
        <v>202</v>
      </c>
      <c r="D131" s="4" t="s">
        <v>73</v>
      </c>
      <c r="E131" s="57">
        <f>+AGUA</f>
        <v>10.199999999999999</v>
      </c>
      <c r="F131" s="57"/>
      <c r="G131" s="57">
        <f>+E131*C131</f>
        <v>2060.3999999999996</v>
      </c>
      <c r="H131" s="57"/>
      <c r="I131" s="57"/>
      <c r="J131" s="61"/>
      <c r="K131" s="61"/>
      <c r="L131" s="61"/>
      <c r="M131" s="61"/>
      <c r="N131" s="61"/>
      <c r="O131" s="61"/>
      <c r="P131" s="61"/>
      <c r="Q131" s="61"/>
      <c r="R131" s="61"/>
      <c r="S131" s="61"/>
    </row>
    <row r="132" spans="1:255" s="23" customFormat="1" ht="16.8">
      <c r="A132" s="45" t="s">
        <v>347</v>
      </c>
      <c r="B132" s="8" t="str">
        <f>IF(PRESTA&gt;0,"AYUD. ENTENDIDO (INCLUYE "&amp;""&amp;PRESTA*100&amp;"% PRESTACIONES)",0)</f>
        <v>AYUD. ENTENDIDO (INCLUYE 82,22% PRESTACIONES)</v>
      </c>
      <c r="C132" s="27">
        <f>1/3.5</f>
        <v>0.2857142857142857</v>
      </c>
      <c r="D132" s="2695" t="s">
        <v>346</v>
      </c>
      <c r="E132" s="65">
        <f>+AYUDA</f>
        <v>65389.695592000004</v>
      </c>
      <c r="F132" s="65"/>
      <c r="G132" s="65"/>
      <c r="H132" s="65">
        <f>+E132*C132</f>
        <v>18682.770169142856</v>
      </c>
      <c r="I132" s="65"/>
      <c r="J132" s="25"/>
    </row>
    <row r="133" spans="1:255" s="23" customFormat="1" ht="16.8">
      <c r="A133" s="45" t="s">
        <v>348</v>
      </c>
      <c r="B133" s="8" t="str">
        <f>IF(PRESTA&gt;0,"AYUD. RASO (INCLUYE "&amp;""&amp;PRESTA*100&amp;"% PRESTACIONES)",0)</f>
        <v>AYUD. RASO (INCLUYE 82,22% PRESTACIONES)</v>
      </c>
      <c r="C133" s="27">
        <f>1/3.5</f>
        <v>0.2857142857142857</v>
      </c>
      <c r="D133" s="2695" t="s">
        <v>346</v>
      </c>
      <c r="E133" s="65">
        <f>+AYUDR*4</f>
        <v>201199.06336</v>
      </c>
      <c r="F133" s="65"/>
      <c r="G133" s="65"/>
      <c r="H133" s="65">
        <f>+E133*C133</f>
        <v>57485.446674285711</v>
      </c>
      <c r="I133" s="65"/>
    </row>
    <row r="134" spans="1:255" ht="15" customHeight="1">
      <c r="A134" s="20" t="s">
        <v>190</v>
      </c>
      <c r="B134" s="39">
        <f>SUM(F134:I134)</f>
        <v>488795.14911417139</v>
      </c>
      <c r="C134" s="34"/>
      <c r="D134" s="4"/>
      <c r="E134" s="57"/>
      <c r="F134" s="57">
        <f>SUM(F125:F133)</f>
        <v>13428.571428571428</v>
      </c>
      <c r="G134" s="57">
        <f>SUM(G125:G133)</f>
        <v>360859.65</v>
      </c>
      <c r="H134" s="57">
        <f>SUM(H125:H133)</f>
        <v>76168.21684342857</v>
      </c>
      <c r="I134" s="57">
        <f>SUM(I125:I133)</f>
        <v>38338.710842171422</v>
      </c>
      <c r="J134" s="61"/>
      <c r="K134" s="61"/>
      <c r="L134" s="61"/>
      <c r="M134" s="61"/>
      <c r="N134" s="61"/>
      <c r="O134" s="61"/>
      <c r="P134" s="61"/>
      <c r="Q134" s="61"/>
      <c r="R134" s="61"/>
      <c r="S134" s="61"/>
    </row>
    <row r="135" spans="1:255" ht="15" customHeight="1">
      <c r="A135" s="20" t="s">
        <v>191</v>
      </c>
      <c r="B135" s="39">
        <f>+B134</f>
        <v>488795.14911417139</v>
      </c>
      <c r="C135" s="21" t="s">
        <v>356</v>
      </c>
      <c r="D135" s="29"/>
      <c r="E135" s="66"/>
      <c r="F135" s="66"/>
      <c r="G135" s="66"/>
      <c r="H135" s="66"/>
      <c r="I135" s="66"/>
      <c r="J135" s="61"/>
      <c r="K135" s="61"/>
      <c r="L135" s="61"/>
      <c r="M135" s="61"/>
      <c r="N135" s="61"/>
      <c r="O135" s="61"/>
      <c r="P135" s="61"/>
      <c r="Q135" s="61"/>
      <c r="R135" s="61"/>
      <c r="S135" s="61"/>
      <c r="T135" s="61"/>
      <c r="U135" s="61"/>
      <c r="V135" s="61"/>
      <c r="W135" s="61"/>
      <c r="X135" s="61"/>
      <c r="Y135" s="61"/>
      <c r="Z135" s="61"/>
      <c r="AA135" s="61"/>
      <c r="AB135" s="61"/>
      <c r="AC135" s="61"/>
      <c r="AD135" s="61"/>
      <c r="AE135" s="61"/>
      <c r="AF135" s="61"/>
      <c r="AG135" s="61"/>
      <c r="AH135" s="61"/>
      <c r="AI135" s="61"/>
      <c r="AJ135" s="61"/>
      <c r="AK135" s="61"/>
      <c r="AL135" s="61"/>
      <c r="AM135" s="61"/>
      <c r="AN135" s="61"/>
      <c r="AO135" s="61"/>
      <c r="AP135" s="61"/>
      <c r="AQ135" s="61"/>
      <c r="AR135" s="61"/>
      <c r="AS135" s="61"/>
      <c r="AT135" s="61"/>
      <c r="AU135" s="61"/>
      <c r="AV135" s="61"/>
      <c r="AW135" s="61"/>
      <c r="AX135" s="61"/>
      <c r="AY135" s="61"/>
      <c r="AZ135" s="61"/>
      <c r="BA135" s="61"/>
      <c r="BB135" s="61"/>
      <c r="BC135" s="61"/>
      <c r="BD135" s="61"/>
      <c r="BE135" s="61"/>
      <c r="BF135" s="61"/>
      <c r="BG135" s="61"/>
      <c r="BH135" s="61"/>
      <c r="BI135" s="61"/>
      <c r="BJ135" s="61"/>
      <c r="BK135" s="61"/>
      <c r="BL135" s="61"/>
      <c r="BM135" s="61"/>
      <c r="BN135" s="61"/>
      <c r="BO135" s="61"/>
      <c r="BP135" s="61"/>
      <c r="BQ135" s="61"/>
      <c r="BR135" s="61"/>
    </row>
    <row r="136" spans="1:255" s="61" customFormat="1" ht="15" customHeight="1" thickBot="1">
      <c r="A136" s="13"/>
      <c r="B136" s="679"/>
      <c r="C136" s="252"/>
      <c r="D136" s="16"/>
      <c r="E136" s="1298"/>
      <c r="F136" s="1298"/>
      <c r="G136" s="1298"/>
      <c r="H136" s="1298"/>
      <c r="I136" s="1298"/>
    </row>
    <row r="137" spans="1:255" s="61" customFormat="1" ht="15.75" customHeight="1" thickBot="1">
      <c r="A137" s="3314" t="s">
        <v>21</v>
      </c>
      <c r="B137" s="3315"/>
      <c r="C137" s="3315"/>
      <c r="D137" s="3315"/>
      <c r="E137" s="3315"/>
      <c r="F137" s="3315"/>
      <c r="G137" s="3315"/>
      <c r="H137" s="3315"/>
      <c r="I137" s="3316"/>
      <c r="J137" s="2726"/>
      <c r="K137" s="2727"/>
      <c r="L137" s="2728"/>
      <c r="M137" s="2729"/>
      <c r="N137" s="2730"/>
      <c r="O137" s="2730"/>
      <c r="P137" s="2726"/>
      <c r="Q137" s="2726"/>
      <c r="R137" s="2726"/>
      <c r="S137" s="2727"/>
      <c r="T137" s="2728"/>
      <c r="U137" s="2729"/>
      <c r="V137" s="2730"/>
      <c r="W137" s="2730"/>
      <c r="X137" s="2726"/>
      <c r="Y137" s="2726"/>
      <c r="Z137" s="2726"/>
      <c r="AA137" s="2727"/>
      <c r="AB137" s="2728"/>
      <c r="AC137" s="2729"/>
      <c r="AD137" s="2730"/>
      <c r="AE137" s="2730"/>
      <c r="AF137" s="2726"/>
      <c r="AG137" s="2726"/>
      <c r="AH137" s="2726"/>
      <c r="AI137" s="2727"/>
      <c r="AJ137" s="2728"/>
      <c r="AK137" s="2729"/>
      <c r="AL137" s="2730"/>
      <c r="AM137" s="2730"/>
      <c r="AN137" s="2726"/>
      <c r="AO137" s="2726"/>
      <c r="AP137" s="2726"/>
      <c r="AQ137" s="2727"/>
      <c r="AR137" s="2728"/>
      <c r="AS137" s="2729"/>
      <c r="AT137" s="2730"/>
      <c r="AU137" s="2730"/>
      <c r="AV137" s="2726"/>
      <c r="AW137" s="2726"/>
      <c r="AX137" s="2726"/>
      <c r="AY137" s="2727"/>
      <c r="AZ137" s="2728"/>
      <c r="BA137" s="2729"/>
      <c r="BB137" s="2730"/>
      <c r="BC137" s="2730"/>
      <c r="BD137" s="2726"/>
      <c r="BE137" s="2726"/>
      <c r="BF137" s="2726"/>
      <c r="BG137" s="2727"/>
      <c r="BH137" s="2728"/>
      <c r="BI137" s="2729"/>
      <c r="BJ137" s="2730"/>
      <c r="BK137" s="2730"/>
      <c r="BL137" s="2726"/>
      <c r="BM137" s="2726"/>
      <c r="BN137" s="2726"/>
      <c r="BO137" s="2727"/>
      <c r="BP137" s="2728"/>
      <c r="BQ137" s="2729"/>
      <c r="BR137" s="2730"/>
      <c r="BS137" s="2730"/>
      <c r="BT137" s="2726"/>
      <c r="BU137" s="2726"/>
      <c r="BV137" s="2726"/>
      <c r="BW137" s="2727"/>
      <c r="BX137" s="2728"/>
      <c r="BY137" s="2729"/>
      <c r="BZ137" s="2730"/>
      <c r="CA137" s="2730"/>
      <c r="CB137" s="2726"/>
      <c r="CC137" s="2726"/>
      <c r="CD137" s="2726"/>
      <c r="CE137" s="2727"/>
      <c r="CF137" s="2728"/>
      <c r="CG137" s="2729"/>
      <c r="CH137" s="2730"/>
      <c r="CI137" s="2730"/>
      <c r="CJ137" s="2726"/>
      <c r="CK137" s="2726"/>
      <c r="CL137" s="2726"/>
      <c r="CM137" s="2727"/>
      <c r="CN137" s="2728"/>
      <c r="CO137" s="2729"/>
      <c r="CP137" s="2730"/>
      <c r="CQ137" s="2730"/>
      <c r="CR137" s="2726"/>
      <c r="CS137" s="2726"/>
      <c r="CT137" s="2726"/>
      <c r="CU137" s="2727"/>
      <c r="CV137" s="2728"/>
      <c r="CW137" s="2729"/>
      <c r="CX137" s="2730"/>
      <c r="CY137" s="2730"/>
      <c r="CZ137" s="2726"/>
      <c r="DA137" s="2726"/>
      <c r="DB137" s="2726"/>
      <c r="DC137" s="2727"/>
      <c r="DD137" s="2728"/>
      <c r="DE137" s="2729"/>
      <c r="DF137" s="2730"/>
      <c r="DG137" s="2730"/>
      <c r="DH137" s="2726"/>
      <c r="DI137" s="2726"/>
      <c r="DJ137" s="2726"/>
      <c r="DK137" s="2727"/>
      <c r="DL137" s="2728"/>
      <c r="DM137" s="2729"/>
      <c r="DN137" s="2730"/>
      <c r="DO137" s="2730"/>
      <c r="DP137" s="2726"/>
      <c r="DQ137" s="2726"/>
      <c r="DR137" s="2726"/>
      <c r="DS137" s="2727"/>
      <c r="DT137" s="2728"/>
      <c r="DU137" s="2729"/>
      <c r="DV137" s="2730"/>
      <c r="DW137" s="2730"/>
      <c r="DX137" s="2726"/>
      <c r="DY137" s="2726"/>
      <c r="DZ137" s="2726"/>
      <c r="EA137" s="2727"/>
      <c r="EB137" s="2728"/>
      <c r="EC137" s="2729"/>
      <c r="ED137" s="2730"/>
      <c r="EE137" s="2730"/>
      <c r="EF137" s="2726"/>
      <c r="EG137" s="2726"/>
      <c r="EH137" s="2726"/>
      <c r="EI137" s="2727"/>
      <c r="EJ137" s="2728"/>
      <c r="EK137" s="2729"/>
      <c r="EL137" s="2730"/>
      <c r="EM137" s="2730"/>
      <c r="EN137" s="2726"/>
      <c r="EO137" s="2726"/>
      <c r="EP137" s="2726"/>
      <c r="EQ137" s="2727"/>
      <c r="ER137" s="2728"/>
      <c r="ES137" s="2729"/>
      <c r="ET137" s="2730"/>
      <c r="EU137" s="2730"/>
      <c r="EV137" s="2726"/>
      <c r="EW137" s="2726"/>
      <c r="EX137" s="2726"/>
      <c r="EY137" s="2727"/>
      <c r="EZ137" s="2728"/>
      <c r="FA137" s="2729"/>
      <c r="FB137" s="2730"/>
      <c r="FC137" s="2730"/>
      <c r="FD137" s="2726"/>
      <c r="FE137" s="2726"/>
      <c r="FF137" s="2726"/>
      <c r="FG137" s="2727"/>
      <c r="FH137" s="2728"/>
      <c r="FI137" s="2729"/>
      <c r="FJ137" s="2730"/>
      <c r="FK137" s="2730"/>
      <c r="FL137" s="2726"/>
      <c r="FM137" s="2726"/>
      <c r="FN137" s="2726"/>
      <c r="FO137" s="2727"/>
      <c r="FP137" s="2728"/>
      <c r="FQ137" s="2729"/>
      <c r="FR137" s="2730"/>
      <c r="FS137" s="2730"/>
      <c r="FT137" s="2726"/>
      <c r="FU137" s="2726"/>
      <c r="FV137" s="2726"/>
      <c r="FW137" s="2727"/>
      <c r="FX137" s="2728"/>
      <c r="FY137" s="2729"/>
      <c r="FZ137" s="2730"/>
      <c r="GA137" s="2730"/>
      <c r="GB137" s="2726"/>
      <c r="GC137" s="2726"/>
      <c r="GD137" s="2726"/>
      <c r="GE137" s="2727"/>
      <c r="GF137" s="2728"/>
      <c r="GG137" s="2729"/>
      <c r="GH137" s="2730"/>
      <c r="GI137" s="2730"/>
      <c r="GJ137" s="2726"/>
      <c r="GK137" s="2726"/>
      <c r="GL137" s="2726"/>
      <c r="GM137" s="2727"/>
      <c r="GN137" s="2728"/>
      <c r="GO137" s="2729"/>
      <c r="GP137" s="2730"/>
      <c r="GQ137" s="2730"/>
      <c r="GR137" s="2726"/>
      <c r="GS137" s="2726"/>
      <c r="GT137" s="2726"/>
      <c r="GU137" s="2727"/>
      <c r="GV137" s="2728"/>
      <c r="GW137" s="2729"/>
      <c r="GX137" s="2730"/>
      <c r="GY137" s="2730"/>
      <c r="GZ137" s="2726"/>
      <c r="HA137" s="2726"/>
      <c r="HB137" s="2726"/>
      <c r="HC137" s="2727"/>
      <c r="HD137" s="2728"/>
      <c r="HE137" s="2729"/>
      <c r="HF137" s="2730"/>
      <c r="HG137" s="2730"/>
      <c r="HH137" s="2726"/>
      <c r="HI137" s="2726"/>
      <c r="HJ137" s="2726"/>
      <c r="HK137" s="2727"/>
      <c r="HL137" s="2728"/>
      <c r="HM137" s="2729"/>
      <c r="HN137" s="2730"/>
      <c r="HO137" s="2730"/>
      <c r="HP137" s="2726"/>
      <c r="HQ137" s="2726"/>
      <c r="HR137" s="2726"/>
      <c r="HS137" s="2727"/>
      <c r="HT137" s="2728"/>
      <c r="HU137" s="2729"/>
      <c r="HV137" s="2730"/>
      <c r="HW137" s="2730"/>
      <c r="HX137" s="2726"/>
      <c r="HY137" s="2726"/>
      <c r="HZ137" s="2726"/>
      <c r="IA137" s="2727"/>
      <c r="IB137" s="2728"/>
      <c r="IC137" s="2729"/>
      <c r="ID137" s="2730"/>
      <c r="IE137" s="2730"/>
      <c r="IF137" s="2726"/>
      <c r="IG137" s="2726"/>
      <c r="IH137" s="2726"/>
      <c r="II137" s="2727"/>
      <c r="IJ137" s="2728"/>
      <c r="IK137" s="2729"/>
      <c r="IL137" s="2730"/>
      <c r="IM137" s="2730"/>
      <c r="IN137" s="2726"/>
      <c r="IO137" s="2726"/>
      <c r="IP137" s="2726"/>
      <c r="IQ137" s="2727"/>
      <c r="IR137" s="2728"/>
      <c r="IS137" s="2729"/>
      <c r="IT137" s="2730"/>
      <c r="IU137" s="2730"/>
    </row>
    <row r="138" spans="1:255" s="61" customFormat="1" ht="15" customHeight="1">
      <c r="A138" s="2731"/>
      <c r="B138" s="2731"/>
      <c r="C138" s="2732"/>
      <c r="D138" s="2733"/>
      <c r="E138" s="2734"/>
      <c r="F138" s="2735"/>
      <c r="G138" s="2735"/>
      <c r="H138" s="2736"/>
      <c r="I138" s="2736"/>
      <c r="J138" s="2731"/>
      <c r="K138" s="2732"/>
      <c r="L138" s="2733"/>
      <c r="M138" s="2737"/>
      <c r="N138" s="2738"/>
      <c r="O138" s="2738"/>
      <c r="P138" s="2731"/>
      <c r="Q138" s="2731"/>
      <c r="R138" s="2731"/>
      <c r="S138" s="2732"/>
      <c r="T138" s="2733"/>
      <c r="U138" s="2737"/>
      <c r="V138" s="2738"/>
      <c r="W138" s="2738"/>
      <c r="X138" s="2731"/>
      <c r="Y138" s="2731"/>
      <c r="Z138" s="2731"/>
      <c r="AA138" s="2732"/>
      <c r="AB138" s="2733"/>
      <c r="AC138" s="2737"/>
      <c r="AD138" s="2738"/>
      <c r="AE138" s="2738"/>
      <c r="AF138" s="2731"/>
      <c r="AG138" s="2731"/>
      <c r="AH138" s="2731"/>
      <c r="AI138" s="2732"/>
      <c r="AJ138" s="2733"/>
      <c r="AK138" s="2737"/>
      <c r="AL138" s="2738"/>
      <c r="AM138" s="2738"/>
      <c r="AN138" s="2731"/>
      <c r="AO138" s="2731"/>
      <c r="AP138" s="2731"/>
      <c r="AQ138" s="2732"/>
      <c r="AR138" s="2733"/>
      <c r="AS138" s="2737"/>
      <c r="AT138" s="2738"/>
      <c r="AU138" s="2738"/>
      <c r="AV138" s="2731"/>
      <c r="AW138" s="2731"/>
      <c r="AX138" s="2731"/>
      <c r="AY138" s="2732"/>
      <c r="AZ138" s="2733"/>
      <c r="BA138" s="2737"/>
      <c r="BB138" s="2738"/>
      <c r="BC138" s="2738"/>
      <c r="BD138" s="2731"/>
      <c r="BE138" s="2731"/>
      <c r="BF138" s="2731"/>
      <c r="BG138" s="2732"/>
      <c r="BH138" s="2733"/>
      <c r="BI138" s="2737"/>
      <c r="BJ138" s="2738"/>
      <c r="BK138" s="2738"/>
      <c r="BL138" s="2731"/>
      <c r="BM138" s="2731"/>
      <c r="BN138" s="2731"/>
      <c r="BO138" s="2732"/>
      <c r="BP138" s="2733"/>
      <c r="BQ138" s="2737"/>
      <c r="BR138" s="2738"/>
      <c r="BS138" s="2738"/>
      <c r="BT138" s="2731"/>
      <c r="BU138" s="2731"/>
      <c r="BV138" s="2731"/>
      <c r="BW138" s="2732"/>
      <c r="BX138" s="2733"/>
      <c r="BY138" s="2737"/>
      <c r="BZ138" s="2738"/>
      <c r="CA138" s="2738"/>
      <c r="CB138" s="2731"/>
      <c r="CC138" s="2731"/>
      <c r="CD138" s="2731"/>
      <c r="CE138" s="2732"/>
      <c r="CF138" s="2733"/>
      <c r="CG138" s="2737"/>
      <c r="CH138" s="2738"/>
      <c r="CI138" s="2738"/>
      <c r="CJ138" s="2731"/>
      <c r="CK138" s="2731"/>
      <c r="CL138" s="2731"/>
      <c r="CM138" s="2732"/>
      <c r="CN138" s="2733"/>
      <c r="CO138" s="2737"/>
      <c r="CP138" s="2738"/>
      <c r="CQ138" s="2738"/>
      <c r="CR138" s="2731"/>
      <c r="CS138" s="2731"/>
      <c r="CT138" s="2731"/>
      <c r="CU138" s="2732"/>
      <c r="CV138" s="2733"/>
      <c r="CW138" s="2737"/>
      <c r="CX138" s="2738"/>
      <c r="CY138" s="2738"/>
      <c r="CZ138" s="2731"/>
      <c r="DA138" s="2731"/>
      <c r="DB138" s="2731"/>
      <c r="DC138" s="2732"/>
      <c r="DD138" s="2733"/>
      <c r="DE138" s="2737"/>
      <c r="DF138" s="2738"/>
      <c r="DG138" s="2738"/>
      <c r="DH138" s="2731"/>
      <c r="DI138" s="2731"/>
      <c r="DJ138" s="2731"/>
      <c r="DK138" s="2732"/>
      <c r="DL138" s="2733"/>
      <c r="DM138" s="2737"/>
      <c r="DN138" s="2738"/>
      <c r="DO138" s="2738"/>
      <c r="DP138" s="2731"/>
      <c r="DQ138" s="2731"/>
      <c r="DR138" s="2731"/>
      <c r="DS138" s="2732"/>
      <c r="DT138" s="2733"/>
      <c r="DU138" s="2737"/>
      <c r="DV138" s="2738"/>
      <c r="DW138" s="2738"/>
      <c r="DX138" s="2731"/>
      <c r="DY138" s="2731"/>
      <c r="DZ138" s="2731"/>
      <c r="EA138" s="2732"/>
      <c r="EB138" s="2733"/>
      <c r="EC138" s="2737"/>
      <c r="ED138" s="2738"/>
      <c r="EE138" s="2738"/>
      <c r="EF138" s="2731"/>
      <c r="EG138" s="2731"/>
      <c r="EH138" s="2731"/>
      <c r="EI138" s="2732"/>
      <c r="EJ138" s="2733"/>
      <c r="EK138" s="2737"/>
      <c r="EL138" s="2738"/>
      <c r="EM138" s="2738"/>
      <c r="EN138" s="2731"/>
      <c r="EO138" s="2731"/>
      <c r="EP138" s="2731"/>
      <c r="EQ138" s="2732"/>
      <c r="ER138" s="2733"/>
      <c r="ES138" s="2737"/>
      <c r="ET138" s="2738"/>
      <c r="EU138" s="2738"/>
      <c r="EV138" s="2731"/>
      <c r="EW138" s="2731"/>
      <c r="EX138" s="2731"/>
      <c r="EY138" s="2732"/>
      <c r="EZ138" s="2733"/>
      <c r="FA138" s="2737"/>
      <c r="FB138" s="2738"/>
      <c r="FC138" s="2738"/>
      <c r="FD138" s="2731"/>
      <c r="FE138" s="2731"/>
      <c r="FF138" s="2731"/>
      <c r="FG138" s="2732"/>
      <c r="FH138" s="2733"/>
      <c r="FI138" s="2737"/>
      <c r="FJ138" s="2738"/>
      <c r="FK138" s="2738"/>
      <c r="FL138" s="2731"/>
      <c r="FM138" s="2731"/>
      <c r="FN138" s="2731"/>
      <c r="FO138" s="2732"/>
      <c r="FP138" s="2733"/>
      <c r="FQ138" s="2737"/>
      <c r="FR138" s="2738"/>
      <c r="FS138" s="2738"/>
      <c r="FT138" s="2731"/>
      <c r="FU138" s="2731"/>
      <c r="FV138" s="2731"/>
      <c r="FW138" s="2732"/>
      <c r="FX138" s="2733"/>
      <c r="FY138" s="2737"/>
      <c r="FZ138" s="2738"/>
      <c r="GA138" s="2738"/>
      <c r="GB138" s="2731"/>
      <c r="GC138" s="2731"/>
      <c r="GD138" s="2731"/>
      <c r="GE138" s="2732"/>
      <c r="GF138" s="2733"/>
      <c r="GG138" s="2737"/>
      <c r="GH138" s="2738"/>
      <c r="GI138" s="2738"/>
      <c r="GJ138" s="2731"/>
      <c r="GK138" s="2731"/>
      <c r="GL138" s="2731"/>
      <c r="GM138" s="2732"/>
      <c r="GN138" s="2733"/>
      <c r="GO138" s="2737"/>
      <c r="GP138" s="2738"/>
      <c r="GQ138" s="2738"/>
      <c r="GR138" s="2731"/>
      <c r="GS138" s="2731"/>
      <c r="GT138" s="2731"/>
      <c r="GU138" s="2732"/>
      <c r="GV138" s="2733"/>
      <c r="GW138" s="2737"/>
      <c r="GX138" s="2738"/>
      <c r="GY138" s="2738"/>
      <c r="GZ138" s="2731"/>
      <c r="HA138" s="2731"/>
      <c r="HB138" s="2731"/>
      <c r="HC138" s="2732"/>
      <c r="HD138" s="2733"/>
      <c r="HE138" s="2737"/>
      <c r="HF138" s="2738"/>
      <c r="HG138" s="2738"/>
      <c r="HH138" s="2731"/>
      <c r="HI138" s="2731"/>
      <c r="HJ138" s="2731"/>
      <c r="HK138" s="2732"/>
      <c r="HL138" s="2733"/>
      <c r="HM138" s="2737"/>
      <c r="HN138" s="2738"/>
      <c r="HO138" s="2738"/>
      <c r="HP138" s="2731"/>
      <c r="HQ138" s="2731"/>
      <c r="HR138" s="2731"/>
      <c r="HS138" s="2732"/>
      <c r="HT138" s="2733"/>
      <c r="HU138" s="2737"/>
      <c r="HV138" s="2738"/>
      <c r="HW138" s="2738"/>
      <c r="HX138" s="2731"/>
      <c r="HY138" s="2731"/>
      <c r="HZ138" s="2731"/>
      <c r="IA138" s="2732"/>
      <c r="IB138" s="2733"/>
      <c r="IC138" s="2737"/>
      <c r="ID138" s="2738"/>
      <c r="IE138" s="2738"/>
      <c r="IF138" s="2731"/>
      <c r="IG138" s="2731"/>
      <c r="IH138" s="2731"/>
      <c r="II138" s="2732"/>
      <c r="IJ138" s="2733"/>
      <c r="IK138" s="2737"/>
      <c r="IL138" s="2738"/>
      <c r="IM138" s="2738"/>
      <c r="IN138" s="2731"/>
      <c r="IO138" s="2731"/>
      <c r="IP138" s="2731"/>
      <c r="IQ138" s="2732"/>
      <c r="IR138" s="2733"/>
      <c r="IS138" s="2737"/>
      <c r="IT138" s="2738"/>
      <c r="IU138" s="2738"/>
    </row>
    <row r="139" spans="1:255" ht="15" customHeight="1">
      <c r="A139" s="26"/>
      <c r="B139" s="3313" t="s">
        <v>878</v>
      </c>
      <c r="C139" s="3313"/>
      <c r="D139" s="3313"/>
      <c r="E139" s="3313"/>
      <c r="F139" s="3313"/>
      <c r="G139" s="3313"/>
      <c r="H139" s="3313"/>
      <c r="I139" s="3313"/>
      <c r="J139" s="61"/>
      <c r="K139" s="61"/>
      <c r="L139" s="61"/>
      <c r="M139" s="61"/>
      <c r="N139" s="61"/>
      <c r="O139" s="61"/>
      <c r="P139" s="61"/>
      <c r="Q139" s="61"/>
      <c r="R139" s="61"/>
      <c r="S139" s="61"/>
    </row>
    <row r="140" spans="1:255" ht="15" customHeight="1">
      <c r="A140" s="45"/>
      <c r="B140" s="24"/>
      <c r="C140" s="9" t="s">
        <v>140</v>
      </c>
      <c r="D140" s="9" t="s">
        <v>343</v>
      </c>
      <c r="E140" s="57" t="s">
        <v>344</v>
      </c>
      <c r="F140" s="57" t="s">
        <v>482</v>
      </c>
      <c r="G140" s="57" t="s">
        <v>483</v>
      </c>
      <c r="H140" s="57" t="s">
        <v>170</v>
      </c>
      <c r="I140" s="57" t="s">
        <v>171</v>
      </c>
      <c r="J140" s="61"/>
      <c r="K140" s="61"/>
      <c r="L140" s="61"/>
      <c r="M140" s="61"/>
      <c r="N140" s="61"/>
      <c r="O140" s="61"/>
      <c r="P140" s="61"/>
      <c r="Q140" s="61"/>
      <c r="R140" s="61"/>
      <c r="S140" s="61"/>
    </row>
    <row r="141" spans="1:255" ht="15" customHeight="1">
      <c r="A141" s="45" t="s">
        <v>715</v>
      </c>
      <c r="B141" s="8" t="s">
        <v>6419</v>
      </c>
      <c r="C141" s="27">
        <f>1/4</f>
        <v>0.25</v>
      </c>
      <c r="D141" s="4" t="s">
        <v>717</v>
      </c>
      <c r="E141" s="57">
        <f>+CONM1</f>
        <v>47000</v>
      </c>
      <c r="F141" s="57">
        <f>+E141*C141</f>
        <v>11750</v>
      </c>
      <c r="G141" s="57"/>
      <c r="H141" s="57"/>
      <c r="I141" s="57"/>
      <c r="J141" s="61"/>
      <c r="K141" s="61"/>
      <c r="L141" s="61"/>
      <c r="M141" s="61"/>
      <c r="N141" s="61"/>
      <c r="O141" s="61"/>
      <c r="P141" s="61"/>
      <c r="Q141" s="61"/>
      <c r="R141" s="61"/>
      <c r="S141" s="61"/>
    </row>
    <row r="142" spans="1:255" s="61" customFormat="1" ht="16.5" customHeight="1">
      <c r="A142" s="11" t="s">
        <v>740</v>
      </c>
      <c r="B142" s="8" t="s">
        <v>6414</v>
      </c>
      <c r="C142" s="27">
        <f>1.09*1.05</f>
        <v>1.1445000000000001</v>
      </c>
      <c r="D142" s="12" t="s">
        <v>356</v>
      </c>
      <c r="E142" s="70">
        <f>+ARENP</f>
        <v>70500</v>
      </c>
      <c r="F142" s="71"/>
      <c r="G142" s="71">
        <f>+E142*C142</f>
        <v>80687.25</v>
      </c>
      <c r="H142" s="71"/>
      <c r="I142" s="71"/>
      <c r="J142" s="2739"/>
    </row>
    <row r="143" spans="1:255" ht="15" customHeight="1">
      <c r="A143" s="45" t="s">
        <v>172</v>
      </c>
      <c r="B143" s="8" t="s">
        <v>189</v>
      </c>
      <c r="C143" s="27">
        <v>1</v>
      </c>
      <c r="D143" s="4" t="s">
        <v>583</v>
      </c>
      <c r="E143" s="57">
        <f>+H149*0.05</f>
        <v>3332.3594869000003</v>
      </c>
      <c r="F143" s="57"/>
      <c r="G143" s="57"/>
      <c r="H143" s="57"/>
      <c r="I143" s="57">
        <f>+E143*C143</f>
        <v>3332.3594869000003</v>
      </c>
      <c r="J143" s="61"/>
      <c r="K143" s="61"/>
      <c r="L143" s="61"/>
      <c r="M143" s="61"/>
      <c r="N143" s="61"/>
      <c r="O143" s="61"/>
      <c r="P143" s="61"/>
      <c r="Q143" s="61"/>
      <c r="R143" s="61"/>
      <c r="S143" s="61"/>
    </row>
    <row r="144" spans="1:255" ht="15" customHeight="1">
      <c r="A144" s="45" t="s">
        <v>368</v>
      </c>
      <c r="B144" s="8" t="s">
        <v>892</v>
      </c>
      <c r="C144" s="27">
        <v>9</v>
      </c>
      <c r="D144" s="4" t="s">
        <v>370</v>
      </c>
      <c r="E144" s="57">
        <f>+CEMEG</f>
        <v>25500</v>
      </c>
      <c r="F144" s="57"/>
      <c r="G144" s="57">
        <f>+E144*C144</f>
        <v>229500</v>
      </c>
      <c r="H144" s="57"/>
      <c r="I144" s="57"/>
      <c r="J144" s="61"/>
      <c r="K144" s="61"/>
      <c r="L144" s="61"/>
      <c r="M144" s="61"/>
      <c r="N144" s="61"/>
      <c r="O144" s="61"/>
      <c r="P144" s="61"/>
      <c r="Q144" s="61"/>
      <c r="R144" s="61"/>
      <c r="S144" s="61"/>
    </row>
    <row r="145" spans="1:70" ht="15" customHeight="1">
      <c r="A145" s="45" t="s">
        <v>1015</v>
      </c>
      <c r="B145" s="8" t="s">
        <v>138</v>
      </c>
      <c r="C145" s="27">
        <f>+C142*14</f>
        <v>16.023</v>
      </c>
      <c r="D145" s="4" t="s">
        <v>356</v>
      </c>
      <c r="E145" s="57">
        <f>+TRANS</f>
        <v>1350</v>
      </c>
      <c r="F145" s="57"/>
      <c r="G145" s="57"/>
      <c r="H145" s="57"/>
      <c r="I145" s="57">
        <f>+E145*C145</f>
        <v>21631.05</v>
      </c>
      <c r="J145" s="61"/>
      <c r="K145" s="61"/>
      <c r="L145" s="61"/>
      <c r="M145" s="61"/>
      <c r="N145" s="61"/>
      <c r="O145" s="61"/>
      <c r="P145" s="61"/>
      <c r="Q145" s="61"/>
      <c r="R145" s="61"/>
      <c r="S145" s="61"/>
    </row>
    <row r="146" spans="1:70" ht="15" customHeight="1">
      <c r="A146" s="45" t="s">
        <v>72</v>
      </c>
      <c r="B146" s="8" t="s">
        <v>72</v>
      </c>
      <c r="C146" s="27">
        <v>70</v>
      </c>
      <c r="D146" s="4" t="s">
        <v>73</v>
      </c>
      <c r="E146" s="57">
        <f>+AGUA</f>
        <v>10.199999999999999</v>
      </c>
      <c r="F146" s="57"/>
      <c r="G146" s="57">
        <f>+E146*C146</f>
        <v>714</v>
      </c>
      <c r="H146" s="57"/>
      <c r="I146" s="57"/>
      <c r="J146" s="61"/>
      <c r="K146" s="61"/>
      <c r="L146" s="61"/>
      <c r="M146" s="61"/>
      <c r="N146" s="61"/>
      <c r="O146" s="61"/>
      <c r="P146" s="61"/>
      <c r="Q146" s="61"/>
      <c r="R146" s="61"/>
      <c r="S146" s="61"/>
    </row>
    <row r="147" spans="1:70" s="23" customFormat="1" ht="16.8">
      <c r="A147" s="45" t="s">
        <v>347</v>
      </c>
      <c r="B147" s="8" t="str">
        <f>IF(PRESTA&gt;0,"AYUD. ENTENDIDO (INCLUYE "&amp;""&amp;PRESTA*100&amp;"% PRESTACIONES)",0)</f>
        <v>AYUD. ENTENDIDO (INCLUYE 82,22% PRESTACIONES)</v>
      </c>
      <c r="C147" s="27">
        <f>+C141</f>
        <v>0.25</v>
      </c>
      <c r="D147" s="2695" t="s">
        <v>346</v>
      </c>
      <c r="E147" s="65">
        <f>+AYUDA</f>
        <v>65389.695592000004</v>
      </c>
      <c r="F147" s="65"/>
      <c r="G147" s="65"/>
      <c r="H147" s="65">
        <f>+E147*C147</f>
        <v>16347.423898000001</v>
      </c>
      <c r="I147" s="65"/>
      <c r="J147" s="25"/>
    </row>
    <row r="148" spans="1:70" s="23" customFormat="1" ht="16.8">
      <c r="A148" s="45" t="s">
        <v>348</v>
      </c>
      <c r="B148" s="8" t="str">
        <f>IF(PRESTA&gt;0,"AYUD. RASO (INCLUYE "&amp;""&amp;PRESTA*100&amp;"% PRESTACIONES)",0)</f>
        <v>AYUD. RASO (INCLUYE 82,22% PRESTACIONES)</v>
      </c>
      <c r="C148" s="27">
        <f>+C147*4</f>
        <v>1</v>
      </c>
      <c r="D148" s="2695" t="s">
        <v>346</v>
      </c>
      <c r="E148" s="65">
        <f>+AYUDR</f>
        <v>50299.76584</v>
      </c>
      <c r="F148" s="65"/>
      <c r="G148" s="65"/>
      <c r="H148" s="65">
        <f>+E148*C148</f>
        <v>50299.76584</v>
      </c>
      <c r="I148" s="65"/>
    </row>
    <row r="149" spans="1:70" ht="15" customHeight="1">
      <c r="A149" s="20" t="s">
        <v>190</v>
      </c>
      <c r="B149" s="39">
        <f>SUM(F149:I149)</f>
        <v>414261.84922490001</v>
      </c>
      <c r="C149" s="34"/>
      <c r="D149" s="4"/>
      <c r="E149" s="57"/>
      <c r="F149" s="57">
        <f>SUM(F141:F148)</f>
        <v>11750</v>
      </c>
      <c r="G149" s="57">
        <f>SUM(G141:G148)</f>
        <v>310901.25</v>
      </c>
      <c r="H149" s="57">
        <f>SUM(H141:H148)</f>
        <v>66647.189738000001</v>
      </c>
      <c r="I149" s="57">
        <f>SUM(I141:I148)</f>
        <v>24963.4094869</v>
      </c>
      <c r="J149" s="61"/>
      <c r="K149" s="2131"/>
      <c r="L149" s="61"/>
      <c r="M149" s="61"/>
      <c r="N149" s="61"/>
      <c r="O149" s="61"/>
      <c r="P149" s="61"/>
      <c r="Q149" s="61"/>
      <c r="R149" s="61"/>
      <c r="S149" s="61"/>
    </row>
    <row r="150" spans="1:70" ht="15" customHeight="1">
      <c r="A150" s="20" t="s">
        <v>191</v>
      </c>
      <c r="B150" s="39">
        <f>+B149</f>
        <v>414261.84922490001</v>
      </c>
      <c r="C150" s="21" t="s">
        <v>356</v>
      </c>
      <c r="D150" s="29"/>
      <c r="E150" s="66"/>
      <c r="F150" s="66"/>
      <c r="G150" s="66"/>
      <c r="H150" s="66"/>
      <c r="I150" s="66"/>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row>
    <row r="151" spans="1:70">
      <c r="A151" s="711"/>
      <c r="B151" s="727"/>
      <c r="C151" s="728"/>
      <c r="J151" s="61"/>
      <c r="K151" s="61"/>
      <c r="L151" s="61"/>
      <c r="M151" s="61"/>
      <c r="N151" s="61"/>
    </row>
    <row r="152" spans="1:70" ht="15" customHeight="1">
      <c r="A152" s="26"/>
      <c r="B152" s="3313" t="s">
        <v>879</v>
      </c>
      <c r="C152" s="3313"/>
      <c r="D152" s="3313"/>
      <c r="E152" s="3313"/>
      <c r="F152" s="3313"/>
      <c r="G152" s="3313"/>
      <c r="H152" s="3313"/>
      <c r="I152" s="3313"/>
      <c r="J152" s="61"/>
      <c r="K152" s="61"/>
      <c r="L152" s="61"/>
      <c r="M152" s="61"/>
      <c r="N152" s="61"/>
      <c r="O152" s="61"/>
      <c r="P152" s="61"/>
      <c r="Q152" s="61"/>
      <c r="R152" s="61"/>
      <c r="S152" s="61"/>
    </row>
    <row r="153" spans="1:70" ht="15" customHeight="1">
      <c r="A153" s="45"/>
      <c r="B153" s="24"/>
      <c r="C153" s="9" t="s">
        <v>140</v>
      </c>
      <c r="D153" s="9" t="s">
        <v>343</v>
      </c>
      <c r="E153" s="57" t="s">
        <v>344</v>
      </c>
      <c r="F153" s="57" t="s">
        <v>482</v>
      </c>
      <c r="G153" s="57" t="s">
        <v>483</v>
      </c>
      <c r="H153" s="57" t="s">
        <v>170</v>
      </c>
      <c r="I153" s="57" t="s">
        <v>171</v>
      </c>
      <c r="J153" s="61"/>
      <c r="K153" s="61"/>
      <c r="L153" s="61"/>
      <c r="M153" s="61"/>
      <c r="N153" s="61"/>
      <c r="O153" s="61"/>
      <c r="P153" s="61"/>
      <c r="Q153" s="61"/>
      <c r="R153" s="61"/>
      <c r="S153" s="61"/>
    </row>
    <row r="154" spans="1:70" ht="15" customHeight="1">
      <c r="A154" s="45" t="s">
        <v>715</v>
      </c>
      <c r="B154" s="8" t="s">
        <v>6419</v>
      </c>
      <c r="C154" s="27">
        <f>1/4</f>
        <v>0.25</v>
      </c>
      <c r="D154" s="4" t="s">
        <v>717</v>
      </c>
      <c r="E154" s="57">
        <f>+CONM1</f>
        <v>47000</v>
      </c>
      <c r="F154" s="57">
        <f>+E154*C154</f>
        <v>11750</v>
      </c>
      <c r="G154" s="57"/>
      <c r="H154" s="57"/>
      <c r="I154" s="57"/>
      <c r="J154" s="61"/>
      <c r="K154" s="61"/>
      <c r="L154" s="61"/>
      <c r="M154" s="61"/>
      <c r="N154" s="61"/>
      <c r="O154" s="61"/>
      <c r="P154" s="61"/>
      <c r="Q154" s="61"/>
      <c r="R154" s="61"/>
      <c r="S154" s="61"/>
    </row>
    <row r="155" spans="1:70" s="61" customFormat="1" ht="16.5" customHeight="1">
      <c r="A155" s="11" t="s">
        <v>740</v>
      </c>
      <c r="B155" s="8" t="s">
        <v>6415</v>
      </c>
      <c r="C155" s="27">
        <f>1.13*1.05</f>
        <v>1.1864999999999999</v>
      </c>
      <c r="D155" s="12" t="s">
        <v>356</v>
      </c>
      <c r="E155" s="70">
        <f>+ARENP</f>
        <v>70500</v>
      </c>
      <c r="F155" s="71"/>
      <c r="G155" s="71">
        <f>+E155*C155</f>
        <v>83648.249999999985</v>
      </c>
      <c r="H155" s="71"/>
      <c r="I155" s="71"/>
      <c r="J155" s="2739"/>
    </row>
    <row r="156" spans="1:70" ht="15" customHeight="1">
      <c r="A156" s="45" t="s">
        <v>172</v>
      </c>
      <c r="B156" s="8" t="s">
        <v>189</v>
      </c>
      <c r="C156" s="27">
        <v>1</v>
      </c>
      <c r="D156" s="4" t="s">
        <v>583</v>
      </c>
      <c r="E156" s="57">
        <f>+H162*0.05</f>
        <v>3332.3594869000003</v>
      </c>
      <c r="F156" s="57"/>
      <c r="G156" s="57"/>
      <c r="H156" s="57"/>
      <c r="I156" s="57">
        <f>+E156*C156</f>
        <v>3332.3594869000003</v>
      </c>
      <c r="J156" s="61"/>
      <c r="K156" s="61"/>
      <c r="L156" s="61"/>
      <c r="M156" s="61"/>
      <c r="N156" s="61"/>
      <c r="O156" s="61"/>
      <c r="P156" s="61"/>
      <c r="Q156" s="61"/>
      <c r="R156" s="61"/>
      <c r="S156" s="61"/>
    </row>
    <row r="157" spans="1:70" ht="15" customHeight="1">
      <c r="A157" s="45" t="s">
        <v>368</v>
      </c>
      <c r="B157" s="8" t="s">
        <v>892</v>
      </c>
      <c r="C157" s="27">
        <v>7.2</v>
      </c>
      <c r="D157" s="4" t="s">
        <v>370</v>
      </c>
      <c r="E157" s="57">
        <f>+CEMEG</f>
        <v>25500</v>
      </c>
      <c r="F157" s="57"/>
      <c r="G157" s="57">
        <f>+E157*C157</f>
        <v>183600</v>
      </c>
      <c r="H157" s="57"/>
      <c r="I157" s="57"/>
      <c r="J157" s="61"/>
      <c r="K157" s="61"/>
      <c r="L157" s="61"/>
      <c r="M157" s="61"/>
      <c r="N157" s="61"/>
      <c r="O157" s="61"/>
      <c r="P157" s="61"/>
      <c r="Q157" s="61"/>
      <c r="R157" s="61"/>
      <c r="S157" s="61"/>
    </row>
    <row r="158" spans="1:70" ht="15" customHeight="1">
      <c r="A158" s="45" t="s">
        <v>1015</v>
      </c>
      <c r="B158" s="8" t="s">
        <v>138</v>
      </c>
      <c r="C158" s="27">
        <f>+C155*14</f>
        <v>16.610999999999997</v>
      </c>
      <c r="D158" s="4" t="s">
        <v>356</v>
      </c>
      <c r="E158" s="57">
        <f>+TRANS</f>
        <v>1350</v>
      </c>
      <c r="F158" s="57"/>
      <c r="G158" s="57"/>
      <c r="H158" s="57"/>
      <c r="I158" s="57">
        <f>+E158*C158</f>
        <v>22424.849999999995</v>
      </c>
      <c r="J158" s="61"/>
      <c r="K158" s="61"/>
      <c r="L158" s="61"/>
      <c r="M158" s="61"/>
      <c r="N158" s="61"/>
      <c r="O158" s="61"/>
      <c r="P158" s="61"/>
      <c r="Q158" s="61"/>
      <c r="R158" s="61"/>
      <c r="S158" s="61"/>
    </row>
    <row r="159" spans="1:70" ht="15" customHeight="1">
      <c r="A159" s="45" t="s">
        <v>72</v>
      </c>
      <c r="B159" s="8" t="s">
        <v>72</v>
      </c>
      <c r="C159" s="27">
        <v>70</v>
      </c>
      <c r="D159" s="4" t="s">
        <v>73</v>
      </c>
      <c r="E159" s="57">
        <f>+AGUA</f>
        <v>10.199999999999999</v>
      </c>
      <c r="F159" s="57"/>
      <c r="G159" s="57">
        <f>+E159*C159</f>
        <v>714</v>
      </c>
      <c r="H159" s="57"/>
      <c r="I159" s="57"/>
      <c r="J159" s="61"/>
      <c r="K159" s="61"/>
      <c r="L159" s="61"/>
      <c r="M159" s="61"/>
      <c r="N159" s="61"/>
      <c r="O159" s="61"/>
      <c r="P159" s="61"/>
      <c r="Q159" s="61"/>
      <c r="R159" s="61"/>
      <c r="S159" s="61"/>
    </row>
    <row r="160" spans="1:70" s="23" customFormat="1" ht="16.8">
      <c r="A160" s="45" t="s">
        <v>347</v>
      </c>
      <c r="B160" s="8" t="str">
        <f>IF(PRESTA&gt;0,"AYUD. ENTENDIDO (INCLUYE "&amp;""&amp;PRESTA*100&amp;"% PRESTACIONES)",0)</f>
        <v>AYUD. ENTENDIDO (INCLUYE 82,22% PRESTACIONES)</v>
      </c>
      <c r="C160" s="27">
        <f t="shared" ref="C160" si="9">1/4</f>
        <v>0.25</v>
      </c>
      <c r="D160" s="2695" t="s">
        <v>346</v>
      </c>
      <c r="E160" s="65">
        <f>+AYUDA</f>
        <v>65389.695592000004</v>
      </c>
      <c r="F160" s="65"/>
      <c r="G160" s="65"/>
      <c r="H160" s="65">
        <f>+E160*C160</f>
        <v>16347.423898000001</v>
      </c>
      <c r="I160" s="65"/>
      <c r="J160" s="25"/>
    </row>
    <row r="161" spans="1:70" s="23" customFormat="1" ht="16.8">
      <c r="A161" s="45" t="s">
        <v>348</v>
      </c>
      <c r="B161" s="8" t="str">
        <f>IF(PRESTA&gt;0,"AYUD. RASO (INCLUYE "&amp;""&amp;PRESTA*100&amp;"% PRESTACIONES)",0)</f>
        <v>AYUD. RASO (INCLUYE 82,22% PRESTACIONES)</v>
      </c>
      <c r="C161" s="27">
        <f>+C160*4</f>
        <v>1</v>
      </c>
      <c r="D161" s="2695" t="s">
        <v>346</v>
      </c>
      <c r="E161" s="65">
        <f>+AYUDR</f>
        <v>50299.76584</v>
      </c>
      <c r="F161" s="65"/>
      <c r="G161" s="65"/>
      <c r="H161" s="65">
        <f>+E161*C161</f>
        <v>50299.76584</v>
      </c>
      <c r="I161" s="65"/>
    </row>
    <row r="162" spans="1:70" ht="15" customHeight="1">
      <c r="A162" s="20" t="s">
        <v>190</v>
      </c>
      <c r="B162" s="39">
        <f>SUM(F162:I162)</f>
        <v>372116.6492249</v>
      </c>
      <c r="C162" s="34"/>
      <c r="D162" s="4"/>
      <c r="E162" s="57"/>
      <c r="F162" s="57">
        <f>SUM(F154:F161)</f>
        <v>11750</v>
      </c>
      <c r="G162" s="57">
        <f>SUM(G154:G161)</f>
        <v>267962.25</v>
      </c>
      <c r="H162" s="57">
        <f>SUM(H154:H161)</f>
        <v>66647.189738000001</v>
      </c>
      <c r="I162" s="57">
        <f>SUM(I154:I161)</f>
        <v>25757.209486899996</v>
      </c>
      <c r="J162" s="61"/>
      <c r="K162" s="61"/>
      <c r="L162" s="61"/>
      <c r="M162" s="61"/>
      <c r="N162" s="61"/>
      <c r="O162" s="61"/>
      <c r="P162" s="61"/>
      <c r="Q162" s="61"/>
      <c r="R162" s="61"/>
      <c r="S162" s="61"/>
    </row>
    <row r="163" spans="1:70" ht="15" customHeight="1">
      <c r="A163" s="20" t="s">
        <v>191</v>
      </c>
      <c r="B163" s="39">
        <f>+B162</f>
        <v>372116.6492249</v>
      </c>
      <c r="C163" s="21" t="s">
        <v>356</v>
      </c>
      <c r="D163" s="29"/>
      <c r="E163" s="66"/>
      <c r="F163" s="66"/>
      <c r="G163" s="66"/>
      <c r="H163" s="66"/>
      <c r="I163" s="66"/>
      <c r="J163" s="61"/>
      <c r="K163" s="61"/>
      <c r="L163" s="61"/>
      <c r="M163" s="61"/>
      <c r="N163" s="61"/>
      <c r="O163" s="61"/>
      <c r="P163" s="61"/>
      <c r="Q163" s="61"/>
      <c r="R163" s="61"/>
      <c r="S163" s="61"/>
      <c r="T163" s="61"/>
      <c r="U163" s="61"/>
      <c r="V163" s="61"/>
      <c r="W163" s="61"/>
      <c r="X163" s="61"/>
      <c r="Y163" s="61"/>
      <c r="Z163" s="61"/>
      <c r="AA163" s="61"/>
      <c r="AB163" s="61"/>
      <c r="AC163" s="61"/>
      <c r="AD163" s="61"/>
      <c r="AE163" s="61"/>
      <c r="AF163" s="61"/>
      <c r="AG163" s="61"/>
      <c r="AH163" s="61"/>
      <c r="AI163" s="61"/>
      <c r="AJ163" s="61"/>
      <c r="AK163" s="61"/>
      <c r="AL163" s="61"/>
      <c r="AM163" s="61"/>
      <c r="AN163" s="61"/>
      <c r="AO163" s="61"/>
      <c r="AP163" s="61"/>
      <c r="AQ163" s="61"/>
      <c r="AR163" s="61"/>
      <c r="AS163" s="61"/>
      <c r="AT163" s="61"/>
      <c r="AU163" s="61"/>
      <c r="AV163" s="61"/>
      <c r="AW163" s="61"/>
      <c r="AX163" s="61"/>
      <c r="AY163" s="61"/>
      <c r="AZ163" s="61"/>
      <c r="BA163" s="61"/>
      <c r="BB163" s="61"/>
      <c r="BC163" s="61"/>
      <c r="BD163" s="61"/>
      <c r="BE163" s="61"/>
      <c r="BF163" s="61"/>
      <c r="BG163" s="61"/>
      <c r="BH163" s="61"/>
      <c r="BI163" s="61"/>
      <c r="BJ163" s="61"/>
      <c r="BK163" s="61"/>
      <c r="BL163" s="61"/>
      <c r="BM163" s="61"/>
      <c r="BN163" s="61"/>
      <c r="BO163" s="61"/>
      <c r="BP163" s="61"/>
      <c r="BQ163" s="61"/>
      <c r="BR163" s="61"/>
    </row>
    <row r="164" spans="1:70">
      <c r="A164" s="711"/>
      <c r="B164" s="727"/>
      <c r="C164" s="728"/>
      <c r="J164" s="61"/>
      <c r="K164" s="61"/>
      <c r="L164" s="61"/>
      <c r="M164" s="61"/>
      <c r="N164" s="61"/>
    </row>
    <row r="165" spans="1:70" ht="15" customHeight="1">
      <c r="A165" s="26"/>
      <c r="B165" s="3313" t="s">
        <v>945</v>
      </c>
      <c r="C165" s="3313"/>
      <c r="D165" s="3313"/>
      <c r="E165" s="3313"/>
      <c r="F165" s="3313"/>
      <c r="G165" s="3313"/>
      <c r="H165" s="3313"/>
      <c r="I165" s="3313"/>
      <c r="J165" s="61"/>
      <c r="K165" s="61"/>
      <c r="L165" s="61"/>
      <c r="M165" s="61"/>
      <c r="N165" s="61"/>
      <c r="O165" s="61"/>
      <c r="P165" s="61"/>
      <c r="Q165" s="61"/>
      <c r="R165" s="61"/>
      <c r="S165" s="61"/>
    </row>
    <row r="166" spans="1:70" ht="15" customHeight="1">
      <c r="A166" s="45"/>
      <c r="B166" s="24"/>
      <c r="C166" s="9" t="s">
        <v>140</v>
      </c>
      <c r="D166" s="9" t="s">
        <v>343</v>
      </c>
      <c r="E166" s="57" t="s">
        <v>344</v>
      </c>
      <c r="F166" s="57" t="s">
        <v>482</v>
      </c>
      <c r="G166" s="57" t="s">
        <v>483</v>
      </c>
      <c r="H166" s="57" t="s">
        <v>170</v>
      </c>
      <c r="I166" s="57" t="s">
        <v>171</v>
      </c>
      <c r="J166" s="61"/>
      <c r="K166" s="61"/>
      <c r="L166" s="61"/>
      <c r="M166" s="61"/>
      <c r="N166" s="61"/>
      <c r="O166" s="61"/>
      <c r="P166" s="61"/>
      <c r="Q166" s="61"/>
      <c r="R166" s="61"/>
      <c r="S166" s="61"/>
    </row>
    <row r="167" spans="1:70" ht="15" customHeight="1">
      <c r="A167" s="45" t="s">
        <v>715</v>
      </c>
      <c r="B167" s="8" t="s">
        <v>716</v>
      </c>
      <c r="C167" s="27">
        <f>1/4</f>
        <v>0.25</v>
      </c>
      <c r="D167" s="4" t="s">
        <v>717</v>
      </c>
      <c r="E167" s="57">
        <f>+CONM1</f>
        <v>47000</v>
      </c>
      <c r="F167" s="57">
        <f>+E167*C167</f>
        <v>11750</v>
      </c>
      <c r="G167" s="57"/>
      <c r="H167" s="57"/>
      <c r="I167" s="57"/>
      <c r="J167" s="61"/>
      <c r="K167" s="61"/>
      <c r="L167" s="61"/>
      <c r="M167" s="61"/>
      <c r="N167" s="61"/>
      <c r="O167" s="61"/>
      <c r="P167" s="61"/>
      <c r="Q167" s="61"/>
      <c r="R167" s="61"/>
      <c r="S167" s="61"/>
    </row>
    <row r="168" spans="1:70" s="61" customFormat="1" ht="16.5" customHeight="1">
      <c r="A168" s="11" t="s">
        <v>740</v>
      </c>
      <c r="B168" s="8" t="s">
        <v>741</v>
      </c>
      <c r="C168" s="27">
        <f>1.25*1.05</f>
        <v>1.3125</v>
      </c>
      <c r="D168" s="12" t="s">
        <v>356</v>
      </c>
      <c r="E168" s="70">
        <f>+ARENP</f>
        <v>70500</v>
      </c>
      <c r="F168" s="71"/>
      <c r="G168" s="71">
        <f>+E168*C168</f>
        <v>92531.25</v>
      </c>
      <c r="H168" s="71"/>
      <c r="I168" s="71"/>
      <c r="J168" s="2739"/>
    </row>
    <row r="169" spans="1:70" ht="15" customHeight="1">
      <c r="A169" s="45" t="s">
        <v>172</v>
      </c>
      <c r="B169" s="8" t="s">
        <v>189</v>
      </c>
      <c r="C169" s="27">
        <v>1</v>
      </c>
      <c r="D169" s="4" t="s">
        <v>583</v>
      </c>
      <c r="E169" s="57">
        <f>+H175*0.05</f>
        <v>3332.3594869000003</v>
      </c>
      <c r="F169" s="57"/>
      <c r="G169" s="57"/>
      <c r="H169" s="57"/>
      <c r="I169" s="57">
        <f>+E169*C169</f>
        <v>3332.3594869000003</v>
      </c>
      <c r="J169" s="61"/>
      <c r="K169" s="61"/>
      <c r="L169" s="61"/>
      <c r="M169" s="61"/>
      <c r="N169" s="61"/>
      <c r="O169" s="61"/>
      <c r="P169" s="61"/>
      <c r="Q169" s="61"/>
      <c r="R169" s="61"/>
      <c r="S169" s="61"/>
    </row>
    <row r="170" spans="1:70" ht="15" customHeight="1">
      <c r="A170" s="45" t="s">
        <v>368</v>
      </c>
      <c r="B170" s="8" t="s">
        <v>892</v>
      </c>
      <c r="C170" s="27">
        <v>4.2</v>
      </c>
      <c r="D170" s="4" t="s">
        <v>370</v>
      </c>
      <c r="E170" s="57">
        <f>+CEMEG</f>
        <v>25500</v>
      </c>
      <c r="F170" s="57"/>
      <c r="G170" s="57">
        <f>+E170*C170</f>
        <v>107100</v>
      </c>
      <c r="H170" s="57"/>
      <c r="I170" s="57"/>
      <c r="J170" s="61"/>
      <c r="K170" s="61"/>
      <c r="L170" s="61"/>
      <c r="M170" s="61"/>
      <c r="N170" s="61"/>
      <c r="O170" s="61"/>
      <c r="P170" s="61"/>
      <c r="Q170" s="61"/>
      <c r="R170" s="61"/>
      <c r="S170" s="61"/>
    </row>
    <row r="171" spans="1:70" ht="15" customHeight="1">
      <c r="A171" s="45" t="s">
        <v>1015</v>
      </c>
      <c r="B171" s="8" t="s">
        <v>138</v>
      </c>
      <c r="C171" s="27">
        <f>+C168*14</f>
        <v>18.375</v>
      </c>
      <c r="D171" s="4" t="s">
        <v>356</v>
      </c>
      <c r="E171" s="57">
        <f>+TRANS</f>
        <v>1350</v>
      </c>
      <c r="F171" s="57"/>
      <c r="G171" s="57"/>
      <c r="H171" s="57"/>
      <c r="I171" s="57">
        <f>+E171*C171</f>
        <v>24806.25</v>
      </c>
      <c r="J171" s="61"/>
      <c r="K171" s="61"/>
      <c r="L171" s="61"/>
      <c r="M171" s="61"/>
      <c r="N171" s="61"/>
      <c r="O171" s="61"/>
      <c r="P171" s="61"/>
      <c r="Q171" s="61"/>
      <c r="R171" s="61"/>
      <c r="S171" s="61"/>
    </row>
    <row r="172" spans="1:70" ht="15" customHeight="1">
      <c r="A172" s="45" t="s">
        <v>72</v>
      </c>
      <c r="B172" s="8" t="s">
        <v>72</v>
      </c>
      <c r="C172" s="27">
        <v>70</v>
      </c>
      <c r="D172" s="4" t="s">
        <v>73</v>
      </c>
      <c r="E172" s="57">
        <f>+AGUA</f>
        <v>10.199999999999999</v>
      </c>
      <c r="F172" s="57"/>
      <c r="G172" s="57">
        <f>+E172*C172</f>
        <v>714</v>
      </c>
      <c r="H172" s="57"/>
      <c r="I172" s="57"/>
      <c r="J172" s="61"/>
      <c r="K172" s="61"/>
      <c r="L172" s="61"/>
      <c r="M172" s="61"/>
      <c r="N172" s="61"/>
      <c r="O172" s="61"/>
      <c r="P172" s="61"/>
      <c r="Q172" s="61"/>
      <c r="R172" s="61"/>
      <c r="S172" s="61"/>
    </row>
    <row r="173" spans="1:70" s="23" customFormat="1" ht="16.8">
      <c r="A173" s="45" t="s">
        <v>347</v>
      </c>
      <c r="B173" s="8" t="str">
        <f>IF(PRESTA&gt;0,"AYUD. ENTENDIDO (INCLUYE "&amp;""&amp;PRESTA*100&amp;"% PRESTACIONES)",0)</f>
        <v>AYUD. ENTENDIDO (INCLUYE 82,22% PRESTACIONES)</v>
      </c>
      <c r="C173" s="27">
        <f t="shared" ref="C173" si="10">1/4</f>
        <v>0.25</v>
      </c>
      <c r="D173" s="2695" t="s">
        <v>346</v>
      </c>
      <c r="E173" s="65">
        <f>+AYUDA</f>
        <v>65389.695592000004</v>
      </c>
      <c r="F173" s="65"/>
      <c r="G173" s="65"/>
      <c r="H173" s="65">
        <f>+E173*C173</f>
        <v>16347.423898000001</v>
      </c>
      <c r="I173" s="65"/>
      <c r="J173" s="25"/>
    </row>
    <row r="174" spans="1:70" s="23" customFormat="1" ht="16.8">
      <c r="A174" s="45" t="s">
        <v>348</v>
      </c>
      <c r="B174" s="8" t="str">
        <f>IF(PRESTA&gt;0,"AYUD. RASO (INCLUYE "&amp;""&amp;PRESTA*100&amp;"% PRESTACIONES)",0)</f>
        <v>AYUD. RASO (INCLUYE 82,22% PRESTACIONES)</v>
      </c>
      <c r="C174" s="27">
        <f>+C173*4</f>
        <v>1</v>
      </c>
      <c r="D174" s="2695" t="s">
        <v>346</v>
      </c>
      <c r="E174" s="65">
        <f>+AYUDR</f>
        <v>50299.76584</v>
      </c>
      <c r="F174" s="65"/>
      <c r="G174" s="65"/>
      <c r="H174" s="65">
        <f>+E174*C174</f>
        <v>50299.76584</v>
      </c>
      <c r="I174" s="65"/>
    </row>
    <row r="175" spans="1:70" ht="15" customHeight="1">
      <c r="A175" s="20" t="s">
        <v>190</v>
      </c>
      <c r="B175" s="39">
        <f>SUM(F175:I175)</f>
        <v>306881.04922489997</v>
      </c>
      <c r="C175" s="34"/>
      <c r="D175" s="4"/>
      <c r="E175" s="57"/>
      <c r="F175" s="57">
        <f>SUM(F167:F174)</f>
        <v>11750</v>
      </c>
      <c r="G175" s="57">
        <f>SUM(G167:G174)</f>
        <v>200345.25</v>
      </c>
      <c r="H175" s="57">
        <f>SUM(H167:H174)</f>
        <v>66647.189738000001</v>
      </c>
      <c r="I175" s="57">
        <f>SUM(I167:I174)</f>
        <v>28138.609486900001</v>
      </c>
      <c r="J175" s="61"/>
      <c r="K175" s="61"/>
      <c r="L175" s="61"/>
      <c r="M175" s="61"/>
      <c r="N175" s="61"/>
      <c r="O175" s="61"/>
      <c r="P175" s="61"/>
      <c r="Q175" s="61"/>
      <c r="R175" s="61"/>
      <c r="S175" s="61"/>
    </row>
    <row r="176" spans="1:70" ht="15" customHeight="1">
      <c r="A176" s="20" t="s">
        <v>191</v>
      </c>
      <c r="B176" s="39">
        <f>+B175</f>
        <v>306881.04922489997</v>
      </c>
      <c r="C176" s="21" t="s">
        <v>356</v>
      </c>
      <c r="D176" s="29"/>
      <c r="E176" s="66"/>
      <c r="F176" s="66"/>
      <c r="G176" s="66"/>
      <c r="H176" s="66"/>
      <c r="I176" s="66"/>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L176" s="61"/>
      <c r="AM176" s="61"/>
      <c r="AN176" s="61"/>
      <c r="AO176" s="61"/>
      <c r="AP176" s="61"/>
      <c r="AQ176" s="61"/>
      <c r="AR176" s="61"/>
      <c r="AS176" s="61"/>
      <c r="AT176" s="61"/>
      <c r="AU176" s="61"/>
      <c r="AV176" s="61"/>
      <c r="AW176" s="61"/>
      <c r="AX176" s="61"/>
      <c r="AY176" s="61"/>
      <c r="AZ176" s="61"/>
      <c r="BA176" s="61"/>
      <c r="BB176" s="61"/>
      <c r="BC176" s="61"/>
      <c r="BD176" s="61"/>
      <c r="BE176" s="61"/>
      <c r="BF176" s="61"/>
      <c r="BG176" s="61"/>
      <c r="BH176" s="61"/>
      <c r="BI176" s="61"/>
      <c r="BJ176" s="61"/>
      <c r="BK176" s="61"/>
      <c r="BL176" s="61"/>
      <c r="BM176" s="61"/>
      <c r="BN176" s="61"/>
      <c r="BO176" s="61"/>
      <c r="BP176" s="61"/>
      <c r="BQ176" s="61"/>
      <c r="BR176" s="61"/>
    </row>
    <row r="181" spans="1:2" ht="19.2">
      <c r="A181" s="1116"/>
      <c r="B181" s="932"/>
    </row>
    <row r="182" spans="1:2" ht="19.2">
      <c r="A182" s="932"/>
      <c r="B182" s="932"/>
    </row>
    <row r="183" spans="1:2" ht="19.2">
      <c r="A183" s="932"/>
      <c r="B183" s="932"/>
    </row>
    <row r="184" spans="1:2" ht="19.2">
      <c r="A184" s="932"/>
      <c r="B184" s="932"/>
    </row>
    <row r="185" spans="1:2" ht="19.2">
      <c r="A185" s="932"/>
      <c r="B185" s="932"/>
    </row>
    <row r="186" spans="1:2" ht="19.2">
      <c r="A186" s="933"/>
      <c r="B186" s="933"/>
    </row>
    <row r="187" spans="1:2" ht="19.2">
      <c r="A187" s="1117"/>
      <c r="B187" s="933"/>
    </row>
    <row r="188" spans="1:2" ht="19.2">
      <c r="A188" s="933"/>
      <c r="B188" s="933"/>
    </row>
    <row r="189" spans="1:2" ht="19.2">
      <c r="A189" s="933"/>
      <c r="B189" s="933"/>
    </row>
    <row r="190" spans="1:2" ht="19.2">
      <c r="A190" s="933"/>
      <c r="B190" s="933"/>
    </row>
    <row r="191" spans="1:2" ht="19.2">
      <c r="A191" s="933"/>
      <c r="B191" s="933"/>
    </row>
    <row r="192" spans="1:2" ht="19.2">
      <c r="A192" s="933"/>
      <c r="B192" s="933"/>
    </row>
    <row r="193" spans="1:2" ht="19.2">
      <c r="A193" s="933"/>
      <c r="B193" s="933"/>
    </row>
    <row r="194" spans="1:2" ht="19.2">
      <c r="A194" s="933"/>
      <c r="B194" s="933"/>
    </row>
    <row r="195" spans="1:2" ht="19.2">
      <c r="A195" s="933"/>
      <c r="B195" s="933"/>
    </row>
    <row r="196" spans="1:2">
      <c r="A196" s="95"/>
      <c r="B196" s="61"/>
    </row>
    <row r="4758" hidden="1"/>
    <row r="4759" hidden="1"/>
    <row r="4760" hidden="1"/>
    <row r="4761" hidden="1"/>
    <row r="4762" hidden="1"/>
    <row r="4763" hidden="1"/>
    <row r="4764" hidden="1"/>
    <row r="4765" hidden="1"/>
    <row r="4766" hidden="1"/>
    <row r="4767" hidden="1"/>
  </sheetData>
  <autoFilter ref="A10:I177"/>
  <mergeCells count="21">
    <mergeCell ref="A2:A4"/>
    <mergeCell ref="A7:I7"/>
    <mergeCell ref="B11:I11"/>
    <mergeCell ref="B25:I25"/>
    <mergeCell ref="B67:I67"/>
    <mergeCell ref="A9:I9"/>
    <mergeCell ref="B4:C4"/>
    <mergeCell ref="B2:H2"/>
    <mergeCell ref="B3:H3"/>
    <mergeCell ref="D4:H4"/>
    <mergeCell ref="I2:I4"/>
    <mergeCell ref="B165:I165"/>
    <mergeCell ref="B39:I39"/>
    <mergeCell ref="B81:I81"/>
    <mergeCell ref="B53:I53"/>
    <mergeCell ref="B95:I95"/>
    <mergeCell ref="B109:I109"/>
    <mergeCell ref="B152:I152"/>
    <mergeCell ref="A137:I137"/>
    <mergeCell ref="B139:I139"/>
    <mergeCell ref="B123:I123"/>
  </mergeCells>
  <phoneticPr fontId="0" type="noConversion"/>
  <printOptions horizontalCentered="1"/>
  <pageMargins left="0.59055118110236227" right="0.59055118110236227" top="0.39370078740157483" bottom="0.59055118110236227" header="0.78740157480314965" footer="0.78740157480314965"/>
  <pageSetup paperSize="119" scale="25" orientation="portrait" r:id="rId1"/>
  <headerFooter alignWithMargins="0">
    <oddHeader xml:space="preserve">&amp;C
</oddHeader>
  </headerFooter>
  <rowBreaks count="2" manualBreakCount="2">
    <brk id="66" max="16383" man="1"/>
    <brk id="136" max="16383" man="1"/>
  </row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961"/>
  <sheetViews>
    <sheetView view="pageBreakPreview" topLeftCell="A37" zoomScale="85" zoomScaleNormal="85" zoomScaleSheetLayoutView="85" workbookViewId="0">
      <selection activeCell="E60" sqref="E60"/>
    </sheetView>
  </sheetViews>
  <sheetFormatPr baseColWidth="10" defaultColWidth="11.44140625" defaultRowHeight="13.2"/>
  <cols>
    <col min="1" max="1" width="11.44140625" style="1608"/>
    <col min="2" max="2" width="57.88671875" style="1608" customWidth="1"/>
    <col min="3" max="3" width="11.44140625" style="1608"/>
    <col min="4" max="4" width="11.33203125" style="1608" bestFit="1" customWidth="1"/>
    <col min="5" max="5" width="17.44140625" style="1608" hidden="1" customWidth="1"/>
    <col min="6" max="6" width="26" style="1608" hidden="1" customWidth="1"/>
    <col min="7" max="7" width="19.33203125" style="2343" bestFit="1" customWidth="1"/>
    <col min="8" max="8" width="18.44140625" style="1717" bestFit="1" customWidth="1"/>
    <col min="9" max="9" width="11.44140625" style="1608"/>
    <col min="10" max="10" width="13.6640625" style="1608" customWidth="1"/>
    <col min="11" max="13" width="11.44140625" style="2665"/>
    <col min="14" max="16384" width="11.44140625" style="1608"/>
  </cols>
  <sheetData>
    <row r="1" spans="1:13" ht="121.5" customHeight="1" thickBot="1">
      <c r="A1" s="3337" t="s">
        <v>8794</v>
      </c>
      <c r="B1" s="3337"/>
      <c r="C1" s="3337"/>
      <c r="D1" s="3337"/>
      <c r="E1" s="3337"/>
      <c r="F1" s="3337"/>
    </row>
    <row r="2" spans="1:13" ht="117" customHeight="1" thickBot="1">
      <c r="A2" s="3338" t="s">
        <v>8795</v>
      </c>
      <c r="B2" s="3339"/>
      <c r="C2" s="3339"/>
      <c r="D2" s="3339"/>
      <c r="E2" s="3339"/>
      <c r="F2" s="3340"/>
    </row>
    <row r="3" spans="1:13" ht="15" customHeight="1">
      <c r="A3" s="3334" t="s">
        <v>5736</v>
      </c>
      <c r="B3" s="3335"/>
      <c r="C3" s="3335"/>
      <c r="D3" s="3335"/>
      <c r="E3" s="3335"/>
      <c r="F3" s="3336"/>
    </row>
    <row r="4" spans="1:13" ht="33.6">
      <c r="A4" s="1590" t="s">
        <v>22</v>
      </c>
      <c r="B4" s="1591" t="s">
        <v>23</v>
      </c>
      <c r="C4" s="1591" t="s">
        <v>150</v>
      </c>
      <c r="D4" s="1592" t="s">
        <v>539</v>
      </c>
      <c r="E4" s="1593" t="s">
        <v>151</v>
      </c>
      <c r="F4" s="1593" t="s">
        <v>540</v>
      </c>
    </row>
    <row r="5" spans="1:13" ht="16.8">
      <c r="A5" s="3015"/>
      <c r="B5" s="3341" t="s">
        <v>5737</v>
      </c>
      <c r="C5" s="3341"/>
      <c r="D5" s="3341"/>
      <c r="E5" s="3341"/>
      <c r="F5" s="3341"/>
      <c r="G5" s="2974">
        <f>+F6+F10+F16+F19+F22+F24+F26+F28+F31+F33+F35+F40+F48+F52+F54</f>
        <v>38479426</v>
      </c>
      <c r="H5" s="1717" t="s">
        <v>8225</v>
      </c>
    </row>
    <row r="6" spans="1:13" ht="16.8">
      <c r="A6" s="1594" t="s">
        <v>5193</v>
      </c>
      <c r="B6" s="1595" t="s">
        <v>5190</v>
      </c>
      <c r="C6" s="1594"/>
      <c r="D6" s="1596"/>
      <c r="E6" s="1597"/>
      <c r="F6" s="2240">
        <f>SUM(F7:F9)</f>
        <v>4669781</v>
      </c>
      <c r="G6" s="2799">
        <f>+'CAPTACION RIO SINÚ'!F59</f>
        <v>38479426</v>
      </c>
    </row>
    <row r="7" spans="1:13" ht="33.6">
      <c r="A7" s="1617" t="s">
        <v>34</v>
      </c>
      <c r="B7" s="1598" t="s">
        <v>5223</v>
      </c>
      <c r="C7" s="1599" t="s">
        <v>5191</v>
      </c>
      <c r="D7" s="1471">
        <v>1</v>
      </c>
      <c r="E7" s="1600">
        <v>334949.64875999995</v>
      </c>
      <c r="F7" s="1515">
        <f>ROUND((D7*E7),0)</f>
        <v>334950</v>
      </c>
    </row>
    <row r="8" spans="1:13" ht="16.8">
      <c r="A8" s="1617" t="s">
        <v>1443</v>
      </c>
      <c r="B8" s="1601" t="s">
        <v>5225</v>
      </c>
      <c r="C8" s="1599" t="s">
        <v>5191</v>
      </c>
      <c r="D8" s="1602">
        <v>1</v>
      </c>
      <c r="E8" s="1600">
        <v>291830.94266499998</v>
      </c>
      <c r="F8" s="1515">
        <f t="shared" ref="F8:F9" si="0">ROUND((D8*E8),0)</f>
        <v>291831</v>
      </c>
    </row>
    <row r="9" spans="1:13" s="1717" customFormat="1" ht="21" customHeight="1">
      <c r="A9" s="1617" t="s">
        <v>1444</v>
      </c>
      <c r="B9" s="1598" t="s">
        <v>5216</v>
      </c>
      <c r="C9" s="1599" t="s">
        <v>5192</v>
      </c>
      <c r="D9" s="1471">
        <v>1</v>
      </c>
      <c r="E9" s="1600">
        <v>4043000</v>
      </c>
      <c r="F9" s="1515">
        <f t="shared" si="0"/>
        <v>4043000</v>
      </c>
      <c r="G9" s="2354"/>
      <c r="K9" s="1733"/>
      <c r="L9" s="1733"/>
      <c r="M9" s="1733"/>
    </row>
    <row r="10" spans="1:13" ht="16.8">
      <c r="A10" s="1594" t="s">
        <v>5194</v>
      </c>
      <c r="B10" s="1595" t="s">
        <v>5552</v>
      </c>
      <c r="C10" s="1594"/>
      <c r="D10" s="1596"/>
      <c r="E10" s="1597"/>
      <c r="F10" s="2240">
        <f>SUM(F11:F15)</f>
        <v>9252736</v>
      </c>
    </row>
    <row r="11" spans="1:13" ht="16.8">
      <c r="A11" s="1617" t="s">
        <v>35</v>
      </c>
      <c r="B11" s="1598" t="s">
        <v>5551</v>
      </c>
      <c r="C11" s="1599" t="s">
        <v>5191</v>
      </c>
      <c r="D11" s="1471">
        <v>1</v>
      </c>
      <c r="E11" s="1600">
        <v>3682868.8532999996</v>
      </c>
      <c r="F11" s="1515">
        <f>ROUND((D11*E11),0)</f>
        <v>3682869</v>
      </c>
    </row>
    <row r="12" spans="1:13" ht="50.4">
      <c r="A12" s="1617" t="s">
        <v>1446</v>
      </c>
      <c r="B12" s="1598" t="s">
        <v>5553</v>
      </c>
      <c r="C12" s="1599" t="s">
        <v>5191</v>
      </c>
      <c r="D12" s="1471">
        <v>1</v>
      </c>
      <c r="E12" s="1600">
        <v>639899.29751999991</v>
      </c>
      <c r="F12" s="1515">
        <f t="shared" ref="F12:F25" si="1">ROUND((D12*E12),0)</f>
        <v>639899</v>
      </c>
    </row>
    <row r="13" spans="1:13" ht="50.4">
      <c r="A13" s="1617" t="s">
        <v>5540</v>
      </c>
      <c r="B13" s="1598" t="s">
        <v>5554</v>
      </c>
      <c r="C13" s="1599" t="s">
        <v>4693</v>
      </c>
      <c r="D13" s="1471">
        <v>30</v>
      </c>
      <c r="E13" s="1600">
        <v>49104.918043999998</v>
      </c>
      <c r="F13" s="1515">
        <f t="shared" si="1"/>
        <v>1473148</v>
      </c>
    </row>
    <row r="14" spans="1:13" s="1717" customFormat="1" ht="16.8">
      <c r="A14" s="1617" t="s">
        <v>5541</v>
      </c>
      <c r="B14" s="1598" t="s">
        <v>5435</v>
      </c>
      <c r="C14" s="1599" t="s">
        <v>5192</v>
      </c>
      <c r="D14" s="1471">
        <v>1</v>
      </c>
      <c r="E14" s="1600">
        <v>736573.77066000004</v>
      </c>
      <c r="F14" s="1515">
        <f t="shared" si="1"/>
        <v>736574</v>
      </c>
      <c r="G14" s="2354"/>
      <c r="K14" s="1733"/>
      <c r="L14" s="1733"/>
      <c r="M14" s="1733"/>
    </row>
    <row r="15" spans="1:13" ht="67.2">
      <c r="A15" s="1617" t="s">
        <v>5542</v>
      </c>
      <c r="B15" s="1603" t="s">
        <v>5430</v>
      </c>
      <c r="C15" s="1604" t="s">
        <v>5191</v>
      </c>
      <c r="D15" s="1492">
        <v>1</v>
      </c>
      <c r="E15" s="1600">
        <v>2720245.9021999999</v>
      </c>
      <c r="F15" s="1515">
        <f t="shared" si="1"/>
        <v>2720246</v>
      </c>
    </row>
    <row r="16" spans="1:13" ht="16.8">
      <c r="A16" s="1594" t="s">
        <v>5195</v>
      </c>
      <c r="B16" s="1595" t="s">
        <v>5526</v>
      </c>
      <c r="C16" s="1594"/>
      <c r="D16" s="1596"/>
      <c r="E16" s="1597"/>
      <c r="F16" s="2240">
        <f>SUM(F17:F18)</f>
        <v>1525760</v>
      </c>
    </row>
    <row r="17" spans="1:6" ht="16.8">
      <c r="A17" s="1617" t="s">
        <v>36</v>
      </c>
      <c r="B17" s="1598" t="s">
        <v>5440</v>
      </c>
      <c r="C17" s="1599" t="s">
        <v>5191</v>
      </c>
      <c r="D17" s="1471">
        <v>2</v>
      </c>
      <c r="E17" s="1600">
        <v>305151.91276266664</v>
      </c>
      <c r="F17" s="1515">
        <f t="shared" si="1"/>
        <v>610304</v>
      </c>
    </row>
    <row r="18" spans="1:6" ht="16.8">
      <c r="A18" s="1617" t="s">
        <v>1451</v>
      </c>
      <c r="B18" s="1598" t="s">
        <v>5228</v>
      </c>
      <c r="C18" s="1599" t="s">
        <v>5191</v>
      </c>
      <c r="D18" s="1471">
        <v>3</v>
      </c>
      <c r="E18" s="1600">
        <v>305151.91276266664</v>
      </c>
      <c r="F18" s="1515">
        <f t="shared" si="1"/>
        <v>915456</v>
      </c>
    </row>
    <row r="19" spans="1:6" ht="16.8">
      <c r="A19" s="1594" t="s">
        <v>5196</v>
      </c>
      <c r="B19" s="1595" t="s">
        <v>5527</v>
      </c>
      <c r="C19" s="1594"/>
      <c r="D19" s="1596"/>
      <c r="E19" s="1597"/>
      <c r="F19" s="2240">
        <f>SUM(F20:F21)</f>
        <v>1202333</v>
      </c>
    </row>
    <row r="20" spans="1:6" ht="33.75" customHeight="1">
      <c r="A20" s="1617" t="s">
        <v>5197</v>
      </c>
      <c r="B20" s="1605" t="s">
        <v>5229</v>
      </c>
      <c r="C20" s="1599" t="s">
        <v>5191</v>
      </c>
      <c r="D20" s="1472">
        <v>1</v>
      </c>
      <c r="E20" s="1600">
        <v>613661.88532999996</v>
      </c>
      <c r="F20" s="1515">
        <f t="shared" si="1"/>
        <v>613662</v>
      </c>
    </row>
    <row r="21" spans="1:6" ht="50.4">
      <c r="A21" s="1617" t="s">
        <v>5543</v>
      </c>
      <c r="B21" s="1606" t="s">
        <v>5230</v>
      </c>
      <c r="C21" s="1599" t="s">
        <v>5191</v>
      </c>
      <c r="D21" s="1472">
        <v>1</v>
      </c>
      <c r="E21" s="1600">
        <v>588670.90185800008</v>
      </c>
      <c r="F21" s="1515">
        <f t="shared" si="1"/>
        <v>588671</v>
      </c>
    </row>
    <row r="22" spans="1:6" ht="33.6">
      <c r="A22" s="1594" t="s">
        <v>5198</v>
      </c>
      <c r="B22" s="1595" t="s">
        <v>5528</v>
      </c>
      <c r="C22" s="1594"/>
      <c r="D22" s="1596"/>
      <c r="E22" s="1597"/>
      <c r="F22" s="2240">
        <f>SUM(F23)</f>
        <v>552430</v>
      </c>
    </row>
    <row r="23" spans="1:6" ht="50.4">
      <c r="A23" s="1617" t="s">
        <v>5199</v>
      </c>
      <c r="B23" s="1605" t="s">
        <v>5451</v>
      </c>
      <c r="C23" s="1599" t="s">
        <v>4693</v>
      </c>
      <c r="D23" s="1471">
        <v>15</v>
      </c>
      <c r="E23" s="1600">
        <v>36828.688533</v>
      </c>
      <c r="F23" s="2674">
        <f t="shared" si="1"/>
        <v>552430</v>
      </c>
    </row>
    <row r="24" spans="1:6" ht="33.6">
      <c r="A24" s="1594" t="s">
        <v>5200</v>
      </c>
      <c r="B24" s="1595" t="s">
        <v>5529</v>
      </c>
      <c r="C24" s="1594"/>
      <c r="D24" s="1596"/>
      <c r="E24" s="1597"/>
      <c r="F24" s="2240">
        <f>SUM(F25)</f>
        <v>2946295</v>
      </c>
    </row>
    <row r="25" spans="1:6" ht="117.6">
      <c r="A25" s="1617" t="s">
        <v>5201</v>
      </c>
      <c r="B25" s="1605" t="s">
        <v>5456</v>
      </c>
      <c r="C25" s="1599" t="s">
        <v>5191</v>
      </c>
      <c r="D25" s="1472">
        <v>1</v>
      </c>
      <c r="E25" s="1600">
        <v>2946295.0826400002</v>
      </c>
      <c r="F25" s="2674">
        <f t="shared" si="1"/>
        <v>2946295</v>
      </c>
    </row>
    <row r="26" spans="1:6" ht="33.6">
      <c r="A26" s="1594" t="s">
        <v>5202</v>
      </c>
      <c r="B26" s="1595" t="s">
        <v>5530</v>
      </c>
      <c r="C26" s="1594"/>
      <c r="D26" s="1596"/>
      <c r="E26" s="1597"/>
      <c r="F26" s="2240">
        <f>SUM(F27)</f>
        <v>957546</v>
      </c>
    </row>
    <row r="27" spans="1:6" ht="50.4">
      <c r="A27" s="1617" t="s">
        <v>5203</v>
      </c>
      <c r="B27" s="1605" t="s">
        <v>5463</v>
      </c>
      <c r="C27" s="1599" t="s">
        <v>4693</v>
      </c>
      <c r="D27" s="1471">
        <v>26</v>
      </c>
      <c r="E27" s="1600">
        <v>36828.688533</v>
      </c>
      <c r="F27" s="2674">
        <f>ROUND((D27*E27),0)</f>
        <v>957546</v>
      </c>
    </row>
    <row r="28" spans="1:6" ht="33.6">
      <c r="A28" s="1594" t="s">
        <v>5204</v>
      </c>
      <c r="B28" s="1595" t="s">
        <v>5531</v>
      </c>
      <c r="C28" s="1594"/>
      <c r="D28" s="1596"/>
      <c r="E28" s="1597"/>
      <c r="F28" s="2240">
        <f>SUM(F29:F30)</f>
        <v>810231</v>
      </c>
    </row>
    <row r="29" spans="1:6" ht="67.2">
      <c r="A29" s="1617" t="s">
        <v>5205</v>
      </c>
      <c r="B29" s="1605" t="s">
        <v>5465</v>
      </c>
      <c r="C29" s="1599" t="s">
        <v>4693</v>
      </c>
      <c r="D29" s="1471">
        <v>15</v>
      </c>
      <c r="E29" s="1600">
        <v>36828.688533</v>
      </c>
      <c r="F29" s="2674">
        <f>ROUND((D29*E29),0)</f>
        <v>552430</v>
      </c>
    </row>
    <row r="30" spans="1:6" ht="16.8">
      <c r="A30" s="1617" t="s">
        <v>5544</v>
      </c>
      <c r="B30" s="1605" t="s">
        <v>5467</v>
      </c>
      <c r="C30" s="1599" t="s">
        <v>4693</v>
      </c>
      <c r="D30" s="1471">
        <v>7</v>
      </c>
      <c r="E30" s="1600">
        <v>36828.688533</v>
      </c>
      <c r="F30" s="2674">
        <f>ROUND((D30*E30),0)</f>
        <v>257801</v>
      </c>
    </row>
    <row r="31" spans="1:6" ht="16.8">
      <c r="A31" s="1594" t="s">
        <v>5206</v>
      </c>
      <c r="B31" s="1595" t="s">
        <v>5532</v>
      </c>
      <c r="C31" s="1594"/>
      <c r="D31" s="1596"/>
      <c r="E31" s="1597"/>
      <c r="F31" s="2240">
        <f>SUM(F32)</f>
        <v>2454496</v>
      </c>
    </row>
    <row r="32" spans="1:6" ht="67.2">
      <c r="A32" s="1617" t="s">
        <v>5207</v>
      </c>
      <c r="B32" s="1607" t="s">
        <v>5470</v>
      </c>
      <c r="C32" s="1599" t="s">
        <v>5191</v>
      </c>
      <c r="D32" s="1471">
        <v>1</v>
      </c>
      <c r="E32" s="1600">
        <v>2454496.4875999996</v>
      </c>
      <c r="F32" s="2674">
        <f>ROUND((D32*E32),0)</f>
        <v>2454496</v>
      </c>
    </row>
    <row r="33" spans="1:6" ht="16.8">
      <c r="A33" s="1594" t="s">
        <v>5208</v>
      </c>
      <c r="B33" s="1595" t="s">
        <v>5533</v>
      </c>
      <c r="C33" s="1594"/>
      <c r="D33" s="1596"/>
      <c r="E33" s="1597"/>
      <c r="F33" s="2240">
        <f>SUM(F34)</f>
        <v>2455246</v>
      </c>
    </row>
    <row r="34" spans="1:6" ht="134.4">
      <c r="A34" s="1617" t="s">
        <v>5209</v>
      </c>
      <c r="B34" s="1598" t="s">
        <v>5555</v>
      </c>
      <c r="C34" s="1599" t="s">
        <v>5191</v>
      </c>
      <c r="D34" s="1472">
        <v>1</v>
      </c>
      <c r="E34" s="1600">
        <v>2455245.9021999999</v>
      </c>
      <c r="F34" s="2674">
        <f>ROUND((D34*E34),0)</f>
        <v>2455246</v>
      </c>
    </row>
    <row r="35" spans="1:6" ht="33.6">
      <c r="A35" s="1594" t="s">
        <v>5210</v>
      </c>
      <c r="B35" s="1595" t="s">
        <v>5534</v>
      </c>
      <c r="C35" s="1594"/>
      <c r="D35" s="1596"/>
      <c r="E35" s="1597"/>
      <c r="F35" s="2240">
        <f>SUM(F36:F39)</f>
        <v>2349339</v>
      </c>
    </row>
    <row r="36" spans="1:6" ht="50.4">
      <c r="A36" s="1617" t="s">
        <v>5121</v>
      </c>
      <c r="B36" s="1605" t="s">
        <v>5237</v>
      </c>
      <c r="C36" s="1599" t="s">
        <v>4693</v>
      </c>
      <c r="D36" s="1471">
        <v>30</v>
      </c>
      <c r="E36" s="1600">
        <v>26083.370435416669</v>
      </c>
      <c r="F36" s="2674">
        <f>ROUND((D36*E36),0)</f>
        <v>782501</v>
      </c>
    </row>
    <row r="37" spans="1:6" ht="50.4">
      <c r="A37" s="1617" t="s">
        <v>5130</v>
      </c>
      <c r="B37" s="1605" t="s">
        <v>5238</v>
      </c>
      <c r="C37" s="1599" t="s">
        <v>4693</v>
      </c>
      <c r="D37" s="1471">
        <v>10</v>
      </c>
      <c r="E37" s="1600">
        <v>26083.370435416669</v>
      </c>
      <c r="F37" s="2674">
        <f t="shared" ref="F37:F47" si="2">ROUND((D37*E37),0)</f>
        <v>260834</v>
      </c>
    </row>
    <row r="38" spans="1:6" ht="67.2">
      <c r="A38" s="1617" t="s">
        <v>5132</v>
      </c>
      <c r="B38" s="1605" t="s">
        <v>5556</v>
      </c>
      <c r="C38" s="1599" t="s">
        <v>4693</v>
      </c>
      <c r="D38" s="1471">
        <v>56</v>
      </c>
      <c r="E38" s="1600">
        <v>20237.54685875</v>
      </c>
      <c r="F38" s="2674">
        <f t="shared" si="2"/>
        <v>1133303</v>
      </c>
    </row>
    <row r="39" spans="1:6" ht="33.6">
      <c r="A39" s="1617" t="s">
        <v>5142</v>
      </c>
      <c r="B39" s="1605" t="s">
        <v>5557</v>
      </c>
      <c r="C39" s="1599" t="s">
        <v>4693</v>
      </c>
      <c r="D39" s="1471">
        <v>12</v>
      </c>
      <c r="E39" s="1600">
        <v>14391.723282083334</v>
      </c>
      <c r="F39" s="2674">
        <f t="shared" si="2"/>
        <v>172701</v>
      </c>
    </row>
    <row r="40" spans="1:6" ht="16.8">
      <c r="A40" s="1594" t="s">
        <v>5211</v>
      </c>
      <c r="B40" s="1595" t="s">
        <v>5535</v>
      </c>
      <c r="C40" s="1594"/>
      <c r="D40" s="1596"/>
      <c r="E40" s="1597"/>
      <c r="F40" s="2240">
        <f>SUM(F41:F47)</f>
        <v>2566557</v>
      </c>
    </row>
    <row r="41" spans="1:6" ht="50.4">
      <c r="A41" s="1617" t="s">
        <v>5073</v>
      </c>
      <c r="B41" s="1605" t="s">
        <v>5122</v>
      </c>
      <c r="C41" s="1599" t="s">
        <v>5191</v>
      </c>
      <c r="D41" s="1471">
        <v>1</v>
      </c>
      <c r="E41" s="1600">
        <v>178074.78342875</v>
      </c>
      <c r="F41" s="2674">
        <f t="shared" si="2"/>
        <v>178075</v>
      </c>
    </row>
    <row r="42" spans="1:6" ht="50.4">
      <c r="A42" s="1617" t="s">
        <v>5074</v>
      </c>
      <c r="B42" s="1605" t="s">
        <v>5558</v>
      </c>
      <c r="C42" s="1599" t="s">
        <v>5191</v>
      </c>
      <c r="D42" s="1471">
        <v>1</v>
      </c>
      <c r="E42" s="1600">
        <v>283299.60780875001</v>
      </c>
      <c r="F42" s="2674">
        <f t="shared" si="2"/>
        <v>283300</v>
      </c>
    </row>
    <row r="43" spans="1:6" ht="33.6">
      <c r="A43" s="1617" t="s">
        <v>5176</v>
      </c>
      <c r="B43" s="1609" t="s">
        <v>5559</v>
      </c>
      <c r="C43" s="1599" t="s">
        <v>5191</v>
      </c>
      <c r="D43" s="1471">
        <v>33</v>
      </c>
      <c r="E43" s="1600">
        <v>30760.029296749999</v>
      </c>
      <c r="F43" s="2674">
        <f t="shared" si="2"/>
        <v>1015081</v>
      </c>
    </row>
    <row r="44" spans="1:6" ht="33.6">
      <c r="A44" s="1617" t="s">
        <v>5182</v>
      </c>
      <c r="B44" s="1609" t="s">
        <v>5560</v>
      </c>
      <c r="C44" s="1599" t="s">
        <v>5191</v>
      </c>
      <c r="D44" s="1471">
        <v>5</v>
      </c>
      <c r="E44" s="1600">
        <v>30760.029296749999</v>
      </c>
      <c r="F44" s="2674">
        <f t="shared" si="2"/>
        <v>153800</v>
      </c>
    </row>
    <row r="45" spans="1:6" ht="33.6">
      <c r="A45" s="1617" t="s">
        <v>5545</v>
      </c>
      <c r="B45" s="1609" t="s">
        <v>5561</v>
      </c>
      <c r="C45" s="1599" t="s">
        <v>5191</v>
      </c>
      <c r="D45" s="1471">
        <v>2</v>
      </c>
      <c r="E45" s="1600">
        <v>37775.017588750001</v>
      </c>
      <c r="F45" s="2674">
        <f t="shared" si="2"/>
        <v>75550</v>
      </c>
    </row>
    <row r="46" spans="1:6" ht="16.8">
      <c r="A46" s="1617" t="s">
        <v>5546</v>
      </c>
      <c r="B46" s="1609" t="s">
        <v>5160</v>
      </c>
      <c r="C46" s="1599" t="s">
        <v>5191</v>
      </c>
      <c r="D46" s="1471">
        <v>19</v>
      </c>
      <c r="E46" s="1600">
        <v>26083.370435416669</v>
      </c>
      <c r="F46" s="2674">
        <f t="shared" si="2"/>
        <v>495584</v>
      </c>
    </row>
    <row r="47" spans="1:6" ht="16.8">
      <c r="A47" s="1617" t="s">
        <v>5547</v>
      </c>
      <c r="B47" s="1609" t="s">
        <v>5164</v>
      </c>
      <c r="C47" s="1599" t="s">
        <v>5191</v>
      </c>
      <c r="D47" s="1471">
        <v>14</v>
      </c>
      <c r="E47" s="1600">
        <v>26083.370435416669</v>
      </c>
      <c r="F47" s="2674">
        <f t="shared" si="2"/>
        <v>365167</v>
      </c>
    </row>
    <row r="48" spans="1:6" ht="16.8">
      <c r="A48" s="1594" t="s">
        <v>5212</v>
      </c>
      <c r="B48" s="1595" t="s">
        <v>5536</v>
      </c>
      <c r="C48" s="1594"/>
      <c r="D48" s="1596"/>
      <c r="E48" s="1597"/>
      <c r="F48" s="2240">
        <f>SUM(F49:F51)</f>
        <v>2769977</v>
      </c>
    </row>
    <row r="49" spans="1:13" ht="50.4">
      <c r="A49" s="1617" t="s">
        <v>5213</v>
      </c>
      <c r="B49" s="1482" t="s">
        <v>5167</v>
      </c>
      <c r="C49" s="364" t="s">
        <v>4693</v>
      </c>
      <c r="D49" s="1610">
        <v>90</v>
      </c>
      <c r="E49" s="1600">
        <v>16730.052712750003</v>
      </c>
      <c r="F49" s="1515">
        <f>ROUND((D49*E49),0)</f>
        <v>1505705</v>
      </c>
    </row>
    <row r="50" spans="1:13" ht="33.6">
      <c r="A50" s="1617" t="s">
        <v>5548</v>
      </c>
      <c r="B50" s="1482" t="s">
        <v>5562</v>
      </c>
      <c r="C50" s="364" t="s">
        <v>5191</v>
      </c>
      <c r="D50" s="1610">
        <v>5</v>
      </c>
      <c r="E50" s="1600">
        <v>142999.84196875</v>
      </c>
      <c r="F50" s="1515">
        <f>ROUND((D50*E50),0)</f>
        <v>714999</v>
      </c>
    </row>
    <row r="51" spans="1:13" ht="16.8">
      <c r="A51" s="1617" t="s">
        <v>5549</v>
      </c>
      <c r="B51" s="1482" t="s">
        <v>5177</v>
      </c>
      <c r="C51" s="364" t="s">
        <v>5191</v>
      </c>
      <c r="D51" s="1610">
        <v>4</v>
      </c>
      <c r="E51" s="1600">
        <v>137318.3607432</v>
      </c>
      <c r="F51" s="1515">
        <f>ROUND((D51*E51),0)</f>
        <v>549273</v>
      </c>
    </row>
    <row r="52" spans="1:13" ht="16.8">
      <c r="A52" s="1594" t="s">
        <v>5214</v>
      </c>
      <c r="B52" s="1595" t="s">
        <v>5537</v>
      </c>
      <c r="C52" s="1594"/>
      <c r="D52" s="1596"/>
      <c r="E52" s="1597"/>
      <c r="F52" s="2240">
        <f>SUM(F53)</f>
        <v>1604199</v>
      </c>
    </row>
    <row r="53" spans="1:13" ht="151.19999999999999">
      <c r="A53" s="1617" t="s">
        <v>5215</v>
      </c>
      <c r="B53" s="1709" t="s">
        <v>5244</v>
      </c>
      <c r="C53" s="1599" t="s">
        <v>5191</v>
      </c>
      <c r="D53" s="1471">
        <v>1</v>
      </c>
      <c r="E53" s="1600">
        <v>1604198.9053287501</v>
      </c>
      <c r="F53" s="1515">
        <f>ROUND((D53*E53),0)</f>
        <v>1604199</v>
      </c>
    </row>
    <row r="54" spans="1:13" ht="16.8">
      <c r="A54" s="1594" t="s">
        <v>5550</v>
      </c>
      <c r="B54" s="1595" t="s">
        <v>5657</v>
      </c>
      <c r="C54" s="1594"/>
      <c r="D54" s="1596"/>
      <c r="E54" s="1597"/>
      <c r="F54" s="2240">
        <f>SUM(F55)</f>
        <v>2362500</v>
      </c>
    </row>
    <row r="55" spans="1:13" s="1717" customFormat="1" ht="117.6">
      <c r="A55" s="1617">
        <v>15.1</v>
      </c>
      <c r="B55" s="1611" t="s">
        <v>5658</v>
      </c>
      <c r="C55" s="1612" t="s">
        <v>5191</v>
      </c>
      <c r="D55" s="1612">
        <v>3</v>
      </c>
      <c r="E55" s="1600">
        <v>787500</v>
      </c>
      <c r="F55" s="1515">
        <f>ROUND((D55*E55),0)</f>
        <v>2362500</v>
      </c>
      <c r="G55" s="2343"/>
      <c r="K55" s="1733"/>
      <c r="L55" s="1733"/>
      <c r="M55" s="1733"/>
    </row>
    <row r="56" spans="1:13" ht="15" customHeight="1">
      <c r="A56" s="3342" t="s">
        <v>5738</v>
      </c>
      <c r="B56" s="3343"/>
      <c r="C56" s="3343"/>
      <c r="D56" s="3343"/>
      <c r="E56" s="3343"/>
      <c r="F56" s="3344"/>
      <c r="H56" s="2339"/>
    </row>
    <row r="57" spans="1:13" ht="33.6" hidden="1">
      <c r="A57" s="1590" t="s">
        <v>22</v>
      </c>
      <c r="B57" s="1591" t="s">
        <v>23</v>
      </c>
      <c r="C57" s="1591" t="s">
        <v>150</v>
      </c>
      <c r="D57" s="1592" t="s">
        <v>539</v>
      </c>
      <c r="E57" s="1593" t="s">
        <v>151</v>
      </c>
      <c r="F57" s="1593" t="s">
        <v>540</v>
      </c>
    </row>
    <row r="58" spans="1:13" ht="16.8">
      <c r="A58" s="1594">
        <v>16</v>
      </c>
      <c r="B58" s="1613" t="s">
        <v>1127</v>
      </c>
      <c r="C58" s="1614"/>
      <c r="D58" s="1615"/>
      <c r="E58" s="1616" t="s">
        <v>1158</v>
      </c>
      <c r="F58" s="2241">
        <f>SUM(F59:F98)</f>
        <v>36778852</v>
      </c>
      <c r="G58" s="2344">
        <f>+F58</f>
        <v>36778852</v>
      </c>
      <c r="H58" s="2339" t="s">
        <v>8225</v>
      </c>
    </row>
    <row r="59" spans="1:13" ht="16.8">
      <c r="A59" s="1617" t="s">
        <v>5656</v>
      </c>
      <c r="B59" s="1618" t="s">
        <v>4355</v>
      </c>
      <c r="C59" s="364" t="s">
        <v>427</v>
      </c>
      <c r="D59" s="1619">
        <v>1</v>
      </c>
      <c r="E59" s="1620">
        <v>463471.72158900008</v>
      </c>
      <c r="F59" s="1621">
        <f t="shared" ref="F59:F98" si="3">ROUND((+E59*D59),0)</f>
        <v>463472</v>
      </c>
      <c r="G59" s="2344">
        <f>+'CAPTACION RIO SINÚ'!F124</f>
        <v>36778852</v>
      </c>
    </row>
    <row r="60" spans="1:13" ht="16.8">
      <c r="A60" s="1617" t="s">
        <v>6871</v>
      </c>
      <c r="B60" s="1618" t="s">
        <v>4356</v>
      </c>
      <c r="C60" s="364" t="s">
        <v>427</v>
      </c>
      <c r="D60" s="1619">
        <v>1</v>
      </c>
      <c r="E60" s="1620">
        <v>1375085.954205872</v>
      </c>
      <c r="F60" s="1621">
        <f t="shared" si="3"/>
        <v>1375086</v>
      </c>
      <c r="G60" s="2344"/>
    </row>
    <row r="61" spans="1:13" ht="16.8">
      <c r="A61" s="1617" t="s">
        <v>7218</v>
      </c>
      <c r="B61" s="1618" t="s">
        <v>4357</v>
      </c>
      <c r="C61" s="364" t="s">
        <v>427</v>
      </c>
      <c r="D61" s="1619">
        <v>3</v>
      </c>
      <c r="E61" s="1620">
        <v>638855.27904712001</v>
      </c>
      <c r="F61" s="1621">
        <f t="shared" si="3"/>
        <v>1916566</v>
      </c>
      <c r="G61" s="2344"/>
    </row>
    <row r="62" spans="1:13" ht="16.8">
      <c r="A62" s="1617" t="s">
        <v>7219</v>
      </c>
      <c r="B62" s="1618" t="s">
        <v>4358</v>
      </c>
      <c r="C62" s="364" t="s">
        <v>427</v>
      </c>
      <c r="D62" s="1619">
        <v>1</v>
      </c>
      <c r="E62" s="1620">
        <v>633411.35283829994</v>
      </c>
      <c r="F62" s="1621">
        <f t="shared" si="3"/>
        <v>633411</v>
      </c>
      <c r="G62" s="2344"/>
    </row>
    <row r="63" spans="1:13" ht="16.8">
      <c r="A63" s="1617" t="s">
        <v>7220</v>
      </c>
      <c r="B63" s="1618" t="s">
        <v>4359</v>
      </c>
      <c r="C63" s="364" t="s">
        <v>427</v>
      </c>
      <c r="D63" s="1619">
        <v>2</v>
      </c>
      <c r="E63" s="1620">
        <v>1081448.8530948001</v>
      </c>
      <c r="F63" s="1621">
        <f t="shared" si="3"/>
        <v>2162898</v>
      </c>
      <c r="G63" s="2344"/>
    </row>
    <row r="64" spans="1:13" ht="33.6">
      <c r="A64" s="1617" t="s">
        <v>7221</v>
      </c>
      <c r="B64" s="1618" t="s">
        <v>4360</v>
      </c>
      <c r="C64" s="364" t="s">
        <v>427</v>
      </c>
      <c r="D64" s="1619">
        <v>3</v>
      </c>
      <c r="E64" s="1620">
        <v>512369.79209715204</v>
      </c>
      <c r="F64" s="1621">
        <f t="shared" si="3"/>
        <v>1537109</v>
      </c>
      <c r="G64" s="2344"/>
    </row>
    <row r="65" spans="1:7" ht="16.8">
      <c r="A65" s="1617" t="s">
        <v>7222</v>
      </c>
      <c r="B65" s="1618" t="s">
        <v>4361</v>
      </c>
      <c r="C65" s="364" t="s">
        <v>427</v>
      </c>
      <c r="D65" s="1619">
        <v>3</v>
      </c>
      <c r="E65" s="1620">
        <v>348950.85429615993</v>
      </c>
      <c r="F65" s="1621">
        <f t="shared" si="3"/>
        <v>1046853</v>
      </c>
      <c r="G65" s="2344"/>
    </row>
    <row r="66" spans="1:7" ht="16.8">
      <c r="A66" s="1617" t="s">
        <v>7223</v>
      </c>
      <c r="B66" s="1618" t="s">
        <v>4409</v>
      </c>
      <c r="C66" s="364" t="s">
        <v>427</v>
      </c>
      <c r="D66" s="1619">
        <v>6</v>
      </c>
      <c r="E66" s="1620">
        <v>245060.45917248001</v>
      </c>
      <c r="F66" s="1621">
        <f t="shared" si="3"/>
        <v>1470363</v>
      </c>
      <c r="G66" s="2344"/>
    </row>
    <row r="67" spans="1:7" ht="16.8">
      <c r="A67" s="1617" t="s">
        <v>7224</v>
      </c>
      <c r="B67" s="1618" t="s">
        <v>4362</v>
      </c>
      <c r="C67" s="364" t="s">
        <v>427</v>
      </c>
      <c r="D67" s="1619">
        <v>3</v>
      </c>
      <c r="E67" s="1620">
        <v>276370.26245755999</v>
      </c>
      <c r="F67" s="1621">
        <f t="shared" si="3"/>
        <v>829111</v>
      </c>
      <c r="G67" s="2344"/>
    </row>
    <row r="68" spans="1:7" ht="16.8">
      <c r="A68" s="1617" t="s">
        <v>7225</v>
      </c>
      <c r="B68" s="1618" t="s">
        <v>4499</v>
      </c>
      <c r="C68" s="364" t="s">
        <v>427</v>
      </c>
      <c r="D68" s="1619">
        <v>3</v>
      </c>
      <c r="E68" s="1620">
        <v>130188.36893538</v>
      </c>
      <c r="F68" s="1621">
        <f t="shared" si="3"/>
        <v>390565</v>
      </c>
      <c r="G68" s="2344"/>
    </row>
    <row r="69" spans="1:7" ht="16.8">
      <c r="A69" s="1617" t="s">
        <v>7226</v>
      </c>
      <c r="B69" s="1618" t="s">
        <v>4484</v>
      </c>
      <c r="C69" s="364" t="s">
        <v>427</v>
      </c>
      <c r="D69" s="1619">
        <v>3</v>
      </c>
      <c r="E69" s="1620">
        <f>+'CAPTACION RIO SINÚ'!E135</f>
        <v>154496.50828452001</v>
      </c>
      <c r="F69" s="1621">
        <f t="shared" si="3"/>
        <v>463490</v>
      </c>
      <c r="G69" s="2344"/>
    </row>
    <row r="70" spans="1:7" ht="16.8">
      <c r="A70" s="1617" t="s">
        <v>7227</v>
      </c>
      <c r="B70" s="1618" t="s">
        <v>5099</v>
      </c>
      <c r="C70" s="364" t="s">
        <v>427</v>
      </c>
      <c r="D70" s="1619">
        <v>3</v>
      </c>
      <c r="E70" s="1620">
        <f>+'CAPTACION RIO SINÚ'!E136</f>
        <v>78113.021361227991</v>
      </c>
      <c r="F70" s="1621">
        <f t="shared" si="3"/>
        <v>234339</v>
      </c>
      <c r="G70" s="2344"/>
    </row>
    <row r="71" spans="1:7" ht="16.8">
      <c r="A71" s="1617" t="s">
        <v>7228</v>
      </c>
      <c r="B71" s="1618" t="s">
        <v>5100</v>
      </c>
      <c r="C71" s="364" t="s">
        <v>427</v>
      </c>
      <c r="D71" s="1619">
        <v>3</v>
      </c>
      <c r="E71" s="1620">
        <f>+'CAPTACION RIO SINÚ'!E137</f>
        <v>88834.416450024</v>
      </c>
      <c r="F71" s="1621">
        <f t="shared" si="3"/>
        <v>266503</v>
      </c>
      <c r="G71" s="2344"/>
    </row>
    <row r="72" spans="1:7" ht="16.8">
      <c r="A72" s="1617" t="s">
        <v>7229</v>
      </c>
      <c r="B72" s="1618" t="s">
        <v>4399</v>
      </c>
      <c r="C72" s="364" t="s">
        <v>427</v>
      </c>
      <c r="D72" s="1619">
        <v>1</v>
      </c>
      <c r="E72" s="1620">
        <f>+'CAPTACION RIO SINÚ'!E138</f>
        <v>197412.20503021998</v>
      </c>
      <c r="F72" s="1621">
        <f t="shared" si="3"/>
        <v>197412</v>
      </c>
      <c r="G72" s="2344"/>
    </row>
    <row r="73" spans="1:7" ht="16.8">
      <c r="A73" s="1617" t="s">
        <v>7230</v>
      </c>
      <c r="B73" s="1618" t="s">
        <v>4410</v>
      </c>
      <c r="C73" s="364" t="s">
        <v>427</v>
      </c>
      <c r="D73" s="1619">
        <v>1</v>
      </c>
      <c r="E73" s="1620">
        <f>+'CAPTACION RIO SINÚ'!E139</f>
        <v>228311.506687124</v>
      </c>
      <c r="F73" s="1621">
        <f t="shared" si="3"/>
        <v>228312</v>
      </c>
      <c r="G73" s="2344"/>
    </row>
    <row r="74" spans="1:7" ht="16.8">
      <c r="A74" s="1617" t="s">
        <v>7231</v>
      </c>
      <c r="B74" s="1618" t="s">
        <v>4395</v>
      </c>
      <c r="C74" s="364" t="s">
        <v>427</v>
      </c>
      <c r="D74" s="1619">
        <v>1</v>
      </c>
      <c r="E74" s="1620">
        <f>+'CAPTACION RIO SINÚ'!E140</f>
        <v>271563.823110472</v>
      </c>
      <c r="F74" s="1621">
        <f t="shared" si="3"/>
        <v>271564</v>
      </c>
      <c r="G74" s="2344"/>
    </row>
    <row r="75" spans="1:7" ht="16.8">
      <c r="A75" s="1617" t="s">
        <v>7232</v>
      </c>
      <c r="B75" s="1618" t="s">
        <v>4364</v>
      </c>
      <c r="C75" s="364" t="s">
        <v>427</v>
      </c>
      <c r="D75" s="1619">
        <v>3</v>
      </c>
      <c r="E75" s="1620">
        <f>+'CAPTACION RIO SINÚ'!E141</f>
        <v>256886.04112506</v>
      </c>
      <c r="F75" s="1621">
        <f t="shared" si="3"/>
        <v>770658</v>
      </c>
      <c r="G75" s="2344"/>
    </row>
    <row r="76" spans="1:7" ht="13.5" customHeight="1">
      <c r="A76" s="1617" t="s">
        <v>7233</v>
      </c>
      <c r="B76" s="1618" t="s">
        <v>4365</v>
      </c>
      <c r="C76" s="364" t="s">
        <v>427</v>
      </c>
      <c r="D76" s="1619">
        <v>3</v>
      </c>
      <c r="E76" s="1620">
        <f>+'CAPTACION RIO SINÚ'!E142</f>
        <v>738788.82001828006</v>
      </c>
      <c r="F76" s="1621">
        <f t="shared" si="3"/>
        <v>2216366</v>
      </c>
      <c r="G76" s="2344"/>
    </row>
    <row r="77" spans="1:7" ht="16.8">
      <c r="A77" s="1617" t="s">
        <v>7234</v>
      </c>
      <c r="B77" s="1618" t="s">
        <v>4393</v>
      </c>
      <c r="C77" s="364" t="s">
        <v>427</v>
      </c>
      <c r="D77" s="1619">
        <v>3</v>
      </c>
      <c r="E77" s="1620">
        <f>+'CAPTACION RIO SINÚ'!E143</f>
        <v>1972438.0332612002</v>
      </c>
      <c r="F77" s="1621">
        <f t="shared" si="3"/>
        <v>5917314</v>
      </c>
      <c r="G77" s="2344"/>
    </row>
    <row r="78" spans="1:7" ht="16.8">
      <c r="A78" s="1617" t="s">
        <v>7235</v>
      </c>
      <c r="B78" s="1618" t="s">
        <v>4366</v>
      </c>
      <c r="C78" s="364" t="s">
        <v>427</v>
      </c>
      <c r="D78" s="1619">
        <v>3</v>
      </c>
      <c r="E78" s="1620">
        <f>+'CAPTACION RIO SINÚ'!E144</f>
        <v>325624.33788717602</v>
      </c>
      <c r="F78" s="1621">
        <f t="shared" si="3"/>
        <v>976873</v>
      </c>
      <c r="G78" s="2344"/>
    </row>
    <row r="79" spans="1:7" ht="16.8">
      <c r="A79" s="1617" t="s">
        <v>7236</v>
      </c>
      <c r="B79" s="1618" t="s">
        <v>4390</v>
      </c>
      <c r="C79" s="364" t="s">
        <v>427</v>
      </c>
      <c r="D79" s="1619">
        <v>3</v>
      </c>
      <c r="E79" s="1620">
        <f>+'CAPTACION RIO SINÚ'!E145</f>
        <v>564756.62328284001</v>
      </c>
      <c r="F79" s="1621">
        <f t="shared" si="3"/>
        <v>1694270</v>
      </c>
      <c r="G79" s="2344"/>
    </row>
    <row r="80" spans="1:7" ht="16.8">
      <c r="A80" s="1617" t="s">
        <v>7237</v>
      </c>
      <c r="B80" s="1618" t="s">
        <v>4367</v>
      </c>
      <c r="C80" s="364" t="s">
        <v>427</v>
      </c>
      <c r="D80" s="1619">
        <v>3</v>
      </c>
      <c r="E80" s="1620">
        <f>+'CAPTACION RIO SINÚ'!E146</f>
        <v>757014.19716635998</v>
      </c>
      <c r="F80" s="1621">
        <f t="shared" si="3"/>
        <v>2271043</v>
      </c>
      <c r="G80" s="2344"/>
    </row>
    <row r="81" spans="1:7" ht="16.8">
      <c r="A81" s="1617" t="s">
        <v>7238</v>
      </c>
      <c r="B81" s="1618" t="s">
        <v>4481</v>
      </c>
      <c r="C81" s="364" t="s">
        <v>427</v>
      </c>
      <c r="D81" s="1619">
        <v>1</v>
      </c>
      <c r="E81" s="1620">
        <f>+'CAPTACION RIO SINÚ'!E147</f>
        <v>214427.90177591998</v>
      </c>
      <c r="F81" s="1621">
        <f t="shared" si="3"/>
        <v>214428</v>
      </c>
      <c r="G81" s="2344"/>
    </row>
    <row r="82" spans="1:7" ht="16.8">
      <c r="A82" s="1617" t="s">
        <v>7239</v>
      </c>
      <c r="B82" s="1618" t="s">
        <v>4482</v>
      </c>
      <c r="C82" s="364" t="s">
        <v>427</v>
      </c>
      <c r="D82" s="1619">
        <v>1</v>
      </c>
      <c r="E82" s="1620">
        <f>+'CAPTACION RIO SINÚ'!E148</f>
        <v>401757.38376338402</v>
      </c>
      <c r="F82" s="1621">
        <f t="shared" si="3"/>
        <v>401757</v>
      </c>
      <c r="G82" s="2344"/>
    </row>
    <row r="83" spans="1:7" ht="33.6">
      <c r="A83" s="1617" t="s">
        <v>7240</v>
      </c>
      <c r="B83" s="1618" t="s">
        <v>4486</v>
      </c>
      <c r="C83" s="364" t="s">
        <v>427</v>
      </c>
      <c r="D83" s="1619">
        <v>1</v>
      </c>
      <c r="E83" s="1620">
        <f>+'CAPTACION RIO SINÚ'!E149</f>
        <v>574951.23453643196</v>
      </c>
      <c r="F83" s="1621">
        <f t="shared" si="3"/>
        <v>574951</v>
      </c>
      <c r="G83" s="2344"/>
    </row>
    <row r="84" spans="1:7" ht="16.8">
      <c r="A84" s="1617" t="s">
        <v>7241</v>
      </c>
      <c r="B84" s="1618" t="s">
        <v>4483</v>
      </c>
      <c r="C84" s="364"/>
      <c r="D84" s="1619">
        <v>1</v>
      </c>
      <c r="E84" s="1620">
        <f>+'CAPTACION RIO SINÚ'!E150</f>
        <v>444595.63960564003</v>
      </c>
      <c r="F84" s="1621">
        <f t="shared" si="3"/>
        <v>444596</v>
      </c>
      <c r="G84" s="2344"/>
    </row>
    <row r="85" spans="1:7" ht="16.8">
      <c r="A85" s="1617" t="s">
        <v>7242</v>
      </c>
      <c r="B85" s="1618" t="s">
        <v>4485</v>
      </c>
      <c r="C85" s="364" t="s">
        <v>427</v>
      </c>
      <c r="D85" s="1619">
        <v>1</v>
      </c>
      <c r="E85" s="1620">
        <f>+'CAPTACION RIO SINÚ'!E151</f>
        <v>793062.49226952007</v>
      </c>
      <c r="F85" s="1621">
        <f t="shared" si="3"/>
        <v>793062</v>
      </c>
      <c r="G85" s="2344"/>
    </row>
    <row r="86" spans="1:7" ht="16.8">
      <c r="A86" s="1617" t="s">
        <v>7243</v>
      </c>
      <c r="B86" s="1618" t="s">
        <v>4487</v>
      </c>
      <c r="C86" s="364" t="s">
        <v>427</v>
      </c>
      <c r="D86" s="1619">
        <v>3</v>
      </c>
      <c r="E86" s="1620">
        <f>+'CAPTACION RIO SINÚ'!E152</f>
        <v>225428.82035571916</v>
      </c>
      <c r="F86" s="1621">
        <f t="shared" si="3"/>
        <v>676286</v>
      </c>
      <c r="G86" s="2344"/>
    </row>
    <row r="87" spans="1:7" ht="33.6">
      <c r="A87" s="1617" t="s">
        <v>7244</v>
      </c>
      <c r="B87" s="1618" t="s">
        <v>4488</v>
      </c>
      <c r="C87" s="364" t="s">
        <v>427</v>
      </c>
      <c r="D87" s="1619">
        <v>2</v>
      </c>
      <c r="E87" s="1620">
        <f>+'CAPTACION RIO SINÚ'!E153</f>
        <v>965773.39201096795</v>
      </c>
      <c r="F87" s="1621">
        <f t="shared" si="3"/>
        <v>1931547</v>
      </c>
      <c r="G87" s="2344"/>
    </row>
    <row r="88" spans="1:7" ht="16.8">
      <c r="A88" s="1617" t="s">
        <v>7245</v>
      </c>
      <c r="B88" s="1618" t="s">
        <v>4489</v>
      </c>
      <c r="C88" s="364" t="s">
        <v>427</v>
      </c>
      <c r="D88" s="1619">
        <v>1</v>
      </c>
      <c r="E88" s="1620">
        <f>+'CAPTACION RIO SINÚ'!E154</f>
        <v>617627.45610080799</v>
      </c>
      <c r="F88" s="1621">
        <f t="shared" si="3"/>
        <v>617627</v>
      </c>
      <c r="G88" s="2344"/>
    </row>
    <row r="89" spans="1:7" ht="16.8">
      <c r="A89" s="1617" t="s">
        <v>7246</v>
      </c>
      <c r="B89" s="1618" t="s">
        <v>4490</v>
      </c>
      <c r="C89" s="364" t="s">
        <v>427</v>
      </c>
      <c r="D89" s="1619">
        <v>1</v>
      </c>
      <c r="E89" s="1620">
        <f>+'CAPTACION RIO SINÚ'!E155</f>
        <v>348466.85266387998</v>
      </c>
      <c r="F89" s="1621">
        <f t="shared" si="3"/>
        <v>348467</v>
      </c>
      <c r="G89" s="2344"/>
    </row>
    <row r="90" spans="1:7" ht="16.8">
      <c r="A90" s="1617" t="s">
        <v>7247</v>
      </c>
      <c r="B90" s="1623" t="s">
        <v>4492</v>
      </c>
      <c r="C90" s="364" t="s">
        <v>427</v>
      </c>
      <c r="D90" s="1619">
        <v>1</v>
      </c>
      <c r="E90" s="1620">
        <f>+'CAPTACION RIO SINÚ'!E156</f>
        <v>480643.93470879999</v>
      </c>
      <c r="F90" s="1621">
        <f t="shared" si="3"/>
        <v>480644</v>
      </c>
      <c r="G90" s="2344"/>
    </row>
    <row r="91" spans="1:7" ht="16.8">
      <c r="A91" s="1617" t="s">
        <v>7248</v>
      </c>
      <c r="B91" s="1618" t="s">
        <v>4491</v>
      </c>
      <c r="C91" s="364" t="s">
        <v>427</v>
      </c>
      <c r="D91" s="1619">
        <v>2</v>
      </c>
      <c r="E91" s="1620">
        <f>+'CAPTACION RIO SINÚ'!E157</f>
        <v>559044.17248722003</v>
      </c>
      <c r="F91" s="1621">
        <f t="shared" si="3"/>
        <v>1118088</v>
      </c>
      <c r="G91" s="2344"/>
    </row>
    <row r="92" spans="1:7" ht="16.8">
      <c r="A92" s="1617" t="s">
        <v>7249</v>
      </c>
      <c r="B92" s="1623" t="s">
        <v>4493</v>
      </c>
      <c r="C92" s="364" t="s">
        <v>427</v>
      </c>
      <c r="D92" s="1619">
        <v>4</v>
      </c>
      <c r="E92" s="1620">
        <f>+'CAPTACION RIO SINÚ'!E158</f>
        <v>70983.029553407992</v>
      </c>
      <c r="F92" s="1621">
        <f t="shared" si="3"/>
        <v>283932</v>
      </c>
      <c r="G92" s="2344"/>
    </row>
    <row r="93" spans="1:7" ht="50.4">
      <c r="A93" s="1617" t="s">
        <v>7250</v>
      </c>
      <c r="B93" s="1618" t="s">
        <v>4521</v>
      </c>
      <c r="C93" s="364" t="s">
        <v>427</v>
      </c>
      <c r="D93" s="1619">
        <v>1</v>
      </c>
      <c r="E93" s="1620">
        <f>+'CAPTACION RIO SINÚ'!E159</f>
        <v>446806.95106648398</v>
      </c>
      <c r="F93" s="1621">
        <f t="shared" si="3"/>
        <v>446807</v>
      </c>
      <c r="G93" s="2344"/>
    </row>
    <row r="94" spans="1:7" ht="16.8">
      <c r="A94" s="1617" t="s">
        <v>7251</v>
      </c>
      <c r="B94" s="1618" t="s">
        <v>4495</v>
      </c>
      <c r="C94" s="364" t="s">
        <v>427</v>
      </c>
      <c r="D94" s="1619">
        <v>1</v>
      </c>
      <c r="E94" s="1620">
        <f>+'CAPTACION RIO SINÚ'!E160</f>
        <v>302126.50508972805</v>
      </c>
      <c r="F94" s="1621">
        <f t="shared" si="3"/>
        <v>302127</v>
      </c>
      <c r="G94" s="2344"/>
    </row>
    <row r="95" spans="1:7" ht="16.8">
      <c r="A95" s="1617" t="s">
        <v>7252</v>
      </c>
      <c r="B95" s="1623" t="s">
        <v>4496</v>
      </c>
      <c r="C95" s="364" t="s">
        <v>427</v>
      </c>
      <c r="D95" s="1619">
        <v>6</v>
      </c>
      <c r="E95" s="1620">
        <f>+'CAPTACION RIO SINÚ'!E161</f>
        <v>43255.283634108004</v>
      </c>
      <c r="F95" s="1621">
        <f t="shared" si="3"/>
        <v>259532</v>
      </c>
      <c r="G95" s="2344"/>
    </row>
    <row r="96" spans="1:7" ht="16.8">
      <c r="A96" s="1617" t="s">
        <v>7253</v>
      </c>
      <c r="B96" s="1618" t="s">
        <v>4497</v>
      </c>
      <c r="C96" s="364" t="s">
        <v>427</v>
      </c>
      <c r="D96" s="1619">
        <v>1</v>
      </c>
      <c r="E96" s="1620">
        <f>+'CAPTACION RIO SINÚ'!E162</f>
        <v>213886.55094541603</v>
      </c>
      <c r="F96" s="1621">
        <f t="shared" si="3"/>
        <v>213887</v>
      </c>
      <c r="G96" s="2344"/>
    </row>
    <row r="97" spans="1:17" ht="16.8">
      <c r="A97" s="1617" t="s">
        <v>7254</v>
      </c>
      <c r="B97" s="1618" t="s">
        <v>4498</v>
      </c>
      <c r="C97" s="364" t="s">
        <v>427</v>
      </c>
      <c r="D97" s="1619">
        <v>1</v>
      </c>
      <c r="E97" s="1620">
        <f>+'CAPTACION RIO SINÚ'!E163</f>
        <v>108745.578757788</v>
      </c>
      <c r="F97" s="1621">
        <f t="shared" si="3"/>
        <v>108746</v>
      </c>
      <c r="G97" s="2344"/>
    </row>
    <row r="98" spans="1:17" ht="56.25" customHeight="1" thickBot="1">
      <c r="A98" s="1617" t="s">
        <v>7255</v>
      </c>
      <c r="B98" s="1618" t="s">
        <v>4520</v>
      </c>
      <c r="C98" s="364" t="s">
        <v>427</v>
      </c>
      <c r="D98" s="1619">
        <v>1</v>
      </c>
      <c r="E98" s="1620">
        <f>+'CAPTACION RIO SINÚ'!E164</f>
        <v>228789.87061896003</v>
      </c>
      <c r="F98" s="1621">
        <f t="shared" si="3"/>
        <v>228790</v>
      </c>
      <c r="G98" s="2344"/>
    </row>
    <row r="99" spans="1:17" ht="16.8">
      <c r="A99" s="3334" t="s">
        <v>5757</v>
      </c>
      <c r="B99" s="3335"/>
      <c r="C99" s="3335"/>
      <c r="D99" s="3335"/>
      <c r="E99" s="3335"/>
      <c r="F99" s="3336"/>
      <c r="G99" s="2344"/>
    </row>
    <row r="100" spans="1:17" ht="33.6" hidden="1">
      <c r="A100" s="1590" t="s">
        <v>22</v>
      </c>
      <c r="B100" s="1591" t="s">
        <v>23</v>
      </c>
      <c r="C100" s="1591" t="s">
        <v>150</v>
      </c>
      <c r="D100" s="1592" t="s">
        <v>539</v>
      </c>
      <c r="E100" s="1593" t="s">
        <v>151</v>
      </c>
      <c r="F100" s="1593" t="s">
        <v>540</v>
      </c>
      <c r="G100" s="2344"/>
    </row>
    <row r="101" spans="1:17" s="1623" customFormat="1" ht="16.8">
      <c r="A101" s="1624"/>
      <c r="B101" s="3342" t="s">
        <v>1201</v>
      </c>
      <c r="C101" s="3343"/>
      <c r="D101" s="3343"/>
      <c r="E101" s="3343"/>
      <c r="F101" s="3344"/>
      <c r="G101" s="2344"/>
      <c r="H101" s="1625"/>
      <c r="I101" s="1625"/>
      <c r="J101" s="1625"/>
      <c r="K101" s="1706"/>
      <c r="L101" s="1706"/>
      <c r="M101" s="1625"/>
      <c r="N101" s="1625"/>
      <c r="O101" s="1625"/>
      <c r="P101" s="1625"/>
      <c r="Q101" s="1625"/>
    </row>
    <row r="102" spans="1:17" s="1721" customFormat="1" ht="20.100000000000001" customHeight="1">
      <c r="A102" s="1718"/>
      <c r="B102" s="1626" t="s">
        <v>1082</v>
      </c>
      <c r="C102" s="1719"/>
      <c r="D102" s="1627"/>
      <c r="E102" s="1720"/>
      <c r="F102" s="1628"/>
      <c r="G102" s="2344"/>
      <c r="H102" s="2340"/>
      <c r="K102" s="2666"/>
      <c r="L102" s="2666"/>
      <c r="M102" s="2666"/>
    </row>
    <row r="103" spans="1:17" s="1721" customFormat="1" ht="20.100000000000001" customHeight="1">
      <c r="A103" s="1722">
        <v>17</v>
      </c>
      <c r="B103" s="1629" t="s">
        <v>1083</v>
      </c>
      <c r="C103" s="1723"/>
      <c r="D103" s="1630"/>
      <c r="E103" s="1724"/>
      <c r="F103" s="2225">
        <f>SUM(F104)</f>
        <v>24257376</v>
      </c>
      <c r="G103" s="2975">
        <f>+SUM(F103,F105,F111,F122,F132)</f>
        <v>2104213397</v>
      </c>
      <c r="H103" s="1721" t="s">
        <v>8225</v>
      </c>
      <c r="K103" s="2666"/>
      <c r="L103" s="2666"/>
      <c r="M103" s="2666"/>
    </row>
    <row r="104" spans="1:17" s="1623" customFormat="1" ht="16.8">
      <c r="A104" s="1617" t="s">
        <v>6872</v>
      </c>
      <c r="B104" s="1631" t="s">
        <v>1086</v>
      </c>
      <c r="C104" s="1632" t="s">
        <v>1002</v>
      </c>
      <c r="D104" s="1633">
        <f>+'LINEAS IMPULSIÓN-CONDUCCIÓN'!D14</f>
        <v>10296</v>
      </c>
      <c r="E104" s="1634">
        <f>+'LINEAS IMPULSIÓN-CONDUCCIÓN'!E14</f>
        <v>2356</v>
      </c>
      <c r="F104" s="1634">
        <f>+ROUND(E104*D104,0)</f>
        <v>24257376</v>
      </c>
      <c r="G104" s="2346">
        <f>+'LINEAS IMPULSIÓN-CONDUCCIÓN'!F54</f>
        <v>2104213397</v>
      </c>
    </row>
    <row r="105" spans="1:17" s="1623" customFormat="1" ht="16.8">
      <c r="A105" s="1722">
        <v>18</v>
      </c>
      <c r="B105" s="1629" t="s">
        <v>1087</v>
      </c>
      <c r="C105" s="1723"/>
      <c r="D105" s="1630"/>
      <c r="E105" s="1724"/>
      <c r="F105" s="2225">
        <f>SUM(F106:F110)</f>
        <v>114229441</v>
      </c>
      <c r="G105" s="2346"/>
    </row>
    <row r="106" spans="1:17" s="1623" customFormat="1" ht="16.8">
      <c r="A106" s="1635" t="s">
        <v>6893</v>
      </c>
      <c r="B106" s="1618" t="s">
        <v>1088</v>
      </c>
      <c r="C106" s="1635" t="s">
        <v>356</v>
      </c>
      <c r="D106" s="1633">
        <f>+'LINEAS IMPULSIÓN-CONDUCCIÓN'!D16</f>
        <v>65.8</v>
      </c>
      <c r="E106" s="1634">
        <f>+'LINEAS IMPULSIÓN-CONDUCCIÓN'!E16</f>
        <v>51559</v>
      </c>
      <c r="F106" s="1637">
        <f t="shared" ref="F106:F110" si="4">+ROUND(E106*D106,0)</f>
        <v>3392582</v>
      </c>
      <c r="G106" s="2346"/>
      <c r="H106" s="1625"/>
    </row>
    <row r="107" spans="1:17" s="1623" customFormat="1" ht="16.8">
      <c r="A107" s="1635" t="s">
        <v>6894</v>
      </c>
      <c r="B107" s="1638" t="s">
        <v>1108</v>
      </c>
      <c r="C107" s="1635" t="s">
        <v>94</v>
      </c>
      <c r="D107" s="1633">
        <f>+'LINEAS IMPULSIÓN-CONDUCCIÓN'!D17</f>
        <v>10904.900000000001</v>
      </c>
      <c r="E107" s="1634">
        <f>+'LINEAS IMPULSIÓN-CONDUCCIÓN'!E17</f>
        <v>5176</v>
      </c>
      <c r="F107" s="1637">
        <f t="shared" si="4"/>
        <v>56443762</v>
      </c>
      <c r="G107" s="2346"/>
    </row>
    <row r="108" spans="1:17" s="1623" customFormat="1" ht="16.8">
      <c r="A108" s="1635" t="s">
        <v>6895</v>
      </c>
      <c r="B108" s="1638" t="s">
        <v>1089</v>
      </c>
      <c r="C108" s="1635" t="s">
        <v>94</v>
      </c>
      <c r="D108" s="1633">
        <f>+'LINEAS IMPULSIÓN-CONDUCCIÓN'!D18</f>
        <v>1369.1</v>
      </c>
      <c r="E108" s="1634">
        <f>+'LINEAS IMPULSIÓN-CONDUCCIÓN'!E18</f>
        <v>11371.692038071427</v>
      </c>
      <c r="F108" s="1637">
        <f t="shared" si="4"/>
        <v>15568984</v>
      </c>
      <c r="G108" s="2346"/>
    </row>
    <row r="109" spans="1:17" s="1623" customFormat="1" ht="16.8">
      <c r="A109" s="1635" t="s">
        <v>6896</v>
      </c>
      <c r="B109" s="1638" t="s">
        <v>1090</v>
      </c>
      <c r="C109" s="1635" t="s">
        <v>94</v>
      </c>
      <c r="D109" s="1633">
        <f>+'LINEAS IMPULSIÓN-CONDUCCIÓN'!D19</f>
        <v>3343.8</v>
      </c>
      <c r="E109" s="1634">
        <f>+'LINEAS IMPULSIÓN-CONDUCCIÓN'!E19</f>
        <v>9950.2305333125005</v>
      </c>
      <c r="F109" s="1637">
        <f t="shared" si="4"/>
        <v>33271581</v>
      </c>
      <c r="G109" s="2346"/>
    </row>
    <row r="110" spans="1:17" s="1623" customFormat="1" ht="16.8">
      <c r="A110" s="1635" t="s">
        <v>6897</v>
      </c>
      <c r="B110" s="1638" t="s">
        <v>1091</v>
      </c>
      <c r="C110" s="1635" t="s">
        <v>356</v>
      </c>
      <c r="D110" s="1633">
        <f>+'LINEAS IMPULSIÓN-CONDUCCIÓN'!D20</f>
        <v>109.5</v>
      </c>
      <c r="E110" s="1634">
        <f>+'LINEAS IMPULSIÓN-CONDUCCIÓN'!E20</f>
        <v>50708.052078235298</v>
      </c>
      <c r="F110" s="1637">
        <f t="shared" si="4"/>
        <v>5552532</v>
      </c>
      <c r="G110" s="2346"/>
    </row>
    <row r="111" spans="1:17" s="1623" customFormat="1" ht="16.8">
      <c r="A111" s="1722">
        <v>19</v>
      </c>
      <c r="B111" s="1629" t="s">
        <v>1104</v>
      </c>
      <c r="C111" s="1723"/>
      <c r="D111" s="1630"/>
      <c r="E111" s="1724"/>
      <c r="F111" s="2225">
        <f>SUM(F112:F121)</f>
        <v>1185268163</v>
      </c>
      <c r="G111" s="2346"/>
    </row>
    <row r="112" spans="1:17" s="1623" customFormat="1" ht="33.6">
      <c r="A112" s="1617" t="s">
        <v>7256</v>
      </c>
      <c r="B112" s="258" t="s">
        <v>6262</v>
      </c>
      <c r="C112" s="364" t="s">
        <v>1084</v>
      </c>
      <c r="D112" s="1633">
        <f>+'LINEAS IMPULSIÓN-CONDUCCIÓN'!D22</f>
        <v>8685.74</v>
      </c>
      <c r="E112" s="1634">
        <f>+'LINEAS IMPULSIÓN-CONDUCCIÓN'!E22</f>
        <v>10000</v>
      </c>
      <c r="F112" s="1637">
        <f t="shared" ref="F112:F121" si="5">ROUND(+E112*D112,0)</f>
        <v>86857400</v>
      </c>
      <c r="G112" s="2346"/>
      <c r="H112" s="1640"/>
      <c r="I112" s="1640"/>
    </row>
    <row r="113" spans="1:17" s="1623" customFormat="1" ht="33.75" customHeight="1">
      <c r="A113" s="1617" t="s">
        <v>7257</v>
      </c>
      <c r="B113" s="1641" t="s">
        <v>5062</v>
      </c>
      <c r="C113" s="364" t="s">
        <v>1084</v>
      </c>
      <c r="D113" s="1633">
        <f>+'LINEAS IMPULSIÓN-CONDUCCIÓN'!D23</f>
        <v>3598.3780000000002</v>
      </c>
      <c r="E113" s="1634">
        <f>+'LINEAS IMPULSIÓN-CONDUCCIÓN'!E23</f>
        <v>23473.224058666663</v>
      </c>
      <c r="F113" s="1637">
        <f t="shared" si="5"/>
        <v>84465533</v>
      </c>
      <c r="G113" s="2346"/>
      <c r="H113" s="1725"/>
      <c r="I113" s="1640"/>
      <c r="J113" s="3012"/>
      <c r="L113" s="3012"/>
      <c r="M113" s="3012"/>
      <c r="N113" s="3012"/>
      <c r="O113" s="1642"/>
    </row>
    <row r="114" spans="1:17" s="1623" customFormat="1" ht="50.4">
      <c r="A114" s="1617" t="s">
        <v>7258</v>
      </c>
      <c r="B114" s="1641" t="s">
        <v>1095</v>
      </c>
      <c r="C114" s="1643" t="s">
        <v>1084</v>
      </c>
      <c r="D114" s="1633">
        <f>+'LINEAS IMPULSIÓN-CONDUCCIÓN'!D24</f>
        <v>124.08200000000001</v>
      </c>
      <c r="E114" s="1634">
        <f>+'LINEAS IMPULSIÓN-CONDUCCIÓN'!E24</f>
        <v>75938.251377333334</v>
      </c>
      <c r="F114" s="1637">
        <f t="shared" si="5"/>
        <v>9422570</v>
      </c>
      <c r="G114" s="2346"/>
      <c r="H114" s="1640"/>
      <c r="I114" s="1640"/>
      <c r="J114" s="1644"/>
      <c r="L114" s="1625"/>
      <c r="M114" s="1625"/>
      <c r="N114" s="1625"/>
      <c r="O114" s="1625"/>
      <c r="P114" s="1625"/>
      <c r="Q114" s="1625"/>
    </row>
    <row r="115" spans="1:17" s="1623" customFormat="1" ht="33.6">
      <c r="A115" s="1617" t="s">
        <v>7259</v>
      </c>
      <c r="B115" s="1645" t="s">
        <v>1101</v>
      </c>
      <c r="C115" s="1643" t="s">
        <v>1084</v>
      </c>
      <c r="D115" s="1633">
        <f>+'LINEAS IMPULSIÓN-CONDUCCIÓN'!D25</f>
        <v>6111.8479505816122</v>
      </c>
      <c r="E115" s="1634">
        <f>+'LINEAS IMPULSIÓN-CONDUCCIÓN'!E25</f>
        <v>1826.1904761904761</v>
      </c>
      <c r="F115" s="1637">
        <f t="shared" si="5"/>
        <v>11161399</v>
      </c>
      <c r="G115" s="2346"/>
      <c r="H115" s="1640"/>
      <c r="I115" s="1640"/>
      <c r="J115" s="1644"/>
      <c r="L115" s="1625"/>
      <c r="M115" s="1625"/>
      <c r="N115" s="1625"/>
      <c r="O115" s="1625"/>
      <c r="P115" s="1625"/>
      <c r="Q115" s="1625"/>
    </row>
    <row r="116" spans="1:17" s="1623" customFormat="1" ht="50.4">
      <c r="A116" s="1617" t="s">
        <v>7260</v>
      </c>
      <c r="B116" s="1641" t="s">
        <v>5063</v>
      </c>
      <c r="C116" s="1643" t="s">
        <v>1085</v>
      </c>
      <c r="D116" s="1633">
        <f>+'LINEAS IMPULSIÓN-CONDUCCIÓN'!D26</f>
        <v>3844.0000000000005</v>
      </c>
      <c r="E116" s="1634">
        <f>+'LINEAS IMPULSIÓN-CONDUCCIÓN'!E26</f>
        <v>87012</v>
      </c>
      <c r="F116" s="1637">
        <f t="shared" si="5"/>
        <v>334474128</v>
      </c>
      <c r="G116" s="2346"/>
      <c r="H116" s="3012"/>
      <c r="I116" s="1625"/>
      <c r="J116" s="1644"/>
      <c r="K116" s="1625"/>
      <c r="L116" s="1625"/>
      <c r="M116" s="1625"/>
      <c r="N116" s="1625"/>
      <c r="O116" s="1625"/>
      <c r="P116" s="1625"/>
      <c r="Q116" s="1625"/>
    </row>
    <row r="117" spans="1:17" s="1623" customFormat="1" ht="50.4">
      <c r="A117" s="1617" t="s">
        <v>7261</v>
      </c>
      <c r="B117" s="1641" t="s">
        <v>1102</v>
      </c>
      <c r="C117" s="364" t="s">
        <v>1085</v>
      </c>
      <c r="D117" s="1633">
        <f>+'LINEAS IMPULSIÓN-CONDUCCIÓN'!D27</f>
        <v>8968.7500000000018</v>
      </c>
      <c r="E117" s="1634">
        <f>+'LINEAS IMPULSIÓN-CONDUCCIÓN'!E27</f>
        <v>12212</v>
      </c>
      <c r="F117" s="1637">
        <f t="shared" si="5"/>
        <v>109526375</v>
      </c>
      <c r="G117" s="2346"/>
      <c r="H117" s="3347"/>
      <c r="I117" s="3347"/>
      <c r="J117" s="3347"/>
      <c r="K117" s="3347"/>
      <c r="L117" s="3347"/>
      <c r="M117" s="3347"/>
      <c r="N117" s="3347"/>
      <c r="O117" s="1642"/>
    </row>
    <row r="118" spans="1:17" s="247" customFormat="1" ht="33.6">
      <c r="A118" s="1617" t="s">
        <v>7262</v>
      </c>
      <c r="B118" s="263" t="s">
        <v>6249</v>
      </c>
      <c r="C118" s="471" t="s">
        <v>1085</v>
      </c>
      <c r="D118" s="1633">
        <f>+'LINEAS IMPULSIÓN-CONDUCCIÓN'!D28</f>
        <v>1530.6</v>
      </c>
      <c r="E118" s="1634">
        <f>+'LINEAS IMPULSIÓN-CONDUCCIÓN'!E28</f>
        <v>88113</v>
      </c>
      <c r="F118" s="1637">
        <f t="shared" si="5"/>
        <v>134865758</v>
      </c>
      <c r="G118" s="2346"/>
      <c r="H118" s="3019"/>
      <c r="I118" s="3019"/>
      <c r="J118" s="3019"/>
      <c r="K118" s="3019"/>
      <c r="L118" s="3019"/>
      <c r="M118" s="3019"/>
      <c r="N118" s="3019"/>
      <c r="O118" s="261"/>
    </row>
    <row r="119" spans="1:17" s="247" customFormat="1" ht="67.2">
      <c r="A119" s="1617" t="s">
        <v>7263</v>
      </c>
      <c r="B119" s="323" t="s">
        <v>5742</v>
      </c>
      <c r="C119" s="471" t="s">
        <v>45</v>
      </c>
      <c r="D119" s="1633">
        <f>+'LINEAS IMPULSIÓN-CONDUCCIÓN'!D29</f>
        <v>60</v>
      </c>
      <c r="E119" s="1634">
        <f>+'LINEAS IMPULSIÓN-CONDUCCIÓN'!E29</f>
        <v>2454375</v>
      </c>
      <c r="F119" s="1637">
        <f t="shared" si="5"/>
        <v>147262500</v>
      </c>
      <c r="G119" s="2346"/>
      <c r="H119" s="3019"/>
      <c r="I119" s="3019"/>
      <c r="J119" s="3019"/>
      <c r="K119" s="3019"/>
      <c r="L119" s="3019"/>
      <c r="M119" s="3019"/>
      <c r="N119" s="3019"/>
      <c r="O119" s="261"/>
    </row>
    <row r="120" spans="1:17" s="247" customFormat="1" ht="67.2">
      <c r="A120" s="1617" t="s">
        <v>7264</v>
      </c>
      <c r="B120" s="323" t="s">
        <v>5743</v>
      </c>
      <c r="C120" s="471" t="s">
        <v>45</v>
      </c>
      <c r="D120" s="1633">
        <f>+'LINEAS IMPULSIÓN-CONDUCCIÓN'!D30</f>
        <v>60</v>
      </c>
      <c r="E120" s="1634">
        <f>+'LINEAS IMPULSIÓN-CONDUCCIÓN'!E30</f>
        <v>2454375</v>
      </c>
      <c r="F120" s="1637">
        <f t="shared" si="5"/>
        <v>147262500</v>
      </c>
      <c r="G120" s="2346"/>
      <c r="H120" s="3019"/>
      <c r="I120" s="3019"/>
      <c r="J120" s="3019"/>
      <c r="K120" s="3019"/>
      <c r="L120" s="3019"/>
      <c r="M120" s="3019"/>
      <c r="N120" s="3019"/>
      <c r="O120" s="261"/>
    </row>
    <row r="121" spans="1:17" s="1623" customFormat="1" ht="41.25" customHeight="1">
      <c r="A121" s="1617" t="s">
        <v>7265</v>
      </c>
      <c r="B121" s="1638" t="s">
        <v>5744</v>
      </c>
      <c r="C121" s="1632" t="s">
        <v>94</v>
      </c>
      <c r="D121" s="1633">
        <f>+'LINEAS IMPULSIÓN-CONDUCCIÓN'!D31</f>
        <v>30</v>
      </c>
      <c r="E121" s="1634">
        <f>+'LINEAS IMPULSIÓN-CONDUCCIÓN'!E31</f>
        <v>3999000</v>
      </c>
      <c r="F121" s="1634">
        <f t="shared" si="5"/>
        <v>119970000</v>
      </c>
      <c r="G121" s="2346"/>
      <c r="H121" s="3012"/>
      <c r="I121" s="3012"/>
      <c r="J121" s="3012"/>
      <c r="K121" s="3012"/>
      <c r="L121" s="3012"/>
      <c r="M121" s="3012"/>
      <c r="N121" s="3012"/>
      <c r="O121" s="1642"/>
    </row>
    <row r="122" spans="1:17" s="1623" customFormat="1" ht="16.8">
      <c r="A122" s="1594">
        <v>20</v>
      </c>
      <c r="B122" s="1613" t="s">
        <v>1106</v>
      </c>
      <c r="C122" s="1647"/>
      <c r="D122" s="1647"/>
      <c r="E122" s="1647"/>
      <c r="F122" s="2225">
        <f>SUM(F123:F131)</f>
        <v>476464015</v>
      </c>
      <c r="G122" s="2346"/>
      <c r="I122" s="273"/>
      <c r="J122" s="273"/>
      <c r="K122" s="1706"/>
      <c r="L122" s="275"/>
      <c r="M122" s="1625"/>
      <c r="N122" s="1625"/>
      <c r="O122" s="273"/>
      <c r="P122" s="276"/>
      <c r="Q122" s="276"/>
    </row>
    <row r="123" spans="1:17" s="1623" customFormat="1" ht="22.5" customHeight="1">
      <c r="A123" s="1635" t="s">
        <v>7266</v>
      </c>
      <c r="B123" s="1638" t="s">
        <v>1107</v>
      </c>
      <c r="C123" s="1635" t="s">
        <v>1084</v>
      </c>
      <c r="D123" s="1633">
        <f>+'LINEAS IMPULSIÓN-CONDUCCIÓN'!D33</f>
        <v>17</v>
      </c>
      <c r="E123" s="1634">
        <f>+'LINEAS IMPULSIÓN-CONDUCCIÓN'!E33</f>
        <v>508061.26403443597</v>
      </c>
      <c r="F123" s="1648">
        <f t="shared" ref="F123:F131" si="6">ROUND((+E123*D123),0)</f>
        <v>8637041</v>
      </c>
      <c r="G123" s="2346"/>
      <c r="I123" s="273"/>
      <c r="J123" s="273"/>
      <c r="K123" s="1706"/>
      <c r="L123" s="275"/>
      <c r="M123" s="1625"/>
      <c r="N123" s="1625"/>
      <c r="O123" s="273"/>
      <c r="P123" s="276"/>
      <c r="Q123" s="276"/>
    </row>
    <row r="124" spans="1:17" s="1623" customFormat="1" ht="22.5" customHeight="1">
      <c r="A124" s="1635" t="s">
        <v>7267</v>
      </c>
      <c r="B124" s="1638" t="s">
        <v>5086</v>
      </c>
      <c r="C124" s="1635" t="s">
        <v>1084</v>
      </c>
      <c r="D124" s="1633">
        <f>+'LINEAS IMPULSIÓN-CONDUCCIÓN'!D34</f>
        <v>5</v>
      </c>
      <c r="E124" s="1634">
        <f>+'LINEAS IMPULSIÓN-CONDUCCIÓN'!E34</f>
        <v>583833.86392370739</v>
      </c>
      <c r="F124" s="1648">
        <f t="shared" si="6"/>
        <v>2919169</v>
      </c>
      <c r="G124" s="2346"/>
      <c r="I124" s="273"/>
      <c r="J124" s="273"/>
      <c r="K124" s="1706"/>
      <c r="L124" s="275"/>
      <c r="M124" s="1625"/>
      <c r="N124" s="1625"/>
      <c r="O124" s="273"/>
      <c r="P124" s="276"/>
      <c r="Q124" s="276"/>
    </row>
    <row r="125" spans="1:17" s="1623" customFormat="1" ht="33.6">
      <c r="A125" s="1635" t="s">
        <v>7268</v>
      </c>
      <c r="B125" s="1638" t="s">
        <v>1111</v>
      </c>
      <c r="C125" s="1635" t="s">
        <v>1084</v>
      </c>
      <c r="D125" s="1633">
        <f>+'LINEAS IMPULSIÓN-CONDUCCIÓN'!D35</f>
        <v>65.8</v>
      </c>
      <c r="E125" s="1634">
        <f>+'LINEAS IMPULSIÓN-CONDUCCIÓN'!E35</f>
        <v>721312.05156987999</v>
      </c>
      <c r="F125" s="1648">
        <f t="shared" si="6"/>
        <v>47462333</v>
      </c>
      <c r="G125" s="2346"/>
      <c r="I125" s="273"/>
      <c r="J125" s="273"/>
      <c r="K125" s="1706"/>
      <c r="L125" s="275"/>
      <c r="M125" s="1625"/>
      <c r="N125" s="1625"/>
      <c r="O125" s="273"/>
      <c r="P125" s="276"/>
      <c r="Q125" s="276"/>
    </row>
    <row r="126" spans="1:17" s="1623" customFormat="1" ht="16.8">
      <c r="A126" s="1635" t="s">
        <v>7269</v>
      </c>
      <c r="B126" s="1638" t="s">
        <v>1120</v>
      </c>
      <c r="C126" s="1635" t="s">
        <v>94</v>
      </c>
      <c r="D126" s="1633">
        <f>+'LINEAS IMPULSIÓN-CONDUCCIÓN'!D36</f>
        <v>3343.8</v>
      </c>
      <c r="E126" s="1634">
        <f>+'LINEAS IMPULSIÓN-CONDUCCIÓN'!E36</f>
        <v>54299.213951898993</v>
      </c>
      <c r="F126" s="1648">
        <f t="shared" si="6"/>
        <v>181565712</v>
      </c>
      <c r="G126" s="2346"/>
      <c r="I126" s="273"/>
      <c r="J126" s="273"/>
      <c r="K126" s="1706"/>
      <c r="L126" s="275"/>
      <c r="M126" s="1625"/>
      <c r="N126" s="1625"/>
      <c r="O126" s="273"/>
      <c r="P126" s="276"/>
      <c r="Q126" s="276"/>
    </row>
    <row r="127" spans="1:17" s="1623" customFormat="1" ht="16.8">
      <c r="A127" s="1635" t="s">
        <v>7270</v>
      </c>
      <c r="B127" s="1638" t="s">
        <v>1121</v>
      </c>
      <c r="C127" s="1635" t="s">
        <v>94</v>
      </c>
      <c r="D127" s="1633">
        <f>+'LINEAS IMPULSIÓN-CONDUCCIÓN'!D37</f>
        <v>1369.1</v>
      </c>
      <c r="E127" s="1634">
        <f>+'LINEAS IMPULSIÓN-CONDUCCIÓN'!E37</f>
        <v>41838.174079316326</v>
      </c>
      <c r="F127" s="1648">
        <f t="shared" si="6"/>
        <v>57280644</v>
      </c>
      <c r="G127" s="2346"/>
      <c r="I127" s="273"/>
      <c r="J127" s="273"/>
      <c r="K127" s="1706"/>
      <c r="L127" s="275"/>
      <c r="M127" s="1625"/>
      <c r="N127" s="1625"/>
      <c r="O127" s="273"/>
      <c r="P127" s="276"/>
      <c r="Q127" s="276"/>
    </row>
    <row r="128" spans="1:17" s="1623" customFormat="1" ht="50.4">
      <c r="A128" s="1635" t="s">
        <v>7271</v>
      </c>
      <c r="B128" s="1638" t="s">
        <v>1123</v>
      </c>
      <c r="C128" s="1635" t="s">
        <v>1084</v>
      </c>
      <c r="D128" s="1633">
        <f>+'LINEAS IMPULSIÓN-CONDUCCIÓN'!D38</f>
        <v>109.5</v>
      </c>
      <c r="E128" s="1634">
        <f>+'LINEAS IMPULSIÓN-CONDUCCIÓN'!E38</f>
        <v>444652.84510301804</v>
      </c>
      <c r="F128" s="1648">
        <f t="shared" si="6"/>
        <v>48689487</v>
      </c>
      <c r="G128" s="2346"/>
      <c r="I128" s="273"/>
      <c r="J128" s="273"/>
      <c r="K128" s="1706"/>
      <c r="L128" s="275"/>
      <c r="M128" s="1625"/>
      <c r="N128" s="1625"/>
      <c r="O128" s="273"/>
      <c r="P128" s="276"/>
      <c r="Q128" s="276"/>
    </row>
    <row r="129" spans="1:17" s="1623" customFormat="1" ht="50.4">
      <c r="A129" s="1635" t="s">
        <v>7272</v>
      </c>
      <c r="B129" s="1618" t="s">
        <v>542</v>
      </c>
      <c r="C129" s="1643" t="s">
        <v>133</v>
      </c>
      <c r="D129" s="1633">
        <f>+'LINEAS IMPULSIÓN-CONDUCCIÓN'!D39</f>
        <v>17</v>
      </c>
      <c r="E129" s="1634">
        <f>+'LINEAS IMPULSIÓN-CONDUCCIÓN'!E39</f>
        <v>704362.91278373147</v>
      </c>
      <c r="F129" s="1648">
        <f t="shared" si="6"/>
        <v>11974170</v>
      </c>
      <c r="G129" s="2346"/>
      <c r="H129" s="1625"/>
      <c r="I129" s="1625"/>
      <c r="J129" s="1625"/>
      <c r="K129" s="1625"/>
    </row>
    <row r="130" spans="1:17" s="1623" customFormat="1" ht="16.8">
      <c r="A130" s="1635" t="s">
        <v>7273</v>
      </c>
      <c r="B130" s="1618" t="str">
        <f>+'LINEAS IMPULSIÓN-CONDUCCIÓN'!B40</f>
        <v>Camara de Quiebre en concreto, incluye accesorios</v>
      </c>
      <c r="C130" s="1643" t="s">
        <v>133</v>
      </c>
      <c r="D130" s="1633">
        <f>+'LINEAS IMPULSIÓN-CONDUCCIÓN'!D40</f>
        <v>1</v>
      </c>
      <c r="E130" s="1634">
        <f>+'LINEAS IMPULSIÓN-CONDUCCIÓN'!E40</f>
        <v>46725677.187705025</v>
      </c>
      <c r="F130" s="1648">
        <f>ROUND((+E130*D130),0)</f>
        <v>46725677</v>
      </c>
      <c r="G130" s="2346"/>
      <c r="H130" s="1625"/>
      <c r="I130" s="1625"/>
      <c r="J130" s="1625"/>
      <c r="K130" s="1625"/>
    </row>
    <row r="131" spans="1:17" s="1623" customFormat="1" ht="16.8">
      <c r="A131" s="1635" t="s">
        <v>8796</v>
      </c>
      <c r="B131" s="1618" t="str">
        <f>+'LINEAS IMPULSIÓN-CONDUCCIÓN'!B41</f>
        <v>Acero de refuerzo de 420 MPa (60000 psi) para estructuras varias</v>
      </c>
      <c r="C131" s="1643" t="str">
        <f>+'LINEAS IMPULSIÓN-CONDUCCIÓN'!C41</f>
        <v>kg</v>
      </c>
      <c r="D131" s="1639">
        <f>+'LINEAS IMPULSIÓN-CONDUCCIÓN'!D41</f>
        <v>18080</v>
      </c>
      <c r="E131" s="1637">
        <f>+'LINEAS IMPULSIÓN-CONDUCCIÓN'!E41</f>
        <v>3938.5941163025</v>
      </c>
      <c r="F131" s="1648">
        <f t="shared" si="6"/>
        <v>71209782</v>
      </c>
      <c r="G131" s="2346"/>
      <c r="H131" s="1625"/>
      <c r="I131" s="1625"/>
      <c r="J131" s="1625"/>
      <c r="K131" s="1625"/>
    </row>
    <row r="132" spans="1:17" s="1623" customFormat="1" ht="16.8">
      <c r="A132" s="1594">
        <v>21</v>
      </c>
      <c r="B132" s="1613" t="s">
        <v>1127</v>
      </c>
      <c r="C132" s="1647"/>
      <c r="D132" s="1647"/>
      <c r="E132" s="1647"/>
      <c r="F132" s="2225">
        <f>SUM(F133:F143)</f>
        <v>303994402</v>
      </c>
      <c r="G132" s="2346">
        <f>+'LINEAS IMPULSIÓN-CONDUCCIÓN'!F42</f>
        <v>303994402</v>
      </c>
      <c r="H132" s="1625"/>
      <c r="I132" s="1625"/>
      <c r="J132" s="1625"/>
      <c r="K132" s="1706"/>
      <c r="L132" s="1706"/>
      <c r="M132" s="1625"/>
      <c r="N132" s="1625"/>
      <c r="O132" s="1625"/>
      <c r="P132" s="1625"/>
      <c r="Q132" s="1625"/>
    </row>
    <row r="133" spans="1:17" s="1623" customFormat="1" ht="16.8">
      <c r="A133" s="1622" t="s">
        <v>7274</v>
      </c>
      <c r="B133" s="1618" t="s">
        <v>8772</v>
      </c>
      <c r="C133" s="364" t="s">
        <v>94</v>
      </c>
      <c r="D133" s="1639">
        <f>+'LINEAS IMPULSIÓN-CONDUCCIÓN'!D43</f>
        <v>1031</v>
      </c>
      <c r="E133" s="1634">
        <f>+'LINEAS IMPULSIÓN-CONDUCCIÓN'!E43</f>
        <v>30573</v>
      </c>
      <c r="F133" s="1637">
        <f>+ROUND(E133*D133,0)</f>
        <v>31520763</v>
      </c>
      <c r="G133" s="2346"/>
      <c r="H133" s="1625"/>
      <c r="I133" s="1625"/>
      <c r="J133" s="1625"/>
    </row>
    <row r="134" spans="1:17" s="1623" customFormat="1" ht="16.8">
      <c r="A134" s="1622" t="s">
        <v>7275</v>
      </c>
      <c r="B134" s="258" t="s">
        <v>8724</v>
      </c>
      <c r="C134" s="364" t="s">
        <v>94</v>
      </c>
      <c r="D134" s="1639">
        <f>+'LINEAS IMPULSIÓN-CONDUCCIÓN'!D44</f>
        <v>1057</v>
      </c>
      <c r="E134" s="1634">
        <f>+'LINEAS IMPULSIÓN-CONDUCCIÓN'!E44</f>
        <v>30573</v>
      </c>
      <c r="F134" s="1637">
        <f t="shared" ref="F134:F139" si="7">+ROUND(E134*D134,0)</f>
        <v>32315661</v>
      </c>
      <c r="G134" s="2346"/>
      <c r="H134" s="1625"/>
      <c r="I134" s="1625"/>
      <c r="J134" s="1625"/>
    </row>
    <row r="135" spans="1:17" s="1623" customFormat="1" ht="16.8">
      <c r="A135" s="1622" t="s">
        <v>7276</v>
      </c>
      <c r="B135" s="258" t="s">
        <v>8725</v>
      </c>
      <c r="C135" s="364" t="s">
        <v>94</v>
      </c>
      <c r="D135" s="1639">
        <f>+'LINEAS IMPULSIÓN-CONDUCCIÓN'!D45</f>
        <v>504</v>
      </c>
      <c r="E135" s="1634">
        <f>+'LINEAS IMPULSIÓN-CONDUCCIÓN'!E45</f>
        <v>30573</v>
      </c>
      <c r="F135" s="1637">
        <f t="shared" si="7"/>
        <v>15408792</v>
      </c>
      <c r="G135" s="2346"/>
      <c r="H135" s="1625"/>
      <c r="I135" s="1625"/>
      <c r="J135" s="1625"/>
    </row>
    <row r="136" spans="1:17" s="1623" customFormat="1" ht="16.8">
      <c r="A136" s="1622" t="s">
        <v>7277</v>
      </c>
      <c r="B136" s="258" t="s">
        <v>8726</v>
      </c>
      <c r="C136" s="364" t="s">
        <v>94</v>
      </c>
      <c r="D136" s="1639">
        <f>+'LINEAS IMPULSIÓN-CONDUCCIÓN'!D46</f>
        <v>2174</v>
      </c>
      <c r="E136" s="1634">
        <f>+'LINEAS IMPULSIÓN-CONDUCCIÓN'!E46</f>
        <v>30573</v>
      </c>
      <c r="F136" s="1637">
        <f t="shared" si="7"/>
        <v>66465702</v>
      </c>
      <c r="G136" s="2346"/>
      <c r="H136" s="1625"/>
      <c r="I136" s="1625"/>
      <c r="J136" s="1625"/>
    </row>
    <row r="137" spans="1:17" s="1623" customFormat="1" ht="16.8">
      <c r="A137" s="1622" t="s">
        <v>7278</v>
      </c>
      <c r="B137" s="258" t="s">
        <v>8769</v>
      </c>
      <c r="C137" s="364" t="s">
        <v>94</v>
      </c>
      <c r="D137" s="1639">
        <f>+'LINEAS IMPULSIÓN-CONDUCCIÓN'!D47</f>
        <v>2287</v>
      </c>
      <c r="E137" s="1634">
        <f>+'LINEAS IMPULSIÓN-CONDUCCIÓN'!E47</f>
        <v>30573</v>
      </c>
      <c r="F137" s="1637">
        <f t="shared" si="7"/>
        <v>69920451</v>
      </c>
      <c r="G137" s="2346"/>
      <c r="H137" s="1625"/>
      <c r="I137" s="1625"/>
      <c r="J137" s="1625"/>
    </row>
    <row r="138" spans="1:17" s="1623" customFormat="1" ht="16.8">
      <c r="A138" s="1622" t="s">
        <v>8581</v>
      </c>
      <c r="B138" s="258" t="s">
        <v>8548</v>
      </c>
      <c r="C138" s="471" t="s">
        <v>94</v>
      </c>
      <c r="D138" s="1639">
        <f>+'LINEAS IMPULSIÓN-CONDUCCIÓN'!D48</f>
        <v>2757</v>
      </c>
      <c r="E138" s="1634">
        <f>+'LINEAS IMPULSIÓN-CONDUCCIÓN'!E48</f>
        <v>20992</v>
      </c>
      <c r="F138" s="1637">
        <f t="shared" si="7"/>
        <v>57874944</v>
      </c>
      <c r="G138" s="2346"/>
      <c r="H138" s="1625"/>
      <c r="I138" s="1625"/>
      <c r="J138" s="1625"/>
    </row>
    <row r="139" spans="1:17" s="1623" customFormat="1" ht="16.8">
      <c r="A139" s="1622" t="s">
        <v>8582</v>
      </c>
      <c r="B139" s="258" t="s">
        <v>8553</v>
      </c>
      <c r="C139" s="471" t="s">
        <v>94</v>
      </c>
      <c r="D139" s="1639">
        <f>+'LINEAS IMPULSIÓN-CONDUCCIÓN'!D49</f>
        <v>500.73</v>
      </c>
      <c r="E139" s="1634">
        <f>+'LINEAS IMPULSIÓN-CONDUCCIÓN'!E49</f>
        <v>18692</v>
      </c>
      <c r="F139" s="1637">
        <f t="shared" si="7"/>
        <v>9359645</v>
      </c>
      <c r="G139" s="2346"/>
      <c r="H139" s="1625"/>
      <c r="I139" s="1625"/>
      <c r="J139" s="1625"/>
    </row>
    <row r="140" spans="1:17" s="1623" customFormat="1" ht="16.8">
      <c r="A140" s="1622" t="s">
        <v>8738</v>
      </c>
      <c r="B140" s="1618" t="s">
        <v>5060</v>
      </c>
      <c r="C140" s="364" t="s">
        <v>133</v>
      </c>
      <c r="D140" s="1646">
        <v>4</v>
      </c>
      <c r="E140" s="1634">
        <f>+'LINEAS IMPULSIÓN-CONDUCCIÓN'!E50</f>
        <v>196516.08844343032</v>
      </c>
      <c r="F140" s="1637">
        <f>+ROUND(E140*D140,0)</f>
        <v>786064</v>
      </c>
      <c r="G140" s="2346"/>
      <c r="H140" s="1625"/>
      <c r="I140" s="1625"/>
      <c r="J140" s="1625"/>
    </row>
    <row r="141" spans="1:17" s="1623" customFormat="1" ht="67.2">
      <c r="A141" s="1622" t="s">
        <v>8739</v>
      </c>
      <c r="B141" s="269" t="s">
        <v>4525</v>
      </c>
      <c r="C141" s="1636" t="s">
        <v>133</v>
      </c>
      <c r="D141" s="1649">
        <v>12</v>
      </c>
      <c r="E141" s="1634">
        <f>+'LINEAS IMPULSIÓN-CONDUCCIÓN'!E51</f>
        <v>169049</v>
      </c>
      <c r="F141" s="1637">
        <f>+ROUND(E141*D141,0)</f>
        <v>2028588</v>
      </c>
      <c r="G141" s="2346"/>
      <c r="H141" s="1625"/>
      <c r="I141" s="1625"/>
      <c r="J141" s="1625"/>
      <c r="K141" s="1706"/>
      <c r="L141" s="275"/>
      <c r="M141" s="1625"/>
      <c r="N141" s="1625"/>
      <c r="O141" s="273"/>
      <c r="P141" s="276"/>
      <c r="Q141" s="276"/>
    </row>
    <row r="142" spans="1:17" s="1623" customFormat="1" ht="67.2">
      <c r="A142" s="1622" t="s">
        <v>8740</v>
      </c>
      <c r="B142" s="269" t="s">
        <v>4526</v>
      </c>
      <c r="C142" s="1636" t="s">
        <v>133</v>
      </c>
      <c r="D142" s="1649">
        <v>5</v>
      </c>
      <c r="E142" s="1634">
        <f>+'LINEAS IMPULSIÓN-CONDUCCIÓN'!E52</f>
        <v>135453</v>
      </c>
      <c r="F142" s="1637">
        <f>+ROUND(E142*D142,0)</f>
        <v>677265</v>
      </c>
      <c r="G142" s="2346"/>
      <c r="H142" s="1625"/>
      <c r="I142" s="1625"/>
      <c r="J142" s="1625"/>
      <c r="K142" s="1706"/>
      <c r="L142" s="275"/>
      <c r="M142" s="1625"/>
      <c r="N142" s="1625"/>
      <c r="O142" s="273"/>
      <c r="P142" s="276"/>
      <c r="Q142" s="276"/>
    </row>
    <row r="143" spans="1:17" s="1623" customFormat="1" ht="133.5" customHeight="1" thickBot="1">
      <c r="A143" s="1622" t="s">
        <v>8773</v>
      </c>
      <c r="B143" s="269" t="str">
        <f>+'LINEAS IMPULSIÓN-CONDUCCIÓN'!B53</f>
        <v>Instalación Medidor AQUASOFT de tipo Woltmann Horizontal de Velocidad,
Cuerpo de Hierro Fundido, Bridado, Cámara seca, Modulo
Removible, (Q3/Q1) R=80, Dn500mm (16"), T. 0°-50°,
Transmisión Magnética, Pre-equipado con receptáculo para
emisión de impulsos incluye, empaques, Informe de Calibración
de Fabrica. Cumplen la norma ISO 4064 y la NTC 1063.
Aprobación de Modelo por la comunidad Económica Europea CE
M10 1383 TCM142/10-4736.</v>
      </c>
      <c r="C143" s="1636" t="s">
        <v>133</v>
      </c>
      <c r="D143" s="1649">
        <v>2</v>
      </c>
      <c r="E143" s="1634">
        <f>+'LINEAS IMPULSIÓN-CONDUCCIÓN'!E53</f>
        <v>8818263.2557418458</v>
      </c>
      <c r="F143" s="1637">
        <f>+ROUND(E143*D143,0)</f>
        <v>17636527</v>
      </c>
      <c r="G143" s="2346"/>
      <c r="H143" s="1625"/>
      <c r="I143" s="1625"/>
      <c r="J143" s="1625"/>
      <c r="K143" s="1706"/>
      <c r="L143" s="275"/>
      <c r="M143" s="1625"/>
      <c r="N143" s="1625"/>
      <c r="O143" s="273"/>
      <c r="P143" s="276"/>
      <c r="Q143" s="276"/>
    </row>
    <row r="144" spans="1:17" ht="16.8">
      <c r="A144" s="3334" t="s">
        <v>5707</v>
      </c>
      <c r="B144" s="3335"/>
      <c r="C144" s="3335"/>
      <c r="D144" s="3335"/>
      <c r="E144" s="3335"/>
      <c r="F144" s="3336"/>
      <c r="G144" s="2346"/>
    </row>
    <row r="145" spans="1:13" ht="33.6">
      <c r="A145" s="1590" t="s">
        <v>22</v>
      </c>
      <c r="B145" s="1591" t="s">
        <v>23</v>
      </c>
      <c r="C145" s="1591" t="s">
        <v>150</v>
      </c>
      <c r="D145" s="1592" t="s">
        <v>539</v>
      </c>
      <c r="E145" s="1593" t="s">
        <v>151</v>
      </c>
      <c r="F145" s="1593" t="s">
        <v>540</v>
      </c>
      <c r="G145" s="2346"/>
    </row>
    <row r="146" spans="1:13" ht="18">
      <c r="A146" s="1726"/>
      <c r="B146" s="1727" t="s">
        <v>1371</v>
      </c>
      <c r="C146" s="1718"/>
      <c r="D146" s="1718"/>
      <c r="E146" s="1718"/>
      <c r="F146" s="1728"/>
      <c r="G146" s="2975">
        <f>+SUM(F147,F150,F167,F169,F171,F173,F175,F184,F218,F231,F235,F239)</f>
        <v>351020042</v>
      </c>
      <c r="H146" s="1717" t="s">
        <v>8225</v>
      </c>
    </row>
    <row r="147" spans="1:13" ht="18">
      <c r="A147" s="1650">
        <v>22</v>
      </c>
      <c r="B147" s="1727" t="s">
        <v>8528</v>
      </c>
      <c r="C147" s="1718"/>
      <c r="D147" s="1718"/>
      <c r="E147" s="1718"/>
      <c r="F147" s="2364">
        <f>SUM(F148:F149)</f>
        <v>436691</v>
      </c>
      <c r="G147" s="2346">
        <f>+'PTAP TIJERETAS'!F114</f>
        <v>351020042</v>
      </c>
      <c r="H147" s="1744"/>
    </row>
    <row r="148" spans="1:13" ht="17.399999999999999">
      <c r="A148" s="1622" t="s">
        <v>7279</v>
      </c>
      <c r="B148" s="1711" t="s">
        <v>1373</v>
      </c>
      <c r="C148" s="1730" t="s">
        <v>1125</v>
      </c>
      <c r="D148" s="1576">
        <f>+'PTAP TIJERETAS'!D10</f>
        <v>162.05000000000001</v>
      </c>
      <c r="E148" s="1731">
        <f>+'PTAP TIJERETAS'!E10</f>
        <v>2356</v>
      </c>
      <c r="F148" s="1531">
        <f>ROUND(D148*E148,0)</f>
        <v>381790</v>
      </c>
      <c r="G148" s="2346"/>
      <c r="H148" s="1744"/>
      <c r="I148" s="1732"/>
    </row>
    <row r="149" spans="1:13" ht="17.399999999999999">
      <c r="A149" s="1622" t="s">
        <v>7280</v>
      </c>
      <c r="B149" s="1711" t="s">
        <v>1374</v>
      </c>
      <c r="C149" s="1730" t="s">
        <v>1125</v>
      </c>
      <c r="D149" s="1576">
        <f>+'PTAP TIJERETAS'!D11</f>
        <v>18.899999999999999</v>
      </c>
      <c r="E149" s="1731">
        <f>+'PTAP TIJERETAS'!E11</f>
        <v>2904.8114772599997</v>
      </c>
      <c r="F149" s="1531">
        <f>ROUND(D149*E149,0)</f>
        <v>54901</v>
      </c>
      <c r="G149" s="2346"/>
      <c r="H149" s="1744"/>
      <c r="J149" s="1733"/>
      <c r="K149" s="1733"/>
      <c r="L149" s="1733"/>
      <c r="M149" s="1733"/>
    </row>
    <row r="150" spans="1:13" ht="18">
      <c r="A150" s="1650">
        <v>23</v>
      </c>
      <c r="B150" s="3348" t="s">
        <v>4756</v>
      </c>
      <c r="C150" s="3349"/>
      <c r="D150" s="3349"/>
      <c r="E150" s="3349"/>
      <c r="F150" s="2364">
        <f>+SUM(F151:F166)</f>
        <v>33797289</v>
      </c>
      <c r="G150" s="2346"/>
      <c r="H150" s="1744"/>
      <c r="J150" s="1733"/>
      <c r="K150" s="1733"/>
      <c r="L150" s="1733"/>
      <c r="M150" s="1733"/>
    </row>
    <row r="151" spans="1:13" ht="39.75" customHeight="1">
      <c r="A151" s="1622" t="s">
        <v>7281</v>
      </c>
      <c r="B151" s="1711" t="s">
        <v>4679</v>
      </c>
      <c r="C151" s="1528" t="s">
        <v>133</v>
      </c>
      <c r="D151" s="1576">
        <v>48</v>
      </c>
      <c r="E151" s="1731">
        <f>+'PTAP TIJERETAS'!E13</f>
        <v>47000.186158072698</v>
      </c>
      <c r="F151" s="1531">
        <f>ROUND(+E151*D151,0)</f>
        <v>2256009</v>
      </c>
      <c r="G151" s="2346"/>
      <c r="H151" s="1744"/>
      <c r="J151" s="1733"/>
      <c r="K151" s="3010"/>
      <c r="L151" s="3011"/>
      <c r="M151" s="1733"/>
    </row>
    <row r="152" spans="1:13" ht="37.5" customHeight="1">
      <c r="A152" s="1622" t="s">
        <v>7282</v>
      </c>
      <c r="B152" s="1711" t="s">
        <v>4681</v>
      </c>
      <c r="C152" s="1528" t="s">
        <v>133</v>
      </c>
      <c r="D152" s="1576">
        <v>12</v>
      </c>
      <c r="E152" s="1731">
        <f>+'PTAP TIJERETAS'!E14</f>
        <v>47799.551623591498</v>
      </c>
      <c r="F152" s="1531">
        <f t="shared" ref="F152:F166" si="8">ROUND(+E152*D152,0)</f>
        <v>573595</v>
      </c>
      <c r="G152" s="2346"/>
      <c r="H152" s="1744"/>
      <c r="J152" s="1733"/>
      <c r="K152" s="3010"/>
      <c r="L152" s="3011"/>
      <c r="M152" s="1733"/>
    </row>
    <row r="153" spans="1:13" ht="37.5" customHeight="1">
      <c r="A153" s="1622" t="s">
        <v>7283</v>
      </c>
      <c r="B153" s="1711" t="s">
        <v>4682</v>
      </c>
      <c r="C153" s="1528" t="s">
        <v>133</v>
      </c>
      <c r="D153" s="1576">
        <v>20</v>
      </c>
      <c r="E153" s="1731">
        <f>+'PTAP TIJERETAS'!E15</f>
        <v>57445.357594895999</v>
      </c>
      <c r="F153" s="1531">
        <f t="shared" si="8"/>
        <v>1148907</v>
      </c>
      <c r="G153" s="2346"/>
      <c r="H153" s="1744"/>
      <c r="J153" s="1733"/>
      <c r="K153" s="3010"/>
      <c r="L153" s="3011"/>
      <c r="M153" s="1733"/>
    </row>
    <row r="154" spans="1:13" ht="37.5" customHeight="1">
      <c r="A154" s="1622" t="s">
        <v>7284</v>
      </c>
      <c r="B154" s="1711" t="s">
        <v>4683</v>
      </c>
      <c r="C154" s="1528" t="s">
        <v>133</v>
      </c>
      <c r="D154" s="1576">
        <v>24</v>
      </c>
      <c r="E154" s="1731">
        <f>+'PTAP TIJERETAS'!E16</f>
        <v>77617.846541902851</v>
      </c>
      <c r="F154" s="1531">
        <f t="shared" si="8"/>
        <v>1862828</v>
      </c>
      <c r="G154" s="2346"/>
      <c r="H154" s="1744"/>
      <c r="J154" s="1733"/>
      <c r="K154" s="3010"/>
      <c r="L154" s="3011"/>
      <c r="M154" s="1733"/>
    </row>
    <row r="155" spans="1:13" ht="37.5" customHeight="1">
      <c r="A155" s="1622" t="s">
        <v>7285</v>
      </c>
      <c r="B155" s="1711" t="s">
        <v>4684</v>
      </c>
      <c r="C155" s="1528" t="s">
        <v>133</v>
      </c>
      <c r="D155" s="1576">
        <v>10</v>
      </c>
      <c r="E155" s="1731">
        <f>+'PTAP TIJERETAS'!E17</f>
        <v>39012.702118149005</v>
      </c>
      <c r="F155" s="1531">
        <f t="shared" si="8"/>
        <v>390127</v>
      </c>
      <c r="G155" s="2346"/>
      <c r="H155" s="1744"/>
      <c r="J155" s="1733"/>
      <c r="K155" s="3010"/>
      <c r="L155" s="3011"/>
      <c r="M155" s="1733"/>
    </row>
    <row r="156" spans="1:13" ht="37.5" customHeight="1">
      <c r="A156" s="1622" t="s">
        <v>7286</v>
      </c>
      <c r="B156" s="1711" t="s">
        <v>4685</v>
      </c>
      <c r="C156" s="1528" t="s">
        <v>133</v>
      </c>
      <c r="D156" s="1576">
        <v>5</v>
      </c>
      <c r="E156" s="1731">
        <f>+'PTAP TIJERETAS'!E18</f>
        <v>127179.15217429001</v>
      </c>
      <c r="F156" s="1531">
        <f t="shared" si="8"/>
        <v>635896</v>
      </c>
      <c r="G156" s="2346"/>
      <c r="H156" s="1744"/>
      <c r="J156" s="1733"/>
      <c r="K156" s="3010"/>
      <c r="L156" s="3011"/>
      <c r="M156" s="1733"/>
    </row>
    <row r="157" spans="1:13" ht="37.5" customHeight="1">
      <c r="A157" s="1622" t="s">
        <v>7287</v>
      </c>
      <c r="B157" s="1711" t="s">
        <v>4686</v>
      </c>
      <c r="C157" s="1528" t="s">
        <v>133</v>
      </c>
      <c r="D157" s="1576">
        <v>10</v>
      </c>
      <c r="E157" s="1731">
        <f>+'PTAP TIJERETAS'!E19</f>
        <v>248214.08585633102</v>
      </c>
      <c r="F157" s="1531">
        <f t="shared" si="8"/>
        <v>2482141</v>
      </c>
      <c r="G157" s="2346"/>
      <c r="H157" s="1744"/>
      <c r="J157" s="1733"/>
      <c r="K157" s="3010"/>
      <c r="L157" s="3011"/>
      <c r="M157" s="1733"/>
    </row>
    <row r="158" spans="1:13" ht="45" customHeight="1">
      <c r="A158" s="1622" t="s">
        <v>7288</v>
      </c>
      <c r="B158" s="1711" t="s">
        <v>4687</v>
      </c>
      <c r="C158" s="1528" t="s">
        <v>133</v>
      </c>
      <c r="D158" s="1576">
        <v>6</v>
      </c>
      <c r="E158" s="1731">
        <f>+'PTAP TIJERETAS'!E20</f>
        <v>74545.737295778337</v>
      </c>
      <c r="F158" s="1531">
        <f t="shared" si="8"/>
        <v>447274</v>
      </c>
      <c r="G158" s="2346"/>
      <c r="H158" s="1744"/>
      <c r="J158" s="1733"/>
      <c r="K158" s="3010"/>
      <c r="L158" s="3011"/>
      <c r="M158" s="1733"/>
    </row>
    <row r="159" spans="1:13" ht="47.25" customHeight="1">
      <c r="A159" s="1622" t="s">
        <v>7289</v>
      </c>
      <c r="B159" s="1711" t="s">
        <v>4688</v>
      </c>
      <c r="C159" s="1528" t="s">
        <v>133</v>
      </c>
      <c r="D159" s="1576">
        <v>6</v>
      </c>
      <c r="E159" s="1731">
        <f>+'PTAP TIJERETAS'!E21</f>
        <v>80689.955788027335</v>
      </c>
      <c r="F159" s="1531">
        <f t="shared" si="8"/>
        <v>484140</v>
      </c>
      <c r="G159" s="2346"/>
      <c r="H159" s="1744"/>
      <c r="J159" s="1733"/>
      <c r="K159" s="3010"/>
      <c r="L159" s="3011"/>
      <c r="M159" s="1733"/>
    </row>
    <row r="160" spans="1:13" ht="16.8">
      <c r="A160" s="1622" t="s">
        <v>7290</v>
      </c>
      <c r="B160" s="1711" t="s">
        <v>4689</v>
      </c>
      <c r="C160" s="1528" t="s">
        <v>1292</v>
      </c>
      <c r="D160" s="1576">
        <f>+'PTAP TIJERETAS'!D22</f>
        <v>113.96647694887901</v>
      </c>
      <c r="E160" s="1731">
        <f>+'PTAP TIJERETAS'!E22</f>
        <v>137814.754132</v>
      </c>
      <c r="F160" s="1531">
        <f t="shared" si="8"/>
        <v>15706262</v>
      </c>
      <c r="G160" s="2346"/>
      <c r="H160" s="1744"/>
      <c r="J160" s="1733"/>
      <c r="K160" s="3010"/>
      <c r="L160" s="3011"/>
      <c r="M160" s="1733"/>
    </row>
    <row r="161" spans="1:13" ht="33.6">
      <c r="A161" s="1622" t="s">
        <v>7291</v>
      </c>
      <c r="B161" s="1711" t="s">
        <v>4691</v>
      </c>
      <c r="C161" s="1528" t="s">
        <v>133</v>
      </c>
      <c r="D161" s="1576">
        <v>240</v>
      </c>
      <c r="E161" s="1731">
        <f>+'PTAP TIJERETAS'!E23</f>
        <v>8098.2623002400005</v>
      </c>
      <c r="F161" s="1531">
        <f t="shared" si="8"/>
        <v>1943583</v>
      </c>
      <c r="G161" s="2346"/>
      <c r="H161" s="1744"/>
      <c r="J161" s="1733"/>
      <c r="K161" s="3010"/>
      <c r="L161" s="3011"/>
      <c r="M161" s="1733"/>
    </row>
    <row r="162" spans="1:13" ht="16.8">
      <c r="A162" s="1622" t="s">
        <v>7292</v>
      </c>
      <c r="B162" s="1711" t="s">
        <v>4692</v>
      </c>
      <c r="C162" s="1528" t="s">
        <v>45</v>
      </c>
      <c r="D162" s="1576">
        <v>100</v>
      </c>
      <c r="E162" s="1731">
        <f>+'PTAP TIJERETAS'!E24</f>
        <v>4320.9836088000002</v>
      </c>
      <c r="F162" s="1531">
        <f t="shared" si="8"/>
        <v>432098</v>
      </c>
      <c r="G162" s="2346"/>
      <c r="H162" s="1744"/>
      <c r="J162" s="1733"/>
      <c r="K162" s="3010"/>
      <c r="L162" s="3011"/>
      <c r="M162" s="1733"/>
    </row>
    <row r="163" spans="1:13" ht="16.8">
      <c r="A163" s="1622" t="s">
        <v>7293</v>
      </c>
      <c r="B163" s="1711" t="s">
        <v>4694</v>
      </c>
      <c r="C163" s="1528" t="s">
        <v>133</v>
      </c>
      <c r="D163" s="1576">
        <v>20</v>
      </c>
      <c r="E163" s="1731">
        <f>+'PTAP TIJERETAS'!E25</f>
        <v>32407.377066000001</v>
      </c>
      <c r="F163" s="1531">
        <f t="shared" si="8"/>
        <v>648148</v>
      </c>
      <c r="G163" s="2346"/>
      <c r="H163" s="1744"/>
      <c r="J163" s="1733"/>
      <c r="K163" s="3010"/>
      <c r="L163" s="3011"/>
      <c r="M163" s="1733"/>
    </row>
    <row r="164" spans="1:13" ht="16.8">
      <c r="A164" s="1622" t="s">
        <v>7294</v>
      </c>
      <c r="B164" s="1711" t="s">
        <v>4695</v>
      </c>
      <c r="C164" s="1528" t="s">
        <v>1002</v>
      </c>
      <c r="D164" s="1576">
        <v>50</v>
      </c>
      <c r="E164" s="1731">
        <f>+'PTAP TIJERETAS'!E26</f>
        <v>12147.393450360001</v>
      </c>
      <c r="F164" s="1531">
        <f t="shared" si="8"/>
        <v>607370</v>
      </c>
      <c r="G164" s="2346"/>
      <c r="H164" s="1744"/>
      <c r="J164" s="1733"/>
      <c r="K164" s="3010"/>
      <c r="L164" s="3011"/>
      <c r="M164" s="1733"/>
    </row>
    <row r="165" spans="1:13" ht="16.8">
      <c r="A165" s="1622" t="s">
        <v>7295</v>
      </c>
      <c r="B165" s="1711" t="s">
        <v>4697</v>
      </c>
      <c r="C165" s="1528" t="s">
        <v>1002</v>
      </c>
      <c r="D165" s="1576">
        <v>50</v>
      </c>
      <c r="E165" s="1731">
        <f>+'PTAP TIJERETAS'!E27</f>
        <v>13497.103833733332</v>
      </c>
      <c r="F165" s="1531">
        <f t="shared" si="8"/>
        <v>674855</v>
      </c>
      <c r="G165" s="2346"/>
      <c r="H165" s="1744"/>
      <c r="J165" s="1733"/>
      <c r="K165" s="3010"/>
      <c r="L165" s="3011"/>
      <c r="M165" s="1733"/>
    </row>
    <row r="166" spans="1:13" ht="16.8">
      <c r="A166" s="1622" t="s">
        <v>7296</v>
      </c>
      <c r="B166" s="1711" t="s">
        <v>4698</v>
      </c>
      <c r="C166" s="1528" t="s">
        <v>1292</v>
      </c>
      <c r="D166" s="1576">
        <f>50*1.5</f>
        <v>75</v>
      </c>
      <c r="E166" s="1731">
        <f>+'PTAP TIJERETAS'!E28</f>
        <v>46720.744039846155</v>
      </c>
      <c r="F166" s="1531">
        <f t="shared" si="8"/>
        <v>3504056</v>
      </c>
      <c r="G166" s="2346"/>
      <c r="H166" s="1744"/>
      <c r="J166" s="1733"/>
      <c r="K166" s="3345"/>
      <c r="L166" s="3346"/>
      <c r="M166" s="1733"/>
    </row>
    <row r="167" spans="1:13" ht="18">
      <c r="A167" s="1650">
        <v>24</v>
      </c>
      <c r="B167" s="1529" t="s">
        <v>4757</v>
      </c>
      <c r="C167" s="1734"/>
      <c r="D167" s="1735"/>
      <c r="E167" s="1736"/>
      <c r="F167" s="2364">
        <f>SUM(F168:F168)</f>
        <v>1298787</v>
      </c>
      <c r="G167" s="2346"/>
      <c r="H167" s="1744"/>
      <c r="J167" s="1733"/>
      <c r="K167" s="3345"/>
      <c r="L167" s="3346"/>
      <c r="M167" s="1733"/>
    </row>
    <row r="168" spans="1:13" ht="16.8">
      <c r="A168" s="1622" t="s">
        <v>7297</v>
      </c>
      <c r="B168" s="1711" t="s">
        <v>4699</v>
      </c>
      <c r="C168" s="1530" t="s">
        <v>1292</v>
      </c>
      <c r="D168" s="1576">
        <f>+'PTAP TIJERETAS'!D30</f>
        <v>711.19999999999993</v>
      </c>
      <c r="E168" s="1731">
        <f>+'PTAP TIJERETAS'!E30</f>
        <v>1826.1904761904761</v>
      </c>
      <c r="F168" s="1531">
        <f t="shared" ref="F168:F234" si="9">ROUND(D168*E168,0)</f>
        <v>1298787</v>
      </c>
      <c r="G168" s="2346"/>
      <c r="H168" s="1744"/>
      <c r="J168" s="1733"/>
      <c r="K168" s="3345"/>
      <c r="L168" s="3346"/>
      <c r="M168" s="1733"/>
    </row>
    <row r="169" spans="1:13" ht="18">
      <c r="A169" s="1650">
        <v>25</v>
      </c>
      <c r="B169" s="1651" t="s">
        <v>4758</v>
      </c>
      <c r="C169" s="1734"/>
      <c r="D169" s="1735"/>
      <c r="E169" s="1736"/>
      <c r="F169" s="2364">
        <f>SUM(F170:F170)</f>
        <v>200614</v>
      </c>
      <c r="G169" s="2346"/>
      <c r="H169" s="1744"/>
      <c r="J169" s="1733"/>
      <c r="K169" s="3345"/>
      <c r="L169" s="3346"/>
      <c r="M169" s="1733"/>
    </row>
    <row r="170" spans="1:13" ht="33.6">
      <c r="A170" s="1622" t="s">
        <v>7298</v>
      </c>
      <c r="B170" s="1711" t="s">
        <v>4701</v>
      </c>
      <c r="C170" s="1730" t="s">
        <v>133</v>
      </c>
      <c r="D170" s="1576">
        <v>4</v>
      </c>
      <c r="E170" s="1731">
        <f>+'PTAP TIJERETAS'!E32</f>
        <v>50153.434380038561</v>
      </c>
      <c r="F170" s="1531">
        <f t="shared" si="9"/>
        <v>200614</v>
      </c>
      <c r="G170" s="2346"/>
      <c r="H170" s="1744"/>
      <c r="J170" s="1733"/>
      <c r="K170" s="3345"/>
      <c r="L170" s="3346"/>
      <c r="M170" s="1733"/>
    </row>
    <row r="171" spans="1:13" ht="18">
      <c r="A171" s="1650">
        <v>26</v>
      </c>
      <c r="B171" s="1652" t="s">
        <v>4759</v>
      </c>
      <c r="C171" s="1738"/>
      <c r="D171" s="1735"/>
      <c r="E171" s="1736"/>
      <c r="F171" s="2364">
        <f>SUM(F172:F172)</f>
        <v>1339263</v>
      </c>
      <c r="G171" s="2346"/>
      <c r="H171" s="1744"/>
      <c r="J171" s="1733"/>
      <c r="K171" s="3345"/>
      <c r="L171" s="3346"/>
      <c r="M171" s="1733"/>
    </row>
    <row r="172" spans="1:13" ht="67.2">
      <c r="A172" s="1622" t="s">
        <v>7299</v>
      </c>
      <c r="B172" s="1711" t="s">
        <v>4704</v>
      </c>
      <c r="C172" s="1730" t="s">
        <v>133</v>
      </c>
      <c r="D172" s="1576">
        <v>150</v>
      </c>
      <c r="E172" s="1731">
        <f>+'PTAP TIJERETAS'!E34</f>
        <v>8928.4180371600014</v>
      </c>
      <c r="F172" s="1531">
        <f>ROUND(D172*E172,0)</f>
        <v>1339263</v>
      </c>
      <c r="G172" s="2346"/>
      <c r="H172" s="1744"/>
      <c r="J172" s="1733"/>
      <c r="K172" s="3345"/>
      <c r="L172" s="3346"/>
      <c r="M172" s="1733"/>
    </row>
    <row r="173" spans="1:13" ht="34.5" customHeight="1">
      <c r="A173" s="1650">
        <v>27</v>
      </c>
      <c r="B173" s="1653" t="s">
        <v>1302</v>
      </c>
      <c r="C173" s="1734"/>
      <c r="D173" s="1735"/>
      <c r="E173" s="1736"/>
      <c r="F173" s="2364">
        <f>SUM(F174:F174)</f>
        <v>6749569</v>
      </c>
      <c r="G173" s="2346"/>
      <c r="H173" s="1744"/>
      <c r="J173" s="1733"/>
      <c r="K173" s="3345"/>
      <c r="L173" s="3346"/>
      <c r="M173" s="1733"/>
    </row>
    <row r="174" spans="1:13" ht="16.8">
      <c r="A174" s="1622" t="s">
        <v>7300</v>
      </c>
      <c r="B174" s="1711" t="s">
        <v>1383</v>
      </c>
      <c r="C174" s="1730" t="s">
        <v>647</v>
      </c>
      <c r="D174" s="1576">
        <v>1713.7</v>
      </c>
      <c r="E174" s="1731">
        <f>+'PTAP TIJERETAS'!E36</f>
        <v>3938.5941163025</v>
      </c>
      <c r="F174" s="1531">
        <f>ROUND(E174*D174,0)</f>
        <v>6749569</v>
      </c>
      <c r="G174" s="2346"/>
      <c r="H174" s="1744"/>
      <c r="J174" s="1733"/>
      <c r="K174" s="3345"/>
      <c r="L174" s="3346"/>
      <c r="M174" s="1733"/>
    </row>
    <row r="175" spans="1:13" ht="18">
      <c r="A175" s="1650">
        <v>28</v>
      </c>
      <c r="B175" s="1653" t="s">
        <v>852</v>
      </c>
      <c r="C175" s="1734"/>
      <c r="D175" s="1735"/>
      <c r="E175" s="1736"/>
      <c r="F175" s="2364">
        <f>SUM(F176:F183)</f>
        <v>76257178</v>
      </c>
      <c r="G175" s="2346"/>
      <c r="H175" s="1744"/>
      <c r="J175" s="1733"/>
      <c r="K175" s="1733"/>
      <c r="L175" s="1733"/>
      <c r="M175" s="1733"/>
    </row>
    <row r="176" spans="1:13" s="1717" customFormat="1" ht="33.6">
      <c r="A176" s="1622" t="s">
        <v>7301</v>
      </c>
      <c r="B176" s="1711" t="s">
        <v>4708</v>
      </c>
      <c r="C176" s="1530" t="s">
        <v>1292</v>
      </c>
      <c r="D176" s="1576">
        <v>4</v>
      </c>
      <c r="E176" s="1731">
        <f>+'PTAP TIJERETAS'!E38</f>
        <v>758816</v>
      </c>
      <c r="F176" s="1531">
        <f t="shared" si="9"/>
        <v>3035264</v>
      </c>
      <c r="G176" s="2346"/>
      <c r="H176" s="1744"/>
      <c r="J176" s="1739"/>
      <c r="K176" s="1733"/>
      <c r="L176" s="1733"/>
      <c r="M176" s="1733"/>
    </row>
    <row r="177" spans="1:13" s="1717" customFormat="1" ht="16.8">
      <c r="A177" s="1622" t="s">
        <v>7302</v>
      </c>
      <c r="B177" s="1711" t="s">
        <v>4761</v>
      </c>
      <c r="C177" s="1530" t="s">
        <v>1292</v>
      </c>
      <c r="D177" s="1576">
        <v>2</v>
      </c>
      <c r="E177" s="1731">
        <f>+'PTAP TIJERETAS'!E39</f>
        <v>813176</v>
      </c>
      <c r="F177" s="1531">
        <f t="shared" si="9"/>
        <v>1626352</v>
      </c>
      <c r="G177" s="2346"/>
      <c r="H177" s="1744"/>
      <c r="K177" s="1733"/>
      <c r="L177" s="1733"/>
      <c r="M177" s="1733"/>
    </row>
    <row r="178" spans="1:13" s="1717" customFormat="1" ht="16.8">
      <c r="A178" s="1622" t="s">
        <v>7303</v>
      </c>
      <c r="B178" s="1711" t="s">
        <v>4710</v>
      </c>
      <c r="C178" s="1530" t="s">
        <v>1292</v>
      </c>
      <c r="D178" s="1576">
        <v>48.96</v>
      </c>
      <c r="E178" s="1731">
        <f>+'PTAP TIJERETAS'!E40</f>
        <v>736509</v>
      </c>
      <c r="F178" s="1531">
        <f t="shared" si="9"/>
        <v>36059481</v>
      </c>
      <c r="G178" s="2346"/>
      <c r="H178" s="1744"/>
      <c r="K178" s="1733"/>
      <c r="L178" s="1733"/>
      <c r="M178" s="1733"/>
    </row>
    <row r="179" spans="1:13" ht="16.8">
      <c r="A179" s="1622" t="s">
        <v>7304</v>
      </c>
      <c r="B179" s="1711" t="s">
        <v>4712</v>
      </c>
      <c r="C179" s="1530" t="s">
        <v>1292</v>
      </c>
      <c r="D179" s="1576">
        <v>13.6</v>
      </c>
      <c r="E179" s="1731">
        <f>+'PTAP TIJERETAS'!E41</f>
        <v>748717</v>
      </c>
      <c r="F179" s="1531">
        <f t="shared" si="9"/>
        <v>10182551</v>
      </c>
      <c r="G179" s="2346"/>
      <c r="H179" s="1744"/>
    </row>
    <row r="180" spans="1:13" ht="33.6">
      <c r="A180" s="1622" t="s">
        <v>7305</v>
      </c>
      <c r="B180" s="1711" t="s">
        <v>4716</v>
      </c>
      <c r="C180" s="1530" t="s">
        <v>45</v>
      </c>
      <c r="D180" s="1576">
        <v>36</v>
      </c>
      <c r="E180" s="1731">
        <f>+'PTAP TIJERETAS'!E42</f>
        <v>243040</v>
      </c>
      <c r="F180" s="1531">
        <f t="shared" si="9"/>
        <v>8749440</v>
      </c>
      <c r="G180" s="2346"/>
      <c r="H180" s="1744"/>
    </row>
    <row r="181" spans="1:13" ht="33.6">
      <c r="A181" s="1622" t="s">
        <v>7306</v>
      </c>
      <c r="B181" s="1711" t="s">
        <v>4713</v>
      </c>
      <c r="C181" s="1530" t="s">
        <v>1292</v>
      </c>
      <c r="D181" s="1576">
        <v>17.440000000000001</v>
      </c>
      <c r="E181" s="1731">
        <f>+'PTAP TIJERETAS'!E43</f>
        <v>609285</v>
      </c>
      <c r="F181" s="1531">
        <f t="shared" si="9"/>
        <v>10625930</v>
      </c>
      <c r="G181" s="2346"/>
      <c r="H181" s="1744"/>
    </row>
    <row r="182" spans="1:13" ht="16.8">
      <c r="A182" s="1622" t="s">
        <v>7307</v>
      </c>
      <c r="B182" s="1711" t="s">
        <v>4714</v>
      </c>
      <c r="C182" s="1530" t="s">
        <v>1292</v>
      </c>
      <c r="D182" s="1576">
        <v>5</v>
      </c>
      <c r="E182" s="1731">
        <f>+'PTAP TIJERETAS'!E44</f>
        <v>470352</v>
      </c>
      <c r="F182" s="1531">
        <f t="shared" si="9"/>
        <v>2351760</v>
      </c>
      <c r="G182" s="2346"/>
      <c r="H182" s="1744"/>
    </row>
    <row r="183" spans="1:13" ht="16.8">
      <c r="A183" s="1622" t="s">
        <v>7308</v>
      </c>
      <c r="B183" s="1711" t="s">
        <v>4763</v>
      </c>
      <c r="C183" s="1530" t="s">
        <v>1002</v>
      </c>
      <c r="D183" s="1576">
        <v>120</v>
      </c>
      <c r="E183" s="1731">
        <f>+'PTAP TIJERETAS'!E45</f>
        <v>30220</v>
      </c>
      <c r="F183" s="1531">
        <f t="shared" si="9"/>
        <v>3626400</v>
      </c>
      <c r="G183" s="2346"/>
      <c r="H183" s="1744"/>
    </row>
    <row r="184" spans="1:13" s="492" customFormat="1" ht="26.25" customHeight="1">
      <c r="A184" s="1740">
        <v>29</v>
      </c>
      <c r="B184" s="1533" t="s">
        <v>5659</v>
      </c>
      <c r="C184" s="1734"/>
      <c r="D184" s="1735"/>
      <c r="E184" s="1736"/>
      <c r="F184" s="2365">
        <f>SUM(F186:F217)</f>
        <v>24814200</v>
      </c>
      <c r="G184" s="2346"/>
      <c r="H184" s="2220"/>
      <c r="K184" s="1495"/>
      <c r="L184" s="1495"/>
      <c r="M184" s="1495"/>
    </row>
    <row r="185" spans="1:13" s="492" customFormat="1" ht="26.25" customHeight="1">
      <c r="A185" s="1740" t="s">
        <v>7309</v>
      </c>
      <c r="B185" s="1533" t="s">
        <v>5673</v>
      </c>
      <c r="C185" s="1742"/>
      <c r="D185" s="1735"/>
      <c r="E185" s="1736"/>
      <c r="F185" s="1741"/>
      <c r="G185" s="2346"/>
      <c r="H185" s="1744"/>
      <c r="K185" s="1495"/>
      <c r="L185" s="1495"/>
      <c r="M185" s="1495"/>
    </row>
    <row r="186" spans="1:13" s="492" customFormat="1" ht="19.5" customHeight="1">
      <c r="A186" s="1622" t="s">
        <v>7310</v>
      </c>
      <c r="B186" s="1711" t="s">
        <v>5660</v>
      </c>
      <c r="C186" s="1710" t="s">
        <v>1002</v>
      </c>
      <c r="D186" s="2658">
        <f>+'PTAP TIJERETAS'!D48</f>
        <v>11.491999999999999</v>
      </c>
      <c r="E186" s="1531">
        <f>+'PTAP TIJERETAS'!E48</f>
        <v>2356</v>
      </c>
      <c r="F186" s="1531">
        <f t="shared" ref="F186:F216" si="10">ROUND(D186*E186,0)</f>
        <v>27075</v>
      </c>
      <c r="G186" s="2346"/>
      <c r="H186" s="1744"/>
      <c r="K186" s="1495"/>
      <c r="L186" s="1495"/>
      <c r="M186" s="1495"/>
    </row>
    <row r="187" spans="1:13" s="492" customFormat="1" ht="18" customHeight="1">
      <c r="A187" s="1622" t="s">
        <v>7311</v>
      </c>
      <c r="B187" s="1711" t="s">
        <v>1374</v>
      </c>
      <c r="C187" s="1710" t="s">
        <v>1002</v>
      </c>
      <c r="D187" s="2658">
        <f>+'PTAP TIJERETAS'!D49</f>
        <v>11.491999999999999</v>
      </c>
      <c r="E187" s="1531">
        <f>+'PTAP TIJERETAS'!E49</f>
        <v>2904.8114772599997</v>
      </c>
      <c r="F187" s="1531">
        <f t="shared" si="10"/>
        <v>33382</v>
      </c>
      <c r="G187" s="2346"/>
      <c r="H187" s="1744"/>
      <c r="K187" s="1495"/>
      <c r="L187" s="1495"/>
      <c r="M187" s="1495"/>
    </row>
    <row r="188" spans="1:13" s="492" customFormat="1" ht="18.75" customHeight="1">
      <c r="A188" s="1622" t="s">
        <v>7312</v>
      </c>
      <c r="B188" s="1711" t="s">
        <v>5661</v>
      </c>
      <c r="C188" s="1710" t="s">
        <v>1292</v>
      </c>
      <c r="D188" s="1576">
        <v>2.1120000000000001</v>
      </c>
      <c r="E188" s="1531">
        <f>+'PTAP TIJERETAS'!E50</f>
        <v>23473.224058666663</v>
      </c>
      <c r="F188" s="1531">
        <f t="shared" si="10"/>
        <v>49575</v>
      </c>
      <c r="G188" s="2346"/>
      <c r="H188" s="1744"/>
      <c r="K188" s="1495"/>
      <c r="L188" s="1495"/>
      <c r="M188" s="1495"/>
    </row>
    <row r="189" spans="1:13" s="492" customFormat="1" ht="29.25" customHeight="1">
      <c r="A189" s="1622" t="s">
        <v>7313</v>
      </c>
      <c r="B189" s="1711" t="s">
        <v>5662</v>
      </c>
      <c r="C189" s="1710" t="s">
        <v>45</v>
      </c>
      <c r="D189" s="1576">
        <v>13.2</v>
      </c>
      <c r="E189" s="1531">
        <f>+'PTAP TIJERETAS'!E51</f>
        <v>262233</v>
      </c>
      <c r="F189" s="1531">
        <f t="shared" si="10"/>
        <v>3461476</v>
      </c>
      <c r="G189" s="2346"/>
      <c r="H189" s="1744"/>
      <c r="K189" s="1495"/>
      <c r="L189" s="1495"/>
      <c r="M189" s="1495"/>
    </row>
    <row r="190" spans="1:13" s="492" customFormat="1" ht="18.75" customHeight="1">
      <c r="A190" s="1622" t="s">
        <v>7314</v>
      </c>
      <c r="B190" s="1711" t="s">
        <v>5663</v>
      </c>
      <c r="C190" s="1710" t="s">
        <v>45</v>
      </c>
      <c r="D190" s="1576">
        <v>13.2</v>
      </c>
      <c r="E190" s="1531">
        <f>+'PTAP TIJERETAS'!E52</f>
        <v>32627</v>
      </c>
      <c r="F190" s="1531">
        <f t="shared" si="10"/>
        <v>430676</v>
      </c>
      <c r="G190" s="2346"/>
      <c r="H190" s="1744"/>
      <c r="K190" s="1495"/>
      <c r="L190" s="1495"/>
      <c r="M190" s="1495"/>
    </row>
    <row r="191" spans="1:13" s="492" customFormat="1" ht="45" customHeight="1">
      <c r="A191" s="1622" t="s">
        <v>7315</v>
      </c>
      <c r="B191" s="1711" t="s">
        <v>5697</v>
      </c>
      <c r="C191" s="1710" t="s">
        <v>1292</v>
      </c>
      <c r="D191" s="1576">
        <v>5.4449999999999994</v>
      </c>
      <c r="E191" s="1531">
        <f>+'PTAP TIJERETAS'!E53</f>
        <v>87012</v>
      </c>
      <c r="F191" s="1531">
        <f t="shared" si="10"/>
        <v>473780</v>
      </c>
      <c r="G191" s="2346"/>
      <c r="H191" s="1744"/>
      <c r="K191" s="1495"/>
      <c r="L191" s="1495"/>
      <c r="M191" s="1495"/>
    </row>
    <row r="192" spans="1:13" s="492" customFormat="1" ht="18.75" customHeight="1">
      <c r="A192" s="1622" t="s">
        <v>7316</v>
      </c>
      <c r="B192" s="1711" t="s">
        <v>5664</v>
      </c>
      <c r="C192" s="1710" t="s">
        <v>1002</v>
      </c>
      <c r="D192" s="1576">
        <v>29.36</v>
      </c>
      <c r="E192" s="1531">
        <f>+'PTAP TIJERETAS'!E54</f>
        <v>45041</v>
      </c>
      <c r="F192" s="1531">
        <f t="shared" si="10"/>
        <v>1322404</v>
      </c>
      <c r="G192" s="2346"/>
      <c r="H192" s="1744"/>
      <c r="K192" s="1495"/>
      <c r="L192" s="1495"/>
      <c r="M192" s="1495"/>
    </row>
    <row r="193" spans="1:13" s="492" customFormat="1" ht="29.25" customHeight="1">
      <c r="A193" s="1622" t="s">
        <v>7317</v>
      </c>
      <c r="B193" s="1711" t="s">
        <v>5665</v>
      </c>
      <c r="C193" s="1710" t="s">
        <v>45</v>
      </c>
      <c r="D193" s="1576">
        <v>15.599999999999998</v>
      </c>
      <c r="E193" s="1531">
        <f>+'PTAP TIJERETAS'!E55</f>
        <v>80176</v>
      </c>
      <c r="F193" s="1531">
        <f t="shared" si="10"/>
        <v>1250746</v>
      </c>
      <c r="G193" s="2346"/>
      <c r="H193" s="1744"/>
      <c r="K193" s="1495"/>
      <c r="L193" s="1495"/>
      <c r="M193" s="1495"/>
    </row>
    <row r="194" spans="1:13" s="492" customFormat="1" ht="30" customHeight="1">
      <c r="A194" s="1622" t="s">
        <v>7318</v>
      </c>
      <c r="B194" s="1711" t="s">
        <v>5666</v>
      </c>
      <c r="C194" s="1710" t="s">
        <v>45</v>
      </c>
      <c r="D194" s="1576">
        <v>10.92</v>
      </c>
      <c r="E194" s="1531">
        <f>+'PTAP TIJERETAS'!E56</f>
        <v>99456</v>
      </c>
      <c r="F194" s="1531">
        <f t="shared" si="10"/>
        <v>1086060</v>
      </c>
      <c r="G194" s="2346"/>
      <c r="H194" s="1744"/>
      <c r="K194" s="1495"/>
      <c r="L194" s="1495"/>
      <c r="M194" s="1495"/>
    </row>
    <row r="195" spans="1:13" s="492" customFormat="1" ht="26.25" customHeight="1">
      <c r="A195" s="1622" t="s">
        <v>7319</v>
      </c>
      <c r="B195" s="1711" t="s">
        <v>5667</v>
      </c>
      <c r="C195" s="1710" t="s">
        <v>45</v>
      </c>
      <c r="D195" s="1576">
        <v>17.399999999999999</v>
      </c>
      <c r="E195" s="1531">
        <f>+'PTAP TIJERETAS'!E57</f>
        <v>57021</v>
      </c>
      <c r="F195" s="1531">
        <f t="shared" si="10"/>
        <v>992165</v>
      </c>
      <c r="G195" s="2346"/>
      <c r="H195" s="1744"/>
      <c r="K195" s="1495"/>
      <c r="L195" s="1495"/>
      <c r="M195" s="1495"/>
    </row>
    <row r="196" spans="1:13" s="492" customFormat="1" ht="33.75" customHeight="1">
      <c r="A196" s="1622" t="s">
        <v>7320</v>
      </c>
      <c r="B196" s="1711" t="s">
        <v>5668</v>
      </c>
      <c r="C196" s="1710" t="s">
        <v>1002</v>
      </c>
      <c r="D196" s="1576">
        <v>72.807999999999993</v>
      </c>
      <c r="E196" s="1531">
        <f>+'PTAP TIJERETAS'!E58</f>
        <v>38776</v>
      </c>
      <c r="F196" s="1531">
        <f t="shared" si="10"/>
        <v>2823203</v>
      </c>
      <c r="G196" s="2346"/>
      <c r="H196" s="1744"/>
      <c r="K196" s="1495"/>
      <c r="L196" s="1495"/>
      <c r="M196" s="1495"/>
    </row>
    <row r="197" spans="1:13" s="492" customFormat="1" ht="18" customHeight="1">
      <c r="A197" s="1622" t="s">
        <v>7321</v>
      </c>
      <c r="B197" s="1711" t="s">
        <v>5669</v>
      </c>
      <c r="C197" s="1710" t="s">
        <v>1002</v>
      </c>
      <c r="D197" s="1576">
        <v>10.4</v>
      </c>
      <c r="E197" s="1531">
        <f>+'PTAP TIJERETAS'!E59</f>
        <v>45955</v>
      </c>
      <c r="F197" s="1531">
        <f t="shared" si="10"/>
        <v>477932</v>
      </c>
      <c r="G197" s="2346"/>
      <c r="H197" s="1744"/>
      <c r="K197" s="1495"/>
      <c r="L197" s="1495"/>
      <c r="M197" s="1495"/>
    </row>
    <row r="198" spans="1:13" s="492" customFormat="1" ht="33.75" customHeight="1">
      <c r="A198" s="1622" t="s">
        <v>7322</v>
      </c>
      <c r="B198" s="1711" t="s">
        <v>5670</v>
      </c>
      <c r="C198" s="1710" t="s">
        <v>1002</v>
      </c>
      <c r="D198" s="1576">
        <v>72.807999999999993</v>
      </c>
      <c r="E198" s="1531">
        <f>+'PTAP TIJERETAS'!E60</f>
        <v>12603</v>
      </c>
      <c r="F198" s="1531">
        <f t="shared" si="10"/>
        <v>917599</v>
      </c>
      <c r="G198" s="2346"/>
      <c r="H198" s="1744"/>
      <c r="K198" s="1495"/>
      <c r="L198" s="1495"/>
      <c r="M198" s="1495"/>
    </row>
    <row r="199" spans="1:13" s="492" customFormat="1" ht="19.5" customHeight="1">
      <c r="A199" s="1622" t="s">
        <v>7323</v>
      </c>
      <c r="B199" s="1711" t="s">
        <v>5671</v>
      </c>
      <c r="C199" s="1710" t="s">
        <v>1002</v>
      </c>
      <c r="D199" s="1576">
        <v>36.403999999999996</v>
      </c>
      <c r="E199" s="1531">
        <f>+'PTAP TIJERETAS'!E61</f>
        <v>15681</v>
      </c>
      <c r="F199" s="1531">
        <f t="shared" si="10"/>
        <v>570851</v>
      </c>
      <c r="G199" s="2346"/>
      <c r="H199" s="1744"/>
      <c r="K199" s="1495"/>
      <c r="L199" s="1495"/>
      <c r="M199" s="1495"/>
    </row>
    <row r="200" spans="1:13" s="492" customFormat="1" ht="18" customHeight="1">
      <c r="A200" s="1622" t="s">
        <v>7324</v>
      </c>
      <c r="B200" s="1711" t="s">
        <v>5672</v>
      </c>
      <c r="C200" s="1710" t="s">
        <v>1002</v>
      </c>
      <c r="D200" s="1576">
        <v>36.403999999999996</v>
      </c>
      <c r="E200" s="1531">
        <f>+'PTAP TIJERETAS'!E62</f>
        <v>18718</v>
      </c>
      <c r="F200" s="1531">
        <f t="shared" si="10"/>
        <v>681410</v>
      </c>
      <c r="G200" s="2346"/>
      <c r="H200" s="1744"/>
      <c r="K200" s="1495"/>
      <c r="L200" s="1495"/>
      <c r="M200" s="1495"/>
    </row>
    <row r="201" spans="1:13" s="492" customFormat="1" ht="26.25" customHeight="1">
      <c r="A201" s="1740" t="s">
        <v>7325</v>
      </c>
      <c r="B201" s="1533" t="s">
        <v>5674</v>
      </c>
      <c r="C201" s="1734"/>
      <c r="D201" s="1735"/>
      <c r="E201" s="1736"/>
      <c r="F201" s="1741"/>
      <c r="G201" s="2346"/>
      <c r="H201" s="1744"/>
      <c r="K201" s="1495"/>
      <c r="L201" s="1495"/>
      <c r="M201" s="1495"/>
    </row>
    <row r="202" spans="1:13" s="492" customFormat="1" ht="26.25" customHeight="1">
      <c r="A202" s="1622" t="s">
        <v>7326</v>
      </c>
      <c r="B202" s="1711" t="s">
        <v>5675</v>
      </c>
      <c r="C202" s="1710" t="s">
        <v>1292</v>
      </c>
      <c r="D202" s="1576">
        <v>1.1499999999999999</v>
      </c>
      <c r="E202" s="1531">
        <f>+'PTAP TIJERETAS'!E64</f>
        <v>23473.224058666663</v>
      </c>
      <c r="F202" s="1531">
        <f t="shared" si="10"/>
        <v>26994</v>
      </c>
      <c r="G202" s="2346"/>
      <c r="H202" s="1744"/>
      <c r="K202" s="1495"/>
      <c r="L202" s="1495"/>
      <c r="M202" s="1495"/>
    </row>
    <row r="203" spans="1:13" s="492" customFormat="1" ht="26.25" customHeight="1">
      <c r="A203" s="1622" t="s">
        <v>7327</v>
      </c>
      <c r="B203" s="1711" t="s">
        <v>8711</v>
      </c>
      <c r="C203" s="1710" t="s">
        <v>45</v>
      </c>
      <c r="D203" s="1576">
        <f>+'PTAP TIJERETAS'!D65</f>
        <v>43.4846414795961</v>
      </c>
      <c r="E203" s="1531">
        <f>+'PTAP TIJERETAS'!E65</f>
        <v>41838.174079316326</v>
      </c>
      <c r="F203" s="1531">
        <f t="shared" si="10"/>
        <v>1819318</v>
      </c>
      <c r="G203" s="2346"/>
      <c r="H203" s="1744"/>
      <c r="K203" s="1495"/>
      <c r="L203" s="1495"/>
      <c r="M203" s="1495"/>
    </row>
    <row r="204" spans="1:13" s="492" customFormat="1" ht="16.8">
      <c r="A204" s="1622" t="s">
        <v>7328</v>
      </c>
      <c r="B204" s="1711" t="s">
        <v>5677</v>
      </c>
      <c r="C204" s="1710" t="s">
        <v>45</v>
      </c>
      <c r="D204" s="1576">
        <v>18.399999999999999</v>
      </c>
      <c r="E204" s="1531">
        <f>+'PTAP TIJERETAS'!E66</f>
        <v>26993</v>
      </c>
      <c r="F204" s="1531">
        <f t="shared" si="10"/>
        <v>496671</v>
      </c>
      <c r="G204" s="2346"/>
      <c r="H204" s="1744"/>
      <c r="K204" s="1495"/>
      <c r="L204" s="1495"/>
      <c r="M204" s="1495"/>
    </row>
    <row r="205" spans="1:13" s="492" customFormat="1" ht="45.75" customHeight="1">
      <c r="A205" s="1622" t="s">
        <v>7329</v>
      </c>
      <c r="B205" s="1711" t="s">
        <v>5704</v>
      </c>
      <c r="C205" s="1710" t="s">
        <v>1292</v>
      </c>
      <c r="D205" s="1576">
        <v>3.7919999999999998</v>
      </c>
      <c r="E205" s="1531">
        <f>+'PTAP TIJERETAS'!E67</f>
        <v>87012</v>
      </c>
      <c r="F205" s="1531">
        <f t="shared" si="10"/>
        <v>329950</v>
      </c>
      <c r="G205" s="2346"/>
      <c r="H205" s="1744"/>
      <c r="K205" s="1495"/>
      <c r="L205" s="1495"/>
      <c r="M205" s="1495"/>
    </row>
    <row r="206" spans="1:13" s="492" customFormat="1" ht="16.8">
      <c r="A206" s="1622" t="s">
        <v>7330</v>
      </c>
      <c r="B206" s="1711" t="s">
        <v>5678</v>
      </c>
      <c r="C206" s="1710" t="s">
        <v>1002</v>
      </c>
      <c r="D206" s="1576">
        <v>9.4799999999999986</v>
      </c>
      <c r="E206" s="1531">
        <f>+'PTAP TIJERETAS'!E68</f>
        <v>45955</v>
      </c>
      <c r="F206" s="1531">
        <f t="shared" si="10"/>
        <v>435653</v>
      </c>
      <c r="G206" s="2346"/>
      <c r="H206" s="1744"/>
      <c r="K206" s="1495"/>
      <c r="L206" s="1495"/>
      <c r="M206" s="1495"/>
    </row>
    <row r="207" spans="1:13" s="492" customFormat="1" ht="16.8">
      <c r="A207" s="1622" t="s">
        <v>7331</v>
      </c>
      <c r="B207" s="1711" t="s">
        <v>5679</v>
      </c>
      <c r="C207" s="1710" t="s">
        <v>1292</v>
      </c>
      <c r="D207" s="1576">
        <v>4.32</v>
      </c>
      <c r="E207" s="1531">
        <f>+'PTAP TIJERETAS'!E69</f>
        <v>1826.1904761904761</v>
      </c>
      <c r="F207" s="1531">
        <f t="shared" si="10"/>
        <v>7889</v>
      </c>
      <c r="G207" s="2346"/>
      <c r="H207" s="1744"/>
      <c r="K207" s="1495"/>
      <c r="L207" s="1495"/>
      <c r="M207" s="1495"/>
    </row>
    <row r="208" spans="1:13" s="492" customFormat="1" ht="26.25" customHeight="1">
      <c r="A208" s="1740" t="s">
        <v>7332</v>
      </c>
      <c r="B208" s="1533" t="s">
        <v>5681</v>
      </c>
      <c r="C208" s="1734"/>
      <c r="D208" s="1735"/>
      <c r="E208" s="1736"/>
      <c r="F208" s="1741"/>
      <c r="G208" s="2346"/>
      <c r="H208" s="1744"/>
      <c r="K208" s="1495"/>
      <c r="L208" s="1495"/>
      <c r="M208" s="1495"/>
    </row>
    <row r="209" spans="1:13" s="492" customFormat="1" ht="45" customHeight="1">
      <c r="A209" s="1622" t="s">
        <v>7333</v>
      </c>
      <c r="B209" s="1711" t="s">
        <v>5682</v>
      </c>
      <c r="C209" s="1710" t="s">
        <v>45</v>
      </c>
      <c r="D209" s="1576">
        <v>26.5</v>
      </c>
      <c r="E209" s="1531">
        <f>+'PTAP TIJERETAS'!E71</f>
        <v>8098</v>
      </c>
      <c r="F209" s="1531">
        <f t="shared" si="10"/>
        <v>214597</v>
      </c>
      <c r="G209" s="2346"/>
      <c r="H209" s="1744"/>
      <c r="K209" s="1495"/>
      <c r="L209" s="1495"/>
      <c r="M209" s="1495"/>
    </row>
    <row r="210" spans="1:13" s="492" customFormat="1" ht="33.6">
      <c r="A210" s="1622" t="s">
        <v>7334</v>
      </c>
      <c r="B210" s="1711" t="s">
        <v>5683</v>
      </c>
      <c r="C210" s="1710" t="s">
        <v>1002</v>
      </c>
      <c r="D210" s="1576">
        <v>16.047999999999998</v>
      </c>
      <c r="E210" s="1531">
        <f>+'PTAP TIJERETAS'!E72</f>
        <v>9507</v>
      </c>
      <c r="F210" s="1531">
        <f t="shared" si="10"/>
        <v>152568</v>
      </c>
      <c r="G210" s="2346"/>
      <c r="H210" s="1744"/>
      <c r="K210" s="1495"/>
      <c r="L210" s="1495"/>
      <c r="M210" s="1495"/>
    </row>
    <row r="211" spans="1:13" s="492" customFormat="1" ht="16.8">
      <c r="A211" s="1622" t="s">
        <v>7335</v>
      </c>
      <c r="B211" s="1711" t="s">
        <v>5684</v>
      </c>
      <c r="C211" s="1710" t="s">
        <v>363</v>
      </c>
      <c r="D211" s="1576">
        <v>2</v>
      </c>
      <c r="E211" s="1531">
        <f>+'PTAP TIJERETAS'!E73</f>
        <v>34330</v>
      </c>
      <c r="F211" s="1531">
        <f t="shared" si="10"/>
        <v>68660</v>
      </c>
      <c r="G211" s="2346"/>
      <c r="H211" s="1744"/>
      <c r="K211" s="1495"/>
      <c r="L211" s="1495"/>
      <c r="M211" s="1495"/>
    </row>
    <row r="212" spans="1:13" s="492" customFormat="1" ht="32.25" customHeight="1">
      <c r="A212" s="1622" t="s">
        <v>7336</v>
      </c>
      <c r="B212" s="1711" t="s">
        <v>5685</v>
      </c>
      <c r="C212" s="1710" t="s">
        <v>363</v>
      </c>
      <c r="D212" s="1576">
        <v>1</v>
      </c>
      <c r="E212" s="1531">
        <f>+'PTAP TIJERETAS'!E74</f>
        <v>45773</v>
      </c>
      <c r="F212" s="1531">
        <f t="shared" si="10"/>
        <v>45773</v>
      </c>
      <c r="G212" s="2346"/>
      <c r="H212" s="1744"/>
      <c r="K212" s="1495"/>
      <c r="L212" s="1495"/>
      <c r="M212" s="1495"/>
    </row>
    <row r="213" spans="1:13" s="492" customFormat="1" ht="26.25" customHeight="1">
      <c r="A213" s="1740" t="s">
        <v>7337</v>
      </c>
      <c r="B213" s="1533" t="s">
        <v>5680</v>
      </c>
      <c r="C213" s="1734"/>
      <c r="D213" s="1735"/>
      <c r="E213" s="1736"/>
      <c r="F213" s="1741"/>
      <c r="G213" s="2346"/>
      <c r="H213" s="1744"/>
      <c r="K213" s="1495"/>
      <c r="L213" s="1495"/>
      <c r="M213" s="1495"/>
    </row>
    <row r="214" spans="1:13" s="492" customFormat="1" ht="43.5" customHeight="1">
      <c r="A214" s="1622" t="s">
        <v>7338</v>
      </c>
      <c r="B214" s="1711" t="s">
        <v>5686</v>
      </c>
      <c r="C214" s="1710" t="s">
        <v>45</v>
      </c>
      <c r="D214" s="1576">
        <f>+D209</f>
        <v>26.5</v>
      </c>
      <c r="E214" s="1531">
        <f>+'PTAP TIJERETAS'!E76</f>
        <v>76780</v>
      </c>
      <c r="F214" s="1531">
        <f t="shared" si="10"/>
        <v>2034670</v>
      </c>
      <c r="G214" s="2346"/>
      <c r="H214" s="1744"/>
      <c r="K214" s="1495"/>
      <c r="L214" s="1495"/>
      <c r="M214" s="1495"/>
    </row>
    <row r="215" spans="1:13" s="492" customFormat="1" ht="26.25" customHeight="1">
      <c r="A215" s="1622" t="s">
        <v>7339</v>
      </c>
      <c r="B215" s="1711" t="s">
        <v>5687</v>
      </c>
      <c r="C215" s="1710" t="s">
        <v>1002</v>
      </c>
      <c r="D215" s="1576">
        <f t="shared" ref="D215:D217" si="11">+D210</f>
        <v>16.047999999999998</v>
      </c>
      <c r="E215" s="1531">
        <f>+'PTAP TIJERETAS'!E77</f>
        <v>120905</v>
      </c>
      <c r="F215" s="1531">
        <f t="shared" si="10"/>
        <v>1940283</v>
      </c>
      <c r="G215" s="2346"/>
      <c r="H215" s="1744"/>
      <c r="K215" s="1495"/>
      <c r="L215" s="1495"/>
      <c r="M215" s="1495"/>
    </row>
    <row r="216" spans="1:13" s="492" customFormat="1" ht="26.25" customHeight="1">
      <c r="A216" s="1622" t="s">
        <v>7340</v>
      </c>
      <c r="B216" s="1711" t="s">
        <v>5688</v>
      </c>
      <c r="C216" s="1710" t="s">
        <v>363</v>
      </c>
      <c r="D216" s="1576">
        <f t="shared" si="11"/>
        <v>2</v>
      </c>
      <c r="E216" s="1531">
        <f>+'PTAP TIJERETAS'!E78</f>
        <v>442285</v>
      </c>
      <c r="F216" s="1531">
        <f t="shared" si="10"/>
        <v>884570</v>
      </c>
      <c r="G216" s="2346"/>
      <c r="H216" s="1744"/>
      <c r="K216" s="1495"/>
      <c r="L216" s="1495"/>
      <c r="M216" s="1495"/>
    </row>
    <row r="217" spans="1:13" s="492" customFormat="1" ht="26.25" customHeight="1">
      <c r="A217" s="1622" t="s">
        <v>7341</v>
      </c>
      <c r="B217" s="1711" t="s">
        <v>5689</v>
      </c>
      <c r="C217" s="1710" t="s">
        <v>363</v>
      </c>
      <c r="D217" s="1576">
        <f t="shared" si="11"/>
        <v>1</v>
      </c>
      <c r="E217" s="1531">
        <f>+'PTAP TIJERETAS'!E79</f>
        <v>1758270</v>
      </c>
      <c r="F217" s="1531">
        <f>ROUND(D217*E217,0)</f>
        <v>1758270</v>
      </c>
      <c r="G217" s="2346"/>
      <c r="H217" s="1744"/>
      <c r="K217" s="1495"/>
      <c r="L217" s="1495"/>
      <c r="M217" s="1495"/>
    </row>
    <row r="218" spans="1:13" ht="18">
      <c r="A218" s="1740">
        <v>30</v>
      </c>
      <c r="B218" s="1653" t="s">
        <v>4771</v>
      </c>
      <c r="C218" s="1734"/>
      <c r="D218" s="1735"/>
      <c r="E218" s="1736"/>
      <c r="F218" s="2364">
        <f>SUM(F219:F230)</f>
        <v>45821728</v>
      </c>
      <c r="G218" s="2346"/>
      <c r="H218" s="2220"/>
    </row>
    <row r="219" spans="1:13" s="1717" customFormat="1" ht="33.6">
      <c r="A219" s="1622" t="s">
        <v>7342</v>
      </c>
      <c r="B219" s="1711" t="s">
        <v>4772</v>
      </c>
      <c r="C219" s="1730" t="s">
        <v>133</v>
      </c>
      <c r="D219" s="1576">
        <v>7</v>
      </c>
      <c r="E219" s="1531">
        <f>+'PTAP TIJERETAS'!E81</f>
        <v>350591</v>
      </c>
      <c r="F219" s="1531">
        <f t="shared" si="9"/>
        <v>2454137</v>
      </c>
      <c r="G219" s="2346"/>
      <c r="H219" s="2220"/>
      <c r="K219" s="1733"/>
      <c r="L219" s="1733"/>
      <c r="M219" s="1733"/>
    </row>
    <row r="220" spans="1:13" s="1717" customFormat="1" ht="16.8">
      <c r="A220" s="1622" t="s">
        <v>7343</v>
      </c>
      <c r="B220" s="1711" t="s">
        <v>4773</v>
      </c>
      <c r="C220" s="1730" t="s">
        <v>133</v>
      </c>
      <c r="D220" s="1576">
        <v>2</v>
      </c>
      <c r="E220" s="1531">
        <f>+'PTAP TIJERETAS'!E82</f>
        <v>90630</v>
      </c>
      <c r="F220" s="1531">
        <f t="shared" si="9"/>
        <v>181260</v>
      </c>
      <c r="G220" s="2346"/>
      <c r="H220" s="1744"/>
      <c r="K220" s="1733"/>
      <c r="L220" s="1733"/>
      <c r="M220" s="1733"/>
    </row>
    <row r="221" spans="1:13" s="1717" customFormat="1" ht="50.4">
      <c r="A221" s="1622" t="s">
        <v>7344</v>
      </c>
      <c r="B221" s="1711" t="s">
        <v>4774</v>
      </c>
      <c r="C221" s="1730" t="s">
        <v>133</v>
      </c>
      <c r="D221" s="1576">
        <v>14</v>
      </c>
      <c r="E221" s="1531">
        <f>+'PTAP TIJERETAS'!E83</f>
        <v>1087456</v>
      </c>
      <c r="F221" s="1531">
        <f t="shared" si="9"/>
        <v>15224384</v>
      </c>
      <c r="G221" s="2346"/>
      <c r="H221" s="1744"/>
      <c r="K221" s="1733"/>
      <c r="L221" s="1733"/>
      <c r="M221" s="1733"/>
    </row>
    <row r="222" spans="1:13" s="1717" customFormat="1" ht="50.4">
      <c r="A222" s="1622" t="s">
        <v>7345</v>
      </c>
      <c r="B222" s="1711" t="s">
        <v>4775</v>
      </c>
      <c r="C222" s="1730" t="s">
        <v>133</v>
      </c>
      <c r="D222" s="1576">
        <v>3</v>
      </c>
      <c r="E222" s="1531">
        <f>+'PTAP TIJERETAS'!E84</f>
        <v>1914535</v>
      </c>
      <c r="F222" s="1531">
        <f t="shared" si="9"/>
        <v>5743605</v>
      </c>
      <c r="G222" s="2346"/>
      <c r="H222" s="1744"/>
      <c r="K222" s="1733"/>
      <c r="L222" s="1733"/>
      <c r="M222" s="1733"/>
    </row>
    <row r="223" spans="1:13" s="1717" customFormat="1" ht="50.4">
      <c r="A223" s="1622" t="s">
        <v>7352</v>
      </c>
      <c r="B223" s="1711" t="s">
        <v>4776</v>
      </c>
      <c r="C223" s="1730" t="s">
        <v>133</v>
      </c>
      <c r="D223" s="1576">
        <v>12</v>
      </c>
      <c r="E223" s="1531">
        <f>+'PTAP TIJERETAS'!E85</f>
        <v>1087456</v>
      </c>
      <c r="F223" s="1531">
        <f t="shared" si="9"/>
        <v>13049472</v>
      </c>
      <c r="G223" s="2346"/>
      <c r="H223" s="1744"/>
      <c r="K223" s="1733"/>
      <c r="L223" s="1733"/>
      <c r="M223" s="1733"/>
    </row>
    <row r="224" spans="1:13" s="1717" customFormat="1" ht="33.6">
      <c r="A224" s="1622" t="s">
        <v>7353</v>
      </c>
      <c r="B224" s="1711" t="s">
        <v>4777</v>
      </c>
      <c r="C224" s="1730" t="s">
        <v>133</v>
      </c>
      <c r="D224" s="1576">
        <v>6</v>
      </c>
      <c r="E224" s="1531">
        <f>+'PTAP TIJERETAS'!E86</f>
        <v>761222</v>
      </c>
      <c r="F224" s="1531">
        <f t="shared" si="9"/>
        <v>4567332</v>
      </c>
      <c r="G224" s="2346"/>
      <c r="H224" s="1744"/>
      <c r="K224" s="1733"/>
      <c r="L224" s="1733"/>
      <c r="M224" s="1733"/>
    </row>
    <row r="225" spans="1:13" s="1717" customFormat="1" ht="33.6">
      <c r="A225" s="1622" t="s">
        <v>7354</v>
      </c>
      <c r="B225" s="1711" t="s">
        <v>4778</v>
      </c>
      <c r="C225" s="1730" t="s">
        <v>133</v>
      </c>
      <c r="D225" s="1576">
        <v>3</v>
      </c>
      <c r="E225" s="1531">
        <f>+'PTAP TIJERETAS'!E87</f>
        <v>144184</v>
      </c>
      <c r="F225" s="1531">
        <f t="shared" si="9"/>
        <v>432552</v>
      </c>
      <c r="G225" s="2346"/>
      <c r="H225" s="1744"/>
      <c r="K225" s="1733"/>
      <c r="L225" s="1733"/>
      <c r="M225" s="1733"/>
    </row>
    <row r="226" spans="1:13" s="1717" customFormat="1" ht="33.6">
      <c r="A226" s="1622" t="s">
        <v>7355</v>
      </c>
      <c r="B226" s="1711" t="s">
        <v>4779</v>
      </c>
      <c r="C226" s="1730" t="s">
        <v>133</v>
      </c>
      <c r="D226" s="1576">
        <v>3</v>
      </c>
      <c r="E226" s="1531">
        <f>+'PTAP TIJERETAS'!E88</f>
        <v>112601</v>
      </c>
      <c r="F226" s="1531">
        <f t="shared" si="9"/>
        <v>337803</v>
      </c>
      <c r="G226" s="2346"/>
      <c r="H226" s="1744"/>
      <c r="K226" s="1733"/>
      <c r="L226" s="1733"/>
      <c r="M226" s="1733"/>
    </row>
    <row r="227" spans="1:13" s="1717" customFormat="1" ht="33.6">
      <c r="A227" s="1622" t="s">
        <v>7356</v>
      </c>
      <c r="B227" s="1711" t="s">
        <v>4780</v>
      </c>
      <c r="C227" s="1730" t="s">
        <v>133</v>
      </c>
      <c r="D227" s="1576">
        <v>5</v>
      </c>
      <c r="E227" s="1531">
        <f>+'PTAP TIJERETAS'!E89</f>
        <v>240307</v>
      </c>
      <c r="F227" s="1531">
        <f t="shared" si="9"/>
        <v>1201535</v>
      </c>
      <c r="G227" s="2346"/>
      <c r="H227" s="1744"/>
      <c r="K227" s="1733"/>
      <c r="L227" s="1733"/>
      <c r="M227" s="1733"/>
    </row>
    <row r="228" spans="1:13" ht="33.6">
      <c r="A228" s="1622" t="s">
        <v>7357</v>
      </c>
      <c r="B228" s="1711" t="s">
        <v>4781</v>
      </c>
      <c r="C228" s="1730" t="s">
        <v>133</v>
      </c>
      <c r="D228" s="1576">
        <v>7</v>
      </c>
      <c r="E228" s="1531">
        <f>+'PTAP TIJERETAS'!E90</f>
        <v>171648</v>
      </c>
      <c r="F228" s="1531">
        <f t="shared" si="9"/>
        <v>1201536</v>
      </c>
      <c r="G228" s="2346"/>
      <c r="H228" s="1744"/>
    </row>
    <row r="229" spans="1:13" ht="33.6">
      <c r="A229" s="1622" t="s">
        <v>7358</v>
      </c>
      <c r="B229" s="1711" t="s">
        <v>4782</v>
      </c>
      <c r="C229" s="1730" t="s">
        <v>133</v>
      </c>
      <c r="D229" s="1576">
        <v>2</v>
      </c>
      <c r="E229" s="1531">
        <f>+'PTAP TIJERETAS'!E91</f>
        <v>192246</v>
      </c>
      <c r="F229" s="1531">
        <f t="shared" si="9"/>
        <v>384492</v>
      </c>
      <c r="G229" s="2346"/>
      <c r="H229" s="1744"/>
    </row>
    <row r="230" spans="1:13" ht="33.6">
      <c r="A230" s="1622" t="s">
        <v>7359</v>
      </c>
      <c r="B230" s="1711" t="s">
        <v>4783</v>
      </c>
      <c r="C230" s="1730" t="s">
        <v>133</v>
      </c>
      <c r="D230" s="1576">
        <v>4</v>
      </c>
      <c r="E230" s="1531">
        <f>+'PTAP TIJERETAS'!E92</f>
        <v>260905</v>
      </c>
      <c r="F230" s="1531">
        <f t="shared" si="9"/>
        <v>1043620</v>
      </c>
      <c r="G230" s="2346"/>
      <c r="H230" s="1744"/>
    </row>
    <row r="231" spans="1:13" ht="18">
      <c r="A231" s="1740">
        <v>31</v>
      </c>
      <c r="B231" s="1653" t="s">
        <v>4802</v>
      </c>
      <c r="C231" s="1734"/>
      <c r="D231" s="1735"/>
      <c r="E231" s="1736"/>
      <c r="F231" s="2365">
        <f>SUM(F232:F234)</f>
        <v>1181403</v>
      </c>
      <c r="G231" s="2346"/>
      <c r="H231" s="1744"/>
    </row>
    <row r="232" spans="1:13" ht="50.4">
      <c r="A232" s="1622" t="s">
        <v>7346</v>
      </c>
      <c r="B232" s="1711" t="s">
        <v>4796</v>
      </c>
      <c r="C232" s="1528" t="s">
        <v>45</v>
      </c>
      <c r="D232" s="1576">
        <v>100</v>
      </c>
      <c r="E232" s="1531">
        <f>+'PTAP TIJERETAS'!E94</f>
        <v>6866</v>
      </c>
      <c r="F232" s="1531">
        <f t="shared" si="9"/>
        <v>686600</v>
      </c>
      <c r="G232" s="2346"/>
      <c r="H232" s="1744"/>
    </row>
    <row r="233" spans="1:13" ht="33.6">
      <c r="A233" s="1622" t="s">
        <v>7347</v>
      </c>
      <c r="B233" s="1711" t="s">
        <v>4797</v>
      </c>
      <c r="C233" s="1528" t="s">
        <v>133</v>
      </c>
      <c r="D233" s="1576">
        <v>8</v>
      </c>
      <c r="E233" s="1531">
        <f>+'PTAP TIJERETAS'!E95</f>
        <v>60420</v>
      </c>
      <c r="F233" s="1531">
        <f t="shared" si="9"/>
        <v>483360</v>
      </c>
      <c r="G233" s="2346"/>
      <c r="H233" s="1744"/>
    </row>
    <row r="234" spans="1:13" ht="33.6">
      <c r="A234" s="1622" t="s">
        <v>7348</v>
      </c>
      <c r="B234" s="1711" t="s">
        <v>4798</v>
      </c>
      <c r="C234" s="1528" t="s">
        <v>133</v>
      </c>
      <c r="D234" s="1743">
        <v>1</v>
      </c>
      <c r="E234" s="1531">
        <f>+'PTAP TIJERETAS'!E96</f>
        <v>11443</v>
      </c>
      <c r="F234" s="1531">
        <f t="shared" si="9"/>
        <v>11443</v>
      </c>
      <c r="G234" s="2346"/>
      <c r="H234" s="1744"/>
    </row>
    <row r="235" spans="1:13" ht="18">
      <c r="A235" s="1740">
        <v>32</v>
      </c>
      <c r="B235" s="1653" t="s">
        <v>8226</v>
      </c>
      <c r="C235" s="1734"/>
      <c r="D235" s="1735"/>
      <c r="E235" s="1736"/>
      <c r="F235" s="2365">
        <f>SUM(F236:F238)</f>
        <v>45851440</v>
      </c>
      <c r="G235" s="2346"/>
      <c r="H235" s="1744"/>
    </row>
    <row r="236" spans="1:13" s="1717" customFormat="1" ht="16.8">
      <c r="A236" s="1622" t="s">
        <v>7349</v>
      </c>
      <c r="B236" s="1711" t="s">
        <v>5642</v>
      </c>
      <c r="C236" s="1528" t="s">
        <v>133</v>
      </c>
      <c r="D236" s="1576">
        <v>36</v>
      </c>
      <c r="E236" s="1531">
        <f>+'PTAP TIJERETAS'!E98</f>
        <v>473748.34456403996</v>
      </c>
      <c r="F236" s="1531">
        <f>+ROUND(D236*E236,0)</f>
        <v>17054940</v>
      </c>
      <c r="G236" s="2346"/>
      <c r="H236" s="1744"/>
      <c r="K236" s="1733"/>
      <c r="L236" s="1733"/>
      <c r="M236" s="1733"/>
    </row>
    <row r="237" spans="1:13" s="1717" customFormat="1" ht="33.6">
      <c r="A237" s="1622" t="s">
        <v>7350</v>
      </c>
      <c r="B237" s="1711" t="s">
        <v>5641</v>
      </c>
      <c r="C237" s="1528" t="s">
        <v>133</v>
      </c>
      <c r="D237" s="1576">
        <v>2</v>
      </c>
      <c r="E237" s="1531">
        <f>+'PTAP TIJERETAS'!E99</f>
        <v>1833620.1159217199</v>
      </c>
      <c r="F237" s="1531">
        <f t="shared" ref="F237:F238" si="12">+ROUND(D237*E237,0)</f>
        <v>3667240</v>
      </c>
      <c r="G237" s="2346"/>
      <c r="H237" s="1744"/>
      <c r="K237" s="1733"/>
      <c r="L237" s="1733"/>
      <c r="M237" s="1733"/>
    </row>
    <row r="238" spans="1:13" ht="50.4">
      <c r="A238" s="1622" t="s">
        <v>7351</v>
      </c>
      <c r="B238" s="1711" t="s">
        <v>4725</v>
      </c>
      <c r="C238" s="1528" t="s">
        <v>133</v>
      </c>
      <c r="D238" s="1576">
        <v>10</v>
      </c>
      <c r="E238" s="1531">
        <f>+'PTAP TIJERETAS'!E100</f>
        <v>2512926.0016005598</v>
      </c>
      <c r="F238" s="1531">
        <f t="shared" si="12"/>
        <v>25129260</v>
      </c>
      <c r="G238" s="2346"/>
      <c r="H238" s="1744"/>
    </row>
    <row r="239" spans="1:13" ht="18">
      <c r="A239" s="1740">
        <v>33</v>
      </c>
      <c r="B239" s="1653" t="s">
        <v>4806</v>
      </c>
      <c r="C239" s="1734"/>
      <c r="D239" s="1735"/>
      <c r="E239" s="1736"/>
      <c r="F239" s="2365">
        <f>SUM(F240:F251)</f>
        <v>113271880</v>
      </c>
      <c r="G239" s="2346"/>
      <c r="H239" s="1744"/>
    </row>
    <row r="240" spans="1:13" s="1717" customFormat="1" ht="33.6">
      <c r="A240" s="1622" t="s">
        <v>7360</v>
      </c>
      <c r="B240" s="1711" t="s">
        <v>5633</v>
      </c>
      <c r="C240" s="1710" t="s">
        <v>133</v>
      </c>
      <c r="D240" s="1576">
        <v>12</v>
      </c>
      <c r="E240" s="1531">
        <f>+'PTAP TIJERETAS'!E102</f>
        <v>810178</v>
      </c>
      <c r="F240" s="1531">
        <f t="shared" ref="F240:F250" si="13">+ROUND(D240*E240,0)</f>
        <v>9722136</v>
      </c>
      <c r="G240" s="2346"/>
      <c r="H240" s="1744"/>
      <c r="K240" s="1733"/>
      <c r="L240" s="1733"/>
      <c r="M240" s="1733"/>
    </row>
    <row r="241" spans="1:13" s="1717" customFormat="1" ht="33.6">
      <c r="A241" s="1622" t="s">
        <v>7361</v>
      </c>
      <c r="B241" s="1711" t="s">
        <v>5634</v>
      </c>
      <c r="C241" s="1710" t="s">
        <v>133</v>
      </c>
      <c r="D241" s="1576">
        <v>16</v>
      </c>
      <c r="E241" s="1531">
        <f>+'PTAP TIJERETAS'!E103</f>
        <v>707190</v>
      </c>
      <c r="F241" s="1531">
        <f t="shared" si="13"/>
        <v>11315040</v>
      </c>
      <c r="G241" s="2346"/>
      <c r="H241" s="1744"/>
      <c r="K241" s="1733"/>
      <c r="L241" s="1733"/>
      <c r="M241" s="1733"/>
    </row>
    <row r="242" spans="1:13" s="1717" customFormat="1" ht="33.6">
      <c r="A242" s="1622" t="s">
        <v>7362</v>
      </c>
      <c r="B242" s="1711" t="s">
        <v>5635</v>
      </c>
      <c r="C242" s="1710" t="s">
        <v>133</v>
      </c>
      <c r="D242" s="1576">
        <v>48</v>
      </c>
      <c r="E242" s="1531">
        <f>+'PTAP TIJERETAS'!E104</f>
        <v>631664</v>
      </c>
      <c r="F242" s="1531">
        <f t="shared" si="13"/>
        <v>30319872</v>
      </c>
      <c r="G242" s="2346"/>
      <c r="H242" s="1744"/>
      <c r="K242" s="1733"/>
      <c r="L242" s="1733"/>
      <c r="M242" s="1733"/>
    </row>
    <row r="243" spans="1:13" s="1717" customFormat="1" ht="33.6">
      <c r="A243" s="1622" t="s">
        <v>7363</v>
      </c>
      <c r="B243" s="1711" t="s">
        <v>5636</v>
      </c>
      <c r="C243" s="1710" t="s">
        <v>133</v>
      </c>
      <c r="D243" s="1576">
        <v>24</v>
      </c>
      <c r="E243" s="1531">
        <f>+'PTAP TIJERETAS'!E105</f>
        <v>2100971</v>
      </c>
      <c r="F243" s="1531">
        <f t="shared" si="13"/>
        <v>50423304</v>
      </c>
      <c r="G243" s="2346"/>
      <c r="H243" s="1744"/>
      <c r="K243" s="1733"/>
      <c r="L243" s="1733"/>
      <c r="M243" s="1733"/>
    </row>
    <row r="244" spans="1:13" s="1717" customFormat="1" ht="16.8">
      <c r="A244" s="1622" t="s">
        <v>7364</v>
      </c>
      <c r="B244" s="1711" t="s">
        <v>5637</v>
      </c>
      <c r="C244" s="1710" t="s">
        <v>133</v>
      </c>
      <c r="D244" s="1576">
        <v>240</v>
      </c>
      <c r="E244" s="1531">
        <f>+'PTAP TIJERETAS'!E106</f>
        <v>25848</v>
      </c>
      <c r="F244" s="1531">
        <f t="shared" si="13"/>
        <v>6203520</v>
      </c>
      <c r="G244" s="2346"/>
      <c r="H244" s="1744"/>
      <c r="K244" s="1733"/>
      <c r="L244" s="1733"/>
      <c r="M244" s="1733"/>
    </row>
    <row r="245" spans="1:13" ht="16.8">
      <c r="A245" s="1622" t="s">
        <v>7365</v>
      </c>
      <c r="B245" s="1711" t="s">
        <v>4733</v>
      </c>
      <c r="C245" s="1710" t="s">
        <v>133</v>
      </c>
      <c r="D245" s="1576">
        <v>14</v>
      </c>
      <c r="E245" s="1531">
        <f>+'PTAP TIJERETAS'!E107</f>
        <v>2746</v>
      </c>
      <c r="F245" s="1531">
        <f t="shared" si="13"/>
        <v>38444</v>
      </c>
      <c r="G245" s="2346"/>
      <c r="H245" s="1744"/>
    </row>
    <row r="246" spans="1:13" ht="33.6">
      <c r="A246" s="1622" t="s">
        <v>7366</v>
      </c>
      <c r="B246" s="1711" t="s">
        <v>4737</v>
      </c>
      <c r="C246" s="1710" t="s">
        <v>1002</v>
      </c>
      <c r="D246" s="1576">
        <v>50</v>
      </c>
      <c r="E246" s="1531">
        <f>+'PTAP TIJERETAS'!E108</f>
        <v>54927</v>
      </c>
      <c r="F246" s="1531">
        <f t="shared" si="13"/>
        <v>2746350</v>
      </c>
      <c r="G246" s="2346"/>
      <c r="H246" s="1744"/>
    </row>
    <row r="247" spans="1:13" ht="16.8">
      <c r="A247" s="1622" t="s">
        <v>7367</v>
      </c>
      <c r="B247" s="1711" t="s">
        <v>4765</v>
      </c>
      <c r="C247" s="1710" t="s">
        <v>1292</v>
      </c>
      <c r="D247" s="1576">
        <f>0.4*2.7*3.4*4</f>
        <v>14.688000000000001</v>
      </c>
      <c r="E247" s="1531">
        <f>+'PTAP TIJERETAS'!E109</f>
        <v>17165</v>
      </c>
      <c r="F247" s="1531">
        <f t="shared" si="13"/>
        <v>252120</v>
      </c>
      <c r="G247" s="2346"/>
      <c r="H247" s="1744"/>
    </row>
    <row r="248" spans="1:13" ht="16.8">
      <c r="A248" s="1622" t="s">
        <v>7368</v>
      </c>
      <c r="B248" s="1711" t="s">
        <v>4766</v>
      </c>
      <c r="C248" s="1710" t="s">
        <v>1292</v>
      </c>
      <c r="D248" s="1576">
        <f>0.25*2.7*3.4*4</f>
        <v>9.18</v>
      </c>
      <c r="E248" s="1531">
        <f>+'PTAP TIJERETAS'!E110</f>
        <v>18309</v>
      </c>
      <c r="F248" s="1531">
        <f t="shared" si="13"/>
        <v>168077</v>
      </c>
      <c r="G248" s="2346"/>
      <c r="H248" s="1744"/>
    </row>
    <row r="249" spans="1:13" ht="16.8">
      <c r="A249" s="1622" t="s">
        <v>7369</v>
      </c>
      <c r="B249" s="1711" t="s">
        <v>4767</v>
      </c>
      <c r="C249" s="1710" t="s">
        <v>1292</v>
      </c>
      <c r="D249" s="1576">
        <v>6.5</v>
      </c>
      <c r="E249" s="1531">
        <f>+'PTAP TIJERETAS'!E111</f>
        <v>19617</v>
      </c>
      <c r="F249" s="1531">
        <f t="shared" si="13"/>
        <v>127511</v>
      </c>
      <c r="G249" s="2346"/>
      <c r="H249" s="1744"/>
    </row>
    <row r="250" spans="1:13" ht="16.8">
      <c r="A250" s="1622" t="s">
        <v>7370</v>
      </c>
      <c r="B250" s="1711" t="s">
        <v>4768</v>
      </c>
      <c r="C250" s="1710" t="s">
        <v>45</v>
      </c>
      <c r="D250" s="1576">
        <v>346</v>
      </c>
      <c r="E250" s="1531">
        <f>+'PTAP TIJERETAS'!E112</f>
        <v>5493</v>
      </c>
      <c r="F250" s="1531">
        <f t="shared" si="13"/>
        <v>1900578</v>
      </c>
      <c r="G250" s="2346"/>
      <c r="H250" s="1744"/>
    </row>
    <row r="251" spans="1:13" ht="17.399999999999999" thickBot="1">
      <c r="A251" s="1622" t="s">
        <v>7371</v>
      </c>
      <c r="B251" s="1711" t="s">
        <v>5638</v>
      </c>
      <c r="C251" s="1710" t="s">
        <v>133</v>
      </c>
      <c r="D251" s="1576">
        <v>2</v>
      </c>
      <c r="E251" s="1531">
        <f>+'PTAP TIJERETAS'!E113</f>
        <v>27464</v>
      </c>
      <c r="F251" s="1531">
        <f>+ROUND(D251*E251,0)</f>
        <v>54928</v>
      </c>
      <c r="G251" s="2976"/>
      <c r="H251" s="1744"/>
    </row>
    <row r="252" spans="1:13" ht="16.8">
      <c r="A252" s="3334" t="s">
        <v>5739</v>
      </c>
      <c r="B252" s="3335"/>
      <c r="C252" s="3335"/>
      <c r="D252" s="3335"/>
      <c r="E252" s="3335"/>
      <c r="F252" s="3336"/>
    </row>
    <row r="253" spans="1:13" ht="33.6">
      <c r="A253" s="1590" t="s">
        <v>22</v>
      </c>
      <c r="B253" s="1591" t="s">
        <v>23</v>
      </c>
      <c r="C253" s="1591" t="s">
        <v>150</v>
      </c>
      <c r="D253" s="1592" t="s">
        <v>539</v>
      </c>
      <c r="E253" s="1593" t="s">
        <v>151</v>
      </c>
      <c r="F253" s="1593" t="s">
        <v>540</v>
      </c>
    </row>
    <row r="254" spans="1:13" ht="17.25" customHeight="1">
      <c r="A254" s="3350" t="s">
        <v>4740</v>
      </c>
      <c r="B254" s="3350"/>
      <c r="C254" s="3350"/>
      <c r="D254" s="3350"/>
      <c r="E254" s="3350"/>
      <c r="F254" s="3351"/>
    </row>
    <row r="255" spans="1:13" ht="18">
      <c r="A255" s="1650">
        <v>34</v>
      </c>
      <c r="B255" s="1727" t="s">
        <v>8528</v>
      </c>
      <c r="C255" s="1718"/>
      <c r="D255" s="1718"/>
      <c r="E255" s="1718"/>
      <c r="F255" s="2364">
        <f>SUM(F256:F257)</f>
        <v>5523852</v>
      </c>
      <c r="G255" s="2977">
        <f>+SUM(F255,F258,F261,F268,F337)</f>
        <v>561558097</v>
      </c>
      <c r="H255" s="1717" t="s">
        <v>8225</v>
      </c>
    </row>
    <row r="256" spans="1:13" ht="17.399999999999999">
      <c r="A256" s="1622" t="s">
        <v>7372</v>
      </c>
      <c r="B256" s="1711" t="s">
        <v>1373</v>
      </c>
      <c r="C256" s="1730" t="s">
        <v>1125</v>
      </c>
      <c r="D256" s="1576">
        <f>+'PTAP TIJERETAS'!D163</f>
        <v>1050</v>
      </c>
      <c r="E256" s="1731">
        <f>+'PTAP TIJERETAS'!E163</f>
        <v>2356</v>
      </c>
      <c r="F256" s="1531">
        <f>ROUND(D256*E256,0)</f>
        <v>2473800</v>
      </c>
      <c r="G256" s="2356">
        <f>+'PTAP TIJERETAS'!F250</f>
        <v>561558097</v>
      </c>
      <c r="I256" s="1732"/>
    </row>
    <row r="257" spans="1:13" ht="17.399999999999999">
      <c r="A257" s="1622" t="s">
        <v>7373</v>
      </c>
      <c r="B257" s="1711" t="s">
        <v>1374</v>
      </c>
      <c r="C257" s="1730" t="s">
        <v>1125</v>
      </c>
      <c r="D257" s="1576">
        <f>+'PTAP TIJERETAS'!D164</f>
        <v>1050</v>
      </c>
      <c r="E257" s="1731">
        <f>+'PTAP TIJERETAS'!E164</f>
        <v>2904.8114772599997</v>
      </c>
      <c r="F257" s="1531">
        <f>ROUND(D257*E257,0)</f>
        <v>3050052</v>
      </c>
    </row>
    <row r="258" spans="1:13" ht="18">
      <c r="A258" s="1650">
        <v>35</v>
      </c>
      <c r="B258" s="3013" t="s">
        <v>4988</v>
      </c>
      <c r="C258" s="3014"/>
      <c r="D258" s="3014"/>
      <c r="E258" s="3014"/>
      <c r="F258" s="2366">
        <f>SUM(F259:F260)</f>
        <v>29633480</v>
      </c>
    </row>
    <row r="259" spans="1:13" s="1717" customFormat="1" ht="30.75" customHeight="1">
      <c r="A259" s="1622" t="s">
        <v>7374</v>
      </c>
      <c r="B259" s="1618" t="s">
        <v>1094</v>
      </c>
      <c r="C259" s="1730" t="s">
        <v>1292</v>
      </c>
      <c r="D259" s="1576">
        <v>440</v>
      </c>
      <c r="E259" s="1731">
        <f>+'PTAP TIJERETAS'!E166</f>
        <v>10000</v>
      </c>
      <c r="F259" s="1531">
        <f>ROUND(D259*E259,0)</f>
        <v>4400000</v>
      </c>
      <c r="G259" s="2354"/>
      <c r="K259" s="1733"/>
      <c r="L259" s="1733"/>
      <c r="M259" s="1733"/>
    </row>
    <row r="260" spans="1:13" s="1717" customFormat="1" ht="41.25" customHeight="1">
      <c r="A260" s="1622" t="s">
        <v>7375</v>
      </c>
      <c r="B260" s="1682" t="s">
        <v>5063</v>
      </c>
      <c r="C260" s="1730" t="s">
        <v>1292</v>
      </c>
      <c r="D260" s="1576">
        <v>290</v>
      </c>
      <c r="E260" s="1731">
        <f>+'PTAP TIJERETAS'!E167</f>
        <v>87012</v>
      </c>
      <c r="F260" s="1531">
        <f>ROUND(D260*E260,0)</f>
        <v>25233480</v>
      </c>
      <c r="G260" s="2354"/>
      <c r="K260" s="1733"/>
      <c r="L260" s="1733"/>
      <c r="M260" s="1733"/>
    </row>
    <row r="261" spans="1:13" ht="18">
      <c r="A261" s="1650">
        <v>36</v>
      </c>
      <c r="B261" s="1745" t="s">
        <v>852</v>
      </c>
      <c r="C261" s="1746"/>
      <c r="D261" s="1746"/>
      <c r="E261" s="1746"/>
      <c r="F261" s="2223">
        <f>SUM(F262:F267)</f>
        <v>496273675</v>
      </c>
    </row>
    <row r="262" spans="1:13" s="1717" customFormat="1" ht="33.6">
      <c r="A262" s="1622" t="s">
        <v>7376</v>
      </c>
      <c r="B262" s="1544" t="s">
        <v>5651</v>
      </c>
      <c r="C262" s="364" t="s">
        <v>1292</v>
      </c>
      <c r="D262" s="1750">
        <v>108.324</v>
      </c>
      <c r="E262" s="1731">
        <f>+'PTAP TIJERETAS'!E169</f>
        <v>716404</v>
      </c>
      <c r="F262" s="1531">
        <f t="shared" ref="F262:F278" si="14">+ROUND(D262*E262,0)</f>
        <v>77603747</v>
      </c>
      <c r="G262" s="2355"/>
      <c r="K262" s="1733"/>
      <c r="L262" s="1733"/>
      <c r="M262" s="1733"/>
    </row>
    <row r="263" spans="1:13" ht="16.8">
      <c r="A263" s="1622" t="s">
        <v>7377</v>
      </c>
      <c r="B263" s="1544" t="s">
        <v>4826</v>
      </c>
      <c r="C263" s="364" t="s">
        <v>363</v>
      </c>
      <c r="D263" s="1749">
        <v>15</v>
      </c>
      <c r="E263" s="1731">
        <f>+'PTAP TIJERETAS'!E170</f>
        <v>2438617.5063487096</v>
      </c>
      <c r="F263" s="1531">
        <f t="shared" si="14"/>
        <v>36579263</v>
      </c>
      <c r="G263" s="2356"/>
    </row>
    <row r="264" spans="1:13" ht="16.8">
      <c r="A264" s="1622" t="s">
        <v>7378</v>
      </c>
      <c r="B264" s="1544" t="s">
        <v>5652</v>
      </c>
      <c r="C264" s="364" t="s">
        <v>1292</v>
      </c>
      <c r="D264" s="1749">
        <v>163.44</v>
      </c>
      <c r="E264" s="1731">
        <f>+'PTAP TIJERETAS'!E171</f>
        <v>716404</v>
      </c>
      <c r="F264" s="1531">
        <f t="shared" si="14"/>
        <v>117089070</v>
      </c>
      <c r="G264" s="2356"/>
    </row>
    <row r="265" spans="1:13" ht="16.8">
      <c r="A265" s="1622" t="s">
        <v>7379</v>
      </c>
      <c r="B265" s="1544" t="s">
        <v>5759</v>
      </c>
      <c r="C265" s="364" t="s">
        <v>1292</v>
      </c>
      <c r="D265" s="1749">
        <v>126.4</v>
      </c>
      <c r="E265" s="1731">
        <f>+'PTAP TIJERETAS'!E172</f>
        <v>716404</v>
      </c>
      <c r="F265" s="1531">
        <f t="shared" si="14"/>
        <v>90553466</v>
      </c>
      <c r="G265" s="2356"/>
    </row>
    <row r="266" spans="1:13" ht="16.8">
      <c r="A266" s="1622" t="s">
        <v>7380</v>
      </c>
      <c r="B266" s="1544" t="s">
        <v>1383</v>
      </c>
      <c r="C266" s="364" t="s">
        <v>647</v>
      </c>
      <c r="D266" s="1749">
        <v>43456.6</v>
      </c>
      <c r="E266" s="1731">
        <f>+'PTAP TIJERETAS'!E173</f>
        <v>3938.5941163025</v>
      </c>
      <c r="F266" s="1531">
        <f t="shared" si="14"/>
        <v>171157909</v>
      </c>
      <c r="G266" s="2356"/>
    </row>
    <row r="267" spans="1:13" s="1717" customFormat="1" ht="33.6">
      <c r="A267" s="1622" t="s">
        <v>7381</v>
      </c>
      <c r="B267" s="1544" t="s">
        <v>4829</v>
      </c>
      <c r="C267" s="364" t="s">
        <v>94</v>
      </c>
      <c r="D267" s="1749">
        <v>12</v>
      </c>
      <c r="E267" s="1731">
        <f>+'PTAP TIJERETAS'!E174</f>
        <v>274185</v>
      </c>
      <c r="F267" s="1531">
        <f t="shared" si="14"/>
        <v>3290220</v>
      </c>
      <c r="G267" s="2355"/>
      <c r="K267" s="1733"/>
      <c r="L267" s="1733"/>
      <c r="M267" s="1733"/>
    </row>
    <row r="268" spans="1:13" ht="18">
      <c r="A268" s="1650">
        <v>37</v>
      </c>
      <c r="B268" s="1745" t="s">
        <v>5747</v>
      </c>
      <c r="C268" s="1746"/>
      <c r="D268" s="1746"/>
      <c r="E268" s="1746"/>
      <c r="F268" s="2223">
        <f>SUM(F269:F336)</f>
        <v>23949989</v>
      </c>
      <c r="H268" s="2341"/>
    </row>
    <row r="269" spans="1:13" ht="33.6">
      <c r="A269" s="1622" t="s">
        <v>7382</v>
      </c>
      <c r="B269" s="1544" t="s">
        <v>4823</v>
      </c>
      <c r="C269" s="364" t="s">
        <v>94</v>
      </c>
      <c r="D269" s="1752">
        <f>+'PTAP TIJERETAS'!D176</f>
        <v>12.4</v>
      </c>
      <c r="E269" s="1731">
        <f>+'PTAP TIJERETAS'!E176</f>
        <v>6866</v>
      </c>
      <c r="F269" s="1531">
        <f t="shared" si="14"/>
        <v>85138</v>
      </c>
    </row>
    <row r="270" spans="1:13" ht="33.6">
      <c r="A270" s="1622" t="s">
        <v>7383</v>
      </c>
      <c r="B270" s="1544" t="s">
        <v>4824</v>
      </c>
      <c r="C270" s="364" t="s">
        <v>94</v>
      </c>
      <c r="D270" s="1752">
        <f>+'PTAP TIJERETAS'!D177</f>
        <v>2.4</v>
      </c>
      <c r="E270" s="1731">
        <f>+'PTAP TIJERETAS'!E177</f>
        <v>6866</v>
      </c>
      <c r="F270" s="1531">
        <f t="shared" si="14"/>
        <v>16478</v>
      </c>
    </row>
    <row r="271" spans="1:13" ht="33.6">
      <c r="A271" s="1622" t="s">
        <v>7384</v>
      </c>
      <c r="B271" s="1544" t="s">
        <v>4887</v>
      </c>
      <c r="C271" s="364" t="s">
        <v>94</v>
      </c>
      <c r="D271" s="1752">
        <f>+'PTAP TIJERETAS'!D178</f>
        <v>8</v>
      </c>
      <c r="E271" s="1731">
        <f>+'PTAP TIJERETAS'!E178</f>
        <v>6866</v>
      </c>
      <c r="F271" s="1531">
        <f t="shared" si="14"/>
        <v>54928</v>
      </c>
    </row>
    <row r="272" spans="1:13" ht="16.8">
      <c r="A272" s="1622" t="s">
        <v>7385</v>
      </c>
      <c r="B272" s="1544" t="s">
        <v>4801</v>
      </c>
      <c r="C272" s="364" t="s">
        <v>133</v>
      </c>
      <c r="D272" s="1752">
        <f>+'PTAP TIJERETAS'!D179</f>
        <v>1</v>
      </c>
      <c r="E272" s="1731">
        <f>+'PTAP TIJERETAS'!E179</f>
        <v>45315</v>
      </c>
      <c r="F272" s="1531">
        <f t="shared" si="14"/>
        <v>45315</v>
      </c>
    </row>
    <row r="273" spans="1:6" ht="16.8">
      <c r="A273" s="1622" t="s">
        <v>7386</v>
      </c>
      <c r="B273" s="1544" t="s">
        <v>4746</v>
      </c>
      <c r="C273" s="364" t="s">
        <v>133</v>
      </c>
      <c r="D273" s="1752">
        <f>+'PTAP TIJERETAS'!D180</f>
        <v>5</v>
      </c>
      <c r="E273" s="1731">
        <f>+'PTAP TIJERETAS'!E180</f>
        <v>27464</v>
      </c>
      <c r="F273" s="1531">
        <f t="shared" si="14"/>
        <v>137320</v>
      </c>
    </row>
    <row r="274" spans="1:6" ht="16.8">
      <c r="A274" s="1622" t="s">
        <v>7387</v>
      </c>
      <c r="B274" s="1544" t="s">
        <v>4954</v>
      </c>
      <c r="C274" s="364" t="s">
        <v>133</v>
      </c>
      <c r="D274" s="1752">
        <f>+'PTAP TIJERETAS'!D181</f>
        <v>2</v>
      </c>
      <c r="E274" s="1731">
        <f>+'PTAP TIJERETAS'!E181</f>
        <v>41196</v>
      </c>
      <c r="F274" s="1531">
        <f t="shared" si="14"/>
        <v>82392</v>
      </c>
    </row>
    <row r="275" spans="1:6" ht="16.8">
      <c r="A275" s="1622" t="s">
        <v>7388</v>
      </c>
      <c r="B275" s="1544" t="s">
        <v>4747</v>
      </c>
      <c r="C275" s="364" t="s">
        <v>133</v>
      </c>
      <c r="D275" s="1752">
        <f>+'PTAP TIJERETAS'!D182</f>
        <v>2</v>
      </c>
      <c r="E275" s="1731">
        <f>+'PTAP TIJERETAS'!E182</f>
        <v>685905</v>
      </c>
      <c r="F275" s="1531">
        <f t="shared" si="14"/>
        <v>1371810</v>
      </c>
    </row>
    <row r="276" spans="1:6" ht="16.8">
      <c r="A276" s="1622" t="s">
        <v>7389</v>
      </c>
      <c r="B276" s="1544" t="s">
        <v>4955</v>
      </c>
      <c r="C276" s="364"/>
      <c r="D276" s="1752">
        <f>+'PTAP TIJERETAS'!D183</f>
        <v>2</v>
      </c>
      <c r="E276" s="1731">
        <f>+'PTAP TIJERETAS'!E183</f>
        <v>74152</v>
      </c>
      <c r="F276" s="1531">
        <f t="shared" si="14"/>
        <v>148304</v>
      </c>
    </row>
    <row r="277" spans="1:6" ht="16.8">
      <c r="A277" s="1622" t="s">
        <v>7390</v>
      </c>
      <c r="B277" s="1544" t="s">
        <v>4754</v>
      </c>
      <c r="C277" s="364" t="s">
        <v>133</v>
      </c>
      <c r="D277" s="1752">
        <f>+'PTAP TIJERETAS'!D184</f>
        <v>1</v>
      </c>
      <c r="E277" s="1731">
        <f>+'PTAP TIJERETAS'!E184</f>
        <v>94750</v>
      </c>
      <c r="F277" s="1531">
        <f t="shared" si="14"/>
        <v>94750</v>
      </c>
    </row>
    <row r="278" spans="1:6" ht="16.8">
      <c r="A278" s="1622" t="s">
        <v>7391</v>
      </c>
      <c r="B278" s="1544" t="s">
        <v>4755</v>
      </c>
      <c r="C278" s="364" t="s">
        <v>133</v>
      </c>
      <c r="D278" s="1752">
        <f>+'PTAP TIJERETAS'!D185</f>
        <v>6</v>
      </c>
      <c r="E278" s="1731">
        <f>+'PTAP TIJERETAS'!E185</f>
        <v>79645</v>
      </c>
      <c r="F278" s="1531">
        <f t="shared" si="14"/>
        <v>477870</v>
      </c>
    </row>
    <row r="279" spans="1:6" ht="16.8">
      <c r="A279" s="1622" t="s">
        <v>7392</v>
      </c>
      <c r="B279" s="1545" t="s">
        <v>4858</v>
      </c>
      <c r="C279" s="364" t="s">
        <v>133</v>
      </c>
      <c r="D279" s="1752">
        <f>+'PTAP TIJERETAS'!D186</f>
        <v>2</v>
      </c>
      <c r="E279" s="1731">
        <f>+'PTAP TIJERETAS'!E186</f>
        <v>61793</v>
      </c>
      <c r="F279" s="1531">
        <f t="shared" ref="F279:F336" si="15">ROUND(D279*E279,0)</f>
        <v>123586</v>
      </c>
    </row>
    <row r="280" spans="1:6" ht="16.8">
      <c r="A280" s="1622" t="s">
        <v>7393</v>
      </c>
      <c r="B280" s="1546" t="s">
        <v>4957</v>
      </c>
      <c r="C280" s="364" t="s">
        <v>133</v>
      </c>
      <c r="D280" s="1752">
        <f>+'PTAP TIJERETAS'!D187</f>
        <v>2</v>
      </c>
      <c r="E280" s="1731">
        <f>+'PTAP TIJERETAS'!E187</f>
        <v>260905</v>
      </c>
      <c r="F280" s="1531">
        <f t="shared" si="15"/>
        <v>521810</v>
      </c>
    </row>
    <row r="281" spans="1:6" ht="16.8">
      <c r="A281" s="1622" t="s">
        <v>7394</v>
      </c>
      <c r="B281" s="1546" t="s">
        <v>4958</v>
      </c>
      <c r="C281" s="364" t="s">
        <v>133</v>
      </c>
      <c r="D281" s="1752">
        <f>+'PTAP TIJERETAS'!D188</f>
        <v>2</v>
      </c>
      <c r="E281" s="1731">
        <f>+'PTAP TIJERETAS'!E188</f>
        <v>219709</v>
      </c>
      <c r="F281" s="1531">
        <f t="shared" si="15"/>
        <v>439418</v>
      </c>
    </row>
    <row r="282" spans="1:6" ht="16.8">
      <c r="A282" s="1622" t="s">
        <v>7395</v>
      </c>
      <c r="B282" s="1545" t="s">
        <v>4860</v>
      </c>
      <c r="C282" s="364" t="s">
        <v>133</v>
      </c>
      <c r="D282" s="1752">
        <f>+'PTAP TIJERETAS'!D189</f>
        <v>2</v>
      </c>
      <c r="E282" s="1731">
        <f>+'PTAP TIJERETAS'!E189</f>
        <v>278756</v>
      </c>
      <c r="F282" s="1531">
        <f t="shared" si="15"/>
        <v>557512</v>
      </c>
    </row>
    <row r="283" spans="1:6" ht="33.6">
      <c r="A283" s="1622" t="s">
        <v>7396</v>
      </c>
      <c r="B283" s="1547" t="s">
        <v>4861</v>
      </c>
      <c r="C283" s="364" t="s">
        <v>133</v>
      </c>
      <c r="D283" s="1752">
        <f>+'PTAP TIJERETAS'!D190</f>
        <v>2</v>
      </c>
      <c r="E283" s="1731">
        <f>+'PTAP TIJERETAS'!E190</f>
        <v>157916</v>
      </c>
      <c r="F283" s="1531">
        <f t="shared" si="15"/>
        <v>315832</v>
      </c>
    </row>
    <row r="284" spans="1:6" ht="16.8">
      <c r="A284" s="1622" t="s">
        <v>7397</v>
      </c>
      <c r="B284" s="1545" t="s">
        <v>4862</v>
      </c>
      <c r="C284" s="364" t="s">
        <v>133</v>
      </c>
      <c r="D284" s="1752">
        <f>+'PTAP TIJERETAS'!D191</f>
        <v>2</v>
      </c>
      <c r="E284" s="1731">
        <f>+'PTAP TIJERETAS'!E191</f>
        <v>96123</v>
      </c>
      <c r="F284" s="1531">
        <f t="shared" si="15"/>
        <v>192246</v>
      </c>
    </row>
    <row r="285" spans="1:6" ht="16.8">
      <c r="A285" s="1622" t="s">
        <v>7398</v>
      </c>
      <c r="B285" s="1546" t="s">
        <v>4959</v>
      </c>
      <c r="C285" s="364" t="s">
        <v>133</v>
      </c>
      <c r="D285" s="1752">
        <f>+'PTAP TIJERETAS'!D192</f>
        <v>1</v>
      </c>
      <c r="E285" s="1731">
        <f>+'PTAP TIJERETAS'!E192</f>
        <v>212843</v>
      </c>
      <c r="F285" s="1531">
        <f t="shared" si="15"/>
        <v>212843</v>
      </c>
    </row>
    <row r="286" spans="1:6" ht="16.8">
      <c r="A286" s="1622" t="s">
        <v>7399</v>
      </c>
      <c r="B286" s="1545" t="s">
        <v>4960</v>
      </c>
      <c r="C286" s="364" t="s">
        <v>133</v>
      </c>
      <c r="D286" s="1752">
        <f>+'PTAP TIJERETAS'!D193</f>
        <v>1</v>
      </c>
      <c r="E286" s="1731">
        <f>+'PTAP TIJERETAS'!E193</f>
        <v>241997.20343282403</v>
      </c>
      <c r="F286" s="1531">
        <f t="shared" si="15"/>
        <v>241997</v>
      </c>
    </row>
    <row r="287" spans="1:6" ht="16.8">
      <c r="A287" s="1622" t="s">
        <v>7400</v>
      </c>
      <c r="B287" s="1546" t="s">
        <v>4961</v>
      </c>
      <c r="C287" s="364" t="s">
        <v>133</v>
      </c>
      <c r="D287" s="1752">
        <f>+'PTAP TIJERETAS'!D194</f>
        <v>1</v>
      </c>
      <c r="E287" s="1731">
        <f>+'PTAP TIJERETAS'!E194</f>
        <v>151050</v>
      </c>
      <c r="F287" s="1531">
        <f t="shared" si="15"/>
        <v>151050</v>
      </c>
    </row>
    <row r="288" spans="1:6" ht="16.8">
      <c r="A288" s="1622" t="s">
        <v>7401</v>
      </c>
      <c r="B288" s="1545" t="s">
        <v>4863</v>
      </c>
      <c r="C288" s="364" t="s">
        <v>133</v>
      </c>
      <c r="D288" s="1752">
        <f>+'PTAP TIJERETAS'!D195</f>
        <v>1</v>
      </c>
      <c r="E288" s="1731">
        <f>+'PTAP TIJERETAS'!E195</f>
        <v>178514</v>
      </c>
      <c r="F288" s="1531">
        <f t="shared" si="15"/>
        <v>178514</v>
      </c>
    </row>
    <row r="289" spans="1:6" ht="16.8">
      <c r="A289" s="1622" t="s">
        <v>7402</v>
      </c>
      <c r="B289" s="1546" t="s">
        <v>4962</v>
      </c>
      <c r="C289" s="364" t="s">
        <v>133</v>
      </c>
      <c r="D289" s="1752">
        <f>+'PTAP TIJERETAS'!D196</f>
        <v>1</v>
      </c>
      <c r="E289" s="1731">
        <f>+'PTAP TIJERETAS'!E196</f>
        <v>144184</v>
      </c>
      <c r="F289" s="1531">
        <f t="shared" si="15"/>
        <v>144184</v>
      </c>
    </row>
    <row r="290" spans="1:6" ht="16.8">
      <c r="A290" s="1622" t="s">
        <v>7403</v>
      </c>
      <c r="B290" s="1546" t="s">
        <v>4864</v>
      </c>
      <c r="C290" s="364" t="s">
        <v>133</v>
      </c>
      <c r="D290" s="1752">
        <f>+'PTAP TIJERETAS'!D197</f>
        <v>1</v>
      </c>
      <c r="E290" s="1731">
        <f>+'PTAP TIJERETAS'!E197</f>
        <v>185380</v>
      </c>
      <c r="F290" s="1531">
        <f t="shared" si="15"/>
        <v>185380</v>
      </c>
    </row>
    <row r="291" spans="1:6" ht="16.8">
      <c r="A291" s="1622" t="s">
        <v>7404</v>
      </c>
      <c r="B291" s="1545" t="s">
        <v>4865</v>
      </c>
      <c r="C291" s="364" t="s">
        <v>133</v>
      </c>
      <c r="D291" s="1752">
        <f>+'PTAP TIJERETAS'!D198</f>
        <v>1</v>
      </c>
      <c r="E291" s="1731">
        <f>+'PTAP TIJERETAS'!E198</f>
        <v>68659</v>
      </c>
      <c r="F291" s="1531">
        <f t="shared" si="15"/>
        <v>68659</v>
      </c>
    </row>
    <row r="292" spans="1:6" ht="16.8">
      <c r="A292" s="1622" t="s">
        <v>7405</v>
      </c>
      <c r="B292" s="1546" t="s">
        <v>4866</v>
      </c>
      <c r="C292" s="364" t="s">
        <v>133</v>
      </c>
      <c r="D292" s="1752">
        <f>+'PTAP TIJERETAS'!D199</f>
        <v>1</v>
      </c>
      <c r="E292" s="1731">
        <f>+'PTAP TIJERETAS'!E199</f>
        <v>171648</v>
      </c>
      <c r="F292" s="1531">
        <f t="shared" si="15"/>
        <v>171648</v>
      </c>
    </row>
    <row r="293" spans="1:6" ht="16.8">
      <c r="A293" s="1622" t="s">
        <v>7406</v>
      </c>
      <c r="B293" s="1546" t="s">
        <v>4867</v>
      </c>
      <c r="C293" s="364" t="s">
        <v>133</v>
      </c>
      <c r="D293" s="1752">
        <f>+'PTAP TIJERETAS'!D200</f>
        <v>1</v>
      </c>
      <c r="E293" s="1731">
        <f>+'PTAP TIJERETAS'!E200</f>
        <v>82391</v>
      </c>
      <c r="F293" s="1531">
        <f t="shared" si="15"/>
        <v>82391</v>
      </c>
    </row>
    <row r="294" spans="1:6" ht="16.8">
      <c r="A294" s="1622" t="s">
        <v>7407</v>
      </c>
      <c r="B294" s="1545" t="s">
        <v>4868</v>
      </c>
      <c r="C294" s="364" t="s">
        <v>133</v>
      </c>
      <c r="D294" s="1752">
        <f>+'PTAP TIJERETAS'!D201</f>
        <v>1</v>
      </c>
      <c r="E294" s="1731">
        <f>+'PTAP TIJERETAS'!E201</f>
        <v>68659</v>
      </c>
      <c r="F294" s="1531">
        <f t="shared" si="15"/>
        <v>68659</v>
      </c>
    </row>
    <row r="295" spans="1:6" ht="16.8">
      <c r="A295" s="1622" t="s">
        <v>7408</v>
      </c>
      <c r="B295" s="1546" t="s">
        <v>4869</v>
      </c>
      <c r="C295" s="364" t="s">
        <v>133</v>
      </c>
      <c r="D295" s="1752">
        <f>+'PTAP TIJERETAS'!D202</f>
        <v>1</v>
      </c>
      <c r="E295" s="1731">
        <f>+'PTAP TIJERETAS'!E202</f>
        <v>350591</v>
      </c>
      <c r="F295" s="1531">
        <f t="shared" si="15"/>
        <v>350591</v>
      </c>
    </row>
    <row r="296" spans="1:6" ht="16.8">
      <c r="A296" s="1622" t="s">
        <v>7409</v>
      </c>
      <c r="B296" s="1546" t="s">
        <v>4870</v>
      </c>
      <c r="C296" s="364" t="s">
        <v>133</v>
      </c>
      <c r="D296" s="1752">
        <f>+'PTAP TIJERETAS'!D203</f>
        <v>1</v>
      </c>
      <c r="E296" s="1731">
        <f>+'PTAP TIJERETAS'!E203</f>
        <v>134572</v>
      </c>
      <c r="F296" s="1531">
        <f t="shared" si="15"/>
        <v>134572</v>
      </c>
    </row>
    <row r="297" spans="1:6" ht="16.8">
      <c r="A297" s="1622" t="s">
        <v>7410</v>
      </c>
      <c r="B297" s="1545" t="s">
        <v>4871</v>
      </c>
      <c r="C297" s="364" t="s">
        <v>133</v>
      </c>
      <c r="D297" s="1752">
        <f>+'PTAP TIJERETAS'!D204</f>
        <v>1</v>
      </c>
      <c r="E297" s="1731">
        <f>+'PTAP TIJERETAS'!E204</f>
        <v>43942</v>
      </c>
      <c r="F297" s="1531">
        <f t="shared" si="15"/>
        <v>43942</v>
      </c>
    </row>
    <row r="298" spans="1:6" ht="16.8">
      <c r="A298" s="1622" t="s">
        <v>7411</v>
      </c>
      <c r="B298" s="1546" t="s">
        <v>4963</v>
      </c>
      <c r="C298" s="364" t="s">
        <v>133</v>
      </c>
      <c r="D298" s="1752">
        <f>+'PTAP TIJERETAS'!D205</f>
        <v>1</v>
      </c>
      <c r="E298" s="1731">
        <f>+'PTAP TIJERETAS'!E205</f>
        <v>590469</v>
      </c>
      <c r="F298" s="1531">
        <f t="shared" si="15"/>
        <v>590469</v>
      </c>
    </row>
    <row r="299" spans="1:6" ht="16.8">
      <c r="A299" s="1622" t="s">
        <v>7412</v>
      </c>
      <c r="B299" s="1546" t="s">
        <v>4964</v>
      </c>
      <c r="C299" s="364" t="s">
        <v>133</v>
      </c>
      <c r="D299" s="1752">
        <f>+'PTAP TIJERETAS'!D206</f>
        <v>1</v>
      </c>
      <c r="E299" s="1731">
        <f>+'PTAP TIJERETAS'!E206</f>
        <v>384491</v>
      </c>
      <c r="F299" s="1531">
        <f t="shared" si="15"/>
        <v>384491</v>
      </c>
    </row>
    <row r="300" spans="1:6" ht="105.75" customHeight="1">
      <c r="A300" s="1622" t="s">
        <v>7413</v>
      </c>
      <c r="B300" s="1544" t="s">
        <v>5618</v>
      </c>
      <c r="C300" s="364" t="s">
        <v>133</v>
      </c>
      <c r="D300" s="1752">
        <f>+'PTAP TIJERETAS'!D207</f>
        <v>2</v>
      </c>
      <c r="E300" s="1731">
        <f>+'PTAP TIJERETAS'!E207</f>
        <v>1724930</v>
      </c>
      <c r="F300" s="1531">
        <f t="shared" si="15"/>
        <v>3449860</v>
      </c>
    </row>
    <row r="301" spans="1:6" ht="95.25" customHeight="1">
      <c r="A301" s="1622" t="s">
        <v>7414</v>
      </c>
      <c r="B301" s="1544" t="s">
        <v>5654</v>
      </c>
      <c r="C301" s="364" t="s">
        <v>133</v>
      </c>
      <c r="D301" s="1752">
        <f>+'PTAP TIJERETAS'!D208</f>
        <v>2</v>
      </c>
      <c r="E301" s="1731">
        <f>+'PTAP TIJERETAS'!E208</f>
        <v>2380889</v>
      </c>
      <c r="F301" s="1531">
        <f t="shared" si="15"/>
        <v>4761778</v>
      </c>
    </row>
    <row r="302" spans="1:6" ht="16.8">
      <c r="A302" s="1622" t="s">
        <v>7415</v>
      </c>
      <c r="B302" s="1544" t="s">
        <v>4965</v>
      </c>
      <c r="C302" s="364" t="s">
        <v>133</v>
      </c>
      <c r="D302" s="1752">
        <f>+'PTAP TIJERETAS'!D209</f>
        <v>2</v>
      </c>
      <c r="E302" s="1731">
        <f>+'PTAP TIJERETAS'!E209</f>
        <v>144184</v>
      </c>
      <c r="F302" s="1531">
        <f t="shared" si="15"/>
        <v>288368</v>
      </c>
    </row>
    <row r="303" spans="1:6" ht="16.8">
      <c r="A303" s="1622" t="s">
        <v>7416</v>
      </c>
      <c r="B303" s="1544" t="s">
        <v>4966</v>
      </c>
      <c r="C303" s="364" t="s">
        <v>133</v>
      </c>
      <c r="D303" s="1752">
        <f>+'PTAP TIJERETAS'!D210</f>
        <v>2</v>
      </c>
      <c r="E303" s="1731">
        <f>+'PTAP TIJERETAS'!E210</f>
        <v>48061</v>
      </c>
      <c r="F303" s="1531">
        <f t="shared" si="15"/>
        <v>96122</v>
      </c>
    </row>
    <row r="304" spans="1:6" ht="33.6">
      <c r="A304" s="1622" t="s">
        <v>7417</v>
      </c>
      <c r="B304" s="1544" t="s">
        <v>4967</v>
      </c>
      <c r="C304" s="364" t="s">
        <v>133</v>
      </c>
      <c r="D304" s="1752">
        <f>+'PTAP TIJERETAS'!D211</f>
        <v>2</v>
      </c>
      <c r="E304" s="1731">
        <f>+'PTAP TIJERETAS'!E211</f>
        <v>126333</v>
      </c>
      <c r="F304" s="1531">
        <f t="shared" si="15"/>
        <v>252666</v>
      </c>
    </row>
    <row r="305" spans="1:6" ht="16.8">
      <c r="A305" s="1622" t="s">
        <v>7418</v>
      </c>
      <c r="B305" s="1544" t="s">
        <v>4895</v>
      </c>
      <c r="C305" s="364" t="s">
        <v>133</v>
      </c>
      <c r="D305" s="1752">
        <f>+'PTAP TIJERETAS'!D212</f>
        <v>2</v>
      </c>
      <c r="E305" s="1731">
        <f>+'PTAP TIJERETAS'!E212</f>
        <v>130452</v>
      </c>
      <c r="F305" s="1531">
        <f t="shared" si="15"/>
        <v>260904</v>
      </c>
    </row>
    <row r="306" spans="1:6" ht="33.6">
      <c r="A306" s="1622" t="s">
        <v>7419</v>
      </c>
      <c r="B306" s="1544" t="s">
        <v>4896</v>
      </c>
      <c r="C306" s="364" t="s">
        <v>133</v>
      </c>
      <c r="D306" s="1752">
        <f>+'PTAP TIJERETAS'!D213</f>
        <v>2</v>
      </c>
      <c r="E306" s="1731">
        <f>+'PTAP TIJERETAS'!E213</f>
        <v>82391</v>
      </c>
      <c r="F306" s="1531">
        <f t="shared" si="15"/>
        <v>164782</v>
      </c>
    </row>
    <row r="307" spans="1:6" ht="16.8">
      <c r="A307" s="1622" t="s">
        <v>7420</v>
      </c>
      <c r="B307" s="1544" t="s">
        <v>4897</v>
      </c>
      <c r="C307" s="364" t="s">
        <v>133</v>
      </c>
      <c r="D307" s="1752">
        <f>+'PTAP TIJERETAS'!D214</f>
        <v>2</v>
      </c>
      <c r="E307" s="1731">
        <f>+'PTAP TIJERETAS'!E214</f>
        <v>59047</v>
      </c>
      <c r="F307" s="1531">
        <f t="shared" si="15"/>
        <v>118094</v>
      </c>
    </row>
    <row r="308" spans="1:6" ht="16.8">
      <c r="A308" s="1622" t="s">
        <v>7421</v>
      </c>
      <c r="B308" s="1544" t="s">
        <v>4968</v>
      </c>
      <c r="C308" s="364" t="s">
        <v>133</v>
      </c>
      <c r="D308" s="1752">
        <f>+'PTAP TIJERETAS'!D215</f>
        <v>2</v>
      </c>
      <c r="E308" s="1731">
        <f>+'PTAP TIJERETAS'!E215</f>
        <v>164782</v>
      </c>
      <c r="F308" s="1531">
        <f t="shared" si="15"/>
        <v>329564</v>
      </c>
    </row>
    <row r="309" spans="1:6" ht="16.8">
      <c r="A309" s="1622" t="s">
        <v>7422</v>
      </c>
      <c r="B309" s="1544" t="s">
        <v>4899</v>
      </c>
      <c r="C309" s="364" t="s">
        <v>133</v>
      </c>
      <c r="D309" s="1752">
        <f>+'PTAP TIJERETAS'!D216</f>
        <v>1</v>
      </c>
      <c r="E309" s="1731">
        <f>+'PTAP TIJERETAS'!E216</f>
        <v>82391</v>
      </c>
      <c r="F309" s="1531">
        <f t="shared" si="15"/>
        <v>82391</v>
      </c>
    </row>
    <row r="310" spans="1:6" ht="16.8">
      <c r="A310" s="1622" t="s">
        <v>7423</v>
      </c>
      <c r="B310" s="1544" t="s">
        <v>4969</v>
      </c>
      <c r="C310" s="364" t="s">
        <v>133</v>
      </c>
      <c r="D310" s="1752">
        <f>+'PTAP TIJERETAS'!D217</f>
        <v>1</v>
      </c>
      <c r="E310" s="1731">
        <f>+'PTAP TIJERETAS'!E217</f>
        <v>109855</v>
      </c>
      <c r="F310" s="1531">
        <f t="shared" si="15"/>
        <v>109855</v>
      </c>
    </row>
    <row r="311" spans="1:6" ht="16.8">
      <c r="A311" s="1622" t="s">
        <v>7424</v>
      </c>
      <c r="B311" s="1548" t="s">
        <v>4900</v>
      </c>
      <c r="C311" s="364" t="s">
        <v>133</v>
      </c>
      <c r="D311" s="1752">
        <f>+'PTAP TIJERETAS'!D218</f>
        <v>1</v>
      </c>
      <c r="E311" s="1731">
        <f>+'PTAP TIJERETAS'!E218</f>
        <v>102989</v>
      </c>
      <c r="F311" s="1531">
        <f t="shared" si="15"/>
        <v>102989</v>
      </c>
    </row>
    <row r="312" spans="1:6" ht="33.6">
      <c r="A312" s="1622" t="s">
        <v>7425</v>
      </c>
      <c r="B312" s="1549" t="s">
        <v>4970</v>
      </c>
      <c r="C312" s="364" t="s">
        <v>133</v>
      </c>
      <c r="D312" s="1752">
        <f>+'PTAP TIJERETAS'!D219</f>
        <v>1</v>
      </c>
      <c r="E312" s="1731">
        <f>+'PTAP TIJERETAS'!E219</f>
        <v>122213</v>
      </c>
      <c r="F312" s="1531">
        <f t="shared" si="15"/>
        <v>122213</v>
      </c>
    </row>
    <row r="313" spans="1:6" ht="16.8">
      <c r="A313" s="1622" t="s">
        <v>7426</v>
      </c>
      <c r="B313" s="1549" t="s">
        <v>4901</v>
      </c>
      <c r="C313" s="364" t="s">
        <v>133</v>
      </c>
      <c r="D313" s="1752">
        <f>+'PTAP TIJERETAS'!D220</f>
        <v>2</v>
      </c>
      <c r="E313" s="1731">
        <f>+'PTAP TIJERETAS'!E220</f>
        <v>593215</v>
      </c>
      <c r="F313" s="1531">
        <f t="shared" si="15"/>
        <v>1186430</v>
      </c>
    </row>
    <row r="314" spans="1:6" ht="16.8">
      <c r="A314" s="1622" t="s">
        <v>7427</v>
      </c>
      <c r="B314" s="1549" t="s">
        <v>4902</v>
      </c>
      <c r="C314" s="364" t="s">
        <v>133</v>
      </c>
      <c r="D314" s="1752">
        <f>+'PTAP TIJERETAS'!D221</f>
        <v>1</v>
      </c>
      <c r="E314" s="1731">
        <f>+'PTAP TIJERETAS'!E221</f>
        <v>54927</v>
      </c>
      <c r="F314" s="1531">
        <f t="shared" si="15"/>
        <v>54927</v>
      </c>
    </row>
    <row r="315" spans="1:6" ht="16.8">
      <c r="A315" s="1622" t="s">
        <v>7428</v>
      </c>
      <c r="B315" s="1549" t="s">
        <v>4903</v>
      </c>
      <c r="C315" s="364" t="s">
        <v>133</v>
      </c>
      <c r="D315" s="1752">
        <f>+'PTAP TIJERETAS'!D222</f>
        <v>1</v>
      </c>
      <c r="E315" s="1731">
        <f>+'PTAP TIJERETAS'!E222</f>
        <v>97496</v>
      </c>
      <c r="F315" s="1531">
        <f t="shared" si="15"/>
        <v>97496</v>
      </c>
    </row>
    <row r="316" spans="1:6" ht="16.8">
      <c r="A316" s="1622" t="s">
        <v>7429</v>
      </c>
      <c r="B316" s="1549" t="s">
        <v>4904</v>
      </c>
      <c r="C316" s="364" t="s">
        <v>133</v>
      </c>
      <c r="D316" s="1752">
        <f>+'PTAP TIJERETAS'!D223</f>
        <v>1</v>
      </c>
      <c r="E316" s="1731">
        <f>+'PTAP TIJERETAS'!E223</f>
        <v>107108</v>
      </c>
      <c r="F316" s="1531">
        <f t="shared" si="15"/>
        <v>107108</v>
      </c>
    </row>
    <row r="317" spans="1:6" ht="16.8">
      <c r="A317" s="1622" t="s">
        <v>7430</v>
      </c>
      <c r="B317" s="1549" t="s">
        <v>4905</v>
      </c>
      <c r="C317" s="364" t="s">
        <v>133</v>
      </c>
      <c r="D317" s="1752">
        <f>+'PTAP TIJERETAS'!D224</f>
        <v>1</v>
      </c>
      <c r="E317" s="1731">
        <f>+'PTAP TIJERETAS'!E224</f>
        <v>125646</v>
      </c>
      <c r="F317" s="1531">
        <f t="shared" si="15"/>
        <v>125646</v>
      </c>
    </row>
    <row r="318" spans="1:6" ht="16.8">
      <c r="A318" s="1622" t="s">
        <v>7431</v>
      </c>
      <c r="B318" s="1549" t="s">
        <v>5733</v>
      </c>
      <c r="C318" s="364" t="s">
        <v>45</v>
      </c>
      <c r="D318" s="1752">
        <f>+'PTAP TIJERETAS'!D225</f>
        <v>1</v>
      </c>
      <c r="E318" s="1731">
        <f>+'PTAP TIJERETAS'!E225</f>
        <v>718296</v>
      </c>
      <c r="F318" s="1531">
        <f t="shared" si="15"/>
        <v>718296</v>
      </c>
    </row>
    <row r="319" spans="1:6" ht="16.8">
      <c r="A319" s="1622" t="s">
        <v>7432</v>
      </c>
      <c r="B319" s="1549" t="s">
        <v>4922</v>
      </c>
      <c r="C319" s="364" t="s">
        <v>133</v>
      </c>
      <c r="D319" s="1752">
        <f>+'PTAP TIJERETAS'!D226</f>
        <v>1</v>
      </c>
      <c r="E319" s="1731">
        <f>+'PTAP TIJERETAS'!E226</f>
        <v>342246</v>
      </c>
      <c r="F319" s="1531">
        <f t="shared" si="15"/>
        <v>342246</v>
      </c>
    </row>
    <row r="320" spans="1:6" ht="16.8">
      <c r="A320" s="1622" t="s">
        <v>7433</v>
      </c>
      <c r="B320" s="1549" t="s">
        <v>4906</v>
      </c>
      <c r="C320" s="364" t="s">
        <v>133</v>
      </c>
      <c r="D320" s="1752">
        <f>+'PTAP TIJERETAS'!D227</f>
        <v>1</v>
      </c>
      <c r="E320" s="1731">
        <f>+'PTAP TIJERETAS'!E227</f>
        <v>138692</v>
      </c>
      <c r="F320" s="1531">
        <f t="shared" si="15"/>
        <v>138692</v>
      </c>
    </row>
    <row r="321" spans="1:6" ht="16.8">
      <c r="A321" s="1622" t="s">
        <v>7434</v>
      </c>
      <c r="B321" s="1549" t="s">
        <v>4907</v>
      </c>
      <c r="C321" s="364" t="s">
        <v>133</v>
      </c>
      <c r="D321" s="1752">
        <f>+'PTAP TIJERETAS'!D228</f>
        <v>1</v>
      </c>
      <c r="E321" s="1731">
        <f>+'PTAP TIJERETAS'!E228</f>
        <v>45315</v>
      </c>
      <c r="F321" s="1531">
        <f t="shared" si="15"/>
        <v>45315</v>
      </c>
    </row>
    <row r="322" spans="1:6" ht="16.8">
      <c r="A322" s="1622" t="s">
        <v>7435</v>
      </c>
      <c r="B322" s="1549" t="s">
        <v>4921</v>
      </c>
      <c r="C322" s="364" t="s">
        <v>133</v>
      </c>
      <c r="D322" s="1752">
        <f>+'PTAP TIJERETAS'!D229</f>
        <v>1</v>
      </c>
      <c r="E322" s="1731">
        <f>+'PTAP TIJERETAS'!E229</f>
        <v>314782</v>
      </c>
      <c r="F322" s="1531">
        <f t="shared" si="15"/>
        <v>314782</v>
      </c>
    </row>
    <row r="323" spans="1:6" ht="16.8">
      <c r="A323" s="1622" t="s">
        <v>7436</v>
      </c>
      <c r="B323" s="1549" t="s">
        <v>4908</v>
      </c>
      <c r="C323" s="364" t="s">
        <v>133</v>
      </c>
      <c r="D323" s="1752">
        <f>+'PTAP TIJERETAS'!D230</f>
        <v>2</v>
      </c>
      <c r="E323" s="1731">
        <f>+'PTAP TIJERETAS'!E230</f>
        <v>28837</v>
      </c>
      <c r="F323" s="1531">
        <f t="shared" si="15"/>
        <v>57674</v>
      </c>
    </row>
    <row r="324" spans="1:6" ht="16.8">
      <c r="A324" s="1622" t="s">
        <v>7437</v>
      </c>
      <c r="B324" s="1549" t="s">
        <v>4920</v>
      </c>
      <c r="C324" s="364" t="s">
        <v>133</v>
      </c>
      <c r="D324" s="1752">
        <f>+'PTAP TIJERETAS'!D231</f>
        <v>1</v>
      </c>
      <c r="E324" s="1731">
        <f>+'PTAP TIJERETAS'!E231</f>
        <v>425687</v>
      </c>
      <c r="F324" s="1531">
        <f t="shared" si="15"/>
        <v>425687</v>
      </c>
    </row>
    <row r="325" spans="1:6" ht="16.8">
      <c r="A325" s="1622" t="s">
        <v>7438</v>
      </c>
      <c r="B325" s="1549" t="s">
        <v>4909</v>
      </c>
      <c r="C325" s="364" t="s">
        <v>133</v>
      </c>
      <c r="D325" s="1752">
        <f>+'PTAP TIJERETAS'!D232</f>
        <v>2</v>
      </c>
      <c r="E325" s="1731">
        <f>+'PTAP TIJERETAS'!E232</f>
        <v>76898</v>
      </c>
      <c r="F325" s="1531">
        <f t="shared" si="15"/>
        <v>153796</v>
      </c>
    </row>
    <row r="326" spans="1:6" ht="16.8">
      <c r="A326" s="1622" t="s">
        <v>7439</v>
      </c>
      <c r="B326" s="1549" t="s">
        <v>4910</v>
      </c>
      <c r="C326" s="364" t="s">
        <v>133</v>
      </c>
      <c r="D326" s="1752">
        <f>+'PTAP TIJERETAS'!D233</f>
        <v>6</v>
      </c>
      <c r="E326" s="1731">
        <f>+'PTAP TIJERETAS'!E233</f>
        <v>86511</v>
      </c>
      <c r="F326" s="1531">
        <f t="shared" si="15"/>
        <v>519066</v>
      </c>
    </row>
    <row r="327" spans="1:6" ht="16.8">
      <c r="A327" s="1622" t="s">
        <v>7440</v>
      </c>
      <c r="B327" s="1549" t="s">
        <v>4911</v>
      </c>
      <c r="C327" s="364" t="s">
        <v>133</v>
      </c>
      <c r="D327" s="1752">
        <f>+'PTAP TIJERETAS'!D234</f>
        <v>2</v>
      </c>
      <c r="E327" s="1731">
        <f>+'PTAP TIJERETAS'!E234</f>
        <v>65913</v>
      </c>
      <c r="F327" s="1531">
        <f t="shared" si="15"/>
        <v>131826</v>
      </c>
    </row>
    <row r="328" spans="1:6" ht="16.8">
      <c r="A328" s="1622" t="s">
        <v>7441</v>
      </c>
      <c r="B328" s="1549" t="s">
        <v>4912</v>
      </c>
      <c r="C328" s="364" t="s">
        <v>133</v>
      </c>
      <c r="D328" s="1752">
        <f>+'PTAP TIJERETAS'!D235</f>
        <v>8</v>
      </c>
      <c r="E328" s="1731">
        <f>+'PTAP TIJERETAS'!E235</f>
        <v>32956</v>
      </c>
      <c r="F328" s="1531">
        <f t="shared" si="15"/>
        <v>263648</v>
      </c>
    </row>
    <row r="329" spans="1:6" ht="16.8">
      <c r="A329" s="1622" t="s">
        <v>7442</v>
      </c>
      <c r="B329" s="1549" t="s">
        <v>4913</v>
      </c>
      <c r="C329" s="364" t="s">
        <v>133</v>
      </c>
      <c r="D329" s="1752">
        <f>+'PTAP TIJERETAS'!D236</f>
        <v>8</v>
      </c>
      <c r="E329" s="1731">
        <f>+'PTAP TIJERETAS'!E236</f>
        <v>5493</v>
      </c>
      <c r="F329" s="1531">
        <f t="shared" si="15"/>
        <v>43944</v>
      </c>
    </row>
    <row r="330" spans="1:6" ht="16.8">
      <c r="A330" s="1622" t="s">
        <v>7443</v>
      </c>
      <c r="B330" s="1549" t="s">
        <v>4914</v>
      </c>
      <c r="C330" s="364" t="s">
        <v>133</v>
      </c>
      <c r="D330" s="1752">
        <f>+'PTAP TIJERETAS'!D237</f>
        <v>24</v>
      </c>
      <c r="E330" s="1731">
        <f>+'PTAP TIJERETAS'!E237</f>
        <v>4120</v>
      </c>
      <c r="F330" s="1531">
        <f t="shared" si="15"/>
        <v>98880</v>
      </c>
    </row>
    <row r="331" spans="1:6" ht="16.8">
      <c r="A331" s="1622" t="s">
        <v>7444</v>
      </c>
      <c r="B331" s="1549" t="s">
        <v>4915</v>
      </c>
      <c r="C331" s="364" t="s">
        <v>133</v>
      </c>
      <c r="D331" s="1752">
        <f>+'PTAP TIJERETAS'!D238</f>
        <v>8</v>
      </c>
      <c r="E331" s="1731">
        <f>+'PTAP TIJERETAS'!E238</f>
        <v>3433</v>
      </c>
      <c r="F331" s="1531">
        <f t="shared" si="15"/>
        <v>27464</v>
      </c>
    </row>
    <row r="332" spans="1:6" ht="16.8">
      <c r="A332" s="1622" t="s">
        <v>7445</v>
      </c>
      <c r="B332" s="1549" t="s">
        <v>4916</v>
      </c>
      <c r="C332" s="364" t="s">
        <v>133</v>
      </c>
      <c r="D332" s="1752">
        <f>+'PTAP TIJERETAS'!D239</f>
        <v>8</v>
      </c>
      <c r="E332" s="1731">
        <f>+'PTAP TIJERETAS'!E239</f>
        <v>23619</v>
      </c>
      <c r="F332" s="1531">
        <f t="shared" si="15"/>
        <v>188952</v>
      </c>
    </row>
    <row r="333" spans="1:6" ht="16.8">
      <c r="A333" s="1622" t="s">
        <v>7446</v>
      </c>
      <c r="B333" s="1549" t="s">
        <v>4973</v>
      </c>
      <c r="C333" s="364" t="s">
        <v>133</v>
      </c>
      <c r="D333" s="1752">
        <f>+'PTAP TIJERETAS'!D240</f>
        <v>2</v>
      </c>
      <c r="E333" s="1731">
        <f>+'PTAP TIJERETAS'!E240</f>
        <v>181260</v>
      </c>
      <c r="F333" s="1531">
        <f t="shared" si="15"/>
        <v>362520</v>
      </c>
    </row>
    <row r="334" spans="1:6" ht="16.8">
      <c r="A334" s="1622" t="s">
        <v>7447</v>
      </c>
      <c r="B334" s="1549" t="s">
        <v>4917</v>
      </c>
      <c r="C334" s="364" t="s">
        <v>133</v>
      </c>
      <c r="D334" s="1752">
        <f>+'PTAP TIJERETAS'!D241</f>
        <v>10</v>
      </c>
      <c r="E334" s="1731">
        <f>+'PTAP TIJERETAS'!E241</f>
        <v>10299</v>
      </c>
      <c r="F334" s="1531">
        <f t="shared" si="15"/>
        <v>102990</v>
      </c>
    </row>
    <row r="335" spans="1:6" ht="16.8">
      <c r="A335" s="1622" t="s">
        <v>7448</v>
      </c>
      <c r="B335" s="455" t="s">
        <v>4972</v>
      </c>
      <c r="C335" s="364" t="s">
        <v>133</v>
      </c>
      <c r="D335" s="1752">
        <f>+'PTAP TIJERETAS'!D242</f>
        <v>1</v>
      </c>
      <c r="E335" s="1731">
        <f>+'PTAP TIJERETAS'!E242</f>
        <v>230695</v>
      </c>
      <c r="F335" s="1531">
        <f t="shared" si="15"/>
        <v>230695</v>
      </c>
    </row>
    <row r="336" spans="1:6" ht="16.8">
      <c r="A336" s="1622" t="s">
        <v>7449</v>
      </c>
      <c r="B336" s="455" t="s">
        <v>4971</v>
      </c>
      <c r="C336" s="364" t="s">
        <v>133</v>
      </c>
      <c r="D336" s="1752">
        <f>+'PTAP TIJERETAS'!D243</f>
        <v>2</v>
      </c>
      <c r="E336" s="1731">
        <f>+'PTAP TIJERETAS'!E243</f>
        <v>199112</v>
      </c>
      <c r="F336" s="1531">
        <f t="shared" si="15"/>
        <v>398224</v>
      </c>
    </row>
    <row r="337" spans="1:13" s="492" customFormat="1" ht="18">
      <c r="A337" s="1003">
        <v>38</v>
      </c>
      <c r="B337" s="1745" t="s">
        <v>5712</v>
      </c>
      <c r="C337" s="1746"/>
      <c r="D337" s="1746"/>
      <c r="E337" s="1746"/>
      <c r="F337" s="2367">
        <f>SUM(F338:F342)</f>
        <v>6177101</v>
      </c>
      <c r="G337" s="711"/>
      <c r="H337" s="61"/>
      <c r="K337" s="1495"/>
      <c r="L337" s="1495"/>
      <c r="M337" s="1495"/>
    </row>
    <row r="338" spans="1:13" s="492" customFormat="1" ht="18">
      <c r="A338" s="1748"/>
      <c r="B338" s="1696" t="s">
        <v>5713</v>
      </c>
      <c r="C338" s="471"/>
      <c r="D338" s="1752"/>
      <c r="E338" s="260"/>
      <c r="F338" s="1531"/>
      <c r="G338" s="711"/>
      <c r="H338" s="61"/>
      <c r="K338" s="1495"/>
      <c r="L338" s="1495"/>
      <c r="M338" s="1495"/>
    </row>
    <row r="339" spans="1:13" s="492" customFormat="1" ht="134.4">
      <c r="A339" s="1622" t="s">
        <v>7450</v>
      </c>
      <c r="B339" s="1544" t="s">
        <v>5714</v>
      </c>
      <c r="C339" s="471" t="s">
        <v>133</v>
      </c>
      <c r="D339" s="1749">
        <v>1</v>
      </c>
      <c r="E339" s="260">
        <f>+'PTAP TIJERETAS'!E246</f>
        <v>1021085.2465519999</v>
      </c>
      <c r="F339" s="1531">
        <f t="shared" ref="F339" si="16">ROUND(D339*E339,0)</f>
        <v>1021085</v>
      </c>
      <c r="G339" s="711"/>
      <c r="H339" s="61"/>
      <c r="K339" s="1495"/>
      <c r="L339" s="1495"/>
      <c r="M339" s="1495"/>
    </row>
    <row r="340" spans="1:13" s="492" customFormat="1" ht="33.6">
      <c r="A340" s="1748"/>
      <c r="B340" s="1697" t="s">
        <v>5715</v>
      </c>
      <c r="C340" s="471"/>
      <c r="D340" s="1749"/>
      <c r="E340" s="260"/>
      <c r="F340" s="1531"/>
      <c r="G340" s="711"/>
      <c r="H340" s="61"/>
      <c r="K340" s="1495"/>
      <c r="L340" s="1495"/>
      <c r="M340" s="1495"/>
    </row>
    <row r="341" spans="1:13" s="492" customFormat="1" ht="100.8">
      <c r="A341" s="1622" t="s">
        <v>7451</v>
      </c>
      <c r="B341" s="1544" t="s">
        <v>5239</v>
      </c>
      <c r="C341" s="471" t="s">
        <v>45</v>
      </c>
      <c r="D341" s="1749">
        <v>140</v>
      </c>
      <c r="E341" s="260">
        <f>+'PTAP TIJERETAS'!E248</f>
        <v>24552.459021999999</v>
      </c>
      <c r="F341" s="1531">
        <f t="shared" ref="F341:F342" si="17">ROUND(D341*E341,0)</f>
        <v>3437344</v>
      </c>
      <c r="G341" s="711"/>
      <c r="H341" s="61"/>
      <c r="K341" s="1495"/>
      <c r="L341" s="1495"/>
      <c r="M341" s="1495"/>
    </row>
    <row r="342" spans="1:13" s="492" customFormat="1" ht="101.4" thickBot="1">
      <c r="A342" s="1622" t="s">
        <v>7452</v>
      </c>
      <c r="B342" s="1544" t="s">
        <v>5118</v>
      </c>
      <c r="C342" s="471" t="s">
        <v>45</v>
      </c>
      <c r="D342" s="1749">
        <v>70</v>
      </c>
      <c r="E342" s="260">
        <f>+'PTAP TIJERETAS'!E249</f>
        <v>24552.459021999999</v>
      </c>
      <c r="F342" s="1531">
        <f t="shared" si="17"/>
        <v>1718672</v>
      </c>
      <c r="G342" s="711"/>
      <c r="H342" s="61"/>
      <c r="K342" s="1495"/>
      <c r="L342" s="1495"/>
      <c r="M342" s="1495"/>
    </row>
    <row r="343" spans="1:13" ht="16.8">
      <c r="A343" s="3334" t="s">
        <v>5748</v>
      </c>
      <c r="B343" s="3335"/>
      <c r="C343" s="3335"/>
      <c r="D343" s="3335"/>
      <c r="E343" s="3335"/>
      <c r="F343" s="3336"/>
    </row>
    <row r="344" spans="1:13" ht="33.6">
      <c r="A344" s="1590" t="s">
        <v>22</v>
      </c>
      <c r="B344" s="1591" t="s">
        <v>23</v>
      </c>
      <c r="C344" s="1591" t="s">
        <v>150</v>
      </c>
      <c r="D344" s="1592" t="s">
        <v>539</v>
      </c>
      <c r="E344" s="1593" t="s">
        <v>151</v>
      </c>
      <c r="F344" s="1593" t="s">
        <v>540</v>
      </c>
    </row>
    <row r="345" spans="1:13" ht="18">
      <c r="A345" s="3352" t="s">
        <v>5619</v>
      </c>
      <c r="B345" s="3352"/>
      <c r="C345" s="3352"/>
      <c r="D345" s="3352"/>
      <c r="E345" s="3352"/>
      <c r="F345" s="3353"/>
    </row>
    <row r="346" spans="1:13" ht="16.8">
      <c r="B346" s="1654"/>
      <c r="C346" s="1654"/>
      <c r="E346" s="1655"/>
      <c r="F346" s="1655"/>
    </row>
    <row r="347" spans="1:13" ht="16.8">
      <c r="A347" s="1718"/>
      <c r="B347" s="1656" t="s">
        <v>1082</v>
      </c>
      <c r="C347" s="1738"/>
      <c r="D347" s="1657"/>
      <c r="E347" s="1755"/>
      <c r="F347" s="1658"/>
      <c r="G347" s="2220">
        <f>+SUM(F348+F355+F357+F360+F362+F364+F366+F368+F370+F372+F376+F384+F388+F390+F392)</f>
        <v>39097805</v>
      </c>
      <c r="H347" s="1717" t="s">
        <v>8225</v>
      </c>
    </row>
    <row r="348" spans="1:13" ht="16.8">
      <c r="A348" s="1594">
        <v>39</v>
      </c>
      <c r="B348" s="1595" t="s">
        <v>5190</v>
      </c>
      <c r="C348" s="1594"/>
      <c r="D348" s="1596"/>
      <c r="E348" s="1597"/>
      <c r="F348" s="2223">
        <f>SUM(F349:F354)</f>
        <v>6409110</v>
      </c>
      <c r="G348" s="2356">
        <f>+'PTAP TIJERETAS'!F390</f>
        <v>39097805</v>
      </c>
    </row>
    <row r="349" spans="1:13" ht="33.6">
      <c r="A349" s="1622" t="s">
        <v>7453</v>
      </c>
      <c r="B349" s="1618" t="s">
        <v>5222</v>
      </c>
      <c r="C349" s="364" t="s">
        <v>5191</v>
      </c>
      <c r="D349" s="1619">
        <v>1</v>
      </c>
      <c r="E349" s="1659">
        <f>+'PTAP TIJERETAS'!E343</f>
        <v>281732.37706600002</v>
      </c>
      <c r="F349" s="2370">
        <f>ROUND(E349*D349,0)</f>
        <v>281732</v>
      </c>
    </row>
    <row r="350" spans="1:13" ht="33.6">
      <c r="A350" s="1622" t="s">
        <v>7454</v>
      </c>
      <c r="B350" s="1618" t="s">
        <v>5223</v>
      </c>
      <c r="C350" s="364" t="s">
        <v>5191</v>
      </c>
      <c r="D350" s="1619">
        <v>2</v>
      </c>
      <c r="E350" s="1659">
        <f>+'PTAP TIJERETAS'!E344</f>
        <v>334949.64875999995</v>
      </c>
      <c r="F350" s="2370">
        <f t="shared" ref="F350:F354" si="18">ROUND(E350*D350,0)</f>
        <v>669899</v>
      </c>
    </row>
    <row r="351" spans="1:13" ht="16.8">
      <c r="A351" s="1622" t="s">
        <v>7455</v>
      </c>
      <c r="B351" s="1618" t="s">
        <v>5224</v>
      </c>
      <c r="C351" s="364" t="s">
        <v>4693</v>
      </c>
      <c r="D351" s="1619">
        <v>30</v>
      </c>
      <c r="E351" s="1659">
        <f>+'PTAP TIJERETAS'!E345</f>
        <v>5536.6188533000031</v>
      </c>
      <c r="F351" s="2370">
        <f t="shared" si="18"/>
        <v>166099</v>
      </c>
    </row>
    <row r="352" spans="1:13" ht="16.8">
      <c r="A352" s="1622" t="s">
        <v>7456</v>
      </c>
      <c r="B352" s="1618" t="s">
        <v>5225</v>
      </c>
      <c r="C352" s="364" t="s">
        <v>5191</v>
      </c>
      <c r="D352" s="1619">
        <v>1</v>
      </c>
      <c r="E352" s="1659">
        <f>+'PTAP TIJERETAS'!E346</f>
        <v>291830.94266499998</v>
      </c>
      <c r="F352" s="2370">
        <f t="shared" si="18"/>
        <v>291831</v>
      </c>
    </row>
    <row r="353" spans="1:13" ht="33.6">
      <c r="A353" s="1622" t="s">
        <v>7457</v>
      </c>
      <c r="B353" s="1618" t="s">
        <v>5226</v>
      </c>
      <c r="C353" s="364" t="s">
        <v>5191</v>
      </c>
      <c r="D353" s="1619">
        <v>1</v>
      </c>
      <c r="E353" s="1659">
        <f>+'PTAP TIJERETAS'!E347</f>
        <v>956549.18044000003</v>
      </c>
      <c r="F353" s="2370">
        <f t="shared" si="18"/>
        <v>956549</v>
      </c>
    </row>
    <row r="354" spans="1:13" s="1717" customFormat="1" ht="16.8">
      <c r="A354" s="1622" t="s">
        <v>7458</v>
      </c>
      <c r="B354" s="1618" t="s">
        <v>5227</v>
      </c>
      <c r="C354" s="364" t="s">
        <v>5192</v>
      </c>
      <c r="D354" s="1619">
        <v>1</v>
      </c>
      <c r="E354" s="2981">
        <f>+'PTAP TIJERETAS'!E348</f>
        <v>4043000</v>
      </c>
      <c r="F354" s="2674">
        <f t="shared" si="18"/>
        <v>4043000</v>
      </c>
      <c r="G354" s="2354"/>
      <c r="K354" s="1733"/>
      <c r="L354" s="1733"/>
      <c r="M354" s="1733"/>
    </row>
    <row r="355" spans="1:13" ht="16.8">
      <c r="A355" s="1594">
        <v>40</v>
      </c>
      <c r="B355" s="1660" t="s">
        <v>5526</v>
      </c>
      <c r="C355" s="1594"/>
      <c r="D355" s="1596"/>
      <c r="E355" s="1597"/>
      <c r="F355" s="2223">
        <f>SUM(F356)</f>
        <v>2471730</v>
      </c>
    </row>
    <row r="356" spans="1:13" ht="16.8">
      <c r="A356" s="1622" t="s">
        <v>7459</v>
      </c>
      <c r="B356" s="1618" t="s">
        <v>5228</v>
      </c>
      <c r="C356" s="1599" t="s">
        <v>5191</v>
      </c>
      <c r="D356" s="1471">
        <v>9</v>
      </c>
      <c r="E356" s="1659">
        <f>+'PTAP TIJERETAS'!E350</f>
        <v>274636.7214864</v>
      </c>
      <c r="F356" s="2370">
        <f>ROUND(E356*D356,0)</f>
        <v>2471730</v>
      </c>
    </row>
    <row r="357" spans="1:13" ht="16.8">
      <c r="A357" s="1594">
        <v>41</v>
      </c>
      <c r="B357" s="1595" t="s">
        <v>5527</v>
      </c>
      <c r="C357" s="1594"/>
      <c r="D357" s="1596"/>
      <c r="E357" s="1597"/>
      <c r="F357" s="2224">
        <f>SUM(F358:F359)</f>
        <v>1168995</v>
      </c>
    </row>
    <row r="358" spans="1:13" ht="34.5" customHeight="1">
      <c r="A358" s="1622" t="s">
        <v>7460</v>
      </c>
      <c r="B358" s="1618" t="s">
        <v>5229</v>
      </c>
      <c r="C358" s="364" t="s">
        <v>5191</v>
      </c>
      <c r="D358" s="1619">
        <v>1</v>
      </c>
      <c r="E358" s="1659">
        <f>+'PTAP TIJERETAS'!E352</f>
        <v>619934.836259</v>
      </c>
      <c r="F358" s="2370">
        <f>ROUND(E358*D358,0)</f>
        <v>619935</v>
      </c>
    </row>
    <row r="359" spans="1:13" ht="50.4">
      <c r="A359" s="1622" t="s">
        <v>7461</v>
      </c>
      <c r="B359" s="1618" t="s">
        <v>5230</v>
      </c>
      <c r="C359" s="364" t="s">
        <v>5191</v>
      </c>
      <c r="D359" s="1619">
        <v>1</v>
      </c>
      <c r="E359" s="1659">
        <f>+'PTAP TIJERETAS'!E353</f>
        <v>549059.836259</v>
      </c>
      <c r="F359" s="2370">
        <f>ROUND(E359*D359,0)</f>
        <v>549060</v>
      </c>
    </row>
    <row r="360" spans="1:13" ht="33.6">
      <c r="A360" s="1594">
        <v>42</v>
      </c>
      <c r="B360" s="1595" t="s">
        <v>5528</v>
      </c>
      <c r="C360" s="1594"/>
      <c r="D360" s="1596"/>
      <c r="E360" s="1597"/>
      <c r="F360" s="2223">
        <f>SUM(F361:F361)</f>
        <v>420899</v>
      </c>
    </row>
    <row r="361" spans="1:13" ht="50.4">
      <c r="A361" s="1622" t="s">
        <v>7462</v>
      </c>
      <c r="B361" s="1618" t="s">
        <v>5231</v>
      </c>
      <c r="C361" s="364" t="s">
        <v>4693</v>
      </c>
      <c r="D361" s="1619">
        <v>20</v>
      </c>
      <c r="E361" s="1659">
        <f>+'PTAP TIJERETAS'!E355</f>
        <v>21044.964875999998</v>
      </c>
      <c r="F361" s="2370">
        <f>ROUND(E361*D361,0)</f>
        <v>420899</v>
      </c>
    </row>
    <row r="362" spans="1:13" ht="33.6">
      <c r="A362" s="1594">
        <v>43</v>
      </c>
      <c r="B362" s="1595" t="s">
        <v>5529</v>
      </c>
      <c r="C362" s="1594"/>
      <c r="D362" s="1596"/>
      <c r="E362" s="1597"/>
      <c r="F362" s="1747">
        <f>SUM(F363)</f>
        <v>2455246</v>
      </c>
    </row>
    <row r="363" spans="1:13" ht="117.6">
      <c r="A363" s="1622" t="s">
        <v>7463</v>
      </c>
      <c r="B363" s="1661" t="s">
        <v>5232</v>
      </c>
      <c r="C363" s="1599" t="s">
        <v>5191</v>
      </c>
      <c r="D363" s="1472">
        <v>1</v>
      </c>
      <c r="E363" s="1659">
        <f>+'PTAP TIJERETAS'!E357</f>
        <v>2455245.9021999999</v>
      </c>
      <c r="F363" s="2370">
        <f>ROUND(E363*D363,0)</f>
        <v>2455246</v>
      </c>
    </row>
    <row r="364" spans="1:13" ht="33.6">
      <c r="A364" s="1594">
        <v>44</v>
      </c>
      <c r="B364" s="1595" t="s">
        <v>5530</v>
      </c>
      <c r="C364" s="1594"/>
      <c r="D364" s="1596"/>
      <c r="E364" s="1597"/>
      <c r="F364" s="2223">
        <f>SUM(F365)</f>
        <v>252540</v>
      </c>
    </row>
    <row r="365" spans="1:13" ht="50.4">
      <c r="A365" s="1622" t="s">
        <v>7464</v>
      </c>
      <c r="B365" s="1661" t="s">
        <v>5233</v>
      </c>
      <c r="C365" s="1599" t="s">
        <v>4693</v>
      </c>
      <c r="D365" s="1471">
        <v>12</v>
      </c>
      <c r="E365" s="1659">
        <f>+'PTAP TIJERETAS'!E359</f>
        <v>21044.964875999998</v>
      </c>
      <c r="F365" s="2370">
        <f>ROUND(E365*D365,0)</f>
        <v>252540</v>
      </c>
    </row>
    <row r="366" spans="1:13" ht="33.6">
      <c r="A366" s="1594">
        <v>45</v>
      </c>
      <c r="B366" s="1595" t="s">
        <v>5531</v>
      </c>
      <c r="C366" s="1594"/>
      <c r="D366" s="1596"/>
      <c r="E366" s="1597"/>
      <c r="F366" s="2223">
        <f>SUM(F367)</f>
        <v>315674</v>
      </c>
    </row>
    <row r="367" spans="1:13" ht="50.4">
      <c r="A367" s="1622" t="s">
        <v>7465</v>
      </c>
      <c r="B367" s="1661" t="s">
        <v>5234</v>
      </c>
      <c r="C367" s="1599" t="s">
        <v>4693</v>
      </c>
      <c r="D367" s="1471">
        <v>15</v>
      </c>
      <c r="E367" s="1659">
        <f>+'PTAP TIJERETAS'!E361</f>
        <v>21044.964875999998</v>
      </c>
      <c r="F367" s="2370">
        <f>ROUND(E367*D367,0)</f>
        <v>315674</v>
      </c>
    </row>
    <row r="368" spans="1:13" ht="16.8">
      <c r="A368" s="1594">
        <v>46</v>
      </c>
      <c r="B368" s="1595" t="s">
        <v>5532</v>
      </c>
      <c r="C368" s="1594"/>
      <c r="D368" s="1596"/>
      <c r="E368" s="1597"/>
      <c r="F368" s="2223">
        <f>SUM(F369)</f>
        <v>2454496</v>
      </c>
    </row>
    <row r="369" spans="1:6" ht="67.2">
      <c r="A369" s="1622" t="s">
        <v>7466</v>
      </c>
      <c r="B369" s="1662" t="s">
        <v>5235</v>
      </c>
      <c r="C369" s="1599" t="s">
        <v>5191</v>
      </c>
      <c r="D369" s="1471">
        <v>1</v>
      </c>
      <c r="E369" s="1659">
        <f>+'PTAP TIJERETAS'!E363</f>
        <v>2454496.4875999996</v>
      </c>
      <c r="F369" s="2370">
        <f>ROUND(E369*D369,0)</f>
        <v>2454496</v>
      </c>
    </row>
    <row r="370" spans="1:6" ht="16.8">
      <c r="A370" s="1594">
        <v>47</v>
      </c>
      <c r="B370" s="1595" t="s">
        <v>5533</v>
      </c>
      <c r="C370" s="1594"/>
      <c r="D370" s="1596"/>
      <c r="E370" s="1597"/>
      <c r="F370" s="2223">
        <f>SUM(F371)</f>
        <v>2552713</v>
      </c>
    </row>
    <row r="371" spans="1:6" ht="201.6">
      <c r="A371" s="1622" t="s">
        <v>7467</v>
      </c>
      <c r="B371" s="1618" t="s">
        <v>5236</v>
      </c>
      <c r="C371" s="1599" t="s">
        <v>5191</v>
      </c>
      <c r="D371" s="1472">
        <v>1</v>
      </c>
      <c r="E371" s="1659">
        <f>+'PTAP TIJERETAS'!E365</f>
        <v>2552713.11638</v>
      </c>
      <c r="F371" s="2370">
        <f>ROUND(E371*D371,0)</f>
        <v>2552713</v>
      </c>
    </row>
    <row r="372" spans="1:6" ht="33.6">
      <c r="A372" s="1594">
        <v>48</v>
      </c>
      <c r="B372" s="1595" t="s">
        <v>5534</v>
      </c>
      <c r="C372" s="1594"/>
      <c r="D372" s="1596"/>
      <c r="E372" s="1597"/>
      <c r="F372" s="2223">
        <f>SUM(F373:F375)</f>
        <v>2013302</v>
      </c>
    </row>
    <row r="373" spans="1:6" ht="50.4">
      <c r="A373" s="1622" t="s">
        <v>7468</v>
      </c>
      <c r="B373" s="1661" t="s">
        <v>5237</v>
      </c>
      <c r="C373" s="1599" t="s">
        <v>4693</v>
      </c>
      <c r="D373" s="1471">
        <v>10</v>
      </c>
      <c r="E373" s="1659">
        <f>+'PTAP TIJERETAS'!E367</f>
        <v>24552.459021999999</v>
      </c>
      <c r="F373" s="2370">
        <f>ROUND(E373*D373,0)</f>
        <v>245525</v>
      </c>
    </row>
    <row r="374" spans="1:6" ht="50.4">
      <c r="A374" s="1622" t="s">
        <v>7469</v>
      </c>
      <c r="B374" s="1661" t="s">
        <v>5238</v>
      </c>
      <c r="C374" s="1599" t="s">
        <v>4693</v>
      </c>
      <c r="D374" s="1471">
        <v>30</v>
      </c>
      <c r="E374" s="1659">
        <f>+'PTAP TIJERETAS'!E368</f>
        <v>24552.459021999999</v>
      </c>
      <c r="F374" s="2370">
        <f t="shared" ref="F374:F375" si="19">ROUND(E374*D374,0)</f>
        <v>736574</v>
      </c>
    </row>
    <row r="375" spans="1:6" ht="67.2">
      <c r="A375" s="1622" t="s">
        <v>7470</v>
      </c>
      <c r="B375" s="1661" t="s">
        <v>5108</v>
      </c>
      <c r="C375" s="1599" t="s">
        <v>4693</v>
      </c>
      <c r="D375" s="1471">
        <v>56</v>
      </c>
      <c r="E375" s="1659">
        <f>+'PTAP TIJERETAS'!E369</f>
        <v>18414.3442665</v>
      </c>
      <c r="F375" s="2370">
        <f t="shared" si="19"/>
        <v>1031203</v>
      </c>
    </row>
    <row r="376" spans="1:6" ht="16.8">
      <c r="A376" s="1594">
        <v>49</v>
      </c>
      <c r="B376" s="1595" t="s">
        <v>5535</v>
      </c>
      <c r="C376" s="1594"/>
      <c r="D376" s="1596"/>
      <c r="E376" s="1597"/>
      <c r="F376" s="2223">
        <f>SUM(F377:F383)</f>
        <v>1312855</v>
      </c>
    </row>
    <row r="377" spans="1:6" ht="50.4">
      <c r="A377" s="1622" t="s">
        <v>7471</v>
      </c>
      <c r="B377" s="1661" t="s">
        <v>5122</v>
      </c>
      <c r="C377" s="1599" t="s">
        <v>5191</v>
      </c>
      <c r="D377" s="1471">
        <v>1</v>
      </c>
      <c r="E377" s="1659">
        <f>+'PTAP TIJERETAS'!E371</f>
        <v>184143.44266500001</v>
      </c>
      <c r="F377" s="2370">
        <f>ROUND(E377*D377,0)</f>
        <v>184143</v>
      </c>
    </row>
    <row r="378" spans="1:6" ht="50.4">
      <c r="A378" s="1622" t="s">
        <v>7472</v>
      </c>
      <c r="B378" s="1661" t="s">
        <v>5128</v>
      </c>
      <c r="C378" s="1599" t="s">
        <v>5191</v>
      </c>
      <c r="D378" s="1471">
        <v>1</v>
      </c>
      <c r="E378" s="1659">
        <f>+'PTAP TIJERETAS'!E372</f>
        <v>210449.64876000001</v>
      </c>
      <c r="F378" s="2370">
        <f t="shared" ref="F378:F395" si="20">ROUND(E378*D378,0)</f>
        <v>210450</v>
      </c>
    </row>
    <row r="379" spans="1:6" ht="33.6">
      <c r="A379" s="1622" t="s">
        <v>7473</v>
      </c>
      <c r="B379" s="1663" t="s">
        <v>5240</v>
      </c>
      <c r="C379" s="1599" t="s">
        <v>5191</v>
      </c>
      <c r="D379" s="1471">
        <v>14</v>
      </c>
      <c r="E379" s="1659">
        <f>+'PTAP TIJERETAS'!E373</f>
        <v>29462.9508264</v>
      </c>
      <c r="F379" s="2370">
        <f t="shared" si="20"/>
        <v>412481</v>
      </c>
    </row>
    <row r="380" spans="1:6" ht="33.6">
      <c r="A380" s="1622" t="s">
        <v>7474</v>
      </c>
      <c r="B380" s="1663" t="s">
        <v>5241</v>
      </c>
      <c r="C380" s="1599" t="s">
        <v>5191</v>
      </c>
      <c r="D380" s="1471">
        <v>3</v>
      </c>
      <c r="E380" s="1659">
        <f>+'PTAP TIJERETAS'!E374</f>
        <v>29462.9508264</v>
      </c>
      <c r="F380" s="2370">
        <f t="shared" si="20"/>
        <v>88389</v>
      </c>
    </row>
    <row r="381" spans="1:6" ht="33.6">
      <c r="A381" s="1622" t="s">
        <v>7475</v>
      </c>
      <c r="B381" s="1663" t="s">
        <v>5242</v>
      </c>
      <c r="C381" s="1599" t="s">
        <v>5191</v>
      </c>
      <c r="D381" s="1471">
        <v>2</v>
      </c>
      <c r="E381" s="1659">
        <f>+'PTAP TIJERETAS'!E375</f>
        <v>36828.688533</v>
      </c>
      <c r="F381" s="2370">
        <f t="shared" si="20"/>
        <v>73657</v>
      </c>
    </row>
    <row r="382" spans="1:6" ht="16.8">
      <c r="A382" s="1622" t="s">
        <v>7476</v>
      </c>
      <c r="B382" s="1663" t="s">
        <v>5160</v>
      </c>
      <c r="C382" s="1599" t="s">
        <v>5191</v>
      </c>
      <c r="D382" s="1471">
        <v>6</v>
      </c>
      <c r="E382" s="1659">
        <f>+'PTAP TIJERETAS'!E376</f>
        <v>24552.459021999999</v>
      </c>
      <c r="F382" s="2370">
        <f t="shared" si="20"/>
        <v>147315</v>
      </c>
    </row>
    <row r="383" spans="1:6" ht="16.8">
      <c r="A383" s="1622" t="s">
        <v>7477</v>
      </c>
      <c r="B383" s="1663" t="s">
        <v>5164</v>
      </c>
      <c r="C383" s="1599" t="s">
        <v>5191</v>
      </c>
      <c r="D383" s="1471">
        <v>8</v>
      </c>
      <c r="E383" s="1659">
        <f>+'PTAP TIJERETAS'!E377</f>
        <v>24552.459021999999</v>
      </c>
      <c r="F383" s="2370">
        <f t="shared" si="20"/>
        <v>196420</v>
      </c>
    </row>
    <row r="384" spans="1:6" ht="16.8">
      <c r="A384" s="1594">
        <v>50</v>
      </c>
      <c r="B384" s="1595" t="s">
        <v>5536</v>
      </c>
      <c r="C384" s="1594"/>
      <c r="D384" s="1596"/>
      <c r="E384" s="1597"/>
      <c r="F384" s="2223">
        <f>SUM(F385:F387)</f>
        <v>5076046</v>
      </c>
    </row>
    <row r="385" spans="1:17" ht="50.4">
      <c r="A385" s="1622" t="s">
        <v>7478</v>
      </c>
      <c r="B385" s="1465" t="s">
        <v>5167</v>
      </c>
      <c r="C385" s="364" t="s">
        <v>4693</v>
      </c>
      <c r="D385" s="1610">
        <v>180</v>
      </c>
      <c r="E385" s="1659">
        <f>+'PTAP TIJERETAS'!E379</f>
        <v>14731.4754132</v>
      </c>
      <c r="F385" s="2370">
        <f t="shared" si="20"/>
        <v>2651666</v>
      </c>
    </row>
    <row r="386" spans="1:17" ht="33.6">
      <c r="A386" s="1622" t="s">
        <v>7479</v>
      </c>
      <c r="B386" s="1465" t="s">
        <v>5243</v>
      </c>
      <c r="C386" s="364" t="s">
        <v>5191</v>
      </c>
      <c r="D386" s="1610">
        <v>9</v>
      </c>
      <c r="E386" s="1659">
        <f>+'PTAP TIJERETAS'!E380</f>
        <v>147314.754132</v>
      </c>
      <c r="F386" s="2370">
        <f t="shared" si="20"/>
        <v>1325833</v>
      </c>
    </row>
    <row r="387" spans="1:17" ht="16.8">
      <c r="A387" s="1622" t="s">
        <v>7480</v>
      </c>
      <c r="B387" s="1465" t="s">
        <v>5177</v>
      </c>
      <c r="C387" s="364" t="s">
        <v>5191</v>
      </c>
      <c r="D387" s="1610">
        <v>8</v>
      </c>
      <c r="E387" s="1659">
        <f>+'PTAP TIJERETAS'!E381</f>
        <v>137318.3607432</v>
      </c>
      <c r="F387" s="2370">
        <f t="shared" si="20"/>
        <v>1098547</v>
      </c>
    </row>
    <row r="388" spans="1:17" ht="16.8">
      <c r="A388" s="1594">
        <v>51</v>
      </c>
      <c r="B388" s="1595" t="s">
        <v>5537</v>
      </c>
      <c r="C388" s="1594"/>
      <c r="D388" s="1596"/>
      <c r="E388" s="1597"/>
      <c r="F388" s="2223">
        <f>SUM(F389)</f>
        <v>1604199</v>
      </c>
    </row>
    <row r="389" spans="1:17" ht="151.19999999999999">
      <c r="A389" s="1622" t="s">
        <v>7481</v>
      </c>
      <c r="B389" s="1618" t="s">
        <v>5244</v>
      </c>
      <c r="C389" s="1599" t="s">
        <v>5191</v>
      </c>
      <c r="D389" s="1471">
        <v>1</v>
      </c>
      <c r="E389" s="1659">
        <f>+'PTAP TIJERETAS'!E383</f>
        <v>1604198.9053287501</v>
      </c>
      <c r="F389" s="2370">
        <f t="shared" si="20"/>
        <v>1604199</v>
      </c>
    </row>
    <row r="390" spans="1:17" ht="16.8">
      <c r="A390" s="1594">
        <v>52</v>
      </c>
      <c r="B390" s="1595" t="s">
        <v>5538</v>
      </c>
      <c r="C390" s="1594"/>
      <c r="D390" s="1596"/>
      <c r="E390" s="1597"/>
      <c r="F390" s="2223">
        <f>SUM(F391)</f>
        <v>6810000</v>
      </c>
    </row>
    <row r="391" spans="1:17" s="1717" customFormat="1" ht="16.8">
      <c r="A391" s="1622" t="s">
        <v>7482</v>
      </c>
      <c r="B391" s="2982" t="s">
        <v>5189</v>
      </c>
      <c r="C391" s="1599" t="s">
        <v>5076</v>
      </c>
      <c r="D391" s="1610">
        <v>1</v>
      </c>
      <c r="E391" s="2981">
        <f>+'PTAP TIJERETAS'!E385</f>
        <v>6810000</v>
      </c>
      <c r="F391" s="2674">
        <f t="shared" si="20"/>
        <v>6810000</v>
      </c>
      <c r="G391" s="2354"/>
      <c r="K391" s="1733"/>
      <c r="L391" s="1733"/>
      <c r="M391" s="1733"/>
    </row>
    <row r="392" spans="1:17" ht="16.8">
      <c r="A392" s="1594">
        <v>53</v>
      </c>
      <c r="B392" s="1595" t="s">
        <v>5657</v>
      </c>
      <c r="C392" s="1594"/>
      <c r="D392" s="1596"/>
      <c r="E392" s="1597"/>
      <c r="F392" s="2223">
        <f>SUM(F393:F395)</f>
        <v>3780000</v>
      </c>
    </row>
    <row r="393" spans="1:17" s="1717" customFormat="1" ht="117.6">
      <c r="A393" s="1622" t="s">
        <v>7483</v>
      </c>
      <c r="B393" s="349" t="s">
        <v>6228</v>
      </c>
      <c r="C393" s="1635" t="s">
        <v>5191</v>
      </c>
      <c r="D393" s="1635">
        <v>2</v>
      </c>
      <c r="E393" s="1659">
        <f>+'PTAP TIJERETAS'!E387</f>
        <v>630000</v>
      </c>
      <c r="F393" s="2370">
        <f t="shared" si="20"/>
        <v>1260000</v>
      </c>
      <c r="G393" s="2354"/>
      <c r="K393" s="1733"/>
      <c r="L393" s="1733"/>
      <c r="M393" s="1733"/>
    </row>
    <row r="394" spans="1:17" s="1717" customFormat="1" ht="102.75" customHeight="1">
      <c r="A394" s="1622" t="s">
        <v>7484</v>
      </c>
      <c r="B394" s="349" t="s">
        <v>6232</v>
      </c>
      <c r="C394" s="1635" t="s">
        <v>5191</v>
      </c>
      <c r="D394" s="1635">
        <v>2</v>
      </c>
      <c r="E394" s="1659">
        <f>+'PTAP TIJERETAS'!E388</f>
        <v>630000</v>
      </c>
      <c r="F394" s="2370">
        <f t="shared" si="20"/>
        <v>1260000</v>
      </c>
      <c r="G394" s="2354"/>
      <c r="K394" s="1733"/>
      <c r="L394" s="1733"/>
      <c r="M394" s="1733"/>
    </row>
    <row r="395" spans="1:17" s="61" customFormat="1" ht="114" customHeight="1">
      <c r="A395" s="1622" t="s">
        <v>7485</v>
      </c>
      <c r="B395" s="349" t="s">
        <v>6308</v>
      </c>
      <c r="C395" s="3020" t="s">
        <v>5191</v>
      </c>
      <c r="D395" s="3020">
        <v>2</v>
      </c>
      <c r="E395" s="1659">
        <f>+'PTAP TIJERETAS'!E389</f>
        <v>630000</v>
      </c>
      <c r="F395" s="2370">
        <f t="shared" si="20"/>
        <v>1260000</v>
      </c>
      <c r="G395" s="95"/>
      <c r="K395" s="2739"/>
      <c r="L395" s="2739"/>
      <c r="M395" s="2739"/>
    </row>
    <row r="396" spans="1:17" s="1623" customFormat="1" ht="16.8">
      <c r="A396" s="3354" t="s">
        <v>5749</v>
      </c>
      <c r="B396" s="3354"/>
      <c r="C396" s="3354"/>
      <c r="D396" s="3354"/>
      <c r="E396" s="3354"/>
      <c r="F396" s="3354"/>
      <c r="G396" s="2349"/>
      <c r="H396" s="2342"/>
      <c r="I396" s="1625"/>
      <c r="J396" s="1625"/>
      <c r="K396" s="1706"/>
      <c r="L396" s="1706"/>
      <c r="M396" s="1625"/>
      <c r="N396" s="1625"/>
      <c r="O396" s="1625"/>
      <c r="P396" s="1625"/>
      <c r="Q396" s="1625"/>
    </row>
    <row r="397" spans="1:17" s="1623" customFormat="1" ht="16.8">
      <c r="A397" s="1594">
        <v>54</v>
      </c>
      <c r="B397" s="1613" t="s">
        <v>1127</v>
      </c>
      <c r="C397" s="1647"/>
      <c r="D397" s="1647"/>
      <c r="E397" s="1647" t="s">
        <v>1158</v>
      </c>
      <c r="F397" s="2225">
        <f>SUM(F398:F415)</f>
        <v>4222464</v>
      </c>
      <c r="G397" s="2978">
        <f>+F397</f>
        <v>4222464</v>
      </c>
      <c r="H397" s="1625" t="s">
        <v>8225</v>
      </c>
      <c r="I397" s="1625"/>
      <c r="J397" s="1625"/>
      <c r="K397" s="1706"/>
      <c r="L397" s="1706"/>
      <c r="M397" s="1625"/>
      <c r="N397" s="1625"/>
      <c r="O397" s="1625"/>
      <c r="P397" s="1625"/>
      <c r="Q397" s="1625"/>
    </row>
    <row r="398" spans="1:17" s="1623" customFormat="1" ht="16.8">
      <c r="A398" s="2221" t="s">
        <v>7487</v>
      </c>
      <c r="B398" s="1618" t="s">
        <v>4407</v>
      </c>
      <c r="C398" s="364" t="s">
        <v>427</v>
      </c>
      <c r="D398" s="1639">
        <v>2</v>
      </c>
      <c r="E398" s="1637">
        <f>+'PTAP TIJERETAS'!E450</f>
        <v>52180.977082416</v>
      </c>
      <c r="F398" s="1648">
        <f t="shared" ref="F398:F415" si="21">ROUND((+E398*D398),0)</f>
        <v>104362</v>
      </c>
      <c r="G398" s="2800">
        <f>+'PTAP TIJERETAS'!H449</f>
        <v>4222464</v>
      </c>
      <c r="I398" s="1625"/>
      <c r="J398" s="1625"/>
      <c r="K398" s="1706"/>
      <c r="L398" s="1706"/>
      <c r="M398" s="1625"/>
      <c r="N398" s="1625"/>
      <c r="O398" s="1625"/>
      <c r="P398" s="1625"/>
      <c r="Q398" s="1625"/>
    </row>
    <row r="399" spans="1:17" s="1623" customFormat="1" ht="16.8">
      <c r="A399" s="2221" t="s">
        <v>7488</v>
      </c>
      <c r="B399" s="1618" t="s">
        <v>4408</v>
      </c>
      <c r="C399" s="364" t="s">
        <v>427</v>
      </c>
      <c r="D399" s="1639">
        <v>2</v>
      </c>
      <c r="E399" s="1637">
        <f>+'PTAP TIJERETAS'!E451</f>
        <v>96701.948368746002</v>
      </c>
      <c r="F399" s="1648">
        <f t="shared" si="21"/>
        <v>193404</v>
      </c>
      <c r="G399" s="1704"/>
      <c r="H399" s="1625"/>
      <c r="I399" s="1625"/>
      <c r="J399" s="1625"/>
      <c r="K399" s="1706"/>
      <c r="L399" s="1706"/>
      <c r="M399" s="1625"/>
      <c r="N399" s="1625"/>
      <c r="O399" s="1625"/>
      <c r="P399" s="1625"/>
      <c r="Q399" s="1625"/>
    </row>
    <row r="400" spans="1:17" s="1623" customFormat="1" ht="16.8">
      <c r="A400" s="2221" t="s">
        <v>7489</v>
      </c>
      <c r="B400" s="1618" t="s">
        <v>4411</v>
      </c>
      <c r="C400" s="364" t="s">
        <v>427</v>
      </c>
      <c r="D400" s="1639">
        <v>5</v>
      </c>
      <c r="E400" s="1637">
        <f>+'PTAP TIJERETAS'!E452</f>
        <v>94750</v>
      </c>
      <c r="F400" s="1648">
        <f t="shared" si="21"/>
        <v>473750</v>
      </c>
      <c r="G400" s="1704"/>
      <c r="H400" s="1625"/>
      <c r="I400" s="1625"/>
      <c r="J400" s="1625"/>
      <c r="K400" s="1706"/>
      <c r="L400" s="1706"/>
      <c r="M400" s="1625"/>
      <c r="N400" s="1625"/>
      <c r="O400" s="1625"/>
      <c r="P400" s="1625"/>
      <c r="Q400" s="1625"/>
    </row>
    <row r="401" spans="1:17" s="1623" customFormat="1" ht="16.8">
      <c r="A401" s="2221" t="s">
        <v>7490</v>
      </c>
      <c r="B401" s="1618" t="s">
        <v>4412</v>
      </c>
      <c r="C401" s="364" t="s">
        <v>427</v>
      </c>
      <c r="D401" s="1639">
        <v>2</v>
      </c>
      <c r="E401" s="1637">
        <f>+'PTAP TIJERETAS'!E453</f>
        <v>97731.836074320003</v>
      </c>
      <c r="F401" s="1648">
        <f t="shared" si="21"/>
        <v>195464</v>
      </c>
      <c r="G401" s="1704"/>
      <c r="H401" s="1625"/>
      <c r="I401" s="1625"/>
      <c r="J401" s="1625"/>
      <c r="K401" s="1706"/>
      <c r="L401" s="1706"/>
      <c r="M401" s="1625"/>
      <c r="N401" s="1625"/>
      <c r="O401" s="1625"/>
      <c r="P401" s="1625"/>
      <c r="Q401" s="1625"/>
    </row>
    <row r="402" spans="1:17" s="1623" customFormat="1" ht="16.8">
      <c r="A402" s="2221" t="s">
        <v>7491</v>
      </c>
      <c r="B402" s="1618" t="s">
        <v>4413</v>
      </c>
      <c r="C402" s="364" t="s">
        <v>427</v>
      </c>
      <c r="D402" s="1639">
        <v>2</v>
      </c>
      <c r="E402" s="1637">
        <f>+'PTAP TIJERETAS'!E454</f>
        <v>69463.672148639991</v>
      </c>
      <c r="F402" s="1648">
        <f t="shared" si="21"/>
        <v>138927</v>
      </c>
      <c r="G402" s="1704"/>
      <c r="H402" s="1625"/>
      <c r="I402" s="1625"/>
      <c r="J402" s="1625"/>
      <c r="K402" s="1706"/>
      <c r="L402" s="1706"/>
      <c r="M402" s="1625"/>
      <c r="N402" s="1625"/>
      <c r="O402" s="1625"/>
      <c r="P402" s="1625"/>
      <c r="Q402" s="1625"/>
    </row>
    <row r="403" spans="1:17" s="1623" customFormat="1" ht="16.8">
      <c r="A403" s="2221" t="s">
        <v>7492</v>
      </c>
      <c r="B403" s="1618" t="s">
        <v>4414</v>
      </c>
      <c r="C403" s="364" t="s">
        <v>427</v>
      </c>
      <c r="D403" s="1639">
        <v>2</v>
      </c>
      <c r="E403" s="1637">
        <f>+'PTAP TIJERETAS'!E455</f>
        <v>102989</v>
      </c>
      <c r="F403" s="1648">
        <f t="shared" si="21"/>
        <v>205978</v>
      </c>
      <c r="G403" s="1704"/>
      <c r="H403" s="1625"/>
      <c r="I403" s="1625"/>
      <c r="J403" s="1625"/>
      <c r="K403" s="1706"/>
      <c r="L403" s="1706"/>
      <c r="M403" s="1625"/>
      <c r="N403" s="1625"/>
      <c r="O403" s="1625"/>
      <c r="P403" s="1625"/>
      <c r="Q403" s="1625"/>
    </row>
    <row r="404" spans="1:17" s="1623" customFormat="1" ht="16.8">
      <c r="A404" s="2221" t="s">
        <v>7493</v>
      </c>
      <c r="B404" s="1618" t="s">
        <v>4415</v>
      </c>
      <c r="C404" s="364" t="s">
        <v>427</v>
      </c>
      <c r="D404" s="1639">
        <v>2</v>
      </c>
      <c r="E404" s="1637">
        <f>+'PTAP TIJERETAS'!E456</f>
        <v>98869</v>
      </c>
      <c r="F404" s="1648">
        <f t="shared" si="21"/>
        <v>197738</v>
      </c>
      <c r="G404" s="1704"/>
      <c r="H404" s="1625"/>
      <c r="I404" s="1625"/>
      <c r="J404" s="1625"/>
      <c r="K404" s="1706"/>
      <c r="L404" s="1706"/>
      <c r="M404" s="1625"/>
      <c r="N404" s="1625"/>
      <c r="O404" s="1625"/>
      <c r="P404" s="1625"/>
      <c r="Q404" s="1625"/>
    </row>
    <row r="405" spans="1:17" s="1623" customFormat="1" ht="16.8">
      <c r="A405" s="2221" t="s">
        <v>7494</v>
      </c>
      <c r="B405" s="1618" t="s">
        <v>4416</v>
      </c>
      <c r="C405" s="364" t="s">
        <v>427</v>
      </c>
      <c r="D405" s="1639">
        <v>2</v>
      </c>
      <c r="E405" s="1637">
        <f>+'PTAP TIJERETAS'!E457</f>
        <v>69463.672148639991</v>
      </c>
      <c r="F405" s="1648">
        <f t="shared" si="21"/>
        <v>138927</v>
      </c>
      <c r="G405" s="1704"/>
      <c r="H405" s="1625"/>
      <c r="I405" s="1625"/>
      <c r="J405" s="1625"/>
      <c r="K405" s="1706"/>
      <c r="L405" s="1706"/>
      <c r="M405" s="1625"/>
      <c r="N405" s="1625"/>
      <c r="O405" s="1625"/>
      <c r="P405" s="1625"/>
      <c r="Q405" s="1625"/>
    </row>
    <row r="406" spans="1:17" s="1623" customFormat="1" ht="16.8">
      <c r="A406" s="2221" t="s">
        <v>7495</v>
      </c>
      <c r="B406" s="1618" t="s">
        <v>4417</v>
      </c>
      <c r="C406" s="364" t="s">
        <v>427</v>
      </c>
      <c r="D406" s="1639">
        <v>2</v>
      </c>
      <c r="E406" s="1637">
        <f>+'PTAP TIJERETAS'!E458</f>
        <v>69463.672148639991</v>
      </c>
      <c r="F406" s="1648">
        <f t="shared" si="21"/>
        <v>138927</v>
      </c>
      <c r="G406" s="1704"/>
      <c r="H406" s="1625"/>
      <c r="I406" s="1625"/>
      <c r="J406" s="1625"/>
      <c r="K406" s="1706"/>
      <c r="L406" s="1706"/>
      <c r="M406" s="1625"/>
      <c r="N406" s="1625"/>
      <c r="O406" s="1625"/>
      <c r="P406" s="1625"/>
      <c r="Q406" s="1625"/>
    </row>
    <row r="407" spans="1:17" s="1623" customFormat="1" ht="16.8">
      <c r="A407" s="2221" t="s">
        <v>7496</v>
      </c>
      <c r="B407" s="1618" t="s">
        <v>4418</v>
      </c>
      <c r="C407" s="364" t="s">
        <v>427</v>
      </c>
      <c r="D407" s="1639">
        <v>2</v>
      </c>
      <c r="E407" s="1637">
        <f>+'PTAP TIJERETAS'!E459</f>
        <v>74293.362334439997</v>
      </c>
      <c r="F407" s="1648">
        <f t="shared" si="21"/>
        <v>148587</v>
      </c>
      <c r="G407" s="1704"/>
      <c r="H407" s="1625"/>
      <c r="I407" s="1625"/>
      <c r="J407" s="1625"/>
      <c r="K407" s="1706"/>
      <c r="L407" s="1706"/>
      <c r="M407" s="1625"/>
      <c r="N407" s="1625"/>
      <c r="O407" s="1625"/>
      <c r="P407" s="1625"/>
      <c r="Q407" s="1625"/>
    </row>
    <row r="408" spans="1:17" s="1623" customFormat="1" ht="33.6">
      <c r="A408" s="2221" t="s">
        <v>7497</v>
      </c>
      <c r="B408" s="1618" t="s">
        <v>4419</v>
      </c>
      <c r="C408" s="364" t="s">
        <v>427</v>
      </c>
      <c r="D408" s="1639">
        <v>2</v>
      </c>
      <c r="E408" s="1637">
        <f>+'PTAP TIJERETAS'!E460</f>
        <v>339718.65756071999</v>
      </c>
      <c r="F408" s="1648">
        <f t="shared" si="21"/>
        <v>679437</v>
      </c>
      <c r="G408" s="1704"/>
      <c r="H408" s="1625"/>
      <c r="I408" s="1625"/>
      <c r="J408" s="1625"/>
      <c r="K408" s="1706"/>
      <c r="L408" s="1706"/>
      <c r="M408" s="1625"/>
      <c r="N408" s="1625"/>
      <c r="O408" s="1625"/>
      <c r="P408" s="1625"/>
      <c r="Q408" s="1625"/>
    </row>
    <row r="409" spans="1:17" s="1623" customFormat="1" ht="16.8">
      <c r="A409" s="2221" t="s">
        <v>7498</v>
      </c>
      <c r="B409" s="1618" t="s">
        <v>4420</v>
      </c>
      <c r="C409" s="364" t="s">
        <v>427</v>
      </c>
      <c r="D409" s="1639">
        <v>4</v>
      </c>
      <c r="E409" s="1637">
        <f>+'PTAP TIJERETAS'!E461</f>
        <v>163609.27878036001</v>
      </c>
      <c r="F409" s="1648">
        <f t="shared" si="21"/>
        <v>654437</v>
      </c>
      <c r="G409" s="1704"/>
      <c r="H409" s="1625"/>
      <c r="I409" s="1625"/>
      <c r="J409" s="1625"/>
      <c r="K409" s="1706"/>
      <c r="L409" s="1706"/>
      <c r="M409" s="1625"/>
      <c r="N409" s="1625"/>
      <c r="O409" s="1625"/>
      <c r="P409" s="1625"/>
      <c r="Q409" s="1625"/>
    </row>
    <row r="410" spans="1:17" s="1623" customFormat="1" ht="16.8">
      <c r="A410" s="2221" t="s">
        <v>7499</v>
      </c>
      <c r="B410" s="1618" t="s">
        <v>4421</v>
      </c>
      <c r="C410" s="364" t="s">
        <v>427</v>
      </c>
      <c r="D410" s="1639">
        <v>2</v>
      </c>
      <c r="E410" s="1637">
        <f>+'PTAP TIJERETAS'!E462</f>
        <v>68659.180371599999</v>
      </c>
      <c r="F410" s="1648">
        <f t="shared" si="21"/>
        <v>137318</v>
      </c>
      <c r="G410" s="1704"/>
      <c r="H410" s="1625"/>
      <c r="I410" s="1625"/>
      <c r="J410" s="1625"/>
      <c r="K410" s="1706"/>
      <c r="L410" s="1706"/>
      <c r="M410" s="1625"/>
      <c r="N410" s="1625"/>
      <c r="O410" s="1625"/>
      <c r="P410" s="1625"/>
      <c r="Q410" s="1625"/>
    </row>
    <row r="411" spans="1:17" s="1623" customFormat="1" ht="16.8">
      <c r="A411" s="2221" t="s">
        <v>7500</v>
      </c>
      <c r="B411" s="1618" t="s">
        <v>4422</v>
      </c>
      <c r="C411" s="364" t="s">
        <v>427</v>
      </c>
      <c r="D411" s="1639">
        <v>1</v>
      </c>
      <c r="E411" s="1637">
        <f>+'PTAP TIJERETAS'!E463</f>
        <v>64657.529522628007</v>
      </c>
      <c r="F411" s="1648">
        <f t="shared" si="21"/>
        <v>64658</v>
      </c>
      <c r="G411" s="1704"/>
      <c r="H411" s="1625"/>
      <c r="I411" s="1625"/>
      <c r="J411" s="1625"/>
      <c r="K411" s="1706"/>
      <c r="L411" s="1706"/>
      <c r="M411" s="1625"/>
      <c r="N411" s="1625"/>
      <c r="O411" s="1625"/>
      <c r="P411" s="1625"/>
      <c r="Q411" s="1625"/>
    </row>
    <row r="412" spans="1:17" s="1623" customFormat="1" ht="16.8">
      <c r="A412" s="2221" t="s">
        <v>7501</v>
      </c>
      <c r="B412" s="1618" t="s">
        <v>4423</v>
      </c>
      <c r="C412" s="364" t="s">
        <v>427</v>
      </c>
      <c r="D412" s="1639">
        <v>5</v>
      </c>
      <c r="E412" s="1637">
        <f>+'PTAP TIJERETAS'!E464</f>
        <v>96701.948368746002</v>
      </c>
      <c r="F412" s="1648">
        <f t="shared" si="21"/>
        <v>483510</v>
      </c>
      <c r="G412" s="1704"/>
      <c r="H412" s="1625"/>
      <c r="I412" s="1625"/>
      <c r="J412" s="1625"/>
      <c r="K412" s="1706"/>
      <c r="L412" s="1706"/>
      <c r="M412" s="1625"/>
      <c r="N412" s="1625"/>
      <c r="O412" s="1625"/>
      <c r="P412" s="1625"/>
      <c r="Q412" s="1625"/>
    </row>
    <row r="413" spans="1:17" s="1623" customFormat="1" ht="16.8">
      <c r="A413" s="2221" t="s">
        <v>7502</v>
      </c>
      <c r="B413" s="1618" t="s">
        <v>4424</v>
      </c>
      <c r="C413" s="364" t="s">
        <v>427</v>
      </c>
      <c r="D413" s="1639">
        <v>1</v>
      </c>
      <c r="E413" s="1637">
        <f>+'PTAP TIJERETAS'!E465</f>
        <v>95672.060663172</v>
      </c>
      <c r="F413" s="1648">
        <f t="shared" si="21"/>
        <v>95672</v>
      </c>
      <c r="G413" s="1704"/>
      <c r="H413" s="1625"/>
      <c r="I413" s="1625"/>
      <c r="J413" s="1625"/>
      <c r="K413" s="1706"/>
      <c r="L413" s="1706"/>
      <c r="M413" s="1625"/>
      <c r="N413" s="1625"/>
      <c r="O413" s="1625"/>
      <c r="P413" s="1625"/>
      <c r="Q413" s="1625"/>
    </row>
    <row r="414" spans="1:17" s="1623" customFormat="1" ht="16.8">
      <c r="A414" s="2221" t="s">
        <v>7503</v>
      </c>
      <c r="B414" s="1618" t="s">
        <v>4527</v>
      </c>
      <c r="C414" s="364" t="s">
        <v>427</v>
      </c>
      <c r="D414" s="1639">
        <v>1</v>
      </c>
      <c r="E414" s="1637">
        <f>+'PTAP TIJERETAS'!E466</f>
        <v>129079.25909860797</v>
      </c>
      <c r="F414" s="1648">
        <f t="shared" si="21"/>
        <v>129079</v>
      </c>
      <c r="G414" s="1704"/>
      <c r="H414" s="1625"/>
      <c r="I414" s="1625"/>
      <c r="J414" s="1625"/>
      <c r="K414" s="1706"/>
      <c r="L414" s="1706"/>
      <c r="M414" s="1625"/>
      <c r="N414" s="1625"/>
      <c r="O414" s="1625"/>
      <c r="P414" s="1625"/>
      <c r="Q414" s="1625"/>
    </row>
    <row r="415" spans="1:17" s="1623" customFormat="1" ht="15.75" customHeight="1" thickBot="1">
      <c r="A415" s="2221" t="s">
        <v>7504</v>
      </c>
      <c r="B415" s="1618" t="s">
        <v>4528</v>
      </c>
      <c r="C415" s="364" t="s">
        <v>427</v>
      </c>
      <c r="D415" s="1639">
        <v>1</v>
      </c>
      <c r="E415" s="1637">
        <f>+'PTAP TIJERETAS'!E467</f>
        <v>42288.581996041408</v>
      </c>
      <c r="F415" s="1648">
        <f t="shared" si="21"/>
        <v>42289</v>
      </c>
      <c r="G415" s="1704"/>
      <c r="H415" s="1625"/>
      <c r="I415" s="1625"/>
      <c r="J415" s="1625"/>
      <c r="K415" s="1706"/>
      <c r="L415" s="1706"/>
      <c r="M415" s="1625"/>
      <c r="N415" s="1625"/>
      <c r="O415" s="1625"/>
      <c r="P415" s="1625"/>
      <c r="Q415" s="1625"/>
    </row>
    <row r="416" spans="1:17" ht="16.8">
      <c r="A416" s="3355" t="s">
        <v>5708</v>
      </c>
      <c r="B416" s="3335"/>
      <c r="C416" s="3335"/>
      <c r="D416" s="3335"/>
      <c r="E416" s="3335"/>
      <c r="F416" s="3336"/>
    </row>
    <row r="417" spans="1:17" ht="33.6">
      <c r="A417" s="1590" t="s">
        <v>22</v>
      </c>
      <c r="B417" s="1591" t="s">
        <v>23</v>
      </c>
      <c r="C417" s="1591" t="s">
        <v>150</v>
      </c>
      <c r="D417" s="1592" t="s">
        <v>539</v>
      </c>
      <c r="E417" s="1593" t="s">
        <v>151</v>
      </c>
      <c r="F417" s="1593" t="s">
        <v>540</v>
      </c>
    </row>
    <row r="418" spans="1:17" s="1623" customFormat="1" ht="15" customHeight="1">
      <c r="A418" s="1624" t="s">
        <v>1081</v>
      </c>
      <c r="B418" s="3342" t="s">
        <v>7486</v>
      </c>
      <c r="C418" s="3343"/>
      <c r="D418" s="3343"/>
      <c r="E418" s="3343"/>
      <c r="F418" s="3344"/>
      <c r="G418" s="1705"/>
      <c r="H418" s="1625"/>
      <c r="I418" s="1625"/>
      <c r="J418" s="1625"/>
      <c r="K418" s="1706"/>
      <c r="L418" s="1706"/>
      <c r="M418" s="1625"/>
      <c r="N418" s="1625"/>
      <c r="O418" s="1625"/>
      <c r="P418" s="1625"/>
      <c r="Q418" s="1625"/>
    </row>
    <row r="419" spans="1:17" s="1721" customFormat="1" ht="20.100000000000001" customHeight="1">
      <c r="A419" s="1718"/>
      <c r="B419" s="1666" t="s">
        <v>1082</v>
      </c>
      <c r="C419" s="1667"/>
      <c r="D419" s="1667"/>
      <c r="E419" s="1667"/>
      <c r="F419" s="1668"/>
      <c r="G419" s="2345"/>
      <c r="H419" s="2340" t="e">
        <f>+F420+F422+F429+F438+F448+F446</f>
        <v>#REF!</v>
      </c>
      <c r="I419" s="1721" t="s">
        <v>8225</v>
      </c>
      <c r="K419" s="2666"/>
      <c r="L419" s="2666"/>
      <c r="M419" s="2666"/>
    </row>
    <row r="420" spans="1:17" s="1721" customFormat="1" ht="20.100000000000001" customHeight="1">
      <c r="A420" s="1722">
        <v>55</v>
      </c>
      <c r="B420" s="1629" t="s">
        <v>1083</v>
      </c>
      <c r="C420" s="1723"/>
      <c r="D420" s="1630"/>
      <c r="E420" s="1724"/>
      <c r="F420" s="2225">
        <f>+F421</f>
        <v>24723110</v>
      </c>
      <c r="G420" s="2357"/>
      <c r="H420" s="2402">
        <f>+'LINEAS IMPULSIÓN-CONDUCCIÓN'!F123</f>
        <v>1146701883</v>
      </c>
      <c r="K420" s="2666"/>
      <c r="L420" s="2666"/>
      <c r="M420" s="2666"/>
    </row>
    <row r="421" spans="1:17" s="1623" customFormat="1" ht="16.8">
      <c r="A421" s="1617" t="s">
        <v>7505</v>
      </c>
      <c r="B421" s="1631" t="s">
        <v>1086</v>
      </c>
      <c r="C421" s="1632" t="s">
        <v>1002</v>
      </c>
      <c r="D421" s="1633">
        <f>+'LINEAS IMPULSIÓN-CONDUCCIÓN'!D81</f>
        <v>10493.68</v>
      </c>
      <c r="E421" s="1634">
        <f>+'LINEAS IMPULSIÓN-CONDUCCIÓN'!E81</f>
        <v>2356</v>
      </c>
      <c r="F421" s="1634">
        <f>ROUND(+E421*D421,0)</f>
        <v>24723110</v>
      </c>
      <c r="G421" s="2347"/>
    </row>
    <row r="422" spans="1:17" s="1623" customFormat="1" ht="16.8">
      <c r="A422" s="1722">
        <v>56</v>
      </c>
      <c r="B422" s="1629" t="s">
        <v>1087</v>
      </c>
      <c r="C422" s="1723"/>
      <c r="D422" s="1630"/>
      <c r="E422" s="1724"/>
      <c r="F422" s="2225">
        <f>SUM(F423:F428)</f>
        <v>25524375</v>
      </c>
      <c r="G422" s="2348"/>
    </row>
    <row r="423" spans="1:17" s="1623" customFormat="1" ht="16.8">
      <c r="A423" s="1635" t="s">
        <v>7506</v>
      </c>
      <c r="B423" s="1618" t="s">
        <v>1088</v>
      </c>
      <c r="C423" s="1635" t="s">
        <v>356</v>
      </c>
      <c r="D423" s="1633">
        <f>+'LINEAS IMPULSIÓN-CONDUCCIÓN'!D83</f>
        <v>82.2</v>
      </c>
      <c r="E423" s="1634">
        <f>+'LINEAS IMPULSIÓN-CONDUCCIÓN'!E83</f>
        <v>51559</v>
      </c>
      <c r="F423" s="1637">
        <f t="shared" ref="F423:F428" si="22">+ROUND(E423*D423,0)</f>
        <v>4238150</v>
      </c>
      <c r="G423" s="2349"/>
    </row>
    <row r="424" spans="1:17" s="1623" customFormat="1" ht="16.8">
      <c r="A424" s="1635" t="s">
        <v>7507</v>
      </c>
      <c r="B424" s="1638" t="s">
        <v>1108</v>
      </c>
      <c r="C424" s="1635" t="s">
        <v>94</v>
      </c>
      <c r="D424" s="1633">
        <f>+'LINEAS IMPULSIÓN-CONDUCCIÓN'!D84</f>
        <v>1370.8</v>
      </c>
      <c r="E424" s="1634">
        <f>+'LINEAS IMPULSIÓN-CONDUCCIÓN'!E84</f>
        <v>5176</v>
      </c>
      <c r="F424" s="1637">
        <f t="shared" si="22"/>
        <v>7095261</v>
      </c>
      <c r="G424" s="2349"/>
    </row>
    <row r="425" spans="1:17" s="1623" customFormat="1" ht="16.8">
      <c r="A425" s="1635" t="s">
        <v>7508</v>
      </c>
      <c r="B425" s="1638" t="s">
        <v>1089</v>
      </c>
      <c r="C425" s="1635" t="s">
        <v>94</v>
      </c>
      <c r="D425" s="1633">
        <f>+'LINEAS IMPULSIÓN-CONDUCCIÓN'!D85</f>
        <v>92.3</v>
      </c>
      <c r="E425" s="1634">
        <f>+'LINEAS IMPULSIÓN-CONDUCCIÓN'!E85</f>
        <v>11371.692038071427</v>
      </c>
      <c r="F425" s="1637">
        <f t="shared" si="22"/>
        <v>1049607</v>
      </c>
      <c r="G425" s="2349"/>
    </row>
    <row r="426" spans="1:17" s="1623" customFormat="1" ht="16.8">
      <c r="A426" s="1635" t="s">
        <v>7509</v>
      </c>
      <c r="B426" s="1638" t="s">
        <v>1090</v>
      </c>
      <c r="C426" s="1635" t="s">
        <v>94</v>
      </c>
      <c r="D426" s="1633">
        <f>+'LINEAS IMPULSIÓN-CONDUCCIÓN'!D86</f>
        <v>1269.51</v>
      </c>
      <c r="E426" s="1634">
        <f>+'LINEAS IMPULSIÓN-CONDUCCIÓN'!E86</f>
        <v>9950.2305333125005</v>
      </c>
      <c r="F426" s="1637">
        <f t="shared" si="22"/>
        <v>12631917</v>
      </c>
      <c r="G426" s="2349"/>
    </row>
    <row r="427" spans="1:17" s="1623" customFormat="1" ht="16.8">
      <c r="A427" s="1635" t="s">
        <v>7510</v>
      </c>
      <c r="B427" s="1638" t="s">
        <v>1091</v>
      </c>
      <c r="C427" s="1635" t="s">
        <v>356</v>
      </c>
      <c r="D427" s="1633">
        <f>+'LINEAS IMPULSIÓN-CONDUCCIÓN'!D87</f>
        <v>9</v>
      </c>
      <c r="E427" s="1634">
        <f>+'LINEAS IMPULSIÓN-CONDUCCIÓN'!E87</f>
        <v>50708.052078235298</v>
      </c>
      <c r="F427" s="1637">
        <f t="shared" si="22"/>
        <v>456372</v>
      </c>
      <c r="G427" s="2349"/>
    </row>
    <row r="428" spans="1:17" s="1623" customFormat="1" ht="16.8">
      <c r="A428" s="1635" t="s">
        <v>7511</v>
      </c>
      <c r="B428" s="1638" t="s">
        <v>1129</v>
      </c>
      <c r="C428" s="1635" t="s">
        <v>356</v>
      </c>
      <c r="D428" s="1633">
        <f>+'LINEAS IMPULSIÓN-CONDUCCIÓN'!D88</f>
        <v>1</v>
      </c>
      <c r="E428" s="1634">
        <f>+'LINEAS IMPULSIÓN-CONDUCCIÓN'!E88</f>
        <v>53068</v>
      </c>
      <c r="F428" s="1637">
        <f t="shared" si="22"/>
        <v>53068</v>
      </c>
      <c r="G428" s="2349"/>
    </row>
    <row r="429" spans="1:17" s="1623" customFormat="1" ht="16.8">
      <c r="A429" s="1722">
        <v>57</v>
      </c>
      <c r="B429" s="1629" t="s">
        <v>1104</v>
      </c>
      <c r="C429" s="1723"/>
      <c r="D429" s="1630"/>
      <c r="E429" s="1724"/>
      <c r="F429" s="2225">
        <f>SUM(F430:F437)</f>
        <v>520938851</v>
      </c>
      <c r="G429" s="2349"/>
    </row>
    <row r="430" spans="1:17" s="1623" customFormat="1" ht="24" customHeight="1">
      <c r="A430" s="1617" t="s">
        <v>7512</v>
      </c>
      <c r="B430" s="1618" t="s">
        <v>6287</v>
      </c>
      <c r="C430" s="364" t="s">
        <v>1084</v>
      </c>
      <c r="D430" s="1633">
        <f>+'LINEAS IMPULSIÓN-CONDUCCIÓN'!D90</f>
        <v>7057.3434999999999</v>
      </c>
      <c r="E430" s="1634">
        <f>+'LINEAS IMPULSIÓN-CONDUCCIÓN'!E90</f>
        <v>10000</v>
      </c>
      <c r="F430" s="1637">
        <f>+ROUND(E430*D430,0)</f>
        <v>70573435</v>
      </c>
      <c r="G430" s="2350"/>
      <c r="H430" s="1640"/>
      <c r="I430" s="1640"/>
    </row>
    <row r="431" spans="1:17" s="1623" customFormat="1" ht="17.399999999999999">
      <c r="A431" s="1617" t="s">
        <v>7513</v>
      </c>
      <c r="B431" s="1641" t="s">
        <v>6261</v>
      </c>
      <c r="C431" s="364" t="s">
        <v>1084</v>
      </c>
      <c r="D431" s="1633">
        <f>+'LINEAS IMPULSIÓN-CONDUCCIÓN'!D91</f>
        <v>788.53000000000009</v>
      </c>
      <c r="E431" s="1634">
        <f>+'LINEAS IMPULSIÓN-CONDUCCIÓN'!E91</f>
        <v>23473.224058666663</v>
      </c>
      <c r="F431" s="1637">
        <f>ROUND(+E431*D431,0)</f>
        <v>18509341</v>
      </c>
      <c r="G431" s="2351"/>
      <c r="H431" s="1725"/>
      <c r="I431" s="1640"/>
      <c r="J431" s="3012"/>
      <c r="L431" s="3012"/>
      <c r="M431" s="3012"/>
      <c r="N431" s="3012"/>
      <c r="O431" s="1642"/>
    </row>
    <row r="432" spans="1:17" s="1623" customFormat="1" ht="17.399999999999999">
      <c r="A432" s="1617" t="s">
        <v>7514</v>
      </c>
      <c r="B432" s="1641" t="s">
        <v>6292</v>
      </c>
      <c r="C432" s="1643" t="s">
        <v>1084</v>
      </c>
      <c r="D432" s="1633">
        <f>+'LINEAS IMPULSIÓN-CONDUCCIÓN'!D92</f>
        <v>39.426500000000004</v>
      </c>
      <c r="E432" s="1634">
        <f>+'LINEAS IMPULSIÓN-CONDUCCIÓN'!E92</f>
        <v>75938.251377333334</v>
      </c>
      <c r="F432" s="1637">
        <f t="shared" ref="F432:F437" si="23">+ROUND(E432*D432,0)</f>
        <v>2993979</v>
      </c>
      <c r="G432" s="2352"/>
      <c r="H432" s="1640"/>
      <c r="I432" s="1640"/>
      <c r="J432" s="1644"/>
      <c r="L432" s="1625"/>
      <c r="M432" s="1625"/>
      <c r="N432" s="1625"/>
      <c r="O432" s="1625"/>
      <c r="P432" s="1625"/>
      <c r="Q432" s="1625"/>
    </row>
    <row r="433" spans="1:17" s="1623" customFormat="1" ht="33.6">
      <c r="A433" s="1617" t="s">
        <v>7515</v>
      </c>
      <c r="B433" s="1645" t="s">
        <v>6333</v>
      </c>
      <c r="C433" s="1643" t="s">
        <v>1084</v>
      </c>
      <c r="D433" s="1633">
        <f>+'LINEAS IMPULSIÓN-CONDUCCIÓN'!D93</f>
        <v>2963.299439999998</v>
      </c>
      <c r="E433" s="1634">
        <f>+'LINEAS IMPULSIÓN-CONDUCCIÓN'!E93</f>
        <v>1826.1904761904761</v>
      </c>
      <c r="F433" s="1637">
        <f t="shared" si="23"/>
        <v>5411549</v>
      </c>
      <c r="G433" s="2352"/>
      <c r="H433" s="1640"/>
      <c r="I433" s="1640"/>
      <c r="J433" s="1644"/>
      <c r="L433" s="1625"/>
      <c r="M433" s="1625"/>
      <c r="N433" s="1625"/>
      <c r="O433" s="1625"/>
      <c r="P433" s="1625"/>
      <c r="Q433" s="1625"/>
    </row>
    <row r="434" spans="1:17" s="1623" customFormat="1" ht="50.4">
      <c r="A434" s="1617" t="s">
        <v>7516</v>
      </c>
      <c r="B434" s="1641" t="s">
        <v>5065</v>
      </c>
      <c r="C434" s="1643" t="s">
        <v>1085</v>
      </c>
      <c r="D434" s="1633">
        <f>+'LINEAS IMPULSIÓN-CONDUCCIÓN'!D94</f>
        <v>2649.2499999999991</v>
      </c>
      <c r="E434" s="1634">
        <f>+'LINEAS IMPULSIÓN-CONDUCCIÓN'!E94</f>
        <v>87012</v>
      </c>
      <c r="F434" s="1637">
        <f t="shared" si="23"/>
        <v>230516541</v>
      </c>
      <c r="G434" s="2352"/>
      <c r="H434" s="3012"/>
      <c r="I434" s="1625"/>
      <c r="J434" s="1644"/>
      <c r="K434" s="1625"/>
      <c r="L434" s="1625"/>
      <c r="M434" s="1625"/>
      <c r="N434" s="1625"/>
      <c r="O434" s="1625"/>
      <c r="P434" s="1625"/>
      <c r="Q434" s="1625"/>
    </row>
    <row r="435" spans="1:17" s="1623" customFormat="1" ht="42" customHeight="1">
      <c r="A435" s="1617" t="s">
        <v>7517</v>
      </c>
      <c r="B435" s="1641" t="s">
        <v>1102</v>
      </c>
      <c r="C435" s="364" t="s">
        <v>1085</v>
      </c>
      <c r="D435" s="1633">
        <f>+'LINEAS IMPULSIÓN-CONDUCCIÓN'!D95</f>
        <v>6181.1250000000018</v>
      </c>
      <c r="E435" s="1634">
        <f>+'LINEAS IMPULSIÓN-CONDUCCIÓN'!E95</f>
        <v>12212</v>
      </c>
      <c r="F435" s="1637">
        <f t="shared" si="23"/>
        <v>75483899</v>
      </c>
      <c r="G435" s="2351"/>
      <c r="H435" s="3347"/>
      <c r="I435" s="3347"/>
      <c r="J435" s="3347"/>
      <c r="K435" s="3347"/>
      <c r="L435" s="3347"/>
      <c r="M435" s="3347"/>
      <c r="N435" s="3347"/>
      <c r="O435" s="1642"/>
    </row>
    <row r="436" spans="1:17" s="247" customFormat="1" ht="33.6">
      <c r="A436" s="1617" t="s">
        <v>7518</v>
      </c>
      <c r="B436" s="263" t="s">
        <v>6249</v>
      </c>
      <c r="C436" s="471" t="s">
        <v>1085</v>
      </c>
      <c r="D436" s="1633">
        <f>+'LINEAS IMPULSIÓN-CONDUCCIÓN'!D96</f>
        <v>794.97517000000005</v>
      </c>
      <c r="E436" s="1634">
        <f>+'LINEAS IMPULSIÓN-CONDUCCIÓN'!E96</f>
        <v>88113</v>
      </c>
      <c r="F436" s="1637">
        <f t="shared" si="23"/>
        <v>70047647</v>
      </c>
      <c r="G436" s="249"/>
      <c r="H436" s="3019"/>
      <c r="I436" s="3019"/>
      <c r="J436" s="3019"/>
      <c r="K436" s="3019"/>
      <c r="L436" s="3019"/>
      <c r="M436" s="3019"/>
      <c r="N436" s="3019"/>
      <c r="O436" s="261"/>
    </row>
    <row r="437" spans="1:17" s="1623" customFormat="1" ht="42" customHeight="1">
      <c r="A437" s="1617" t="s">
        <v>7519</v>
      </c>
      <c r="B437" s="1638" t="s">
        <v>5744</v>
      </c>
      <c r="C437" s="364" t="s">
        <v>94</v>
      </c>
      <c r="D437" s="1633">
        <f>+'LINEAS IMPULSIÓN-CONDUCCIÓN'!D97</f>
        <v>20</v>
      </c>
      <c r="E437" s="1634">
        <f>+'LINEAS IMPULSIÓN-CONDUCCIÓN'!E97</f>
        <v>2370123</v>
      </c>
      <c r="F437" s="1637">
        <f t="shared" si="23"/>
        <v>47402460</v>
      </c>
      <c r="G437" s="2351"/>
      <c r="H437" s="3012"/>
      <c r="I437" s="3012"/>
      <c r="J437" s="3012"/>
      <c r="K437" s="3012"/>
      <c r="L437" s="3012"/>
      <c r="M437" s="3012"/>
      <c r="N437" s="3012"/>
      <c r="O437" s="1642"/>
    </row>
    <row r="438" spans="1:17" s="1623" customFormat="1" ht="16.8">
      <c r="A438" s="1594">
        <v>58</v>
      </c>
      <c r="B438" s="1613" t="s">
        <v>1106</v>
      </c>
      <c r="C438" s="1647"/>
      <c r="D438" s="1647"/>
      <c r="E438" s="1647"/>
      <c r="F438" s="2225">
        <f>SUM(F439:F445)</f>
        <v>197103050</v>
      </c>
      <c r="G438" s="2351"/>
      <c r="I438" s="273"/>
      <c r="J438" s="273"/>
      <c r="K438" s="1706"/>
      <c r="L438" s="275"/>
      <c r="M438" s="1625"/>
      <c r="N438" s="1625"/>
      <c r="O438" s="273"/>
      <c r="P438" s="276"/>
      <c r="Q438" s="276"/>
    </row>
    <row r="439" spans="1:17" s="1623" customFormat="1" ht="17.399999999999999">
      <c r="A439" s="1617" t="s">
        <v>7520</v>
      </c>
      <c r="B439" s="1638" t="s">
        <v>1107</v>
      </c>
      <c r="C439" s="1635" t="s">
        <v>1084</v>
      </c>
      <c r="D439" s="1633">
        <f>+'LINEAS IMPULSIÓN-CONDUCCIÓN'!D99</f>
        <v>99.3</v>
      </c>
      <c r="E439" s="1634">
        <f>+'LINEAS IMPULSIÓN-CONDUCCIÓN'!E99</f>
        <v>508061.26403443597</v>
      </c>
      <c r="F439" s="1648">
        <f t="shared" ref="F439:F444" si="24">ROUND((+E439*D439),0)</f>
        <v>50450484</v>
      </c>
      <c r="G439" s="2351"/>
      <c r="I439" s="273"/>
      <c r="J439" s="273"/>
      <c r="K439" s="1706"/>
      <c r="L439" s="275"/>
      <c r="M439" s="1625"/>
      <c r="N439" s="1625"/>
      <c r="O439" s="273"/>
      <c r="P439" s="276"/>
      <c r="Q439" s="276"/>
    </row>
    <row r="440" spans="1:17" s="1623" customFormat="1" ht="33.6">
      <c r="A440" s="1617" t="s">
        <v>7521</v>
      </c>
      <c r="B440" s="1638" t="s">
        <v>1111</v>
      </c>
      <c r="C440" s="1635" t="s">
        <v>1084</v>
      </c>
      <c r="D440" s="1633">
        <f>+'LINEAS IMPULSIÓN-CONDUCCIÓN'!D100</f>
        <v>82.2</v>
      </c>
      <c r="E440" s="1634">
        <f>+'LINEAS IMPULSIÓN-CONDUCCIÓN'!E100</f>
        <v>721312.05156987999</v>
      </c>
      <c r="F440" s="1648">
        <f t="shared" si="24"/>
        <v>59291851</v>
      </c>
      <c r="G440" s="2351"/>
      <c r="I440" s="273"/>
      <c r="J440" s="273"/>
      <c r="K440" s="1706"/>
      <c r="L440" s="275"/>
      <c r="M440" s="1625"/>
      <c r="N440" s="1625"/>
      <c r="O440" s="273"/>
      <c r="P440" s="276"/>
      <c r="Q440" s="276"/>
    </row>
    <row r="441" spans="1:17" s="1623" customFormat="1" ht="16.8">
      <c r="A441" s="1617" t="s">
        <v>7522</v>
      </c>
      <c r="B441" s="1638" t="s">
        <v>1120</v>
      </c>
      <c r="C441" s="1635" t="s">
        <v>94</v>
      </c>
      <c r="D441" s="1633">
        <f>+'LINEAS IMPULSIÓN-CONDUCCIÓN'!D101</f>
        <v>1269.51</v>
      </c>
      <c r="E441" s="1634">
        <f>+'LINEAS IMPULSIÓN-CONDUCCIÓN'!E101</f>
        <v>54299.213951898993</v>
      </c>
      <c r="F441" s="1648">
        <f t="shared" si="24"/>
        <v>68933395</v>
      </c>
      <c r="G441" s="2351"/>
      <c r="I441" s="273"/>
      <c r="J441" s="273"/>
      <c r="K441" s="1706"/>
      <c r="L441" s="275"/>
      <c r="M441" s="1625"/>
      <c r="N441" s="1625"/>
      <c r="O441" s="273"/>
      <c r="P441" s="276"/>
      <c r="Q441" s="276"/>
    </row>
    <row r="442" spans="1:17" s="1623" customFormat="1" ht="16.8">
      <c r="A442" s="1617" t="s">
        <v>7523</v>
      </c>
      <c r="B442" s="1638" t="s">
        <v>1121</v>
      </c>
      <c r="C442" s="1635" t="s">
        <v>94</v>
      </c>
      <c r="D442" s="1633">
        <f>+'LINEAS IMPULSIÓN-CONDUCCIÓN'!D102</f>
        <v>50</v>
      </c>
      <c r="E442" s="1634">
        <f>+'LINEAS IMPULSIÓN-CONDUCCIÓN'!E102</f>
        <v>41838.174079316326</v>
      </c>
      <c r="F442" s="1648">
        <f t="shared" si="24"/>
        <v>2091909</v>
      </c>
      <c r="G442" s="2351"/>
      <c r="I442" s="273"/>
      <c r="J442" s="273"/>
      <c r="K442" s="1706"/>
      <c r="L442" s="275"/>
      <c r="M442" s="1625"/>
      <c r="N442" s="1625"/>
      <c r="O442" s="273"/>
      <c r="P442" s="276"/>
      <c r="Q442" s="276"/>
    </row>
    <row r="443" spans="1:17" s="1623" customFormat="1" ht="50.4">
      <c r="A443" s="1617" t="s">
        <v>7524</v>
      </c>
      <c r="B443" s="1638" t="s">
        <v>1123</v>
      </c>
      <c r="C443" s="1635" t="s">
        <v>1084</v>
      </c>
      <c r="D443" s="1633">
        <f>+'LINEAS IMPULSIÓN-CONDUCCIÓN'!D103</f>
        <v>1.8</v>
      </c>
      <c r="E443" s="1634">
        <f>+'LINEAS IMPULSIÓN-CONDUCCIÓN'!E103</f>
        <v>444652.84510301804</v>
      </c>
      <c r="F443" s="1648">
        <f t="shared" si="24"/>
        <v>800375</v>
      </c>
      <c r="G443" s="2351"/>
      <c r="I443" s="273"/>
      <c r="J443" s="273"/>
      <c r="K443" s="1706"/>
      <c r="L443" s="275"/>
      <c r="M443" s="1625"/>
      <c r="N443" s="1625"/>
      <c r="O443" s="273"/>
      <c r="P443" s="276"/>
      <c r="Q443" s="276"/>
    </row>
    <row r="444" spans="1:17" s="1623" customFormat="1" ht="50.4">
      <c r="A444" s="1617" t="s">
        <v>7525</v>
      </c>
      <c r="B444" s="1618" t="s">
        <v>542</v>
      </c>
      <c r="C444" s="1643" t="s">
        <v>133</v>
      </c>
      <c r="D444" s="1633">
        <f>+'LINEAS IMPULSIÓN-CONDUCCIÓN'!D104</f>
        <v>21</v>
      </c>
      <c r="E444" s="1634">
        <f>+'LINEAS IMPULSIÓN-CONDUCCIÓN'!E104</f>
        <v>704362.91278373147</v>
      </c>
      <c r="F444" s="1648">
        <f t="shared" si="24"/>
        <v>14791621</v>
      </c>
      <c r="G444" s="2353"/>
      <c r="H444" s="1625"/>
      <c r="I444" s="1625"/>
      <c r="J444" s="1625"/>
      <c r="K444" s="1625"/>
    </row>
    <row r="445" spans="1:17" s="1623" customFormat="1" ht="33.6">
      <c r="A445" s="1617" t="s">
        <v>7526</v>
      </c>
      <c r="B445" s="1618" t="s">
        <v>1130</v>
      </c>
      <c r="C445" s="1635" t="s">
        <v>1084</v>
      </c>
      <c r="D445" s="1633">
        <f>+'LINEAS IMPULSIÓN-CONDUCCIÓN'!D105</f>
        <v>1</v>
      </c>
      <c r="E445" s="1634">
        <f>+'LINEAS IMPULSIÓN-CONDUCCIÓN'!E105</f>
        <v>743415.25079918758</v>
      </c>
      <c r="F445" s="1648">
        <f>ROUND((+E445*D445),0)</f>
        <v>743415</v>
      </c>
      <c r="G445" s="2349"/>
    </row>
    <row r="446" spans="1:17" s="247" customFormat="1" ht="16.8">
      <c r="A446" s="3018">
        <v>59</v>
      </c>
      <c r="B446" s="981" t="s">
        <v>5734</v>
      </c>
      <c r="C446" s="982"/>
      <c r="D446" s="982"/>
      <c r="E446" s="982" t="s">
        <v>1158</v>
      </c>
      <c r="F446" s="2244">
        <f>+F447</f>
        <v>240774300</v>
      </c>
      <c r="G446" s="254"/>
      <c r="H446" s="255"/>
      <c r="I446" s="255"/>
      <c r="J446" s="255"/>
      <c r="K446" s="1706"/>
      <c r="L446" s="1706"/>
      <c r="M446" s="255"/>
      <c r="N446" s="255"/>
      <c r="O446" s="255"/>
      <c r="P446" s="255"/>
      <c r="Q446" s="255"/>
    </row>
    <row r="447" spans="1:17" s="247" customFormat="1" ht="16.8">
      <c r="A447" s="1635" t="s">
        <v>7527</v>
      </c>
      <c r="B447" s="323" t="s">
        <v>5735</v>
      </c>
      <c r="C447" s="3020" t="s">
        <v>363</v>
      </c>
      <c r="D447" s="3020">
        <v>1300</v>
      </c>
      <c r="E447" s="1634">
        <f>+'LINEAS IMPULSIÓN-CONDUCCIÓN'!E107</f>
        <v>185211</v>
      </c>
      <c r="F447" s="1648">
        <f>ROUND((+E447*D447),0)</f>
        <v>240774300</v>
      </c>
      <c r="G447" s="254"/>
      <c r="H447" s="255"/>
      <c r="I447" s="255"/>
      <c r="J447" s="255"/>
      <c r="K447" s="1706"/>
      <c r="L447" s="1706"/>
      <c r="M447" s="255"/>
      <c r="N447" s="255"/>
      <c r="O447" s="255"/>
      <c r="P447" s="255"/>
      <c r="Q447" s="255"/>
    </row>
    <row r="448" spans="1:17" s="1623" customFormat="1" ht="16.8">
      <c r="A448" s="1594">
        <v>60</v>
      </c>
      <c r="B448" s="1613" t="s">
        <v>1127</v>
      </c>
      <c r="C448" s="1647"/>
      <c r="D448" s="1647"/>
      <c r="E448" s="1647"/>
      <c r="F448" s="2225" t="e">
        <f>SUM(F449:F462)</f>
        <v>#REF!</v>
      </c>
      <c r="G448" s="1705"/>
      <c r="H448" s="1625"/>
      <c r="I448" s="1625"/>
      <c r="J448" s="1625"/>
      <c r="K448" s="1706"/>
      <c r="L448" s="1706"/>
      <c r="M448" s="1625"/>
      <c r="N448" s="1625"/>
      <c r="O448" s="1625"/>
      <c r="P448" s="1625"/>
      <c r="Q448" s="1625"/>
    </row>
    <row r="449" spans="1:17" s="1623" customFormat="1" ht="16.8">
      <c r="A449" s="2221" t="s">
        <v>7528</v>
      </c>
      <c r="B449" s="1618" t="str">
        <f>+'LINEAS IMPULSIÓN-CONDUCCIÓN'!B109</f>
        <v>Instalación Tubería PEAD Ø 160mm (6") PN 25 RDE 7.4</v>
      </c>
      <c r="C449" s="364" t="s">
        <v>94</v>
      </c>
      <c r="D449" s="1639">
        <f>+'LINEAS IMPULSIÓN-CONDUCCIÓN'!D109</f>
        <v>774</v>
      </c>
      <c r="E449" s="1637">
        <f>+'LINEAS IMPULSIÓN-CONDUCCIÓN'!E109</f>
        <v>12525</v>
      </c>
      <c r="F449" s="1637">
        <f t="shared" ref="F449:F462" si="25">ROUND(+E449*D449,0)</f>
        <v>9694350</v>
      </c>
      <c r="G449" s="1704"/>
      <c r="H449" s="1625"/>
      <c r="I449" s="1625"/>
    </row>
    <row r="450" spans="1:17" s="1623" customFormat="1" ht="16.8">
      <c r="A450" s="2221" t="s">
        <v>7529</v>
      </c>
      <c r="B450" s="1618" t="str">
        <f>+'LINEAS IMPULSIÓN-CONDUCCIÓN'!B110</f>
        <v>Instalación Tubería PEAD Ø 160mm (6") PN 16 RDE 11</v>
      </c>
      <c r="C450" s="364" t="s">
        <v>94</v>
      </c>
      <c r="D450" s="1639">
        <f>+'LINEAS IMPULSIÓN-CONDUCCIÓN'!D110</f>
        <v>1441</v>
      </c>
      <c r="E450" s="1637">
        <f>+'LINEAS IMPULSIÓN-CONDUCCIÓN'!E110</f>
        <v>12525</v>
      </c>
      <c r="F450" s="1637">
        <f t="shared" si="25"/>
        <v>18048525</v>
      </c>
      <c r="G450" s="1704"/>
      <c r="H450" s="1625"/>
      <c r="I450" s="1625"/>
    </row>
    <row r="451" spans="1:17" s="1623" customFormat="1" ht="16.8">
      <c r="A451" s="2221" t="s">
        <v>7530</v>
      </c>
      <c r="B451" s="1618" t="str">
        <f>+'LINEAS IMPULSIÓN-CONDUCCIÓN'!B111</f>
        <v>Instalación Tubería PEAD Ø 160mm (6") PN 12.5 RDE 13.6</v>
      </c>
      <c r="C451" s="364" t="s">
        <v>94</v>
      </c>
      <c r="D451" s="1639">
        <f>+'LINEAS IMPULSIÓN-CONDUCCIÓN'!D111</f>
        <v>3207</v>
      </c>
      <c r="E451" s="1637">
        <f>+'LINEAS IMPULSIÓN-CONDUCCIÓN'!E111</f>
        <v>12525</v>
      </c>
      <c r="F451" s="1637">
        <f t="shared" si="25"/>
        <v>40167675</v>
      </c>
      <c r="G451" s="1704"/>
      <c r="H451" s="1625"/>
      <c r="I451" s="1625"/>
    </row>
    <row r="452" spans="1:17" s="1623" customFormat="1" ht="16.8">
      <c r="A452" s="2221" t="s">
        <v>7531</v>
      </c>
      <c r="B452" s="1618" t="str">
        <f>+'LINEAS IMPULSIÓN-CONDUCCIÓN'!B112</f>
        <v>Instalación Tubería PEAD Ø 160mm (6") PN 10 RDE 17</v>
      </c>
      <c r="C452" s="364" t="s">
        <v>94</v>
      </c>
      <c r="D452" s="1639">
        <f>+'LINEAS IMPULSIÓN-CONDUCCIÓN'!D112</f>
        <v>1178</v>
      </c>
      <c r="E452" s="1637">
        <f>+'LINEAS IMPULSIÓN-CONDUCCIÓN'!E112</f>
        <v>12525</v>
      </c>
      <c r="F452" s="1637">
        <f t="shared" si="25"/>
        <v>14754450</v>
      </c>
      <c r="G452" s="1704"/>
      <c r="H452" s="1625"/>
      <c r="I452" s="1625"/>
    </row>
    <row r="453" spans="1:17" s="1623" customFormat="1" ht="16.8">
      <c r="A453" s="2221" t="s">
        <v>7532</v>
      </c>
      <c r="B453" s="1618" t="str">
        <f>+'LINEAS IMPULSIÓN-CONDUCCIÓN'!B113</f>
        <v>Instalación Tubería PEAD Ø 160mm (6") PN 8 RDE 21</v>
      </c>
      <c r="C453" s="364" t="s">
        <v>94</v>
      </c>
      <c r="D453" s="1639">
        <f>+'LINEAS IMPULSIÓN-CONDUCCIÓN'!D113</f>
        <v>643</v>
      </c>
      <c r="E453" s="1637">
        <f>+'LINEAS IMPULSIÓN-CONDUCCIÓN'!E113</f>
        <v>12525</v>
      </c>
      <c r="F453" s="1637">
        <f t="shared" si="25"/>
        <v>8053575</v>
      </c>
      <c r="G453" s="1704"/>
      <c r="H453" s="1625"/>
      <c r="I453" s="1625"/>
    </row>
    <row r="454" spans="1:17" s="1623" customFormat="1" ht="16.8">
      <c r="A454" s="2221" t="s">
        <v>7533</v>
      </c>
      <c r="B454" s="1618" t="str">
        <f>+'LINEAS IMPULSIÓN-CONDUCCIÓN'!B114</f>
        <v>Instalación Tubería PEAD Ø 160mm (6") PN 6 RDE 26</v>
      </c>
      <c r="C454" s="364" t="s">
        <v>94</v>
      </c>
      <c r="D454" s="1639">
        <f>+'LINEAS IMPULSIÓN-CONDUCCIÓN'!D114</f>
        <v>1130</v>
      </c>
      <c r="E454" s="1637">
        <f>+'LINEAS IMPULSIÓN-CONDUCCIÓN'!E114</f>
        <v>12525</v>
      </c>
      <c r="F454" s="1637">
        <f t="shared" si="25"/>
        <v>14153250</v>
      </c>
      <c r="G454" s="1704"/>
      <c r="H454" s="1625"/>
      <c r="I454" s="1625"/>
    </row>
    <row r="455" spans="1:17" s="1623" customFormat="1" ht="16.8">
      <c r="A455" s="2221" t="s">
        <v>7534</v>
      </c>
      <c r="B455" s="1618" t="str">
        <f>+'LINEAS IMPULSIÓN-CONDUCCIÓN'!B115</f>
        <v>Instalación Tubería PEAD Ø 160mm (6") PN 9 RDE 20</v>
      </c>
      <c r="C455" s="364" t="s">
        <v>94</v>
      </c>
      <c r="D455" s="1639">
        <f>+'LINEAS IMPULSIÓN-CONDUCCIÓN'!D115</f>
        <v>2130</v>
      </c>
      <c r="E455" s="1637">
        <f>+'LINEAS IMPULSIÓN-CONDUCCIÓN'!E115</f>
        <v>12525</v>
      </c>
      <c r="F455" s="1637">
        <f t="shared" si="25"/>
        <v>26678250</v>
      </c>
      <c r="G455" s="1704"/>
      <c r="H455" s="1625"/>
      <c r="I455" s="1625"/>
    </row>
    <row r="456" spans="1:17" s="1623" customFormat="1" ht="16.8">
      <c r="A456" s="2221" t="s">
        <v>7535</v>
      </c>
      <c r="B456" s="1618" t="s">
        <v>1190</v>
      </c>
      <c r="C456" s="364" t="s">
        <v>427</v>
      </c>
      <c r="D456" s="1646">
        <v>9</v>
      </c>
      <c r="E456" s="1637">
        <f>+'LINEAS IMPULSIÓN-CONDUCCIÓN'!E116</f>
        <v>88893.861667976977</v>
      </c>
      <c r="F456" s="1637">
        <f t="shared" si="25"/>
        <v>800045</v>
      </c>
      <c r="G456" s="1704"/>
      <c r="H456" s="1625"/>
      <c r="I456" s="1625"/>
      <c r="J456" s="1669"/>
    </row>
    <row r="457" spans="1:17" s="1623" customFormat="1" ht="16.8">
      <c r="A457" s="2221" t="s">
        <v>7536</v>
      </c>
      <c r="B457" s="1618" t="s">
        <v>4468</v>
      </c>
      <c r="C457" s="364" t="s">
        <v>427</v>
      </c>
      <c r="D457" s="1646">
        <v>8</v>
      </c>
      <c r="E457" s="1637">
        <f>+'LINEAS IMPULSIÓN-CONDUCCIÓN'!E117</f>
        <v>88893.861667976977</v>
      </c>
      <c r="F457" s="1637">
        <f t="shared" si="25"/>
        <v>711151</v>
      </c>
      <c r="G457" s="1704"/>
      <c r="H457" s="1625"/>
      <c r="I457" s="1625"/>
      <c r="J457" s="1669"/>
    </row>
    <row r="458" spans="1:17" s="1623" customFormat="1" ht="15.75" customHeight="1">
      <c r="A458" s="1665" t="s">
        <v>7537</v>
      </c>
      <c r="B458" s="1618" t="s">
        <v>4469</v>
      </c>
      <c r="C458" s="364" t="s">
        <v>427</v>
      </c>
      <c r="D458" s="1646">
        <v>8</v>
      </c>
      <c r="E458" s="1637">
        <f>+'LINEAS IMPULSIÓN-CONDUCCIÓN'!E118</f>
        <v>88893.861667976977</v>
      </c>
      <c r="F458" s="1637">
        <f t="shared" si="25"/>
        <v>711151</v>
      </c>
      <c r="G458" s="1704"/>
      <c r="H458" s="1625"/>
      <c r="I458" s="1625"/>
      <c r="J458" s="1669"/>
    </row>
    <row r="459" spans="1:17" s="1623" customFormat="1" ht="84">
      <c r="A459" s="2221" t="s">
        <v>8779</v>
      </c>
      <c r="B459" s="269" t="s">
        <v>5071</v>
      </c>
      <c r="C459" s="364" t="s">
        <v>427</v>
      </c>
      <c r="D459" s="1649">
        <v>10</v>
      </c>
      <c r="E459" s="1637">
        <f>+'LINEAS IMPULSIÓN-CONDUCCIÓN'!E119</f>
        <v>110366</v>
      </c>
      <c r="F459" s="1637">
        <f t="shared" si="25"/>
        <v>1103660</v>
      </c>
      <c r="G459" s="1704"/>
      <c r="I459" s="1625"/>
      <c r="J459" s="273"/>
      <c r="K459" s="1706"/>
      <c r="L459" s="275"/>
      <c r="M459" s="1625"/>
      <c r="N459" s="1625"/>
      <c r="O459" s="273"/>
      <c r="P459" s="276"/>
      <c r="Q459" s="276"/>
    </row>
    <row r="460" spans="1:17" s="1623" customFormat="1" ht="67.2">
      <c r="A460" s="2221" t="s">
        <v>8780</v>
      </c>
      <c r="B460" s="269" t="s">
        <v>4529</v>
      </c>
      <c r="C460" s="364" t="s">
        <v>427</v>
      </c>
      <c r="D460" s="1649">
        <v>9</v>
      </c>
      <c r="E460" s="1637" t="e">
        <f>+#REF!</f>
        <v>#REF!</v>
      </c>
      <c r="F460" s="1637" t="e">
        <f t="shared" si="25"/>
        <v>#REF!</v>
      </c>
      <c r="G460" s="1704"/>
      <c r="I460" s="1625"/>
      <c r="J460" s="273"/>
      <c r="K460" s="1706"/>
      <c r="L460" s="275"/>
      <c r="M460" s="1625"/>
      <c r="N460" s="1625"/>
      <c r="O460" s="273"/>
      <c r="P460" s="276"/>
      <c r="Q460" s="276"/>
    </row>
    <row r="461" spans="1:17" s="1623" customFormat="1" ht="33.6">
      <c r="A461" s="2221" t="s">
        <v>8781</v>
      </c>
      <c r="B461" s="269" t="s">
        <v>4530</v>
      </c>
      <c r="C461" s="364" t="s">
        <v>427</v>
      </c>
      <c r="D461" s="1649">
        <v>1</v>
      </c>
      <c r="E461" s="1637">
        <f>+'LINEAS IMPULSIÓN-CONDUCCIÓN'!E121</f>
        <v>157916</v>
      </c>
      <c r="F461" s="1637">
        <f t="shared" si="25"/>
        <v>157916</v>
      </c>
      <c r="G461" s="1704"/>
      <c r="I461" s="1625"/>
      <c r="J461" s="273"/>
      <c r="K461" s="1706"/>
      <c r="L461" s="275"/>
      <c r="M461" s="1625"/>
      <c r="N461" s="1625"/>
      <c r="O461" s="273"/>
      <c r="P461" s="276"/>
      <c r="Q461" s="276"/>
    </row>
    <row r="462" spans="1:17" s="1623" customFormat="1" ht="17.399999999999999" thickBot="1">
      <c r="A462" s="2221" t="s">
        <v>8782</v>
      </c>
      <c r="B462" s="2884" t="s">
        <v>4531</v>
      </c>
      <c r="C462" s="1632" t="s">
        <v>427</v>
      </c>
      <c r="D462" s="2885">
        <v>2</v>
      </c>
      <c r="E462" s="1634">
        <f>+'LINEAS IMPULSIÓN-CONDUCCIÓN'!E122</f>
        <v>861036.31183025776</v>
      </c>
      <c r="F462" s="1634">
        <f t="shared" si="25"/>
        <v>1722073</v>
      </c>
      <c r="G462" s="1704"/>
      <c r="I462" s="1625"/>
      <c r="J462" s="273"/>
      <c r="K462" s="1706"/>
      <c r="L462" s="275"/>
      <c r="M462" s="1625"/>
      <c r="N462" s="1625"/>
      <c r="O462" s="273"/>
      <c r="P462" s="276"/>
      <c r="Q462" s="276"/>
    </row>
    <row r="463" spans="1:17" ht="16.8">
      <c r="A463" s="3334" t="s">
        <v>5740</v>
      </c>
      <c r="B463" s="3335"/>
      <c r="C463" s="3335"/>
      <c r="D463" s="3335"/>
      <c r="E463" s="3335"/>
      <c r="F463" s="3356"/>
    </row>
    <row r="464" spans="1:17" ht="33.6">
      <c r="A464" s="1590" t="s">
        <v>22</v>
      </c>
      <c r="B464" s="1591" t="s">
        <v>23</v>
      </c>
      <c r="C464" s="1591" t="s">
        <v>150</v>
      </c>
      <c r="D464" s="1592" t="s">
        <v>539</v>
      </c>
      <c r="E464" s="1593" t="s">
        <v>151</v>
      </c>
      <c r="F464" s="1593" t="s">
        <v>540</v>
      </c>
    </row>
    <row r="465" spans="1:7" ht="18">
      <c r="A465" s="3350"/>
      <c r="B465" s="3350"/>
      <c r="C465" s="3350"/>
      <c r="D465" s="3350"/>
      <c r="E465" s="3350"/>
      <c r="F465" s="3351"/>
    </row>
    <row r="466" spans="1:7" ht="18">
      <c r="A466" s="1726">
        <v>61</v>
      </c>
      <c r="B466" s="1756" t="s">
        <v>8528</v>
      </c>
      <c r="C466" s="1757"/>
      <c r="D466" s="1757"/>
      <c r="E466" s="1757"/>
      <c r="F466" s="2373">
        <f>SUM(F467:F471)</f>
        <v>4031477</v>
      </c>
      <c r="G466" s="2220">
        <f>+SUM(F466,F472,F476,F479,F483,F485,F493,F495,F497,F499,F502,F504,F507)</f>
        <v>591791109</v>
      </c>
    </row>
    <row r="467" spans="1:7" ht="19.8">
      <c r="A467" s="2221" t="s">
        <v>7538</v>
      </c>
      <c r="B467" s="1711" t="s">
        <v>1442</v>
      </c>
      <c r="C467" s="1751" t="s">
        <v>623</v>
      </c>
      <c r="D467" s="1737">
        <f>+' TANQUE PATAGONIA'!E10</f>
        <v>225.28000000000003</v>
      </c>
      <c r="E467" s="1759">
        <f>+' TANQUE PATAGONIA'!F10</f>
        <v>2356</v>
      </c>
      <c r="F467" s="1760">
        <f>ROUND(D467*E467,0)</f>
        <v>530760</v>
      </c>
      <c r="G467" s="2356">
        <f>+' TANQUE PATAGONIA'!G53</f>
        <v>591791109</v>
      </c>
    </row>
    <row r="468" spans="1:7" ht="19.8">
      <c r="A468" s="2221" t="s">
        <v>7539</v>
      </c>
      <c r="B468" s="1711" t="s">
        <v>1374</v>
      </c>
      <c r="C468" s="1751" t="s">
        <v>623</v>
      </c>
      <c r="D468" s="1737">
        <f>+' TANQUE PATAGONIA'!E11</f>
        <v>225.28000000000003</v>
      </c>
      <c r="E468" s="1759">
        <f>+' TANQUE PATAGONIA'!F11</f>
        <v>2904.8114772599997</v>
      </c>
      <c r="F468" s="1760">
        <f t="shared" ref="F468:F500" si="26">ROUND(D468*E468,0)</f>
        <v>654396</v>
      </c>
      <c r="G468" s="2358"/>
    </row>
    <row r="469" spans="1:7" ht="19.8">
      <c r="A469" s="2221" t="s">
        <v>7540</v>
      </c>
      <c r="B469" s="1711" t="s">
        <v>1375</v>
      </c>
      <c r="C469" s="1751" t="s">
        <v>5760</v>
      </c>
      <c r="D469" s="1751">
        <f>+' TANQUE PATAGONIA'!E12</f>
        <v>67.584000000000003</v>
      </c>
      <c r="E469" s="1759">
        <f>+' TANQUE PATAGONIA'!F12</f>
        <v>24714.739345036</v>
      </c>
      <c r="F469" s="1760">
        <f t="shared" si="26"/>
        <v>1670321</v>
      </c>
    </row>
    <row r="470" spans="1:7" ht="33.6">
      <c r="A470" s="2221" t="s">
        <v>7541</v>
      </c>
      <c r="B470" s="1711" t="s">
        <v>1376</v>
      </c>
      <c r="C470" s="1751" t="s">
        <v>363</v>
      </c>
      <c r="D470" s="1751">
        <v>2</v>
      </c>
      <c r="E470" s="1759">
        <f>+' TANQUE PATAGONIA'!F13</f>
        <v>218000</v>
      </c>
      <c r="F470" s="1760">
        <f t="shared" si="26"/>
        <v>436000</v>
      </c>
    </row>
    <row r="471" spans="1:7" ht="33.6">
      <c r="A471" s="2221" t="s">
        <v>7542</v>
      </c>
      <c r="B471" s="1711" t="s">
        <v>1377</v>
      </c>
      <c r="C471" s="1751" t="s">
        <v>363</v>
      </c>
      <c r="D471" s="1751">
        <v>2</v>
      </c>
      <c r="E471" s="1759">
        <f>+' TANQUE PATAGONIA'!F14</f>
        <v>370000</v>
      </c>
      <c r="F471" s="1760">
        <f t="shared" si="26"/>
        <v>740000</v>
      </c>
    </row>
    <row r="472" spans="1:7" ht="18">
      <c r="A472" s="1038">
        <v>62</v>
      </c>
      <c r="B472" s="1670" t="s">
        <v>8529</v>
      </c>
      <c r="C472" s="1757"/>
      <c r="D472" s="1757"/>
      <c r="E472" s="1757"/>
      <c r="F472" s="2373">
        <f>SUM(F473:F475)</f>
        <v>40703892</v>
      </c>
    </row>
    <row r="473" spans="1:7" ht="26.25" customHeight="1">
      <c r="A473" s="2221" t="s">
        <v>7543</v>
      </c>
      <c r="B473" s="1548" t="s">
        <v>6329</v>
      </c>
      <c r="C473" s="1751" t="s">
        <v>5760</v>
      </c>
      <c r="D473" s="1748">
        <f>1489+200</f>
        <v>1689</v>
      </c>
      <c r="E473" s="1759">
        <f>+' TANQUE PATAGONIA'!F16</f>
        <v>10000</v>
      </c>
      <c r="F473" s="1760">
        <f t="shared" si="26"/>
        <v>16890000</v>
      </c>
    </row>
    <row r="474" spans="1:7" ht="28.5" customHeight="1">
      <c r="A474" s="2221" t="s">
        <v>7544</v>
      </c>
      <c r="B474" s="1548" t="s">
        <v>6330</v>
      </c>
      <c r="C474" s="1751" t="s">
        <v>1084</v>
      </c>
      <c r="D474" s="1748">
        <f>934+120</f>
        <v>1054</v>
      </c>
      <c r="E474" s="1759">
        <f>+' TANQUE PATAGONIA'!F17</f>
        <v>15000</v>
      </c>
      <c r="F474" s="1760">
        <f t="shared" si="26"/>
        <v>15810000</v>
      </c>
    </row>
    <row r="475" spans="1:7" ht="19.8">
      <c r="A475" s="2221" t="s">
        <v>7545</v>
      </c>
      <c r="B475" s="1671" t="s">
        <v>6292</v>
      </c>
      <c r="C475" s="1751" t="s">
        <v>5760</v>
      </c>
      <c r="D475" s="1737">
        <f>+D474*0.1</f>
        <v>105.4</v>
      </c>
      <c r="E475" s="1759">
        <f>+' TANQUE PATAGONIA'!F18</f>
        <v>75938.251377333334</v>
      </c>
      <c r="F475" s="1760">
        <f t="shared" si="26"/>
        <v>8003892</v>
      </c>
    </row>
    <row r="476" spans="1:7" ht="18">
      <c r="A476" s="1038">
        <v>63</v>
      </c>
      <c r="B476" s="1651" t="s">
        <v>8530</v>
      </c>
      <c r="C476" s="1672"/>
      <c r="D476" s="1673"/>
      <c r="E476" s="1674"/>
      <c r="F476" s="2373">
        <f>SUM(F477:F478)</f>
        <v>9489050</v>
      </c>
    </row>
    <row r="477" spans="1:7" ht="18">
      <c r="A477" s="2221" t="s">
        <v>7546</v>
      </c>
      <c r="B477" s="1645" t="s">
        <v>1380</v>
      </c>
      <c r="C477" s="1751" t="s">
        <v>1125</v>
      </c>
      <c r="D477" s="1737">
        <v>500</v>
      </c>
      <c r="E477" s="1759">
        <f>+' TANQUE PATAGONIA'!F20</f>
        <v>18238</v>
      </c>
      <c r="F477" s="1760">
        <f t="shared" si="26"/>
        <v>9119000</v>
      </c>
    </row>
    <row r="478" spans="1:7" ht="18">
      <c r="A478" s="2221" t="s">
        <v>7547</v>
      </c>
      <c r="B478" s="1645" t="s">
        <v>1452</v>
      </c>
      <c r="C478" s="1751" t="s">
        <v>1125</v>
      </c>
      <c r="D478" s="1737">
        <v>10</v>
      </c>
      <c r="E478" s="1759">
        <f>+' TANQUE PATAGONIA'!F21</f>
        <v>37005</v>
      </c>
      <c r="F478" s="1760">
        <f t="shared" si="26"/>
        <v>370050</v>
      </c>
    </row>
    <row r="479" spans="1:7" ht="18">
      <c r="A479" s="1038">
        <v>64</v>
      </c>
      <c r="B479" s="1675" t="s">
        <v>8531</v>
      </c>
      <c r="C479" s="1761"/>
      <c r="D479" s="1762"/>
      <c r="E479" s="1763"/>
      <c r="F479" s="2373">
        <f>SUM(F480:F482)</f>
        <v>12126528</v>
      </c>
    </row>
    <row r="480" spans="1:7" ht="50.4">
      <c r="A480" s="2221" t="s">
        <v>7548</v>
      </c>
      <c r="B480" s="1548" t="s">
        <v>1102</v>
      </c>
      <c r="C480" s="1751" t="s">
        <v>5760</v>
      </c>
      <c r="D480" s="1764">
        <v>624</v>
      </c>
      <c r="E480" s="1759">
        <f>+' TANQUE PATAGONIA'!F23</f>
        <v>12212</v>
      </c>
      <c r="F480" s="1760">
        <f t="shared" si="26"/>
        <v>7620288</v>
      </c>
    </row>
    <row r="481" spans="1:6" ht="33.6">
      <c r="A481" s="2221" t="s">
        <v>7549</v>
      </c>
      <c r="B481" s="1671" t="s">
        <v>1454</v>
      </c>
      <c r="C481" s="1751" t="s">
        <v>5760</v>
      </c>
      <c r="D481" s="1737">
        <v>37.200000000000003</v>
      </c>
      <c r="E481" s="1759">
        <f>+' TANQUE PATAGONIA'!F24</f>
        <v>87012</v>
      </c>
      <c r="F481" s="1760">
        <f t="shared" si="26"/>
        <v>3236846</v>
      </c>
    </row>
    <row r="482" spans="1:6" ht="19.8">
      <c r="A482" s="2221" t="s">
        <v>7550</v>
      </c>
      <c r="B482" s="1548" t="s">
        <v>1455</v>
      </c>
      <c r="C482" s="1751" t="s">
        <v>5760</v>
      </c>
      <c r="D482" s="1748">
        <v>24.5</v>
      </c>
      <c r="E482" s="1759">
        <f>+' TANQUE PATAGONIA'!F25</f>
        <v>51812</v>
      </c>
      <c r="F482" s="1760">
        <f t="shared" si="26"/>
        <v>1269394</v>
      </c>
    </row>
    <row r="483" spans="1:6" ht="18">
      <c r="A483" s="1038">
        <v>65</v>
      </c>
      <c r="B483" s="1676" t="s">
        <v>8532</v>
      </c>
      <c r="C483" s="1761"/>
      <c r="D483" s="1765"/>
      <c r="E483" s="1766"/>
      <c r="F483" s="2373">
        <f>SUM(F484:F484)</f>
        <v>70333900</v>
      </c>
    </row>
    <row r="484" spans="1:6" ht="19.8">
      <c r="A484" s="2221" t="s">
        <v>7551</v>
      </c>
      <c r="B484" s="1641" t="s">
        <v>1384</v>
      </c>
      <c r="C484" s="1751" t="s">
        <v>5760</v>
      </c>
      <c r="D484" s="1737">
        <f>+' TANQUE PATAGONIA'!E27</f>
        <v>38514</v>
      </c>
      <c r="E484" s="1759">
        <f>+' TANQUE PATAGONIA'!F27</f>
        <v>1826.1904761904761</v>
      </c>
      <c r="F484" s="1760">
        <f t="shared" si="26"/>
        <v>70333900</v>
      </c>
    </row>
    <row r="485" spans="1:6" ht="18">
      <c r="A485" s="1038">
        <v>66</v>
      </c>
      <c r="B485" s="1677" t="s">
        <v>852</v>
      </c>
      <c r="C485" s="1761"/>
      <c r="D485" s="1765"/>
      <c r="E485" s="1766"/>
      <c r="F485" s="2373">
        <f>SUM(F486:F492)</f>
        <v>300381057</v>
      </c>
    </row>
    <row r="486" spans="1:6" ht="19.8">
      <c r="A486" s="2221" t="s">
        <v>7552</v>
      </c>
      <c r="B486" s="1548" t="s">
        <v>1458</v>
      </c>
      <c r="C486" s="1751" t="s">
        <v>5760</v>
      </c>
      <c r="D486" s="1748">
        <v>40</v>
      </c>
      <c r="E486" s="1759">
        <f>+' TANQUE PATAGONIA'!F29</f>
        <v>481933.30964979</v>
      </c>
      <c r="F486" s="1760">
        <f t="shared" si="26"/>
        <v>19277332</v>
      </c>
    </row>
    <row r="487" spans="1:6" ht="33.6">
      <c r="A487" s="2221" t="s">
        <v>7553</v>
      </c>
      <c r="B487" s="1548" t="s">
        <v>1459</v>
      </c>
      <c r="C487" s="1751" t="s">
        <v>5760</v>
      </c>
      <c r="D487" s="1748">
        <v>45</v>
      </c>
      <c r="E487" s="1759">
        <f>+' TANQUE PATAGONIA'!F30</f>
        <v>710152.3017086701</v>
      </c>
      <c r="F487" s="1760">
        <f t="shared" si="26"/>
        <v>31956854</v>
      </c>
    </row>
    <row r="488" spans="1:6" ht="33.6">
      <c r="A488" s="2221" t="s">
        <v>7554</v>
      </c>
      <c r="B488" s="1548" t="s">
        <v>1460</v>
      </c>
      <c r="C488" s="1751" t="s">
        <v>5760</v>
      </c>
      <c r="D488" s="1748">
        <v>144</v>
      </c>
      <c r="E488" s="1759">
        <f>+' TANQUE PATAGONIA'!F31</f>
        <v>724892.74177067797</v>
      </c>
      <c r="F488" s="1760">
        <f t="shared" si="26"/>
        <v>104384555</v>
      </c>
    </row>
    <row r="489" spans="1:6" ht="33.6">
      <c r="A489" s="2221" t="s">
        <v>7555</v>
      </c>
      <c r="B489" s="1548" t="s">
        <v>1461</v>
      </c>
      <c r="C489" s="1751" t="s">
        <v>3852</v>
      </c>
      <c r="D489" s="1748">
        <v>67</v>
      </c>
      <c r="E489" s="1759">
        <f>+' TANQUE PATAGONIA'!F32</f>
        <v>759372.49177067808</v>
      </c>
      <c r="F489" s="1760">
        <f t="shared" si="26"/>
        <v>50877957</v>
      </c>
    </row>
    <row r="490" spans="1:6" ht="32.25" customHeight="1">
      <c r="A490" s="2221" t="s">
        <v>7556</v>
      </c>
      <c r="B490" s="1548" t="s">
        <v>1462</v>
      </c>
      <c r="C490" s="1751" t="s">
        <v>5760</v>
      </c>
      <c r="D490" s="1748">
        <v>130</v>
      </c>
      <c r="E490" s="1759">
        <f>+' TANQUE PATAGONIA'!F33</f>
        <v>703325</v>
      </c>
      <c r="F490" s="1760">
        <f t="shared" si="26"/>
        <v>91432250</v>
      </c>
    </row>
    <row r="491" spans="1:6" ht="33.6">
      <c r="A491" s="2221" t="s">
        <v>7557</v>
      </c>
      <c r="B491" s="1548" t="s">
        <v>1381</v>
      </c>
      <c r="C491" s="1751" t="s">
        <v>5760</v>
      </c>
      <c r="D491" s="1748">
        <v>2</v>
      </c>
      <c r="E491" s="1759">
        <f>+' TANQUE PATAGONIA'!F34</f>
        <v>727437.63504200336</v>
      </c>
      <c r="F491" s="1760">
        <f t="shared" si="26"/>
        <v>1454875</v>
      </c>
    </row>
    <row r="492" spans="1:6" ht="33.6">
      <c r="A492" s="2221" t="s">
        <v>7558</v>
      </c>
      <c r="B492" s="1548" t="s">
        <v>1463</v>
      </c>
      <c r="C492" s="1751" t="s">
        <v>363</v>
      </c>
      <c r="D492" s="1748">
        <v>1</v>
      </c>
      <c r="E492" s="1759">
        <f>+' TANQUE PATAGONIA'!F35</f>
        <v>997234.17301162367</v>
      </c>
      <c r="F492" s="1760">
        <f t="shared" si="26"/>
        <v>997234</v>
      </c>
    </row>
    <row r="493" spans="1:6" ht="18">
      <c r="A493" s="1718">
        <v>67</v>
      </c>
      <c r="B493" s="1677" t="s">
        <v>1302</v>
      </c>
      <c r="C493" s="1761"/>
      <c r="D493" s="1765"/>
      <c r="E493" s="1766"/>
      <c r="F493" s="2373">
        <f>SUM(F494)</f>
        <v>111694591</v>
      </c>
    </row>
    <row r="494" spans="1:6" ht="18">
      <c r="A494" s="2221" t="s">
        <v>7559</v>
      </c>
      <c r="B494" s="1548" t="s">
        <v>1464</v>
      </c>
      <c r="C494" s="1748" t="s">
        <v>647</v>
      </c>
      <c r="D494" s="1748">
        <v>28359</v>
      </c>
      <c r="E494" s="1759">
        <f>+' TANQUE PATAGONIA'!F37</f>
        <v>3938.5941163025</v>
      </c>
      <c r="F494" s="1760">
        <f t="shared" si="26"/>
        <v>111694591</v>
      </c>
    </row>
    <row r="495" spans="1:6" ht="18">
      <c r="A495" s="1718">
        <v>68</v>
      </c>
      <c r="B495" s="1767" t="s">
        <v>8533</v>
      </c>
      <c r="C495" s="1768"/>
      <c r="D495" s="1768"/>
      <c r="E495" s="1768"/>
      <c r="F495" s="2373">
        <f>SUM(F496)</f>
        <v>18551413</v>
      </c>
    </row>
    <row r="496" spans="1:6" ht="18">
      <c r="A496" s="2221" t="s">
        <v>7560</v>
      </c>
      <c r="B496" s="1548" t="s">
        <v>1466</v>
      </c>
      <c r="C496" s="1748" t="s">
        <v>94</v>
      </c>
      <c r="D496" s="1748">
        <v>424</v>
      </c>
      <c r="E496" s="1759">
        <f>+' TANQUE PATAGONIA'!F39</f>
        <v>43753.333333333372</v>
      </c>
      <c r="F496" s="1760">
        <f t="shared" si="26"/>
        <v>18551413</v>
      </c>
    </row>
    <row r="497" spans="1:16" ht="18">
      <c r="A497" s="1718">
        <v>69</v>
      </c>
      <c r="B497" s="1677" t="s">
        <v>8534</v>
      </c>
      <c r="C497" s="1765"/>
      <c r="D497" s="1765"/>
      <c r="E497" s="1766"/>
      <c r="F497" s="2373">
        <f>SUM(F498)</f>
        <v>19945908</v>
      </c>
    </row>
    <row r="498" spans="1:16" ht="33.6">
      <c r="A498" s="2221" t="s">
        <v>7561</v>
      </c>
      <c r="B498" s="1678" t="s">
        <v>5755</v>
      </c>
      <c r="C498" s="1748" t="s">
        <v>94</v>
      </c>
      <c r="D498" s="1748">
        <v>195</v>
      </c>
      <c r="E498" s="1759">
        <f>+' TANQUE PATAGONIA'!F41</f>
        <v>102286.7096074</v>
      </c>
      <c r="F498" s="1760">
        <f t="shared" si="26"/>
        <v>19945908</v>
      </c>
    </row>
    <row r="499" spans="1:16" ht="18">
      <c r="A499" s="1718">
        <v>70</v>
      </c>
      <c r="B499" s="1677" t="s">
        <v>8535</v>
      </c>
      <c r="C499" s="1761"/>
      <c r="D499" s="1762"/>
      <c r="E499" s="1763"/>
      <c r="F499" s="2373">
        <f>SUM(F500:F500)</f>
        <v>2438618</v>
      </c>
    </row>
    <row r="500" spans="1:16" ht="33.6">
      <c r="A500" s="2221" t="s">
        <v>7562</v>
      </c>
      <c r="B500" s="1671" t="s">
        <v>6661</v>
      </c>
      <c r="C500" s="1769" t="s">
        <v>363</v>
      </c>
      <c r="D500" s="1748">
        <v>1</v>
      </c>
      <c r="E500" s="1759">
        <f>+' TANQUE PATAGONIA'!F43</f>
        <v>2438617.5063487096</v>
      </c>
      <c r="F500" s="1760">
        <f t="shared" si="26"/>
        <v>2438618</v>
      </c>
    </row>
    <row r="501" spans="1:16" ht="18">
      <c r="A501" s="1679"/>
      <c r="B501" s="3350" t="s">
        <v>1389</v>
      </c>
      <c r="C501" s="3350"/>
      <c r="D501" s="3350"/>
      <c r="E501" s="3350"/>
      <c r="F501" s="1680"/>
    </row>
    <row r="502" spans="1:16" ht="18">
      <c r="A502" s="1718">
        <v>71</v>
      </c>
      <c r="B502" s="1047" t="s">
        <v>8536</v>
      </c>
      <c r="C502" s="1765"/>
      <c r="D502" s="1765"/>
      <c r="E502" s="1766"/>
      <c r="F502" s="2373">
        <f>SUM(F503)</f>
        <v>344610</v>
      </c>
    </row>
    <row r="503" spans="1:16" ht="18">
      <c r="A503" s="2221" t="s">
        <v>7563</v>
      </c>
      <c r="B503" s="1671" t="s">
        <v>1477</v>
      </c>
      <c r="C503" s="1751" t="s">
        <v>94</v>
      </c>
      <c r="D503" s="1737">
        <v>90</v>
      </c>
      <c r="E503" s="1759">
        <f>+' TANQUE PATAGONIA'!F46</f>
        <v>3829</v>
      </c>
      <c r="F503" s="1760">
        <f>ROUND(D503*E503,0)</f>
        <v>344610</v>
      </c>
    </row>
    <row r="504" spans="1:16" ht="18">
      <c r="A504" s="1718">
        <v>72</v>
      </c>
      <c r="B504" s="1677" t="s">
        <v>8537</v>
      </c>
      <c r="C504" s="1765"/>
      <c r="D504" s="1765"/>
      <c r="E504" s="1770"/>
      <c r="F504" s="2373">
        <f>SUM(F505:F506)</f>
        <v>708558</v>
      </c>
    </row>
    <row r="505" spans="1:16" ht="18">
      <c r="A505" s="2221" t="s">
        <v>7564</v>
      </c>
      <c r="B505" s="1671" t="s">
        <v>7208</v>
      </c>
      <c r="C505" s="1748" t="s">
        <v>363</v>
      </c>
      <c r="D505" s="1748">
        <v>12</v>
      </c>
      <c r="E505" s="1759">
        <f>+' TANQUE PATAGONIA'!F48</f>
        <v>44628</v>
      </c>
      <c r="F505" s="1760">
        <f>ROUND(D505*E505,0)</f>
        <v>535536</v>
      </c>
    </row>
    <row r="506" spans="1:16" ht="18">
      <c r="A506" s="2221" t="s">
        <v>7565</v>
      </c>
      <c r="B506" s="1671" t="s">
        <v>7209</v>
      </c>
      <c r="C506" s="1748" t="s">
        <v>363</v>
      </c>
      <c r="D506" s="1748">
        <v>3</v>
      </c>
      <c r="E506" s="1759">
        <f>+' TANQUE PATAGONIA'!F49</f>
        <v>57674</v>
      </c>
      <c r="F506" s="1760">
        <f>ROUND(D506*E506,0)</f>
        <v>173022</v>
      </c>
    </row>
    <row r="507" spans="1:16" ht="18">
      <c r="A507" s="1718">
        <v>73</v>
      </c>
      <c r="B507" s="1677" t="s">
        <v>5734</v>
      </c>
      <c r="C507" s="1765"/>
      <c r="D507" s="1765"/>
      <c r="E507" s="1770"/>
      <c r="F507" s="2373">
        <f>SUM(F508:F509)</f>
        <v>1041507</v>
      </c>
    </row>
    <row r="508" spans="1:16" ht="50.4">
      <c r="A508" s="2221" t="s">
        <v>7566</v>
      </c>
      <c r="B508" s="1678" t="s">
        <v>1515</v>
      </c>
      <c r="C508" s="1748" t="s">
        <v>363</v>
      </c>
      <c r="D508" s="1748">
        <v>1</v>
      </c>
      <c r="E508" s="1759">
        <f>+' TANQUE PATAGONIA'!F51</f>
        <v>145504.64763366</v>
      </c>
      <c r="F508" s="1760">
        <f t="shared" ref="F508:F509" si="27">+ROUND(E508*D508,0)</f>
        <v>145505</v>
      </c>
    </row>
    <row r="509" spans="1:16" ht="51" thickBot="1">
      <c r="A509" s="2221" t="s">
        <v>7567</v>
      </c>
      <c r="B509" s="1678" t="s">
        <v>1517</v>
      </c>
      <c r="C509" s="1748" t="s">
        <v>363</v>
      </c>
      <c r="D509" s="1748">
        <v>1</v>
      </c>
      <c r="E509" s="1759">
        <f>+' TANQUE PATAGONIA'!F52</f>
        <v>896002.30384937988</v>
      </c>
      <c r="F509" s="1760">
        <f t="shared" si="27"/>
        <v>896002</v>
      </c>
    </row>
    <row r="510" spans="1:16" ht="16.8">
      <c r="A510" s="3334" t="s">
        <v>5709</v>
      </c>
      <c r="B510" s="3335"/>
      <c r="C510" s="3335"/>
      <c r="D510" s="3335"/>
      <c r="E510" s="3335"/>
      <c r="F510" s="3336"/>
    </row>
    <row r="511" spans="1:16" ht="33.6">
      <c r="A511" s="1590" t="s">
        <v>22</v>
      </c>
      <c r="B511" s="1591" t="s">
        <v>23</v>
      </c>
      <c r="C511" s="1591" t="s">
        <v>150</v>
      </c>
      <c r="D511" s="1592" t="s">
        <v>539</v>
      </c>
      <c r="E511" s="1593" t="s">
        <v>151</v>
      </c>
      <c r="F511" s="1593" t="s">
        <v>540</v>
      </c>
    </row>
    <row r="512" spans="1:16" s="1623" customFormat="1" ht="15" customHeight="1">
      <c r="A512" s="1594">
        <v>75</v>
      </c>
      <c r="B512" s="1613" t="s">
        <v>1127</v>
      </c>
      <c r="C512" s="1647"/>
      <c r="D512" s="1647"/>
      <c r="E512" s="1647"/>
      <c r="F512" s="2225">
        <f>SUM(F513:F533)</f>
        <v>20845315</v>
      </c>
      <c r="G512" s="2800">
        <f>+F512</f>
        <v>20845315</v>
      </c>
      <c r="H512" s="1623" t="s">
        <v>8225</v>
      </c>
      <c r="I512" s="1625"/>
      <c r="J512" s="1706"/>
      <c r="K512" s="1706"/>
      <c r="L512" s="1625"/>
      <c r="M512" s="1625"/>
      <c r="N512" s="1625"/>
      <c r="O512" s="1625"/>
      <c r="P512" s="1625"/>
    </row>
    <row r="513" spans="1:7" ht="16.8">
      <c r="A513" s="1681" t="s">
        <v>7568</v>
      </c>
      <c r="B513" s="1618" t="s">
        <v>4362</v>
      </c>
      <c r="C513" s="364" t="s">
        <v>427</v>
      </c>
      <c r="D513" s="364">
        <v>7</v>
      </c>
      <c r="E513" s="1637">
        <f>+' TANQUE PATAGONIA'!F79</f>
        <v>276370.26245755999</v>
      </c>
      <c r="F513" s="1648">
        <f t="shared" ref="F513:F533" si="28">ROUND((+E513*D513),0)</f>
        <v>1934592</v>
      </c>
      <c r="G513" s="2344">
        <f>+' TANQUE PATAGONIA'!G100</f>
        <v>20845315</v>
      </c>
    </row>
    <row r="514" spans="1:7" ht="16.8">
      <c r="A514" s="1681" t="s">
        <v>7569</v>
      </c>
      <c r="B514" s="1618" t="s">
        <v>4533</v>
      </c>
      <c r="C514" s="364" t="s">
        <v>427</v>
      </c>
      <c r="D514" s="364">
        <v>4</v>
      </c>
      <c r="E514" s="1637">
        <f>+' TANQUE PATAGONIA'!F80</f>
        <v>352274.41006043996</v>
      </c>
      <c r="F514" s="1648">
        <f t="shared" si="28"/>
        <v>1409098</v>
      </c>
    </row>
    <row r="515" spans="1:7" ht="33.6">
      <c r="A515" s="1681" t="s">
        <v>7570</v>
      </c>
      <c r="B515" s="1618" t="s">
        <v>4534</v>
      </c>
      <c r="C515" s="364" t="s">
        <v>427</v>
      </c>
      <c r="D515" s="364">
        <v>8</v>
      </c>
      <c r="E515" s="1637">
        <f>+' TANQUE PATAGONIA'!F81</f>
        <v>512369.79209715204</v>
      </c>
      <c r="F515" s="1648">
        <f t="shared" si="28"/>
        <v>4098958</v>
      </c>
    </row>
    <row r="516" spans="1:7" ht="16.8">
      <c r="A516" s="1681" t="s">
        <v>7571</v>
      </c>
      <c r="B516" s="1618" t="s">
        <v>4535</v>
      </c>
      <c r="C516" s="364" t="s">
        <v>427</v>
      </c>
      <c r="D516" s="364">
        <v>1</v>
      </c>
      <c r="E516" s="1637">
        <f>+' TANQUE PATAGONIA'!F82</f>
        <v>70983.029553407992</v>
      </c>
      <c r="F516" s="1648">
        <f t="shared" si="28"/>
        <v>70983</v>
      </c>
    </row>
    <row r="517" spans="1:7" ht="16.8">
      <c r="A517" s="1681" t="s">
        <v>7572</v>
      </c>
      <c r="B517" s="1618" t="s">
        <v>4536</v>
      </c>
      <c r="C517" s="364" t="s">
        <v>427</v>
      </c>
      <c r="D517" s="364">
        <v>3</v>
      </c>
      <c r="E517" s="1637">
        <f>+' TANQUE PATAGONIA'!F83</f>
        <v>333894.87562250404</v>
      </c>
      <c r="F517" s="1648">
        <f t="shared" si="28"/>
        <v>1001685</v>
      </c>
    </row>
    <row r="518" spans="1:7" ht="16.8">
      <c r="A518" s="1681" t="s">
        <v>7573</v>
      </c>
      <c r="B518" s="1618" t="s">
        <v>4537</v>
      </c>
      <c r="C518" s="364" t="s">
        <v>427</v>
      </c>
      <c r="D518" s="364">
        <v>1</v>
      </c>
      <c r="E518" s="1637">
        <f>+' TANQUE PATAGONIA'!F84</f>
        <v>367590.68875872</v>
      </c>
      <c r="F518" s="1648">
        <f t="shared" si="28"/>
        <v>367591</v>
      </c>
    </row>
    <row r="519" spans="1:7" ht="16.8">
      <c r="A519" s="1681" t="s">
        <v>7574</v>
      </c>
      <c r="B519" s="1618" t="s">
        <v>4538</v>
      </c>
      <c r="C519" s="364" t="s">
        <v>427</v>
      </c>
      <c r="D519" s="364">
        <v>2</v>
      </c>
      <c r="E519" s="1637">
        <f>+' TANQUE PATAGONIA'!F85</f>
        <v>313983.71331473999</v>
      </c>
      <c r="F519" s="1648">
        <f t="shared" si="28"/>
        <v>627967</v>
      </c>
    </row>
    <row r="520" spans="1:7" ht="16.8">
      <c r="A520" s="1681" t="s">
        <v>7575</v>
      </c>
      <c r="B520" s="1618" t="s">
        <v>4539</v>
      </c>
      <c r="C520" s="364" t="s">
        <v>427</v>
      </c>
      <c r="D520" s="364">
        <v>2</v>
      </c>
      <c r="E520" s="1637">
        <f>+' TANQUE PATAGONIA'!F86</f>
        <v>1044998.0987986401</v>
      </c>
      <c r="F520" s="1648">
        <f t="shared" si="28"/>
        <v>2089996</v>
      </c>
    </row>
    <row r="521" spans="1:7" ht="16.8">
      <c r="A521" s="1681" t="s">
        <v>7576</v>
      </c>
      <c r="B521" s="1618" t="s">
        <v>4540</v>
      </c>
      <c r="C521" s="364" t="s">
        <v>427</v>
      </c>
      <c r="D521" s="364">
        <v>2</v>
      </c>
      <c r="E521" s="1637">
        <f>+' TANQUE PATAGONIA'!F87</f>
        <v>983385.06924523204</v>
      </c>
      <c r="F521" s="1648">
        <f t="shared" si="28"/>
        <v>1966770</v>
      </c>
    </row>
    <row r="522" spans="1:7" ht="16.8">
      <c r="A522" s="1681" t="s">
        <v>7577</v>
      </c>
      <c r="B522" s="1618" t="s">
        <v>4541</v>
      </c>
      <c r="C522" s="364" t="s">
        <v>427</v>
      </c>
      <c r="D522" s="364">
        <v>1</v>
      </c>
      <c r="E522" s="1637">
        <f>+' TANQUE PATAGONIA'!F88</f>
        <v>727086.94617785211</v>
      </c>
      <c r="F522" s="1648">
        <f t="shared" si="28"/>
        <v>727087</v>
      </c>
    </row>
    <row r="523" spans="1:7" ht="16.8">
      <c r="A523" s="1681" t="s">
        <v>7578</v>
      </c>
      <c r="B523" s="1618" t="s">
        <v>4542</v>
      </c>
      <c r="C523" s="364" t="s">
        <v>427</v>
      </c>
      <c r="D523" s="364">
        <v>1</v>
      </c>
      <c r="E523" s="1637">
        <f>+' TANQUE PATAGONIA'!F89</f>
        <v>3352549.8701563203</v>
      </c>
      <c r="F523" s="1648">
        <f t="shared" si="28"/>
        <v>3352550</v>
      </c>
    </row>
    <row r="524" spans="1:7" ht="16.8">
      <c r="A524" s="1681" t="s">
        <v>7579</v>
      </c>
      <c r="B524" s="1618" t="s">
        <v>4543</v>
      </c>
      <c r="C524" s="364" t="s">
        <v>427</v>
      </c>
      <c r="D524" s="364">
        <v>1</v>
      </c>
      <c r="E524" s="1637">
        <f>+' TANQUE PATAGONIA'!F90</f>
        <v>1044998.0987986401</v>
      </c>
      <c r="F524" s="1648">
        <f t="shared" si="28"/>
        <v>1044998</v>
      </c>
    </row>
    <row r="525" spans="1:7" ht="16.8">
      <c r="A525" s="1681" t="s">
        <v>7580</v>
      </c>
      <c r="B525" s="1618" t="s">
        <v>4544</v>
      </c>
      <c r="C525" s="364" t="s">
        <v>427</v>
      </c>
      <c r="D525" s="364">
        <v>1</v>
      </c>
      <c r="E525" s="1637">
        <f>+' TANQUE PATAGONIA'!F91</f>
        <v>467146.50029753998</v>
      </c>
      <c r="F525" s="1648">
        <f t="shared" si="28"/>
        <v>467147</v>
      </c>
    </row>
    <row r="526" spans="1:7" ht="16.8">
      <c r="A526" s="1681" t="s">
        <v>7581</v>
      </c>
      <c r="B526" s="1618" t="s">
        <v>4545</v>
      </c>
      <c r="C526" s="364" t="s">
        <v>427</v>
      </c>
      <c r="D526" s="364">
        <v>1</v>
      </c>
      <c r="E526" s="1637">
        <f>+' TANQUE PATAGONIA'!F92</f>
        <v>240465.57556299603</v>
      </c>
      <c r="F526" s="1648">
        <f t="shared" si="28"/>
        <v>240466</v>
      </c>
    </row>
    <row r="527" spans="1:7" ht="16.8">
      <c r="A527" s="1681" t="s">
        <v>7582</v>
      </c>
      <c r="B527" s="1618" t="s">
        <v>5082</v>
      </c>
      <c r="C527" s="364" t="s">
        <v>427</v>
      </c>
      <c r="D527" s="364">
        <v>2</v>
      </c>
      <c r="E527" s="1637">
        <f>+' TANQUE PATAGONIA'!F93</f>
        <v>190534.50700660318</v>
      </c>
      <c r="F527" s="1648">
        <f t="shared" si="28"/>
        <v>381069</v>
      </c>
    </row>
    <row r="528" spans="1:7" ht="16.8">
      <c r="A528" s="1681" t="s">
        <v>7583</v>
      </c>
      <c r="B528" s="1618" t="s">
        <v>4547</v>
      </c>
      <c r="C528" s="364" t="s">
        <v>427</v>
      </c>
      <c r="D528" s="364">
        <v>2</v>
      </c>
      <c r="E528" s="1637">
        <f>+' TANQUE PATAGONIA'!F94</f>
        <v>71986.509881916005</v>
      </c>
      <c r="F528" s="1648">
        <f t="shared" si="28"/>
        <v>143973</v>
      </c>
    </row>
    <row r="529" spans="1:17" ht="16.8">
      <c r="A529" s="1681" t="s">
        <v>7584</v>
      </c>
      <c r="B529" s="1618" t="s">
        <v>4484</v>
      </c>
      <c r="C529" s="364" t="s">
        <v>427</v>
      </c>
      <c r="D529" s="364">
        <v>1</v>
      </c>
      <c r="E529" s="1637">
        <f>+' TANQUE PATAGONIA'!F95</f>
        <v>154496.50828452001</v>
      </c>
      <c r="F529" s="1648">
        <f t="shared" si="28"/>
        <v>154497</v>
      </c>
    </row>
    <row r="530" spans="1:17" ht="16.8">
      <c r="A530" s="1681" t="s">
        <v>7585</v>
      </c>
      <c r="B530" s="1618" t="s">
        <v>5066</v>
      </c>
      <c r="C530" s="364" t="s">
        <v>427</v>
      </c>
      <c r="D530" s="364">
        <v>1</v>
      </c>
      <c r="E530" s="1637">
        <f>+' TANQUE PATAGONIA'!F96</f>
        <v>195695.57716039199</v>
      </c>
      <c r="F530" s="1648">
        <f t="shared" si="28"/>
        <v>195696</v>
      </c>
    </row>
    <row r="531" spans="1:17" ht="16.8">
      <c r="A531" s="1681" t="s">
        <v>7586</v>
      </c>
      <c r="B531" s="1618" t="s">
        <v>5085</v>
      </c>
      <c r="C531" s="364" t="s">
        <v>427</v>
      </c>
      <c r="D531" s="364">
        <v>1</v>
      </c>
      <c r="E531" s="1637">
        <f>+' TANQUE PATAGONIA'!F97</f>
        <v>229585.73621180397</v>
      </c>
      <c r="F531" s="1648">
        <f t="shared" si="28"/>
        <v>229586</v>
      </c>
    </row>
    <row r="532" spans="1:17" ht="16.8">
      <c r="A532" s="1681" t="s">
        <v>7587</v>
      </c>
      <c r="B532" s="1618" t="s">
        <v>5081</v>
      </c>
      <c r="C532" s="364" t="s">
        <v>427</v>
      </c>
      <c r="D532" s="364">
        <v>1</v>
      </c>
      <c r="E532" s="1637">
        <f>+' TANQUE PATAGONIA'!F98</f>
        <v>241997.20343282403</v>
      </c>
      <c r="F532" s="1648">
        <f t="shared" si="28"/>
        <v>241997</v>
      </c>
    </row>
    <row r="533" spans="1:17" ht="17.399999999999999" thickBot="1">
      <c r="A533" s="1681" t="s">
        <v>7588</v>
      </c>
      <c r="B533" s="1618" t="s">
        <v>5083</v>
      </c>
      <c r="C533" s="364" t="s">
        <v>427</v>
      </c>
      <c r="D533" s="364">
        <v>1</v>
      </c>
      <c r="E533" s="1637">
        <f>+' TANQUE PATAGONIA'!F99</f>
        <v>98609.139227045103</v>
      </c>
      <c r="F533" s="1648">
        <f t="shared" si="28"/>
        <v>98609</v>
      </c>
    </row>
    <row r="534" spans="1:17" ht="16.8">
      <c r="A534" s="3334" t="s">
        <v>5756</v>
      </c>
      <c r="B534" s="3335"/>
      <c r="C534" s="3335"/>
      <c r="D534" s="3335"/>
      <c r="E534" s="3335"/>
      <c r="F534" s="3336"/>
    </row>
    <row r="535" spans="1:17" ht="33.6">
      <c r="A535" s="1590" t="s">
        <v>22</v>
      </c>
      <c r="B535" s="1591" t="s">
        <v>23</v>
      </c>
      <c r="C535" s="1591" t="s">
        <v>150</v>
      </c>
      <c r="D535" s="1592" t="s">
        <v>539</v>
      </c>
      <c r="E535" s="1593" t="s">
        <v>151</v>
      </c>
      <c r="F535" s="1593" t="s">
        <v>540</v>
      </c>
    </row>
    <row r="536" spans="1:17" s="1623" customFormat="1" ht="16.8">
      <c r="A536" s="1624" t="s">
        <v>1073</v>
      </c>
      <c r="B536" s="3342" t="s">
        <v>1237</v>
      </c>
      <c r="C536" s="3343"/>
      <c r="D536" s="3343"/>
      <c r="E536" s="3343"/>
      <c r="F536" s="3344"/>
      <c r="G536" s="1705"/>
      <c r="H536" s="1625"/>
      <c r="I536" s="1625"/>
      <c r="J536" s="1625"/>
      <c r="K536" s="1706"/>
      <c r="L536" s="1706"/>
      <c r="M536" s="1625"/>
      <c r="N536" s="1625"/>
      <c r="O536" s="1625"/>
      <c r="P536" s="1625"/>
      <c r="Q536" s="1625"/>
    </row>
    <row r="537" spans="1:17" s="1721" customFormat="1" ht="20.100000000000001" customHeight="1">
      <c r="A537" s="1718"/>
      <c r="B537" s="1626" t="s">
        <v>1082</v>
      </c>
      <c r="C537" s="1719"/>
      <c r="D537" s="1627"/>
      <c r="E537" s="1720"/>
      <c r="F537" s="1628"/>
      <c r="G537" s="2340">
        <f>+SUM(F538,F540,F546,F554,F561,F563)</f>
        <v>935364455</v>
      </c>
      <c r="H537" s="1721" t="s">
        <v>8225</v>
      </c>
      <c r="K537" s="2666"/>
      <c r="L537" s="2666"/>
      <c r="M537" s="2666"/>
    </row>
    <row r="538" spans="1:17" s="1721" customFormat="1" ht="20.100000000000001" customHeight="1">
      <c r="A538" s="1722">
        <v>76</v>
      </c>
      <c r="B538" s="1629" t="s">
        <v>1083</v>
      </c>
      <c r="C538" s="1723"/>
      <c r="D538" s="1630"/>
      <c r="E538" s="1724"/>
      <c r="F538" s="2225">
        <f>+F539</f>
        <v>17810182</v>
      </c>
      <c r="G538" s="2801">
        <f>+'LINEAS IMPULSIÓN-CONDUCCIÓN'!F193</f>
        <v>935364455</v>
      </c>
      <c r="K538" s="2666"/>
      <c r="L538" s="2666"/>
      <c r="M538" s="2666"/>
    </row>
    <row r="539" spans="1:17" s="1623" customFormat="1" ht="16.8">
      <c r="A539" s="1617" t="s">
        <v>7589</v>
      </c>
      <c r="B539" s="1631" t="s">
        <v>1086</v>
      </c>
      <c r="C539" s="1632" t="s">
        <v>1002</v>
      </c>
      <c r="D539" s="1633">
        <f>+'LINEAS IMPULSIÓN-CONDUCCIÓN'!D153</f>
        <v>7559.5</v>
      </c>
      <c r="E539" s="1634">
        <f>+'LINEAS IMPULSIÓN-CONDUCCIÓN'!E153</f>
        <v>2356</v>
      </c>
      <c r="F539" s="1634">
        <f>+ROUND(E539*D539,0)</f>
        <v>17810182</v>
      </c>
      <c r="G539" s="2349"/>
    </row>
    <row r="540" spans="1:17" s="1623" customFormat="1" ht="16.8">
      <c r="A540" s="1722">
        <v>77</v>
      </c>
      <c r="B540" s="1629" t="s">
        <v>1087</v>
      </c>
      <c r="C540" s="1723"/>
      <c r="D540" s="1630"/>
      <c r="E540" s="1724"/>
      <c r="F540" s="2225">
        <f>+ROUND(SUM(F541:F545),0)</f>
        <v>12435278</v>
      </c>
      <c r="G540" s="2359"/>
    </row>
    <row r="541" spans="1:17" s="1623" customFormat="1" ht="16.8">
      <c r="A541" s="1635" t="s">
        <v>7590</v>
      </c>
      <c r="B541" s="1618" t="s">
        <v>1088</v>
      </c>
      <c r="C541" s="1635" t="s">
        <v>356</v>
      </c>
      <c r="D541" s="1633">
        <f>+'LINEAS IMPULSIÓN-CONDUCCIÓN'!D155</f>
        <v>57.2</v>
      </c>
      <c r="E541" s="1634">
        <f>+'LINEAS IMPULSIÓN-CONDUCCIÓN'!E155</f>
        <v>51559</v>
      </c>
      <c r="F541" s="1637">
        <f>+ROUND(E541*D541,0)</f>
        <v>2949175</v>
      </c>
      <c r="G541" s="2349"/>
    </row>
    <row r="542" spans="1:17" s="1623" customFormat="1" ht="16.8">
      <c r="A542" s="1635" t="s">
        <v>7591</v>
      </c>
      <c r="B542" s="1638" t="s">
        <v>1108</v>
      </c>
      <c r="C542" s="1635" t="s">
        <v>94</v>
      </c>
      <c r="D542" s="1633">
        <f>+'LINEAS IMPULSIÓN-CONDUCCIÓN'!D156</f>
        <v>952.58000000000015</v>
      </c>
      <c r="E542" s="1634">
        <f>+'LINEAS IMPULSIÓN-CONDUCCIÓN'!E156</f>
        <v>5176</v>
      </c>
      <c r="F542" s="1637">
        <f t="shared" ref="F542:F545" si="29">+ROUND(E542*D542,0)</f>
        <v>4930554</v>
      </c>
      <c r="G542" s="2349"/>
    </row>
    <row r="543" spans="1:17" s="1623" customFormat="1" ht="16.8">
      <c r="A543" s="1635" t="s">
        <v>7592</v>
      </c>
      <c r="B543" s="1638" t="s">
        <v>1089</v>
      </c>
      <c r="C543" s="1635" t="s">
        <v>94</v>
      </c>
      <c r="D543" s="1633">
        <f>+'LINEAS IMPULSIÓN-CONDUCCIÓN'!D157</f>
        <v>150</v>
      </c>
      <c r="E543" s="1634">
        <f>+'LINEAS IMPULSIÓN-CONDUCCIÓN'!E157</f>
        <v>11371.692038071427</v>
      </c>
      <c r="F543" s="1637">
        <f t="shared" si="29"/>
        <v>1705754</v>
      </c>
      <c r="G543" s="2349"/>
    </row>
    <row r="544" spans="1:17" s="1623" customFormat="1" ht="16.8">
      <c r="A544" s="1635" t="s">
        <v>7593</v>
      </c>
      <c r="B544" s="1638" t="s">
        <v>1090</v>
      </c>
      <c r="C544" s="1635" t="s">
        <v>94</v>
      </c>
      <c r="D544" s="1633">
        <f>+'LINEAS IMPULSIÓN-CONDUCCIÓN'!D158</f>
        <v>75.423600000000008</v>
      </c>
      <c r="E544" s="1634">
        <f>+'LINEAS IMPULSIÓN-CONDUCCIÓN'!E158</f>
        <v>9950.2305333125005</v>
      </c>
      <c r="F544" s="1637">
        <f t="shared" si="29"/>
        <v>750482</v>
      </c>
      <c r="G544" s="2349"/>
    </row>
    <row r="545" spans="1:17" s="1623" customFormat="1" ht="16.8">
      <c r="A545" s="1635" t="s">
        <v>7594</v>
      </c>
      <c r="B545" s="1638" t="s">
        <v>1091</v>
      </c>
      <c r="C545" s="1635" t="s">
        <v>356</v>
      </c>
      <c r="D545" s="1633">
        <f>+'LINEAS IMPULSIÓN-CONDUCCIÓN'!D159</f>
        <v>41.4</v>
      </c>
      <c r="E545" s="1634">
        <f>+'LINEAS IMPULSIÓN-CONDUCCIÓN'!E159</f>
        <v>50708.052078235298</v>
      </c>
      <c r="F545" s="1637">
        <f t="shared" si="29"/>
        <v>2099313</v>
      </c>
      <c r="G545" s="2349"/>
    </row>
    <row r="546" spans="1:17" s="1623" customFormat="1" ht="16.8">
      <c r="A546" s="1722">
        <v>78</v>
      </c>
      <c r="B546" s="1629" t="s">
        <v>1104</v>
      </c>
      <c r="C546" s="1723"/>
      <c r="D546" s="1630"/>
      <c r="E546" s="1724"/>
      <c r="F546" s="2225">
        <f>SUM(F547:F553)</f>
        <v>434179792</v>
      </c>
      <c r="G546" s="2349"/>
    </row>
    <row r="547" spans="1:17" s="1623" customFormat="1" ht="33.6">
      <c r="A547" s="1617" t="s">
        <v>7595</v>
      </c>
      <c r="B547" s="258" t="s">
        <v>6327</v>
      </c>
      <c r="C547" s="364" t="s">
        <v>1084</v>
      </c>
      <c r="D547" s="1633">
        <f>+'LINEAS IMPULSIÓN-CONDUCCIÓN'!D161</f>
        <v>5851.9890000000005</v>
      </c>
      <c r="E547" s="1634">
        <f>+'LINEAS IMPULSIÓN-CONDUCCIÓN'!E161</f>
        <v>10000</v>
      </c>
      <c r="F547" s="1637">
        <f>+ROUND(E547*D547,0)</f>
        <v>58519890</v>
      </c>
      <c r="G547" s="2350"/>
      <c r="H547" s="1640"/>
      <c r="I547" s="1640"/>
    </row>
    <row r="548" spans="1:17" s="1623" customFormat="1" ht="17.399999999999999">
      <c r="A548" s="1617" t="s">
        <v>7596</v>
      </c>
      <c r="B548" s="263" t="s">
        <v>6292</v>
      </c>
      <c r="C548" s="1643" t="s">
        <v>1084</v>
      </c>
      <c r="D548" s="1633">
        <f>+'LINEAS IMPULSIÓN-CONDUCCIÓN'!D162</f>
        <v>59.111000000000004</v>
      </c>
      <c r="E548" s="1634">
        <f>+'LINEAS IMPULSIÓN-CONDUCCIÓN'!E162</f>
        <v>75938.251377333334</v>
      </c>
      <c r="F548" s="1637">
        <f t="shared" ref="F548:F553" si="30">+ROUND(E548*D548,0)</f>
        <v>4488786</v>
      </c>
      <c r="G548" s="2352"/>
      <c r="H548" s="1640"/>
      <c r="I548" s="1640"/>
      <c r="J548" s="1644"/>
      <c r="L548" s="1625"/>
      <c r="M548" s="1625"/>
      <c r="N548" s="1625"/>
      <c r="O548" s="1625"/>
      <c r="P548" s="1625"/>
      <c r="Q548" s="1625"/>
    </row>
    <row r="549" spans="1:17" s="1623" customFormat="1" ht="33.6">
      <c r="A549" s="1617" t="s">
        <v>7597</v>
      </c>
      <c r="B549" s="349" t="s">
        <v>6293</v>
      </c>
      <c r="C549" s="1643" t="s">
        <v>1084</v>
      </c>
      <c r="D549" s="1633">
        <f>+'LINEAS IMPULSIÓN-CONDUCCIÓN'!D163</f>
        <v>3036.7540800000011</v>
      </c>
      <c r="E549" s="1634">
        <f>+'LINEAS IMPULSIÓN-CONDUCCIÓN'!E163</f>
        <v>1826.1904761904761</v>
      </c>
      <c r="F549" s="1637">
        <f t="shared" si="30"/>
        <v>5545691</v>
      </c>
      <c r="G549" s="2352"/>
      <c r="H549" s="1640"/>
      <c r="I549" s="1640"/>
      <c r="J549" s="1644"/>
      <c r="L549" s="1625"/>
      <c r="M549" s="1625"/>
      <c r="N549" s="1625"/>
      <c r="O549" s="1625"/>
      <c r="P549" s="1625"/>
      <c r="Q549" s="1625"/>
    </row>
    <row r="550" spans="1:17" s="1623" customFormat="1" ht="50.4">
      <c r="A550" s="1617" t="s">
        <v>7598</v>
      </c>
      <c r="B550" s="1641" t="s">
        <v>5064</v>
      </c>
      <c r="C550" s="1643" t="s">
        <v>1085</v>
      </c>
      <c r="D550" s="1633">
        <f>+'LINEAS IMPULSIÓN-CONDUCCIÓN'!D164</f>
        <v>2648.875</v>
      </c>
      <c r="E550" s="1634">
        <f>+'LINEAS IMPULSIÓN-CONDUCCIÓN'!E164</f>
        <v>87012</v>
      </c>
      <c r="F550" s="1637">
        <f t="shared" si="30"/>
        <v>230483912</v>
      </c>
      <c r="G550" s="2352"/>
      <c r="H550" s="3012"/>
      <c r="I550" s="1625"/>
      <c r="J550" s="1644"/>
      <c r="K550" s="1625"/>
      <c r="L550" s="1625"/>
      <c r="M550" s="1625"/>
      <c r="N550" s="1625"/>
      <c r="O550" s="1625"/>
      <c r="P550" s="1625"/>
      <c r="Q550" s="1625"/>
    </row>
    <row r="551" spans="1:17" s="1623" customFormat="1" ht="50.4">
      <c r="A551" s="1617" t="s">
        <v>7599</v>
      </c>
      <c r="B551" s="1641" t="s">
        <v>1102</v>
      </c>
      <c r="C551" s="364" t="s">
        <v>1085</v>
      </c>
      <c r="D551" s="1633">
        <f>+'LINEAS IMPULSIÓN-CONDUCCIÓN'!D165</f>
        <v>4433.4999999999982</v>
      </c>
      <c r="E551" s="1634">
        <f>+'LINEAS IMPULSIÓN-CONDUCCIÓN'!E165</f>
        <v>12212</v>
      </c>
      <c r="F551" s="1637">
        <f t="shared" si="30"/>
        <v>54141902</v>
      </c>
      <c r="G551" s="2351"/>
      <c r="H551" s="3347"/>
      <c r="I551" s="3347"/>
      <c r="J551" s="3347"/>
      <c r="K551" s="3347"/>
      <c r="L551" s="3347"/>
      <c r="M551" s="3347"/>
      <c r="N551" s="3347"/>
      <c r="O551" s="1642"/>
    </row>
    <row r="552" spans="1:17" s="247" customFormat="1" ht="33.6">
      <c r="A552" s="1617" t="s">
        <v>7600</v>
      </c>
      <c r="B552" s="263" t="s">
        <v>6249</v>
      </c>
      <c r="C552" s="471" t="s">
        <v>1085</v>
      </c>
      <c r="D552" s="1633">
        <f>+'LINEAS IMPULSIÓN-CONDUCCIÓN'!D166</f>
        <v>104.17629999999997</v>
      </c>
      <c r="E552" s="1634">
        <f>+'LINEAS IMPULSIÓN-CONDUCCIÓN'!E166</f>
        <v>88113</v>
      </c>
      <c r="F552" s="1637">
        <f t="shared" si="30"/>
        <v>9179286</v>
      </c>
      <c r="G552" s="249"/>
      <c r="H552" s="3019"/>
      <c r="I552" s="3019"/>
      <c r="J552" s="3019"/>
      <c r="K552" s="3019"/>
      <c r="L552" s="3019"/>
      <c r="M552" s="3019"/>
      <c r="N552" s="3019"/>
      <c r="O552" s="261"/>
    </row>
    <row r="553" spans="1:17" s="1623" customFormat="1" ht="48.75" customHeight="1">
      <c r="A553" s="1617" t="s">
        <v>7601</v>
      </c>
      <c r="B553" s="1638" t="s">
        <v>5745</v>
      </c>
      <c r="C553" s="364" t="s">
        <v>94</v>
      </c>
      <c r="D553" s="1633">
        <f>+'LINEAS IMPULSIÓN-CONDUCCIÓN'!D167</f>
        <v>25</v>
      </c>
      <c r="E553" s="1634">
        <f>+'LINEAS IMPULSIÓN-CONDUCCIÓN'!E167</f>
        <v>2872813</v>
      </c>
      <c r="F553" s="1637">
        <f t="shared" si="30"/>
        <v>71820325</v>
      </c>
      <c r="G553" s="2351"/>
      <c r="H553" s="3012"/>
      <c r="I553" s="3012"/>
      <c r="J553" s="3012"/>
      <c r="K553" s="3012"/>
      <c r="L553" s="3012"/>
      <c r="M553" s="3012"/>
      <c r="N553" s="3012"/>
      <c r="O553" s="1642"/>
    </row>
    <row r="554" spans="1:17" s="1623" customFormat="1" ht="16.8">
      <c r="A554" s="1594">
        <v>79</v>
      </c>
      <c r="B554" s="1613" t="s">
        <v>1106</v>
      </c>
      <c r="C554" s="1647"/>
      <c r="D554" s="1647"/>
      <c r="E554" s="1647"/>
      <c r="F554" s="2225">
        <f>SUM(F555:F560)</f>
        <v>257705176</v>
      </c>
      <c r="G554" s="2351"/>
      <c r="I554" s="273"/>
      <c r="J554" s="273"/>
      <c r="K554" s="1706"/>
      <c r="L554" s="275"/>
      <c r="M554" s="1625"/>
      <c r="N554" s="1625"/>
      <c r="O554" s="273"/>
      <c r="P554" s="276"/>
      <c r="Q554" s="276"/>
    </row>
    <row r="555" spans="1:17" s="1623" customFormat="1" ht="30.75" customHeight="1">
      <c r="A555" s="1635" t="s">
        <v>7602</v>
      </c>
      <c r="B555" s="1638" t="s">
        <v>1107</v>
      </c>
      <c r="C555" s="1635" t="s">
        <v>1084</v>
      </c>
      <c r="D555" s="1639">
        <f>+'LINEAS IMPULSIÓN-CONDUCCIÓN'!D169</f>
        <v>356.9</v>
      </c>
      <c r="E555" s="1634">
        <f>+'LINEAS IMPULSIÓN-CONDUCCIÓN'!E169</f>
        <v>508061.26403443597</v>
      </c>
      <c r="F555" s="1648">
        <f>ROUND((+E555*D555),0)</f>
        <v>181327065</v>
      </c>
      <c r="G555" s="2351"/>
      <c r="I555" s="273"/>
      <c r="J555" s="273"/>
      <c r="K555" s="1706"/>
      <c r="L555" s="275"/>
      <c r="M555" s="1625"/>
      <c r="N555" s="1625"/>
      <c r="O555" s="273"/>
      <c r="P555" s="276"/>
      <c r="Q555" s="276"/>
    </row>
    <row r="556" spans="1:17" s="1623" customFormat="1" ht="33.6">
      <c r="A556" s="1635" t="s">
        <v>7603</v>
      </c>
      <c r="B556" s="1638" t="s">
        <v>1111</v>
      </c>
      <c r="C556" s="1635" t="s">
        <v>1084</v>
      </c>
      <c r="D556" s="1639">
        <f>+D541</f>
        <v>57.2</v>
      </c>
      <c r="E556" s="1634">
        <f>+'LINEAS IMPULSIÓN-CONDUCCIÓN'!E170</f>
        <v>721312.05156987999</v>
      </c>
      <c r="F556" s="1648">
        <f t="shared" ref="F556:F562" si="31">ROUND((+E556*D556),0)</f>
        <v>41259049</v>
      </c>
      <c r="G556" s="2351"/>
      <c r="I556" s="273"/>
      <c r="J556" s="273"/>
      <c r="K556" s="1706"/>
      <c r="L556" s="275"/>
      <c r="M556" s="1625"/>
      <c r="N556" s="1625"/>
      <c r="O556" s="273"/>
      <c r="P556" s="276"/>
      <c r="Q556" s="276"/>
    </row>
    <row r="557" spans="1:17" s="1623" customFormat="1" ht="16.8">
      <c r="A557" s="1635" t="s">
        <v>7604</v>
      </c>
      <c r="B557" s="1638" t="s">
        <v>1120</v>
      </c>
      <c r="C557" s="1635" t="s">
        <v>94</v>
      </c>
      <c r="D557" s="1639">
        <f>+D544</f>
        <v>75.423600000000008</v>
      </c>
      <c r="E557" s="1634">
        <f>+'LINEAS IMPULSIÓN-CONDUCCIÓN'!E171</f>
        <v>54299.213951898993</v>
      </c>
      <c r="F557" s="1648">
        <f t="shared" si="31"/>
        <v>4095442</v>
      </c>
      <c r="G557" s="2351"/>
      <c r="I557" s="273"/>
      <c r="J557" s="273"/>
      <c r="K557" s="1706"/>
      <c r="L557" s="275"/>
      <c r="M557" s="1625"/>
      <c r="N557" s="1625"/>
      <c r="O557" s="273"/>
      <c r="P557" s="276"/>
      <c r="Q557" s="276"/>
    </row>
    <row r="558" spans="1:17" s="1623" customFormat="1" ht="16.8">
      <c r="A558" s="1635" t="s">
        <v>7605</v>
      </c>
      <c r="B558" s="1638" t="s">
        <v>1121</v>
      </c>
      <c r="C558" s="1635" t="s">
        <v>94</v>
      </c>
      <c r="D558" s="1639">
        <f>+D543</f>
        <v>150</v>
      </c>
      <c r="E558" s="1634">
        <f>+'LINEAS IMPULSIÓN-CONDUCCIÓN'!E172</f>
        <v>41838.174079316326</v>
      </c>
      <c r="F558" s="1648">
        <f t="shared" si="31"/>
        <v>6275726</v>
      </c>
      <c r="G558" s="2351"/>
      <c r="I558" s="273"/>
      <c r="J558" s="273"/>
      <c r="K558" s="1706"/>
      <c r="L558" s="275"/>
      <c r="M558" s="1625"/>
      <c r="N558" s="1625"/>
      <c r="O558" s="273"/>
      <c r="P558" s="276"/>
      <c r="Q558" s="276"/>
    </row>
    <row r="559" spans="1:17" s="1623" customFormat="1" ht="50.4">
      <c r="A559" s="1635" t="s">
        <v>7606</v>
      </c>
      <c r="B559" s="1638" t="s">
        <v>1123</v>
      </c>
      <c r="C559" s="1635" t="s">
        <v>1084</v>
      </c>
      <c r="D559" s="1639">
        <f>+D545</f>
        <v>41.4</v>
      </c>
      <c r="E559" s="1634">
        <f>+'LINEAS IMPULSIÓN-CONDUCCIÓN'!E173</f>
        <v>444652.84510301804</v>
      </c>
      <c r="F559" s="1648">
        <f t="shared" si="31"/>
        <v>18408628</v>
      </c>
      <c r="G559" s="2351"/>
      <c r="I559" s="273"/>
      <c r="J559" s="273"/>
      <c r="K559" s="1706"/>
      <c r="L559" s="275"/>
      <c r="M559" s="1625"/>
      <c r="N559" s="1625"/>
      <c r="O559" s="273"/>
      <c r="P559" s="276"/>
      <c r="Q559" s="276"/>
    </row>
    <row r="560" spans="1:17" s="1623" customFormat="1" ht="50.4">
      <c r="A560" s="1635" t="s">
        <v>7607</v>
      </c>
      <c r="B560" s="1618" t="s">
        <v>542</v>
      </c>
      <c r="C560" s="1643" t="s">
        <v>133</v>
      </c>
      <c r="D560" s="1639">
        <v>9</v>
      </c>
      <c r="E560" s="1634">
        <f>+'LINEAS IMPULSIÓN-CONDUCCIÓN'!E174</f>
        <v>704362.91278373147</v>
      </c>
      <c r="F560" s="1648">
        <f t="shared" si="31"/>
        <v>6339266</v>
      </c>
      <c r="G560" s="2353"/>
      <c r="H560" s="1625"/>
      <c r="I560" s="1625"/>
      <c r="J560" s="1625"/>
      <c r="K560" s="1625"/>
    </row>
    <row r="561" spans="1:17" s="247" customFormat="1" ht="16.8">
      <c r="A561" s="3018">
        <v>80</v>
      </c>
      <c r="B561" s="981" t="s">
        <v>5734</v>
      </c>
      <c r="C561" s="982"/>
      <c r="D561" s="982"/>
      <c r="E561" s="982" t="s">
        <v>1158</v>
      </c>
      <c r="F561" s="2244">
        <f>F562</f>
        <v>129647700</v>
      </c>
      <c r="G561" s="254"/>
      <c r="H561" s="255"/>
      <c r="I561" s="255"/>
      <c r="J561" s="255"/>
      <c r="K561" s="1706"/>
      <c r="L561" s="1706"/>
      <c r="M561" s="255"/>
      <c r="N561" s="255"/>
      <c r="O561" s="255"/>
      <c r="P561" s="255"/>
      <c r="Q561" s="255"/>
    </row>
    <row r="562" spans="1:17" s="247" customFormat="1" ht="16.8">
      <c r="A562" s="1635" t="s">
        <v>7608</v>
      </c>
      <c r="B562" s="323" t="s">
        <v>5735</v>
      </c>
      <c r="C562" s="3020" t="s">
        <v>363</v>
      </c>
      <c r="D562" s="3020">
        <v>700</v>
      </c>
      <c r="E562" s="1634">
        <f>+'LINEAS IMPULSIÓN-CONDUCCIÓN'!E176</f>
        <v>185211</v>
      </c>
      <c r="F562" s="1648">
        <f t="shared" si="31"/>
        <v>129647700</v>
      </c>
      <c r="G562" s="254"/>
      <c r="H562" s="255"/>
      <c r="I562" s="255"/>
      <c r="J562" s="255"/>
      <c r="K562" s="1706"/>
      <c r="L562" s="1706"/>
      <c r="M562" s="255"/>
      <c r="N562" s="255"/>
      <c r="O562" s="255"/>
      <c r="P562" s="255"/>
      <c r="Q562" s="255"/>
    </row>
    <row r="563" spans="1:17" s="1623" customFormat="1" ht="16.8">
      <c r="A563" s="1594">
        <v>81</v>
      </c>
      <c r="B563" s="1613" t="s">
        <v>1127</v>
      </c>
      <c r="C563" s="1647"/>
      <c r="D563" s="1647"/>
      <c r="E563" s="1647"/>
      <c r="F563" s="2225">
        <f>SUM(F564:F578)</f>
        <v>83586327</v>
      </c>
      <c r="G563" s="1705"/>
      <c r="H563" s="1625"/>
      <c r="I563" s="1625"/>
      <c r="J563" s="1625"/>
      <c r="K563" s="1706"/>
      <c r="L563" s="1706"/>
      <c r="M563" s="1625"/>
      <c r="N563" s="1625"/>
      <c r="O563" s="1625"/>
      <c r="P563" s="1625"/>
      <c r="Q563" s="1625"/>
    </row>
    <row r="564" spans="1:17" s="1623" customFormat="1" ht="16.8">
      <c r="A564" s="1617" t="s">
        <v>7609</v>
      </c>
      <c r="B564" s="258" t="s">
        <v>6509</v>
      </c>
      <c r="C564" s="364" t="s">
        <v>94</v>
      </c>
      <c r="D564" s="1639">
        <v>5515.8</v>
      </c>
      <c r="E564" s="1634">
        <f>+'LINEAS IMPULSIÓN-CONDUCCIÓN'!E178</f>
        <v>12525</v>
      </c>
      <c r="F564" s="1637">
        <f>ROUND(+E564*D564,0)</f>
        <v>69085395</v>
      </c>
      <c r="G564" s="2349"/>
    </row>
    <row r="565" spans="1:17" s="1623" customFormat="1" ht="16.8">
      <c r="A565" s="1617" t="s">
        <v>7610</v>
      </c>
      <c r="B565" s="258" t="s">
        <v>1288</v>
      </c>
      <c r="C565" s="364" t="s">
        <v>94</v>
      </c>
      <c r="D565" s="1639">
        <v>1609.8</v>
      </c>
      <c r="E565" s="1634">
        <f>+'LINEAS IMPULSIÓN-CONDUCCIÓN'!E179</f>
        <v>3354</v>
      </c>
      <c r="F565" s="1637">
        <f t="shared" ref="F565:F578" si="32">ROUND(+E565*D565,0)</f>
        <v>5399269</v>
      </c>
      <c r="G565" s="2349"/>
    </row>
    <row r="566" spans="1:17" s="1623" customFormat="1" ht="16.8">
      <c r="A566" s="1617" t="s">
        <v>7611</v>
      </c>
      <c r="B566" s="258" t="s">
        <v>1290</v>
      </c>
      <c r="C566" s="364" t="s">
        <v>94</v>
      </c>
      <c r="D566" s="1639">
        <v>443.9</v>
      </c>
      <c r="E566" s="1634">
        <f>+'LINEAS IMPULSIÓN-CONDUCCIÓN'!E180</f>
        <v>3354</v>
      </c>
      <c r="F566" s="1637">
        <f t="shared" si="32"/>
        <v>1488841</v>
      </c>
      <c r="G566" s="2349"/>
    </row>
    <row r="567" spans="1:17" s="1623" customFormat="1" ht="16.8">
      <c r="A567" s="1617" t="s">
        <v>7612</v>
      </c>
      <c r="B567" s="258" t="s">
        <v>6522</v>
      </c>
      <c r="C567" s="364" t="s">
        <v>133</v>
      </c>
      <c r="D567" s="1639">
        <v>8</v>
      </c>
      <c r="E567" s="1634">
        <f>+'LINEAS IMPULSIÓN-CONDUCCIÓN'!E181</f>
        <v>98609.139227045103</v>
      </c>
      <c r="F567" s="1637">
        <f t="shared" si="32"/>
        <v>788873</v>
      </c>
      <c r="G567" s="2349"/>
    </row>
    <row r="568" spans="1:17" s="1623" customFormat="1" ht="16.8">
      <c r="A568" s="1617" t="s">
        <v>7613</v>
      </c>
      <c r="B568" s="258" t="s">
        <v>6526</v>
      </c>
      <c r="C568" s="364" t="s">
        <v>133</v>
      </c>
      <c r="D568" s="1649">
        <v>3</v>
      </c>
      <c r="E568" s="1634">
        <f>+'LINEAS IMPULSIÓN-CONDUCCIÓN'!E182</f>
        <v>48246.277899581997</v>
      </c>
      <c r="F568" s="1637">
        <f t="shared" si="32"/>
        <v>144739</v>
      </c>
      <c r="G568" s="2351"/>
      <c r="I568" s="273"/>
      <c r="J568" s="273"/>
      <c r="K568" s="1706"/>
      <c r="L568" s="275"/>
      <c r="M568" s="1625"/>
      <c r="N568" s="1625"/>
      <c r="O568" s="273"/>
      <c r="P568" s="276"/>
      <c r="Q568" s="276"/>
    </row>
    <row r="569" spans="1:17" s="1623" customFormat="1" ht="16.8">
      <c r="A569" s="1617" t="s">
        <v>7614</v>
      </c>
      <c r="B569" s="258" t="s">
        <v>6529</v>
      </c>
      <c r="C569" s="1636" t="s">
        <v>133</v>
      </c>
      <c r="D569" s="1649">
        <v>1</v>
      </c>
      <c r="E569" s="1634">
        <f>+'LINEAS IMPULSIÓN-CONDUCCIÓN'!E183</f>
        <v>52075.347574152001</v>
      </c>
      <c r="F569" s="1637">
        <f t="shared" si="32"/>
        <v>52075</v>
      </c>
      <c r="G569" s="2351"/>
      <c r="I569" s="273"/>
      <c r="J569" s="273"/>
      <c r="K569" s="1706"/>
      <c r="L569" s="275"/>
      <c r="M569" s="1625"/>
      <c r="N569" s="1625"/>
      <c r="O569" s="273"/>
      <c r="P569" s="276"/>
      <c r="Q569" s="276"/>
    </row>
    <row r="570" spans="1:17" s="1623" customFormat="1" ht="16.8">
      <c r="A570" s="1617" t="s">
        <v>7615</v>
      </c>
      <c r="B570" s="258" t="s">
        <v>6532</v>
      </c>
      <c r="C570" s="1636" t="s">
        <v>133</v>
      </c>
      <c r="D570" s="1649">
        <v>5</v>
      </c>
      <c r="E570" s="1634">
        <f>+'LINEAS IMPULSIÓN-CONDUCCIÓN'!E184</f>
        <v>55138.603313807995</v>
      </c>
      <c r="F570" s="1637">
        <f t="shared" si="32"/>
        <v>275693</v>
      </c>
      <c r="G570" s="2351"/>
      <c r="I570" s="273"/>
      <c r="J570" s="273"/>
      <c r="K570" s="1706"/>
      <c r="L570" s="275"/>
      <c r="M570" s="1625"/>
      <c r="N570" s="1625"/>
      <c r="O570" s="273"/>
      <c r="P570" s="276"/>
      <c r="Q570" s="276"/>
    </row>
    <row r="571" spans="1:17" s="1623" customFormat="1" ht="16.8">
      <c r="A571" s="1617" t="s">
        <v>7616</v>
      </c>
      <c r="B571" s="258" t="s">
        <v>6536</v>
      </c>
      <c r="C571" s="1636" t="s">
        <v>133</v>
      </c>
      <c r="D571" s="1649">
        <v>1</v>
      </c>
      <c r="E571" s="1634">
        <f>+'LINEAS IMPULSIÓN-CONDUCCIÓN'!E185</f>
        <v>58201.859053464002</v>
      </c>
      <c r="F571" s="1637">
        <f t="shared" si="32"/>
        <v>58202</v>
      </c>
      <c r="G571" s="2351"/>
      <c r="I571" s="273"/>
      <c r="J571" s="273"/>
      <c r="K571" s="1706"/>
      <c r="L571" s="275"/>
      <c r="M571" s="1625"/>
      <c r="N571" s="1625"/>
      <c r="O571" s="273"/>
      <c r="P571" s="276"/>
      <c r="Q571" s="276"/>
    </row>
    <row r="572" spans="1:17" s="1623" customFormat="1" ht="67.2">
      <c r="A572" s="1617" t="s">
        <v>7617</v>
      </c>
      <c r="B572" s="269" t="s">
        <v>6930</v>
      </c>
      <c r="C572" s="1636" t="s">
        <v>133</v>
      </c>
      <c r="D572" s="1649">
        <v>5</v>
      </c>
      <c r="E572" s="1634">
        <f>+'LINEAS IMPULSIÓN-CONDUCCIÓN'!E186</f>
        <v>87303</v>
      </c>
      <c r="F572" s="1637">
        <f t="shared" si="32"/>
        <v>436515</v>
      </c>
      <c r="G572" s="2351"/>
      <c r="I572" s="273"/>
      <c r="J572" s="273"/>
      <c r="K572" s="1706"/>
      <c r="L572" s="275"/>
      <c r="M572" s="1625"/>
      <c r="N572" s="1625"/>
      <c r="O572" s="273"/>
      <c r="P572" s="276"/>
      <c r="Q572" s="276"/>
    </row>
    <row r="573" spans="1:17" s="1623" customFormat="1" ht="67.2">
      <c r="A573" s="1617" t="s">
        <v>7618</v>
      </c>
      <c r="B573" s="269" t="s">
        <v>6932</v>
      </c>
      <c r="C573" s="1636" t="s">
        <v>133</v>
      </c>
      <c r="D573" s="1649">
        <v>3</v>
      </c>
      <c r="E573" s="1634">
        <f>+'LINEAS IMPULSIÓN-CONDUCCIÓN'!E187</f>
        <v>96493</v>
      </c>
      <c r="F573" s="1637">
        <f t="shared" si="32"/>
        <v>289479</v>
      </c>
      <c r="G573" s="2351"/>
      <c r="I573" s="273"/>
      <c r="J573" s="273"/>
      <c r="K573" s="1706"/>
      <c r="L573" s="275"/>
      <c r="M573" s="1625"/>
      <c r="N573" s="1625"/>
      <c r="O573" s="273"/>
      <c r="P573" s="276"/>
      <c r="Q573" s="276"/>
    </row>
    <row r="574" spans="1:17" s="1623" customFormat="1" ht="58.5" customHeight="1">
      <c r="A574" s="1617" t="s">
        <v>7619</v>
      </c>
      <c r="B574" s="269" t="s">
        <v>6934</v>
      </c>
      <c r="C574" s="1636" t="s">
        <v>133</v>
      </c>
      <c r="D574" s="1649">
        <v>1</v>
      </c>
      <c r="E574" s="1634">
        <f>+'LINEAS IMPULSIÓN-CONDUCCIÓN'!E188</f>
        <v>98014</v>
      </c>
      <c r="F574" s="1637">
        <f t="shared" si="32"/>
        <v>98014</v>
      </c>
      <c r="G574" s="2351"/>
      <c r="I574" s="273"/>
      <c r="J574" s="273"/>
      <c r="K574" s="1706"/>
      <c r="L574" s="275"/>
      <c r="M574" s="1625"/>
      <c r="N574" s="1625"/>
      <c r="O574" s="273"/>
      <c r="P574" s="276"/>
      <c r="Q574" s="276"/>
    </row>
    <row r="575" spans="1:17" s="1623" customFormat="1" ht="33.6">
      <c r="A575" s="1617" t="s">
        <v>7620</v>
      </c>
      <c r="B575" s="269" t="s">
        <v>6936</v>
      </c>
      <c r="C575" s="1636" t="s">
        <v>133</v>
      </c>
      <c r="D575" s="1649">
        <v>1</v>
      </c>
      <c r="E575" s="1634">
        <f>+'LINEAS IMPULSIÓN-CONDUCCIÓN'!E189</f>
        <v>202175</v>
      </c>
      <c r="F575" s="1637">
        <f t="shared" si="32"/>
        <v>202175</v>
      </c>
      <c r="G575" s="2351"/>
      <c r="I575" s="273"/>
      <c r="J575" s="273"/>
      <c r="K575" s="1706"/>
      <c r="L575" s="275"/>
      <c r="M575" s="1625"/>
      <c r="N575" s="1625"/>
      <c r="O575" s="273"/>
      <c r="P575" s="276"/>
      <c r="Q575" s="276"/>
    </row>
    <row r="576" spans="1:17" s="1623" customFormat="1" ht="33.6">
      <c r="A576" s="1617" t="s">
        <v>7621</v>
      </c>
      <c r="B576" s="269" t="s">
        <v>6939</v>
      </c>
      <c r="C576" s="1636" t="s">
        <v>133</v>
      </c>
      <c r="D576" s="1649">
        <v>1</v>
      </c>
      <c r="E576" s="1634">
        <f>+'LINEAS IMPULSIÓN-CONDUCCIÓN'!E190</f>
        <v>255095</v>
      </c>
      <c r="F576" s="1637">
        <f t="shared" si="32"/>
        <v>255095</v>
      </c>
      <c r="G576" s="2351"/>
      <c r="I576" s="273"/>
      <c r="J576" s="273"/>
      <c r="K576" s="1706"/>
      <c r="L576" s="275"/>
      <c r="M576" s="1625"/>
      <c r="N576" s="1625"/>
      <c r="O576" s="273"/>
      <c r="P576" s="276"/>
      <c r="Q576" s="276"/>
    </row>
    <row r="577" spans="1:17" s="1623" customFormat="1" ht="151.19999999999999">
      <c r="A577" s="1617" t="s">
        <v>7622</v>
      </c>
      <c r="B577" s="269" t="s">
        <v>6944</v>
      </c>
      <c r="C577" s="1636" t="s">
        <v>133</v>
      </c>
      <c r="D577" s="1649">
        <v>1</v>
      </c>
      <c r="E577" s="1634">
        <f>+'LINEAS IMPULSIÓN-CONDUCCIÓN'!E191</f>
        <v>861036.31183025776</v>
      </c>
      <c r="F577" s="1637">
        <f t="shared" si="32"/>
        <v>861036</v>
      </c>
      <c r="G577" s="2351"/>
      <c r="I577" s="273"/>
      <c r="J577" s="273"/>
      <c r="K577" s="1706"/>
      <c r="L577" s="275"/>
      <c r="M577" s="1625"/>
      <c r="N577" s="1625"/>
      <c r="O577" s="273"/>
      <c r="P577" s="276"/>
      <c r="Q577" s="276"/>
    </row>
    <row r="578" spans="1:17" s="1623" customFormat="1" ht="184.8">
      <c r="A578" s="1617" t="s">
        <v>7623</v>
      </c>
      <c r="B578" s="269" t="s">
        <v>6948</v>
      </c>
      <c r="C578" s="1636" t="s">
        <v>133</v>
      </c>
      <c r="D578" s="1649">
        <v>2</v>
      </c>
      <c r="E578" s="1634">
        <f>+'LINEAS IMPULSIÓN-CONDUCCIÓN'!E192</f>
        <v>2075463.0987915022</v>
      </c>
      <c r="F578" s="1637">
        <f t="shared" si="32"/>
        <v>4150926</v>
      </c>
      <c r="G578" s="2351"/>
      <c r="I578" s="273"/>
      <c r="J578" s="273"/>
      <c r="K578" s="1706"/>
      <c r="L578" s="275"/>
      <c r="M578" s="1625"/>
      <c r="N578" s="1625"/>
      <c r="O578" s="273"/>
      <c r="P578" s="276"/>
      <c r="Q578" s="276"/>
    </row>
    <row r="579" spans="1:17" s="2953" customFormat="1" ht="27" hidden="1" customHeight="1">
      <c r="A579" s="3359"/>
      <c r="B579" s="3360"/>
      <c r="C579" s="3360"/>
      <c r="D579" s="3360"/>
      <c r="E579" s="3361"/>
      <c r="G579" s="2947">
        <f>+G538+G513+G467+H420+G398+G348+G256+G147+G104+G59+G6</f>
        <v>5830072845</v>
      </c>
      <c r="H579" s="2948"/>
      <c r="I579" s="2949"/>
      <c r="J579" s="2949"/>
      <c r="K579" s="2950"/>
      <c r="L579" s="2951"/>
      <c r="M579" s="2948"/>
      <c r="N579" s="2948"/>
      <c r="O579" s="2949"/>
      <c r="P579" s="2952"/>
      <c r="Q579" s="2952"/>
    </row>
    <row r="580" spans="1:17" s="2953" customFormat="1" ht="16.8" hidden="1">
      <c r="A580" s="3362"/>
      <c r="B580" s="3363"/>
      <c r="C580" s="3363"/>
      <c r="D580" s="3364"/>
      <c r="E580" s="2954"/>
      <c r="F580" s="2946"/>
      <c r="G580" s="2947"/>
      <c r="I580" s="2949"/>
      <c r="J580" s="2949"/>
      <c r="K580" s="2950"/>
      <c r="L580" s="2951"/>
      <c r="M580" s="2948"/>
      <c r="N580" s="2948"/>
      <c r="O580" s="2949"/>
      <c r="P580" s="2952"/>
      <c r="Q580" s="2952"/>
    </row>
    <row r="581" spans="1:17" s="2953" customFormat="1" ht="16.8" hidden="1">
      <c r="A581" s="3362"/>
      <c r="B581" s="3363"/>
      <c r="C581" s="3363"/>
      <c r="D581" s="3364"/>
      <c r="E581" s="2955"/>
      <c r="F581" s="2946"/>
      <c r="G581" s="2947"/>
      <c r="I581" s="2949"/>
      <c r="J581" s="2949"/>
      <c r="K581" s="2950"/>
      <c r="L581" s="2951"/>
      <c r="M581" s="2948"/>
      <c r="N581" s="2948"/>
      <c r="O581" s="2949"/>
      <c r="P581" s="2952"/>
      <c r="Q581" s="2952"/>
    </row>
    <row r="582" spans="1:17" s="2953" customFormat="1" ht="16.8" hidden="1">
      <c r="A582" s="3362"/>
      <c r="B582" s="3363"/>
      <c r="C582" s="3363"/>
      <c r="D582" s="3364"/>
      <c r="E582" s="2956"/>
      <c r="F582" s="2946"/>
      <c r="G582" s="2947"/>
      <c r="I582" s="2949"/>
      <c r="J582" s="2949"/>
      <c r="K582" s="2950"/>
      <c r="L582" s="2951"/>
      <c r="M582" s="2948"/>
      <c r="N582" s="2948"/>
      <c r="O582" s="2949"/>
      <c r="P582" s="2952"/>
      <c r="Q582" s="2952"/>
    </row>
    <row r="583" spans="1:17" s="2953" customFormat="1" ht="28.5" hidden="1" customHeight="1">
      <c r="A583" s="3359"/>
      <c r="B583" s="3360"/>
      <c r="C583" s="3360"/>
      <c r="D583" s="3360"/>
      <c r="E583" s="3361"/>
      <c r="F583" s="2946"/>
      <c r="G583" s="2947"/>
      <c r="I583" s="2949"/>
      <c r="J583" s="2949"/>
      <c r="K583" s="2950"/>
      <c r="L583" s="2951"/>
      <c r="M583" s="2948"/>
      <c r="N583" s="2948"/>
      <c r="O583" s="2949"/>
      <c r="P583" s="2952"/>
      <c r="Q583" s="2952"/>
    </row>
    <row r="584" spans="1:17" ht="36.75" customHeight="1" thickBot="1">
      <c r="A584" s="3365" t="s">
        <v>4193</v>
      </c>
      <c r="B584" s="3366"/>
      <c r="C584" s="3366"/>
      <c r="D584" s="3366"/>
      <c r="E584" s="3366"/>
      <c r="F584" s="3367"/>
    </row>
    <row r="585" spans="1:17" ht="16.8">
      <c r="A585" s="3334" t="str">
        <f>+A3</f>
        <v>CAPTACIÓN RIO SINÚ</v>
      </c>
      <c r="B585" s="3335"/>
      <c r="C585" s="3335"/>
      <c r="D585" s="3335"/>
      <c r="E585" s="3335"/>
      <c r="F585" s="3336"/>
    </row>
    <row r="586" spans="1:17" ht="33.6">
      <c r="A586" s="1590" t="s">
        <v>22</v>
      </c>
      <c r="B586" s="1591" t="s">
        <v>23</v>
      </c>
      <c r="C586" s="1591" t="s">
        <v>150</v>
      </c>
      <c r="D586" s="1592" t="s">
        <v>539</v>
      </c>
      <c r="E586" s="1593" t="s">
        <v>151</v>
      </c>
      <c r="F586" s="1593" t="s">
        <v>540</v>
      </c>
    </row>
    <row r="587" spans="1:17" ht="16.8">
      <c r="A587" s="1683">
        <v>82</v>
      </c>
      <c r="B587" s="3357" t="s">
        <v>5190</v>
      </c>
      <c r="C587" s="3358"/>
      <c r="D587" s="3358"/>
      <c r="E587" s="1684"/>
      <c r="F587" s="2245">
        <f>SUM(F588:F589)</f>
        <v>1705350</v>
      </c>
      <c r="G587" s="2979">
        <f>+SUM(F587,F590,F596,F599,F602,F604,F606,F608,F611,F613,F615,F620,F628,F632,F634,F636)</f>
        <v>665345385</v>
      </c>
      <c r="H587" s="1717" t="s">
        <v>8225</v>
      </c>
    </row>
    <row r="588" spans="1:17" ht="33.6">
      <c r="A588" s="1617" t="s">
        <v>7624</v>
      </c>
      <c r="B588" s="1598" t="s">
        <v>5563</v>
      </c>
      <c r="C588" s="1599" t="s">
        <v>5191</v>
      </c>
      <c r="D588" s="1471">
        <v>1</v>
      </c>
      <c r="E588" s="1600">
        <f>+'CAPTACION RIO SINÚ'!E66</f>
        <v>1389200</v>
      </c>
      <c r="F588" s="1637">
        <f>ROUND(+E588*D588,0)</f>
        <v>1389200</v>
      </c>
      <c r="G588" s="2356">
        <f>+'CAPTACION RIO SINÚ'!F116</f>
        <v>665345385</v>
      </c>
    </row>
    <row r="589" spans="1:17" ht="16.8">
      <c r="A589" s="1617" t="s">
        <v>7625</v>
      </c>
      <c r="B589" s="1601" t="s">
        <v>5350</v>
      </c>
      <c r="C589" s="1599" t="s">
        <v>5191</v>
      </c>
      <c r="D589" s="1602">
        <v>1</v>
      </c>
      <c r="E589" s="1600">
        <f>+'CAPTACION RIO SINÚ'!E67</f>
        <v>316150</v>
      </c>
      <c r="F589" s="1637">
        <f t="shared" ref="F589:F598" si="33">ROUND(+E589*D589,0)</f>
        <v>316150</v>
      </c>
    </row>
    <row r="590" spans="1:17" ht="16.8">
      <c r="A590" s="1683">
        <v>83</v>
      </c>
      <c r="B590" s="3357" t="s">
        <v>5552</v>
      </c>
      <c r="C590" s="3358"/>
      <c r="D590" s="3358"/>
      <c r="E590" s="1684"/>
      <c r="F590" s="2245">
        <f>SUM(F591:F595)</f>
        <v>66131900</v>
      </c>
    </row>
    <row r="591" spans="1:17" ht="33.6">
      <c r="A591" s="1617" t="s">
        <v>7626</v>
      </c>
      <c r="B591" s="1598" t="s">
        <v>5564</v>
      </c>
      <c r="C591" s="1599" t="s">
        <v>5191</v>
      </c>
      <c r="D591" s="1471">
        <v>1</v>
      </c>
      <c r="E591" s="1600">
        <f>+'CAPTACION RIO SINÚ'!E69</f>
        <v>25245000</v>
      </c>
      <c r="F591" s="1637">
        <f t="shared" si="33"/>
        <v>25245000</v>
      </c>
    </row>
    <row r="592" spans="1:17" ht="50.4">
      <c r="A592" s="1617" t="s">
        <v>7627</v>
      </c>
      <c r="B592" s="1598" t="s">
        <v>5565</v>
      </c>
      <c r="C592" s="1599" t="s">
        <v>5191</v>
      </c>
      <c r="D592" s="1471">
        <v>1</v>
      </c>
      <c r="E592" s="1600">
        <f>+'CAPTACION RIO SINÚ'!E70</f>
        <v>2182400</v>
      </c>
      <c r="F592" s="1637">
        <f t="shared" si="33"/>
        <v>2182400</v>
      </c>
    </row>
    <row r="593" spans="1:13" ht="50.4">
      <c r="A593" s="1617" t="s">
        <v>7628</v>
      </c>
      <c r="B593" s="1598" t="s">
        <v>5566</v>
      </c>
      <c r="C593" s="1599" t="s">
        <v>4693</v>
      </c>
      <c r="D593" s="1471">
        <v>30</v>
      </c>
      <c r="E593" s="1600">
        <f>+'CAPTACION RIO SINÚ'!E71</f>
        <v>174500</v>
      </c>
      <c r="F593" s="1637">
        <f t="shared" si="33"/>
        <v>5235000</v>
      </c>
    </row>
    <row r="594" spans="1:13" s="1717" customFormat="1" ht="16.8">
      <c r="A594" s="1617" t="s">
        <v>7629</v>
      </c>
      <c r="B594" s="1598" t="s">
        <v>5434</v>
      </c>
      <c r="C594" s="1599" t="s">
        <v>5192</v>
      </c>
      <c r="D594" s="1471">
        <v>1</v>
      </c>
      <c r="E594" s="1600">
        <f>+'CAPTACION RIO SINÚ'!E72</f>
        <v>1269500</v>
      </c>
      <c r="F594" s="1637">
        <f t="shared" si="33"/>
        <v>1269500</v>
      </c>
      <c r="G594" s="2354"/>
      <c r="K594" s="1733"/>
      <c r="L594" s="1733"/>
      <c r="M594" s="1733"/>
    </row>
    <row r="595" spans="1:13" ht="67.2">
      <c r="A595" s="1617" t="s">
        <v>7630</v>
      </c>
      <c r="B595" s="1603" t="s">
        <v>5431</v>
      </c>
      <c r="C595" s="1604" t="s">
        <v>5191</v>
      </c>
      <c r="D595" s="1492">
        <v>1</v>
      </c>
      <c r="E595" s="1600">
        <f>+'CAPTACION RIO SINÚ'!E73</f>
        <v>32200000</v>
      </c>
      <c r="F595" s="1637">
        <f t="shared" si="33"/>
        <v>32200000</v>
      </c>
    </row>
    <row r="596" spans="1:13" ht="16.8">
      <c r="A596" s="1683">
        <v>84</v>
      </c>
      <c r="B596" s="3357" t="s">
        <v>5526</v>
      </c>
      <c r="C596" s="3358"/>
      <c r="D596" s="3358"/>
      <c r="E596" s="1684"/>
      <c r="F596" s="2245">
        <f>SUM(F597:F598)</f>
        <v>1405005</v>
      </c>
    </row>
    <row r="597" spans="1:13" ht="16.8">
      <c r="A597" s="1617" t="s">
        <v>7631</v>
      </c>
      <c r="B597" s="1598" t="s">
        <v>5442</v>
      </c>
      <c r="C597" s="1599" t="s">
        <v>5191</v>
      </c>
      <c r="D597" s="1471">
        <v>2</v>
      </c>
      <c r="E597" s="1600">
        <f>+'CAPTACION RIO SINÚ'!E75</f>
        <v>320381</v>
      </c>
      <c r="F597" s="1637">
        <f t="shared" si="33"/>
        <v>640762</v>
      </c>
    </row>
    <row r="598" spans="1:13" ht="16.8">
      <c r="A598" s="1617" t="s">
        <v>7632</v>
      </c>
      <c r="B598" s="1598" t="s">
        <v>5250</v>
      </c>
      <c r="C598" s="1599" t="s">
        <v>5191</v>
      </c>
      <c r="D598" s="1471">
        <v>3</v>
      </c>
      <c r="E598" s="1600">
        <f>+'CAPTACION RIO SINÚ'!E76</f>
        <v>254747.5</v>
      </c>
      <c r="F598" s="1637">
        <f t="shared" si="33"/>
        <v>764243</v>
      </c>
    </row>
    <row r="599" spans="1:13" ht="16.8">
      <c r="A599" s="1683">
        <v>85</v>
      </c>
      <c r="B599" s="3357" t="s">
        <v>5527</v>
      </c>
      <c r="C599" s="3358"/>
      <c r="D599" s="3358"/>
      <c r="E599" s="1684"/>
      <c r="F599" s="2245">
        <f>SUM(F600:F601)</f>
        <v>4800000</v>
      </c>
    </row>
    <row r="600" spans="1:13" ht="34.5" customHeight="1">
      <c r="A600" s="1617" t="s">
        <v>7633</v>
      </c>
      <c r="B600" s="1605" t="s">
        <v>5251</v>
      </c>
      <c r="C600" s="1599" t="s">
        <v>5191</v>
      </c>
      <c r="D600" s="1472">
        <v>1</v>
      </c>
      <c r="E600" s="1600">
        <f>+'CAPTACION RIO SINÚ'!E78</f>
        <v>4120000</v>
      </c>
      <c r="F600" s="1637">
        <f>ROUND(+E600*D600,0)</f>
        <v>4120000</v>
      </c>
    </row>
    <row r="601" spans="1:13" ht="50.4">
      <c r="A601" s="1617" t="s">
        <v>7634</v>
      </c>
      <c r="B601" s="1606" t="s">
        <v>5567</v>
      </c>
      <c r="C601" s="1599" t="s">
        <v>5191</v>
      </c>
      <c r="D601" s="1472">
        <v>1</v>
      </c>
      <c r="E601" s="1600">
        <f>+'CAPTACION RIO SINÚ'!E79</f>
        <v>680000</v>
      </c>
      <c r="F601" s="1637">
        <f>ROUND(+E601*D601,0)</f>
        <v>680000</v>
      </c>
    </row>
    <row r="602" spans="1:13" ht="28.5" customHeight="1">
      <c r="A602" s="1683">
        <v>86</v>
      </c>
      <c r="B602" s="3357" t="s">
        <v>5528</v>
      </c>
      <c r="C602" s="3358"/>
      <c r="D602" s="3358"/>
      <c r="E602" s="1684"/>
      <c r="F602" s="2245">
        <f>SUM(F603)</f>
        <v>10815000</v>
      </c>
    </row>
    <row r="603" spans="1:13" ht="50.4">
      <c r="A603" s="1617" t="s">
        <v>7635</v>
      </c>
      <c r="B603" s="1605" t="s">
        <v>5452</v>
      </c>
      <c r="C603" s="1599" t="s">
        <v>4693</v>
      </c>
      <c r="D603" s="1471">
        <v>15</v>
      </c>
      <c r="E603" s="1600">
        <f>+'CAPTACION RIO SINÚ'!E81</f>
        <v>721000</v>
      </c>
      <c r="F603" s="1637">
        <f>ROUND(+E603*D603,0)</f>
        <v>10815000</v>
      </c>
    </row>
    <row r="604" spans="1:13" ht="36" customHeight="1">
      <c r="A604" s="1683">
        <v>87</v>
      </c>
      <c r="B604" s="3357" t="s">
        <v>5529</v>
      </c>
      <c r="C604" s="3358"/>
      <c r="D604" s="3358"/>
      <c r="E604" s="1684"/>
      <c r="F604" s="2245">
        <f>SUM(F605)</f>
        <v>33280000</v>
      </c>
    </row>
    <row r="605" spans="1:13" ht="60" customHeight="1">
      <c r="A605" s="1617" t="s">
        <v>7636</v>
      </c>
      <c r="B605" s="1605" t="s">
        <v>5457</v>
      </c>
      <c r="C605" s="1599" t="s">
        <v>5191</v>
      </c>
      <c r="D605" s="1472">
        <v>1</v>
      </c>
      <c r="E605" s="1600">
        <f>+'CAPTACION RIO SINÚ'!E83</f>
        <v>33280000</v>
      </c>
      <c r="F605" s="1637">
        <f>ROUND(+E605*D605,0)</f>
        <v>33280000</v>
      </c>
    </row>
    <row r="606" spans="1:13" ht="39.75" customHeight="1">
      <c r="A606" s="1683">
        <v>88</v>
      </c>
      <c r="B606" s="3357" t="s">
        <v>5530</v>
      </c>
      <c r="C606" s="3358"/>
      <c r="D606" s="3358"/>
      <c r="E606" s="1684"/>
      <c r="F606" s="2245">
        <f>SUM(F607)</f>
        <v>17810000</v>
      </c>
    </row>
    <row r="607" spans="1:13" ht="63" customHeight="1">
      <c r="A607" s="1617" t="s">
        <v>7637</v>
      </c>
      <c r="B607" s="1605" t="s">
        <v>5464</v>
      </c>
      <c r="C607" s="1599" t="s">
        <v>4693</v>
      </c>
      <c r="D607" s="1471">
        <v>26</v>
      </c>
      <c r="E607" s="1600">
        <f>+'CAPTACION RIO SINÚ'!E85</f>
        <v>685000</v>
      </c>
      <c r="F607" s="1637">
        <f>ROUND(+E607*D607,0)</f>
        <v>17810000</v>
      </c>
    </row>
    <row r="608" spans="1:13" ht="35.25" customHeight="1">
      <c r="A608" s="1683">
        <v>89</v>
      </c>
      <c r="B608" s="3357" t="s">
        <v>5531</v>
      </c>
      <c r="C608" s="3358"/>
      <c r="D608" s="3358"/>
      <c r="E608" s="1684"/>
      <c r="F608" s="2245">
        <f>SUM(F609:F610)</f>
        <v>11052000</v>
      </c>
    </row>
    <row r="609" spans="1:6" ht="67.2">
      <c r="A609" s="1617" t="s">
        <v>7638</v>
      </c>
      <c r="B609" s="1605" t="s">
        <v>5568</v>
      </c>
      <c r="C609" s="1599" t="s">
        <v>4693</v>
      </c>
      <c r="D609" s="1471">
        <v>15</v>
      </c>
      <c r="E609" s="1600">
        <f>+'CAPTACION RIO SINÚ'!E87</f>
        <v>685000</v>
      </c>
      <c r="F609" s="1637">
        <f>ROUND(+E609*D609,0)</f>
        <v>10275000</v>
      </c>
    </row>
    <row r="610" spans="1:6" ht="16.8">
      <c r="A610" s="1617" t="s">
        <v>7639</v>
      </c>
      <c r="B610" s="1605" t="s">
        <v>5468</v>
      </c>
      <c r="C610" s="1599" t="s">
        <v>4693</v>
      </c>
      <c r="D610" s="1471">
        <v>7</v>
      </c>
      <c r="E610" s="1600">
        <f>+'CAPTACION RIO SINÚ'!E88</f>
        <v>111000</v>
      </c>
      <c r="F610" s="1637">
        <f>ROUND(+E610*D610,0)</f>
        <v>777000</v>
      </c>
    </row>
    <row r="611" spans="1:6" ht="16.8">
      <c r="A611" s="1683">
        <v>90</v>
      </c>
      <c r="B611" s="3357" t="s">
        <v>5532</v>
      </c>
      <c r="C611" s="3358"/>
      <c r="D611" s="3358"/>
      <c r="E611" s="1684"/>
      <c r="F611" s="2245">
        <f>SUM(F612)</f>
        <v>195214714</v>
      </c>
    </row>
    <row r="612" spans="1:6" ht="67.2">
      <c r="A612" s="1617" t="s">
        <v>7640</v>
      </c>
      <c r="B612" s="1607" t="s">
        <v>5471</v>
      </c>
      <c r="C612" s="1599" t="s">
        <v>5191</v>
      </c>
      <c r="D612" s="1471">
        <v>1</v>
      </c>
      <c r="E612" s="1600">
        <f>+'CAPTACION RIO SINÚ'!E90</f>
        <v>195214714</v>
      </c>
      <c r="F612" s="1637">
        <f>ROUND(+E612*D612,0)</f>
        <v>195214714</v>
      </c>
    </row>
    <row r="613" spans="1:6" ht="16.8">
      <c r="A613" s="1683">
        <v>91</v>
      </c>
      <c r="B613" s="3357" t="s">
        <v>5533</v>
      </c>
      <c r="C613" s="3358"/>
      <c r="D613" s="3358"/>
      <c r="E613" s="1684"/>
      <c r="F613" s="2245">
        <f>SUM(F614)</f>
        <v>135473000</v>
      </c>
    </row>
    <row r="614" spans="1:6" ht="129.75" customHeight="1">
      <c r="A614" s="1617" t="s">
        <v>7641</v>
      </c>
      <c r="B614" s="1598" t="s">
        <v>5569</v>
      </c>
      <c r="C614" s="1599" t="s">
        <v>5191</v>
      </c>
      <c r="D614" s="1472">
        <v>1</v>
      </c>
      <c r="E614" s="1600">
        <f>+'CAPTACION RIO SINÚ'!E92</f>
        <v>135473000</v>
      </c>
      <c r="F614" s="1637">
        <f>ROUND(+E614*D614,0)</f>
        <v>135473000</v>
      </c>
    </row>
    <row r="615" spans="1:6" ht="16.8">
      <c r="A615" s="1683">
        <v>92</v>
      </c>
      <c r="B615" s="3357" t="s">
        <v>5534</v>
      </c>
      <c r="C615" s="3358"/>
      <c r="D615" s="3358"/>
      <c r="E615" s="1684"/>
      <c r="F615" s="2245">
        <f>SUM(F616:F619)</f>
        <v>11352800</v>
      </c>
    </row>
    <row r="616" spans="1:6" ht="50.4">
      <c r="A616" s="1617" t="s">
        <v>7642</v>
      </c>
      <c r="B616" s="1605" t="s">
        <v>5570</v>
      </c>
      <c r="C616" s="1599" t="s">
        <v>4693</v>
      </c>
      <c r="D616" s="1471">
        <v>30</v>
      </c>
      <c r="E616" s="1600">
        <f>+'CAPTACION RIO SINÚ'!E94</f>
        <v>22050</v>
      </c>
      <c r="F616" s="1637">
        <f>ROUND(+E616*D616,0)</f>
        <v>661500</v>
      </c>
    </row>
    <row r="617" spans="1:6" ht="50.4">
      <c r="A617" s="1617" t="s">
        <v>7643</v>
      </c>
      <c r="B617" s="1605" t="s">
        <v>5571</v>
      </c>
      <c r="C617" s="1599" t="s">
        <v>4693</v>
      </c>
      <c r="D617" s="1471">
        <v>10</v>
      </c>
      <c r="E617" s="1600">
        <f>+'CAPTACION RIO SINÚ'!E95</f>
        <v>42050</v>
      </c>
      <c r="F617" s="1637">
        <f t="shared" ref="F617:F627" si="34">ROUND(+E617*D617,0)</f>
        <v>420500</v>
      </c>
    </row>
    <row r="618" spans="1:6" ht="67.2">
      <c r="A618" s="1617" t="s">
        <v>7644</v>
      </c>
      <c r="B618" s="1605" t="s">
        <v>5572</v>
      </c>
      <c r="C618" s="1599" t="s">
        <v>4693</v>
      </c>
      <c r="D618" s="1471">
        <v>56</v>
      </c>
      <c r="E618" s="1600">
        <f>+'CAPTACION RIO SINÚ'!E96</f>
        <v>169050</v>
      </c>
      <c r="F618" s="1637">
        <f t="shared" si="34"/>
        <v>9466800</v>
      </c>
    </row>
    <row r="619" spans="1:6" ht="33.6">
      <c r="A619" s="1617" t="s">
        <v>7645</v>
      </c>
      <c r="B619" s="1605" t="s">
        <v>5573</v>
      </c>
      <c r="C619" s="1599" t="s">
        <v>4693</v>
      </c>
      <c r="D619" s="1471">
        <v>12</v>
      </c>
      <c r="E619" s="1600">
        <f>+'CAPTACION RIO SINÚ'!E97</f>
        <v>67000</v>
      </c>
      <c r="F619" s="1637">
        <f t="shared" si="34"/>
        <v>804000</v>
      </c>
    </row>
    <row r="620" spans="1:6" ht="16.8">
      <c r="A620" s="1683">
        <v>93</v>
      </c>
      <c r="B620" s="3357" t="s">
        <v>5535</v>
      </c>
      <c r="C620" s="3358"/>
      <c r="D620" s="3358"/>
      <c r="E620" s="1684"/>
      <c r="F620" s="2245">
        <f>SUM(F621:F627)</f>
        <v>7660400</v>
      </c>
    </row>
    <row r="621" spans="1:6" ht="50.4">
      <c r="A621" s="1617" t="s">
        <v>7646</v>
      </c>
      <c r="B621" s="1605" t="s">
        <v>5123</v>
      </c>
      <c r="C621" s="1599" t="s">
        <v>5191</v>
      </c>
      <c r="D621" s="1471">
        <v>1</v>
      </c>
      <c r="E621" s="1600">
        <f>+'CAPTACION RIO SINÚ'!E99</f>
        <v>285000</v>
      </c>
      <c r="F621" s="1637">
        <f t="shared" si="34"/>
        <v>285000</v>
      </c>
    </row>
    <row r="622" spans="1:6" ht="50.4">
      <c r="A622" s="1617" t="s">
        <v>7647</v>
      </c>
      <c r="B622" s="1605" t="s">
        <v>5574</v>
      </c>
      <c r="C622" s="1599" t="s">
        <v>5191</v>
      </c>
      <c r="D622" s="1471">
        <v>1</v>
      </c>
      <c r="E622" s="1600">
        <f>+'CAPTACION RIO SINÚ'!E100</f>
        <v>478000</v>
      </c>
      <c r="F622" s="1637">
        <f t="shared" si="34"/>
        <v>478000</v>
      </c>
    </row>
    <row r="623" spans="1:6" ht="33.6">
      <c r="A623" s="1617" t="s">
        <v>7648</v>
      </c>
      <c r="B623" s="1609" t="s">
        <v>5575</v>
      </c>
      <c r="C623" s="1599" t="s">
        <v>5191</v>
      </c>
      <c r="D623" s="1471">
        <v>33</v>
      </c>
      <c r="E623" s="1600">
        <f>+'CAPTACION RIO SINÚ'!E101</f>
        <v>46200</v>
      </c>
      <c r="F623" s="1637">
        <f t="shared" si="34"/>
        <v>1524600</v>
      </c>
    </row>
    <row r="624" spans="1:6" ht="33.6">
      <c r="A624" s="1617" t="s">
        <v>7649</v>
      </c>
      <c r="B624" s="1609" t="s">
        <v>5576</v>
      </c>
      <c r="C624" s="1599" t="s">
        <v>5191</v>
      </c>
      <c r="D624" s="1471">
        <v>5</v>
      </c>
      <c r="E624" s="1600">
        <f>+'CAPTACION RIO SINÚ'!E102</f>
        <v>39400</v>
      </c>
      <c r="F624" s="1637">
        <f t="shared" si="34"/>
        <v>197000</v>
      </c>
    </row>
    <row r="625" spans="1:13" ht="33.6">
      <c r="A625" s="1617" t="s">
        <v>7650</v>
      </c>
      <c r="B625" s="1609" t="s">
        <v>5577</v>
      </c>
      <c r="C625" s="1599" t="s">
        <v>5191</v>
      </c>
      <c r="D625" s="1471">
        <v>2</v>
      </c>
      <c r="E625" s="1600">
        <f>+'CAPTACION RIO SINÚ'!E103</f>
        <v>52100</v>
      </c>
      <c r="F625" s="1637">
        <f t="shared" si="34"/>
        <v>104200</v>
      </c>
    </row>
    <row r="626" spans="1:13" ht="16.8">
      <c r="A626" s="1617" t="s">
        <v>7651</v>
      </c>
      <c r="B626" s="1609" t="s">
        <v>5159</v>
      </c>
      <c r="C626" s="1599" t="s">
        <v>5191</v>
      </c>
      <c r="D626" s="1471">
        <v>19</v>
      </c>
      <c r="E626" s="1600">
        <f>+'CAPTACION RIO SINÚ'!E104</f>
        <v>215200</v>
      </c>
      <c r="F626" s="1637">
        <f t="shared" si="34"/>
        <v>4088800</v>
      </c>
    </row>
    <row r="627" spans="1:13" ht="16.8">
      <c r="A627" s="1617" t="s">
        <v>7652</v>
      </c>
      <c r="B627" s="1609" t="s">
        <v>5165</v>
      </c>
      <c r="C627" s="1599" t="s">
        <v>5191</v>
      </c>
      <c r="D627" s="1471">
        <v>14</v>
      </c>
      <c r="E627" s="1600">
        <f>+'CAPTACION RIO SINÚ'!E105</f>
        <v>70200</v>
      </c>
      <c r="F627" s="1637">
        <f t="shared" si="34"/>
        <v>982800</v>
      </c>
    </row>
    <row r="628" spans="1:13" ht="16.8">
      <c r="A628" s="1683">
        <v>94</v>
      </c>
      <c r="B628" s="3357" t="s">
        <v>5536</v>
      </c>
      <c r="C628" s="3358"/>
      <c r="D628" s="3358"/>
      <c r="E628" s="1684"/>
      <c r="F628" s="2245">
        <f>SUM(F629:F631)</f>
        <v>6304000</v>
      </c>
    </row>
    <row r="629" spans="1:13" ht="50.4">
      <c r="A629" s="1617" t="s">
        <v>7653</v>
      </c>
      <c r="B629" s="1482" t="s">
        <v>5168</v>
      </c>
      <c r="C629" s="364" t="s">
        <v>4693</v>
      </c>
      <c r="D629" s="1610">
        <v>90</v>
      </c>
      <c r="E629" s="1600">
        <f>+'CAPTACION RIO SINÚ'!E107</f>
        <v>12200</v>
      </c>
      <c r="F629" s="1637">
        <f>ROUND(+E629*D629,0)</f>
        <v>1098000</v>
      </c>
    </row>
    <row r="630" spans="1:13" ht="32.25" customHeight="1">
      <c r="A630" s="1617" t="s">
        <v>7654</v>
      </c>
      <c r="B630" s="1482" t="s">
        <v>5578</v>
      </c>
      <c r="C630" s="364" t="s">
        <v>5191</v>
      </c>
      <c r="D630" s="1610">
        <v>5</v>
      </c>
      <c r="E630" s="1600">
        <f>+'CAPTACION RIO SINÚ'!E108</f>
        <v>925200</v>
      </c>
      <c r="F630" s="1637">
        <f t="shared" ref="F630:F635" si="35">ROUND(+E630*D630,0)</f>
        <v>4626000</v>
      </c>
    </row>
    <row r="631" spans="1:13" ht="16.8">
      <c r="A631" s="1617" t="s">
        <v>7655</v>
      </c>
      <c r="B631" s="1482" t="s">
        <v>5263</v>
      </c>
      <c r="C631" s="364" t="s">
        <v>5191</v>
      </c>
      <c r="D631" s="1610">
        <v>4</v>
      </c>
      <c r="E631" s="1600">
        <f>+'CAPTACION RIO SINÚ'!E109</f>
        <v>145000</v>
      </c>
      <c r="F631" s="1637">
        <f t="shared" si="35"/>
        <v>580000</v>
      </c>
    </row>
    <row r="632" spans="1:13" ht="16.8">
      <c r="A632" s="1683">
        <v>95</v>
      </c>
      <c r="B632" s="3357" t="s">
        <v>5537</v>
      </c>
      <c r="C632" s="3358"/>
      <c r="D632" s="3358"/>
      <c r="E632" s="1684"/>
      <c r="F632" s="2245">
        <f>SUM(F633)</f>
        <v>24420000</v>
      </c>
    </row>
    <row r="633" spans="1:13" ht="151.19999999999999">
      <c r="A633" s="1617" t="s">
        <v>7656</v>
      </c>
      <c r="B633" s="1709" t="s">
        <v>5595</v>
      </c>
      <c r="C633" s="1599" t="s">
        <v>5191</v>
      </c>
      <c r="D633" s="1471">
        <v>1</v>
      </c>
      <c r="E633" s="1600">
        <f>+'CAPTACION RIO SINÚ'!E111</f>
        <v>24420000</v>
      </c>
      <c r="F633" s="1637">
        <f t="shared" si="35"/>
        <v>24420000</v>
      </c>
    </row>
    <row r="634" spans="1:13" ht="16.8">
      <c r="A634" s="1683">
        <v>96</v>
      </c>
      <c r="B634" s="3357" t="s">
        <v>5657</v>
      </c>
      <c r="C634" s="3358"/>
      <c r="D634" s="3358"/>
      <c r="E634" s="1684"/>
      <c r="F634" s="2245">
        <f>SUM(F635)</f>
        <v>131111216</v>
      </c>
    </row>
    <row r="635" spans="1:13" s="1717" customFormat="1" ht="117.6">
      <c r="A635" s="1617" t="s">
        <v>7657</v>
      </c>
      <c r="B635" s="1611" t="s">
        <v>3674</v>
      </c>
      <c r="C635" s="1612" t="s">
        <v>5191</v>
      </c>
      <c r="D635" s="1612">
        <v>3</v>
      </c>
      <c r="E635" s="1600">
        <f>+'CAPTACION RIO SINÚ'!E113</f>
        <v>43703738.5</v>
      </c>
      <c r="F635" s="1637">
        <f t="shared" si="35"/>
        <v>131111216</v>
      </c>
      <c r="G635" s="2354"/>
      <c r="K635" s="1733"/>
      <c r="L635" s="1733"/>
      <c r="M635" s="1733"/>
    </row>
    <row r="636" spans="1:13" ht="16.8">
      <c r="A636" s="1683">
        <v>97</v>
      </c>
      <c r="B636" s="3357" t="s">
        <v>5538</v>
      </c>
      <c r="C636" s="3358"/>
      <c r="D636" s="3358"/>
      <c r="E636" s="1684"/>
      <c r="F636" s="2245">
        <f>SUM(F637)</f>
        <v>6810000</v>
      </c>
    </row>
    <row r="637" spans="1:13" s="1717" customFormat="1" ht="18.600000000000001" thickBot="1">
      <c r="A637" s="1617" t="s">
        <v>7658</v>
      </c>
      <c r="B637" s="2983" t="s">
        <v>5189</v>
      </c>
      <c r="C637" s="1599" t="s">
        <v>5076</v>
      </c>
      <c r="D637" s="2984">
        <v>1</v>
      </c>
      <c r="E637" s="1600">
        <f>+'CAPTACION RIO SINÚ'!E115</f>
        <v>6810000</v>
      </c>
      <c r="F637" s="1637">
        <f>ROUND(+E637*D637,0)</f>
        <v>6810000</v>
      </c>
      <c r="G637" s="2354"/>
      <c r="K637" s="1733"/>
      <c r="L637" s="1733"/>
      <c r="M637" s="1733"/>
    </row>
    <row r="638" spans="1:13" ht="16.8">
      <c r="A638" s="3334" t="s">
        <v>5758</v>
      </c>
      <c r="B638" s="3335"/>
      <c r="C638" s="3335"/>
      <c r="D638" s="3335"/>
      <c r="E638" s="3335"/>
      <c r="F638" s="3336"/>
    </row>
    <row r="639" spans="1:13" ht="33.6">
      <c r="A639" s="1590" t="s">
        <v>22</v>
      </c>
      <c r="B639" s="1591" t="s">
        <v>23</v>
      </c>
      <c r="C639" s="1591" t="s">
        <v>150</v>
      </c>
      <c r="D639" s="1592" t="s">
        <v>539</v>
      </c>
      <c r="E639" s="1593" t="s">
        <v>151</v>
      </c>
      <c r="F639" s="1593" t="s">
        <v>540</v>
      </c>
    </row>
    <row r="640" spans="1:13" ht="16.8">
      <c r="A640" s="1683">
        <v>98</v>
      </c>
      <c r="B640" s="3357" t="s">
        <v>1128</v>
      </c>
      <c r="C640" s="3358"/>
      <c r="D640" s="3358"/>
      <c r="E640" s="1684"/>
      <c r="F640" s="1771">
        <f>+SUM(F641:F680)</f>
        <v>244941123</v>
      </c>
      <c r="G640" s="2339">
        <f>+F640</f>
        <v>244941123</v>
      </c>
      <c r="H640" s="1717" t="s">
        <v>8225</v>
      </c>
    </row>
    <row r="641" spans="1:7" ht="16.8">
      <c r="A641" s="1617" t="s">
        <v>7659</v>
      </c>
      <c r="B641" s="1618" t="s">
        <v>4355</v>
      </c>
      <c r="C641" s="364" t="s">
        <v>427</v>
      </c>
      <c r="D641" s="1619">
        <v>1</v>
      </c>
      <c r="E641" s="1621">
        <f>+'CAPTACION RIO SINÚ'!E172</f>
        <v>3034480</v>
      </c>
      <c r="F641" s="1620">
        <f>ROUND(+E641*D641,0)</f>
        <v>3034480</v>
      </c>
      <c r="G641" s="2799">
        <f>+'CAPTACION RIO SINÚ'!F212</f>
        <v>244941123</v>
      </c>
    </row>
    <row r="642" spans="1:7" ht="16.8">
      <c r="A642" s="1617" t="s">
        <v>7660</v>
      </c>
      <c r="B642" s="1618" t="s">
        <v>4369</v>
      </c>
      <c r="C642" s="364" t="s">
        <v>427</v>
      </c>
      <c r="D642" s="1619">
        <v>1</v>
      </c>
      <c r="E642" s="1621">
        <f>+'CAPTACION RIO SINÚ'!E173</f>
        <v>9134820</v>
      </c>
      <c r="F642" s="1620">
        <f t="shared" ref="F642:F680" si="36">ROUND(+E642*D642,0)</f>
        <v>9134820</v>
      </c>
    </row>
    <row r="643" spans="1:7" ht="16.8">
      <c r="A643" s="1617" t="s">
        <v>7661</v>
      </c>
      <c r="B643" s="1618" t="s">
        <v>4357</v>
      </c>
      <c r="C643" s="364" t="s">
        <v>427</v>
      </c>
      <c r="D643" s="1619">
        <v>3</v>
      </c>
      <c r="E643" s="1621">
        <f>+'CAPTACION RIO SINÚ'!E174</f>
        <v>4245750</v>
      </c>
      <c r="F643" s="1620">
        <f t="shared" si="36"/>
        <v>12737250</v>
      </c>
    </row>
    <row r="644" spans="1:7" ht="16.8">
      <c r="A644" s="1617" t="s">
        <v>7662</v>
      </c>
      <c r="B644" s="1618" t="s">
        <v>4368</v>
      </c>
      <c r="C644" s="364" t="s">
        <v>427</v>
      </c>
      <c r="D644" s="1619">
        <v>1</v>
      </c>
      <c r="E644" s="1621">
        <f>+'CAPTACION RIO SINÚ'!E175</f>
        <v>4211270</v>
      </c>
      <c r="F644" s="1620">
        <f t="shared" si="36"/>
        <v>4211270</v>
      </c>
    </row>
    <row r="645" spans="1:7" ht="16.8">
      <c r="A645" s="1617" t="s">
        <v>7663</v>
      </c>
      <c r="B645" s="1618" t="s">
        <v>4359</v>
      </c>
      <c r="C645" s="364" t="s">
        <v>427</v>
      </c>
      <c r="D645" s="1619">
        <v>2</v>
      </c>
      <c r="E645" s="1621">
        <f>+'CAPTACION RIO SINÚ'!E176</f>
        <v>7116325.4000000013</v>
      </c>
      <c r="F645" s="1620">
        <f t="shared" si="36"/>
        <v>14232651</v>
      </c>
    </row>
    <row r="646" spans="1:7" ht="33.6">
      <c r="A646" s="1617" t="s">
        <v>7664</v>
      </c>
      <c r="B646" s="1618" t="s">
        <v>4360</v>
      </c>
      <c r="C646" s="364" t="s">
        <v>427</v>
      </c>
      <c r="D646" s="1619">
        <v>3</v>
      </c>
      <c r="E646" s="1621">
        <f>+'CAPTACION RIO SINÚ'!E177</f>
        <v>3404150</v>
      </c>
      <c r="F646" s="1620">
        <f t="shared" si="36"/>
        <v>10212450</v>
      </c>
    </row>
    <row r="647" spans="1:7" ht="16.8">
      <c r="A647" s="1617" t="s">
        <v>7665</v>
      </c>
      <c r="B647" s="1618" t="s">
        <v>4361</v>
      </c>
      <c r="C647" s="364" t="s">
        <v>427</v>
      </c>
      <c r="D647" s="1619">
        <v>3</v>
      </c>
      <c r="E647" s="1621">
        <f>+'CAPTACION RIO SINÚ'!E178</f>
        <v>2296260</v>
      </c>
      <c r="F647" s="1620">
        <f t="shared" si="36"/>
        <v>6888780</v>
      </c>
    </row>
    <row r="648" spans="1:7" ht="16.8">
      <c r="A648" s="1617" t="s">
        <v>7666</v>
      </c>
      <c r="B648" s="1618" t="s">
        <v>4409</v>
      </c>
      <c r="C648" s="364" t="s">
        <v>427</v>
      </c>
      <c r="D648" s="1619">
        <v>6</v>
      </c>
      <c r="E648" s="1621">
        <f>+'CAPTACION RIO SINÚ'!E179</f>
        <v>1631019</v>
      </c>
      <c r="F648" s="1620">
        <f t="shared" si="36"/>
        <v>9786114</v>
      </c>
    </row>
    <row r="649" spans="1:7" ht="16.8">
      <c r="A649" s="1617" t="s">
        <v>7667</v>
      </c>
      <c r="B649" s="1618" t="s">
        <v>4362</v>
      </c>
      <c r="C649" s="364" t="s">
        <v>427</v>
      </c>
      <c r="D649" s="1619">
        <v>3</v>
      </c>
      <c r="E649" s="1621">
        <f>+'CAPTACION RIO SINÚ'!E180</f>
        <v>1836800</v>
      </c>
      <c r="F649" s="1620">
        <f t="shared" si="36"/>
        <v>5510400</v>
      </c>
    </row>
    <row r="650" spans="1:7" ht="16.8">
      <c r="A650" s="1617" t="s">
        <v>7668</v>
      </c>
      <c r="B650" s="1618" t="s">
        <v>4402</v>
      </c>
      <c r="C650" s="364" t="s">
        <v>427</v>
      </c>
      <c r="D650" s="1619">
        <v>3</v>
      </c>
      <c r="E650" s="1621">
        <f>+'CAPTACION RIO SINÚ'!E181</f>
        <v>865125</v>
      </c>
      <c r="F650" s="1620">
        <f t="shared" si="36"/>
        <v>2595375</v>
      </c>
    </row>
    <row r="651" spans="1:7" ht="16.8">
      <c r="A651" s="1617" t="s">
        <v>7669</v>
      </c>
      <c r="B651" s="1618" t="s">
        <v>4363</v>
      </c>
      <c r="C651" s="364" t="s">
        <v>427</v>
      </c>
      <c r="D651" s="1619">
        <v>3</v>
      </c>
      <c r="E651" s="1621">
        <f>+'CAPTACION RIO SINÚ'!E182</f>
        <v>1039128</v>
      </c>
      <c r="F651" s="1620">
        <f t="shared" si="36"/>
        <v>3117384</v>
      </c>
    </row>
    <row r="652" spans="1:7" ht="16.8">
      <c r="A652" s="1617" t="s">
        <v>7670</v>
      </c>
      <c r="B652" s="1618" t="s">
        <v>5099</v>
      </c>
      <c r="C652" s="364" t="s">
        <v>427</v>
      </c>
      <c r="D652" s="1619">
        <v>3</v>
      </c>
      <c r="E652" s="1621">
        <f>+'CAPTACION RIO SINÚ'!E183</f>
        <v>514990</v>
      </c>
      <c r="F652" s="1621">
        <f t="shared" ref="F652:F653" si="37">ROUND((+E652*D652),0)</f>
        <v>1544970</v>
      </c>
    </row>
    <row r="653" spans="1:7" ht="16.8">
      <c r="A653" s="1617" t="s">
        <v>7671</v>
      </c>
      <c r="B653" s="1618" t="s">
        <v>5100</v>
      </c>
      <c r="C653" s="364" t="s">
        <v>427</v>
      </c>
      <c r="D653" s="1619">
        <v>3</v>
      </c>
      <c r="E653" s="1621">
        <f>+'CAPTACION RIO SINÚ'!E184</f>
        <v>593680</v>
      </c>
      <c r="F653" s="1621">
        <f t="shared" si="37"/>
        <v>1781040</v>
      </c>
    </row>
    <row r="654" spans="1:7" ht="16.8">
      <c r="A654" s="1617" t="s">
        <v>7672</v>
      </c>
      <c r="B654" s="1618" t="s">
        <v>4399</v>
      </c>
      <c r="C654" s="364" t="s">
        <v>427</v>
      </c>
      <c r="D654" s="1619">
        <v>1</v>
      </c>
      <c r="E654" s="1621">
        <f>+'CAPTACION RIO SINÚ'!E185</f>
        <v>1300750</v>
      </c>
      <c r="F654" s="1620">
        <f t="shared" si="36"/>
        <v>1300750</v>
      </c>
    </row>
    <row r="655" spans="1:7" ht="16.8">
      <c r="A655" s="1617" t="s">
        <v>7673</v>
      </c>
      <c r="B655" s="1618" t="s">
        <v>4410</v>
      </c>
      <c r="C655" s="364" t="s">
        <v>427</v>
      </c>
      <c r="D655" s="1619">
        <v>1</v>
      </c>
      <c r="E655" s="1621">
        <f>+'CAPTACION RIO SINÚ'!E186</f>
        <v>1513979</v>
      </c>
      <c r="F655" s="1620">
        <f t="shared" si="36"/>
        <v>1513979</v>
      </c>
    </row>
    <row r="656" spans="1:7" ht="16.8">
      <c r="A656" s="1617" t="s">
        <v>7674</v>
      </c>
      <c r="B656" s="1618" t="s">
        <v>4395</v>
      </c>
      <c r="C656" s="364" t="s">
        <v>427</v>
      </c>
      <c r="D656" s="1619">
        <v>1</v>
      </c>
      <c r="E656" s="1621">
        <f>+'CAPTACION RIO SINÚ'!E187</f>
        <v>1820097</v>
      </c>
      <c r="F656" s="1620">
        <f t="shared" si="36"/>
        <v>1820097</v>
      </c>
    </row>
    <row r="657" spans="1:6" ht="16.8">
      <c r="A657" s="1617" t="s">
        <v>7675</v>
      </c>
      <c r="B657" s="1618" t="s">
        <v>4364</v>
      </c>
      <c r="C657" s="364" t="s">
        <v>427</v>
      </c>
      <c r="D657" s="1619">
        <v>3</v>
      </c>
      <c r="E657" s="1621">
        <f>+'CAPTACION RIO SINÚ'!E188</f>
        <v>1718355</v>
      </c>
      <c r="F657" s="1620">
        <f t="shared" si="36"/>
        <v>5155065</v>
      </c>
    </row>
    <row r="658" spans="1:6" ht="16.8">
      <c r="A658" s="1617" t="s">
        <v>7676</v>
      </c>
      <c r="B658" s="1618" t="s">
        <v>4365</v>
      </c>
      <c r="C658" s="364" t="s">
        <v>427</v>
      </c>
      <c r="D658" s="1619">
        <v>3</v>
      </c>
      <c r="E658" s="1621">
        <f>+'CAPTACION RIO SINÚ'!E189</f>
        <v>4884515</v>
      </c>
      <c r="F658" s="1620">
        <f t="shared" si="36"/>
        <v>14653545</v>
      </c>
    </row>
    <row r="659" spans="1:6" ht="16.8">
      <c r="A659" s="1617" t="s">
        <v>7677</v>
      </c>
      <c r="B659" s="1618" t="s">
        <v>4393</v>
      </c>
      <c r="C659" s="364" t="s">
        <v>427</v>
      </c>
      <c r="D659" s="1619">
        <v>3</v>
      </c>
      <c r="E659" s="1621">
        <f>+'CAPTACION RIO SINÚ'!E190</f>
        <v>13195190</v>
      </c>
      <c r="F659" s="1620">
        <f t="shared" si="36"/>
        <v>39585570</v>
      </c>
    </row>
    <row r="660" spans="1:6" ht="16.8">
      <c r="A660" s="1617" t="s">
        <v>7678</v>
      </c>
      <c r="B660" s="1618" t="s">
        <v>4366</v>
      </c>
      <c r="C660" s="364" t="s">
        <v>427</v>
      </c>
      <c r="D660" s="1619">
        <v>3</v>
      </c>
      <c r="E660" s="1621">
        <f>+'CAPTACION RIO SINÚ'!E191</f>
        <v>2172800</v>
      </c>
      <c r="F660" s="1620">
        <f t="shared" si="36"/>
        <v>6518400</v>
      </c>
    </row>
    <row r="661" spans="1:6" ht="16.8">
      <c r="A661" s="1617" t="s">
        <v>7679</v>
      </c>
      <c r="B661" s="1618" t="s">
        <v>4390</v>
      </c>
      <c r="C661" s="364" t="s">
        <v>427</v>
      </c>
      <c r="D661" s="1619">
        <v>3</v>
      </c>
      <c r="E661" s="1621">
        <f>+'CAPTACION RIO SINÚ'!E192</f>
        <v>3792490</v>
      </c>
      <c r="F661" s="1620">
        <f t="shared" si="36"/>
        <v>11377470</v>
      </c>
    </row>
    <row r="662" spans="1:6" ht="16.8">
      <c r="A662" s="1617" t="s">
        <v>7680</v>
      </c>
      <c r="B662" s="1618" t="s">
        <v>4367</v>
      </c>
      <c r="C662" s="364" t="s">
        <v>427</v>
      </c>
      <c r="D662" s="1619">
        <v>3</v>
      </c>
      <c r="E662" s="1621">
        <f>+'CAPTACION RIO SINÚ'!E193</f>
        <v>5043794</v>
      </c>
      <c r="F662" s="1620">
        <f t="shared" si="36"/>
        <v>15131382</v>
      </c>
    </row>
    <row r="663" spans="1:6" ht="16.8">
      <c r="A663" s="1617" t="s">
        <v>7681</v>
      </c>
      <c r="B663" s="1618" t="s">
        <v>4481</v>
      </c>
      <c r="C663" s="364" t="s">
        <v>427</v>
      </c>
      <c r="D663" s="1619">
        <v>1</v>
      </c>
      <c r="E663" s="1621">
        <f>+'CAPTACION RIO SINÚ'!E194</f>
        <v>1428200</v>
      </c>
      <c r="F663" s="1620">
        <f t="shared" si="36"/>
        <v>1428200</v>
      </c>
    </row>
    <row r="664" spans="1:6" ht="16.8">
      <c r="A664" s="1617" t="s">
        <v>7682</v>
      </c>
      <c r="B664" s="1618" t="s">
        <v>4482</v>
      </c>
      <c r="C664" s="364" t="s">
        <v>427</v>
      </c>
      <c r="D664" s="1619">
        <v>1</v>
      </c>
      <c r="E664" s="1621">
        <f>+'CAPTACION RIO SINÚ'!E195</f>
        <v>2671480</v>
      </c>
      <c r="F664" s="1620">
        <f t="shared" si="36"/>
        <v>2671480</v>
      </c>
    </row>
    <row r="665" spans="1:6" ht="33.6">
      <c r="A665" s="1617" t="s">
        <v>7683</v>
      </c>
      <c r="B665" s="1618" t="s">
        <v>4486</v>
      </c>
      <c r="C665" s="364" t="s">
        <v>427</v>
      </c>
      <c r="D665" s="1619">
        <v>1</v>
      </c>
      <c r="E665" s="1621">
        <f>+'CAPTACION RIO SINÚ'!E196</f>
        <v>3844900</v>
      </c>
      <c r="F665" s="1620">
        <f t="shared" si="36"/>
        <v>3844900</v>
      </c>
    </row>
    <row r="666" spans="1:6" ht="16.8">
      <c r="A666" s="1617" t="s">
        <v>7684</v>
      </c>
      <c r="B666" s="1618" t="s">
        <v>4483</v>
      </c>
      <c r="C666" s="364" t="s">
        <v>427</v>
      </c>
      <c r="D666" s="1619">
        <v>1</v>
      </c>
      <c r="E666" s="1621">
        <f>+'CAPTACION RIO SINÚ'!E197</f>
        <v>2982150</v>
      </c>
      <c r="F666" s="1620">
        <f t="shared" si="36"/>
        <v>2982150</v>
      </c>
    </row>
    <row r="667" spans="1:6" ht="16.8">
      <c r="A667" s="1617" t="s">
        <v>7685</v>
      </c>
      <c r="B667" s="1618" t="s">
        <v>4485</v>
      </c>
      <c r="C667" s="364" t="s">
        <v>427</v>
      </c>
      <c r="D667" s="1619">
        <v>1</v>
      </c>
      <c r="E667" s="1621">
        <f>+'CAPTACION RIO SINÚ'!E198</f>
        <v>5284750</v>
      </c>
      <c r="F667" s="1620">
        <f t="shared" si="36"/>
        <v>5284750</v>
      </c>
    </row>
    <row r="668" spans="1:6" ht="16.8">
      <c r="A668" s="1617" t="s">
        <v>7686</v>
      </c>
      <c r="B668" s="1618" t="s">
        <v>4487</v>
      </c>
      <c r="C668" s="364" t="s">
        <v>427</v>
      </c>
      <c r="D668" s="1619">
        <v>3</v>
      </c>
      <c r="E668" s="1621">
        <f>+'CAPTACION RIO SINÚ'!E199</f>
        <v>1525948.02</v>
      </c>
      <c r="F668" s="1620">
        <f t="shared" si="36"/>
        <v>4577844</v>
      </c>
    </row>
    <row r="669" spans="1:6" ht="33.6">
      <c r="A669" s="1617" t="s">
        <v>7687</v>
      </c>
      <c r="B669" s="1618" t="s">
        <v>4488</v>
      </c>
      <c r="C669" s="364" t="s">
        <v>427</v>
      </c>
      <c r="D669" s="1619">
        <v>2</v>
      </c>
      <c r="E669" s="1621">
        <f>+'CAPTACION RIO SINÚ'!E200</f>
        <v>6465976</v>
      </c>
      <c r="F669" s="1620">
        <f t="shared" si="36"/>
        <v>12931952</v>
      </c>
    </row>
    <row r="670" spans="1:6" ht="16.8">
      <c r="A670" s="1617" t="s">
        <v>7688</v>
      </c>
      <c r="B670" s="1618" t="s">
        <v>4489</v>
      </c>
      <c r="C670" s="364" t="s">
        <v>427</v>
      </c>
      <c r="D670" s="1619">
        <v>1</v>
      </c>
      <c r="E670" s="1621">
        <f>+'CAPTACION RIO SINÚ'!E201</f>
        <v>4124500</v>
      </c>
      <c r="F670" s="1620">
        <f t="shared" si="36"/>
        <v>4124500</v>
      </c>
    </row>
    <row r="671" spans="1:6" ht="16.8">
      <c r="A671" s="1617" t="s">
        <v>7689</v>
      </c>
      <c r="B671" s="1618" t="s">
        <v>4490</v>
      </c>
      <c r="C671" s="364" t="s">
        <v>427</v>
      </c>
      <c r="D671" s="1619">
        <v>1</v>
      </c>
      <c r="E671" s="1621">
        <f>+'CAPTACION RIO SINÚ'!E202</f>
        <v>2330150</v>
      </c>
      <c r="F671" s="1620">
        <f t="shared" si="36"/>
        <v>2330150</v>
      </c>
    </row>
    <row r="672" spans="1:6" ht="16.8">
      <c r="A672" s="1617" t="s">
        <v>7690</v>
      </c>
      <c r="B672" s="1623" t="s">
        <v>4492</v>
      </c>
      <c r="C672" s="364" t="s">
        <v>427</v>
      </c>
      <c r="D672" s="1619">
        <v>1</v>
      </c>
      <c r="E672" s="1621">
        <f>+'CAPTACION RIO SINÚ'!E203</f>
        <v>3219388</v>
      </c>
      <c r="F672" s="1620">
        <f t="shared" si="36"/>
        <v>3219388</v>
      </c>
    </row>
    <row r="673" spans="1:17" ht="16.8">
      <c r="A673" s="1617" t="s">
        <v>7691</v>
      </c>
      <c r="B673" s="1618" t="s">
        <v>4491</v>
      </c>
      <c r="C673" s="364" t="s">
        <v>427</v>
      </c>
      <c r="D673" s="1619">
        <v>2</v>
      </c>
      <c r="E673" s="1621">
        <f>+'CAPTACION RIO SINÚ'!E204</f>
        <v>3730800</v>
      </c>
      <c r="F673" s="1620">
        <f t="shared" si="36"/>
        <v>7461600</v>
      </c>
    </row>
    <row r="674" spans="1:17" ht="16.8">
      <c r="A674" s="1617" t="s">
        <v>7692</v>
      </c>
      <c r="B674" s="1623" t="s">
        <v>4493</v>
      </c>
      <c r="C674" s="364" t="s">
        <v>427</v>
      </c>
      <c r="D674" s="1619">
        <v>4</v>
      </c>
      <c r="E674" s="1621">
        <f>+'CAPTACION RIO SINÚ'!E205</f>
        <v>473125</v>
      </c>
      <c r="F674" s="1620">
        <f t="shared" si="36"/>
        <v>1892500</v>
      </c>
    </row>
    <row r="675" spans="1:17" ht="33.6">
      <c r="A675" s="1617" t="s">
        <v>7693</v>
      </c>
      <c r="B675" s="1618" t="s">
        <v>4494</v>
      </c>
      <c r="C675" s="364" t="s">
        <v>427</v>
      </c>
      <c r="D675" s="1619">
        <v>1</v>
      </c>
      <c r="E675" s="1621">
        <f>+'CAPTACION RIO SINÚ'!E206</f>
        <v>2981250</v>
      </c>
      <c r="F675" s="1620">
        <f t="shared" si="36"/>
        <v>2981250</v>
      </c>
    </row>
    <row r="676" spans="1:17" ht="16.8">
      <c r="A676" s="1617" t="s">
        <v>7694</v>
      </c>
      <c r="B676" s="1618" t="s">
        <v>4495</v>
      </c>
      <c r="C676" s="364" t="s">
        <v>427</v>
      </c>
      <c r="D676" s="1619">
        <v>1</v>
      </c>
      <c r="E676" s="1621">
        <f>+'CAPTACION RIO SINÚ'!E207</f>
        <v>2014037</v>
      </c>
      <c r="F676" s="1620">
        <f t="shared" si="36"/>
        <v>2014037</v>
      </c>
    </row>
    <row r="677" spans="1:17" ht="16.8">
      <c r="A677" s="1617" t="s">
        <v>7695</v>
      </c>
      <c r="B677" s="1623" t="s">
        <v>4496</v>
      </c>
      <c r="C677" s="364" t="s">
        <v>427</v>
      </c>
      <c r="D677" s="1619">
        <v>6</v>
      </c>
      <c r="E677" s="1621">
        <f>+'CAPTACION RIO SINÚ'!E208</f>
        <v>281525</v>
      </c>
      <c r="F677" s="1620">
        <f t="shared" si="36"/>
        <v>1689150</v>
      </c>
    </row>
    <row r="678" spans="1:17" ht="16.8">
      <c r="A678" s="1617" t="s">
        <v>7696</v>
      </c>
      <c r="B678" s="1618" t="s">
        <v>4497</v>
      </c>
      <c r="C678" s="364" t="s">
        <v>427</v>
      </c>
      <c r="D678" s="1619">
        <v>1</v>
      </c>
      <c r="E678" s="1621">
        <f>+'CAPTACION RIO SINÚ'!E209</f>
        <v>1427620</v>
      </c>
      <c r="F678" s="1620">
        <f t="shared" si="36"/>
        <v>1427620</v>
      </c>
    </row>
    <row r="679" spans="1:17" ht="16.8">
      <c r="A679" s="1617" t="s">
        <v>7697</v>
      </c>
      <c r="B679" s="1618" t="s">
        <v>4498</v>
      </c>
      <c r="C679" s="364" t="s">
        <v>427</v>
      </c>
      <c r="D679" s="1619">
        <v>1</v>
      </c>
      <c r="E679" s="1621">
        <f>+'CAPTACION RIO SINÚ'!E210</f>
        <v>724860</v>
      </c>
      <c r="F679" s="1620">
        <f>ROUND(+E679*D679,0)</f>
        <v>724860</v>
      </c>
    </row>
    <row r="680" spans="1:17" ht="34.200000000000003" thickBot="1">
      <c r="A680" s="1617" t="s">
        <v>7698</v>
      </c>
      <c r="B680" s="1618" t="s">
        <v>4570</v>
      </c>
      <c r="C680" s="364" t="s">
        <v>427</v>
      </c>
      <c r="D680" s="1619">
        <v>1</v>
      </c>
      <c r="E680" s="1621">
        <f>+'CAPTACION RIO SINÚ'!E211</f>
        <v>1511550</v>
      </c>
      <c r="F680" s="1620">
        <f t="shared" si="36"/>
        <v>1511550</v>
      </c>
    </row>
    <row r="681" spans="1:17" ht="16.8">
      <c r="A681" s="3334" t="str">
        <f>+A99</f>
        <v>LINEA DE IMPULSION CAPTACIÓN - PTAP TIJERETAS</v>
      </c>
      <c r="B681" s="3335"/>
      <c r="C681" s="3335"/>
      <c r="D681" s="3335"/>
      <c r="E681" s="3335"/>
      <c r="F681" s="3336"/>
    </row>
    <row r="682" spans="1:17" ht="33.6">
      <c r="A682" s="1590" t="s">
        <v>22</v>
      </c>
      <c r="B682" s="1591" t="s">
        <v>23</v>
      </c>
      <c r="C682" s="1591" t="s">
        <v>150</v>
      </c>
      <c r="D682" s="1592" t="s">
        <v>539</v>
      </c>
      <c r="E682" s="1593" t="s">
        <v>151</v>
      </c>
      <c r="F682" s="1593" t="s">
        <v>540</v>
      </c>
    </row>
    <row r="683" spans="1:17" s="1623" customFormat="1" ht="16.8">
      <c r="A683" s="1707">
        <v>99</v>
      </c>
      <c r="B683" s="3368" t="s">
        <v>1128</v>
      </c>
      <c r="C683" s="3369"/>
      <c r="D683" s="3369"/>
      <c r="E683" s="1708"/>
      <c r="F683" s="2980">
        <f>+SUM(F684:F694)</f>
        <v>3405599240</v>
      </c>
      <c r="G683" s="2342">
        <f>+F683</f>
        <v>3405599240</v>
      </c>
      <c r="H683" s="1623" t="s">
        <v>8225</v>
      </c>
      <c r="I683" s="1625"/>
      <c r="J683" s="1625"/>
      <c r="K683" s="1706"/>
      <c r="L683" s="1706"/>
      <c r="M683" s="1625"/>
      <c r="N683" s="1625"/>
      <c r="O683" s="1625"/>
      <c r="P683" s="1625"/>
      <c r="Q683" s="1625"/>
    </row>
    <row r="684" spans="1:17" s="1623" customFormat="1" ht="20.25" customHeight="1">
      <c r="A684" s="1617" t="s">
        <v>7699</v>
      </c>
      <c r="B684" s="258" t="s">
        <v>6435</v>
      </c>
      <c r="C684" s="364" t="s">
        <v>94</v>
      </c>
      <c r="D684" s="1639">
        <f>+'LINEAS IMPULSIÓN-CONDUCCIÓN'!D60</f>
        <v>1031</v>
      </c>
      <c r="E684" s="1637">
        <f>+'LINEAS IMPULSIÓN-CONDUCCIÓN'!E60</f>
        <v>424179</v>
      </c>
      <c r="F684" s="1637">
        <f>ROUND(+E684*D684,0)</f>
        <v>437328549</v>
      </c>
      <c r="G684" s="2802">
        <f>+'LINEAS IMPULSIÓN-CONDUCCIÓN'!F71</f>
        <v>3405599240</v>
      </c>
    </row>
    <row r="685" spans="1:17" s="1623" customFormat="1" ht="20.25" customHeight="1">
      <c r="A685" s="1617" t="s">
        <v>7700</v>
      </c>
      <c r="B685" s="258" t="s">
        <v>8729</v>
      </c>
      <c r="C685" s="364" t="s">
        <v>94</v>
      </c>
      <c r="D685" s="1639">
        <f>+'LINEAS IMPULSIÓN-CONDUCCIÓN'!D61</f>
        <v>1057</v>
      </c>
      <c r="E685" s="1637">
        <f>+'LINEAS IMPULSIÓN-CONDUCCIÓN'!E61</f>
        <v>339831</v>
      </c>
      <c r="F685" s="1637">
        <f t="shared" ref="F685:F686" si="38">ROUND(+E685*D685,0)</f>
        <v>359201367</v>
      </c>
      <c r="G685" s="2802"/>
    </row>
    <row r="686" spans="1:17" s="1623" customFormat="1" ht="20.25" customHeight="1">
      <c r="A686" s="1617" t="s">
        <v>7701</v>
      </c>
      <c r="B686" s="258" t="s">
        <v>8730</v>
      </c>
      <c r="C686" s="364" t="s">
        <v>94</v>
      </c>
      <c r="D686" s="1639">
        <f>+'LINEAS IMPULSIÓN-CONDUCCIÓN'!D62</f>
        <v>504</v>
      </c>
      <c r="E686" s="1637">
        <f>+'LINEAS IMPULSIÓN-CONDUCCIÓN'!E62</f>
        <v>289333</v>
      </c>
      <c r="F686" s="1637">
        <f t="shared" si="38"/>
        <v>145823832</v>
      </c>
      <c r="G686" s="2802"/>
    </row>
    <row r="687" spans="1:17" s="1623" customFormat="1" ht="20.25" customHeight="1">
      <c r="A687" s="1617" t="s">
        <v>7702</v>
      </c>
      <c r="B687" s="258" t="s">
        <v>8731</v>
      </c>
      <c r="C687" s="364" t="s">
        <v>94</v>
      </c>
      <c r="D687" s="1639">
        <f>+'LINEAS IMPULSIÓN-CONDUCCIÓN'!D63</f>
        <v>2174</v>
      </c>
      <c r="E687" s="1637">
        <f>+'LINEAS IMPULSIÓN-CONDUCCIÓN'!E63</f>
        <v>230053</v>
      </c>
      <c r="F687" s="1637">
        <f>ROUND(+E687*D687,0)</f>
        <v>500135222</v>
      </c>
      <c r="G687" s="2802">
        <f>+SUM(F684:F687)</f>
        <v>1442488970</v>
      </c>
    </row>
    <row r="688" spans="1:17" s="1623" customFormat="1" ht="20.25" customHeight="1">
      <c r="A688" s="1617" t="s">
        <v>7703</v>
      </c>
      <c r="B688" s="258" t="s">
        <v>8767</v>
      </c>
      <c r="C688" s="364" t="s">
        <v>94</v>
      </c>
      <c r="D688" s="1639">
        <f>+'LINEAS IMPULSIÓN-CONDUCCIÓN'!D64</f>
        <v>2287</v>
      </c>
      <c r="E688" s="1637">
        <f>+'LINEAS IMPULSIÓN-CONDUCCIÓN'!E64</f>
        <v>492026</v>
      </c>
      <c r="F688" s="1637">
        <f>ROUND(+E688*D688,0)</f>
        <v>1125263462</v>
      </c>
      <c r="G688" s="2802"/>
    </row>
    <row r="689" spans="1:17" s="1623" customFormat="1" ht="20.25" customHeight="1">
      <c r="A689" s="1617" t="s">
        <v>8579</v>
      </c>
      <c r="B689" s="258" t="s">
        <v>8546</v>
      </c>
      <c r="C689" s="471" t="s">
        <v>94</v>
      </c>
      <c r="D689" s="1639">
        <f>+'LINEAS IMPULSIÓN-CONDUCCIÓN'!D65</f>
        <v>2757</v>
      </c>
      <c r="E689" s="1637">
        <f>+'LINEAS IMPULSIÓN-CONDUCCIÓN'!E65</f>
        <v>227416</v>
      </c>
      <c r="F689" s="1637">
        <f t="shared" ref="F689:F690" si="39">ROUND(+E689*D689,0)</f>
        <v>626985912</v>
      </c>
      <c r="G689" s="2814">
        <f>2994703790-G687</f>
        <v>1552214820</v>
      </c>
    </row>
    <row r="690" spans="1:17" s="1623" customFormat="1" ht="20.25" customHeight="1">
      <c r="A690" s="1617" t="s">
        <v>8580</v>
      </c>
      <c r="B690" s="258" t="s">
        <v>8547</v>
      </c>
      <c r="C690" s="471" t="s">
        <v>94</v>
      </c>
      <c r="D690" s="2793">
        <f>+'LINEAS IMPULSIÓN-CONDUCCIÓN'!D66</f>
        <v>500.73</v>
      </c>
      <c r="E690" s="1637">
        <f>+'LINEAS IMPULSIÓN-CONDUCCIÓN'!E66</f>
        <v>146753</v>
      </c>
      <c r="F690" s="1637">
        <f t="shared" si="39"/>
        <v>73483630</v>
      </c>
      <c r="G690" s="2349"/>
    </row>
    <row r="691" spans="1:17" s="1623" customFormat="1" ht="27.75" customHeight="1">
      <c r="A691" s="1617" t="s">
        <v>8735</v>
      </c>
      <c r="B691" s="258" t="s">
        <v>6512</v>
      </c>
      <c r="C691" s="364" t="s">
        <v>133</v>
      </c>
      <c r="D691" s="1646">
        <v>4</v>
      </c>
      <c r="E691" s="1637">
        <f>+'LINEAS IMPULSIÓN-CONDUCCIÓN'!E67</f>
        <v>1212318.45</v>
      </c>
      <c r="F691" s="1637">
        <f>ROUND(+E691*D691,0)</f>
        <v>4849274</v>
      </c>
      <c r="G691" s="279"/>
      <c r="H691" s="1625"/>
      <c r="I691" s="1669"/>
      <c r="J691" s="1669"/>
    </row>
    <row r="692" spans="1:17" s="1623" customFormat="1" ht="75.75" customHeight="1">
      <c r="A692" s="1617" t="s">
        <v>8736</v>
      </c>
      <c r="B692" s="269" t="s">
        <v>6825</v>
      </c>
      <c r="C692" s="1636" t="s">
        <v>133</v>
      </c>
      <c r="D692" s="1646">
        <v>12</v>
      </c>
      <c r="E692" s="1637">
        <f>+'LINEAS IMPULSIÓN-CONDUCCIÓN'!E68</f>
        <v>1046050</v>
      </c>
      <c r="F692" s="1637">
        <f>ROUND(+E692*D692,0)</f>
        <v>12552600</v>
      </c>
      <c r="G692" s="2351"/>
      <c r="I692" s="273"/>
      <c r="J692" s="273"/>
      <c r="K692" s="1706"/>
      <c r="L692" s="275"/>
      <c r="M692" s="1625"/>
      <c r="N692" s="1625"/>
      <c r="O692" s="273"/>
      <c r="P692" s="276"/>
      <c r="Q692" s="276"/>
    </row>
    <row r="693" spans="1:17" s="1623" customFormat="1" ht="65.25" customHeight="1">
      <c r="A693" s="1617" t="s">
        <v>8737</v>
      </c>
      <c r="B693" s="269" t="s">
        <v>6284</v>
      </c>
      <c r="C693" s="1636" t="s">
        <v>133</v>
      </c>
      <c r="D693" s="1646">
        <v>5</v>
      </c>
      <c r="E693" s="1637">
        <f>+'LINEAS IMPULSIÓN-CONDUCCIÓN'!E69</f>
        <v>614440</v>
      </c>
      <c r="F693" s="1637">
        <f>ROUND(+E693*D693,0)</f>
        <v>3072200</v>
      </c>
      <c r="G693" s="2351"/>
      <c r="I693" s="273"/>
      <c r="J693" s="273"/>
      <c r="K693" s="1706"/>
      <c r="L693" s="275"/>
      <c r="M693" s="1625"/>
      <c r="N693" s="1625"/>
      <c r="O693" s="273"/>
      <c r="P693" s="276"/>
      <c r="Q693" s="276"/>
    </row>
    <row r="694" spans="1:17" s="1623" customFormat="1" ht="151.80000000000001" thickBot="1">
      <c r="A694" s="1617" t="s">
        <v>8771</v>
      </c>
      <c r="B694" s="269" t="s">
        <v>6949</v>
      </c>
      <c r="C694" s="1636" t="s">
        <v>133</v>
      </c>
      <c r="D694" s="1649">
        <v>2</v>
      </c>
      <c r="E694" s="1637">
        <f>+'LINEAS IMPULSIÓN-CONDUCCIÓN'!E70</f>
        <v>58451595.829999998</v>
      </c>
      <c r="F694" s="1637">
        <f>ROUND(+E694*D694,0)</f>
        <v>116903192</v>
      </c>
      <c r="G694" s="2351"/>
      <c r="I694" s="273"/>
      <c r="J694" s="273"/>
      <c r="K694" s="1706"/>
      <c r="L694" s="275"/>
      <c r="M694" s="1625"/>
      <c r="N694" s="1625"/>
      <c r="O694" s="273"/>
      <c r="P694" s="276"/>
      <c r="Q694" s="276"/>
    </row>
    <row r="695" spans="1:17" ht="16.8">
      <c r="A695" s="3334" t="str">
        <f>+A144</f>
        <v>OPTIMIZACION PLANTA DE TRATAMIENTO DE AGUA POTABLE TIJERETA</v>
      </c>
      <c r="B695" s="3335"/>
      <c r="C695" s="3335"/>
      <c r="D695" s="3335"/>
      <c r="E695" s="3335"/>
      <c r="F695" s="3336"/>
    </row>
    <row r="696" spans="1:17" ht="33.6">
      <c r="A696" s="1590" t="s">
        <v>22</v>
      </c>
      <c r="B696" s="1591" t="s">
        <v>23</v>
      </c>
      <c r="C696" s="1591" t="s">
        <v>150</v>
      </c>
      <c r="D696" s="1592" t="s">
        <v>539</v>
      </c>
      <c r="E696" s="1593" t="s">
        <v>151</v>
      </c>
      <c r="F696" s="1593" t="s">
        <v>540</v>
      </c>
    </row>
    <row r="697" spans="1:17" ht="18">
      <c r="A697" s="1686"/>
      <c r="B697" s="3370" t="s">
        <v>3853</v>
      </c>
      <c r="C697" s="3370"/>
      <c r="D697" s="3370"/>
      <c r="E697" s="3370"/>
      <c r="F697" s="1687"/>
    </row>
    <row r="698" spans="1:17" ht="16.8">
      <c r="A698" s="1707">
        <v>100</v>
      </c>
      <c r="B698" s="1688" t="s">
        <v>4770</v>
      </c>
      <c r="C698" s="1772"/>
      <c r="D698" s="1773"/>
      <c r="E698" s="1774"/>
      <c r="F698" s="2248">
        <f>SUM(F699:F710)</f>
        <v>308584641</v>
      </c>
      <c r="G698" s="2220">
        <f>+F698+F711+F715+F719</f>
        <v>1468664322</v>
      </c>
      <c r="H698" s="1717" t="s">
        <v>8225</v>
      </c>
    </row>
    <row r="699" spans="1:17" s="1717" customFormat="1" ht="29.25" customHeight="1">
      <c r="A699" s="1622" t="s">
        <v>7704</v>
      </c>
      <c r="B699" s="1711" t="s">
        <v>7057</v>
      </c>
      <c r="C699" s="1730" t="s">
        <v>133</v>
      </c>
      <c r="D699" s="1576">
        <f>+'PTAP TIJERETAS'!D121</f>
        <v>7</v>
      </c>
      <c r="E699" s="1531">
        <f>+'PTAP TIJERETAS'!E121</f>
        <v>2322007</v>
      </c>
      <c r="F699" s="1531">
        <f>ROUND(D699*E699,0)</f>
        <v>16254049</v>
      </c>
      <c r="G699" s="2355">
        <f>+'PTAP TIJERETAS'!F154</f>
        <v>1468664322</v>
      </c>
      <c r="K699" s="1733"/>
      <c r="L699" s="1733"/>
      <c r="M699" s="1733"/>
    </row>
    <row r="700" spans="1:17" s="1717" customFormat="1" ht="20.25" customHeight="1">
      <c r="A700" s="1622" t="s">
        <v>7705</v>
      </c>
      <c r="B700" s="1711" t="s">
        <v>6673</v>
      </c>
      <c r="C700" s="1730" t="s">
        <v>133</v>
      </c>
      <c r="D700" s="1576">
        <f>+'PTAP TIJERETAS'!D122</f>
        <v>2</v>
      </c>
      <c r="E700" s="1531">
        <f>+'PTAP TIJERETAS'!E122</f>
        <v>606100</v>
      </c>
      <c r="F700" s="1531">
        <f t="shared" ref="F700:F710" si="40">ROUND(D700*E700,0)</f>
        <v>1212200</v>
      </c>
      <c r="G700" s="2803">
        <f>+G699-G698</f>
        <v>0</v>
      </c>
      <c r="K700" s="1733"/>
      <c r="L700" s="1733"/>
      <c r="M700" s="1733"/>
    </row>
    <row r="701" spans="1:17" s="1717" customFormat="1" ht="41.25" customHeight="1">
      <c r="A701" s="1622" t="s">
        <v>7706</v>
      </c>
      <c r="B701" s="1711" t="s">
        <v>4786</v>
      </c>
      <c r="C701" s="1730" t="s">
        <v>133</v>
      </c>
      <c r="D701" s="1576">
        <f>+'PTAP TIJERETAS'!D123</f>
        <v>14</v>
      </c>
      <c r="E701" s="1531">
        <f>+'PTAP TIJERETAS'!E123</f>
        <v>7129440</v>
      </c>
      <c r="F701" s="1531">
        <f t="shared" si="40"/>
        <v>99812160</v>
      </c>
      <c r="G701" s="2354"/>
      <c r="K701" s="1733"/>
      <c r="L701" s="1733"/>
      <c r="M701" s="1733"/>
    </row>
    <row r="702" spans="1:17" s="1717" customFormat="1" ht="42.75" customHeight="1">
      <c r="A702" s="1622" t="s">
        <v>7707</v>
      </c>
      <c r="B702" s="1711" t="s">
        <v>4787</v>
      </c>
      <c r="C702" s="1730" t="s">
        <v>133</v>
      </c>
      <c r="D702" s="1576">
        <f>+'PTAP TIJERETAS'!D124</f>
        <v>3</v>
      </c>
      <c r="E702" s="1531">
        <f>+'PTAP TIJERETAS'!E124</f>
        <v>12724302</v>
      </c>
      <c r="F702" s="1531">
        <f t="shared" si="40"/>
        <v>38172906</v>
      </c>
      <c r="G702" s="2354"/>
      <c r="K702" s="1733"/>
      <c r="L702" s="1733"/>
      <c r="M702" s="1733"/>
    </row>
    <row r="703" spans="1:17" s="1717" customFormat="1" ht="45.75" customHeight="1">
      <c r="A703" s="1622" t="s">
        <v>7708</v>
      </c>
      <c r="B703" s="1711" t="s">
        <v>4788</v>
      </c>
      <c r="C703" s="1730" t="s">
        <v>133</v>
      </c>
      <c r="D703" s="1576">
        <f>+'PTAP TIJERETAS'!D125</f>
        <v>12</v>
      </c>
      <c r="E703" s="1531">
        <f>+'PTAP TIJERETAS'!E125</f>
        <v>7656229</v>
      </c>
      <c r="F703" s="1531">
        <f t="shared" si="40"/>
        <v>91874748</v>
      </c>
      <c r="G703" s="2354"/>
      <c r="K703" s="1733"/>
      <c r="L703" s="1733"/>
      <c r="M703" s="1733"/>
    </row>
    <row r="704" spans="1:17" s="1717" customFormat="1" ht="33.75" customHeight="1">
      <c r="A704" s="1622" t="s">
        <v>7709</v>
      </c>
      <c r="B704" s="1711" t="s">
        <v>7088</v>
      </c>
      <c r="C704" s="1730" t="s">
        <v>133</v>
      </c>
      <c r="D704" s="1576">
        <f>+'PTAP TIJERETAS'!D126</f>
        <v>6</v>
      </c>
      <c r="E704" s="1531">
        <f>+'PTAP TIJERETAS'!E126</f>
        <v>5074528</v>
      </c>
      <c r="F704" s="1531">
        <f t="shared" si="40"/>
        <v>30447168</v>
      </c>
      <c r="G704" s="2354"/>
      <c r="K704" s="1733"/>
      <c r="L704" s="1733"/>
      <c r="M704" s="1733"/>
    </row>
    <row r="705" spans="1:13" s="1717" customFormat="1" ht="33.75" customHeight="1">
      <c r="A705" s="1622" t="s">
        <v>7710</v>
      </c>
      <c r="B705" s="1711" t="s">
        <v>7102</v>
      </c>
      <c r="C705" s="1730" t="s">
        <v>133</v>
      </c>
      <c r="D705" s="1576">
        <f>+'PTAP TIJERETAS'!D127</f>
        <v>3</v>
      </c>
      <c r="E705" s="1531">
        <f>+'PTAP TIJERETAS'!E127</f>
        <v>958578</v>
      </c>
      <c r="F705" s="1531">
        <f t="shared" si="40"/>
        <v>2875734</v>
      </c>
      <c r="G705" s="2354"/>
      <c r="K705" s="1733"/>
      <c r="L705" s="1733"/>
      <c r="M705" s="1733"/>
    </row>
    <row r="706" spans="1:13" s="1717" customFormat="1" ht="29.25" customHeight="1">
      <c r="A706" s="1622" t="s">
        <v>7711</v>
      </c>
      <c r="B706" s="1711" t="s">
        <v>6670</v>
      </c>
      <c r="C706" s="1730" t="s">
        <v>133</v>
      </c>
      <c r="D706" s="1576">
        <f>+'PTAP TIJERETAS'!D128</f>
        <v>3</v>
      </c>
      <c r="E706" s="1531">
        <f>+'PTAP TIJERETAS'!E128</f>
        <v>748000</v>
      </c>
      <c r="F706" s="1531">
        <f t="shared" si="40"/>
        <v>2244000</v>
      </c>
      <c r="G706" s="2354"/>
      <c r="K706" s="1733"/>
      <c r="L706" s="1733"/>
      <c r="M706" s="1733"/>
    </row>
    <row r="707" spans="1:13" s="1717" customFormat="1" ht="34.5" customHeight="1">
      <c r="A707" s="1622" t="s">
        <v>7712</v>
      </c>
      <c r="B707" s="1711" t="s">
        <v>6676</v>
      </c>
      <c r="C707" s="1730" t="s">
        <v>133</v>
      </c>
      <c r="D707" s="1576">
        <f>+'PTAP TIJERETAS'!D129</f>
        <v>5</v>
      </c>
      <c r="E707" s="1531">
        <f>+'PTAP TIJERETAS'!E129</f>
        <v>1612400</v>
      </c>
      <c r="F707" s="1531">
        <f t="shared" si="40"/>
        <v>8062000</v>
      </c>
      <c r="G707" s="2354"/>
      <c r="K707" s="1733"/>
      <c r="L707" s="1733"/>
      <c r="M707" s="1733"/>
    </row>
    <row r="708" spans="1:13" ht="34.5" customHeight="1">
      <c r="A708" s="1622" t="s">
        <v>7713</v>
      </c>
      <c r="B708" s="1711" t="s">
        <v>7058</v>
      </c>
      <c r="C708" s="1730" t="s">
        <v>133</v>
      </c>
      <c r="D708" s="1576">
        <f>+'PTAP TIJERETAS'!D130</f>
        <v>7</v>
      </c>
      <c r="E708" s="1531">
        <f>+'PTAP TIJERETAS'!E130</f>
        <v>1134698</v>
      </c>
      <c r="F708" s="1531">
        <f t="shared" si="40"/>
        <v>7942886</v>
      </c>
    </row>
    <row r="709" spans="1:13" ht="34.5" customHeight="1">
      <c r="A709" s="1622" t="s">
        <v>7714</v>
      </c>
      <c r="B709" s="1711" t="s">
        <v>7059</v>
      </c>
      <c r="C709" s="1730" t="s">
        <v>133</v>
      </c>
      <c r="D709" s="1576">
        <f>+'PTAP TIJERETAS'!D131</f>
        <v>2</v>
      </c>
      <c r="E709" s="1531">
        <f>+'PTAP TIJERETAS'!E131</f>
        <v>1278817</v>
      </c>
      <c r="F709" s="1531">
        <f t="shared" si="40"/>
        <v>2557634</v>
      </c>
    </row>
    <row r="710" spans="1:13" ht="34.5" customHeight="1">
      <c r="A710" s="1622" t="s">
        <v>7715</v>
      </c>
      <c r="B710" s="1711" t="s">
        <v>7060</v>
      </c>
      <c r="C710" s="1730" t="s">
        <v>133</v>
      </c>
      <c r="D710" s="1576">
        <f>+'PTAP TIJERETAS'!D132</f>
        <v>4</v>
      </c>
      <c r="E710" s="1531">
        <f>+'PTAP TIJERETAS'!E132</f>
        <v>1782289</v>
      </c>
      <c r="F710" s="1531">
        <f t="shared" si="40"/>
        <v>7129156</v>
      </c>
    </row>
    <row r="711" spans="1:13" ht="16.8">
      <c r="A711" s="1707">
        <v>101</v>
      </c>
      <c r="B711" s="1688" t="s">
        <v>4803</v>
      </c>
      <c r="C711" s="1772"/>
      <c r="D711" s="1772"/>
      <c r="E711" s="1774"/>
      <c r="F711" s="2248">
        <f>SUM(F712:F714)</f>
        <v>25548180</v>
      </c>
    </row>
    <row r="712" spans="1:13" ht="49.5" customHeight="1">
      <c r="A712" s="1622" t="s">
        <v>7716</v>
      </c>
      <c r="B712" s="1711" t="s">
        <v>4812</v>
      </c>
      <c r="C712" s="1534" t="s">
        <v>45</v>
      </c>
      <c r="D712" s="1576">
        <f>+'PTAP TIJERETAS'!D134</f>
        <v>100</v>
      </c>
      <c r="E712" s="1531">
        <f>+'PTAP TIJERETAS'!E134</f>
        <v>222650</v>
      </c>
      <c r="F712" s="1531">
        <f t="shared" ref="F712:F714" si="41">ROUND(D712*E712,0)</f>
        <v>22265000</v>
      </c>
    </row>
    <row r="713" spans="1:13" ht="33.75" customHeight="1">
      <c r="A713" s="1622" t="s">
        <v>7717</v>
      </c>
      <c r="B713" s="1711" t="s">
        <v>4799</v>
      </c>
      <c r="C713" s="1534" t="s">
        <v>133</v>
      </c>
      <c r="D713" s="1576">
        <f>+'PTAP TIJERETAS'!D135</f>
        <v>8</v>
      </c>
      <c r="E713" s="1531">
        <f>+'PTAP TIJERETAS'!E135</f>
        <v>401150</v>
      </c>
      <c r="F713" s="1531">
        <f t="shared" si="41"/>
        <v>3209200</v>
      </c>
    </row>
    <row r="714" spans="1:13" ht="41.25" customHeight="1">
      <c r="A714" s="1622" t="s">
        <v>7718</v>
      </c>
      <c r="B714" s="1711" t="s">
        <v>4800</v>
      </c>
      <c r="C714" s="1534" t="s">
        <v>133</v>
      </c>
      <c r="D714" s="1576">
        <f>+'PTAP TIJERETAS'!D136</f>
        <v>1</v>
      </c>
      <c r="E714" s="1531">
        <f>+'PTAP TIJERETAS'!E136</f>
        <v>73980</v>
      </c>
      <c r="F714" s="1531">
        <f t="shared" si="41"/>
        <v>73980</v>
      </c>
    </row>
    <row r="715" spans="1:13" ht="16.8">
      <c r="A715" s="1707">
        <v>102</v>
      </c>
      <c r="B715" s="1688" t="s">
        <v>4804</v>
      </c>
      <c r="C715" s="1772"/>
      <c r="D715" s="1772"/>
      <c r="E715" s="1774"/>
      <c r="F715" s="2248">
        <f>+SUM(F716:F718)</f>
        <v>308506760</v>
      </c>
    </row>
    <row r="716" spans="1:13" s="1717" customFormat="1" ht="25.5" customHeight="1">
      <c r="A716" s="1622" t="s">
        <v>7719</v>
      </c>
      <c r="B716" s="1711" t="s">
        <v>5639</v>
      </c>
      <c r="C716" s="1534" t="s">
        <v>133</v>
      </c>
      <c r="D716" s="1576">
        <f>+'PTAP TIJERETAS'!D138</f>
        <v>36</v>
      </c>
      <c r="E716" s="1531">
        <f>+'PTAP TIJERETAS'!E138</f>
        <v>3157420</v>
      </c>
      <c r="F716" s="1531">
        <f t="shared" ref="F716:F717" si="42">+ROUND(D716*E716,0)</f>
        <v>113667120</v>
      </c>
      <c r="G716" s="2354"/>
      <c r="K716" s="1733"/>
      <c r="L716" s="1733"/>
      <c r="M716" s="1733"/>
    </row>
    <row r="717" spans="1:13" s="1717" customFormat="1" ht="33" customHeight="1">
      <c r="A717" s="1622" t="s">
        <v>7720</v>
      </c>
      <c r="B717" s="1711" t="s">
        <v>5640</v>
      </c>
      <c r="C717" s="1534" t="s">
        <v>133</v>
      </c>
      <c r="D717" s="1576">
        <f>+'PTAP TIJERETAS'!D139</f>
        <v>2</v>
      </c>
      <c r="E717" s="1531">
        <f>+'PTAP TIJERETAS'!E139</f>
        <v>13132000</v>
      </c>
      <c r="F717" s="1531">
        <f t="shared" si="42"/>
        <v>26264000</v>
      </c>
      <c r="G717" s="2354"/>
      <c r="K717" s="1733"/>
      <c r="L717" s="1733"/>
      <c r="M717" s="1733"/>
    </row>
    <row r="718" spans="1:13" ht="53.25" customHeight="1">
      <c r="A718" s="1622" t="s">
        <v>7721</v>
      </c>
      <c r="B718" s="1711" t="s">
        <v>4726</v>
      </c>
      <c r="C718" s="1534" t="s">
        <v>133</v>
      </c>
      <c r="D718" s="1576">
        <f>+'PTAP TIJERETAS'!D140</f>
        <v>10</v>
      </c>
      <c r="E718" s="1531">
        <f>+'PTAP TIJERETAS'!E140</f>
        <v>16857564</v>
      </c>
      <c r="F718" s="1531">
        <f>+ROUND(D718*E718,0)</f>
        <v>168575640</v>
      </c>
    </row>
    <row r="719" spans="1:13" ht="16.8">
      <c r="A719" s="1707">
        <v>103</v>
      </c>
      <c r="B719" s="1688" t="s">
        <v>4807</v>
      </c>
      <c r="C719" s="1772"/>
      <c r="D719" s="1772"/>
      <c r="E719" s="1774"/>
      <c r="F719" s="1775">
        <f>+SUM(F720:F731)</f>
        <v>826024741</v>
      </c>
    </row>
    <row r="720" spans="1:13" s="1717" customFormat="1" ht="31.5" customHeight="1">
      <c r="A720" s="1622" t="s">
        <v>7722</v>
      </c>
      <c r="B720" s="1711" t="s">
        <v>5643</v>
      </c>
      <c r="C720" s="1710" t="s">
        <v>133</v>
      </c>
      <c r="D720" s="1576">
        <f>+'PTAP TIJERETAS'!D142</f>
        <v>12</v>
      </c>
      <c r="E720" s="1531">
        <f>+'PTAP TIJERETAS'!E142</f>
        <v>5466385</v>
      </c>
      <c r="F720" s="1531">
        <f t="shared" ref="F720:F730" si="43">+ROUND(D720*E720,0)</f>
        <v>65596620</v>
      </c>
      <c r="G720" s="2354"/>
      <c r="K720" s="1733"/>
      <c r="L720" s="1733"/>
      <c r="M720" s="1733"/>
    </row>
    <row r="721" spans="1:13" s="1717" customFormat="1" ht="33.6">
      <c r="A721" s="1622" t="s">
        <v>7723</v>
      </c>
      <c r="B721" s="1711" t="s">
        <v>5644</v>
      </c>
      <c r="C721" s="1710" t="s">
        <v>133</v>
      </c>
      <c r="D721" s="1576">
        <f>+'PTAP TIJERETAS'!D143</f>
        <v>16</v>
      </c>
      <c r="E721" s="1531">
        <f>+'PTAP TIJERETAS'!E143</f>
        <v>4687530</v>
      </c>
      <c r="F721" s="1531">
        <f t="shared" si="43"/>
        <v>75000480</v>
      </c>
      <c r="G721" s="2354"/>
      <c r="K721" s="1733"/>
      <c r="L721" s="1733"/>
      <c r="M721" s="1733"/>
    </row>
    <row r="722" spans="1:13" s="1717" customFormat="1" ht="27.75" customHeight="1">
      <c r="A722" s="1622" t="s">
        <v>7724</v>
      </c>
      <c r="B722" s="1711" t="s">
        <v>5645</v>
      </c>
      <c r="C722" s="1710" t="s">
        <v>133</v>
      </c>
      <c r="D722" s="1576">
        <f>+'PTAP TIJERETAS'!D144</f>
        <v>48</v>
      </c>
      <c r="E722" s="1531">
        <f>+'PTAP TIJERETAS'!E144</f>
        <v>4220217</v>
      </c>
      <c r="F722" s="1531">
        <f t="shared" si="43"/>
        <v>202570416</v>
      </c>
      <c r="G722" s="2354"/>
      <c r="K722" s="1733"/>
      <c r="L722" s="1733"/>
      <c r="M722" s="1733"/>
    </row>
    <row r="723" spans="1:13" s="1717" customFormat="1" ht="30" customHeight="1">
      <c r="A723" s="1622" t="s">
        <v>7725</v>
      </c>
      <c r="B723" s="1711" t="s">
        <v>5646</v>
      </c>
      <c r="C723" s="1710" t="s">
        <v>133</v>
      </c>
      <c r="D723" s="1576">
        <f>+'PTAP TIJERETAS'!D145</f>
        <v>24</v>
      </c>
      <c r="E723" s="1531">
        <f>+'PTAP TIJERETAS'!E145</f>
        <v>14265840</v>
      </c>
      <c r="F723" s="1531">
        <f t="shared" si="43"/>
        <v>342380160</v>
      </c>
      <c r="G723" s="2354"/>
      <c r="K723" s="1733"/>
      <c r="L723" s="1733"/>
      <c r="M723" s="1733"/>
    </row>
    <row r="724" spans="1:13" s="1717" customFormat="1" ht="16.8">
      <c r="A724" s="1622" t="s">
        <v>7726</v>
      </c>
      <c r="B724" s="1711" t="s">
        <v>4816</v>
      </c>
      <c r="C724" s="1710" t="s">
        <v>133</v>
      </c>
      <c r="D724" s="1576">
        <f>+'PTAP TIJERETAS'!D146</f>
        <v>240</v>
      </c>
      <c r="E724" s="1531">
        <f>+'PTAP TIJERETAS'!E146</f>
        <v>175050</v>
      </c>
      <c r="F724" s="1531">
        <f t="shared" si="43"/>
        <v>42012000</v>
      </c>
      <c r="G724" s="2354"/>
      <c r="K724" s="1733"/>
      <c r="L724" s="1733"/>
      <c r="M724" s="1733"/>
    </row>
    <row r="725" spans="1:13" ht="16.8">
      <c r="A725" s="1622" t="s">
        <v>7727</v>
      </c>
      <c r="B725" s="1711" t="s">
        <v>4734</v>
      </c>
      <c r="C725" s="1710" t="s">
        <v>133</v>
      </c>
      <c r="D725" s="1576">
        <f>+'PTAP TIJERETAS'!D147</f>
        <v>14</v>
      </c>
      <c r="E725" s="1531">
        <f>+'PTAP TIJERETAS'!E147</f>
        <v>17168</v>
      </c>
      <c r="F725" s="1531">
        <f t="shared" si="43"/>
        <v>240352</v>
      </c>
      <c r="G725" s="2354"/>
    </row>
    <row r="726" spans="1:13" ht="30" customHeight="1">
      <c r="A726" s="1622" t="s">
        <v>7728</v>
      </c>
      <c r="B726" s="1711" t="s">
        <v>4738</v>
      </c>
      <c r="C726" s="1710" t="s">
        <v>1002</v>
      </c>
      <c r="D726" s="1576">
        <f>+'PTAP TIJERETAS'!D148</f>
        <v>50</v>
      </c>
      <c r="E726" s="1531">
        <f>+'PTAP TIJERETAS'!E148</f>
        <v>666600</v>
      </c>
      <c r="F726" s="1531">
        <f t="shared" si="43"/>
        <v>33330000</v>
      </c>
      <c r="G726" s="2354"/>
    </row>
    <row r="727" spans="1:13" ht="21" customHeight="1">
      <c r="A727" s="1622" t="s">
        <v>7729</v>
      </c>
      <c r="B727" s="1711" t="s">
        <v>5647</v>
      </c>
      <c r="C727" s="1710" t="s">
        <v>1292</v>
      </c>
      <c r="D727" s="1576">
        <f>+'PTAP TIJERETAS'!D149</f>
        <v>14.688000000000001</v>
      </c>
      <c r="E727" s="1531">
        <f>+'PTAP TIJERETAS'!E149</f>
        <v>1465311.5999999999</v>
      </c>
      <c r="F727" s="1531">
        <f t="shared" si="43"/>
        <v>21522497</v>
      </c>
      <c r="G727" s="2354"/>
    </row>
    <row r="728" spans="1:13" ht="21" customHeight="1">
      <c r="A728" s="1622" t="s">
        <v>7730</v>
      </c>
      <c r="B728" s="1711" t="s">
        <v>5648</v>
      </c>
      <c r="C728" s="1710" t="s">
        <v>1292</v>
      </c>
      <c r="D728" s="1576">
        <f>+'PTAP TIJERETAS'!D150</f>
        <v>9.18</v>
      </c>
      <c r="E728" s="1531">
        <f>+'PTAP TIJERETAS'!E150</f>
        <v>1662584.4450000001</v>
      </c>
      <c r="F728" s="1531">
        <f t="shared" si="43"/>
        <v>15262525</v>
      </c>
      <c r="G728" s="2354"/>
    </row>
    <row r="729" spans="1:13" ht="20.25" customHeight="1">
      <c r="A729" s="1622" t="s">
        <v>7731</v>
      </c>
      <c r="B729" s="1711" t="s">
        <v>5649</v>
      </c>
      <c r="C729" s="1710" t="s">
        <v>1292</v>
      </c>
      <c r="D729" s="1576">
        <f>+'PTAP TIJERETAS'!D151</f>
        <v>6.5</v>
      </c>
      <c r="E729" s="1531">
        <f>+'PTAP TIJERETAS'!E151</f>
        <v>1643811.6</v>
      </c>
      <c r="F729" s="1531">
        <f>+ROUND(D729*E729,0)</f>
        <v>10684775</v>
      </c>
      <c r="G729" s="2354"/>
    </row>
    <row r="730" spans="1:13" ht="16.8">
      <c r="A730" s="1622" t="s">
        <v>7732</v>
      </c>
      <c r="B730" s="1711" t="s">
        <v>4811</v>
      </c>
      <c r="C730" s="1710" t="s">
        <v>45</v>
      </c>
      <c r="D730" s="1576">
        <f>+'PTAP TIJERETAS'!D152</f>
        <v>389.43880419628368</v>
      </c>
      <c r="E730" s="1531">
        <f>+'PTAP TIJERETAS'!E152</f>
        <v>43753</v>
      </c>
      <c r="F730" s="1531">
        <f t="shared" si="43"/>
        <v>17039116</v>
      </c>
      <c r="G730" s="2354"/>
    </row>
    <row r="731" spans="1:13" ht="17.399999999999999" thickBot="1">
      <c r="A731" s="1622" t="s">
        <v>7733</v>
      </c>
      <c r="B731" s="1711" t="s">
        <v>4817</v>
      </c>
      <c r="C731" s="1710" t="s">
        <v>133</v>
      </c>
      <c r="D731" s="1576">
        <f>+'PTAP TIJERETAS'!D153</f>
        <v>2</v>
      </c>
      <c r="E731" s="1531">
        <f>+'PTAP TIJERETAS'!E153</f>
        <v>192900</v>
      </c>
      <c r="F731" s="1531">
        <f>+ROUND(D731*E731,0)</f>
        <v>385800</v>
      </c>
      <c r="G731" s="2354"/>
    </row>
    <row r="732" spans="1:13" ht="16.8">
      <c r="A732" s="3334" t="str">
        <f>+A252</f>
        <v>SISTEMA DE TRATAMIENTO DE LODOS EN PTAP TIJERETA</v>
      </c>
      <c r="B732" s="3371"/>
      <c r="C732" s="3371"/>
      <c r="D732" s="3371"/>
      <c r="E732" s="3371"/>
      <c r="F732" s="3356"/>
    </row>
    <row r="733" spans="1:13" ht="33.6">
      <c r="A733" s="1590" t="s">
        <v>22</v>
      </c>
      <c r="B733" s="1591" t="s">
        <v>23</v>
      </c>
      <c r="C733" s="1591" t="s">
        <v>150</v>
      </c>
      <c r="D733" s="1592" t="s">
        <v>539</v>
      </c>
      <c r="E733" s="1593" t="s">
        <v>151</v>
      </c>
      <c r="F733" s="1593" t="s">
        <v>540</v>
      </c>
    </row>
    <row r="734" spans="1:13" ht="16.8">
      <c r="A734" s="1707">
        <v>104</v>
      </c>
      <c r="B734" s="3370" t="s">
        <v>5750</v>
      </c>
      <c r="C734" s="3370"/>
      <c r="D734" s="3370"/>
      <c r="E734" s="3370"/>
      <c r="F734" s="2675">
        <f>+SUM(F735:F802)</f>
        <v>174671885</v>
      </c>
      <c r="G734" s="2220">
        <f>+SUM(F734,F803)</f>
        <v>208716385</v>
      </c>
      <c r="H734" s="1717" t="s">
        <v>8225</v>
      </c>
    </row>
    <row r="735" spans="1:13" ht="33.6">
      <c r="A735" s="1622" t="s">
        <v>7734</v>
      </c>
      <c r="B735" s="1544" t="s">
        <v>4823</v>
      </c>
      <c r="C735" s="364" t="s">
        <v>94</v>
      </c>
      <c r="D735" s="1752">
        <f>+'PTAP TIJERETAS'!D256</f>
        <v>12.4</v>
      </c>
      <c r="E735" s="1637">
        <f>+'PTAP TIJERETAS'!E256</f>
        <v>222650</v>
      </c>
      <c r="F735" s="1637">
        <f t="shared" ref="F735:F798" si="44">+ROUND(D735*E735,0)</f>
        <v>2760860</v>
      </c>
      <c r="G735" s="2799">
        <f>+'PTAP TIJERETAS'!F330</f>
        <v>208716385</v>
      </c>
    </row>
    <row r="736" spans="1:13" ht="33.6">
      <c r="A736" s="1622" t="s">
        <v>7735</v>
      </c>
      <c r="B736" s="1544" t="s">
        <v>4824</v>
      </c>
      <c r="C736" s="364" t="s">
        <v>94</v>
      </c>
      <c r="D736" s="1752">
        <f>+'PTAP TIJERETAS'!D257</f>
        <v>2.4</v>
      </c>
      <c r="E736" s="1637">
        <f>+'PTAP TIJERETAS'!E257</f>
        <v>222650</v>
      </c>
      <c r="F736" s="1637">
        <f t="shared" si="44"/>
        <v>534360</v>
      </c>
    </row>
    <row r="737" spans="1:6" ht="33.6">
      <c r="A737" s="1622" t="s">
        <v>7736</v>
      </c>
      <c r="B737" s="1544" t="s">
        <v>4825</v>
      </c>
      <c r="C737" s="364" t="s">
        <v>94</v>
      </c>
      <c r="D737" s="1752">
        <f>+'PTAP TIJERETAS'!D258</f>
        <v>8</v>
      </c>
      <c r="E737" s="1637">
        <f>+'PTAP TIJERETAS'!E258</f>
        <v>222650</v>
      </c>
      <c r="F737" s="1637">
        <f t="shared" si="44"/>
        <v>1781200</v>
      </c>
    </row>
    <row r="738" spans="1:6" ht="16.8">
      <c r="A738" s="1622" t="s">
        <v>7737</v>
      </c>
      <c r="B738" s="1544" t="s">
        <v>4801</v>
      </c>
      <c r="C738" s="364" t="s">
        <v>133</v>
      </c>
      <c r="D738" s="1752">
        <f>+'PTAP TIJERETAS'!D259</f>
        <v>1</v>
      </c>
      <c r="E738" s="1637">
        <f>+'PTAP TIJERETAS'!E259</f>
        <v>300725</v>
      </c>
      <c r="F738" s="1637">
        <f t="shared" si="44"/>
        <v>300725</v>
      </c>
    </row>
    <row r="739" spans="1:6" ht="16.8">
      <c r="A739" s="1622" t="s">
        <v>7738</v>
      </c>
      <c r="B739" s="1544" t="s">
        <v>4746</v>
      </c>
      <c r="C739" s="364" t="s">
        <v>133</v>
      </c>
      <c r="D739" s="1752">
        <f>+'PTAP TIJERETAS'!D260</f>
        <v>5</v>
      </c>
      <c r="E739" s="1637">
        <f>+'PTAP TIJERETAS'!E260</f>
        <v>175050</v>
      </c>
      <c r="F739" s="1637">
        <f t="shared" si="44"/>
        <v>875250</v>
      </c>
    </row>
    <row r="740" spans="1:6" ht="16.8">
      <c r="A740" s="1622" t="s">
        <v>7739</v>
      </c>
      <c r="B740" s="1544" t="s">
        <v>4954</v>
      </c>
      <c r="C740" s="364"/>
      <c r="D740" s="1752">
        <f>+'PTAP TIJERETAS'!D261</f>
        <v>2</v>
      </c>
      <c r="E740" s="1637">
        <f>+'PTAP TIJERETAS'!E261</f>
        <v>276200</v>
      </c>
      <c r="F740" s="1637">
        <f t="shared" si="44"/>
        <v>552400</v>
      </c>
    </row>
    <row r="741" spans="1:6" ht="16.8">
      <c r="A741" s="1622" t="s">
        <v>7740</v>
      </c>
      <c r="B741" s="1544" t="s">
        <v>4747</v>
      </c>
      <c r="C741" s="364" t="s">
        <v>133</v>
      </c>
      <c r="D741" s="1752">
        <f>+'PTAP TIJERETAS'!D262</f>
        <v>2</v>
      </c>
      <c r="E741" s="1637">
        <f>+'PTAP TIJERETAS'!E262</f>
        <v>4595900</v>
      </c>
      <c r="F741" s="1637">
        <f t="shared" si="44"/>
        <v>9191800</v>
      </c>
    </row>
    <row r="742" spans="1:6" ht="16.8">
      <c r="A742" s="1622" t="s">
        <v>7741</v>
      </c>
      <c r="B742" s="1544" t="s">
        <v>4956</v>
      </c>
      <c r="C742" s="364" t="s">
        <v>133</v>
      </c>
      <c r="D742" s="1752">
        <f>+'PTAP TIJERETAS'!D263</f>
        <v>2</v>
      </c>
      <c r="E742" s="1637">
        <f>+'PTAP TIJERETAS'!E263</f>
        <v>490400</v>
      </c>
      <c r="F742" s="1637">
        <f t="shared" si="44"/>
        <v>980800</v>
      </c>
    </row>
    <row r="743" spans="1:6" ht="16.8">
      <c r="A743" s="1622" t="s">
        <v>7742</v>
      </c>
      <c r="B743" s="1544" t="s">
        <v>4754</v>
      </c>
      <c r="C743" s="364" t="s">
        <v>133</v>
      </c>
      <c r="D743" s="1752">
        <f>+'PTAP TIJERETAS'!D264</f>
        <v>1</v>
      </c>
      <c r="E743" s="1637">
        <f>+'PTAP TIJERETAS'!E264</f>
        <v>639150</v>
      </c>
      <c r="F743" s="1637">
        <f t="shared" si="44"/>
        <v>639150</v>
      </c>
    </row>
    <row r="744" spans="1:6" ht="16.8">
      <c r="A744" s="1622" t="s">
        <v>7743</v>
      </c>
      <c r="B744" s="1544" t="s">
        <v>4755</v>
      </c>
      <c r="C744" s="364" t="s">
        <v>133</v>
      </c>
      <c r="D744" s="1752">
        <f>+'PTAP TIJERETAS'!D265</f>
        <v>6</v>
      </c>
      <c r="E744" s="1637">
        <f>+'PTAP TIJERETAS'!E265</f>
        <v>532590</v>
      </c>
      <c r="F744" s="1637">
        <f t="shared" si="44"/>
        <v>3195540</v>
      </c>
    </row>
    <row r="745" spans="1:6" ht="16.8">
      <c r="A745" s="1622" t="s">
        <v>7744</v>
      </c>
      <c r="B745" s="1545" t="s">
        <v>4872</v>
      </c>
      <c r="C745" s="364" t="s">
        <v>133</v>
      </c>
      <c r="D745" s="1752">
        <f>+'PTAP TIJERETAS'!D266</f>
        <v>2</v>
      </c>
      <c r="E745" s="1637">
        <f>+'PTAP TIJERETAS'!E266</f>
        <v>416300</v>
      </c>
      <c r="F745" s="1637">
        <f t="shared" si="44"/>
        <v>832600</v>
      </c>
    </row>
    <row r="746" spans="1:6" ht="16.8">
      <c r="A746" s="1622" t="s">
        <v>7745</v>
      </c>
      <c r="B746" s="1546" t="s">
        <v>4974</v>
      </c>
      <c r="C746" s="364" t="s">
        <v>133</v>
      </c>
      <c r="D746" s="1752">
        <f>+'PTAP TIJERETAS'!D267</f>
        <v>2</v>
      </c>
      <c r="E746" s="1637">
        <f>+'PTAP TIJERETAS'!E267</f>
        <v>1739488</v>
      </c>
      <c r="F746" s="1637">
        <f t="shared" si="44"/>
        <v>3478976</v>
      </c>
    </row>
    <row r="747" spans="1:6" ht="16.8">
      <c r="A747" s="1622" t="s">
        <v>7746</v>
      </c>
      <c r="B747" s="1546" t="s">
        <v>4975</v>
      </c>
      <c r="C747" s="364" t="s">
        <v>133</v>
      </c>
      <c r="D747" s="1752">
        <f>+'PTAP TIJERETAS'!D268</f>
        <v>2</v>
      </c>
      <c r="E747" s="1637">
        <f>+'PTAP TIJERETAS'!E268</f>
        <v>1454983</v>
      </c>
      <c r="F747" s="1637">
        <f t="shared" si="44"/>
        <v>2909966</v>
      </c>
    </row>
    <row r="748" spans="1:6" ht="16.8">
      <c r="A748" s="1622" t="s">
        <v>7747</v>
      </c>
      <c r="B748" s="1545" t="s">
        <v>4874</v>
      </c>
      <c r="C748" s="364" t="s">
        <v>133</v>
      </c>
      <c r="D748" s="1752">
        <f>+'PTAP TIJERETAS'!D269</f>
        <v>2</v>
      </c>
      <c r="E748" s="1637">
        <f>+'PTAP TIJERETAS'!E269</f>
        <v>1855870</v>
      </c>
      <c r="F748" s="1637">
        <f t="shared" si="44"/>
        <v>3711740</v>
      </c>
    </row>
    <row r="749" spans="1:6" ht="33.6">
      <c r="A749" s="1622" t="s">
        <v>7748</v>
      </c>
      <c r="B749" s="1560" t="s">
        <v>4875</v>
      </c>
      <c r="C749" s="364" t="s">
        <v>133</v>
      </c>
      <c r="D749" s="1752">
        <f>+'PTAP TIJERETAS'!D270</f>
        <v>2</v>
      </c>
      <c r="E749" s="1637">
        <f>+'PTAP TIJERETAS'!E270</f>
        <v>1063925</v>
      </c>
      <c r="F749" s="1637">
        <f t="shared" si="44"/>
        <v>2127850</v>
      </c>
    </row>
    <row r="750" spans="1:6" ht="16.8">
      <c r="A750" s="1622" t="s">
        <v>7749</v>
      </c>
      <c r="B750" s="1545" t="s">
        <v>4876</v>
      </c>
      <c r="C750" s="364" t="s">
        <v>133</v>
      </c>
      <c r="D750" s="1752">
        <f>+'PTAP TIJERETAS'!D271</f>
        <v>2</v>
      </c>
      <c r="E750" s="1637">
        <f>+'PTAP TIJERETAS'!E271</f>
        <v>639385</v>
      </c>
      <c r="F750" s="1637">
        <f t="shared" si="44"/>
        <v>1278770</v>
      </c>
    </row>
    <row r="751" spans="1:6" ht="16.8">
      <c r="A751" s="1622" t="s">
        <v>7750</v>
      </c>
      <c r="B751" s="1546" t="s">
        <v>4976</v>
      </c>
      <c r="C751" s="364" t="s">
        <v>133</v>
      </c>
      <c r="D751" s="1752">
        <f>+'PTAP TIJERETAS'!D272</f>
        <v>1</v>
      </c>
      <c r="E751" s="1637">
        <f>+'PTAP TIJERETAS'!E272</f>
        <v>1420910</v>
      </c>
      <c r="F751" s="1637">
        <f t="shared" si="44"/>
        <v>1420910</v>
      </c>
    </row>
    <row r="752" spans="1:6" ht="16.8">
      <c r="A752" s="1622" t="s">
        <v>7751</v>
      </c>
      <c r="B752" s="1545" t="s">
        <v>4877</v>
      </c>
      <c r="C752" s="364" t="s">
        <v>133</v>
      </c>
      <c r="D752" s="1752">
        <f>+'PTAP TIJERETAS'!D273</f>
        <v>1</v>
      </c>
      <c r="E752" s="1637">
        <f>+'PTAP TIJERETAS'!E273</f>
        <v>1604200</v>
      </c>
      <c r="F752" s="1637">
        <f t="shared" si="44"/>
        <v>1604200</v>
      </c>
    </row>
    <row r="753" spans="1:6" ht="16.8">
      <c r="A753" s="1622" t="s">
        <v>7752</v>
      </c>
      <c r="B753" s="1546" t="s">
        <v>4977</v>
      </c>
      <c r="C753" s="364" t="s">
        <v>133</v>
      </c>
      <c r="D753" s="1752">
        <f>+'PTAP TIJERETAS'!D274</f>
        <v>1</v>
      </c>
      <c r="E753" s="1637">
        <f>+'PTAP TIJERETAS'!E274</f>
        <v>1026342</v>
      </c>
      <c r="F753" s="1637">
        <f t="shared" si="44"/>
        <v>1026342</v>
      </c>
    </row>
    <row r="754" spans="1:6" ht="16.8">
      <c r="A754" s="1622" t="s">
        <v>7753</v>
      </c>
      <c r="B754" s="1545" t="s">
        <v>4878</v>
      </c>
      <c r="C754" s="364" t="s">
        <v>133</v>
      </c>
      <c r="D754" s="1752">
        <f>+'PTAP TIJERETAS'!D275</f>
        <v>1</v>
      </c>
      <c r="E754" s="1637">
        <f>+'PTAP TIJERETAS'!E275</f>
        <v>1191310</v>
      </c>
      <c r="F754" s="1637">
        <f t="shared" si="44"/>
        <v>1191310</v>
      </c>
    </row>
    <row r="755" spans="1:6" ht="16.8">
      <c r="A755" s="1622" t="s">
        <v>7754</v>
      </c>
      <c r="B755" s="1546" t="s">
        <v>4978</v>
      </c>
      <c r="C755" s="364" t="s">
        <v>133</v>
      </c>
      <c r="D755" s="1752">
        <f>+'PTAP TIJERETAS'!D276</f>
        <v>1</v>
      </c>
      <c r="E755" s="1637">
        <f>+'PTAP TIJERETAS'!E276</f>
        <v>968150</v>
      </c>
      <c r="F755" s="1637">
        <f t="shared" si="44"/>
        <v>968150</v>
      </c>
    </row>
    <row r="756" spans="1:6" ht="16.8">
      <c r="A756" s="1622" t="s">
        <v>7755</v>
      </c>
      <c r="B756" s="1546" t="s">
        <v>4879</v>
      </c>
      <c r="C756" s="364" t="s">
        <v>133</v>
      </c>
      <c r="D756" s="1752">
        <f>+'PTAP TIJERETAS'!D277</f>
        <v>1</v>
      </c>
      <c r="E756" s="1637">
        <f>+'PTAP TIJERETAS'!E277</f>
        <v>1245077</v>
      </c>
      <c r="F756" s="1637">
        <f t="shared" si="44"/>
        <v>1245077</v>
      </c>
    </row>
    <row r="757" spans="1:6" ht="16.8">
      <c r="A757" s="1622" t="s">
        <v>7756</v>
      </c>
      <c r="B757" s="1545" t="s">
        <v>4880</v>
      </c>
      <c r="C757" s="364" t="s">
        <v>133</v>
      </c>
      <c r="D757" s="1752">
        <f>+'PTAP TIJERETAS'!D278</f>
        <v>1</v>
      </c>
      <c r="E757" s="1637">
        <f>+'PTAP TIJERETAS'!E278</f>
        <v>447560</v>
      </c>
      <c r="F757" s="1637">
        <f t="shared" si="44"/>
        <v>447560</v>
      </c>
    </row>
    <row r="758" spans="1:6" ht="16.8">
      <c r="A758" s="1622" t="s">
        <v>7757</v>
      </c>
      <c r="B758" s="1546" t="s">
        <v>4881</v>
      </c>
      <c r="C758" s="364" t="s">
        <v>133</v>
      </c>
      <c r="D758" s="1752">
        <f>+'PTAP TIJERETAS'!D279</f>
        <v>1</v>
      </c>
      <c r="E758" s="1637">
        <f>+'PTAP TIJERETAS'!E279</f>
        <v>1135755</v>
      </c>
      <c r="F758" s="1637">
        <f t="shared" si="44"/>
        <v>1135755</v>
      </c>
    </row>
    <row r="759" spans="1:6" ht="16.8">
      <c r="A759" s="1622" t="s">
        <v>7758</v>
      </c>
      <c r="B759" s="1546" t="s">
        <v>4882</v>
      </c>
      <c r="C759" s="364" t="s">
        <v>133</v>
      </c>
      <c r="D759" s="1752">
        <f>+'PTAP TIJERETAS'!D280</f>
        <v>1</v>
      </c>
      <c r="E759" s="1637">
        <f>+'PTAP TIJERETAS'!E280</f>
        <v>557411</v>
      </c>
      <c r="F759" s="1637">
        <f t="shared" si="44"/>
        <v>557411</v>
      </c>
    </row>
    <row r="760" spans="1:6" ht="16.8">
      <c r="A760" s="1622" t="s">
        <v>7759</v>
      </c>
      <c r="B760" s="1545" t="s">
        <v>4883</v>
      </c>
      <c r="C760" s="364" t="s">
        <v>133</v>
      </c>
      <c r="D760" s="1752">
        <f>+'PTAP TIJERETAS'!D281</f>
        <v>1</v>
      </c>
      <c r="E760" s="1637">
        <f>+'PTAP TIJERETAS'!E281</f>
        <v>464220</v>
      </c>
      <c r="F760" s="1637">
        <f t="shared" si="44"/>
        <v>464220</v>
      </c>
    </row>
    <row r="761" spans="1:6" ht="16.8">
      <c r="A761" s="1622" t="s">
        <v>7760</v>
      </c>
      <c r="B761" s="1546" t="s">
        <v>4884</v>
      </c>
      <c r="C761" s="364" t="s">
        <v>133</v>
      </c>
      <c r="D761" s="1752">
        <f>+'PTAP TIJERETAS'!D282</f>
        <v>1</v>
      </c>
      <c r="E761" s="1637">
        <f>+'PTAP TIJERETAS'!E282</f>
        <v>2346424</v>
      </c>
      <c r="F761" s="1637">
        <f t="shared" si="44"/>
        <v>2346424</v>
      </c>
    </row>
    <row r="762" spans="1:6" ht="16.8">
      <c r="A762" s="1622" t="s">
        <v>7761</v>
      </c>
      <c r="B762" s="1546" t="s">
        <v>4885</v>
      </c>
      <c r="C762" s="364" t="s">
        <v>133</v>
      </c>
      <c r="D762" s="1752">
        <f>+'PTAP TIJERETAS'!D283</f>
        <v>1</v>
      </c>
      <c r="E762" s="1637">
        <f>+'PTAP TIJERETAS'!E283</f>
        <v>889481</v>
      </c>
      <c r="F762" s="1637">
        <f t="shared" si="44"/>
        <v>889481</v>
      </c>
    </row>
    <row r="763" spans="1:6" ht="16.8">
      <c r="A763" s="1622" t="s">
        <v>7762</v>
      </c>
      <c r="B763" s="1545" t="s">
        <v>4886</v>
      </c>
      <c r="C763" s="364" t="s">
        <v>133</v>
      </c>
      <c r="D763" s="1752">
        <f>+'PTAP TIJERETAS'!D284</f>
        <v>1</v>
      </c>
      <c r="E763" s="1637">
        <f>+'PTAP TIJERETAS'!E284</f>
        <v>288100</v>
      </c>
      <c r="F763" s="1637">
        <f t="shared" si="44"/>
        <v>288100</v>
      </c>
    </row>
    <row r="764" spans="1:6" ht="16.8">
      <c r="A764" s="1622" t="s">
        <v>7763</v>
      </c>
      <c r="B764" s="1546" t="s">
        <v>4979</v>
      </c>
      <c r="C764" s="364" t="s">
        <v>133</v>
      </c>
      <c r="D764" s="1752">
        <f>+'PTAP TIJERETAS'!D285</f>
        <v>1</v>
      </c>
      <c r="E764" s="1637">
        <f>+'PTAP TIJERETAS'!E285</f>
        <v>3945858</v>
      </c>
      <c r="F764" s="1637">
        <f t="shared" si="44"/>
        <v>3945858</v>
      </c>
    </row>
    <row r="765" spans="1:6" ht="16.8">
      <c r="A765" s="1622" t="s">
        <v>7764</v>
      </c>
      <c r="B765" s="1546" t="s">
        <v>4980</v>
      </c>
      <c r="C765" s="364" t="s">
        <v>133</v>
      </c>
      <c r="D765" s="1752">
        <f>+'PTAP TIJERETAS'!D286</f>
        <v>1</v>
      </c>
      <c r="E765" s="1637">
        <f>+'PTAP TIJERETAS'!E286</f>
        <v>2540319</v>
      </c>
      <c r="F765" s="1637">
        <f t="shared" si="44"/>
        <v>2540319</v>
      </c>
    </row>
    <row r="766" spans="1:6" ht="89.25" customHeight="1">
      <c r="A766" s="1622" t="s">
        <v>7765</v>
      </c>
      <c r="B766" s="1550" t="s">
        <v>4923</v>
      </c>
      <c r="C766" s="364" t="s">
        <v>133</v>
      </c>
      <c r="D766" s="1752">
        <f>+'PTAP TIJERETAS'!D287</f>
        <v>2</v>
      </c>
      <c r="E766" s="1637">
        <f>+'PTAP TIJERETAS'!E287</f>
        <v>12620000</v>
      </c>
      <c r="F766" s="1637">
        <f t="shared" si="44"/>
        <v>25240000</v>
      </c>
    </row>
    <row r="767" spans="1:6" ht="89.25" customHeight="1">
      <c r="A767" s="1622" t="s">
        <v>7766</v>
      </c>
      <c r="B767" s="1550" t="s">
        <v>5655</v>
      </c>
      <c r="C767" s="364" t="s">
        <v>133</v>
      </c>
      <c r="D767" s="1752">
        <f>+'PTAP TIJERETAS'!D288</f>
        <v>2</v>
      </c>
      <c r="E767" s="1637">
        <f>+'PTAP TIJERETAS'!E288</f>
        <v>17620000</v>
      </c>
      <c r="F767" s="1637">
        <f t="shared" si="44"/>
        <v>35240000</v>
      </c>
    </row>
    <row r="768" spans="1:6" ht="16.8">
      <c r="A768" s="1622" t="s">
        <v>7767</v>
      </c>
      <c r="B768" s="1544" t="s">
        <v>4981</v>
      </c>
      <c r="C768" s="364" t="s">
        <v>133</v>
      </c>
      <c r="D768" s="1752">
        <f>+'PTAP TIJERETAS'!D289</f>
        <v>2</v>
      </c>
      <c r="E768" s="1637">
        <f>+'PTAP TIJERETAS'!E289</f>
        <v>968747</v>
      </c>
      <c r="F768" s="1637">
        <f t="shared" si="44"/>
        <v>1937494</v>
      </c>
    </row>
    <row r="769" spans="1:6" ht="16.8">
      <c r="A769" s="1622" t="s">
        <v>7768</v>
      </c>
      <c r="B769" s="1544" t="s">
        <v>4924</v>
      </c>
      <c r="C769" s="364" t="s">
        <v>133</v>
      </c>
      <c r="D769" s="1752">
        <f>+'PTAP TIJERETAS'!D290</f>
        <v>2</v>
      </c>
      <c r="E769" s="1637">
        <f>+'PTAP TIJERETAS'!E290</f>
        <v>326000</v>
      </c>
      <c r="F769" s="1637">
        <f t="shared" si="44"/>
        <v>652000</v>
      </c>
    </row>
    <row r="770" spans="1:6" ht="33.6">
      <c r="A770" s="1622" t="s">
        <v>7769</v>
      </c>
      <c r="B770" s="1544" t="s">
        <v>4982</v>
      </c>
      <c r="C770" s="364" t="s">
        <v>133</v>
      </c>
      <c r="D770" s="1752">
        <f>+'PTAP TIJERETAS'!D291</f>
        <v>2</v>
      </c>
      <c r="E770" s="1637">
        <f>+'PTAP TIJERETAS'!E291</f>
        <v>843406</v>
      </c>
      <c r="F770" s="1637">
        <f t="shared" si="44"/>
        <v>1686812</v>
      </c>
    </row>
    <row r="771" spans="1:6" ht="16.8">
      <c r="A771" s="1622" t="s">
        <v>7770</v>
      </c>
      <c r="B771" s="1544" t="s">
        <v>4925</v>
      </c>
      <c r="C771" s="364" t="s">
        <v>133</v>
      </c>
      <c r="D771" s="1752">
        <f>+'PTAP TIJERETAS'!D292</f>
        <v>2</v>
      </c>
      <c r="E771" s="1637">
        <f>+'PTAP TIJERETAS'!E292</f>
        <v>876488</v>
      </c>
      <c r="F771" s="1637">
        <f t="shared" si="44"/>
        <v>1752976</v>
      </c>
    </row>
    <row r="772" spans="1:6" ht="33.6">
      <c r="A772" s="1622" t="s">
        <v>7771</v>
      </c>
      <c r="B772" s="1544" t="s">
        <v>4926</v>
      </c>
      <c r="C772" s="364" t="s">
        <v>133</v>
      </c>
      <c r="D772" s="1752">
        <f>+'PTAP TIJERETAS'!D293</f>
        <v>2</v>
      </c>
      <c r="E772" s="1637">
        <f>+'PTAP TIJERETAS'!E293</f>
        <v>546620</v>
      </c>
      <c r="F772" s="1637">
        <f t="shared" si="44"/>
        <v>1093240</v>
      </c>
    </row>
    <row r="773" spans="1:6" ht="16.8">
      <c r="A773" s="1622" t="s">
        <v>7772</v>
      </c>
      <c r="B773" s="1544" t="s">
        <v>4927</v>
      </c>
      <c r="C773" s="364" t="s">
        <v>133</v>
      </c>
      <c r="D773" s="1752">
        <f>+'PTAP TIJERETAS'!D294</f>
        <v>2</v>
      </c>
      <c r="E773" s="1637">
        <f>+'PTAP TIJERETAS'!E294</f>
        <v>388475</v>
      </c>
      <c r="F773" s="1637">
        <f t="shared" si="44"/>
        <v>776950</v>
      </c>
    </row>
    <row r="774" spans="1:6" ht="16.8">
      <c r="A774" s="1622" t="s">
        <v>7773</v>
      </c>
      <c r="B774" s="1544" t="s">
        <v>4983</v>
      </c>
      <c r="C774" s="364" t="s">
        <v>133</v>
      </c>
      <c r="D774" s="1752">
        <f>+'PTAP TIJERETAS'!D295</f>
        <v>2</v>
      </c>
      <c r="E774" s="1637">
        <f>+'PTAP TIJERETAS'!E295</f>
        <v>1112239</v>
      </c>
      <c r="F774" s="1637">
        <f t="shared" si="44"/>
        <v>2224478</v>
      </c>
    </row>
    <row r="775" spans="1:6" ht="16.8">
      <c r="A775" s="1622" t="s">
        <v>7774</v>
      </c>
      <c r="B775" s="1544" t="s">
        <v>4928</v>
      </c>
      <c r="C775" s="364" t="s">
        <v>133</v>
      </c>
      <c r="D775" s="1752">
        <f>+'PTAP TIJERETAS'!D296</f>
        <v>1</v>
      </c>
      <c r="E775" s="1637">
        <f>+'PTAP TIJERETAS'!E296</f>
        <v>547520</v>
      </c>
      <c r="F775" s="1637">
        <f t="shared" si="44"/>
        <v>547520</v>
      </c>
    </row>
    <row r="776" spans="1:6" ht="16.8">
      <c r="A776" s="1622" t="s">
        <v>7775</v>
      </c>
      <c r="B776" s="1544" t="s">
        <v>4984</v>
      </c>
      <c r="C776" s="364" t="s">
        <v>133</v>
      </c>
      <c r="D776" s="1752">
        <f>+'PTAP TIJERETAS'!D297</f>
        <v>1</v>
      </c>
      <c r="E776" s="1637">
        <f>+'PTAP TIJERETAS'!E297</f>
        <v>731558</v>
      </c>
      <c r="F776" s="1637">
        <f t="shared" si="44"/>
        <v>731558</v>
      </c>
    </row>
    <row r="777" spans="1:6" ht="16.8">
      <c r="A777" s="1622" t="s">
        <v>7776</v>
      </c>
      <c r="B777" s="1548" t="s">
        <v>4929</v>
      </c>
      <c r="C777" s="364" t="s">
        <v>133</v>
      </c>
      <c r="D777" s="1752">
        <f>+'PTAP TIJERETAS'!D298</f>
        <v>1</v>
      </c>
      <c r="E777" s="1637">
        <f>+'PTAP TIJERETAS'!E298</f>
        <v>674850</v>
      </c>
      <c r="F777" s="1637">
        <f t="shared" si="44"/>
        <v>674850</v>
      </c>
    </row>
    <row r="778" spans="1:6" ht="33.6">
      <c r="A778" s="1622" t="s">
        <v>7777</v>
      </c>
      <c r="B778" s="1549" t="s">
        <v>4985</v>
      </c>
      <c r="C778" s="364" t="s">
        <v>133</v>
      </c>
      <c r="D778" s="1752">
        <f>+'PTAP TIJERETAS'!D299</f>
        <v>1</v>
      </c>
      <c r="E778" s="1637">
        <f>+'PTAP TIJERETAS'!E299</f>
        <v>802688</v>
      </c>
      <c r="F778" s="1637">
        <f t="shared" si="44"/>
        <v>802688</v>
      </c>
    </row>
    <row r="779" spans="1:6" ht="16.8">
      <c r="A779" s="1622" t="s">
        <v>7778</v>
      </c>
      <c r="B779" s="1549" t="s">
        <v>4930</v>
      </c>
      <c r="C779" s="364" t="s">
        <v>133</v>
      </c>
      <c r="D779" s="1752">
        <f>+'PTAP TIJERETAS'!D300</f>
        <v>2</v>
      </c>
      <c r="E779" s="1637">
        <f>+'PTAP TIJERETAS'!E300</f>
        <v>3972102</v>
      </c>
      <c r="F779" s="1637">
        <f t="shared" si="44"/>
        <v>7944204</v>
      </c>
    </row>
    <row r="780" spans="1:6" ht="16.8">
      <c r="A780" s="1622" t="s">
        <v>7779</v>
      </c>
      <c r="B780" s="1549" t="s">
        <v>4931</v>
      </c>
      <c r="C780" s="364" t="s">
        <v>133</v>
      </c>
      <c r="D780" s="1752">
        <f>+'PTAP TIJERETAS'!D301</f>
        <v>1</v>
      </c>
      <c r="E780" s="1637">
        <f>+'PTAP TIJERETAS'!E301</f>
        <v>364985</v>
      </c>
      <c r="F780" s="1637">
        <f t="shared" si="44"/>
        <v>364985</v>
      </c>
    </row>
    <row r="781" spans="1:6" ht="16.8">
      <c r="A781" s="1622" t="s">
        <v>7780</v>
      </c>
      <c r="B781" s="1549" t="s">
        <v>4932</v>
      </c>
      <c r="C781" s="364" t="s">
        <v>133</v>
      </c>
      <c r="D781" s="1752">
        <f>+'PTAP TIJERETAS'!D302</f>
        <v>1</v>
      </c>
      <c r="E781" s="1637">
        <f>+'PTAP TIJERETAS'!E302</f>
        <v>648150</v>
      </c>
      <c r="F781" s="1637">
        <f t="shared" si="44"/>
        <v>648150</v>
      </c>
    </row>
    <row r="782" spans="1:6" ht="16.8">
      <c r="A782" s="1622" t="s">
        <v>7781</v>
      </c>
      <c r="B782" s="1549" t="s">
        <v>4933</v>
      </c>
      <c r="C782" s="364" t="s">
        <v>133</v>
      </c>
      <c r="D782" s="1752">
        <f>+'PTAP TIJERETAS'!D303</f>
        <v>1</v>
      </c>
      <c r="E782" s="1637">
        <f>+'PTAP TIJERETAS'!E303</f>
        <v>715570</v>
      </c>
      <c r="F782" s="1637">
        <f t="shared" si="44"/>
        <v>715570</v>
      </c>
    </row>
    <row r="783" spans="1:6" ht="16.8">
      <c r="A783" s="1622" t="s">
        <v>7782</v>
      </c>
      <c r="B783" s="1549" t="s">
        <v>4934</v>
      </c>
      <c r="C783" s="364" t="s">
        <v>133</v>
      </c>
      <c r="D783" s="1752">
        <f>+'PTAP TIJERETAS'!D304</f>
        <v>1</v>
      </c>
      <c r="E783" s="1637">
        <f>+'PTAP TIJERETAS'!E304</f>
        <v>836926</v>
      </c>
      <c r="F783" s="1637">
        <f t="shared" si="44"/>
        <v>836926</v>
      </c>
    </row>
    <row r="784" spans="1:6" ht="16.8">
      <c r="A784" s="1622" t="s">
        <v>7783</v>
      </c>
      <c r="B784" s="1549" t="s">
        <v>4935</v>
      </c>
      <c r="C784" s="364" t="s">
        <v>45</v>
      </c>
      <c r="D784" s="1752">
        <f>+'PTAP TIJERETAS'!D305</f>
        <v>1</v>
      </c>
      <c r="E784" s="1637">
        <f>+'PTAP TIJERETAS'!E305</f>
        <v>9419674</v>
      </c>
      <c r="F784" s="1637">
        <f t="shared" si="44"/>
        <v>9419674</v>
      </c>
    </row>
    <row r="785" spans="1:6" ht="16.8">
      <c r="A785" s="1622" t="s">
        <v>7784</v>
      </c>
      <c r="B785" s="1549" t="s">
        <v>4936</v>
      </c>
      <c r="C785" s="364" t="s">
        <v>133</v>
      </c>
      <c r="D785" s="1752">
        <f>+'PTAP TIJERETAS'!D306</f>
        <v>1</v>
      </c>
      <c r="E785" s="1637">
        <f>+'PTAP TIJERETAS'!E306</f>
        <v>2279718</v>
      </c>
      <c r="F785" s="1637">
        <f t="shared" si="44"/>
        <v>2279718</v>
      </c>
    </row>
    <row r="786" spans="1:6" ht="16.8">
      <c r="A786" s="1622" t="s">
        <v>7785</v>
      </c>
      <c r="B786" s="1549" t="s">
        <v>4937</v>
      </c>
      <c r="C786" s="364" t="s">
        <v>133</v>
      </c>
      <c r="D786" s="1752">
        <f>+'PTAP TIJERETAS'!D307</f>
        <v>1</v>
      </c>
      <c r="E786" s="1637">
        <f>+'PTAP TIJERETAS'!E307</f>
        <v>920527</v>
      </c>
      <c r="F786" s="1637">
        <f t="shared" si="44"/>
        <v>920527</v>
      </c>
    </row>
    <row r="787" spans="1:6" ht="16.8">
      <c r="A787" s="1622" t="s">
        <v>7786</v>
      </c>
      <c r="B787" s="1549" t="s">
        <v>4938</v>
      </c>
      <c r="C787" s="364" t="s">
        <v>133</v>
      </c>
      <c r="D787" s="1752">
        <f>+'PTAP TIJERETAS'!D308</f>
        <v>1</v>
      </c>
      <c r="E787" s="1637">
        <f>+'PTAP TIJERETAS'!E308</f>
        <v>300000</v>
      </c>
      <c r="F787" s="1637">
        <f t="shared" si="44"/>
        <v>300000</v>
      </c>
    </row>
    <row r="788" spans="1:6" ht="16.8">
      <c r="A788" s="1622" t="s">
        <v>7787</v>
      </c>
      <c r="B788" s="1549" t="s">
        <v>4939</v>
      </c>
      <c r="C788" s="364" t="s">
        <v>133</v>
      </c>
      <c r="D788" s="1752">
        <f>+'PTAP TIJERETAS'!D309</f>
        <v>1</v>
      </c>
      <c r="E788" s="1637">
        <f>+'PTAP TIJERETAS'!E309</f>
        <v>2225922</v>
      </c>
      <c r="F788" s="1637">
        <f t="shared" si="44"/>
        <v>2225922</v>
      </c>
    </row>
    <row r="789" spans="1:6" ht="16.8">
      <c r="A789" s="1622" t="s">
        <v>7788</v>
      </c>
      <c r="B789" s="1549" t="s">
        <v>4940</v>
      </c>
      <c r="C789" s="364" t="s">
        <v>133</v>
      </c>
      <c r="D789" s="1752">
        <f>+'PTAP TIJERETAS'!D310</f>
        <v>2</v>
      </c>
      <c r="E789" s="1637">
        <f>+'PTAP TIJERETAS'!E310</f>
        <v>197925</v>
      </c>
      <c r="F789" s="1637">
        <f t="shared" si="44"/>
        <v>395850</v>
      </c>
    </row>
    <row r="790" spans="1:6" ht="16.8">
      <c r="A790" s="1622" t="s">
        <v>7789</v>
      </c>
      <c r="B790" s="1549" t="s">
        <v>4941</v>
      </c>
      <c r="C790" s="364" t="s">
        <v>133</v>
      </c>
      <c r="D790" s="1752">
        <f>+'PTAP TIJERETAS'!D311</f>
        <v>1</v>
      </c>
      <c r="E790" s="1637">
        <f>+'PTAP TIJERETAS'!E311</f>
        <v>3185136</v>
      </c>
      <c r="F790" s="1637">
        <f t="shared" si="44"/>
        <v>3185136</v>
      </c>
    </row>
    <row r="791" spans="1:6" ht="16.8">
      <c r="A791" s="1622" t="s">
        <v>7790</v>
      </c>
      <c r="B791" s="1549" t="s">
        <v>4942</v>
      </c>
      <c r="C791" s="364" t="s">
        <v>133</v>
      </c>
      <c r="D791" s="1752">
        <f>+'PTAP TIJERETAS'!D312</f>
        <v>2</v>
      </c>
      <c r="E791" s="1637">
        <f>+'PTAP TIJERETAS'!E312</f>
        <v>510173</v>
      </c>
      <c r="F791" s="1637">
        <f t="shared" si="44"/>
        <v>1020346</v>
      </c>
    </row>
    <row r="792" spans="1:6" ht="16.8">
      <c r="A792" s="1622" t="s">
        <v>7791</v>
      </c>
      <c r="B792" s="1549" t="s">
        <v>4943</v>
      </c>
      <c r="C792" s="364" t="s">
        <v>133</v>
      </c>
      <c r="D792" s="1752">
        <f>+'PTAP TIJERETAS'!D313</f>
        <v>6</v>
      </c>
      <c r="E792" s="1637">
        <f>+'PTAP TIJERETAS'!E313</f>
        <v>585074</v>
      </c>
      <c r="F792" s="1637">
        <f t="shared" si="44"/>
        <v>3510444</v>
      </c>
    </row>
    <row r="793" spans="1:6" ht="16.8">
      <c r="A793" s="1622" t="s">
        <v>7792</v>
      </c>
      <c r="B793" s="1549" t="s">
        <v>4944</v>
      </c>
      <c r="C793" s="364" t="s">
        <v>133</v>
      </c>
      <c r="D793" s="1752">
        <f>+'PTAP TIJERETAS'!D314</f>
        <v>2</v>
      </c>
      <c r="E793" s="1637">
        <f>+'PTAP TIJERETAS'!E314</f>
        <v>437056</v>
      </c>
      <c r="F793" s="1637">
        <f t="shared" si="44"/>
        <v>874112</v>
      </c>
    </row>
    <row r="794" spans="1:6" ht="16.8">
      <c r="A794" s="1622" t="s">
        <v>7793</v>
      </c>
      <c r="B794" s="1549" t="s">
        <v>4945</v>
      </c>
      <c r="C794" s="364" t="s">
        <v>133</v>
      </c>
      <c r="D794" s="1752">
        <f>+'PTAP TIJERETAS'!D315</f>
        <v>8</v>
      </c>
      <c r="E794" s="1637">
        <f>+'PTAP TIJERETAS'!E315</f>
        <v>220746</v>
      </c>
      <c r="F794" s="1637">
        <f t="shared" si="44"/>
        <v>1765968</v>
      </c>
    </row>
    <row r="795" spans="1:6" ht="16.8">
      <c r="A795" s="1622" t="s">
        <v>7794</v>
      </c>
      <c r="B795" s="1549" t="s">
        <v>4946</v>
      </c>
      <c r="C795" s="364" t="s">
        <v>133</v>
      </c>
      <c r="D795" s="1752">
        <f>+'PTAP TIJERETAS'!D316</f>
        <v>8</v>
      </c>
      <c r="E795" s="1637">
        <f>+'PTAP TIJERETAS'!E316</f>
        <v>37956</v>
      </c>
      <c r="F795" s="1637">
        <f t="shared" si="44"/>
        <v>303648</v>
      </c>
    </row>
    <row r="796" spans="1:6" ht="16.8">
      <c r="A796" s="1622" t="s">
        <v>7795</v>
      </c>
      <c r="B796" s="1549" t="s">
        <v>4947</v>
      </c>
      <c r="C796" s="364" t="s">
        <v>133</v>
      </c>
      <c r="D796" s="1752">
        <f>+'PTAP TIJERETAS'!D317</f>
        <v>24</v>
      </c>
      <c r="E796" s="1637">
        <f>+'PTAP TIJERETAS'!E317</f>
        <v>29766</v>
      </c>
      <c r="F796" s="1637">
        <f t="shared" si="44"/>
        <v>714384</v>
      </c>
    </row>
    <row r="797" spans="1:6" ht="16.8">
      <c r="A797" s="1622" t="s">
        <v>7796</v>
      </c>
      <c r="B797" s="1549" t="s">
        <v>4948</v>
      </c>
      <c r="C797" s="364" t="s">
        <v>133</v>
      </c>
      <c r="D797" s="1752">
        <f>+'PTAP TIJERETAS'!D318</f>
        <v>8</v>
      </c>
      <c r="E797" s="1637">
        <f>+'PTAP TIJERETAS'!E318</f>
        <v>23246</v>
      </c>
      <c r="F797" s="1637">
        <f t="shared" si="44"/>
        <v>185968</v>
      </c>
    </row>
    <row r="798" spans="1:6" ht="16.8">
      <c r="A798" s="1622" t="s">
        <v>7797</v>
      </c>
      <c r="B798" s="1549" t="s">
        <v>4949</v>
      </c>
      <c r="C798" s="364" t="s">
        <v>133</v>
      </c>
      <c r="D798" s="1752">
        <f>+'PTAP TIJERETAS'!D319</f>
        <v>8</v>
      </c>
      <c r="E798" s="1637">
        <f>+'PTAP TIJERETAS'!E319</f>
        <v>153413</v>
      </c>
      <c r="F798" s="1637">
        <f t="shared" si="44"/>
        <v>1227304</v>
      </c>
    </row>
    <row r="799" spans="1:6" ht="16.8">
      <c r="A799" s="1622" t="s">
        <v>7798</v>
      </c>
      <c r="B799" s="1549" t="s">
        <v>4950</v>
      </c>
      <c r="C799" s="364" t="s">
        <v>133</v>
      </c>
      <c r="D799" s="1752">
        <f>+'PTAP TIJERETAS'!D320</f>
        <v>2</v>
      </c>
      <c r="E799" s="1637">
        <f>+'PTAP TIJERETAS'!E320</f>
        <v>1203567</v>
      </c>
      <c r="F799" s="1637">
        <f t="shared" ref="F799:F802" si="45">+ROUND(D799*E799,0)</f>
        <v>2407134</v>
      </c>
    </row>
    <row r="800" spans="1:6" ht="16.8">
      <c r="A800" s="1622" t="s">
        <v>7799</v>
      </c>
      <c r="B800" s="1549" t="s">
        <v>4951</v>
      </c>
      <c r="C800" s="364" t="s">
        <v>133</v>
      </c>
      <c r="D800" s="1752">
        <f>+'PTAP TIJERETAS'!D321</f>
        <v>10</v>
      </c>
      <c r="E800" s="1637">
        <f>+'PTAP TIJERETAS'!E321</f>
        <v>67391</v>
      </c>
      <c r="F800" s="1637">
        <f t="shared" si="45"/>
        <v>673910</v>
      </c>
    </row>
    <row r="801" spans="1:13" ht="16.8">
      <c r="A801" s="1622" t="s">
        <v>7800</v>
      </c>
      <c r="B801" s="1549" t="s">
        <v>4952</v>
      </c>
      <c r="C801" s="364" t="s">
        <v>133</v>
      </c>
      <c r="D801" s="1752">
        <f>+'PTAP TIJERETAS'!D322</f>
        <v>1</v>
      </c>
      <c r="E801" s="1637">
        <f>+'PTAP TIJERETAS'!E322</f>
        <v>1533435</v>
      </c>
      <c r="F801" s="1637">
        <f t="shared" si="45"/>
        <v>1533435</v>
      </c>
    </row>
    <row r="802" spans="1:13" ht="16.8">
      <c r="A802" s="1622" t="s">
        <v>7801</v>
      </c>
      <c r="B802" s="1549" t="s">
        <v>4986</v>
      </c>
      <c r="C802" s="364" t="s">
        <v>133</v>
      </c>
      <c r="D802" s="1752">
        <f>+'PTAP TIJERETAS'!D323</f>
        <v>2</v>
      </c>
      <c r="E802" s="1637">
        <f>+'PTAP TIJERETAS'!E323</f>
        <v>1317450</v>
      </c>
      <c r="F802" s="1637">
        <f t="shared" si="45"/>
        <v>2634900</v>
      </c>
    </row>
    <row r="803" spans="1:13" s="492" customFormat="1" ht="18">
      <c r="A803" s="1703">
        <v>105</v>
      </c>
      <c r="B803" s="1777" t="s">
        <v>5719</v>
      </c>
      <c r="C803" s="1778"/>
      <c r="D803" s="1778"/>
      <c r="E803" s="1778"/>
      <c r="F803" s="2676">
        <f>+SUM(F804:F808)</f>
        <v>34044500</v>
      </c>
      <c r="G803" s="711"/>
      <c r="H803" s="61"/>
      <c r="K803" s="1495"/>
      <c r="L803" s="1495"/>
      <c r="M803" s="1495"/>
    </row>
    <row r="804" spans="1:13" s="492" customFormat="1" ht="18">
      <c r="A804" s="1748"/>
      <c r="B804" s="1696" t="s">
        <v>5713</v>
      </c>
      <c r="C804" s="471"/>
      <c r="D804" s="1752"/>
      <c r="E804" s="260"/>
      <c r="F804" s="1531"/>
      <c r="G804" s="711"/>
      <c r="H804" s="61"/>
      <c r="K804" s="1495"/>
      <c r="L804" s="1495"/>
      <c r="M804" s="1495"/>
    </row>
    <row r="805" spans="1:13" s="492" customFormat="1" ht="134.4">
      <c r="A805" s="1622" t="s">
        <v>7804</v>
      </c>
      <c r="B805" s="1544" t="s">
        <v>5716</v>
      </c>
      <c r="C805" s="471" t="s">
        <v>133</v>
      </c>
      <c r="D805" s="1749">
        <v>1</v>
      </c>
      <c r="E805" s="260">
        <f>+'PTAP TIJERETAS'!E326</f>
        <v>25004000</v>
      </c>
      <c r="F805" s="260">
        <f t="shared" ref="F805:F808" si="46">+ROUND(D805*E805,0)</f>
        <v>25004000</v>
      </c>
      <c r="G805" s="711"/>
      <c r="H805" s="61"/>
      <c r="K805" s="1495"/>
      <c r="L805" s="1495"/>
      <c r="M805" s="1495"/>
    </row>
    <row r="806" spans="1:13" s="492" customFormat="1" ht="33.6">
      <c r="A806" s="1776"/>
      <c r="B806" s="1697" t="s">
        <v>5715</v>
      </c>
      <c r="C806" s="471"/>
      <c r="D806" s="1749"/>
      <c r="E806" s="260"/>
      <c r="F806" s="1531"/>
      <c r="G806" s="711"/>
      <c r="H806" s="61"/>
      <c r="K806" s="1495"/>
      <c r="L806" s="1495"/>
      <c r="M806" s="1495"/>
    </row>
    <row r="807" spans="1:13" s="492" customFormat="1" ht="100.8">
      <c r="A807" s="1622" t="s">
        <v>7805</v>
      </c>
      <c r="B807" s="1544" t="s">
        <v>7803</v>
      </c>
      <c r="C807" s="471" t="s">
        <v>45</v>
      </c>
      <c r="D807" s="1749">
        <v>140</v>
      </c>
      <c r="E807" s="260">
        <f>+'PTAP TIJERETAS'!E328</f>
        <v>45050</v>
      </c>
      <c r="F807" s="260">
        <f t="shared" si="46"/>
        <v>6307000</v>
      </c>
      <c r="G807" s="711"/>
      <c r="H807" s="61"/>
      <c r="K807" s="1495"/>
      <c r="L807" s="1495"/>
      <c r="M807" s="1495"/>
    </row>
    <row r="808" spans="1:13" s="492" customFormat="1" ht="101.4" thickBot="1">
      <c r="A808" s="1622" t="s">
        <v>7806</v>
      </c>
      <c r="B808" s="1544" t="s">
        <v>5119</v>
      </c>
      <c r="C808" s="471" t="s">
        <v>45</v>
      </c>
      <c r="D808" s="1749">
        <v>70</v>
      </c>
      <c r="E808" s="260">
        <f>+'PTAP TIJERETAS'!E329</f>
        <v>39050</v>
      </c>
      <c r="F808" s="260">
        <f t="shared" si="46"/>
        <v>2733500</v>
      </c>
      <c r="G808" s="711"/>
      <c r="H808" s="61"/>
      <c r="K808" s="1495"/>
      <c r="L808" s="1495"/>
      <c r="M808" s="1495"/>
    </row>
    <row r="809" spans="1:13" ht="16.8">
      <c r="A809" s="3334" t="str">
        <f>+A343</f>
        <v>BOMBEO TIJERETA-PATAGONIA</v>
      </c>
      <c r="B809" s="3335"/>
      <c r="C809" s="3335"/>
      <c r="D809" s="3335"/>
      <c r="E809" s="3335"/>
      <c r="F809" s="3336"/>
    </row>
    <row r="810" spans="1:13" ht="33.6">
      <c r="A810" s="1590" t="s">
        <v>22</v>
      </c>
      <c r="B810" s="1591" t="s">
        <v>23</v>
      </c>
      <c r="C810" s="1591" t="s">
        <v>150</v>
      </c>
      <c r="D810" s="1592" t="s">
        <v>539</v>
      </c>
      <c r="E810" s="1593" t="s">
        <v>151</v>
      </c>
      <c r="F810" s="1593" t="s">
        <v>540</v>
      </c>
    </row>
    <row r="811" spans="1:13" ht="16.8">
      <c r="A811" s="1683">
        <v>106</v>
      </c>
      <c r="B811" s="1689" t="s">
        <v>5190</v>
      </c>
      <c r="C811" s="1683"/>
      <c r="D811" s="1690"/>
      <c r="E811" s="1691"/>
      <c r="F811" s="2677">
        <f>SUM(F812:F816)</f>
        <v>18397950</v>
      </c>
      <c r="G811" s="2339">
        <f>+SUM(F811,F817,F819,F822,F824,F826,F828,F830,F832,F834,F838,F846,F850,F852)</f>
        <v>566207138</v>
      </c>
      <c r="H811" s="1717" t="s">
        <v>8225</v>
      </c>
    </row>
    <row r="812" spans="1:13" ht="33.6">
      <c r="A812" s="1622" t="s">
        <v>7807</v>
      </c>
      <c r="B812" s="1618" t="s">
        <v>5245</v>
      </c>
      <c r="C812" s="1599" t="s">
        <v>5191</v>
      </c>
      <c r="D812" s="1476">
        <v>1</v>
      </c>
      <c r="E812" s="1659">
        <f>+'PTAP TIJERETAS'!E396</f>
        <v>1994000</v>
      </c>
      <c r="F812" s="260">
        <f t="shared" ref="F812:F823" si="47">+ROUND(D812*E812,0)</f>
        <v>1994000</v>
      </c>
      <c r="G812" s="2356">
        <f>+'PTAP TIJERETAS'!F441</f>
        <v>566207138</v>
      </c>
    </row>
    <row r="813" spans="1:13" ht="33.6">
      <c r="A813" s="1622" t="s">
        <v>7808</v>
      </c>
      <c r="B813" s="1618" t="s">
        <v>5246</v>
      </c>
      <c r="C813" s="1599" t="s">
        <v>5191</v>
      </c>
      <c r="D813" s="1471">
        <v>2</v>
      </c>
      <c r="E813" s="1659">
        <f>+'PTAP TIJERETAS'!E397</f>
        <v>1389200</v>
      </c>
      <c r="F813" s="260">
        <f t="shared" si="47"/>
        <v>2778400</v>
      </c>
    </row>
    <row r="814" spans="1:13" ht="16.8">
      <c r="A814" s="1622" t="s">
        <v>7809</v>
      </c>
      <c r="B814" s="1618" t="s">
        <v>5247</v>
      </c>
      <c r="C814" s="1599" t="s">
        <v>4693</v>
      </c>
      <c r="D814" s="1692">
        <v>30</v>
      </c>
      <c r="E814" s="1659">
        <f>+'PTAP TIJERETAS'!E398</f>
        <v>3100</v>
      </c>
      <c r="F814" s="260">
        <f t="shared" si="47"/>
        <v>93000</v>
      </c>
    </row>
    <row r="815" spans="1:13" ht="16.8">
      <c r="A815" s="1622" t="s">
        <v>7810</v>
      </c>
      <c r="B815" s="1618" t="s">
        <v>5248</v>
      </c>
      <c r="C815" s="1599" t="s">
        <v>5191</v>
      </c>
      <c r="D815" s="1602">
        <v>1</v>
      </c>
      <c r="E815" s="1659">
        <f>+'PTAP TIJERETAS'!E399</f>
        <v>316150</v>
      </c>
      <c r="F815" s="260">
        <f t="shared" si="47"/>
        <v>316150</v>
      </c>
    </row>
    <row r="816" spans="1:13" ht="33.6">
      <c r="A816" s="1622" t="s">
        <v>7811</v>
      </c>
      <c r="B816" s="1618" t="s">
        <v>5249</v>
      </c>
      <c r="C816" s="1599" t="s">
        <v>5191</v>
      </c>
      <c r="D816" s="1471">
        <v>1</v>
      </c>
      <c r="E816" s="1659">
        <f>+'PTAP TIJERETAS'!E400</f>
        <v>13216400</v>
      </c>
      <c r="F816" s="260">
        <f t="shared" si="47"/>
        <v>13216400</v>
      </c>
    </row>
    <row r="817" spans="1:10" ht="16.8">
      <c r="A817" s="1683">
        <v>107</v>
      </c>
      <c r="B817" s="1689" t="s">
        <v>5526</v>
      </c>
      <c r="C817" s="1683"/>
      <c r="D817" s="1690"/>
      <c r="E817" s="1691"/>
      <c r="F817" s="2677">
        <f>+SUM(F818)</f>
        <v>2292728</v>
      </c>
    </row>
    <row r="818" spans="1:10" ht="16.8">
      <c r="A818" s="1622" t="s">
        <v>7812</v>
      </c>
      <c r="B818" s="1618" t="s">
        <v>5250</v>
      </c>
      <c r="C818" s="1599" t="s">
        <v>5191</v>
      </c>
      <c r="D818" s="1471">
        <v>9</v>
      </c>
      <c r="E818" s="1659">
        <f>+'PTAP TIJERETAS'!E402</f>
        <v>254747.5</v>
      </c>
      <c r="F818" s="260">
        <f t="shared" si="47"/>
        <v>2292728</v>
      </c>
    </row>
    <row r="819" spans="1:10" ht="16.8">
      <c r="A819" s="1683">
        <v>108</v>
      </c>
      <c r="B819" s="1689" t="s">
        <v>5527</v>
      </c>
      <c r="C819" s="1683"/>
      <c r="D819" s="1690"/>
      <c r="E819" s="1691"/>
      <c r="F819" s="2677">
        <f>SUM(F820:F821)</f>
        <v>4850000</v>
      </c>
    </row>
    <row r="820" spans="1:10" ht="50.4">
      <c r="A820" s="1622" t="s">
        <v>7813</v>
      </c>
      <c r="B820" s="1645" t="s">
        <v>5251</v>
      </c>
      <c r="C820" s="1635" t="s">
        <v>5191</v>
      </c>
      <c r="D820" s="1602">
        <v>1</v>
      </c>
      <c r="E820" s="1659">
        <f>+'PTAP TIJERETAS'!E404</f>
        <v>4120000</v>
      </c>
      <c r="F820" s="260">
        <f t="shared" si="47"/>
        <v>4120000</v>
      </c>
    </row>
    <row r="821" spans="1:10" ht="50.4">
      <c r="A821" s="1622" t="s">
        <v>7814</v>
      </c>
      <c r="B821" s="1693" t="s">
        <v>5252</v>
      </c>
      <c r="C821" s="1599" t="s">
        <v>5191</v>
      </c>
      <c r="D821" s="1472">
        <v>1</v>
      </c>
      <c r="E821" s="1659">
        <f>+'PTAP TIJERETAS'!E405</f>
        <v>730000</v>
      </c>
      <c r="F821" s="260">
        <f t="shared" si="47"/>
        <v>730000</v>
      </c>
    </row>
    <row r="822" spans="1:10" ht="33.6">
      <c r="A822" s="1683">
        <v>109</v>
      </c>
      <c r="B822" s="1689" t="s">
        <v>5528</v>
      </c>
      <c r="C822" s="1683"/>
      <c r="D822" s="1690"/>
      <c r="E822" s="1691"/>
      <c r="F822" s="2677">
        <f>SUM(F823)</f>
        <v>3380000</v>
      </c>
    </row>
    <row r="823" spans="1:10" ht="50.4">
      <c r="A823" s="1622" t="s">
        <v>7815</v>
      </c>
      <c r="B823" s="1661" t="s">
        <v>5217</v>
      </c>
      <c r="C823" s="1599" t="s">
        <v>4693</v>
      </c>
      <c r="D823" s="1471">
        <v>20</v>
      </c>
      <c r="E823" s="1659">
        <f>+'PTAP TIJERETAS'!E407</f>
        <v>169000</v>
      </c>
      <c r="F823" s="260">
        <f t="shared" si="47"/>
        <v>3380000</v>
      </c>
    </row>
    <row r="824" spans="1:10" ht="33.6">
      <c r="A824" s="1683">
        <v>110</v>
      </c>
      <c r="B824" s="1689" t="s">
        <v>5529</v>
      </c>
      <c r="C824" s="1683"/>
      <c r="D824" s="1690"/>
      <c r="E824" s="1691"/>
      <c r="F824" s="2677">
        <f>SUM(F825)</f>
        <v>17362000</v>
      </c>
    </row>
    <row r="825" spans="1:10" ht="117.6">
      <c r="A825" s="1622" t="s">
        <v>7816</v>
      </c>
      <c r="B825" s="1638" t="s">
        <v>5218</v>
      </c>
      <c r="C825" s="1635" t="s">
        <v>5191</v>
      </c>
      <c r="D825" s="1602">
        <v>1</v>
      </c>
      <c r="E825" s="1659">
        <f>+'PTAP TIJERETAS'!E409</f>
        <v>17362000</v>
      </c>
      <c r="F825" s="260">
        <f>+ROUND(D825*E825,0)</f>
        <v>17362000</v>
      </c>
      <c r="G825" s="2354"/>
      <c r="I825" s="1717"/>
      <c r="J825" s="1717"/>
    </row>
    <row r="826" spans="1:10" ht="33.6">
      <c r="A826" s="1683">
        <v>111</v>
      </c>
      <c r="B826" s="1689" t="s">
        <v>5530</v>
      </c>
      <c r="C826" s="1683"/>
      <c r="D826" s="1690"/>
      <c r="E826" s="1691"/>
      <c r="F826" s="2677">
        <f>SUM(F827)</f>
        <v>2028000</v>
      </c>
    </row>
    <row r="827" spans="1:10" ht="50.4">
      <c r="A827" s="1622" t="s">
        <v>7817</v>
      </c>
      <c r="B827" s="1661" t="s">
        <v>5219</v>
      </c>
      <c r="C827" s="1599" t="s">
        <v>4693</v>
      </c>
      <c r="D827" s="1471">
        <v>12</v>
      </c>
      <c r="E827" s="1659">
        <f>+'PTAP TIJERETAS'!E411</f>
        <v>169000</v>
      </c>
      <c r="F827" s="260">
        <f>+ROUND(D827*E827,0)</f>
        <v>2028000</v>
      </c>
    </row>
    <row r="828" spans="1:10" ht="33.6">
      <c r="A828" s="1683">
        <v>112</v>
      </c>
      <c r="B828" s="1689" t="s">
        <v>5531</v>
      </c>
      <c r="C828" s="1683"/>
      <c r="D828" s="1690"/>
      <c r="E828" s="1691"/>
      <c r="F828" s="2677">
        <f>SUM(F829)</f>
        <v>2535000</v>
      </c>
    </row>
    <row r="829" spans="1:10" ht="50.4">
      <c r="A829" s="1622" t="s">
        <v>7818</v>
      </c>
      <c r="B829" s="1661" t="s">
        <v>5220</v>
      </c>
      <c r="C829" s="1599" t="s">
        <v>4693</v>
      </c>
      <c r="D829" s="1471">
        <v>15</v>
      </c>
      <c r="E829" s="1659">
        <f>+'PTAP TIJERETAS'!E413</f>
        <v>169000</v>
      </c>
      <c r="F829" s="260">
        <f>+ROUND(D829*E829,0)</f>
        <v>2535000</v>
      </c>
    </row>
    <row r="830" spans="1:10" ht="16.8">
      <c r="A830" s="1683">
        <v>113</v>
      </c>
      <c r="B830" s="1689" t="s">
        <v>5532</v>
      </c>
      <c r="C830" s="1683"/>
      <c r="D830" s="1690"/>
      <c r="E830" s="1691"/>
      <c r="F830" s="2677">
        <f>SUM(F831)</f>
        <v>101793972</v>
      </c>
    </row>
    <row r="831" spans="1:10" ht="67.2">
      <c r="A831" s="1622" t="s">
        <v>7819</v>
      </c>
      <c r="B831" s="1662" t="s">
        <v>5254</v>
      </c>
      <c r="C831" s="1599" t="s">
        <v>5191</v>
      </c>
      <c r="D831" s="1471">
        <v>1</v>
      </c>
      <c r="E831" s="1659">
        <f>+'PTAP TIJERETAS'!E415</f>
        <v>101793972</v>
      </c>
      <c r="F831" s="260">
        <f>+ROUND(D831*E831,0)</f>
        <v>101793972</v>
      </c>
    </row>
    <row r="832" spans="1:10" ht="16.8">
      <c r="B832" s="1689" t="s">
        <v>5533</v>
      </c>
      <c r="C832" s="1683"/>
      <c r="D832" s="1690"/>
      <c r="E832" s="1691"/>
      <c r="F832" s="2677">
        <f>SUM(F833)</f>
        <v>114736000</v>
      </c>
    </row>
    <row r="833" spans="1:6" ht="201.6">
      <c r="A833" s="1622" t="s">
        <v>7820</v>
      </c>
      <c r="B833" s="1618" t="s">
        <v>5253</v>
      </c>
      <c r="C833" s="1599" t="s">
        <v>5191</v>
      </c>
      <c r="D833" s="1472">
        <v>1</v>
      </c>
      <c r="E833" s="1659">
        <f>+'PTAP TIJERETAS'!E417</f>
        <v>114736000</v>
      </c>
      <c r="F833" s="260">
        <f>+ROUND(D833*E833,0)</f>
        <v>114736000</v>
      </c>
    </row>
    <row r="834" spans="1:6" ht="33.6">
      <c r="A834" s="1683">
        <v>115</v>
      </c>
      <c r="B834" s="1689" t="s">
        <v>5534</v>
      </c>
      <c r="C834" s="1683"/>
      <c r="D834" s="1690"/>
      <c r="E834" s="1691"/>
      <c r="F834" s="2677">
        <f>SUM(F835:F837)</f>
        <v>4720800</v>
      </c>
    </row>
    <row r="835" spans="1:6" ht="50.4">
      <c r="A835" s="1622" t="s">
        <v>7821</v>
      </c>
      <c r="B835" s="1661" t="s">
        <v>5255</v>
      </c>
      <c r="C835" s="1599" t="s">
        <v>4693</v>
      </c>
      <c r="D835" s="1471">
        <v>10</v>
      </c>
      <c r="E835" s="1659">
        <f>+'PTAP TIJERETAS'!E419</f>
        <v>22050</v>
      </c>
      <c r="F835" s="260">
        <f>+ROUND(D835*E835,0)</f>
        <v>220500</v>
      </c>
    </row>
    <row r="836" spans="1:6" ht="50.4">
      <c r="A836" s="1622" t="s">
        <v>7822</v>
      </c>
      <c r="B836" s="1661" t="s">
        <v>5256</v>
      </c>
      <c r="C836" s="1599" t="s">
        <v>4693</v>
      </c>
      <c r="D836" s="1471">
        <v>30</v>
      </c>
      <c r="E836" s="1659">
        <f>+'PTAP TIJERETAS'!E420</f>
        <v>22050</v>
      </c>
      <c r="F836" s="260">
        <f t="shared" ref="F836:F837" si="48">+ROUND(D836*E836,0)</f>
        <v>661500</v>
      </c>
    </row>
    <row r="837" spans="1:6" ht="67.2">
      <c r="A837" s="1622" t="s">
        <v>7823</v>
      </c>
      <c r="B837" s="1661" t="s">
        <v>5109</v>
      </c>
      <c r="C837" s="1599" t="s">
        <v>4693</v>
      </c>
      <c r="D837" s="1471">
        <v>56</v>
      </c>
      <c r="E837" s="1659">
        <f>+'PTAP TIJERETAS'!E421</f>
        <v>68550</v>
      </c>
      <c r="F837" s="260">
        <f t="shared" si="48"/>
        <v>3838800</v>
      </c>
    </row>
    <row r="838" spans="1:6" ht="16.8">
      <c r="A838" s="1683">
        <v>116</v>
      </c>
      <c r="B838" s="1689" t="s">
        <v>5535</v>
      </c>
      <c r="C838" s="1683"/>
      <c r="D838" s="1690"/>
      <c r="E838" s="1691"/>
      <c r="F838" s="2677">
        <f>SUM(F839:F845)</f>
        <v>3163100</v>
      </c>
    </row>
    <row r="839" spans="1:6" ht="16.8">
      <c r="A839" s="1622" t="s">
        <v>7824</v>
      </c>
      <c r="B839" s="1664" t="s">
        <v>5123</v>
      </c>
      <c r="C839" s="1599" t="s">
        <v>5191</v>
      </c>
      <c r="D839" s="1471">
        <v>1</v>
      </c>
      <c r="E839" s="1659">
        <f>+'PTAP TIJERETAS'!E423</f>
        <v>284050</v>
      </c>
      <c r="F839" s="260">
        <f>+ROUND(D839*E839,0)</f>
        <v>284050</v>
      </c>
    </row>
    <row r="840" spans="1:6" ht="16.8">
      <c r="A840" s="1622" t="s">
        <v>7825</v>
      </c>
      <c r="B840" s="1664" t="s">
        <v>5129</v>
      </c>
      <c r="C840" s="1599" t="s">
        <v>5191</v>
      </c>
      <c r="D840" s="1471">
        <v>1</v>
      </c>
      <c r="E840" s="1659">
        <f>+'PTAP TIJERETAS'!E424</f>
        <v>157050</v>
      </c>
      <c r="F840" s="260">
        <f t="shared" ref="F840:F845" si="49">+ROUND(D840*E840,0)</f>
        <v>157050</v>
      </c>
    </row>
    <row r="841" spans="1:6" ht="33.6">
      <c r="A841" s="1622" t="s">
        <v>7826</v>
      </c>
      <c r="B841" s="1663" t="s">
        <v>5257</v>
      </c>
      <c r="C841" s="1599" t="s">
        <v>5191</v>
      </c>
      <c r="D841" s="1471">
        <v>14</v>
      </c>
      <c r="E841" s="1659">
        <f>+'PTAP TIJERETAS'!E425</f>
        <v>46200</v>
      </c>
      <c r="F841" s="260">
        <f t="shared" si="49"/>
        <v>646800</v>
      </c>
    </row>
    <row r="842" spans="1:6" ht="33.6">
      <c r="A842" s="1622" t="s">
        <v>7827</v>
      </c>
      <c r="B842" s="1663" t="s">
        <v>5258</v>
      </c>
      <c r="C842" s="1599" t="s">
        <v>5191</v>
      </c>
      <c r="D842" s="1471">
        <v>3</v>
      </c>
      <c r="E842" s="1659">
        <f>+'PTAP TIJERETAS'!E426</f>
        <v>39400</v>
      </c>
      <c r="F842" s="260">
        <f t="shared" si="49"/>
        <v>118200</v>
      </c>
    </row>
    <row r="843" spans="1:6" ht="33.6">
      <c r="A843" s="1622" t="s">
        <v>7828</v>
      </c>
      <c r="B843" s="1663" t="s">
        <v>5259</v>
      </c>
      <c r="C843" s="1599" t="s">
        <v>5191</v>
      </c>
      <c r="D843" s="1471">
        <v>2</v>
      </c>
      <c r="E843" s="1659">
        <f>+'PTAP TIJERETAS'!E427</f>
        <v>52100</v>
      </c>
      <c r="F843" s="260">
        <f t="shared" si="49"/>
        <v>104200</v>
      </c>
    </row>
    <row r="844" spans="1:6" ht="16.8">
      <c r="A844" s="1622" t="s">
        <v>7829</v>
      </c>
      <c r="B844" s="1663" t="s">
        <v>5260</v>
      </c>
      <c r="C844" s="1599" t="s">
        <v>5191</v>
      </c>
      <c r="D844" s="1471">
        <v>6</v>
      </c>
      <c r="E844" s="1659">
        <f>+'PTAP TIJERETAS'!E428</f>
        <v>215200</v>
      </c>
      <c r="F844" s="260">
        <f t="shared" si="49"/>
        <v>1291200</v>
      </c>
    </row>
    <row r="845" spans="1:6" ht="16.8">
      <c r="A845" s="1622" t="s">
        <v>7830</v>
      </c>
      <c r="B845" s="1663" t="s">
        <v>5261</v>
      </c>
      <c r="C845" s="1599" t="s">
        <v>5191</v>
      </c>
      <c r="D845" s="1471">
        <v>8</v>
      </c>
      <c r="E845" s="1659">
        <f>+'PTAP TIJERETAS'!E429</f>
        <v>70200</v>
      </c>
      <c r="F845" s="260">
        <f t="shared" si="49"/>
        <v>561600</v>
      </c>
    </row>
    <row r="846" spans="1:6" ht="16.8">
      <c r="A846" s="1683">
        <v>117</v>
      </c>
      <c r="B846" s="1689" t="s">
        <v>5536</v>
      </c>
      <c r="C846" s="1683"/>
      <c r="D846" s="1690"/>
      <c r="E846" s="1691"/>
      <c r="F846" s="2677">
        <f>SUM(F847:F849)</f>
        <v>11682800</v>
      </c>
    </row>
    <row r="847" spans="1:6" ht="50.4">
      <c r="A847" s="1622" t="s">
        <v>7831</v>
      </c>
      <c r="B847" s="1465" t="s">
        <v>5168</v>
      </c>
      <c r="C847" s="364" t="s">
        <v>4693</v>
      </c>
      <c r="D847" s="1610">
        <v>180</v>
      </c>
      <c r="E847" s="1659">
        <f>+'PTAP TIJERETAS'!E431</f>
        <v>12200</v>
      </c>
      <c r="F847" s="260">
        <f>+ROUND(D847*E847,0)</f>
        <v>2196000</v>
      </c>
    </row>
    <row r="848" spans="1:6" ht="33.6">
      <c r="A848" s="1622" t="s">
        <v>7832</v>
      </c>
      <c r="B848" s="1465" t="s">
        <v>5262</v>
      </c>
      <c r="C848" s="364" t="s">
        <v>5191</v>
      </c>
      <c r="D848" s="1610">
        <v>9</v>
      </c>
      <c r="E848" s="1659">
        <f>+'PTAP TIJERETAS'!E432</f>
        <v>925200</v>
      </c>
      <c r="F848" s="260">
        <f t="shared" ref="F848:F851" si="50">+ROUND(D848*E848,0)</f>
        <v>8326800</v>
      </c>
    </row>
    <row r="849" spans="1:17" ht="16.8">
      <c r="A849" s="1622" t="s">
        <v>7833</v>
      </c>
      <c r="B849" s="1465" t="s">
        <v>5263</v>
      </c>
      <c r="C849" s="364" t="s">
        <v>5191</v>
      </c>
      <c r="D849" s="1610">
        <v>8</v>
      </c>
      <c r="E849" s="1659">
        <f>+'PTAP TIJERETAS'!E433</f>
        <v>145000</v>
      </c>
      <c r="F849" s="260">
        <f t="shared" si="50"/>
        <v>1160000</v>
      </c>
    </row>
    <row r="850" spans="1:17" ht="16.8">
      <c r="A850" s="1683">
        <v>118</v>
      </c>
      <c r="B850" s="1689" t="s">
        <v>5537</v>
      </c>
      <c r="C850" s="1683"/>
      <c r="D850" s="1690"/>
      <c r="E850" s="1691"/>
      <c r="F850" s="2677">
        <f>SUM(F851)</f>
        <v>24420000</v>
      </c>
    </row>
    <row r="851" spans="1:17" ht="151.19999999999999">
      <c r="A851" s="1622" t="s">
        <v>7834</v>
      </c>
      <c r="B851" s="1618" t="s">
        <v>5264</v>
      </c>
      <c r="C851" s="1599" t="s">
        <v>5191</v>
      </c>
      <c r="D851" s="1471">
        <v>1</v>
      </c>
      <c r="E851" s="1659">
        <f>+'PTAP TIJERETAS'!E435</f>
        <v>24420000</v>
      </c>
      <c r="F851" s="260">
        <f t="shared" si="50"/>
        <v>24420000</v>
      </c>
    </row>
    <row r="852" spans="1:17" ht="16.8">
      <c r="A852" s="1683">
        <v>119</v>
      </c>
      <c r="B852" s="3357" t="s">
        <v>5657</v>
      </c>
      <c r="C852" s="3358"/>
      <c r="D852" s="3358"/>
      <c r="E852" s="1684"/>
      <c r="F852" s="2677">
        <f>SUM(F853:F855)</f>
        <v>254844788</v>
      </c>
    </row>
    <row r="853" spans="1:17" s="1717" customFormat="1" ht="117.6">
      <c r="A853" s="1622" t="s">
        <v>7835</v>
      </c>
      <c r="B853" s="349" t="s">
        <v>6229</v>
      </c>
      <c r="C853" s="1635" t="s">
        <v>5191</v>
      </c>
      <c r="D853" s="1635">
        <v>2</v>
      </c>
      <c r="E853" s="1659">
        <f>+'PTAP TIJERETAS'!E437</f>
        <v>36541188</v>
      </c>
      <c r="F853" s="260">
        <f>+ROUND(D853*E853,0)</f>
        <v>73082376</v>
      </c>
      <c r="G853" s="2354"/>
      <c r="K853" s="1733"/>
      <c r="L853" s="1733"/>
      <c r="M853" s="1733"/>
    </row>
    <row r="854" spans="1:17" s="61" customFormat="1" ht="111" customHeight="1">
      <c r="A854" s="1622" t="s">
        <v>7836</v>
      </c>
      <c r="B854" s="349" t="s">
        <v>6230</v>
      </c>
      <c r="C854" s="3020" t="s">
        <v>5191</v>
      </c>
      <c r="D854" s="3020">
        <v>2</v>
      </c>
      <c r="E854" s="1659">
        <f>+'PTAP TIJERETAS'!E438</f>
        <v>48320998</v>
      </c>
      <c r="F854" s="260">
        <f t="shared" ref="F854:F855" si="51">+ROUND(D854*E854,0)</f>
        <v>96641996</v>
      </c>
      <c r="G854" s="95"/>
      <c r="K854" s="2739"/>
      <c r="L854" s="2739"/>
      <c r="M854" s="2739"/>
    </row>
    <row r="855" spans="1:17" s="61" customFormat="1" ht="110.25" customHeight="1" thickBot="1">
      <c r="A855" s="1622" t="s">
        <v>7837</v>
      </c>
      <c r="B855" s="349" t="s">
        <v>6309</v>
      </c>
      <c r="C855" s="3020" t="s">
        <v>5191</v>
      </c>
      <c r="D855" s="3020">
        <v>2</v>
      </c>
      <c r="E855" s="1659">
        <f>+'PTAP TIJERETAS'!E439</f>
        <v>42560208</v>
      </c>
      <c r="F855" s="260">
        <f t="shared" si="51"/>
        <v>85120416</v>
      </c>
      <c r="G855" s="95"/>
      <c r="K855" s="2739"/>
      <c r="L855" s="2739"/>
      <c r="M855" s="2739"/>
    </row>
    <row r="856" spans="1:17" ht="16.8">
      <c r="A856" s="3373" t="str">
        <f>+A396</f>
        <v xml:space="preserve"> PRESUPUESTO ACCESORIOS BOMBEO TIJERETAS - PATAGONIA</v>
      </c>
      <c r="B856" s="3335"/>
      <c r="C856" s="3335"/>
      <c r="D856" s="3335"/>
      <c r="E856" s="3335"/>
      <c r="F856" s="3336"/>
    </row>
    <row r="857" spans="1:17" ht="33.6">
      <c r="A857" s="1590" t="s">
        <v>22</v>
      </c>
      <c r="B857" s="1591" t="s">
        <v>23</v>
      </c>
      <c r="C857" s="1591" t="s">
        <v>150</v>
      </c>
      <c r="D857" s="1592" t="s">
        <v>539</v>
      </c>
      <c r="E857" s="1593" t="s">
        <v>151</v>
      </c>
      <c r="F857" s="1593" t="s">
        <v>540</v>
      </c>
    </row>
    <row r="858" spans="1:17" s="1623" customFormat="1" ht="16.8">
      <c r="A858" s="1683">
        <v>120</v>
      </c>
      <c r="B858" s="3357" t="s">
        <v>1128</v>
      </c>
      <c r="C858" s="3358"/>
      <c r="D858" s="3358"/>
      <c r="E858" s="1685"/>
      <c r="F858" s="2251">
        <f>+SUM(F859:F876)</f>
        <v>47061067</v>
      </c>
      <c r="G858" s="2800">
        <f>+F858</f>
        <v>47061067</v>
      </c>
      <c r="H858" s="1623" t="s">
        <v>8225</v>
      </c>
      <c r="I858" s="1625"/>
      <c r="J858" s="1625"/>
      <c r="K858" s="1706"/>
      <c r="L858" s="1706"/>
      <c r="M858" s="1625"/>
      <c r="N858" s="1625"/>
      <c r="O858" s="1625"/>
      <c r="P858" s="1625"/>
      <c r="Q858" s="1625"/>
    </row>
    <row r="859" spans="1:17" s="1623" customFormat="1" ht="16.8">
      <c r="A859" s="1617" t="s">
        <v>7838</v>
      </c>
      <c r="B859" s="1618" t="s">
        <v>4407</v>
      </c>
      <c r="C859" s="364" t="s">
        <v>427</v>
      </c>
      <c r="D859" s="1639">
        <v>2</v>
      </c>
      <c r="E859" s="1637">
        <f>+'PTAP TIJERETAS'!E474</f>
        <v>1899100</v>
      </c>
      <c r="F859" s="260">
        <f t="shared" ref="F859:F876" si="52">+ROUND(D859*E859,0)</f>
        <v>3798200</v>
      </c>
      <c r="G859" s="1625">
        <f>+'PTAP TIJERETAS'!F473</f>
        <v>47061067</v>
      </c>
      <c r="I859" s="1625"/>
      <c r="J859" s="1625"/>
      <c r="K859" s="1706"/>
      <c r="L859" s="1706"/>
      <c r="M859" s="1625"/>
      <c r="N859" s="1625"/>
      <c r="O859" s="1625"/>
      <c r="P859" s="1625"/>
      <c r="Q859" s="1625"/>
    </row>
    <row r="860" spans="1:17" s="1623" customFormat="1" ht="16.8">
      <c r="A860" s="1617" t="s">
        <v>7839</v>
      </c>
      <c r="B860" s="1618" t="s">
        <v>4408</v>
      </c>
      <c r="C860" s="364" t="s">
        <v>427</v>
      </c>
      <c r="D860" s="1639">
        <v>2</v>
      </c>
      <c r="E860" s="1637">
        <f>+'PTAP TIJERETAS'!E475</f>
        <v>1123600</v>
      </c>
      <c r="F860" s="260">
        <f t="shared" si="52"/>
        <v>2247200</v>
      </c>
      <c r="G860" s="1704"/>
      <c r="H860" s="1625"/>
      <c r="I860" s="1625"/>
      <c r="J860" s="1625"/>
      <c r="K860" s="1706"/>
      <c r="L860" s="1706"/>
      <c r="M860" s="1625"/>
      <c r="N860" s="1625"/>
      <c r="O860" s="1625"/>
      <c r="P860" s="1625"/>
      <c r="Q860" s="1625"/>
    </row>
    <row r="861" spans="1:17" s="1623" customFormat="1" ht="16.8">
      <c r="A861" s="1617" t="s">
        <v>7840</v>
      </c>
      <c r="B861" s="1618" t="s">
        <v>4411</v>
      </c>
      <c r="C861" s="364" t="s">
        <v>427</v>
      </c>
      <c r="D861" s="1639">
        <v>5</v>
      </c>
      <c r="E861" s="1637">
        <f>+'PTAP TIJERETAS'!E476</f>
        <v>639150</v>
      </c>
      <c r="F861" s="260">
        <f t="shared" si="52"/>
        <v>3195750</v>
      </c>
      <c r="G861" s="1704"/>
      <c r="H861" s="1625"/>
      <c r="I861" s="1625"/>
      <c r="J861" s="1625"/>
      <c r="K861" s="1706"/>
      <c r="L861" s="1706"/>
      <c r="M861" s="1625"/>
      <c r="N861" s="1625"/>
      <c r="O861" s="1625"/>
      <c r="P861" s="1625"/>
      <c r="Q861" s="1625"/>
    </row>
    <row r="862" spans="1:17" s="1623" customFormat="1" ht="16.8">
      <c r="A862" s="1617" t="s">
        <v>7841</v>
      </c>
      <c r="B862" s="1618" t="s">
        <v>4412</v>
      </c>
      <c r="C862" s="364" t="s">
        <v>427</v>
      </c>
      <c r="D862" s="1639">
        <v>2</v>
      </c>
      <c r="E862" s="1637">
        <f>+'PTAP TIJERETAS'!E477</f>
        <v>1268600</v>
      </c>
      <c r="F862" s="260">
        <f t="shared" si="52"/>
        <v>2537200</v>
      </c>
      <c r="G862" s="1704"/>
      <c r="H862" s="1625"/>
      <c r="I862" s="1625"/>
      <c r="J862" s="1625"/>
      <c r="K862" s="1706"/>
      <c r="L862" s="1706"/>
      <c r="M862" s="1625"/>
      <c r="N862" s="1625"/>
      <c r="O862" s="1625"/>
      <c r="P862" s="1625"/>
      <c r="Q862" s="1625"/>
    </row>
    <row r="863" spans="1:17" s="1623" customFormat="1" ht="16.8">
      <c r="A863" s="1617" t="s">
        <v>7842</v>
      </c>
      <c r="B863" s="1618" t="s">
        <v>4413</v>
      </c>
      <c r="C863" s="364" t="s">
        <v>427</v>
      </c>
      <c r="D863" s="1639">
        <v>2</v>
      </c>
      <c r="E863" s="1637">
        <f>+'PTAP TIJERETAS'!E478</f>
        <v>750325</v>
      </c>
      <c r="F863" s="260">
        <f t="shared" si="52"/>
        <v>1500650</v>
      </c>
      <c r="G863" s="1704"/>
      <c r="H863" s="1625"/>
      <c r="I863" s="1625"/>
      <c r="J863" s="1625"/>
      <c r="K863" s="1706"/>
      <c r="L863" s="1706"/>
      <c r="M863" s="1625"/>
      <c r="N863" s="1625"/>
      <c r="O863" s="1625"/>
      <c r="P863" s="1625"/>
      <c r="Q863" s="1625"/>
    </row>
    <row r="864" spans="1:17" s="1623" customFormat="1" ht="16.8">
      <c r="A864" s="1617" t="s">
        <v>7843</v>
      </c>
      <c r="B864" s="1618" t="s">
        <v>4414</v>
      </c>
      <c r="C864" s="364" t="s">
        <v>427</v>
      </c>
      <c r="D864" s="1639">
        <v>2</v>
      </c>
      <c r="E864" s="1637">
        <f>+'PTAP TIJERETAS'!E479</f>
        <v>684300</v>
      </c>
      <c r="F864" s="260">
        <f t="shared" si="52"/>
        <v>1368600</v>
      </c>
      <c r="G864" s="1704"/>
      <c r="H864" s="1625"/>
      <c r="I864" s="1625"/>
      <c r="J864" s="1625"/>
      <c r="K864" s="1706"/>
      <c r="L864" s="1706"/>
      <c r="M864" s="1625"/>
      <c r="N864" s="1625"/>
      <c r="O864" s="1625"/>
      <c r="P864" s="1625"/>
      <c r="Q864" s="1625"/>
    </row>
    <row r="865" spans="1:17" s="1623" customFormat="1" ht="16.8">
      <c r="A865" s="1617" t="s">
        <v>7844</v>
      </c>
      <c r="B865" s="1618" t="s">
        <v>4415</v>
      </c>
      <c r="C865" s="364" t="s">
        <v>427</v>
      </c>
      <c r="D865" s="1639">
        <v>2</v>
      </c>
      <c r="E865" s="1637">
        <f>+'PTAP TIJERETAS'!E480</f>
        <v>654550</v>
      </c>
      <c r="F865" s="260">
        <f t="shared" si="52"/>
        <v>1309100</v>
      </c>
      <c r="G865" s="1704"/>
      <c r="H865" s="1625"/>
      <c r="I865" s="1625"/>
      <c r="J865" s="1625"/>
      <c r="K865" s="1706"/>
      <c r="L865" s="1706"/>
      <c r="M865" s="1625"/>
      <c r="N865" s="1625"/>
      <c r="O865" s="1625"/>
      <c r="P865" s="1625"/>
      <c r="Q865" s="1625"/>
    </row>
    <row r="866" spans="1:17" s="1623" customFormat="1" ht="16.8">
      <c r="A866" s="1617" t="s">
        <v>7845</v>
      </c>
      <c r="B866" s="1618" t="s">
        <v>4416</v>
      </c>
      <c r="C866" s="364" t="s">
        <v>427</v>
      </c>
      <c r="D866" s="1639">
        <v>2</v>
      </c>
      <c r="E866" s="1637">
        <f>+'PTAP TIJERETAS'!E481</f>
        <v>777965</v>
      </c>
      <c r="F866" s="260">
        <f t="shared" si="52"/>
        <v>1555930</v>
      </c>
      <c r="G866" s="1704"/>
      <c r="H866" s="1625"/>
      <c r="I866" s="1625"/>
      <c r="J866" s="1625"/>
      <c r="K866" s="1706"/>
      <c r="L866" s="1706"/>
      <c r="M866" s="1625"/>
      <c r="N866" s="1625"/>
      <c r="O866" s="1625"/>
      <c r="P866" s="1625"/>
      <c r="Q866" s="1625"/>
    </row>
    <row r="867" spans="1:17" s="1623" customFormat="1" ht="16.8">
      <c r="A867" s="1617" t="s">
        <v>7846</v>
      </c>
      <c r="B867" s="1618" t="s">
        <v>4417</v>
      </c>
      <c r="C867" s="364" t="s">
        <v>427</v>
      </c>
      <c r="D867" s="1639">
        <v>2</v>
      </c>
      <c r="E867" s="1637">
        <f>+'PTAP TIJERETAS'!E482</f>
        <v>693475</v>
      </c>
      <c r="F867" s="260">
        <f t="shared" si="52"/>
        <v>1386950</v>
      </c>
      <c r="G867" s="1704"/>
      <c r="H867" s="1625"/>
      <c r="I867" s="1625"/>
      <c r="J867" s="1625"/>
      <c r="K867" s="1706"/>
      <c r="L867" s="1706"/>
      <c r="M867" s="1625"/>
      <c r="N867" s="1625"/>
      <c r="O867" s="1625"/>
      <c r="P867" s="1625"/>
      <c r="Q867" s="1625"/>
    </row>
    <row r="868" spans="1:17" s="1623" customFormat="1" ht="16.8">
      <c r="A868" s="1617" t="s">
        <v>7847</v>
      </c>
      <c r="B868" s="1618" t="s">
        <v>4418</v>
      </c>
      <c r="C868" s="364" t="s">
        <v>427</v>
      </c>
      <c r="D868" s="1639">
        <v>2</v>
      </c>
      <c r="E868" s="1637">
        <f>+'PTAP TIJERETAS'!E483</f>
        <v>3338580</v>
      </c>
      <c r="F868" s="260">
        <f t="shared" si="52"/>
        <v>6677160</v>
      </c>
      <c r="G868" s="1704"/>
      <c r="H868" s="1625"/>
      <c r="I868" s="1625"/>
      <c r="J868" s="1625"/>
      <c r="K868" s="1706"/>
      <c r="L868" s="1706"/>
      <c r="M868" s="1625"/>
      <c r="N868" s="1625"/>
      <c r="O868" s="1625"/>
      <c r="P868" s="1625"/>
      <c r="Q868" s="1625"/>
    </row>
    <row r="869" spans="1:17" s="1623" customFormat="1" ht="13.5" customHeight="1">
      <c r="A869" s="1617" t="s">
        <v>7848</v>
      </c>
      <c r="B869" s="1618" t="s">
        <v>4419</v>
      </c>
      <c r="C869" s="364" t="s">
        <v>427</v>
      </c>
      <c r="D869" s="1639">
        <v>2</v>
      </c>
      <c r="E869" s="1637">
        <f>+'PTAP TIJERETAS'!E484</f>
        <v>2229000</v>
      </c>
      <c r="F869" s="260">
        <f t="shared" si="52"/>
        <v>4458000</v>
      </c>
      <c r="G869" s="1704"/>
      <c r="H869" s="1625"/>
      <c r="I869" s="1625"/>
      <c r="J869" s="1625"/>
      <c r="K869" s="1706"/>
      <c r="L869" s="1706"/>
      <c r="M869" s="1625"/>
      <c r="N869" s="1625"/>
      <c r="O869" s="1625"/>
      <c r="P869" s="1625"/>
      <c r="Q869" s="1625"/>
    </row>
    <row r="870" spans="1:17" s="1623" customFormat="1" ht="16.8">
      <c r="A870" s="1617" t="s">
        <v>7849</v>
      </c>
      <c r="B870" s="1618" t="s">
        <v>4420</v>
      </c>
      <c r="C870" s="364" t="s">
        <v>427</v>
      </c>
      <c r="D870" s="1639">
        <v>4</v>
      </c>
      <c r="E870" s="1637">
        <f>+'PTAP TIJERETAS'!E485</f>
        <v>1086600</v>
      </c>
      <c r="F870" s="260">
        <f t="shared" si="52"/>
        <v>4346400</v>
      </c>
      <c r="G870" s="1704"/>
      <c r="H870" s="1625"/>
      <c r="I870" s="1625"/>
      <c r="J870" s="1625"/>
      <c r="K870" s="1706"/>
      <c r="L870" s="1706"/>
      <c r="M870" s="1625"/>
      <c r="N870" s="1625"/>
      <c r="O870" s="1625"/>
      <c r="P870" s="1625"/>
      <c r="Q870" s="1625"/>
    </row>
    <row r="871" spans="1:17" s="1623" customFormat="1" ht="16.8">
      <c r="A871" s="1617" t="s">
        <v>7850</v>
      </c>
      <c r="B871" s="1618" t="s">
        <v>4421</v>
      </c>
      <c r="C871" s="364" t="s">
        <v>427</v>
      </c>
      <c r="D871" s="1639">
        <v>2</v>
      </c>
      <c r="E871" s="1637">
        <f>+'PTAP TIJERETAS'!E486</f>
        <v>1212910</v>
      </c>
      <c r="F871" s="260">
        <f t="shared" si="52"/>
        <v>2425820</v>
      </c>
      <c r="G871" s="1704"/>
      <c r="H871" s="1625"/>
      <c r="I871" s="1625"/>
      <c r="J871" s="1625"/>
      <c r="K871" s="1706"/>
      <c r="L871" s="1706"/>
      <c r="M871" s="1625"/>
      <c r="N871" s="1625"/>
      <c r="O871" s="1625"/>
      <c r="P871" s="1625"/>
      <c r="Q871" s="1625"/>
    </row>
    <row r="872" spans="1:17" s="1623" customFormat="1" ht="16.8">
      <c r="A872" s="1617" t="s">
        <v>7851</v>
      </c>
      <c r="B872" s="1618" t="s">
        <v>4422</v>
      </c>
      <c r="C872" s="364" t="s">
        <v>427</v>
      </c>
      <c r="D872" s="1639">
        <v>1</v>
      </c>
      <c r="E872" s="1637">
        <f>+'PTAP TIJERETAS'!E487</f>
        <v>634300</v>
      </c>
      <c r="F872" s="260">
        <f t="shared" si="52"/>
        <v>634300</v>
      </c>
      <c r="G872" s="1704"/>
      <c r="H872" s="1625"/>
      <c r="I872" s="1625"/>
      <c r="J872" s="1625"/>
      <c r="K872" s="1706"/>
      <c r="L872" s="1706"/>
      <c r="M872" s="1625"/>
      <c r="N872" s="1625"/>
      <c r="O872" s="1625"/>
      <c r="P872" s="1625"/>
      <c r="Q872" s="1625"/>
    </row>
    <row r="873" spans="1:17" s="1623" customFormat="1" ht="16.8">
      <c r="A873" s="1617" t="s">
        <v>7852</v>
      </c>
      <c r="B873" s="1618" t="s">
        <v>4423</v>
      </c>
      <c r="C873" s="364" t="s">
        <v>427</v>
      </c>
      <c r="D873" s="1639">
        <v>5</v>
      </c>
      <c r="E873" s="1637">
        <f>+'PTAP TIJERETAS'!E488</f>
        <v>1452100</v>
      </c>
      <c r="F873" s="260">
        <f t="shared" si="52"/>
        <v>7260500</v>
      </c>
      <c r="G873" s="1704"/>
      <c r="H873" s="1625"/>
      <c r="I873" s="1625"/>
      <c r="J873" s="1625"/>
      <c r="K873" s="1706"/>
      <c r="L873" s="1706"/>
      <c r="M873" s="1625"/>
      <c r="N873" s="1625"/>
      <c r="O873" s="1625"/>
      <c r="P873" s="1625"/>
      <c r="Q873" s="1625"/>
    </row>
    <row r="874" spans="1:17" s="1623" customFormat="1" ht="16.8">
      <c r="A874" s="1617" t="s">
        <v>7853</v>
      </c>
      <c r="B874" s="1618" t="s">
        <v>4424</v>
      </c>
      <c r="C874" s="364" t="s">
        <v>427</v>
      </c>
      <c r="D874" s="1639">
        <v>1</v>
      </c>
      <c r="E874" s="1637">
        <f>+'PTAP TIJERETAS'!E489</f>
        <v>1109975</v>
      </c>
      <c r="F874" s="260">
        <f t="shared" si="52"/>
        <v>1109975</v>
      </c>
      <c r="G874" s="1704"/>
      <c r="H874" s="1625"/>
      <c r="I874" s="1625"/>
      <c r="J874" s="1625"/>
      <c r="K874" s="1706"/>
      <c r="L874" s="1706"/>
      <c r="M874" s="1625"/>
      <c r="N874" s="1625"/>
      <c r="O874" s="1625"/>
      <c r="P874" s="1625"/>
      <c r="Q874" s="1625"/>
    </row>
    <row r="875" spans="1:17" s="1623" customFormat="1" ht="16.8">
      <c r="A875" s="1617" t="s">
        <v>7854</v>
      </c>
      <c r="B875" s="1618" t="s">
        <v>4527</v>
      </c>
      <c r="C875" s="364" t="s">
        <v>427</v>
      </c>
      <c r="D875" s="1639">
        <v>1</v>
      </c>
      <c r="E875" s="1637">
        <f>+'PTAP TIJERETAS'!E490</f>
        <v>854550</v>
      </c>
      <c r="F875" s="260">
        <f t="shared" si="52"/>
        <v>854550</v>
      </c>
      <c r="G875" s="1704"/>
      <c r="H875" s="1625"/>
      <c r="I875" s="1625"/>
      <c r="J875" s="1625"/>
      <c r="K875" s="1706"/>
      <c r="L875" s="1706"/>
      <c r="M875" s="1625"/>
      <c r="N875" s="1625"/>
      <c r="O875" s="1625"/>
      <c r="P875" s="1625"/>
      <c r="Q875" s="1625"/>
    </row>
    <row r="876" spans="1:17" s="1623" customFormat="1" ht="18.75" customHeight="1" thickBot="1">
      <c r="A876" s="1617" t="s">
        <v>7855</v>
      </c>
      <c r="B876" s="1618" t="s">
        <v>5084</v>
      </c>
      <c r="C876" s="364" t="s">
        <v>427</v>
      </c>
      <c r="D876" s="1639">
        <v>1</v>
      </c>
      <c r="E876" s="1637">
        <f>+'PTAP TIJERETAS'!E491</f>
        <v>394782</v>
      </c>
      <c r="F876" s="260">
        <f t="shared" si="52"/>
        <v>394782</v>
      </c>
      <c r="G876" s="1704"/>
      <c r="H876" s="1625"/>
      <c r="I876" s="1625"/>
      <c r="J876" s="1625"/>
      <c r="K876" s="1706"/>
      <c r="L876" s="1706"/>
      <c r="M876" s="1625"/>
      <c r="N876" s="1625"/>
      <c r="O876" s="1625"/>
      <c r="P876" s="1625"/>
      <c r="Q876" s="1625"/>
    </row>
    <row r="877" spans="1:17" ht="16.8">
      <c r="A877" s="3334" t="s">
        <v>5710</v>
      </c>
      <c r="B877" s="3335"/>
      <c r="C877" s="3335"/>
      <c r="D877" s="3335"/>
      <c r="E877" s="3335"/>
      <c r="F877" s="3356"/>
    </row>
    <row r="878" spans="1:17" ht="33.6">
      <c r="A878" s="1590" t="s">
        <v>22</v>
      </c>
      <c r="B878" s="1591" t="s">
        <v>23</v>
      </c>
      <c r="C878" s="1591" t="s">
        <v>150</v>
      </c>
      <c r="D878" s="1592" t="s">
        <v>539</v>
      </c>
      <c r="E878" s="1593" t="s">
        <v>151</v>
      </c>
      <c r="F878" s="1593" t="s">
        <v>540</v>
      </c>
    </row>
    <row r="879" spans="1:17" s="1623" customFormat="1" ht="16.8">
      <c r="A879" s="1683">
        <v>121</v>
      </c>
      <c r="B879" s="3357" t="s">
        <v>1128</v>
      </c>
      <c r="C879" s="3358"/>
      <c r="D879" s="3358"/>
      <c r="E879" s="1685"/>
      <c r="F879" s="2251">
        <f>+SUM(F880:F893)</f>
        <v>745534458</v>
      </c>
      <c r="G879" s="2342">
        <f>+F879</f>
        <v>745534458</v>
      </c>
      <c r="H879" s="1623" t="s">
        <v>8225</v>
      </c>
      <c r="I879" s="1625"/>
      <c r="J879" s="1625"/>
      <c r="K879" s="1706"/>
      <c r="L879" s="1706"/>
      <c r="M879" s="1625"/>
      <c r="N879" s="1625"/>
      <c r="O879" s="1625"/>
      <c r="P879" s="1625"/>
      <c r="Q879" s="1625"/>
    </row>
    <row r="880" spans="1:17" s="1623" customFormat="1" ht="16.8">
      <c r="A880" s="1617" t="s">
        <v>7871</v>
      </c>
      <c r="B880" s="258" t="str">
        <f>+'LINEAS IMPULSIÓN-CONDUCCIÓN'!B129</f>
        <v>Suministro Tubería PEAD Ø 160mm (6") PN 25 RDE 7.4</v>
      </c>
      <c r="C880" s="364" t="s">
        <v>94</v>
      </c>
      <c r="D880" s="1639">
        <f>+'LINEAS IMPULSIÓN-CONDUCCIÓN'!D129</f>
        <v>774</v>
      </c>
      <c r="E880" s="1637">
        <f>+'LINEAS IMPULSIÓN-CONDUCCIÓN'!E129</f>
        <v>149428</v>
      </c>
      <c r="F880" s="1637">
        <f>ROUND(+E880*D880,0)</f>
        <v>115657272</v>
      </c>
      <c r="G880" s="2805">
        <f>+'LINEAS IMPULSIÓN-CONDUCCIÓN'!G128</f>
        <v>745534458</v>
      </c>
      <c r="I880" s="1625"/>
    </row>
    <row r="881" spans="1:17" s="1623" customFormat="1" ht="16.8">
      <c r="A881" s="1617" t="s">
        <v>7872</v>
      </c>
      <c r="B881" s="258" t="str">
        <f>+'LINEAS IMPULSIÓN-CONDUCCIÓN'!B130</f>
        <v>Suministro Tubería PEAD Ø 160mm (6") PN 16 RDE 11</v>
      </c>
      <c r="C881" s="364" t="s">
        <v>94</v>
      </c>
      <c r="D881" s="1639">
        <f>+'LINEAS IMPULSIÓN-CONDUCCIÓN'!D130</f>
        <v>1441</v>
      </c>
      <c r="E881" s="1637">
        <f>+'LINEAS IMPULSIÓN-CONDUCCIÓN'!E130</f>
        <v>80327</v>
      </c>
      <c r="F881" s="1637">
        <f>ROUND(+E881*D881,0)</f>
        <v>115751207</v>
      </c>
      <c r="G881" s="1704"/>
      <c r="I881" s="1625"/>
    </row>
    <row r="882" spans="1:17" s="1623" customFormat="1" ht="16.8">
      <c r="A882" s="1617" t="s">
        <v>7873</v>
      </c>
      <c r="B882" s="258" t="str">
        <f>+'LINEAS IMPULSIÓN-CONDUCCIÓN'!B131</f>
        <v>Suministro Tubería PEAD Ø 160mm (6") PN 12.5 RDE 13.6</v>
      </c>
      <c r="C882" s="364" t="s">
        <v>94</v>
      </c>
      <c r="D882" s="1639">
        <f>+'LINEAS IMPULSIÓN-CONDUCCIÓN'!D131</f>
        <v>3207</v>
      </c>
      <c r="E882" s="1637">
        <f>+'LINEAS IMPULSIÓN-CONDUCCIÓN'!E131</f>
        <v>71493</v>
      </c>
      <c r="F882" s="1637">
        <f t="shared" ref="F882:F891" si="53">ROUND(+E882*D882,0)</f>
        <v>229278051</v>
      </c>
      <c r="G882" s="1704"/>
      <c r="H882" s="1780"/>
      <c r="I882" s="1625"/>
    </row>
    <row r="883" spans="1:17" s="1623" customFormat="1" ht="16.8">
      <c r="A883" s="1617" t="s">
        <v>7874</v>
      </c>
      <c r="B883" s="258" t="str">
        <f>+'LINEAS IMPULSIÓN-CONDUCCIÓN'!B132</f>
        <v>Suministro Tubería PEAD Ø 160mm (6") PN 10 RDE 17</v>
      </c>
      <c r="C883" s="364" t="s">
        <v>94</v>
      </c>
      <c r="D883" s="1639">
        <f>+'LINEAS IMPULSIÓN-CONDUCCIÓN'!D132</f>
        <v>1178</v>
      </c>
      <c r="E883" s="1637">
        <f>+'LINEAS IMPULSIÓN-CONDUCCIÓN'!E132</f>
        <v>55834</v>
      </c>
      <c r="F883" s="1637">
        <f t="shared" si="53"/>
        <v>65772452</v>
      </c>
      <c r="G883" s="1704"/>
      <c r="H883" s="1780"/>
      <c r="I883" s="1625"/>
    </row>
    <row r="884" spans="1:17" s="1623" customFormat="1" ht="16.8">
      <c r="A884" s="1617" t="s">
        <v>7875</v>
      </c>
      <c r="B884" s="258" t="str">
        <f>+'LINEAS IMPULSIÓN-CONDUCCIÓN'!B133</f>
        <v>Suministro Tubería PEAD Ø 160mm (6") PN 8 RDE 21</v>
      </c>
      <c r="C884" s="364" t="s">
        <v>94</v>
      </c>
      <c r="D884" s="1639">
        <f>+'LINEAS IMPULSIÓN-CONDUCCIÓN'!D133</f>
        <v>643</v>
      </c>
      <c r="E884" s="1637">
        <f>+'LINEAS IMPULSIÓN-CONDUCCIÓN'!E133</f>
        <v>49624</v>
      </c>
      <c r="F884" s="1637">
        <f t="shared" si="53"/>
        <v>31908232</v>
      </c>
      <c r="G884" s="1704"/>
      <c r="H884" s="1780"/>
      <c r="I884" s="1625"/>
    </row>
    <row r="885" spans="1:17" s="1623" customFormat="1" ht="16.8">
      <c r="A885" s="1617" t="s">
        <v>7876</v>
      </c>
      <c r="B885" s="258" t="str">
        <f>+'LINEAS IMPULSIÓN-CONDUCCIÓN'!B134</f>
        <v>Suministro Tubería PEAD Ø 160mm (6") PN 6 RDE 26</v>
      </c>
      <c r="C885" s="364" t="s">
        <v>94</v>
      </c>
      <c r="D885" s="1639">
        <f>+'LINEAS IMPULSIÓN-CONDUCCIÓN'!D134</f>
        <v>1130</v>
      </c>
      <c r="E885" s="1637">
        <f>+'LINEAS IMPULSIÓN-CONDUCCIÓN'!E134</f>
        <v>41579</v>
      </c>
      <c r="F885" s="1637">
        <f t="shared" si="53"/>
        <v>46984270</v>
      </c>
      <c r="G885" s="1704"/>
      <c r="H885" s="1780"/>
      <c r="I885" s="1625"/>
    </row>
    <row r="886" spans="1:17" s="1623" customFormat="1" ht="16.8">
      <c r="A886" s="1617" t="s">
        <v>7877</v>
      </c>
      <c r="B886" s="258" t="str">
        <f>+'LINEAS IMPULSIÓN-CONDUCCIÓN'!B135</f>
        <v>Suministro Tubería PEAD Ø 160mm (6") PN 9 RDE 20</v>
      </c>
      <c r="C886" s="364" t="s">
        <v>94</v>
      </c>
      <c r="D886" s="1639">
        <f>+'LINEAS IMPULSIÓN-CONDUCCIÓN'!D135</f>
        <v>2130</v>
      </c>
      <c r="E886" s="1637">
        <f>+'LINEAS IMPULSIÓN-CONDUCCIÓN'!E135</f>
        <v>53451</v>
      </c>
      <c r="F886" s="1637">
        <f t="shared" si="53"/>
        <v>113850630</v>
      </c>
      <c r="G886" s="1704"/>
      <c r="H886" s="1780"/>
      <c r="I886" s="1625"/>
    </row>
    <row r="887" spans="1:17" s="1623" customFormat="1" ht="20.25" customHeight="1">
      <c r="A887" s="1617" t="s">
        <v>7878</v>
      </c>
      <c r="B887" s="258" t="s">
        <v>6516</v>
      </c>
      <c r="C887" s="364" t="s">
        <v>427</v>
      </c>
      <c r="D887" s="1646">
        <v>9</v>
      </c>
      <c r="E887" s="1637">
        <f>+'LINEAS IMPULSIÓN-CONDUCCIÓN'!E136</f>
        <v>128159.43</v>
      </c>
      <c r="F887" s="1637">
        <f t="shared" si="53"/>
        <v>1153435</v>
      </c>
      <c r="G887" s="1704"/>
      <c r="H887" s="1625"/>
      <c r="I887" s="1625"/>
      <c r="J887" s="1669"/>
    </row>
    <row r="888" spans="1:17" s="1623" customFormat="1" ht="33.6">
      <c r="A888" s="1617" t="s">
        <v>7879</v>
      </c>
      <c r="B888" s="258" t="s">
        <v>6518</v>
      </c>
      <c r="C888" s="364" t="s">
        <v>427</v>
      </c>
      <c r="D888" s="1646">
        <v>8</v>
      </c>
      <c r="E888" s="1637">
        <f>+'LINEAS IMPULSIÓN-CONDUCCIÓN'!E137</f>
        <v>184345.28</v>
      </c>
      <c r="F888" s="1637">
        <f>ROUND(+E888*D888,0)</f>
        <v>1474762</v>
      </c>
      <c r="G888" s="1704"/>
      <c r="H888" s="1625"/>
      <c r="I888" s="1625"/>
      <c r="J888" s="1669"/>
    </row>
    <row r="889" spans="1:17" s="1623" customFormat="1" ht="34.5" customHeight="1">
      <c r="A889" s="1617" t="s">
        <v>7880</v>
      </c>
      <c r="B889" s="258" t="s">
        <v>6519</v>
      </c>
      <c r="C889" s="364" t="s">
        <v>427</v>
      </c>
      <c r="D889" s="1646">
        <v>8</v>
      </c>
      <c r="E889" s="1637">
        <f>+'LINEAS IMPULSIÓN-CONDUCCIÓN'!E138</f>
        <v>184345.28</v>
      </c>
      <c r="F889" s="1637">
        <f>ROUND(+E889*D889,0)</f>
        <v>1474762</v>
      </c>
      <c r="G889" s="1704"/>
      <c r="H889" s="1625"/>
      <c r="I889" s="1625"/>
      <c r="J889" s="1669"/>
    </row>
    <row r="890" spans="1:17" s="1623" customFormat="1" ht="66" customHeight="1">
      <c r="A890" s="1617" t="s">
        <v>8762</v>
      </c>
      <c r="B890" s="269" t="s">
        <v>6918</v>
      </c>
      <c r="C890" s="1636" t="s">
        <v>133</v>
      </c>
      <c r="D890" s="1646">
        <v>10</v>
      </c>
      <c r="E890" s="1637">
        <f>+'LINEAS IMPULSIÓN-CONDUCCIÓN'!E139</f>
        <v>565450</v>
      </c>
      <c r="F890" s="1637">
        <f>ROUND(+E890*D890,0)</f>
        <v>5654500</v>
      </c>
      <c r="G890" s="1704"/>
      <c r="I890" s="273"/>
      <c r="J890" s="273"/>
      <c r="K890" s="1706"/>
      <c r="L890" s="275"/>
      <c r="M890" s="1625"/>
      <c r="N890" s="1625"/>
      <c r="O890" s="273"/>
      <c r="P890" s="276"/>
      <c r="Q890" s="276"/>
    </row>
    <row r="891" spans="1:17" s="1623" customFormat="1" ht="72.75" customHeight="1">
      <c r="A891" s="1617" t="s">
        <v>8763</v>
      </c>
      <c r="B891" s="269" t="s">
        <v>6924</v>
      </c>
      <c r="C891" s="1636" t="s">
        <v>133</v>
      </c>
      <c r="D891" s="1646">
        <v>9</v>
      </c>
      <c r="E891" s="1637">
        <f>+'LINEAS IMPULSIÓN-CONDUCCIÓN'!E140</f>
        <v>442220</v>
      </c>
      <c r="F891" s="1637">
        <f t="shared" si="53"/>
        <v>3979980</v>
      </c>
      <c r="G891" s="1704"/>
      <c r="I891" s="273"/>
      <c r="J891" s="273"/>
      <c r="K891" s="1706"/>
      <c r="L891" s="275"/>
      <c r="M891" s="1625"/>
      <c r="N891" s="1625"/>
      <c r="O891" s="273"/>
      <c r="P891" s="276"/>
      <c r="Q891" s="276"/>
    </row>
    <row r="892" spans="1:17" s="1623" customFormat="1" ht="50.4">
      <c r="A892" s="1617" t="s">
        <v>8764</v>
      </c>
      <c r="B892" s="269" t="s">
        <v>6926</v>
      </c>
      <c r="C892" s="1636" t="s">
        <v>133</v>
      </c>
      <c r="D892" s="1646">
        <v>1</v>
      </c>
      <c r="E892" s="1637">
        <f>+'LINEAS IMPULSIÓN-CONDUCCIÓN'!E141</f>
        <v>1063925</v>
      </c>
      <c r="F892" s="1637">
        <f>ROUND(+E892*D892,0)</f>
        <v>1063925</v>
      </c>
      <c r="G892" s="1704"/>
      <c r="I892" s="273"/>
      <c r="J892" s="273"/>
      <c r="K892" s="1706"/>
      <c r="L892" s="275"/>
      <c r="M892" s="1625"/>
      <c r="N892" s="1625"/>
      <c r="O892" s="273"/>
      <c r="P892" s="276"/>
      <c r="Q892" s="276"/>
    </row>
    <row r="893" spans="1:17" s="1623" customFormat="1" ht="151.80000000000001" thickBot="1">
      <c r="A893" s="1617" t="s">
        <v>8777</v>
      </c>
      <c r="B893" s="269" t="s">
        <v>6940</v>
      </c>
      <c r="C893" s="1636" t="s">
        <v>133</v>
      </c>
      <c r="D893" s="1649">
        <v>2</v>
      </c>
      <c r="E893" s="1637">
        <f>+'LINEAS IMPULSIÓN-CONDUCCIÓN'!E142</f>
        <v>5765490.1099999994</v>
      </c>
      <c r="F893" s="1637">
        <f>ROUND(+E893*D893,0)</f>
        <v>11530980</v>
      </c>
      <c r="G893" s="1704"/>
      <c r="I893" s="273"/>
      <c r="J893" s="273"/>
      <c r="K893" s="1706"/>
      <c r="L893" s="275"/>
      <c r="M893" s="1625"/>
      <c r="N893" s="1625"/>
      <c r="O893" s="273"/>
      <c r="P893" s="276"/>
      <c r="Q893" s="276"/>
    </row>
    <row r="894" spans="1:17" ht="16.8">
      <c r="A894" s="3334" t="s">
        <v>5711</v>
      </c>
      <c r="B894" s="3335"/>
      <c r="C894" s="3335"/>
      <c r="D894" s="3335"/>
      <c r="E894" s="3335"/>
      <c r="F894" s="3356"/>
    </row>
    <row r="895" spans="1:17" ht="33.6">
      <c r="A895" s="1590" t="s">
        <v>22</v>
      </c>
      <c r="B895" s="1591" t="s">
        <v>23</v>
      </c>
      <c r="C895" s="1591" t="s">
        <v>150</v>
      </c>
      <c r="D895" s="1592" t="s">
        <v>539</v>
      </c>
      <c r="E895" s="1593" t="s">
        <v>151</v>
      </c>
      <c r="F895" s="1593" t="s">
        <v>540</v>
      </c>
    </row>
    <row r="896" spans="1:17" ht="18">
      <c r="A896" s="1686"/>
      <c r="B896" s="3374" t="s">
        <v>5751</v>
      </c>
      <c r="C896" s="3374"/>
      <c r="D896" s="3374"/>
      <c r="E896" s="3374"/>
      <c r="F896" s="2251">
        <f>+F897+F899+F902</f>
        <v>15147950</v>
      </c>
      <c r="G896" s="2797">
        <f>+F896</f>
        <v>15147950</v>
      </c>
    </row>
    <row r="897" spans="1:8" ht="18">
      <c r="A897" s="1776">
        <v>122</v>
      </c>
      <c r="B897" s="1694" t="s">
        <v>1475</v>
      </c>
      <c r="C897" s="1748"/>
      <c r="D897" s="1748"/>
      <c r="E897" s="1760"/>
      <c r="F897" s="1781">
        <f>ROUND(+SUM(F898),0)</f>
        <v>3435750</v>
      </c>
      <c r="G897" s="2356">
        <f>+' TANQUE PATAGONIA'!G69</f>
        <v>15147950</v>
      </c>
    </row>
    <row r="898" spans="1:8" ht="19.5" customHeight="1">
      <c r="A898" s="1737"/>
      <c r="B898" s="1671" t="s">
        <v>1477</v>
      </c>
      <c r="C898" s="1751" t="s">
        <v>94</v>
      </c>
      <c r="D898" s="1737">
        <v>90</v>
      </c>
      <c r="E898" s="1759">
        <f>+' TANQUE PATAGONIA'!F61</f>
        <v>38175</v>
      </c>
      <c r="F898" s="1760">
        <f>ROUND(D898*E898,0)</f>
        <v>3435750</v>
      </c>
    </row>
    <row r="899" spans="1:8" ht="18">
      <c r="A899" s="1776">
        <v>123</v>
      </c>
      <c r="B899" s="1694" t="s">
        <v>5080</v>
      </c>
      <c r="C899" s="1748"/>
      <c r="D899" s="1748"/>
      <c r="E899" s="1760"/>
      <c r="F899" s="1781">
        <f>ROUND(+SUM(F900:F901),0)</f>
        <v>4784400</v>
      </c>
    </row>
    <row r="900" spans="1:8" ht="19.5" customHeight="1">
      <c r="A900" s="1737"/>
      <c r="B900" s="649" t="s">
        <v>7207</v>
      </c>
      <c r="C900" s="1751" t="s">
        <v>133</v>
      </c>
      <c r="D900" s="1737">
        <v>12</v>
      </c>
      <c r="E900" s="1759">
        <f>+' TANQUE PATAGONIA'!F63</f>
        <v>302300</v>
      </c>
      <c r="F900" s="1760">
        <f>ROUND(D900*E900,0)</f>
        <v>3627600</v>
      </c>
    </row>
    <row r="901" spans="1:8" ht="19.5" customHeight="1">
      <c r="A901" s="1737"/>
      <c r="B901" s="649" t="s">
        <v>7206</v>
      </c>
      <c r="C901" s="1751" t="s">
        <v>133</v>
      </c>
      <c r="D901" s="1737">
        <v>3</v>
      </c>
      <c r="E901" s="1759">
        <f>+' TANQUE PATAGONIA'!F64</f>
        <v>385600</v>
      </c>
      <c r="F901" s="1760">
        <f>ROUND(D901*E901,0)</f>
        <v>1156800</v>
      </c>
    </row>
    <row r="902" spans="1:8" ht="18">
      <c r="A902" s="1683">
        <v>124</v>
      </c>
      <c r="B902" s="1694" t="s">
        <v>1513</v>
      </c>
      <c r="C902" s="1748"/>
      <c r="D902" s="1748"/>
      <c r="E902" s="2200"/>
      <c r="F902" s="1781">
        <f>ROUND(+SUM(F903:F904),0)</f>
        <v>6927800</v>
      </c>
    </row>
    <row r="903" spans="1:8" ht="54">
      <c r="A903" s="1737"/>
      <c r="B903" s="2201" t="s">
        <v>6634</v>
      </c>
      <c r="C903" s="1748" t="s">
        <v>363</v>
      </c>
      <c r="D903" s="1748">
        <v>1</v>
      </c>
      <c r="E903" s="2200">
        <f>+' TANQUE PATAGONIA'!F66</f>
        <v>960140</v>
      </c>
      <c r="F903" s="1760">
        <f>+ROUND(E903*D903,0)</f>
        <v>960140</v>
      </c>
    </row>
    <row r="904" spans="1:8" ht="36.6" thickBot="1">
      <c r="A904" s="1737"/>
      <c r="B904" s="2201" t="s">
        <v>6628</v>
      </c>
      <c r="C904" s="1748" t="s">
        <v>363</v>
      </c>
      <c r="D904" s="1748">
        <v>1</v>
      </c>
      <c r="E904" s="1759">
        <f>+' TANQUE PATAGONIA'!F67</f>
        <v>5967660</v>
      </c>
      <c r="F904" s="1760">
        <f t="shared" ref="F904" si="54">+ROUND(E904*D904,0)</f>
        <v>5967660</v>
      </c>
    </row>
    <row r="905" spans="1:8" ht="16.8">
      <c r="A905" s="3334" t="s">
        <v>5752</v>
      </c>
      <c r="B905" s="3335"/>
      <c r="C905" s="3335"/>
      <c r="D905" s="3335"/>
      <c r="E905" s="3335"/>
      <c r="F905" s="3336"/>
    </row>
    <row r="906" spans="1:8" ht="33.6">
      <c r="A906" s="1590" t="s">
        <v>22</v>
      </c>
      <c r="B906" s="1591" t="s">
        <v>23</v>
      </c>
      <c r="C906" s="1591" t="s">
        <v>150</v>
      </c>
      <c r="D906" s="1592" t="s">
        <v>539</v>
      </c>
      <c r="E906" s="1593" t="s">
        <v>151</v>
      </c>
      <c r="F906" s="1593" t="s">
        <v>540</v>
      </c>
    </row>
    <row r="907" spans="1:8" ht="16.8">
      <c r="A907" s="1683">
        <v>125</v>
      </c>
      <c r="B907" s="3016" t="s">
        <v>5750</v>
      </c>
      <c r="C907" s="3017"/>
      <c r="D907" s="3017"/>
      <c r="E907" s="1685"/>
      <c r="F907" s="2251">
        <f>+SUM(F908:F928)</f>
        <v>138326642</v>
      </c>
      <c r="G907" s="2979">
        <f>+F907</f>
        <v>138326642</v>
      </c>
      <c r="H907" s="1717" t="s">
        <v>8225</v>
      </c>
    </row>
    <row r="908" spans="1:8" ht="16.8">
      <c r="A908" s="1681" t="s">
        <v>7883</v>
      </c>
      <c r="B908" s="258" t="s">
        <v>6848</v>
      </c>
      <c r="C908" s="364" t="s">
        <v>427</v>
      </c>
      <c r="D908" s="364">
        <v>7</v>
      </c>
      <c r="E908" s="1637">
        <f>+' TANQUE PATAGONIA'!F107</f>
        <v>1836800</v>
      </c>
      <c r="F908" s="1637">
        <f>+ROUND(E908*D908,0)</f>
        <v>12857600</v>
      </c>
      <c r="G908" s="2356">
        <f>+' TANQUE PATAGONIA'!G128</f>
        <v>138326642</v>
      </c>
    </row>
    <row r="909" spans="1:8" ht="16.8">
      <c r="A909" s="1681" t="s">
        <v>7884</v>
      </c>
      <c r="B909" s="258" t="s">
        <v>6849</v>
      </c>
      <c r="C909" s="364" t="s">
        <v>427</v>
      </c>
      <c r="D909" s="364">
        <v>4</v>
      </c>
      <c r="E909" s="1637">
        <f>+' TANQUE PATAGONIA'!F108</f>
        <v>2344500</v>
      </c>
      <c r="F909" s="1637">
        <f t="shared" ref="F909:F928" si="55">+ROUND(E909*D909,0)</f>
        <v>9378000</v>
      </c>
    </row>
    <row r="910" spans="1:8" ht="33.6">
      <c r="A910" s="1681" t="s">
        <v>7885</v>
      </c>
      <c r="B910" s="258" t="s">
        <v>6850</v>
      </c>
      <c r="C910" s="364" t="s">
        <v>427</v>
      </c>
      <c r="D910" s="364">
        <v>8</v>
      </c>
      <c r="E910" s="1637">
        <f>+' TANQUE PATAGONIA'!F109</f>
        <v>3404150</v>
      </c>
      <c r="F910" s="1637">
        <f t="shared" si="55"/>
        <v>27233200</v>
      </c>
    </row>
    <row r="911" spans="1:8" ht="16.8">
      <c r="A911" s="1681" t="s">
        <v>7886</v>
      </c>
      <c r="B911" s="258" t="s">
        <v>6851</v>
      </c>
      <c r="C911" s="364" t="s">
        <v>427</v>
      </c>
      <c r="D911" s="364">
        <v>1</v>
      </c>
      <c r="E911" s="1637">
        <f>+' TANQUE PATAGONIA'!F110</f>
        <v>473125</v>
      </c>
      <c r="F911" s="1637">
        <f t="shared" si="55"/>
        <v>473125</v>
      </c>
    </row>
    <row r="912" spans="1:8" ht="33.6">
      <c r="A912" s="1681" t="s">
        <v>7887</v>
      </c>
      <c r="B912" s="258" t="s">
        <v>6852</v>
      </c>
      <c r="C912" s="364" t="s">
        <v>427</v>
      </c>
      <c r="D912" s="364">
        <v>3</v>
      </c>
      <c r="E912" s="1637">
        <f>+' TANQUE PATAGONIA'!F111</f>
        <v>2214050</v>
      </c>
      <c r="F912" s="1637">
        <f t="shared" si="55"/>
        <v>6642150</v>
      </c>
    </row>
    <row r="913" spans="1:6" ht="16.8">
      <c r="A913" s="1681" t="s">
        <v>7888</v>
      </c>
      <c r="B913" s="258" t="s">
        <v>6853</v>
      </c>
      <c r="C913" s="364" t="s">
        <v>427</v>
      </c>
      <c r="D913" s="364">
        <v>1</v>
      </c>
      <c r="E913" s="1637">
        <f>+' TANQUE PATAGONIA'!F112</f>
        <v>2450870</v>
      </c>
      <c r="F913" s="1637">
        <f t="shared" si="55"/>
        <v>2450870</v>
      </c>
    </row>
    <row r="914" spans="1:6" ht="33.6">
      <c r="A914" s="1681" t="s">
        <v>7889</v>
      </c>
      <c r="B914" s="258" t="s">
        <v>6854</v>
      </c>
      <c r="C914" s="364" t="s">
        <v>427</v>
      </c>
      <c r="D914" s="364">
        <v>2</v>
      </c>
      <c r="E914" s="1637">
        <f>+' TANQUE PATAGONIA'!F113</f>
        <v>2084578</v>
      </c>
      <c r="F914" s="1637">
        <f t="shared" si="55"/>
        <v>4169156</v>
      </c>
    </row>
    <row r="915" spans="1:6" ht="33.6">
      <c r="A915" s="1681" t="s">
        <v>7890</v>
      </c>
      <c r="B915" s="258" t="s">
        <v>6855</v>
      </c>
      <c r="C915" s="364" t="s">
        <v>427</v>
      </c>
      <c r="D915" s="364">
        <v>2</v>
      </c>
      <c r="E915" s="1637">
        <f>+' TANQUE PATAGONIA'!F114</f>
        <v>6828337</v>
      </c>
      <c r="F915" s="1637">
        <f t="shared" si="55"/>
        <v>13656674</v>
      </c>
    </row>
    <row r="916" spans="1:6" ht="33.6">
      <c r="A916" s="1681" t="s">
        <v>7891</v>
      </c>
      <c r="B916" s="258" t="s">
        <v>6856</v>
      </c>
      <c r="C916" s="364" t="s">
        <v>427</v>
      </c>
      <c r="D916" s="364">
        <v>2</v>
      </c>
      <c r="E916" s="1637">
        <f>+' TANQUE PATAGONIA'!F115</f>
        <v>6568798</v>
      </c>
      <c r="F916" s="1637">
        <f t="shared" si="55"/>
        <v>13137596</v>
      </c>
    </row>
    <row r="917" spans="1:6" ht="33.6">
      <c r="A917" s="1681" t="s">
        <v>7892</v>
      </c>
      <c r="B917" s="258" t="s">
        <v>6857</v>
      </c>
      <c r="C917" s="364" t="s">
        <v>427</v>
      </c>
      <c r="D917" s="364">
        <v>1</v>
      </c>
      <c r="E917" s="1637">
        <f>+' TANQUE PATAGONIA'!F116</f>
        <v>4844150</v>
      </c>
      <c r="F917" s="1637">
        <f t="shared" si="55"/>
        <v>4844150</v>
      </c>
    </row>
    <row r="918" spans="1:6" ht="33.6">
      <c r="A918" s="1681" t="s">
        <v>7893</v>
      </c>
      <c r="B918" s="258" t="s">
        <v>6858</v>
      </c>
      <c r="C918" s="364" t="s">
        <v>427</v>
      </c>
      <c r="D918" s="364">
        <v>1</v>
      </c>
      <c r="E918" s="1637">
        <f>+' TANQUE PATAGONIA'!F117</f>
        <v>22186443.129999999</v>
      </c>
      <c r="F918" s="1637">
        <f t="shared" si="55"/>
        <v>22186443</v>
      </c>
    </row>
    <row r="919" spans="1:6" ht="16.8">
      <c r="A919" s="1681" t="s">
        <v>7894</v>
      </c>
      <c r="B919" s="258" t="s">
        <v>6859</v>
      </c>
      <c r="C919" s="364" t="s">
        <v>427</v>
      </c>
      <c r="D919" s="364">
        <v>1</v>
      </c>
      <c r="E919" s="1637">
        <f>+' TANQUE PATAGONIA'!F118</f>
        <v>6974350</v>
      </c>
      <c r="F919" s="1637">
        <f t="shared" si="55"/>
        <v>6974350</v>
      </c>
    </row>
    <row r="920" spans="1:6" ht="33.6">
      <c r="A920" s="1681" t="s">
        <v>7895</v>
      </c>
      <c r="B920" s="258" t="s">
        <v>6860</v>
      </c>
      <c r="C920" s="364" t="s">
        <v>427</v>
      </c>
      <c r="D920" s="364">
        <v>1</v>
      </c>
      <c r="E920" s="1637">
        <f>+' TANQUE PATAGONIA'!F119</f>
        <v>3119650</v>
      </c>
      <c r="F920" s="1637">
        <f t="shared" si="55"/>
        <v>3119650</v>
      </c>
    </row>
    <row r="921" spans="1:6" ht="33.6">
      <c r="A921" s="1681" t="s">
        <v>7896</v>
      </c>
      <c r="B921" s="258" t="s">
        <v>6861</v>
      </c>
      <c r="C921" s="364" t="s">
        <v>427</v>
      </c>
      <c r="D921" s="364">
        <v>1</v>
      </c>
      <c r="E921" s="1637">
        <f>+' TANQUE PATAGONIA'!F120</f>
        <v>1603850</v>
      </c>
      <c r="F921" s="1637">
        <f t="shared" si="55"/>
        <v>1603850</v>
      </c>
    </row>
    <row r="922" spans="1:6" ht="16.8">
      <c r="A922" s="1681" t="s">
        <v>7897</v>
      </c>
      <c r="B922" s="258" t="s">
        <v>6862</v>
      </c>
      <c r="C922" s="364" t="s">
        <v>427</v>
      </c>
      <c r="D922" s="364">
        <v>2</v>
      </c>
      <c r="E922" s="1637">
        <f>+' TANQUE PATAGONIA'!F121</f>
        <v>1269150</v>
      </c>
      <c r="F922" s="1637">
        <f t="shared" si="55"/>
        <v>2538300</v>
      </c>
    </row>
    <row r="923" spans="1:6" ht="16.8">
      <c r="A923" s="1681" t="s">
        <v>7898</v>
      </c>
      <c r="B923" s="258" t="s">
        <v>6863</v>
      </c>
      <c r="C923" s="364" t="s">
        <v>427</v>
      </c>
      <c r="D923" s="364">
        <v>2</v>
      </c>
      <c r="E923" s="1637">
        <f>+' TANQUE PATAGONIA'!F122</f>
        <v>474900</v>
      </c>
      <c r="F923" s="1637">
        <f t="shared" si="55"/>
        <v>949800</v>
      </c>
    </row>
    <row r="924" spans="1:6" ht="16.8">
      <c r="A924" s="1681" t="s">
        <v>7899</v>
      </c>
      <c r="B924" s="258" t="s">
        <v>6864</v>
      </c>
      <c r="C924" s="364" t="s">
        <v>427</v>
      </c>
      <c r="D924" s="364">
        <v>1</v>
      </c>
      <c r="E924" s="1637">
        <f>+' TANQUE PATAGONIA'!F123</f>
        <v>1039128</v>
      </c>
      <c r="F924" s="1637">
        <f t="shared" si="55"/>
        <v>1039128</v>
      </c>
    </row>
    <row r="925" spans="1:6" ht="16.8">
      <c r="A925" s="1681" t="s">
        <v>7900</v>
      </c>
      <c r="B925" s="258" t="s">
        <v>6865</v>
      </c>
      <c r="C925" s="364" t="s">
        <v>427</v>
      </c>
      <c r="D925" s="364">
        <v>1</v>
      </c>
      <c r="E925" s="1637">
        <f>+' TANQUE PATAGONIA'!F124</f>
        <v>1310500</v>
      </c>
      <c r="F925" s="1637">
        <f t="shared" si="55"/>
        <v>1310500</v>
      </c>
    </row>
    <row r="926" spans="1:6" ht="16.8">
      <c r="A926" s="1681" t="s">
        <v>7901</v>
      </c>
      <c r="B926" s="258" t="s">
        <v>6866</v>
      </c>
      <c r="C926" s="364" t="s">
        <v>427</v>
      </c>
      <c r="D926" s="364">
        <v>1</v>
      </c>
      <c r="E926" s="1637">
        <f>+' TANQUE PATAGONIA'!F125</f>
        <v>1526900</v>
      </c>
      <c r="F926" s="1637">
        <f t="shared" si="55"/>
        <v>1526900</v>
      </c>
    </row>
    <row r="927" spans="1:6" ht="16.8">
      <c r="A927" s="1681" t="s">
        <v>7902</v>
      </c>
      <c r="B927" s="258" t="s">
        <v>6867</v>
      </c>
      <c r="C927" s="364" t="s">
        <v>427</v>
      </c>
      <c r="D927" s="364">
        <v>1</v>
      </c>
      <c r="E927" s="1637">
        <f>+' TANQUE PATAGONIA'!F126</f>
        <v>1604200</v>
      </c>
      <c r="F927" s="1637">
        <f t="shared" si="55"/>
        <v>1604200</v>
      </c>
    </row>
    <row r="928" spans="1:6" ht="34.200000000000003" thickBot="1">
      <c r="A928" s="1681" t="s">
        <v>7903</v>
      </c>
      <c r="B928" s="258" t="s">
        <v>6868</v>
      </c>
      <c r="C928" s="364" t="s">
        <v>427</v>
      </c>
      <c r="D928" s="364">
        <v>1</v>
      </c>
      <c r="E928" s="1637">
        <f>+' TANQUE PATAGONIA'!F127</f>
        <v>631000</v>
      </c>
      <c r="F928" s="1637">
        <f t="shared" si="55"/>
        <v>631000</v>
      </c>
    </row>
    <row r="929" spans="1:17" ht="16.8">
      <c r="A929" s="3334" t="s">
        <v>5756</v>
      </c>
      <c r="B929" s="3335"/>
      <c r="C929" s="3335"/>
      <c r="D929" s="3335"/>
      <c r="E929" s="3335"/>
      <c r="F929" s="3336"/>
    </row>
    <row r="930" spans="1:17" ht="33.6">
      <c r="A930" s="1590" t="s">
        <v>22</v>
      </c>
      <c r="B930" s="1591" t="s">
        <v>23</v>
      </c>
      <c r="C930" s="1591" t="s">
        <v>150</v>
      </c>
      <c r="D930" s="1592" t="s">
        <v>539</v>
      </c>
      <c r="E930" s="1593" t="s">
        <v>151</v>
      </c>
      <c r="F930" s="1593" t="s">
        <v>540</v>
      </c>
    </row>
    <row r="931" spans="1:17" s="1623" customFormat="1" ht="16.8">
      <c r="A931" s="1683">
        <v>126</v>
      </c>
      <c r="B931" s="3357" t="s">
        <v>5753</v>
      </c>
      <c r="C931" s="3358"/>
      <c r="D931" s="3358"/>
      <c r="E931" s="1685"/>
      <c r="F931" s="2251">
        <f>+SUM(F932:F946)</f>
        <v>666637294</v>
      </c>
      <c r="G931" s="2342">
        <f>+F931</f>
        <v>666637294</v>
      </c>
      <c r="H931" s="1623" t="s">
        <v>8225</v>
      </c>
      <c r="I931" s="1625"/>
      <c r="J931" s="1625"/>
      <c r="K931" s="1706"/>
      <c r="L931" s="1706"/>
      <c r="M931" s="1625"/>
      <c r="N931" s="1625"/>
      <c r="O931" s="1625"/>
      <c r="P931" s="1625"/>
      <c r="Q931" s="1625"/>
    </row>
    <row r="932" spans="1:17" s="1623" customFormat="1" ht="20.25" customHeight="1">
      <c r="A932" s="1617" t="s">
        <v>7904</v>
      </c>
      <c r="B932" s="258" t="s">
        <v>6508</v>
      </c>
      <c r="C932" s="364" t="s">
        <v>94</v>
      </c>
      <c r="D932" s="1639">
        <v>5515.8</v>
      </c>
      <c r="E932" s="1637">
        <f>+'LINEAS IMPULSIÓN-CONDUCCIÓN'!E199</f>
        <v>74100</v>
      </c>
      <c r="F932" s="1637">
        <f>+ROUND(E932*D932,0)</f>
        <v>408720780</v>
      </c>
      <c r="G932" s="2802">
        <f>+'LINEAS IMPULSIÓN-CONDUCCIÓN'!F214</f>
        <v>666637294</v>
      </c>
    </row>
    <row r="933" spans="1:17" s="1623" customFormat="1" ht="16.8">
      <c r="A933" s="1617" t="s">
        <v>7905</v>
      </c>
      <c r="B933" s="258" t="s">
        <v>1289</v>
      </c>
      <c r="C933" s="364" t="s">
        <v>94</v>
      </c>
      <c r="D933" s="1639">
        <v>1609.8</v>
      </c>
      <c r="E933" s="1637">
        <f>+'LINEAS IMPULSIÓN-CONDUCCIÓN'!E200</f>
        <v>112861</v>
      </c>
      <c r="F933" s="1637">
        <f t="shared" ref="F933:F946" si="56">+ROUND(E933*D933,0)</f>
        <v>181683638</v>
      </c>
      <c r="G933" s="2349"/>
    </row>
    <row r="934" spans="1:17" s="1623" customFormat="1" ht="16.8">
      <c r="A934" s="1617" t="s">
        <v>7906</v>
      </c>
      <c r="B934" s="258" t="s">
        <v>1291</v>
      </c>
      <c r="C934" s="364" t="s">
        <v>94</v>
      </c>
      <c r="D934" s="1639">
        <v>443.9</v>
      </c>
      <c r="E934" s="1637">
        <f>+'LINEAS IMPULSIÓN-CONDUCCIÓN'!E201</f>
        <v>66629</v>
      </c>
      <c r="F934" s="1637">
        <f t="shared" si="56"/>
        <v>29576613</v>
      </c>
      <c r="G934" s="2349"/>
    </row>
    <row r="935" spans="1:17" s="1623" customFormat="1" ht="16.8">
      <c r="A935" s="1617" t="s">
        <v>7907</v>
      </c>
      <c r="B935" s="258" t="s">
        <v>6953</v>
      </c>
      <c r="C935" s="364" t="s">
        <v>133</v>
      </c>
      <c r="D935" s="1639">
        <v>8</v>
      </c>
      <c r="E935" s="1637">
        <f>+'LINEAS IMPULSIÓN-CONDUCCIÓN'!E202</f>
        <v>220095.25999999998</v>
      </c>
      <c r="F935" s="1637">
        <f t="shared" si="56"/>
        <v>1760762</v>
      </c>
      <c r="G935" s="2349"/>
    </row>
    <row r="936" spans="1:17" s="1623" customFormat="1" ht="16.8">
      <c r="A936" s="1617" t="s">
        <v>7908</v>
      </c>
      <c r="B936" s="258" t="s">
        <v>6525</v>
      </c>
      <c r="C936" s="364" t="s">
        <v>133</v>
      </c>
      <c r="D936" s="1639">
        <v>3</v>
      </c>
      <c r="E936" s="1637">
        <f>+'LINEAS IMPULSIÓN-CONDUCCIÓN'!E203</f>
        <v>326546</v>
      </c>
      <c r="F936" s="1637">
        <f t="shared" si="56"/>
        <v>979638</v>
      </c>
      <c r="G936" s="279"/>
      <c r="H936" s="1625"/>
      <c r="I936" s="1669"/>
      <c r="J936" s="1669"/>
    </row>
    <row r="937" spans="1:17" s="1623" customFormat="1" ht="16.8">
      <c r="A937" s="1617" t="s">
        <v>7909</v>
      </c>
      <c r="B937" s="258" t="s">
        <v>6528</v>
      </c>
      <c r="C937" s="1636" t="s">
        <v>133</v>
      </c>
      <c r="D937" s="1639">
        <v>1</v>
      </c>
      <c r="E937" s="1637">
        <f>+'LINEAS IMPULSIÓN-CONDUCCIÓN'!E204</f>
        <v>351628</v>
      </c>
      <c r="F937" s="1637">
        <f t="shared" si="56"/>
        <v>351628</v>
      </c>
      <c r="G937" s="279"/>
      <c r="H937" s="1625"/>
      <c r="I937" s="1669"/>
      <c r="J937" s="1669"/>
    </row>
    <row r="938" spans="1:17" s="1623" customFormat="1" ht="16.8">
      <c r="A938" s="1617" t="s">
        <v>7910</v>
      </c>
      <c r="B938" s="258" t="s">
        <v>6531</v>
      </c>
      <c r="C938" s="1636" t="s">
        <v>133</v>
      </c>
      <c r="D938" s="1639">
        <v>5</v>
      </c>
      <c r="E938" s="1637">
        <f>+'LINEAS IMPULSIÓN-CONDUCCIÓN'!E205</f>
        <v>371912</v>
      </c>
      <c r="F938" s="1637">
        <f t="shared" si="56"/>
        <v>1859560</v>
      </c>
      <c r="G938" s="279"/>
      <c r="H938" s="1625"/>
      <c r="I938" s="1669"/>
      <c r="J938" s="1669"/>
    </row>
    <row r="939" spans="1:17" s="1623" customFormat="1" ht="16.8">
      <c r="A939" s="1617" t="s">
        <v>7911</v>
      </c>
      <c r="B939" s="258" t="s">
        <v>6535</v>
      </c>
      <c r="C939" s="1636" t="s">
        <v>133</v>
      </c>
      <c r="D939" s="1639">
        <v>1</v>
      </c>
      <c r="E939" s="1637">
        <f>+'LINEAS IMPULSIÓN-CONDUCCIÓN'!E206</f>
        <v>391144.54545454547</v>
      </c>
      <c r="F939" s="1637">
        <f t="shared" si="56"/>
        <v>391145</v>
      </c>
      <c r="G939" s="2351"/>
      <c r="I939" s="273"/>
      <c r="J939" s="273"/>
      <c r="K939" s="1706"/>
      <c r="L939" s="275"/>
      <c r="M939" s="1625"/>
      <c r="N939" s="1625"/>
      <c r="O939" s="273"/>
      <c r="P939" s="276"/>
      <c r="Q939" s="276"/>
    </row>
    <row r="940" spans="1:17" s="1623" customFormat="1" ht="67.2">
      <c r="A940" s="1617" t="s">
        <v>7912</v>
      </c>
      <c r="B940" s="269" t="s">
        <v>1311</v>
      </c>
      <c r="C940" s="1636" t="s">
        <v>133</v>
      </c>
      <c r="D940" s="1649">
        <v>5</v>
      </c>
      <c r="E940" s="1637">
        <f>+'LINEAS IMPULSIÓN-CONDUCCIÓN'!E207</f>
        <v>575736</v>
      </c>
      <c r="F940" s="1637">
        <f t="shared" ref="F940" si="57">ROUND(+E940*D940,0)</f>
        <v>2878680</v>
      </c>
      <c r="G940" s="2351"/>
      <c r="I940" s="273"/>
      <c r="J940" s="273"/>
      <c r="K940" s="1706"/>
      <c r="L940" s="275"/>
      <c r="M940" s="1625"/>
      <c r="N940" s="1625"/>
      <c r="O940" s="273"/>
      <c r="P940" s="276"/>
      <c r="Q940" s="276"/>
    </row>
    <row r="941" spans="1:17" s="1623" customFormat="1" ht="67.2">
      <c r="A941" s="1617" t="s">
        <v>7913</v>
      </c>
      <c r="B941" s="269" t="s">
        <v>6931</v>
      </c>
      <c r="C941" s="1636" t="s">
        <v>133</v>
      </c>
      <c r="D941" s="1639">
        <v>3</v>
      </c>
      <c r="E941" s="1637">
        <f>+'LINEAS IMPULSIÓN-CONDUCCIÓN'!E208</f>
        <v>635071</v>
      </c>
      <c r="F941" s="1637">
        <f t="shared" si="56"/>
        <v>1905213</v>
      </c>
      <c r="G941" s="2351"/>
      <c r="I941" s="273"/>
      <c r="J941" s="273"/>
      <c r="K941" s="1706"/>
      <c r="L941" s="275"/>
      <c r="M941" s="1625"/>
      <c r="N941" s="1625"/>
      <c r="O941" s="273"/>
      <c r="P941" s="276"/>
      <c r="Q941" s="276"/>
    </row>
    <row r="942" spans="1:17" s="1623" customFormat="1" ht="56.25" customHeight="1">
      <c r="A942" s="1617" t="s">
        <v>7914</v>
      </c>
      <c r="B942" s="269" t="s">
        <v>6933</v>
      </c>
      <c r="C942" s="1636" t="s">
        <v>133</v>
      </c>
      <c r="D942" s="1639">
        <v>1</v>
      </c>
      <c r="E942" s="1637">
        <f>+'LINEAS IMPULSIÓN-CONDUCCIÓN'!E209</f>
        <v>442220</v>
      </c>
      <c r="F942" s="1637">
        <f t="shared" si="56"/>
        <v>442220</v>
      </c>
      <c r="G942" s="2351"/>
      <c r="I942" s="273"/>
      <c r="J942" s="273"/>
      <c r="K942" s="1706"/>
      <c r="L942" s="275"/>
      <c r="M942" s="1625"/>
      <c r="N942" s="1625"/>
      <c r="O942" s="273"/>
      <c r="P942" s="276"/>
      <c r="Q942" s="276"/>
    </row>
    <row r="943" spans="1:17" s="1623" customFormat="1" ht="27.75" customHeight="1">
      <c r="A943" s="1617" t="s">
        <v>7915</v>
      </c>
      <c r="B943" s="269" t="s">
        <v>6935</v>
      </c>
      <c r="C943" s="1636" t="s">
        <v>133</v>
      </c>
      <c r="D943" s="1639">
        <v>1</v>
      </c>
      <c r="E943" s="1637">
        <f>+'LINEAS IMPULSIÓN-CONDUCCIÓN'!E210</f>
        <v>1358591</v>
      </c>
      <c r="F943" s="1637">
        <f t="shared" si="56"/>
        <v>1358591</v>
      </c>
      <c r="G943" s="2351"/>
      <c r="I943" s="273"/>
      <c r="J943" s="273"/>
      <c r="K943" s="1706"/>
      <c r="L943" s="275"/>
      <c r="M943" s="1625"/>
      <c r="N943" s="1625"/>
      <c r="O943" s="273"/>
      <c r="P943" s="276"/>
      <c r="Q943" s="276"/>
    </row>
    <row r="944" spans="1:17" s="1623" customFormat="1" ht="27.75" customHeight="1">
      <c r="A944" s="1617" t="s">
        <v>7916</v>
      </c>
      <c r="B944" s="269" t="s">
        <v>6937</v>
      </c>
      <c r="C944" s="1636" t="s">
        <v>133</v>
      </c>
      <c r="D944" s="1639">
        <v>1</v>
      </c>
      <c r="E944" s="1637">
        <f>+'LINEAS IMPULSIÓN-CONDUCCIÓN'!E211</f>
        <v>1694766</v>
      </c>
      <c r="F944" s="1637">
        <f t="shared" si="56"/>
        <v>1694766</v>
      </c>
      <c r="G944" s="2351"/>
      <c r="I944" s="273"/>
      <c r="J944" s="273"/>
      <c r="K944" s="1706"/>
      <c r="L944" s="275"/>
      <c r="M944" s="1625"/>
      <c r="N944" s="1625"/>
      <c r="O944" s="273"/>
      <c r="P944" s="276"/>
      <c r="Q944" s="276"/>
    </row>
    <row r="945" spans="1:17" s="1623" customFormat="1" ht="151.19999999999999">
      <c r="A945" s="1617" t="s">
        <v>7917</v>
      </c>
      <c r="B945" s="269" t="s">
        <v>6940</v>
      </c>
      <c r="C945" s="1636" t="s">
        <v>133</v>
      </c>
      <c r="D945" s="1649">
        <v>1</v>
      </c>
      <c r="E945" s="1637">
        <f>+'LINEAS IMPULSIÓN-CONDUCCIÓN'!E212</f>
        <v>5765490.1099999994</v>
      </c>
      <c r="F945" s="1637">
        <f t="shared" si="56"/>
        <v>5765490</v>
      </c>
      <c r="G945" s="2351"/>
      <c r="I945" s="273"/>
      <c r="J945" s="273"/>
      <c r="K945" s="1706"/>
      <c r="L945" s="275"/>
      <c r="M945" s="1625"/>
      <c r="N945" s="1625"/>
      <c r="O945" s="273"/>
      <c r="P945" s="276"/>
      <c r="Q945" s="276"/>
    </row>
    <row r="946" spans="1:17" s="1623" customFormat="1" ht="184.8">
      <c r="A946" s="1617" t="s">
        <v>7918</v>
      </c>
      <c r="B946" s="269" t="s">
        <v>6945</v>
      </c>
      <c r="C946" s="1636" t="s">
        <v>133</v>
      </c>
      <c r="D946" s="1649">
        <v>2</v>
      </c>
      <c r="E946" s="1637">
        <f>+'LINEAS IMPULSIÓN-CONDUCCIÓN'!E213</f>
        <v>13634284.99</v>
      </c>
      <c r="F946" s="1637">
        <f t="shared" si="56"/>
        <v>27268570</v>
      </c>
      <c r="G946" s="2351"/>
      <c r="I946" s="273"/>
      <c r="J946" s="273"/>
      <c r="K946" s="1706"/>
      <c r="L946" s="275"/>
      <c r="M946" s="1625"/>
      <c r="N946" s="1625"/>
      <c r="O946" s="273"/>
      <c r="P946" s="276"/>
      <c r="Q946" s="276"/>
    </row>
    <row r="947" spans="1:17" s="1623" customFormat="1" ht="40.5" customHeight="1">
      <c r="A947" s="3375" t="s">
        <v>8787</v>
      </c>
      <c r="B947" s="3375"/>
      <c r="C947" s="3375"/>
      <c r="D947" s="3375"/>
      <c r="E947" s="3375"/>
      <c r="F947" s="2957" t="e">
        <f>F563+F561+F554+F546+F540+F538+F512+F507+F504+F502+F499+F497+F495+F493+F485+F483+F479+F476+F472+F466++F446+F448+F438+F429+F422+F420+F397+F392+F390+F388+F384+F376+F372+F370+F368+F366+F364+F362+F360+F357+F355+F348+F337+F268+F261+F258+F255+F239+F235+F231+F218+F184+F175+F173+F171+F169+F167+F150+F147+F132+F122+F111+F105+F103+F58+F54+F52+F48+F40+F35+F33+F31+F28+F26+F24+F22+F19+F16+F10+F6</f>
        <v>#REF!</v>
      </c>
      <c r="G947" s="2351"/>
      <c r="H947" s="2964" t="e">
        <f>+F947+F950</f>
        <v>#REF!</v>
      </c>
      <c r="I947" s="273"/>
      <c r="J947" s="273"/>
      <c r="K947" s="1706"/>
      <c r="L947" s="275"/>
      <c r="M947" s="1625"/>
      <c r="N947" s="1625"/>
      <c r="O947" s="273"/>
      <c r="P947" s="276"/>
      <c r="Q947" s="276"/>
    </row>
    <row r="948" spans="1:17" s="1623" customFormat="1" ht="40.5" customHeight="1">
      <c r="A948" s="3372" t="s">
        <v>139</v>
      </c>
      <c r="B948" s="3372"/>
      <c r="C948" s="3372"/>
      <c r="D948" s="3372"/>
      <c r="E948" s="2958">
        <f>+AIU</f>
        <v>0.29572249606750989</v>
      </c>
      <c r="F948" s="2962" t="e">
        <f>+ROUND(F947*E948,0)</f>
        <v>#REF!</v>
      </c>
      <c r="G948" s="2351"/>
      <c r="I948" s="273"/>
      <c r="J948" s="273"/>
      <c r="K948" s="1706"/>
      <c r="L948" s="275"/>
      <c r="M948" s="1625"/>
      <c r="N948" s="1625"/>
      <c r="O948" s="273"/>
      <c r="P948" s="276"/>
      <c r="Q948" s="276"/>
    </row>
    <row r="949" spans="1:17" s="1623" customFormat="1" ht="44.25" customHeight="1">
      <c r="A949" s="3377" t="s">
        <v>8786</v>
      </c>
      <c r="B949" s="3378"/>
      <c r="C949" s="3378"/>
      <c r="D949" s="3378"/>
      <c r="E949" s="3379"/>
      <c r="F949" s="2962" t="e">
        <f>SUM(F947:F948)</f>
        <v>#REF!</v>
      </c>
      <c r="G949" s="2351"/>
      <c r="I949" s="273"/>
      <c r="J949" s="273"/>
      <c r="K949" s="1706"/>
      <c r="L949" s="275"/>
      <c r="M949" s="1625"/>
      <c r="N949" s="1625"/>
      <c r="O949" s="273"/>
      <c r="P949" s="276"/>
      <c r="Q949" s="276"/>
    </row>
    <row r="950" spans="1:17" s="492" customFormat="1" ht="30" customHeight="1">
      <c r="A950" s="3375" t="s">
        <v>8788</v>
      </c>
      <c r="B950" s="3375"/>
      <c r="C950" s="3375"/>
      <c r="D950" s="3375"/>
      <c r="E950" s="3375"/>
      <c r="F950" s="2959">
        <f>+F931+F907+F902+F899+F897+F879+F858+F852+F850+F846+F838+F834+F832+F830+F828+F826+F824+F822+F819+F817+F811+F803+F734+F719+F715+F711+F698+F683+F640+F636+F634+F632+F628+F620+F615+F613+F611+F608+F606+F604+F602+F599+F596+F590+F587</f>
        <v>8172181004</v>
      </c>
      <c r="G950" s="2360"/>
      <c r="H950" s="2798">
        <f>+SUM(F931,F907,F896,F879,F858,F852,F850,F846,F838,F834,F832,F830,F828,F826,F824,F822,F819,F817,F811,F803,F734,F719,F715,F711,F698,F683,F640,F636,F634,F632,F628,F620,F615,F613,F611,F608,F606,F604,F602,F599,F596,F590,F587)</f>
        <v>8172181004</v>
      </c>
      <c r="K950" s="1495"/>
      <c r="L950" s="1495"/>
      <c r="M950" s="1495"/>
    </row>
    <row r="951" spans="1:17" s="492" customFormat="1" ht="16.8">
      <c r="A951" s="3380" t="s">
        <v>3843</v>
      </c>
      <c r="B951" s="3380"/>
      <c r="C951" s="3380"/>
      <c r="D951" s="3380"/>
      <c r="E951" s="2960">
        <f>+AIU!H47</f>
        <v>0.18358899999999997</v>
      </c>
      <c r="F951" s="2959">
        <f>ROUNDUP(+E951*F950,0)</f>
        <v>1500322539</v>
      </c>
      <c r="G951" s="2360"/>
      <c r="H951" s="61"/>
      <c r="K951" s="1495"/>
      <c r="L951" s="1495"/>
      <c r="M951" s="1495"/>
    </row>
    <row r="952" spans="1:17" s="492" customFormat="1" ht="31.5" customHeight="1">
      <c r="A952" s="3381" t="s">
        <v>4297</v>
      </c>
      <c r="B952" s="3382"/>
      <c r="C952" s="3382"/>
      <c r="D952" s="3382"/>
      <c r="E952" s="3383"/>
      <c r="F952" s="2961">
        <f>ROUND(+SUM(F950:F951),0)</f>
        <v>9672503543</v>
      </c>
      <c r="G952" s="711"/>
      <c r="H952" s="61"/>
      <c r="K952" s="1495"/>
      <c r="L952" s="1495"/>
      <c r="M952" s="1495"/>
    </row>
    <row r="953" spans="1:17" s="492" customFormat="1" ht="31.5" customHeight="1">
      <c r="A953" s="3381" t="s">
        <v>8789</v>
      </c>
      <c r="B953" s="3382"/>
      <c r="C953" s="3382"/>
      <c r="D953" s="3382"/>
      <c r="E953" s="3383"/>
      <c r="F953" s="2961" t="e">
        <f>+F952+F949</f>
        <v>#REF!</v>
      </c>
      <c r="G953" s="3021">
        <v>17226660082</v>
      </c>
      <c r="H953" s="3022" t="e">
        <f>+F953-G953</f>
        <v>#REF!</v>
      </c>
      <c r="K953" s="1495"/>
      <c r="L953" s="1495"/>
      <c r="M953" s="1495"/>
    </row>
    <row r="954" spans="1:17" s="492" customFormat="1" ht="31.5" customHeight="1">
      <c r="A954" s="3381" t="s">
        <v>8785</v>
      </c>
      <c r="B954" s="3382"/>
      <c r="C954" s="3382"/>
      <c r="D954" s="3382"/>
      <c r="E954" s="3383"/>
      <c r="F954" s="2961">
        <f>+INTERVENTORIA!J49</f>
        <v>618803028</v>
      </c>
      <c r="G954" s="3021">
        <v>618803028</v>
      </c>
      <c r="H954" s="3021">
        <f>+F954-G954</f>
        <v>0</v>
      </c>
      <c r="K954" s="1495"/>
      <c r="L954" s="1495"/>
      <c r="M954" s="1495"/>
    </row>
    <row r="955" spans="1:17" ht="16.8">
      <c r="A955" s="3376" t="s">
        <v>7922</v>
      </c>
      <c r="B955" s="3376"/>
      <c r="C955" s="3376"/>
      <c r="D955" s="3376"/>
      <c r="E955" s="3376"/>
      <c r="F955" s="2961" t="e">
        <f>+F953+F954</f>
        <v>#REF!</v>
      </c>
      <c r="G955" s="3021">
        <v>156862745</v>
      </c>
      <c r="H955" s="2339"/>
    </row>
    <row r="956" spans="1:17" ht="15" customHeight="1">
      <c r="G956" s="3023">
        <f>SUM(G953:G955)</f>
        <v>18002325855</v>
      </c>
    </row>
    <row r="957" spans="1:17" ht="16.8">
      <c r="F957" s="2288"/>
      <c r="H957" s="2398"/>
    </row>
    <row r="958" spans="1:17">
      <c r="F958" s="2796"/>
      <c r="H958" s="1716"/>
    </row>
    <row r="959" spans="1:17">
      <c r="H959" s="1608"/>
    </row>
    <row r="960" spans="1:17">
      <c r="F960" s="2398"/>
      <c r="H960" s="2399"/>
    </row>
    <row r="961" spans="6:6">
      <c r="F961" s="2399"/>
    </row>
  </sheetData>
  <autoFilter ref="A4:F955"/>
  <mergeCells count="85">
    <mergeCell ref="A955:E955"/>
    <mergeCell ref="A949:E949"/>
    <mergeCell ref="A950:E950"/>
    <mergeCell ref="A951:D951"/>
    <mergeCell ref="A952:E952"/>
    <mergeCell ref="A953:E953"/>
    <mergeCell ref="A954:E954"/>
    <mergeCell ref="A948:D948"/>
    <mergeCell ref="B852:D852"/>
    <mergeCell ref="A856:F856"/>
    <mergeCell ref="B858:D858"/>
    <mergeCell ref="A877:F877"/>
    <mergeCell ref="B879:D879"/>
    <mergeCell ref="A894:F894"/>
    <mergeCell ref="B896:E896"/>
    <mergeCell ref="A905:F905"/>
    <mergeCell ref="A929:F929"/>
    <mergeCell ref="B931:D931"/>
    <mergeCell ref="A947:E947"/>
    <mergeCell ref="A809:F809"/>
    <mergeCell ref="B632:D632"/>
    <mergeCell ref="B634:D634"/>
    <mergeCell ref="B636:D636"/>
    <mergeCell ref="A638:F638"/>
    <mergeCell ref="B640:D640"/>
    <mergeCell ref="A681:F681"/>
    <mergeCell ref="B683:D683"/>
    <mergeCell ref="A695:F695"/>
    <mergeCell ref="B697:E697"/>
    <mergeCell ref="A732:F732"/>
    <mergeCell ref="B734:E734"/>
    <mergeCell ref="B628:D628"/>
    <mergeCell ref="B590:D590"/>
    <mergeCell ref="B596:D596"/>
    <mergeCell ref="B599:D599"/>
    <mergeCell ref="B602:D602"/>
    <mergeCell ref="B604:D604"/>
    <mergeCell ref="B606:D606"/>
    <mergeCell ref="B608:D608"/>
    <mergeCell ref="B611:D611"/>
    <mergeCell ref="B613:D613"/>
    <mergeCell ref="B615:D615"/>
    <mergeCell ref="B620:D620"/>
    <mergeCell ref="B587:D587"/>
    <mergeCell ref="A510:F510"/>
    <mergeCell ref="A534:F534"/>
    <mergeCell ref="B536:F536"/>
    <mergeCell ref="H551:N551"/>
    <mergeCell ref="A579:E579"/>
    <mergeCell ref="A580:D580"/>
    <mergeCell ref="A581:D581"/>
    <mergeCell ref="A582:D582"/>
    <mergeCell ref="A583:E583"/>
    <mergeCell ref="A584:F584"/>
    <mergeCell ref="A585:F585"/>
    <mergeCell ref="B501:E501"/>
    <mergeCell ref="K174:L174"/>
    <mergeCell ref="A252:F252"/>
    <mergeCell ref="A254:F254"/>
    <mergeCell ref="A343:F343"/>
    <mergeCell ref="A345:F345"/>
    <mergeCell ref="A396:F396"/>
    <mergeCell ref="A416:F416"/>
    <mergeCell ref="B418:F418"/>
    <mergeCell ref="H435:N435"/>
    <mergeCell ref="A463:F463"/>
    <mergeCell ref="A465:F465"/>
    <mergeCell ref="K173:L173"/>
    <mergeCell ref="B101:F101"/>
    <mergeCell ref="H117:N117"/>
    <mergeCell ref="A144:F144"/>
    <mergeCell ref="B150:E150"/>
    <mergeCell ref="K166:L166"/>
    <mergeCell ref="K167:L167"/>
    <mergeCell ref="K168:L168"/>
    <mergeCell ref="K169:L169"/>
    <mergeCell ref="K170:L170"/>
    <mergeCell ref="K171:L171"/>
    <mergeCell ref="K172:L172"/>
    <mergeCell ref="A99:F99"/>
    <mergeCell ref="A1:F1"/>
    <mergeCell ref="A2:F2"/>
    <mergeCell ref="A3:F3"/>
    <mergeCell ref="B5:F5"/>
    <mergeCell ref="A56:F56"/>
  </mergeCells>
  <pageMargins left="0.70866141732283472" right="0.70866141732283472" top="0.74803149606299213" bottom="0.74803149606299213" header="0.31496062992125984" footer="0.31496062992125984"/>
  <pageSetup scale="67" orientation="portrait" horizontalDpi="360" verticalDpi="360" r:id="rId1"/>
  <colBreaks count="1" manualBreakCount="1">
    <brk id="6"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38</vt:i4>
      </vt:variant>
      <vt:variant>
        <vt:lpstr>Gráficos</vt:lpstr>
      </vt:variant>
      <vt:variant>
        <vt:i4>1</vt:i4>
      </vt:variant>
      <vt:variant>
        <vt:lpstr>Rangos con nombre</vt:lpstr>
      </vt:variant>
      <vt:variant>
        <vt:i4>599</vt:i4>
      </vt:variant>
    </vt:vector>
  </HeadingPairs>
  <TitlesOfParts>
    <vt:vector size="638" baseType="lpstr">
      <vt:lpstr>FORMULARIO AIU</vt:lpstr>
      <vt:lpstr>AIU</vt:lpstr>
      <vt:lpstr>FACTOR MULTIPLICADOR</vt:lpstr>
      <vt:lpstr>INTERVENTORIA</vt:lpstr>
      <vt:lpstr>PRESTA</vt:lpstr>
      <vt:lpstr>IMPACTO  COMUN</vt:lpstr>
      <vt:lpstr>BASE</vt:lpstr>
      <vt:lpstr>BASE CTOS</vt:lpstr>
      <vt:lpstr>CANTIDADES</vt:lpstr>
      <vt:lpstr>CONSOLIDADO</vt:lpstr>
      <vt:lpstr>PRESUPUESTO OFICIAL.</vt:lpstr>
      <vt:lpstr>FORMATO PRESUPUESTO OFICIAL.</vt:lpstr>
      <vt:lpstr>Formulario No. 1</vt:lpstr>
      <vt:lpstr>BASE CTOS2</vt:lpstr>
      <vt:lpstr>MATERIALES</vt:lpstr>
      <vt:lpstr>BASE 2</vt:lpstr>
      <vt:lpstr>CAPTACION RIO SINÚ</vt:lpstr>
      <vt:lpstr>APU PTAP ELECTRICO</vt:lpstr>
      <vt:lpstr>APU CAPTACION</vt:lpstr>
      <vt:lpstr>LINEAS IMPULSIÓN-CONDUCCIÓN</vt:lpstr>
      <vt:lpstr>APU LINEAS IMPULSIÓN</vt:lpstr>
      <vt:lpstr>APUBOMBEO</vt:lpstr>
      <vt:lpstr>1. BOMBEO RIO SINU PTAP ALT 2</vt:lpstr>
      <vt:lpstr>APULINEA</vt:lpstr>
      <vt:lpstr>TOTAL OC E INST + SUM</vt:lpstr>
      <vt:lpstr>APU PTAP</vt:lpstr>
      <vt:lpstr>APU PTAP TIJERETAS</vt:lpstr>
      <vt:lpstr>PTAP TIJERETAS</vt:lpstr>
      <vt:lpstr> TANQUE PATAGONIA</vt:lpstr>
      <vt:lpstr>APU TANQUE PATAGONIA</vt:lpstr>
      <vt:lpstr>RESUMEN 2</vt:lpstr>
      <vt:lpstr>CRONOGRAMA</vt:lpstr>
      <vt:lpstr>PLAN FINANCIERO</vt:lpstr>
      <vt:lpstr>FORMATO RESUMEN </vt:lpstr>
      <vt:lpstr>PRESUPUESTO-INTERV</vt:lpstr>
      <vt:lpstr>RECURSOS ADC</vt:lpstr>
      <vt:lpstr>RECURSOS MPIO</vt:lpstr>
      <vt:lpstr>APU CAP</vt:lpstr>
      <vt:lpstr>Gráfico2</vt:lpstr>
      <vt:lpstr>____R32JH</vt:lpstr>
      <vt:lpstr>_ADM3</vt:lpstr>
      <vt:lpstr>_ADP1</vt:lpstr>
      <vt:lpstr>_BAZ10</vt:lpstr>
      <vt:lpstr>_BLO20</vt:lpstr>
      <vt:lpstr>_C2254JH</vt:lpstr>
      <vt:lpstr>_C2256JH</vt:lpstr>
      <vt:lpstr>_C452JH</vt:lpstr>
      <vt:lpstr>_C903L</vt:lpstr>
      <vt:lpstr>_C908J</vt:lpstr>
      <vt:lpstr>_CAN28</vt:lpstr>
      <vt:lpstr>_CUA44</vt:lpstr>
      <vt:lpstr>_EEF110</vt:lpstr>
      <vt:lpstr>_ETF315</vt:lpstr>
      <vt:lpstr>_FYB03</vt:lpstr>
      <vt:lpstr>_FYB04</vt:lpstr>
      <vt:lpstr>_FYB08</vt:lpstr>
      <vt:lpstr>_FYB10</vt:lpstr>
      <vt:lpstr>_GoBack</vt:lpstr>
      <vt:lpstr>_LAC18</vt:lpstr>
      <vt:lpstr>_R108BB</vt:lpstr>
      <vt:lpstr>_R1210HJ</vt:lpstr>
      <vt:lpstr>_R1210JH</vt:lpstr>
      <vt:lpstr>_R126EXBB</vt:lpstr>
      <vt:lpstr>'BASE 2'!_R32EL</vt:lpstr>
      <vt:lpstr>_R32EL</vt:lpstr>
      <vt:lpstr>'BASE 2'!_R32JH</vt:lpstr>
      <vt:lpstr>_R32JH</vt:lpstr>
      <vt:lpstr>'BASE 2'!_R42JH</vt:lpstr>
      <vt:lpstr>_R42JH</vt:lpstr>
      <vt:lpstr>'BASE 2'!_R43JH</vt:lpstr>
      <vt:lpstr>_R43JH</vt:lpstr>
      <vt:lpstr>'BASE 2'!_R63BB</vt:lpstr>
      <vt:lpstr>_R63BB</vt:lpstr>
      <vt:lpstr>'BASE 2'!_R63JH</vt:lpstr>
      <vt:lpstr>_R63JH</vt:lpstr>
      <vt:lpstr>'BASE 2'!_R64BB</vt:lpstr>
      <vt:lpstr>_R64BB</vt:lpstr>
      <vt:lpstr>'BASE 2'!_R64JH</vt:lpstr>
      <vt:lpstr>_R64JH</vt:lpstr>
      <vt:lpstr>'BASE 2'!_R83JH</vt:lpstr>
      <vt:lpstr>_R83JH</vt:lpstr>
      <vt:lpstr>'BASE 2'!_R84JH</vt:lpstr>
      <vt:lpstr>_R84JH</vt:lpstr>
      <vt:lpstr>'BASE 2'!_R86JH</vt:lpstr>
      <vt:lpstr>_R86JH</vt:lpstr>
      <vt:lpstr>_RED104</vt:lpstr>
      <vt:lpstr>_RED106</vt:lpstr>
      <vt:lpstr>_RED1210</vt:lpstr>
      <vt:lpstr>_RED32</vt:lpstr>
      <vt:lpstr>_red42</vt:lpstr>
      <vt:lpstr>_RED43</vt:lpstr>
      <vt:lpstr>_REP21</vt:lpstr>
      <vt:lpstr>_REP42</vt:lpstr>
      <vt:lpstr>_RES64</vt:lpstr>
      <vt:lpstr>_ST146</vt:lpstr>
      <vt:lpstr>_SY104</vt:lpstr>
      <vt:lpstr>_SY106</vt:lpstr>
      <vt:lpstr>_SY124</vt:lpstr>
      <vt:lpstr>_SY126</vt:lpstr>
      <vt:lpstr>_SY164</vt:lpstr>
      <vt:lpstr>_SY166</vt:lpstr>
      <vt:lpstr>_SY186</vt:lpstr>
      <vt:lpstr>_SY206</vt:lpstr>
      <vt:lpstr>_SY84</vt:lpstr>
      <vt:lpstr>_SY86</vt:lpstr>
      <vt:lpstr>_TAP2</vt:lpstr>
      <vt:lpstr>_TEE1</vt:lpstr>
      <vt:lpstr>_TEE1010</vt:lpstr>
      <vt:lpstr>_TEE2</vt:lpstr>
      <vt:lpstr>_TEE32</vt:lpstr>
      <vt:lpstr>_TEE33</vt:lpstr>
      <vt:lpstr>_TES44</vt:lpstr>
      <vt:lpstr>_TES64</vt:lpstr>
      <vt:lpstr>_TES66</vt:lpstr>
      <vt:lpstr>_THF12</vt:lpstr>
      <vt:lpstr>_TNL30</vt:lpstr>
      <vt:lpstr>_TNL33</vt:lpstr>
      <vt:lpstr>_TNL36</vt:lpstr>
      <vt:lpstr>_TNL39</vt:lpstr>
      <vt:lpstr>_TNL42</vt:lpstr>
      <vt:lpstr>_TNL45</vt:lpstr>
      <vt:lpstr>_TNL48</vt:lpstr>
      <vt:lpstr>_TNL51</vt:lpstr>
      <vt:lpstr>_TNL54</vt:lpstr>
      <vt:lpstr>_TNL60</vt:lpstr>
      <vt:lpstr>_TPE1701</vt:lpstr>
      <vt:lpstr>_TPE8016</vt:lpstr>
      <vt:lpstr>_TPE8020</vt:lpstr>
      <vt:lpstr>_TPE8025</vt:lpstr>
      <vt:lpstr>_TPF12</vt:lpstr>
      <vt:lpstr>_TPN1002</vt:lpstr>
      <vt:lpstr>_TPN1003</vt:lpstr>
      <vt:lpstr>_TPN1004</vt:lpstr>
      <vt:lpstr>_TPN1006</vt:lpstr>
      <vt:lpstr>_TPN10075</vt:lpstr>
      <vt:lpstr>_TPN1008</vt:lpstr>
      <vt:lpstr>_TPN1010</vt:lpstr>
      <vt:lpstr>_TPN1012</vt:lpstr>
      <vt:lpstr>_TPN1202</vt:lpstr>
      <vt:lpstr>_TPN1203</vt:lpstr>
      <vt:lpstr>_TPN1204</vt:lpstr>
      <vt:lpstr>_TPN1206</vt:lpstr>
      <vt:lpstr>_TPN1208</vt:lpstr>
      <vt:lpstr>_TPN1210</vt:lpstr>
      <vt:lpstr>_TPN1212</vt:lpstr>
      <vt:lpstr>_TPN1225</vt:lpstr>
      <vt:lpstr>_TPN1232</vt:lpstr>
      <vt:lpstr>_TPN16012</vt:lpstr>
      <vt:lpstr>_TPN1602</vt:lpstr>
      <vt:lpstr>_TPN1603</vt:lpstr>
      <vt:lpstr>_TPN1604</vt:lpstr>
      <vt:lpstr>_TPN1606</vt:lpstr>
      <vt:lpstr>_TPN1608</vt:lpstr>
      <vt:lpstr>_TPN1610</vt:lpstr>
      <vt:lpstr>_TR114</vt:lpstr>
      <vt:lpstr>_TZ2110</vt:lpstr>
      <vt:lpstr>_TZ2112</vt:lpstr>
      <vt:lpstr>_TZ2114</vt:lpstr>
      <vt:lpstr>_TZ2116</vt:lpstr>
      <vt:lpstr>_TZ212</vt:lpstr>
      <vt:lpstr>_TZ213</vt:lpstr>
      <vt:lpstr>_TZ214</vt:lpstr>
      <vt:lpstr>_TZ216</vt:lpstr>
      <vt:lpstr>_TZ218</vt:lpstr>
      <vt:lpstr>_TZ225</vt:lpstr>
      <vt:lpstr>_TZ2610</vt:lpstr>
      <vt:lpstr>_TZ2612</vt:lpstr>
      <vt:lpstr>_TZ262</vt:lpstr>
      <vt:lpstr>_TZ263</vt:lpstr>
      <vt:lpstr>_TZ264</vt:lpstr>
      <vt:lpstr>_TZ266</vt:lpstr>
      <vt:lpstr>_TZ268</vt:lpstr>
      <vt:lpstr>_TZ32510</vt:lpstr>
      <vt:lpstr>_TZ32512</vt:lpstr>
      <vt:lpstr>_TZ3253</vt:lpstr>
      <vt:lpstr>_TZ3254</vt:lpstr>
      <vt:lpstr>_TZ3256</vt:lpstr>
      <vt:lpstr>_TZ3258</vt:lpstr>
      <vt:lpstr>_TZ4110</vt:lpstr>
      <vt:lpstr>_TZ4112</vt:lpstr>
      <vt:lpstr>_TZ414</vt:lpstr>
      <vt:lpstr>_TZ418</vt:lpstr>
      <vt:lpstr>_UDD06</vt:lpstr>
      <vt:lpstr>_UDD08</vt:lpstr>
      <vt:lpstr>_UNI32</vt:lpstr>
      <vt:lpstr>_UNL30</vt:lpstr>
      <vt:lpstr>_UNL33</vt:lpstr>
      <vt:lpstr>_UNL36</vt:lpstr>
      <vt:lpstr>_UNL39</vt:lpstr>
      <vt:lpstr>_UNL42</vt:lpstr>
      <vt:lpstr>_UNL45</vt:lpstr>
      <vt:lpstr>_UNL48</vt:lpstr>
      <vt:lpstr>_UNL51</vt:lpstr>
      <vt:lpstr>_UNL54</vt:lpstr>
      <vt:lpstr>_UNL60</vt:lpstr>
      <vt:lpstr>_VEN04</vt:lpstr>
      <vt:lpstr>A40FI</vt:lpstr>
      <vt:lpstr>A40LI</vt:lpstr>
      <vt:lpstr>A60FI</vt:lpstr>
      <vt:lpstr>A60FI1</vt:lpstr>
      <vt:lpstr>ACOND</vt:lpstr>
      <vt:lpstr>ACPM</vt:lpstr>
      <vt:lpstr>ADH12_</vt:lpstr>
      <vt:lpstr>ADM12_</vt:lpstr>
      <vt:lpstr>ADM2_</vt:lpstr>
      <vt:lpstr>ADM3_</vt:lpstr>
      <vt:lpstr>ADM4_</vt:lpstr>
      <vt:lpstr>ADMINISTRA</vt:lpstr>
      <vt:lpstr>ADMM</vt:lpstr>
      <vt:lpstr>ADP1_</vt:lpstr>
      <vt:lpstr>AGUA</vt:lpstr>
      <vt:lpstr>AIU</vt:lpstr>
      <vt:lpstr>ALANR</vt:lpstr>
      <vt:lpstr>ALPUA</vt:lpstr>
      <vt:lpstr>ANDAM</vt:lpstr>
      <vt:lpstr>ANTIC</vt:lpstr>
      <vt:lpstr>ANTRA</vt:lpstr>
      <vt:lpstr>ARANA</vt:lpstr>
      <vt:lpstr>' TANQUE PATAGONIA'!Área_de_impresión</vt:lpstr>
      <vt:lpstr>AIU!Área_de_impresión</vt:lpstr>
      <vt:lpstr>'APU CAPTACION'!Área_de_impresión</vt:lpstr>
      <vt:lpstr>'APU LINEAS IMPULSIÓN'!Área_de_impresión</vt:lpstr>
      <vt:lpstr>'APU PTAP'!Área_de_impresión</vt:lpstr>
      <vt:lpstr>'APU PTAP ELECTRICO'!Área_de_impresión</vt:lpstr>
      <vt:lpstr>'APU PTAP TIJERETAS'!Área_de_impresión</vt:lpstr>
      <vt:lpstr>'APU TANQUE PATAGONIA'!Área_de_impresión</vt:lpstr>
      <vt:lpstr>APUBOMBEO!Área_de_impresión</vt:lpstr>
      <vt:lpstr>APULINEA!Área_de_impresión</vt:lpstr>
      <vt:lpstr>'BASE CTOS'!Área_de_impresión</vt:lpstr>
      <vt:lpstr>'BASE CTOS2'!Área_de_impresión</vt:lpstr>
      <vt:lpstr>'CAPTACION RIO SINÚ'!Área_de_impresión</vt:lpstr>
      <vt:lpstr>CRONOGRAMA!Área_de_impresión</vt:lpstr>
      <vt:lpstr>'FACTOR MULTIPLICADOR'!Área_de_impresión</vt:lpstr>
      <vt:lpstr>'FORMATO RESUMEN '!Área_de_impresión</vt:lpstr>
      <vt:lpstr>'Formulario No. 1'!Área_de_impresión</vt:lpstr>
      <vt:lpstr>INTERVENTORIA!Área_de_impresión</vt:lpstr>
      <vt:lpstr>'LINEAS IMPULSIÓN-CONDUCCIÓN'!Área_de_impresión</vt:lpstr>
      <vt:lpstr>'PLAN FINANCIERO'!Área_de_impresión</vt:lpstr>
      <vt:lpstr>PRESTA!Área_de_impresión</vt:lpstr>
      <vt:lpstr>'PRESUPUESTO-INTERV'!Área_de_impresión</vt:lpstr>
      <vt:lpstr>'PTAP TIJERETAS'!Área_de_impresión</vt:lpstr>
      <vt:lpstr>'RESUMEN 2'!Área_de_impresión</vt:lpstr>
      <vt:lpstr>'TOTAL OC E INST + SUM'!Área_de_impresión</vt:lpstr>
      <vt:lpstr>ARELC</vt:lpstr>
      <vt:lpstr>ARELF</vt:lpstr>
      <vt:lpstr>ARENC</vt:lpstr>
      <vt:lpstr>ARENP</vt:lpstr>
      <vt:lpstr>AYUDA</vt:lpstr>
      <vt:lpstr>AYUDR</vt:lpstr>
      <vt:lpstr>BASEG</vt:lpstr>
      <vt:lpstr>BAZ10_</vt:lpstr>
      <vt:lpstr>BISCO</vt:lpstr>
      <vt:lpstr>BOMBA</vt:lpstr>
      <vt:lpstr>BOTAD</vt:lpstr>
      <vt:lpstr>BOTES</vt:lpstr>
      <vt:lpstr>BROCH</vt:lpstr>
      <vt:lpstr>BULLDOZ</vt:lpstr>
      <vt:lpstr>CABAL</vt:lpstr>
      <vt:lpstr>CAJAC</vt:lpstr>
      <vt:lpstr>CAJAV</vt:lpstr>
      <vt:lpstr>CAJMI</vt:lpstr>
      <vt:lpstr>CAN28_</vt:lpstr>
      <vt:lpstr>CANAL</vt:lpstr>
      <vt:lpstr>CANGU</vt:lpstr>
      <vt:lpstr>CARGAD</vt:lpstr>
      <vt:lpstr>CARRTA</vt:lpstr>
      <vt:lpstr>CD454JH</vt:lpstr>
      <vt:lpstr>CEMEG</vt:lpstr>
      <vt:lpstr>CHAPA</vt:lpstr>
      <vt:lpstr>CINT</vt:lpstr>
      <vt:lpstr>CLAVO</vt:lpstr>
      <vt:lpstr>CMMO</vt:lpstr>
      <vt:lpstr>CO22JH</vt:lpstr>
      <vt:lpstr>CO23JH</vt:lpstr>
      <vt:lpstr>CO456JH</vt:lpstr>
      <vt:lpstr>CO458JH</vt:lpstr>
      <vt:lpstr>CO45S2</vt:lpstr>
      <vt:lpstr>CO45S3</vt:lpstr>
      <vt:lpstr>CO45S4</vt:lpstr>
      <vt:lpstr>CO45S6</vt:lpstr>
      <vt:lpstr>CO902JH</vt:lpstr>
      <vt:lpstr>CO903JH</vt:lpstr>
      <vt:lpstr>CO904JH</vt:lpstr>
      <vt:lpstr>CO906JH</vt:lpstr>
      <vt:lpstr>CO908JH</vt:lpstr>
      <vt:lpstr>CO90P4</vt:lpstr>
      <vt:lpstr>CO90S2</vt:lpstr>
      <vt:lpstr>CO90S3</vt:lpstr>
      <vt:lpstr>CO90S4</vt:lpstr>
      <vt:lpstr>CO90S6</vt:lpstr>
      <vt:lpstr>CO910JH</vt:lpstr>
      <vt:lpstr>COD</vt:lpstr>
      <vt:lpstr>COMPR</vt:lpstr>
      <vt:lpstr>CONM1</vt:lpstr>
      <vt:lpstr>CONMX</vt:lpstr>
      <vt:lpstr>CORTA</vt:lpstr>
      <vt:lpstr>CORTACT</vt:lpstr>
      <vt:lpstr>CP452L</vt:lpstr>
      <vt:lpstr>CP453L</vt:lpstr>
      <vt:lpstr>CP902L</vt:lpstr>
      <vt:lpstr>CP903L</vt:lpstr>
      <vt:lpstr>CP904L</vt:lpstr>
      <vt:lpstr>CR22JH</vt:lpstr>
      <vt:lpstr>CR32JH</vt:lpstr>
      <vt:lpstr>CR33JH</vt:lpstr>
      <vt:lpstr>CR42JH</vt:lpstr>
      <vt:lpstr>CR44JH</vt:lpstr>
      <vt:lpstr>CR62JH</vt:lpstr>
      <vt:lpstr>CRAS</vt:lpstr>
      <vt:lpstr>CSIKA</vt:lpstr>
      <vt:lpstr>CT070KG</vt:lpstr>
      <vt:lpstr>CT080KG</vt:lpstr>
      <vt:lpstr>CT110KG</vt:lpstr>
      <vt:lpstr>CT140KG</vt:lpstr>
      <vt:lpstr>CT170KG</vt:lpstr>
      <vt:lpstr>CT180KG</vt:lpstr>
      <vt:lpstr>CT210KG</vt:lpstr>
      <vt:lpstr>CT245KG</vt:lpstr>
      <vt:lpstr>CT280_</vt:lpstr>
      <vt:lpstr>CT280KG</vt:lpstr>
      <vt:lpstr>CUA44_</vt:lpstr>
      <vt:lpstr>CYLL2</vt:lpstr>
      <vt:lpstr>CYLL3</vt:lpstr>
      <vt:lpstr>CYLL4</vt:lpstr>
      <vt:lpstr>CYLL6</vt:lpstr>
      <vt:lpstr>EEF110_</vt:lpstr>
      <vt:lpstr>ESCAL</vt:lpstr>
      <vt:lpstr>ESTAC</vt:lpstr>
      <vt:lpstr>ESTOP</vt:lpstr>
      <vt:lpstr>ETF315_</vt:lpstr>
      <vt:lpstr>FIELT</vt:lpstr>
      <vt:lpstr>FORM3</vt:lpstr>
      <vt:lpstr>FORMA</vt:lpstr>
      <vt:lpstr>FORMH</vt:lpstr>
      <vt:lpstr>FORMM</vt:lpstr>
      <vt:lpstr>FYB02_</vt:lpstr>
      <vt:lpstr>FYB03_</vt:lpstr>
      <vt:lpstr>FYB04_</vt:lpstr>
      <vt:lpstr>FYB08_</vt:lpstr>
      <vt:lpstr>FYB10_</vt:lpstr>
      <vt:lpstr>GASO</vt:lpstr>
      <vt:lpstr>GEOT</vt:lpstr>
      <vt:lpstr>GRAMA</vt:lpstr>
      <vt:lpstr>GRAP</vt:lpstr>
      <vt:lpstr>GRAV2</vt:lpstr>
      <vt:lpstr>GRAV3</vt:lpstr>
      <vt:lpstr>GRUA</vt:lpstr>
      <vt:lpstr>HC78MH</vt:lpstr>
      <vt:lpstr>HM3EB</vt:lpstr>
      <vt:lpstr>HM3JH</vt:lpstr>
      <vt:lpstr>HT75MH</vt:lpstr>
      <vt:lpstr>IMPRI</vt:lpstr>
      <vt:lpstr>LA124_</vt:lpstr>
      <vt:lpstr>LAC18_</vt:lpstr>
      <vt:lpstr>LIMP</vt:lpstr>
      <vt:lpstr>LINEAV</vt:lpstr>
      <vt:lpstr>LINEAV1</vt:lpstr>
      <vt:lpstr>LINEAV2</vt:lpstr>
      <vt:lpstr>LINIERO1</vt:lpstr>
      <vt:lpstr>LINIERO2</vt:lpstr>
      <vt:lpstr>LLAC12</vt:lpstr>
      <vt:lpstr>LLAP12</vt:lpstr>
      <vt:lpstr>LUBRI</vt:lpstr>
      <vt:lpstr>LUPVC</vt:lpstr>
      <vt:lpstr>LUPVT</vt:lpstr>
      <vt:lpstr>M120K</vt:lpstr>
      <vt:lpstr>M240K</vt:lpstr>
      <vt:lpstr>M280K</vt:lpstr>
      <vt:lpstr>MADCJ</vt:lpstr>
      <vt:lpstr>MARABA</vt:lpstr>
      <vt:lpstr>MATPR</vt:lpstr>
      <vt:lpstr>MC4CM</vt:lpstr>
      <vt:lpstr>MEDID</vt:lpstr>
      <vt:lpstr>MOCARG</vt:lpstr>
      <vt:lpstr>MOENC</vt:lpstr>
      <vt:lpstr>MOIHF</vt:lpstr>
      <vt:lpstr>MOPRE</vt:lpstr>
      <vt:lpstr>MOTON</vt:lpstr>
      <vt:lpstr>MOTOP</vt:lpstr>
      <vt:lpstr>MOVOL</vt:lpstr>
      <vt:lpstr>OFICI</vt:lpstr>
      <vt:lpstr>OXICOR</vt:lpstr>
      <vt:lpstr>P150X240</vt:lpstr>
      <vt:lpstr>P80X200</vt:lpstr>
      <vt:lpstr>P90X200</vt:lpstr>
      <vt:lpstr>PA14X</vt:lpstr>
      <vt:lpstr>PEGCO</vt:lpstr>
      <vt:lpstr>PERNO</vt:lpstr>
      <vt:lpstr>PIE4A6</vt:lpstr>
      <vt:lpstr>PIECR</vt:lpstr>
      <vt:lpstr>PIEDR</vt:lpstr>
      <vt:lpstr>PINBAR</vt:lpstr>
      <vt:lpstr>PINBLA</vt:lpstr>
      <vt:lpstr>PLAELE</vt:lpstr>
      <vt:lpstr>PLAST</vt:lpstr>
      <vt:lpstr>PRESTA</vt:lpstr>
      <vt:lpstr>PULID</vt:lpstr>
      <vt:lpstr>PUNTI</vt:lpstr>
      <vt:lpstr>RED32_</vt:lpstr>
      <vt:lpstr>REJILLA</vt:lpstr>
      <vt:lpstr>REP21_</vt:lpstr>
      <vt:lpstr>REP42_</vt:lpstr>
      <vt:lpstr>RES64_</vt:lpstr>
      <vt:lpstr>RETRO</vt:lpstr>
      <vt:lpstr>RLIGA</vt:lpstr>
      <vt:lpstr>SIKAD</vt:lpstr>
      <vt:lpstr>SLPVC</vt:lpstr>
      <vt:lpstr>SMMLV</vt:lpstr>
      <vt:lpstr>SOLDA</vt:lpstr>
      <vt:lpstr>SOLPVC</vt:lpstr>
      <vt:lpstr>ST106_</vt:lpstr>
      <vt:lpstr>ST126_</vt:lpstr>
      <vt:lpstr>ST146_</vt:lpstr>
      <vt:lpstr>ST166_</vt:lpstr>
      <vt:lpstr>ST186_</vt:lpstr>
      <vt:lpstr>ST206_</vt:lpstr>
      <vt:lpstr>ST86_</vt:lpstr>
      <vt:lpstr>SUMIN</vt:lpstr>
      <vt:lpstr>SY104_</vt:lpstr>
      <vt:lpstr>SY106_</vt:lpstr>
      <vt:lpstr>SY124_</vt:lpstr>
      <vt:lpstr>SY126_</vt:lpstr>
      <vt:lpstr>SY164_</vt:lpstr>
      <vt:lpstr>SY166_</vt:lpstr>
      <vt:lpstr>SY186_</vt:lpstr>
      <vt:lpstr>SY206_</vt:lpstr>
      <vt:lpstr>SY64_</vt:lpstr>
      <vt:lpstr>SY84_</vt:lpstr>
      <vt:lpstr>SY86_</vt:lpstr>
      <vt:lpstr>T22JH</vt:lpstr>
      <vt:lpstr>T32JH</vt:lpstr>
      <vt:lpstr>T33JH</vt:lpstr>
      <vt:lpstr>T42JH</vt:lpstr>
      <vt:lpstr>T43JH</vt:lpstr>
      <vt:lpstr>T44JH</vt:lpstr>
      <vt:lpstr>T62JH</vt:lpstr>
      <vt:lpstr>T63JH</vt:lpstr>
      <vt:lpstr>T64JH</vt:lpstr>
      <vt:lpstr>T66JH</vt:lpstr>
      <vt:lpstr>T82JH</vt:lpstr>
      <vt:lpstr>T83JH</vt:lpstr>
      <vt:lpstr>T84JH</vt:lpstr>
      <vt:lpstr>T88EB</vt:lpstr>
      <vt:lpstr>T88EL</vt:lpstr>
      <vt:lpstr>TABLA</vt:lpstr>
      <vt:lpstr>TACOM</vt:lpstr>
      <vt:lpstr>TACOR</vt:lpstr>
      <vt:lpstr>TAP2_</vt:lpstr>
      <vt:lpstr>TAPAM</vt:lpstr>
      <vt:lpstr>TASH2</vt:lpstr>
      <vt:lpstr>TASP1</vt:lpstr>
      <vt:lpstr>TASP2</vt:lpstr>
      <vt:lpstr>TASP3</vt:lpstr>
      <vt:lpstr>TASP4</vt:lpstr>
      <vt:lpstr>TASR4</vt:lpstr>
      <vt:lpstr>TEE_PVC</vt:lpstr>
      <vt:lpstr>TEE1_</vt:lpstr>
      <vt:lpstr>TEE2_</vt:lpstr>
      <vt:lpstr>TEE32_</vt:lpstr>
      <vt:lpstr>TEE33_</vt:lpstr>
      <vt:lpstr>TEJAB</vt:lpstr>
      <vt:lpstr>TEJAJ</vt:lpstr>
      <vt:lpstr>TELEP</vt:lpstr>
      <vt:lpstr>TEP22_</vt:lpstr>
      <vt:lpstr>TEP44_</vt:lpstr>
      <vt:lpstr>TES44_</vt:lpstr>
      <vt:lpstr>TES64_</vt:lpstr>
      <vt:lpstr>TES66_</vt:lpstr>
      <vt:lpstr>TGALV</vt:lpstr>
      <vt:lpstr>TH10J</vt:lpstr>
      <vt:lpstr>THF12_</vt:lpstr>
      <vt:lpstr>THF6JH</vt:lpstr>
      <vt:lpstr>THF6RO</vt:lpstr>
      <vt:lpstr>THF8JH</vt:lpstr>
      <vt:lpstr>' TANQUE PATAGONIA'!Títulos_a_imprimir</vt:lpstr>
      <vt:lpstr>'APU CAPTACION'!Títulos_a_imprimir</vt:lpstr>
      <vt:lpstr>'APU LINEAS IMPULSIÓN'!Títulos_a_imprimir</vt:lpstr>
      <vt:lpstr>'APU PTAP'!Títulos_a_imprimir</vt:lpstr>
      <vt:lpstr>'APU TANQUE PATAGONIA'!Títulos_a_imprimir</vt:lpstr>
      <vt:lpstr>APUBOMBEO!Títulos_a_imprimir</vt:lpstr>
      <vt:lpstr>'CAPTACION RIO SINÚ'!Títulos_a_imprimir</vt:lpstr>
      <vt:lpstr>CRONOGRAMA!Títulos_a_imprimir</vt:lpstr>
      <vt:lpstr>'FORMATO RESUMEN '!Títulos_a_imprimir</vt:lpstr>
      <vt:lpstr>'PTAP TIJERETAS'!Títulos_a_imprimir</vt:lpstr>
      <vt:lpstr>'TOTAL OC E INST + SUM'!Títulos_a_imprimir</vt:lpstr>
      <vt:lpstr>TNL24_</vt:lpstr>
      <vt:lpstr>TNL27_</vt:lpstr>
      <vt:lpstr>TNL30_</vt:lpstr>
      <vt:lpstr>TNL33_</vt:lpstr>
      <vt:lpstr>TNL36_</vt:lpstr>
      <vt:lpstr>TNL39_</vt:lpstr>
      <vt:lpstr>TNL42_</vt:lpstr>
      <vt:lpstr>TNL45_</vt:lpstr>
      <vt:lpstr>TNL48_</vt:lpstr>
      <vt:lpstr>TNL51_</vt:lpstr>
      <vt:lpstr>TNL54_</vt:lpstr>
      <vt:lpstr>TNL60_</vt:lpstr>
      <vt:lpstr>TNOV10</vt:lpstr>
      <vt:lpstr>TNOV12</vt:lpstr>
      <vt:lpstr>TNOV16</vt:lpstr>
      <vt:lpstr>TNOV18</vt:lpstr>
      <vt:lpstr>TNOV20</vt:lpstr>
      <vt:lpstr>TNOV6</vt:lpstr>
      <vt:lpstr>TNOV8</vt:lpstr>
      <vt:lpstr>TORNI</vt:lpstr>
      <vt:lpstr>TPE12_</vt:lpstr>
      <vt:lpstr>TPE1701_</vt:lpstr>
      <vt:lpstr>TPE8016_</vt:lpstr>
      <vt:lpstr>TPE8020_</vt:lpstr>
      <vt:lpstr>TPE8025_</vt:lpstr>
      <vt:lpstr>TPF12_</vt:lpstr>
      <vt:lpstr>TPN1002_</vt:lpstr>
      <vt:lpstr>TPN1003_</vt:lpstr>
      <vt:lpstr>TPN1004_</vt:lpstr>
      <vt:lpstr>TPN1006_</vt:lpstr>
      <vt:lpstr>TPN1008_</vt:lpstr>
      <vt:lpstr>TPN1010_</vt:lpstr>
      <vt:lpstr>TPN1202_</vt:lpstr>
      <vt:lpstr>TPN1203_</vt:lpstr>
      <vt:lpstr>TPN1204_</vt:lpstr>
      <vt:lpstr>TPN1206_</vt:lpstr>
      <vt:lpstr>TPN1208_</vt:lpstr>
      <vt:lpstr>TPN1210_</vt:lpstr>
      <vt:lpstr>TPN1225_</vt:lpstr>
      <vt:lpstr>TPN1232_</vt:lpstr>
      <vt:lpstr>TPN16012_</vt:lpstr>
      <vt:lpstr>TPN1602_</vt:lpstr>
      <vt:lpstr>TPN1603_</vt:lpstr>
      <vt:lpstr>TPN1604_</vt:lpstr>
      <vt:lpstr>TPN1606_</vt:lpstr>
      <vt:lpstr>TPN1608_</vt:lpstr>
      <vt:lpstr>TPN1610_</vt:lpstr>
      <vt:lpstr>TPVCME</vt:lpstr>
      <vt:lpstr>TPVCP1</vt:lpstr>
      <vt:lpstr>TPVCS4</vt:lpstr>
      <vt:lpstr>TRANAG</vt:lpstr>
      <vt:lpstr>TRANAR</vt:lpstr>
      <vt:lpstr>TRANS</vt:lpstr>
      <vt:lpstr>TRI14_</vt:lpstr>
      <vt:lpstr>TRITM</vt:lpstr>
      <vt:lpstr>TRITU</vt:lpstr>
      <vt:lpstr>TUAC12</vt:lpstr>
      <vt:lpstr>TUBNE</vt:lpstr>
      <vt:lpstr>TUBS2</vt:lpstr>
      <vt:lpstr>TUBS3</vt:lpstr>
      <vt:lpstr>TUBS4</vt:lpstr>
      <vt:lpstr>TUBS6</vt:lpstr>
      <vt:lpstr>TZ2110_</vt:lpstr>
      <vt:lpstr>TZ2112_</vt:lpstr>
      <vt:lpstr>TZ2114_</vt:lpstr>
      <vt:lpstr>TZ2116_</vt:lpstr>
      <vt:lpstr>TZ212_</vt:lpstr>
      <vt:lpstr>TZ213_</vt:lpstr>
      <vt:lpstr>TZ214_</vt:lpstr>
      <vt:lpstr>TZ216_</vt:lpstr>
      <vt:lpstr>TZ218_</vt:lpstr>
      <vt:lpstr>TZ225_</vt:lpstr>
      <vt:lpstr>TZ2610_</vt:lpstr>
      <vt:lpstr>TZ2612_</vt:lpstr>
      <vt:lpstr>TZ262_</vt:lpstr>
      <vt:lpstr>TZ263_</vt:lpstr>
      <vt:lpstr>TZ264_</vt:lpstr>
      <vt:lpstr>TZ266_</vt:lpstr>
      <vt:lpstr>TZ268_</vt:lpstr>
      <vt:lpstr>TZ32510_</vt:lpstr>
      <vt:lpstr>TZ32512_</vt:lpstr>
      <vt:lpstr>TZ3253_</vt:lpstr>
      <vt:lpstr>TZ3254_</vt:lpstr>
      <vt:lpstr>TZ3256_</vt:lpstr>
      <vt:lpstr>TZ3258_</vt:lpstr>
      <vt:lpstr>TZ4110_</vt:lpstr>
      <vt:lpstr>TZ4112_</vt:lpstr>
      <vt:lpstr>TZ414_</vt:lpstr>
      <vt:lpstr>TZ416_</vt:lpstr>
      <vt:lpstr>TZ418_</vt:lpstr>
      <vt:lpstr>UALU</vt:lpstr>
      <vt:lpstr>UDD06_</vt:lpstr>
      <vt:lpstr>UDD08_</vt:lpstr>
      <vt:lpstr>UNI32_</vt:lpstr>
      <vt:lpstr>UNL24_</vt:lpstr>
      <vt:lpstr>UNL27_</vt:lpstr>
      <vt:lpstr>UNL30_</vt:lpstr>
      <vt:lpstr>UNL33_</vt:lpstr>
      <vt:lpstr>UNL36_</vt:lpstr>
      <vt:lpstr>UNL39_</vt:lpstr>
      <vt:lpstr>UNL42_</vt:lpstr>
      <vt:lpstr>UNL45_</vt:lpstr>
      <vt:lpstr>UNL48_</vt:lpstr>
      <vt:lpstr>UNL51_</vt:lpstr>
      <vt:lpstr>UNL54_</vt:lpstr>
      <vt:lpstr>UNL60_</vt:lpstr>
      <vt:lpstr>UNR90_</vt:lpstr>
      <vt:lpstr>URAP10</vt:lpstr>
      <vt:lpstr>URAP2</vt:lpstr>
      <vt:lpstr>URAP3</vt:lpstr>
      <vt:lpstr>URAP4</vt:lpstr>
      <vt:lpstr>URAP6</vt:lpstr>
      <vt:lpstr>URAP8</vt:lpstr>
      <vt:lpstr>UREP12</vt:lpstr>
      <vt:lpstr>UREP3</vt:lpstr>
      <vt:lpstr>UREP4</vt:lpstr>
      <vt:lpstr>UREP6</vt:lpstr>
      <vt:lpstr>UREP8</vt:lpstr>
      <vt:lpstr>VALMA3</vt:lpstr>
      <vt:lpstr>VALMA4</vt:lpstr>
      <vt:lpstr>VALMA8</vt:lpstr>
      <vt:lpstr>VCBB2</vt:lpstr>
      <vt:lpstr>VCBB8</vt:lpstr>
      <vt:lpstr>VCEL1</vt:lpstr>
      <vt:lpstr>VCEL2</vt:lpstr>
      <vt:lpstr>VCEL3</vt:lpstr>
      <vt:lpstr>VCEL4</vt:lpstr>
      <vt:lpstr>VCEL6</vt:lpstr>
      <vt:lpstr>VCELA10</vt:lpstr>
      <vt:lpstr>VCELA2</vt:lpstr>
      <vt:lpstr>VCELA3</vt:lpstr>
      <vt:lpstr>VCELA4</vt:lpstr>
      <vt:lpstr>VCELA6</vt:lpstr>
      <vt:lpstr>VCELA8</vt:lpstr>
      <vt:lpstr>VEN02_</vt:lpstr>
      <vt:lpstr>VEN04_</vt:lpstr>
      <vt:lpstr>VENT1</vt:lpstr>
      <vt:lpstr>VIAJE</vt:lpstr>
      <vt:lpstr>VIBGA</vt:lpstr>
      <vt:lpstr>VIBRCOM</vt:lpstr>
      <vt:lpstr>VIBRE</vt:lpstr>
      <vt:lpstr>VIDRI</vt:lpstr>
      <vt:lpstr>VOLQUET</vt:lpstr>
      <vt:lpstr>VPVC2</vt:lpstr>
      <vt:lpstr>Y22EL</vt:lpstr>
      <vt:lpstr>Y22JH</vt:lpstr>
      <vt:lpstr>Y32JH</vt:lpstr>
      <vt:lpstr>Y33JH</vt:lpstr>
      <vt:lpstr>Y42JH</vt:lpstr>
      <vt:lpstr>Y43JH</vt:lpstr>
      <vt:lpstr>Y44EL</vt:lpstr>
      <vt:lpstr>Y44JH</vt:lpstr>
      <vt:lpstr>Y88JH</vt:lpstr>
    </vt:vector>
  </TitlesOfParts>
  <Company>kpkp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Andres Felipe Sepulveda Guarin</cp:lastModifiedBy>
  <cp:lastPrinted>2021-02-16T16:32:36Z</cp:lastPrinted>
  <dcterms:created xsi:type="dcterms:W3CDTF">2006-06-29T18:10:15Z</dcterms:created>
  <dcterms:modified xsi:type="dcterms:W3CDTF">2021-03-10T20:18:53Z</dcterms:modified>
</cp:coreProperties>
</file>